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<sst xmlns="http://schemas.openxmlformats.org/spreadsheetml/2006/main" count="12654" uniqueCount="12654">
  <si>
    <t>Date Type:</t>
  </si>
  <si>
    <t>Shipped Date</t>
  </si>
  <si>
    <t>Start Date:</t>
  </si>
  <si>
    <t>05/01/2024</t>
  </si>
  <si>
    <t>End Date:</t>
  </si>
  <si>
    <t>05/31/2024</t>
  </si>
  <si>
    <t>Report Run Date:</t>
  </si>
  <si>
    <t>06/03/2024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</si>
  <si>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</si>
  <si>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</si>
  <si>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</si>
  <si>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</si>
  <si>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</si>
  <si>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</si>
  <si>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</si>
  <si>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</si>
  <si>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</si>
  <si>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</si>
  <si>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</si>
  <si>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</si>
  <si>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</si>
  <si>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</si>
  <si>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</si>
  <si>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</si>
  <si>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</si>
  <si>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</si>
  <si>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</si>
  <si>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</si>
  <si>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</si>
  <si>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</si>
  <si>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</si>
  <si>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</si>
  <si>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</si>
  <si>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</si>
  <si>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</si>
  <si>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</si>
  <si>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</si>
  <si>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</si>
  <si>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</si>
  <si>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</si>
  <si>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</si>
  <si>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</si>
  <si>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</si>
  <si>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</si>
  <si>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</si>
  <si>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</si>
  <si>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</si>
  <si>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</si>
  <si>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</si>
  <si>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</si>
  <si>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</si>
  <si>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</si>
  <si>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</si>
  <si>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</si>
  <si>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</si>
  <si>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</si>
  <si>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</si>
  <si>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</si>
  <si>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</si>
  <si>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</si>
  <si>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</si>
  <si>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</si>
  <si>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</si>
  <si>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</si>
  <si>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</si>
  <si>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</si>
  <si>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</si>
  <si>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</si>
  <si>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</si>
  <si>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</si>
  <si>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</si>
  <si>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</si>
  <si>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</si>
  <si>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</si>
  <si>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</si>
  <si>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</si>
  <si>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</si>
  <si>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</si>
  <si>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</si>
  <si>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</si>
  <si>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</si>
  <si>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</si>
  <si>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</si>
  <si>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</si>
  <si>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</si>
  <si>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</si>
  <si>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</si>
  <si>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</si>
  <si>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</si>
  <si>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</si>
  <si>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</si>
  <si>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</si>
  <si>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</si>
  <si>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</si>
  <si>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</si>
  <si>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</si>
  <si>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</si>
  <si>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</si>
  <si>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</si>
  <si>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</si>
  <si>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</si>
  <si>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</si>
  <si>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</si>
  <si>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</si>
  <si>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</si>
  <si>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</si>
  <si>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</si>
  <si>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</si>
  <si>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</si>
  <si>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05/21/2024</t>
  </si>
  <si>
    <t>05/22/2024</t>
  </si>
  <si>
    <t>05/23/2024</t>
  </si>
  <si>
    <t>05/27/2024</t>
  </si>
  <si>
    <t>05/29/2024</t>
  </si>
  <si>
    <t>05/30/2024</t>
  </si>
  <si>
    <t>06/08/2024</t>
  </si>
  <si>
    <t>06/09/2024</t>
  </si>
  <si>
    <t>06/11/2024</t>
  </si>
  <si>
    <t>06/12/2024</t>
  </si>
  <si>
    <t>06/13/2024</t>
  </si>
  <si>
    <t>06/15/2024</t>
  </si>
  <si>
    <t>06/16/2024</t>
  </si>
  <si>
    <t>06/17/2024</t>
  </si>
  <si>
    <t>06/18/2024</t>
  </si>
  <si>
    <t>06/19/2024</t>
  </si>
  <si>
    <t>06/20/2024</t>
  </si>
  <si>
    <t>06/21/2024</t>
  </si>
  <si>
    <t>06/23/2024</t>
  </si>
  <si>
    <t>06/25/2024</t>
  </si>
  <si>
    <t>06/26/2024</t>
  </si>
  <si>
    <t>06/29/2024</t>
  </si>
  <si>
    <t>06/30/2024</t>
  </si>
  <si>
    <t>07/01/2024</t>
  </si>
  <si>
    <t>07/02/2024</t>
  </si>
  <si>
    <t>07/03/2024</t>
  </si>
  <si>
    <t>07/04/2024</t>
  </si>
  <si>
    <t>07/05/2024</t>
  </si>
  <si>
    <t>07/06/2024</t>
  </si>
  <si>
    <t>07/07/2024</t>
  </si>
  <si>
    <t>07/08/2024</t>
  </si>
  <si>
    <t>07/09/2024</t>
  </si>
  <si>
    <t>07/10/2024</t>
  </si>
  <si>
    <t>07/11/2024</t>
  </si>
  <si>
    <t>07/12/2024</t>
  </si>
  <si>
    <t>07/13/2024</t>
  </si>
  <si>
    <t>07/14/2024</t>
  </si>
  <si>
    <t>07/15/2024</t>
  </si>
  <si>
    <t>07/16/2024</t>
  </si>
  <si>
    <t>07/17/2024</t>
  </si>
  <si>
    <t>07/18/2024</t>
  </si>
  <si>
    <t>07/19/2024</t>
  </si>
  <si>
    <t>07/20/2024</t>
  </si>
  <si>
    <t>07/21/2024</t>
  </si>
  <si>
    <t>07/22/2024</t>
  </si>
  <si>
    <t>07/23/2024</t>
  </si>
  <si>
    <t>07/24/2024</t>
  </si>
  <si>
    <t>07/25/2024</t>
  </si>
  <si>
    <t>07/26/2024</t>
  </si>
  <si>
    <t>07/27/2024</t>
  </si>
  <si>
    <t>07/28/2024</t>
  </si>
  <si>
    <t>07/29/2024</t>
  </si>
  <si>
    <t>07/30/2024</t>
  </si>
  <si>
    <t>07/31/2024</t>
  </si>
  <si>
    <t>08/01/2024</t>
  </si>
  <si>
    <t>08/02/2024</t>
  </si>
  <si>
    <t>08/04/2024</t>
  </si>
  <si>
    <t>08/05/2024</t>
  </si>
  <si>
    <t>08/06/2024</t>
  </si>
  <si>
    <t>08/07/2024</t>
  </si>
  <si>
    <t>08/08/2024</t>
  </si>
  <si>
    <t>08/09/2024</t>
  </si>
  <si>
    <t>08/10/2024</t>
  </si>
  <si>
    <t>08/11/2024</t>
  </si>
  <si>
    <t>08/13/2024</t>
  </si>
  <si>
    <t>08/14/2024</t>
  </si>
  <si>
    <t>08/15/2024</t>
  </si>
  <si>
    <t>08/16/2024</t>
  </si>
  <si>
    <t>08/18/2024</t>
  </si>
  <si>
    <t>08/19/2024</t>
  </si>
  <si>
    <t>08/20/2024</t>
  </si>
  <si>
    <t>08/21/2024</t>
  </si>
  <si>
    <t>08/22/2024</t>
  </si>
  <si>
    <t>08/23/2024</t>
  </si>
  <si>
    <t>08/24/2024</t>
  </si>
  <si>
    <t>08/25/2024</t>
  </si>
  <si>
    <t>08/26/2024</t>
  </si>
  <si>
    <t>08/27/2024</t>
  </si>
  <si>
    <t>08/28/2024</t>
  </si>
  <si>
    <t>08/29/2024</t>
  </si>
  <si>
    <t>08/30/2024</t>
  </si>
  <si>
    <t>08/31/2024</t>
  </si>
  <si>
    <t>09/01/2024</t>
  </si>
  <si>
    <t>09/02/2024</t>
  </si>
  <si>
    <t>09/04/2024</t>
  </si>
  <si>
    <t>09/06/2024</t>
  </si>
  <si>
    <t>09/09/2024</t>
  </si>
  <si>
    <t>09/11/2024</t>
  </si>
  <si>
    <t>09/13/2024</t>
  </si>
  <si>
    <t>09/14/2024</t>
  </si>
  <si>
    <t>09/15/2024</t>
  </si>
  <si>
    <t>09/16/2024</t>
  </si>
  <si>
    <t>09/17/2024</t>
  </si>
  <si>
    <t>09/18/2024</t>
  </si>
  <si>
    <t>09/19/2024</t>
  </si>
  <si>
    <t>09/20/2024</t>
  </si>
  <si>
    <t>09/21/2024</t>
  </si>
  <si>
    <t>09/22/2024</t>
  </si>
  <si>
    <t>09/24/2024</t>
  </si>
  <si>
    <t>09/25/2024</t>
  </si>
  <si>
    <t>09/26/2024</t>
  </si>
  <si>
    <t>09/27/2024</t>
  </si>
  <si>
    <t>09/28/2024</t>
  </si>
  <si>
    <t>10/02/2024</t>
  </si>
  <si>
    <t>10/03/2024</t>
  </si>
  <si>
    <t>10/05/2024</t>
  </si>
  <si>
    <t>10/07/2024</t>
  </si>
  <si>
    <t>10/08/2024</t>
  </si>
  <si>
    <t>10/09/2024</t>
  </si>
  <si>
    <t>10/10/2024</t>
  </si>
  <si>
    <t>10/12/2024</t>
  </si>
  <si>
    <t>10/13/2024</t>
  </si>
  <si>
    <t>10/15/2024</t>
  </si>
  <si>
    <t>10/16/2024</t>
  </si>
  <si>
    <t>10/17/2024</t>
  </si>
  <si>
    <t>06/24/2024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</si>
  <si>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</si>
  <si>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</si>
  <si>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</si>
  <si>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</si>
  <si>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</si>
  <si>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</si>
  <si>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</si>
  <si>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</si>
  <si>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</si>
  <si>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</si>
  <si>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Close-out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</si>
  <si>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</si>
  <si>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</si>
  <si>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</si>
  <si>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</si>
  <si>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</si>
  <si>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</si>
  <si>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</si>
  <si>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</si>
  <si>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</si>
  <si>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</si>
  <si>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</si>
  <si>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</si>
  <si>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</si>
  <si>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</si>
  <si>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Donation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</si>
  <si>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</si>
  <si>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</si>
  <si>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</si>
  <si>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</si>
  <si>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</si>
  <si>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</si>
  <si>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</si>
  <si>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</si>
  <si>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</si>
  <si>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</si>
  <si>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BASI16-0416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</si>
  <si>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</si>
  <si>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</si>
  <si>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</si>
  <si>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</si>
  <si>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</si>
  <si>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</si>
  <si>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 XL</t>
  </si>
  <si>
    <t>Blue</t>
  </si>
  <si>
    <t>B</t>
  </si>
  <si>
    <t>PF002105</t>
  </si>
  <si>
    <t>Foam</t>
  </si>
  <si>
    <t>Casual</t>
  </si>
  <si>
    <t>4/2/2017</t>
  </si>
  <si>
    <t>AMAZON,AMAZONDS,BLK01,JCPENNEY01,KOHLDSN,MACY02,TGTDVS,WALMARTDS</t>
  </si>
  <si>
    <t>17764100-000-005</t>
  </si>
  <si>
    <t>Setup</t>
  </si>
  <si>
    <t>8/27/2016</t>
  </si>
  <si>
    <t>1/31/2017</t>
  </si>
  <si>
    <t>BASI16-0382</t>
  </si>
  <si>
    <t>Full</t>
  </si>
  <si>
    <t>AAFESDS,AMAZON,AMAZONDS,JCPENNEY01,KOHLDSN,MACY02,OLLIIX,TGTDVS,ZOLA,Zulily</t>
  </si>
  <si>
    <t>17764100-000-001</t>
  </si>
  <si>
    <t>7/30/2016</t>
  </si>
  <si>
    <t>7/15/2016</t>
  </si>
  <si>
    <t>MP20-8503</t>
  </si>
  <si>
    <t>SHET</t>
  </si>
  <si>
    <t>Madison Park</t>
  </si>
  <si>
    <t>SHEET/SHEET SET</t>
  </si>
  <si>
    <t>Sheet/Sheet Set</t>
  </si>
  <si>
    <t>1500 Thread Count</t>
  </si>
  <si>
    <t>Cotton Blend 4 PC Sheet Set</t>
  </si>
  <si>
    <t>Queen</t>
  </si>
  <si>
    <t>Black</t>
  </si>
  <si>
    <t>NEW</t>
  </si>
  <si>
    <t>PP001239;PF006418</t>
  </si>
  <si>
    <t>CVC</t>
  </si>
  <si>
    <t>4</t>
  </si>
  <si>
    <t>Glam/Luxury</t>
  </si>
  <si>
    <t>9/16/2024</t>
  </si>
  <si>
    <t>MP20-8504</t>
  </si>
  <si>
    <t>King</t>
  </si>
  <si>
    <t>MP20-8505</t>
  </si>
  <si>
    <t>Cal King</t>
  </si>
  <si>
    <t>MP20-4847</t>
  </si>
  <si>
    <t>Ivory</t>
  </si>
  <si>
    <t>PF002378</t>
  </si>
  <si>
    <t>9/2/2017</t>
  </si>
  <si>
    <t>7/22/2024</t>
  </si>
  <si>
    <t>BLK01,CSNSTORES,HDDS,JCPENNEY01,KOHLDSN,MACY02,TGTDVS</t>
  </si>
  <si>
    <t>23403829-000-005</t>
  </si>
  <si>
    <t>Tier 1</t>
  </si>
  <si>
    <t>8/7/2017</t>
  </si>
  <si>
    <t>1/2/2018</t>
  </si>
  <si>
    <t>BASI16-0386</t>
  </si>
  <si>
    <t>2" Gel Memory Foam with 3M Cover</t>
  </si>
  <si>
    <t>Mattress Topper</t>
  </si>
  <si>
    <t>Twin</t>
  </si>
  <si>
    <t>White</t>
  </si>
  <si>
    <t>PF002107</t>
  </si>
  <si>
    <t>7/24/2024</t>
  </si>
  <si>
    <t>KOHLDSN,OLLIIX,TGTDVS</t>
  </si>
  <si>
    <t>17764099-000-000</t>
  </si>
  <si>
    <t>7/3/2017</t>
  </si>
  <si>
    <t>BASI16-0555</t>
  </si>
  <si>
    <t>2" Memory Foam Mattress Topper</t>
  </si>
  <si>
    <t>1</t>
  </si>
  <si>
    <t>9/25/2018</t>
  </si>
  <si>
    <t>KOHLDSN,OLLIIX,ZOLA</t>
  </si>
  <si>
    <t>17764099-000-005</t>
  </si>
  <si>
    <t>10/3/2018</t>
  </si>
  <si>
    <t>1/23/2019</t>
  </si>
  <si>
    <t>BASI16-0387</t>
  </si>
  <si>
    <t>BLK01,JCPENNEY01,KOHLDSN,OLLIIX,ZOLA</t>
  </si>
  <si>
    <t>17764099-000-001</t>
  </si>
  <si>
    <t>10/9/2017</t>
  </si>
  <si>
    <t>BASI16-0470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</si>
  <si>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</si>
  <si>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</si>
  <si>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</si>
  <si>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</si>
  <si>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</si>
  <si>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6/1/2017</t>
  </si>
  <si>
    <t>CSNSTORES,KOHLDSN,MACY02,OLLIIX,TGTDVS</t>
  </si>
  <si>
    <t>19965443-000-001</t>
  </si>
  <si>
    <t>11/1/2016</t>
  </si>
  <si>
    <t>6/5/2017</t>
  </si>
  <si>
    <t>BASI16-0472</t>
  </si>
  <si>
    <t>BLK01,CSNSTORES,JCPENNEY01,KOHLDSN,MACY02,TGTDVS</t>
  </si>
  <si>
    <t>19965443-000-003</t>
  </si>
  <si>
    <t>2/27/2017</t>
  </si>
  <si>
    <t>BASI16-0473</t>
  </si>
  <si>
    <t>BLK01,CSNSTORES,KOHLDSN,MACY02</t>
  </si>
  <si>
    <t>19965443-000-004</t>
  </si>
  <si>
    <t>2/9/2017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</si>
  <si>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</si>
  <si>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</si>
  <si>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</si>
  <si>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</si>
  <si>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</si>
  <si>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</si>
  <si>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</si>
  <si>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</si>
  <si>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</si>
  <si>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AMAZON,CSNSTORES,KOHLDSN</t>
  </si>
  <si>
    <t>42128528-000-012</t>
  </si>
  <si>
    <t>4/17/2024</t>
  </si>
  <si>
    <t>MPE20-1045</t>
  </si>
  <si>
    <t>AMAZONDS,KOHLDSN,TGTDVS</t>
  </si>
  <si>
    <t>42128528-000-013</t>
  </si>
  <si>
    <t>MPE20-1041</t>
  </si>
  <si>
    <t>Blue Palmetto</t>
  </si>
  <si>
    <t>PP001858;PF006129</t>
  </si>
  <si>
    <t>AMAZON,KOHLDSN</t>
  </si>
  <si>
    <t>42128528-000-015</t>
  </si>
  <si>
    <t>MPE20-1042</t>
  </si>
  <si>
    <t>42128528-000-016</t>
  </si>
  <si>
    <t>MPE20-1008</t>
  </si>
  <si>
    <t>Green Leaves</t>
  </si>
  <si>
    <t>PP001858;PF005940</t>
  </si>
  <si>
    <t>Botanical</t>
  </si>
  <si>
    <t>3/22/2023</t>
  </si>
  <si>
    <t>10/9/2024</t>
  </si>
  <si>
    <t>AMAZON,JCPENNEY01,KOHLDSN,MACY02,OLLIIX,TGTDVS</t>
  </si>
  <si>
    <t>42128528-000-004</t>
  </si>
  <si>
    <t>8/17/2023</t>
  </si>
  <si>
    <t>8/21/2023</t>
  </si>
  <si>
    <t>MPE20-1015</t>
  </si>
  <si>
    <t>Grey Stripe</t>
  </si>
  <si>
    <t>PP001858;PF005943</t>
  </si>
  <si>
    <t>Stripe</t>
  </si>
  <si>
    <t>7/26/2024</t>
  </si>
  <si>
    <t>KOHLDSN,MACY02,TGTDVS</t>
  </si>
  <si>
    <t>42128528-000-000</t>
  </si>
  <si>
    <t>9/28/2023</t>
  </si>
  <si>
    <t>MPE20-1009</t>
  </si>
  <si>
    <t>Tan Leaves</t>
  </si>
  <si>
    <t>PP001858;PF005941</t>
  </si>
  <si>
    <t>CSNSTORES,KOHLDSN,MACY02,TGTDVS</t>
  </si>
  <si>
    <t>42128528-000-009</t>
  </si>
  <si>
    <t>MPE20-1011</t>
  </si>
  <si>
    <t>42128528-000-001</t>
  </si>
  <si>
    <t>BASI16-0417</t>
  </si>
  <si>
    <t>3" Gel Memory Foam</t>
  </si>
  <si>
    <t>PF002106</t>
  </si>
  <si>
    <t>7/27/2024</t>
  </si>
  <si>
    <t>AMAZON,BIGLOTSDS,BLK01,DESINC,HSNDS,KOHLDSN,MACY02,TGTDVS,WALMARTDS</t>
  </si>
  <si>
    <t>19524730-000-000</t>
  </si>
  <si>
    <t>9/15/2016</t>
  </si>
  <si>
    <t>12/9/2016</t>
  </si>
  <si>
    <t>BASI16-0419</t>
  </si>
  <si>
    <t>AMAZON,BIGLOTSDS,BLK01,CSNSTORES,HSNDS,KOHLDSN,MACY02,TGTDVS,WALMARTDS,ZOLA</t>
  </si>
  <si>
    <t>19524730-000-002</t>
  </si>
  <si>
    <t>10/31/2016</t>
  </si>
  <si>
    <t>BASI16-0421</t>
  </si>
  <si>
    <t>AMAZON,AMAZONDS,BEALLSDS,BIGLOTSDS,KOHLDSN,MACY02,OLLIIX,WALMARTDS</t>
  </si>
  <si>
    <t>19524730-000-004</t>
  </si>
  <si>
    <t>10/18/2016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</si>
  <si>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</si>
  <si>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</si>
  <si>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</si>
  <si>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</si>
  <si>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</si>
  <si>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KOHLDSN,MACY02,OLLIIX,TGTDVS</t>
  </si>
  <si>
    <t>19965442-000-000</t>
  </si>
  <si>
    <t>7/7/2017</t>
  </si>
  <si>
    <t>BASI16-0477</t>
  </si>
  <si>
    <t>AMAZON,JCPENNEY01,KOHLDSN,MACY02,OLLIIX,TGTDVS,WALMARTDS,ZOLA</t>
  </si>
  <si>
    <t>19965442-000-002</t>
  </si>
  <si>
    <t>8/2/2017</t>
  </si>
  <si>
    <t>BASI16-0478</t>
  </si>
  <si>
    <t>AAFESDS,AMAZON,AMAZONDS,BLK01,JCPENNEY01,KOHLDSN,MACY02,OLLIIX,TGTDVS,WALMARTDS,ZOLA,Zulily</t>
  </si>
  <si>
    <t>19965442-000-003</t>
  </si>
  <si>
    <t>1/30/2017</t>
  </si>
  <si>
    <t>BASI16-0479</t>
  </si>
  <si>
    <t>AMAZONDS,BLK01,KOHLDSN,OLLIIX,TGTDVS</t>
  </si>
  <si>
    <t>19965442-000-004</t>
  </si>
  <si>
    <t>MP20-8247</t>
  </si>
  <si>
    <t>300 Thread Count Organic Cotton</t>
  </si>
  <si>
    <t>Deep Pocket Sheet Set</t>
  </si>
  <si>
    <t>PP001890;PF006022</t>
  </si>
  <si>
    <t>8/26/2023</t>
  </si>
  <si>
    <t>AMAZON,CSNSTORES,DESINC,JCPENNEY01,KOHLDSN,OLLIIX,TGTDVS</t>
  </si>
  <si>
    <t>42171343-000-003</t>
  </si>
  <si>
    <t>8/29/2023</t>
  </si>
  <si>
    <t>9/11/2023</t>
  </si>
  <si>
    <t>MP20-8248</t>
  </si>
  <si>
    <t>AMAZON,BEALLSDS,JCPENNEY01,KOHLDSN,OLLIIX,TGTDVS</t>
  </si>
  <si>
    <t>42171343-000-006</t>
  </si>
  <si>
    <t>12/1/2023</t>
  </si>
  <si>
    <t>MP20-8250</t>
  </si>
  <si>
    <t>Taupe</t>
  </si>
  <si>
    <t>PP001890;PF006023</t>
  </si>
  <si>
    <t>AMAZON,AMAZONDS,KOHLDSN,OLLIIX,TGTDVS</t>
  </si>
  <si>
    <t>42171343-000-005</t>
  </si>
  <si>
    <t>10/5/2023</t>
  </si>
  <si>
    <t>SHET21-259</t>
  </si>
  <si>
    <t>PILLOWCASE</t>
  </si>
  <si>
    <t>Pillowcase</t>
  </si>
  <si>
    <t>300TC Liquid Cotton</t>
  </si>
  <si>
    <t>Pillowcases</t>
  </si>
  <si>
    <t>King Case</t>
  </si>
  <si>
    <t>Silver</t>
  </si>
  <si>
    <t>PF001738</t>
  </si>
  <si>
    <t>KOHLDSN</t>
  </si>
  <si>
    <t>17924343-000-017</t>
  </si>
  <si>
    <t>1/2/2015</t>
  </si>
  <si>
    <t>MP20-1185</t>
  </si>
  <si>
    <t>3M Microcell</t>
  </si>
  <si>
    <t>Luxurious Brushed Microfiber Deep Pocket Sheet Set</t>
  </si>
  <si>
    <t>PF001786</t>
  </si>
  <si>
    <t>Microfiber</t>
  </si>
  <si>
    <t>BLK01,CSNSTORES,HSNDS,JCPENNEY01,KOHLDSN,MACY02,OLLIIX,TGTDVS,WALMARTDS</t>
  </si>
  <si>
    <t>16596275-000-010</t>
  </si>
  <si>
    <t>6/1/2015</t>
  </si>
  <si>
    <t>MP20-2447</t>
  </si>
  <si>
    <t>7/1/2024</t>
  </si>
  <si>
    <t>HSNDS,JCPENNEY01,KOHLDSN,MACY02,OLLIIX</t>
  </si>
  <si>
    <t>16596275-000-039</t>
  </si>
  <si>
    <t>5/17/2016</t>
  </si>
  <si>
    <t>MP20-1189</t>
  </si>
  <si>
    <t>CSNSTORES,HSNDS,JCPENNEY01,KOHLDSN,MACY02,TGTDVS,ZOLA</t>
  </si>
  <si>
    <t>16596275-000-014</t>
  </si>
  <si>
    <t>12/7/2015</t>
  </si>
  <si>
    <t>MP20-4388</t>
  </si>
  <si>
    <t>Blush</t>
  </si>
  <si>
    <t>PF001792</t>
  </si>
  <si>
    <t>5/17/2017</t>
  </si>
  <si>
    <t>AMAZONDS,CSNSTORES,HDDS,HSNDS,JCPENNEY01,KOHLDSN,MACY02,OLLIIX</t>
  </si>
  <si>
    <t>16596275-000-040</t>
  </si>
  <si>
    <t>4/25/2017</t>
  </si>
  <si>
    <t>6/21/2017</t>
  </si>
  <si>
    <t>MP20-4389</t>
  </si>
  <si>
    <t>AMAZON,AMAZONDS,BLK01,CSNSTORES,DESINC,JCPENNEY01,KOHLDSN,MACY02,NRTPORT,OLLIIX,WALMARTDS</t>
  </si>
  <si>
    <t>16596275-000-041</t>
  </si>
  <si>
    <t>6/8/2017</t>
  </si>
  <si>
    <t>MP20-4390</t>
  </si>
  <si>
    <t>AMAZON,BLK01,JCPENNEY01,KOHLDSN,MACY02,OLLIIX</t>
  </si>
  <si>
    <t>16596275-000-042</t>
  </si>
  <si>
    <t>7/18/2017</t>
  </si>
  <si>
    <t>MP20-4392</t>
  </si>
  <si>
    <t>AMAZON,BLK01,CSNSTORES,HDDS,HSNDS,JCPENNEY01,KOHLDSN,MACY02,NRTPORT,OLLIIX,WALMARTDS,ZOLA,Zulily</t>
  </si>
  <si>
    <t>16596275-000-044</t>
  </si>
  <si>
    <t>5/31/2017</t>
  </si>
  <si>
    <t>MP20-2443</t>
  </si>
  <si>
    <t>PF001789</t>
  </si>
  <si>
    <t>BEALLSDS,CSNSTORES,HDDS,JCPENNEY01,KOHLDSN,MACY02,OLLIIX</t>
  </si>
  <si>
    <t>16596275-000-026</t>
  </si>
  <si>
    <t>10/24/2016</t>
  </si>
  <si>
    <t>MP20-2384</t>
  </si>
  <si>
    <t>BEALLSDS,BLK01,DESINC,HDDS,JCPENNEY01,KOHLDSN,MACY02,WALMARTDS,ZOLA,Zulily</t>
  </si>
  <si>
    <t>16596275-000-027</t>
  </si>
  <si>
    <t>3/24/2016</t>
  </si>
  <si>
    <t>MP20-2385</t>
  </si>
  <si>
    <t>BEALLSDS,BLK01,CSNSTORES,HDDS,JCPENNEY01,KOHLDSN,MACY02,OLLIIX,ZOLA</t>
  </si>
  <si>
    <t>16596275-000-028</t>
  </si>
  <si>
    <t>5/3/2016</t>
  </si>
  <si>
    <t>MP20-2386</t>
  </si>
  <si>
    <t>BEALLSDS,BLK01,HDDS,JCPENNEY01,KIRKLANDDS,KOHLDSN,MACY02,ZOLA</t>
  </si>
  <si>
    <t>16596275-000-029</t>
  </si>
  <si>
    <t>4/5/2016</t>
  </si>
  <si>
    <t>MP20-2387</t>
  </si>
  <si>
    <t>AMAZON,JCPENNEY01,KOHLDSN,MACY02,ZOLA</t>
  </si>
  <si>
    <t>16596275-000-030</t>
  </si>
  <si>
    <t>4/22/2016</t>
  </si>
  <si>
    <t>MP20-1180</t>
  </si>
  <si>
    <t>PF001785</t>
  </si>
  <si>
    <t>CSNSTORES,HDDS,JCPENNEY01,MACY02,TGTDVS,WALMARTDS</t>
  </si>
  <si>
    <t>16596275-000-005</t>
  </si>
  <si>
    <t>2/17/2015</t>
  </si>
  <si>
    <t>MP20-2446</t>
  </si>
  <si>
    <t>BLK01,JCPENNEY01,KOHLDSN,MACY02</t>
  </si>
  <si>
    <t>16596275-000-038</t>
  </si>
  <si>
    <t>7/5/2016</t>
  </si>
  <si>
    <t>MP20-1181</t>
  </si>
  <si>
    <t>BLK01,HDDS,HSNDS,JCPENNEY01,KOHLDSN,MACY02,OLLIIX,TGTDVS</t>
  </si>
  <si>
    <t>16596275-000-006</t>
  </si>
  <si>
    <t>MP20-1182</t>
  </si>
  <si>
    <t>BLK01,CASTLEGATE,CSNSTORES,HDDS,HSNDS,JCPENNEY01,KOHLDSN,MACY02,OLLIIX,TGTDVS</t>
  </si>
  <si>
    <t>16596275-000-007</t>
  </si>
  <si>
    <t>1/8/2015</t>
  </si>
  <si>
    <t>MP20-1184</t>
  </si>
  <si>
    <t>BLK01,CSNSTORES,HDDS,JCPENNEY01,KOHLDSN,MACY02,OLLIIX</t>
  </si>
  <si>
    <t>16596275-000-009</t>
  </si>
  <si>
    <t>5/12/2015</t>
  </si>
  <si>
    <t>MP20-1191</t>
  </si>
  <si>
    <t>Khaki</t>
  </si>
  <si>
    <t>PF001787</t>
  </si>
  <si>
    <t>BLK01,HDDS,HSNDS,JCPENNEY01,KOHLDSN,MACY02</t>
  </si>
  <si>
    <t>16596275-000-016</t>
  </si>
  <si>
    <t>1/12/2015</t>
  </si>
  <si>
    <t>MP20-1194</t>
  </si>
  <si>
    <t>BLK01,CSNSTORES,HSNDS,JCPENNEY01,KOHLDSN,MACY02,TGTDVS</t>
  </si>
  <si>
    <t>16596275-000-019</t>
  </si>
  <si>
    <t>MP20-2388</t>
  </si>
  <si>
    <t>Seafoam</t>
  </si>
  <si>
    <t>PF001791</t>
  </si>
  <si>
    <t>10/5/2024</t>
  </si>
  <si>
    <t>AMAZON,AMAZONDS,HDDS,JCPENNEY01,KOHLDSN,MACY02,OLLIIX</t>
  </si>
  <si>
    <t>16596275-000-031</t>
  </si>
  <si>
    <t>6/23/2016</t>
  </si>
  <si>
    <t>MP20-2389</t>
  </si>
  <si>
    <t>AMAZON,BLK01,CSNSTORES,HDDS,HSNDS,JCPENNEY01,KOHLDSN,MACY02,OLLIIX</t>
  </si>
  <si>
    <t>16596275-000-033</t>
  </si>
  <si>
    <t>7/20/2016</t>
  </si>
  <si>
    <t>MP20-2391</t>
  </si>
  <si>
    <t>AMAZON,BEALLSDS,BLK01,HDDS,JCPENNEY01,KOHLDSN,MACY02,OLLIIX,ZOLA</t>
  </si>
  <si>
    <t>16596275-000-035</t>
  </si>
  <si>
    <t>MP20-2392</t>
  </si>
  <si>
    <t>AMAZON,AMAZONDS,BLK01,CSNSTORES,HSNDS,JCPENNEY01,KOHLDSN,MACY02,NRTPORT,WALMARTDS,ZOLA</t>
  </si>
  <si>
    <t>16596275-000-036</t>
  </si>
  <si>
    <t>MP20-1175</t>
  </si>
  <si>
    <t>PF001784</t>
  </si>
  <si>
    <t>HDDS,JCPENNEY01,KOHLDSN,MACY02,OLLIIX,TGTDVS</t>
  </si>
  <si>
    <t>16596275-000-000</t>
  </si>
  <si>
    <t>1/6/2015</t>
  </si>
  <si>
    <t>MP20-2445</t>
  </si>
  <si>
    <t>JCPENNEY01,KOHLDSN,MACY02,OLLIIX</t>
  </si>
  <si>
    <t>16596275-000-037</t>
  </si>
  <si>
    <t>4/13/2016</t>
  </si>
  <si>
    <t>MP20-1176</t>
  </si>
  <si>
    <t>8/21/2024</t>
  </si>
  <si>
    <t>BLK01,CSNSTORES,HDDS,JCPENNEY01,KOHLDSN,MACY02,OLLIIX,TGTDVS,WALMARTDS</t>
  </si>
  <si>
    <t>16596275-000-001</t>
  </si>
  <si>
    <t>8/13/2015</t>
  </si>
  <si>
    <t>MP20-1179</t>
  </si>
  <si>
    <t>CSNSTORES,JCPENNEY01,KOHLDSN,MACY02,TGTDVS</t>
  </si>
  <si>
    <t>16596275-000-004</t>
  </si>
  <si>
    <t>1/21/2015</t>
  </si>
  <si>
    <t>SHET20-732</t>
  </si>
  <si>
    <t>Peak Performance</t>
  </si>
  <si>
    <t>3M Scotchgard Micro Fleece</t>
  </si>
  <si>
    <t>Anti-Pill Sheet Set</t>
  </si>
  <si>
    <t>PF001798</t>
  </si>
  <si>
    <t>Fleece</t>
  </si>
  <si>
    <t>16620311-000-021</t>
  </si>
  <si>
    <t>9/28/2015</t>
  </si>
  <si>
    <t>SHET20-733</t>
  </si>
  <si>
    <t>4/12/2017</t>
  </si>
  <si>
    <t>AMAZON,TGTDVS</t>
  </si>
  <si>
    <t>16620311-000-022</t>
  </si>
  <si>
    <t>7/22/2015</t>
  </si>
  <si>
    <t>SHET20-591</t>
  </si>
  <si>
    <t>PF001795</t>
  </si>
  <si>
    <t>AMAZON,AMAZONDS,MACY02,NRTPORT</t>
  </si>
  <si>
    <t>16620311-000-009</t>
  </si>
  <si>
    <t>1/4/2015</t>
  </si>
  <si>
    <t>SHET20-592</t>
  </si>
  <si>
    <t>AMAZON,CSNSTORES,KOHLDSN,MACY02</t>
  </si>
  <si>
    <t>16620311-000-010</t>
  </si>
  <si>
    <t>6/15/2015</t>
  </si>
  <si>
    <t>SHET20-594</t>
  </si>
  <si>
    <t>PF001796</t>
  </si>
  <si>
    <t>4/7/2017</t>
  </si>
  <si>
    <t>AMAZONDS,WALMARTDS</t>
  </si>
  <si>
    <t>16620311-000-012</t>
  </si>
  <si>
    <t>1/5/2015</t>
  </si>
  <si>
    <t>SHET20-595</t>
  </si>
  <si>
    <t>CSNSTORES,KOHLDSN,MACY02</t>
  </si>
  <si>
    <t>16620311-000-013</t>
  </si>
  <si>
    <t>SHET20-730</t>
  </si>
  <si>
    <t>Mink</t>
  </si>
  <si>
    <t>PF001797</t>
  </si>
  <si>
    <t>AMAZON,CSNSTORES,MACY02</t>
  </si>
  <si>
    <t>16620311-000-019</t>
  </si>
  <si>
    <t>SHET20-587</t>
  </si>
  <si>
    <t>PF001794</t>
  </si>
  <si>
    <t>CSNSTORES</t>
  </si>
  <si>
    <t>16620311-000-005</t>
  </si>
  <si>
    <t>BR20-0981</t>
  </si>
  <si>
    <t>Beautyrest</t>
  </si>
  <si>
    <t>400 Thread Count</t>
  </si>
  <si>
    <t>Wrinkle Resistant Cotton Sateen Sheet Set</t>
  </si>
  <si>
    <t>PF004691;PP001187</t>
  </si>
  <si>
    <t>4/29/2019</t>
  </si>
  <si>
    <t>5/31/2024</t>
  </si>
  <si>
    <t>JCPENNEY01,MACY02,NORDSTRACKDS</t>
  </si>
  <si>
    <t>33380903-000-010</t>
  </si>
  <si>
    <t>6/11/2019</t>
  </si>
  <si>
    <t>10/16/2023</t>
  </si>
  <si>
    <t>BR20-0982</t>
  </si>
  <si>
    <t>PF004692;PP001187</t>
  </si>
  <si>
    <t>CSNSTORES,JCPENNEY01,KOHLDSN,MACY02</t>
  </si>
  <si>
    <t>33380903-000-006</t>
  </si>
  <si>
    <t>6/4/2019</t>
  </si>
  <si>
    <t>4/8/2020</t>
  </si>
  <si>
    <t>BR20-0985</t>
  </si>
  <si>
    <t>CSNSTORES,JCPENNEY01,MACY02,Zulily</t>
  </si>
  <si>
    <t>33380903-000-007</t>
  </si>
  <si>
    <t>6/13/2019</t>
  </si>
  <si>
    <t>8/11/2020</t>
  </si>
  <si>
    <t>MPS10-504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</si>
  <si>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</si>
  <si>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</si>
  <si>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</si>
  <si>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</si>
  <si>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</si>
  <si>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Full/Queen</t>
  </si>
  <si>
    <t>White/Navy</t>
  </si>
  <si>
    <t>PP001867;PF005967</t>
  </si>
  <si>
    <t>5</t>
  </si>
  <si>
    <t>Other</t>
  </si>
  <si>
    <t>6/12/2023</t>
  </si>
  <si>
    <t>AMAZON,CSNSTORES,OLLIIX</t>
  </si>
  <si>
    <t>41779134-000-001</t>
  </si>
  <si>
    <t>6/20/2023</t>
  </si>
  <si>
    <t>8/7/2023</t>
  </si>
  <si>
    <t>MPS10-505</t>
  </si>
  <si>
    <t>King/Cal King</t>
  </si>
  <si>
    <t>41779134-000-000</t>
  </si>
  <si>
    <t>7/24/2023</t>
  </si>
  <si>
    <t>MP20-6499</t>
  </si>
  <si>
    <t>525 Thread Count</t>
  </si>
  <si>
    <t>Cotton Blend Sheet Set</t>
  </si>
  <si>
    <t>PP001317;PF004754</t>
  </si>
  <si>
    <t>Traditional</t>
  </si>
  <si>
    <t>8/12/2019</t>
  </si>
  <si>
    <t>BLK01,CSNSTORES,JCPENNEY01,KOHLDSN,MACY02,TGTDVS,WALMARTDS</t>
  </si>
  <si>
    <t>33907832-000-005</t>
  </si>
  <si>
    <t>12/2/2019</t>
  </si>
  <si>
    <t>MP20-6508</t>
  </si>
  <si>
    <t>Charcoal</t>
  </si>
  <si>
    <t>PP001317;PF004755</t>
  </si>
  <si>
    <t>BLK01,JCPENNEY01,KOHLDSN,MACY02,OLLIIX,TGTDVS</t>
  </si>
  <si>
    <t>33907832-000-008</t>
  </si>
  <si>
    <t>9/26/2019</t>
  </si>
  <si>
    <t>BR20-4700</t>
  </si>
  <si>
    <t>600 Thread Count</t>
  </si>
  <si>
    <t>Cooling Cotton Blend 4 PC Sheet Set</t>
  </si>
  <si>
    <t>PP001188;PF006417</t>
  </si>
  <si>
    <t>Modern/Contemporary</t>
  </si>
  <si>
    <t>BR20-4701</t>
  </si>
  <si>
    <t>BR20-4702</t>
  </si>
  <si>
    <t>BR20-4703</t>
  </si>
  <si>
    <t>MP20-7167</t>
  </si>
  <si>
    <t>Pima Cotton Sheet Set</t>
  </si>
  <si>
    <t>Split King</t>
  </si>
  <si>
    <t>Gold</t>
  </si>
  <si>
    <t>PF001747</t>
  </si>
  <si>
    <t>7</t>
  </si>
  <si>
    <t>7/10/2024</t>
  </si>
  <si>
    <t>CSNSTORES,JCPENNEY01,KOHLDSN,MACY02,OLLIIX</t>
  </si>
  <si>
    <t>15389857-000-027</t>
  </si>
  <si>
    <t>4/9/2020</t>
  </si>
  <si>
    <t>4/13/2020</t>
  </si>
  <si>
    <t>BR20-1914</t>
  </si>
  <si>
    <t>PP001188;PF005144</t>
  </si>
  <si>
    <t>8/18/2020</t>
  </si>
  <si>
    <t>BLK01,CSNSTORES,FINGERHUTDS,JCPENNEY01,KOHLDSN,MACY02,NORDSTRACKDS,OLLIIX,TGTDVS,WALMARTDS</t>
  </si>
  <si>
    <t>33381532-000-029</t>
  </si>
  <si>
    <t>9/23/2020</t>
  </si>
  <si>
    <t>10/13/2020</t>
  </si>
  <si>
    <t>MP20-8005</t>
  </si>
  <si>
    <t>Rose Gold</t>
  </si>
  <si>
    <t>PF005754</t>
  </si>
  <si>
    <t>7/19/2022</t>
  </si>
  <si>
    <t>8/5/2024</t>
  </si>
  <si>
    <t>JCPENNEY01,MACY02,OLLIIX</t>
  </si>
  <si>
    <t>15389857-000-040</t>
  </si>
  <si>
    <t>8/9/2022</t>
  </si>
  <si>
    <t>9/1/2022</t>
  </si>
  <si>
    <t>BR20-1919</t>
  </si>
  <si>
    <t>Teal</t>
  </si>
  <si>
    <t>PP001188;PF005146</t>
  </si>
  <si>
    <t>CSNSTORES,DESINC,FINGERHUTDS,JCPENNEY01,KOHLDSN,MACY02,NORDSTRACKDS,TGTDVS,Zulily</t>
  </si>
  <si>
    <t>33381532-000-026</t>
  </si>
  <si>
    <t>8/23/2020</t>
  </si>
  <si>
    <t>1/28/2021</t>
  </si>
  <si>
    <t>BR20-1922</t>
  </si>
  <si>
    <t>7/8/2024</t>
  </si>
  <si>
    <t>BLK01,CSNSTORES,FINGERHUTDS,JCPENNEY01,KOHLDSN,MACY02,NORDSTRACKDS,TGTDVS,WALMARTDS</t>
  </si>
  <si>
    <t>33381532-000-034</t>
  </si>
  <si>
    <t>9/22/2020</t>
  </si>
  <si>
    <t>1/25/2021</t>
  </si>
  <si>
    <t>BR20-1899</t>
  </si>
  <si>
    <t>700 Thread Count</t>
  </si>
  <si>
    <t>Cotton Tri-Blend 4 PC Sheet Set</t>
  </si>
  <si>
    <t>PP001512;PF005137</t>
  </si>
  <si>
    <t>10/30/2020</t>
  </si>
  <si>
    <t>36909435-000-004</t>
  </si>
  <si>
    <t>11/6/2020</t>
  </si>
  <si>
    <t>BR20-1901</t>
  </si>
  <si>
    <t>BLK01,FINGERHUTDS,HDDS,JCPENNEY01,KOHLDSN,MACY02,OLLIIX</t>
  </si>
  <si>
    <t>36909435-000-008</t>
  </si>
  <si>
    <t>1/10/2021</t>
  </si>
  <si>
    <t>BR20-1910</t>
  </si>
  <si>
    <t>Light Grey</t>
  </si>
  <si>
    <t>PP001512;PF005139</t>
  </si>
  <si>
    <t>HDDS,JCPENNEY01,KOHLDSN,MACY02</t>
  </si>
  <si>
    <t>36909435-000-000</t>
  </si>
  <si>
    <t>11/16/2020</t>
  </si>
  <si>
    <t>BR20-1895</t>
  </si>
  <si>
    <t>PP001512;PF005136</t>
  </si>
  <si>
    <t>BLK01,JCPENNEY01,MACY02,NORDSTRACKDS</t>
  </si>
  <si>
    <t>36909435-000-003</t>
  </si>
  <si>
    <t>11/3/2020</t>
  </si>
  <si>
    <t>BR20-1898</t>
  </si>
  <si>
    <t>JCPENNEY01,MACY02,NRTPORT,Zulily</t>
  </si>
  <si>
    <t>36909435-000-013</t>
  </si>
  <si>
    <t>1/4/2021</t>
  </si>
  <si>
    <t>MP20-6424</t>
  </si>
  <si>
    <t>800 Thread Count</t>
  </si>
  <si>
    <t>Cotton Blend Sateen Sheet Set</t>
  </si>
  <si>
    <t>PP001297;PF004729</t>
  </si>
  <si>
    <t>6</t>
  </si>
  <si>
    <t>8/15/2019</t>
  </si>
  <si>
    <t>25547637-000-024</t>
  </si>
  <si>
    <t>10/17/2019</t>
  </si>
  <si>
    <t>MPH20-0003</t>
  </si>
  <si>
    <t>PF004069</t>
  </si>
  <si>
    <t>11/27/2017</t>
  </si>
  <si>
    <t>6/12/2024</t>
  </si>
  <si>
    <t>CSNSTORES,FINGERHUTDS,JCPENNEY01,KOHLDSN,MACY02,OLLIIX,TGTDVS</t>
  </si>
  <si>
    <t>25547637-000-002</t>
  </si>
  <si>
    <t>12/29/2017</t>
  </si>
  <si>
    <t>11/28/2018</t>
  </si>
  <si>
    <t>MPH20-0012</t>
  </si>
  <si>
    <t>Purple</t>
  </si>
  <si>
    <t>PF004072</t>
  </si>
  <si>
    <t>FINGERHUTDS,JCPENNEY01,KOHLDSN,MACY02,TGTDVS</t>
  </si>
  <si>
    <t>25547637-000-011</t>
  </si>
  <si>
    <t>1/5/2018</t>
  </si>
  <si>
    <t>MPS73-526</t>
  </si>
  <si>
    <t>TOWL</t>
  </si>
  <si>
    <t>BATH TOWEL</t>
  </si>
  <si>
    <t>Bath Towel</t>
  </si>
  <si>
    <t>800gsm</t>
  </si>
  <si>
    <t>100% Cotton Bath Sheet Antimicrobial 2 Piece Set</t>
  </si>
  <si>
    <t>34x68" – 2PK</t>
  </si>
  <si>
    <t>PP001046;PF005089</t>
  </si>
  <si>
    <t>2</t>
  </si>
  <si>
    <t>Transitional</t>
  </si>
  <si>
    <t>5/8/2024</t>
  </si>
  <si>
    <t>7/17/2024</t>
  </si>
  <si>
    <t>MPS73-530</t>
  </si>
  <si>
    <t>Dark Green</t>
  </si>
  <si>
    <t>PP001046</t>
  </si>
  <si>
    <t>MPS73-528</t>
  </si>
  <si>
    <t>PF001492;PP001046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</si>
  <si>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</si>
  <si>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</si>
  <si>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</si>
  <si>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</si>
  <si>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</si>
  <si>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</si>
  <si>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</si>
  <si>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</si>
  <si>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Mid-Century</t>
  </si>
  <si>
    <t>5/16/2022</t>
  </si>
  <si>
    <t>CSNSTORES,KOHLDSN,OLLIIX,TGTDVS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</si>
  <si>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</si>
  <si>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</si>
  <si>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</si>
  <si>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</si>
  <si>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</si>
  <si>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</si>
  <si>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</si>
  <si>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</si>
  <si>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</si>
  <si>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40565603-000-000</t>
  </si>
  <si>
    <t>10/6/2022</t>
  </si>
  <si>
    <t>11/6/2023</t>
  </si>
  <si>
    <t>ID12-2116</t>
  </si>
  <si>
    <t>YOUT</t>
  </si>
  <si>
    <t xml:space="preserve">Intelligent Design </t>
  </si>
  <si>
    <t>DUVET&amp;DUVET SET</t>
  </si>
  <si>
    <t>Duvet&amp;Duvet Set</t>
  </si>
  <si>
    <t>Abby</t>
  </si>
  <si>
    <t>Lara</t>
  </si>
  <si>
    <t>Nicole</t>
  </si>
  <si>
    <t>Metallic Printed and Pintucked Duvet Cover Set</t>
  </si>
  <si>
    <t>Twin/Twin XL</t>
  </si>
  <si>
    <t>Aqua blue</t>
  </si>
  <si>
    <t>PP001741;PF005662</t>
  </si>
  <si>
    <t>3</t>
  </si>
  <si>
    <t>Abstract</t>
  </si>
  <si>
    <t>2/19/2022</t>
  </si>
  <si>
    <t>KOHLDSN,TGTDVS</t>
  </si>
  <si>
    <t>32471385-000-002</t>
  </si>
  <si>
    <t>3/2/2022</t>
  </si>
  <si>
    <t>8/31/2022</t>
  </si>
  <si>
    <t>ID12-2117</t>
  </si>
  <si>
    <t>CSNSTORES,JCPENNEY01,KOHLDSN,TGTDVS</t>
  </si>
  <si>
    <t>32471385-000-003</t>
  </si>
  <si>
    <t>8/29/2022</t>
  </si>
  <si>
    <t>MP95G-0286</t>
  </si>
  <si>
    <t>ART</t>
  </si>
  <si>
    <t>FRAMED GRAPHICS</t>
  </si>
  <si>
    <t>Framed Graphics</t>
  </si>
  <si>
    <t>Abstract Reveal</t>
  </si>
  <si>
    <t>Framed Glass and Gallery Matted Wall Art</t>
  </si>
  <si>
    <t>Neutral</t>
  </si>
  <si>
    <t>PP001665</t>
  </si>
  <si>
    <t>6/2/2021</t>
  </si>
  <si>
    <t>AMAZON,AMAZONDS,CSNSTORES,DESINC,JCPENNEY01,KIRKLANDDS,LAMPDS,MACY02,OLLIIX,TGTDVS,ZOLA,Zulily</t>
  </si>
  <si>
    <t>38501149-000-000</t>
  </si>
  <si>
    <t>7/19/2021</t>
  </si>
  <si>
    <t>11/26/2021</t>
  </si>
  <si>
    <t>MP95G-0313</t>
  </si>
  <si>
    <t>Abstract Talon</t>
  </si>
  <si>
    <t>Framed Glass and Single Matted Foiled Deckle Edge Wall Art</t>
  </si>
  <si>
    <t>4/24/2023</t>
  </si>
  <si>
    <t>AMAZON,OLLIIX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</si>
  <si>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</si>
  <si>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</si>
  <si>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</si>
  <si>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</si>
  <si>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</si>
  <si>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</si>
  <si>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</si>
  <si>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A</t>
  </si>
  <si>
    <t>PP001448;PF005015</t>
  </si>
  <si>
    <t>Landscape</t>
  </si>
  <si>
    <t>MT Bedford</t>
  </si>
  <si>
    <t>11/13/2019</t>
  </si>
  <si>
    <t>7/2/2024</t>
  </si>
  <si>
    <t>AMAZON,BLK01,CSNSTORES,DESINC,JCPENNEY01,KIRKLANDDS,KOHLDSN,OLLIIX,TGTDVS,ZOLA</t>
  </si>
  <si>
    <t>35147144-000-000</t>
  </si>
  <si>
    <t>11/21/2019</t>
  </si>
  <si>
    <t>4/21/2020</t>
  </si>
  <si>
    <t>MT95C-0023</t>
  </si>
  <si>
    <t>CANVAS</t>
  </si>
  <si>
    <t>Across The Plains 2</t>
  </si>
  <si>
    <t>Abstract Landscape Framed Canvas Wall Art</t>
  </si>
  <si>
    <t>PP001442;PF005009</t>
  </si>
  <si>
    <t>AMAZON,AMAZONDS,BLK01,DESINC,JCPENNEY01,KOHLDSN,LAMPDS,MACY02,OLLIIX,TGTDVS,ZOLA,Zulily</t>
  </si>
  <si>
    <t>35145499-000-000</t>
  </si>
  <si>
    <t>5/20/2020</t>
  </si>
  <si>
    <t>MP10-8392</t>
  </si>
  <si>
    <t>Comforter Mini Set</t>
  </si>
  <si>
    <t>Adair</t>
  </si>
  <si>
    <t>Indra</t>
  </si>
  <si>
    <t>Striped Comforter Set</t>
  </si>
  <si>
    <t>PP001945;PF006198</t>
  </si>
  <si>
    <t>Faux Fur</t>
  </si>
  <si>
    <t>Farm House</t>
  </si>
  <si>
    <t>Lodge/Cabin</t>
  </si>
  <si>
    <t>MP10-8393</t>
  </si>
  <si>
    <t>MP10-8394</t>
  </si>
  <si>
    <t>MP10-8389</t>
  </si>
  <si>
    <t>Brown</t>
  </si>
  <si>
    <t>PP001945;PF006197</t>
  </si>
  <si>
    <t>MP10-8390</t>
  </si>
  <si>
    <t>MP10-8391</t>
  </si>
  <si>
    <t>MP95F-0360</t>
  </si>
  <si>
    <t>DEC. MIRROR</t>
  </si>
  <si>
    <t>Decor Mirror</t>
  </si>
  <si>
    <t>Adaline</t>
  </si>
  <si>
    <t>Arched Metal Floral Wall Mirror</t>
  </si>
  <si>
    <t>29.75"H</t>
  </si>
  <si>
    <t>7/7/2024</t>
  </si>
  <si>
    <t>CC73-0014</t>
  </si>
  <si>
    <t>Croscill</t>
  </si>
  <si>
    <t>Adana</t>
  </si>
  <si>
    <t>Ultra Soft Turkish Towel</t>
  </si>
  <si>
    <t>Bath</t>
  </si>
  <si>
    <t>C+</t>
  </si>
  <si>
    <t>9/27/2022</t>
  </si>
  <si>
    <t>42102911-000-006</t>
  </si>
  <si>
    <t>8/11/2023</t>
  </si>
  <si>
    <t>10/3/2023</t>
  </si>
  <si>
    <t>CC73-0015</t>
  </si>
  <si>
    <t>Hand</t>
  </si>
  <si>
    <t>JCPENNEY01,KOHLDSN</t>
  </si>
  <si>
    <t>42102911-000-004</t>
  </si>
  <si>
    <t>11/28/2023</t>
  </si>
  <si>
    <t>CC73-0008</t>
  </si>
  <si>
    <t>DLCROSCILL,JCPENNEY01,MACY02,OLLIIX</t>
  </si>
  <si>
    <t>42102911-000-007</t>
  </si>
  <si>
    <t>10/27/2023</t>
  </si>
  <si>
    <t>CC73-0009</t>
  </si>
  <si>
    <t>BLK01,JCPENNEY01</t>
  </si>
  <si>
    <t>42102911-000-011</t>
  </si>
  <si>
    <t>11/7/2023</t>
  </si>
  <si>
    <t>CC73-0010</t>
  </si>
  <si>
    <t>Washcloth</t>
  </si>
  <si>
    <t>JCPENNEY01</t>
  </si>
  <si>
    <t>42102911-000-009</t>
  </si>
  <si>
    <t>CC72-0048</t>
  </si>
  <si>
    <t>BATH</t>
  </si>
  <si>
    <t>BATH RUG</t>
  </si>
  <si>
    <t>Bath Rug</t>
  </si>
  <si>
    <t>Premium Reversible Rug</t>
  </si>
  <si>
    <t>24x40"</t>
  </si>
  <si>
    <t>11/4/2022</t>
  </si>
  <si>
    <t>42057060-000-004</t>
  </si>
  <si>
    <t>8/1/2023</t>
  </si>
  <si>
    <t>9/1/2023</t>
  </si>
  <si>
    <t>CC72-0046</t>
  </si>
  <si>
    <t>42057060-000-007</t>
  </si>
  <si>
    <t>9/13/2023</t>
  </si>
  <si>
    <t>CC73-0005</t>
  </si>
  <si>
    <t>BLK01,JCPENNEY01,MACY02</t>
  </si>
  <si>
    <t>42102911-000-001</t>
  </si>
  <si>
    <t>CC73-0006</t>
  </si>
  <si>
    <t>CSNSTORES,JCPENNEY01,MACY02,OLLIIX</t>
  </si>
  <si>
    <t>42102911-000-008</t>
  </si>
  <si>
    <t>CC73-0007</t>
  </si>
  <si>
    <t>42102911-000-003</t>
  </si>
  <si>
    <t>3/1/2024</t>
  </si>
  <si>
    <t>CC72-0050</t>
  </si>
  <si>
    <t>42057060-000-001</t>
  </si>
  <si>
    <t>10/4/2023</t>
  </si>
  <si>
    <t>TN10-0437</t>
  </si>
  <si>
    <t>True North by Sleep Philosophy</t>
  </si>
  <si>
    <t>Addison</t>
  </si>
  <si>
    <t>Kate</t>
  </si>
  <si>
    <t>Pintuck Sherpa Down Alternative Comforter Set</t>
  </si>
  <si>
    <t>PP001516;PF005149</t>
  </si>
  <si>
    <t>Berber</t>
  </si>
  <si>
    <t>Cottage/Country</t>
  </si>
  <si>
    <t>8/24/2020</t>
  </si>
  <si>
    <t>ASHFURNDS,HDDS,JCPENNEY01,KOHLDSN,MACY02,OLLIIX,TGTDVS</t>
  </si>
  <si>
    <t>36610205-000-000</t>
  </si>
  <si>
    <t>9/9/2020</t>
  </si>
  <si>
    <t>TN10-0438</t>
  </si>
  <si>
    <t>ASHFURNDS,BLK01,CSNSTORES,MACY02,OLLIIX,TGTDVS</t>
  </si>
  <si>
    <t>36610205-000-001</t>
  </si>
  <si>
    <t>8/31/2020</t>
  </si>
  <si>
    <t>ID10-747</t>
  </si>
  <si>
    <t>Adel</t>
  </si>
  <si>
    <t>Kennedy</t>
  </si>
  <si>
    <t>Amanda</t>
  </si>
  <si>
    <t>Comforter Set</t>
  </si>
  <si>
    <t>Aqua</t>
  </si>
  <si>
    <t>PF001672;PP000366</t>
  </si>
  <si>
    <t>Geometric</t>
  </si>
  <si>
    <t>AMAZON,CSNSTORES,JCPENNEY01,KOHLDSN,MACY02,TGTDVS</t>
  </si>
  <si>
    <t>18412661-000-000</t>
  </si>
  <si>
    <t>3/28/2016</t>
  </si>
  <si>
    <t>ID40-1013</t>
  </si>
  <si>
    <t>WIN</t>
  </si>
  <si>
    <t>WINDOW PANEL</t>
  </si>
  <si>
    <t>Window Panel</t>
  </si>
  <si>
    <t>Printed Total Blackout Curtain Panel</t>
  </si>
  <si>
    <t>50x84"</t>
  </si>
  <si>
    <t>PF001672</t>
  </si>
  <si>
    <t>Total Blackout</t>
  </si>
  <si>
    <t>AMAZONDS,BEALLSDS,CSNSTORES,JCPENNEY01,KOHLDSN,OLLIIX,TGTDVS</t>
  </si>
  <si>
    <t>19635256-000-000</t>
  </si>
  <si>
    <t>9/28/2016</t>
  </si>
  <si>
    <t>11/8/2016</t>
  </si>
  <si>
    <t>MP122-0923</t>
  </si>
  <si>
    <t>FUR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</si>
  <si>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</si>
  <si>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</si>
  <si>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</si>
  <si>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</si>
  <si>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</si>
  <si>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</si>
  <si>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</si>
  <si>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</si>
  <si>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CSNSTORES,KOHLDSN,OLLIIX</t>
  </si>
  <si>
    <t>35543253-000-000</t>
  </si>
  <si>
    <t>4/1/2020</t>
  </si>
  <si>
    <t>CS10-0223</t>
  </si>
  <si>
    <t>Comfort Spaces</t>
  </si>
  <si>
    <t>Adele</t>
  </si>
  <si>
    <t>ARC</t>
  </si>
  <si>
    <t>AMAZON</t>
  </si>
  <si>
    <t>6/15/2017</t>
  </si>
  <si>
    <t>AMAZONDS,DESINC</t>
  </si>
  <si>
    <t>43970598-000-001</t>
  </si>
  <si>
    <t>5/15/2024</t>
  </si>
  <si>
    <t>CS10-0224</t>
  </si>
  <si>
    <t>90x90"</t>
  </si>
  <si>
    <t>6/14/2017</t>
  </si>
  <si>
    <t>DESINC</t>
  </si>
  <si>
    <t>43970598-000-000</t>
  </si>
  <si>
    <t>MP103-1234</t>
  </si>
  <si>
    <t>MOTION</t>
  </si>
  <si>
    <t>Swivel</t>
  </si>
  <si>
    <t>Jayne</t>
  </si>
  <si>
    <t>Findlay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</si>
  <si>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</si>
  <si>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</si>
  <si>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</si>
  <si>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</si>
  <si>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</si>
  <si>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</si>
  <si>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</si>
  <si>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II151-0114</t>
  </si>
  <si>
    <t>LGT-PENDANTS</t>
  </si>
  <si>
    <t>Pendants</t>
  </si>
  <si>
    <t>Farmhouse Metal Pendant</t>
  </si>
  <si>
    <t>White/Black</t>
  </si>
  <si>
    <t>1/21/2022</t>
  </si>
  <si>
    <t>39583461-000-000</t>
  </si>
  <si>
    <t>2/9/2022</t>
  </si>
  <si>
    <t>UH10-2527</t>
  </si>
  <si>
    <t>Urban Habitat</t>
  </si>
  <si>
    <t>Adrian</t>
  </si>
  <si>
    <t>Blaire</t>
  </si>
  <si>
    <t>Maren</t>
  </si>
  <si>
    <t>Botanical Cotton Comforter Set</t>
  </si>
  <si>
    <t>PF006182</t>
  </si>
  <si>
    <t>4/5/2024</t>
  </si>
  <si>
    <t>43843230-000-000</t>
  </si>
  <si>
    <t>UH12-2529</t>
  </si>
  <si>
    <t>Duvet Mini Set</t>
  </si>
  <si>
    <t>Botanical Cotton Duvet Cover Set</t>
  </si>
  <si>
    <t>43843676-000-001</t>
  </si>
  <si>
    <t>UH12-2530</t>
  </si>
  <si>
    <t>43843676-000-000</t>
  </si>
  <si>
    <t>MPE73-1024</t>
  </si>
  <si>
    <t>Adrien</t>
  </si>
  <si>
    <t>Remy</t>
  </si>
  <si>
    <t>Roman</t>
  </si>
  <si>
    <t>Super Soft Cotton Quick Dry Bath Towel 6 Piece Set</t>
  </si>
  <si>
    <t>6-Piece</t>
  </si>
  <si>
    <t>PP001058;PF005959</t>
  </si>
  <si>
    <t>7/4/2023</t>
  </si>
  <si>
    <t>CSNSTORES,KOHLDSN,MACY02,OLLIIX,TGTDVS,ZOLA</t>
  </si>
  <si>
    <t>25423983-000-011</t>
  </si>
  <si>
    <t>3/6/2024</t>
  </si>
  <si>
    <t>MPE73-664</t>
  </si>
  <si>
    <t>Coral</t>
  </si>
  <si>
    <t>10/18/2017</t>
  </si>
  <si>
    <t>7/16/2024</t>
  </si>
  <si>
    <t>AMAZON,BEALLSDS,BLK01,CASTLEGATE,CSNSTORES,HDDS,JCPENNEY01,KOHLDSN,MACY02,OLLIIX,TGTDVS,WALMARTDS</t>
  </si>
  <si>
    <t>25423983-000-002</t>
  </si>
  <si>
    <t>12/7/2017</t>
  </si>
  <si>
    <t>1/25/2018</t>
  </si>
  <si>
    <t>MPE73-665</t>
  </si>
  <si>
    <t>Dark Gray</t>
  </si>
  <si>
    <t>AMAZON,BIGLOTSDS,BLK01,CSNSTORES,JCPENNEY01,KOHLDSN,MACY02,OLLIIX,TGTDVS</t>
  </si>
  <si>
    <t>25423983-000-003</t>
  </si>
  <si>
    <t>1/16/2018</t>
  </si>
  <si>
    <t>MPE73-668</t>
  </si>
  <si>
    <t>AMAZON,BEALLSDS,BLK01,CSNSTORES,HDDS,JCPENNEY01,KOHLDSN,MACY02,TGTDVS,WALMARTDS</t>
  </si>
  <si>
    <t>25423983-000-006</t>
  </si>
  <si>
    <t>3/12/2018</t>
  </si>
  <si>
    <t>MPE73-662</t>
  </si>
  <si>
    <t>AMAZON,AMAZONDS,BLK01,CSNSTORES,JCPENNEY01,KOHLDSN,MACY02,OLLIIX,TGTDVS</t>
  </si>
  <si>
    <t>25423983-000-000</t>
  </si>
  <si>
    <t>3/2/2018</t>
  </si>
  <si>
    <t>MPE73-788</t>
  </si>
  <si>
    <t>PP001058</t>
  </si>
  <si>
    <t>1/24/2019</t>
  </si>
  <si>
    <t>AMAZON,BIGLOTSDS,BLK01,CSNSTORES,HDDS,JCPENNEY01,KOHLDSN,MACY02,OLLIIX,TGTDVS,Zulily</t>
  </si>
  <si>
    <t>25423983-000-007</t>
  </si>
  <si>
    <t>1/31/2019</t>
  </si>
  <si>
    <t>2/6/2019</t>
  </si>
  <si>
    <t>5DS73-0232</t>
  </si>
  <si>
    <t>510 Design</t>
  </si>
  <si>
    <t>Aegean</t>
  </si>
  <si>
    <t>100% Turkish Cotton 6 Piece Towel Set</t>
  </si>
  <si>
    <t>PP001568;PF005264</t>
  </si>
  <si>
    <t>11/28/2020</t>
  </si>
  <si>
    <t>BLK01,CSNSTORES,FINGERHUTDS,JCPENNEY01,KOHLDSN,MACY02,NRTPORT,OLLIIX,TGTDVS,WALMARTDS</t>
  </si>
  <si>
    <t>37124868-000-001</t>
  </si>
  <si>
    <t>1/21/2021</t>
  </si>
  <si>
    <t>MT153-0078</t>
  </si>
  <si>
    <t>LGT-TABLE LAMPS</t>
  </si>
  <si>
    <t>Table Task Lamps</t>
  </si>
  <si>
    <t>Aelorian</t>
  </si>
  <si>
    <t>Table Lamp 28"H</t>
  </si>
  <si>
    <t>Antique Brass</t>
  </si>
  <si>
    <t>4/10/2024</t>
  </si>
  <si>
    <t>TGTDVS</t>
  </si>
  <si>
    <t>Ready To Offer</t>
  </si>
  <si>
    <t>MP103-1106</t>
  </si>
  <si>
    <t>Recliner</t>
  </si>
  <si>
    <t>Aidan</t>
  </si>
  <si>
    <t>Jetta</t>
  </si>
  <si>
    <t>Zak</t>
  </si>
  <si>
    <t>4/26/2021</t>
  </si>
  <si>
    <t>6/25/2024</t>
  </si>
  <si>
    <t>AMERSIGNDS,ASHFURNDS,BLK01,CSNSTORES,KOHLDSN,LAMPDS,MACY02F,OLLIIX,TGTDVS</t>
  </si>
  <si>
    <t>26427607-000-002</t>
  </si>
  <si>
    <t>4/27/2021</t>
  </si>
  <si>
    <t>4/29/2021</t>
  </si>
  <si>
    <t>II153-0156</t>
  </si>
  <si>
    <t>Alarid</t>
  </si>
  <si>
    <t>16" Ceramic Table Lamp</t>
  </si>
  <si>
    <t>Cream</t>
  </si>
  <si>
    <t>6/19/2024</t>
  </si>
  <si>
    <t>MP30-1841</t>
  </si>
  <si>
    <t>NORMAL PILLOW</t>
  </si>
  <si>
    <t>Other Pillows</t>
  </si>
  <si>
    <t>Alban</t>
  </si>
  <si>
    <t>Reiss</t>
  </si>
  <si>
    <t>Hayes</t>
  </si>
  <si>
    <t>Stud Trim Microsuede Square Pillow</t>
  </si>
  <si>
    <t>20x20"</t>
  </si>
  <si>
    <t>Tan</t>
  </si>
  <si>
    <t>PF003359</t>
  </si>
  <si>
    <t>17702996-000-002</t>
  </si>
  <si>
    <t>11/24/2015</t>
  </si>
  <si>
    <t>CS10-1391</t>
  </si>
  <si>
    <t>Albany</t>
  </si>
  <si>
    <t>Cotton Jacquard Comforter Set</t>
  </si>
  <si>
    <t>4/14/2021</t>
  </si>
  <si>
    <t>43962798-000-000</t>
  </si>
  <si>
    <t>5/14/2024</t>
  </si>
  <si>
    <t>ID40-555</t>
  </si>
  <si>
    <t>Panel Pair</t>
  </si>
  <si>
    <t>Alex</t>
  </si>
  <si>
    <t>Rayna</t>
  </si>
  <si>
    <t>Elaine</t>
  </si>
  <si>
    <t>Chevron Printed Room Darkening Grommet Top Panel Pair</t>
  </si>
  <si>
    <t>42x84"</t>
  </si>
  <si>
    <t>PF003720;PP000465</t>
  </si>
  <si>
    <t>AMAZON,BLK01,JCPENNEY01,MACY02,TGTDVS</t>
  </si>
  <si>
    <t>18539534-000-002</t>
  </si>
  <si>
    <t>5/27/2016</t>
  </si>
  <si>
    <t>ID40-554</t>
  </si>
  <si>
    <t>42x63"</t>
  </si>
  <si>
    <t>Yellow</t>
  </si>
  <si>
    <t>PF003719;PP000465</t>
  </si>
  <si>
    <t>AMERSIGNDS,CSNSTORES,JCPENNEY01,KOHLDSN,TGTDVS</t>
  </si>
  <si>
    <t>18539534-000-001</t>
  </si>
  <si>
    <t>5/6/2016</t>
  </si>
  <si>
    <t>ID40-553</t>
  </si>
  <si>
    <t>AMAZON,AMERSIGNDS,CSNSTORES,HDDS,HSNDS,JCPENNEY01,KOHLDSN,MACY02,NRTPORT,TGTDVS</t>
  </si>
  <si>
    <t>18539534-000-000</t>
  </si>
  <si>
    <t>5/16/2016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</si>
  <si>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</si>
  <si>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</si>
  <si>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</si>
  <si>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</si>
  <si>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</si>
  <si>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</si>
  <si>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</si>
  <si>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MPE10-1053</t>
  </si>
  <si>
    <t>ADUL</t>
  </si>
  <si>
    <t>BIAB</t>
  </si>
  <si>
    <t>Jeanie</t>
  </si>
  <si>
    <t>Karissa</t>
  </si>
  <si>
    <t>Comforter Set with Bed Sheets</t>
  </si>
  <si>
    <t>PP001856;PF006281</t>
  </si>
  <si>
    <t>Floral</t>
  </si>
  <si>
    <t>5/9/2024</t>
  </si>
  <si>
    <t>MPE10-1054</t>
  </si>
  <si>
    <t>MPE10-1055</t>
  </si>
  <si>
    <t>9</t>
  </si>
  <si>
    <t>MPE10-1056</t>
  </si>
  <si>
    <t>MPE10-1057</t>
  </si>
  <si>
    <t>TN10-0347</t>
  </si>
  <si>
    <t>Down Comforter Filler</t>
  </si>
  <si>
    <t>All Season Warmth</t>
  </si>
  <si>
    <t>Oversized 100% Cotton Down Comforter</t>
  </si>
  <si>
    <t>PP000931;PF004345</t>
  </si>
  <si>
    <t>Classic</t>
  </si>
  <si>
    <t>7/17/2018</t>
  </si>
  <si>
    <t>CSNSTORES,MACY02</t>
  </si>
  <si>
    <t>28159096-000-000</t>
  </si>
  <si>
    <t>7/12/2018</t>
  </si>
  <si>
    <t>3/25/2019</t>
  </si>
  <si>
    <t>LCN10-0022</t>
  </si>
  <si>
    <t>Clean Spaces</t>
  </si>
  <si>
    <t>Down Alternative Comforter Filler</t>
  </si>
  <si>
    <t>Allergen Barrier</t>
  </si>
  <si>
    <t>Anti-Microbial Down Alternative Comforter</t>
  </si>
  <si>
    <t>PP001578;PF005298</t>
  </si>
  <si>
    <t>2/10/2021</t>
  </si>
  <si>
    <t>JCPENNEY01,KIRKLANDDS,KOHLDSN,MACY02,OLLIIX,TGTDVS,ZOLA</t>
  </si>
  <si>
    <t>37397286-000-002</t>
  </si>
  <si>
    <t>3/20/2021</t>
  </si>
  <si>
    <t>MZ12-371</t>
  </si>
  <si>
    <t>Mi Zone</t>
  </si>
  <si>
    <t>Allison</t>
  </si>
  <si>
    <t>Mackenzie</t>
  </si>
  <si>
    <t>Kelly</t>
  </si>
  <si>
    <t>Floral Duvet Cover Set</t>
  </si>
  <si>
    <t>PF000013</t>
  </si>
  <si>
    <t>8/30/2024</t>
  </si>
  <si>
    <t>AMAZON,AMAZONDS,ASHFURNDS,CSNSTORES,MACY02,TGTDVS</t>
  </si>
  <si>
    <t>17632896-000-000</t>
  </si>
  <si>
    <t>9/17/2015</t>
  </si>
  <si>
    <t>PET63PC6183-MD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</si>
  <si>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</si>
  <si>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</si>
  <si>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</si>
  <si>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</si>
  <si>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</si>
  <si>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</si>
  <si>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</si>
  <si>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</si>
  <si>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CSNSTORES,KOHLDSN</t>
  </si>
  <si>
    <t>43809389-000-007</t>
  </si>
  <si>
    <t>4/12/2024</t>
  </si>
  <si>
    <t>PET63PC6183-LG</t>
  </si>
  <si>
    <t>Large All Foam Pet Couch</t>
  </si>
  <si>
    <t>L</t>
  </si>
  <si>
    <t>43809389-000-005</t>
  </si>
  <si>
    <t>PET63PC6183-XL</t>
  </si>
  <si>
    <t>XLarge All Foam Pet Couch</t>
  </si>
  <si>
    <t>XL</t>
  </si>
  <si>
    <t>43809389-000-003</t>
  </si>
  <si>
    <t>PET63PC6184-MD</t>
  </si>
  <si>
    <t>43809389-000-006</t>
  </si>
  <si>
    <t>PET63PC6184-LG</t>
  </si>
  <si>
    <t>43809389-000-008</t>
  </si>
  <si>
    <t>PET63PC6184-XL</t>
  </si>
  <si>
    <t>43809389-000-004</t>
  </si>
  <si>
    <t>PET63PC6185-MD</t>
  </si>
  <si>
    <t>43809389-000-000</t>
  </si>
  <si>
    <t>PET63PC6185-LG</t>
  </si>
  <si>
    <t>43809389-000-002</t>
  </si>
  <si>
    <t>PET63PC6185-XL</t>
  </si>
  <si>
    <t>43809389-000-001</t>
  </si>
  <si>
    <t>II12-784</t>
  </si>
  <si>
    <t>Alpine</t>
  </si>
  <si>
    <t>3 Piece Duvet Cover Mini Set</t>
  </si>
  <si>
    <t>PF001637;PP000371</t>
  </si>
  <si>
    <t>Ikat</t>
  </si>
  <si>
    <t>Casual|Modern/Contemporary</t>
  </si>
  <si>
    <t>AMAZON,CSNSTORES,KOHLDSN,TGTDVS,ZOLA</t>
  </si>
  <si>
    <t>19427077-000-001</t>
  </si>
  <si>
    <t>9/7/2016</t>
  </si>
  <si>
    <t>11/22/2016</t>
  </si>
  <si>
    <t>II10-931</t>
  </si>
  <si>
    <t>Cotton Comforter Mini Set</t>
  </si>
  <si>
    <t>PP000342</t>
  </si>
  <si>
    <t>AMAZONDS,CSNSTORES,KOHLDSN,MACY02,OLLIIX,TGTDVS</t>
  </si>
  <si>
    <t>25288471-000-000</t>
  </si>
  <si>
    <t>12/11/2017</t>
  </si>
  <si>
    <t>II10-785</t>
  </si>
  <si>
    <t>3 Piece Comforter Mini Set</t>
  </si>
  <si>
    <t>B+</t>
  </si>
  <si>
    <t>PF001638;PP000371</t>
  </si>
  <si>
    <t>AMAZON,AMAZONDS,CSNSTORES,JCPENNEY01,KOHLDSN,MACY02,OLLIIX,TGTDVS</t>
  </si>
  <si>
    <t>19427076-000-000</t>
  </si>
  <si>
    <t>11/7/2016</t>
  </si>
  <si>
    <t>II12-787</t>
  </si>
  <si>
    <t>AMAZON,AMAZONDS,CSNSTORES,KOHLDSN,MACY02,TGTDVS</t>
  </si>
  <si>
    <t>19427075-000-000</t>
  </si>
  <si>
    <t>1/18/2017</t>
  </si>
  <si>
    <t>II12-788</t>
  </si>
  <si>
    <t>AMAZON,CSNSTORES,KOHLDSN,MACY02,TGTDVS</t>
  </si>
  <si>
    <t>19427075-000-001</t>
  </si>
  <si>
    <t>12/8/2016</t>
  </si>
  <si>
    <t>MPS115-0261B</t>
  </si>
  <si>
    <t>BED</t>
  </si>
  <si>
    <t>Alston</t>
  </si>
  <si>
    <t>Rails:81"L X 3"W X 2"T; Support Legs:2"W X 2"D" X 8"H</t>
  </si>
  <si>
    <t>WR10-3105</t>
  </si>
  <si>
    <t>Woolrich</t>
  </si>
  <si>
    <t>Alton</t>
  </si>
  <si>
    <t>Plush to Sherpa Down Alternative Comforter Set</t>
  </si>
  <si>
    <t>Brown/Black</t>
  </si>
  <si>
    <t>PP001363;PF005165</t>
  </si>
  <si>
    <t>Plaid</t>
  </si>
  <si>
    <t>7/4/2024</t>
  </si>
  <si>
    <t>OLLIIX</t>
  </si>
  <si>
    <t>23298030-000-021</t>
  </si>
  <si>
    <t>9/8/2020</t>
  </si>
  <si>
    <t>WR10-3106</t>
  </si>
  <si>
    <t>23298030-000-022</t>
  </si>
  <si>
    <t>9/15/2020</t>
  </si>
  <si>
    <t>WR10-2887</t>
  </si>
  <si>
    <t>Charcoal/Ivory</t>
  </si>
  <si>
    <t>PP001363;PF004860</t>
  </si>
  <si>
    <t>7/13/2024</t>
  </si>
  <si>
    <t>23298030-000-013</t>
  </si>
  <si>
    <t>WR10-2888</t>
  </si>
  <si>
    <t>10/18/2019</t>
  </si>
  <si>
    <t>23298030-000-012</t>
  </si>
  <si>
    <t>11/4/2019</t>
  </si>
  <si>
    <t>WR10-3886</t>
  </si>
  <si>
    <t>Green/Ivory</t>
  </si>
  <si>
    <t>PP001363;PF005807</t>
  </si>
  <si>
    <t>11/10/2022</t>
  </si>
  <si>
    <t>23298030-000-030</t>
  </si>
  <si>
    <t>11/15/2022</t>
  </si>
  <si>
    <t>11/17/2022</t>
  </si>
  <si>
    <t>WR10-3887</t>
  </si>
  <si>
    <t>23298030-000-031</t>
  </si>
  <si>
    <t>WR10-2062</t>
  </si>
  <si>
    <t>Grey/Ivory</t>
  </si>
  <si>
    <t>A+</t>
  </si>
  <si>
    <t>PF002182</t>
  </si>
  <si>
    <t>8/8/2017</t>
  </si>
  <si>
    <t>23298030-000-001</t>
  </si>
  <si>
    <t>7/27/2017</t>
  </si>
  <si>
    <t>8/14/2017</t>
  </si>
  <si>
    <t>WR10-2414</t>
  </si>
  <si>
    <t>Navy/Ivory</t>
  </si>
  <si>
    <t>10/31/2018</t>
  </si>
  <si>
    <t>23298030-000-008</t>
  </si>
  <si>
    <t>11/6/2018</t>
  </si>
  <si>
    <t>11/8/2018</t>
  </si>
  <si>
    <t>WR10-2415</t>
  </si>
  <si>
    <t>23298030-000-007</t>
  </si>
  <si>
    <t>11/12/2018</t>
  </si>
  <si>
    <t>WR10-3102</t>
  </si>
  <si>
    <t>Red Plaid</t>
  </si>
  <si>
    <t>PP001363;PF005164</t>
  </si>
  <si>
    <t>23298030-000-026</t>
  </si>
  <si>
    <t>9/2/2020</t>
  </si>
  <si>
    <t>WR10-3103</t>
  </si>
  <si>
    <t>23298030-000-023</t>
  </si>
  <si>
    <t>10/23/2020</t>
  </si>
  <si>
    <t>WR10-2064</t>
  </si>
  <si>
    <t>Red/Black</t>
  </si>
  <si>
    <t>PF002181</t>
  </si>
  <si>
    <t>KOHLDSN,MACY02</t>
  </si>
  <si>
    <t>23298030-000-003</t>
  </si>
  <si>
    <t>Tier 4</t>
  </si>
  <si>
    <t>8/15/2017</t>
  </si>
  <si>
    <t>WR10-3100</t>
  </si>
  <si>
    <t>Red/Black Buffalo Check</t>
  </si>
  <si>
    <t>PP001363;PF005152</t>
  </si>
  <si>
    <t>8/4/2020</t>
  </si>
  <si>
    <t>23298030-000-020</t>
  </si>
  <si>
    <t>8/10/2020</t>
  </si>
  <si>
    <t>WR10-3326</t>
  </si>
  <si>
    <t>Tan Plaid</t>
  </si>
  <si>
    <t>PP001363;PF005525</t>
  </si>
  <si>
    <t>8/27/2021</t>
  </si>
  <si>
    <t>23298030-000-029</t>
  </si>
  <si>
    <t>9/1/2021</t>
  </si>
  <si>
    <t>9/7/2021</t>
  </si>
  <si>
    <t>WR10-3327</t>
  </si>
  <si>
    <t>23298030-000-027</t>
  </si>
  <si>
    <t>9/2/2021</t>
  </si>
  <si>
    <t>WR10-3328</t>
  </si>
  <si>
    <t>8/26/2021</t>
  </si>
  <si>
    <t>23298030-000-028</t>
  </si>
  <si>
    <t>9/13/2021</t>
  </si>
  <si>
    <t>WR10-2417</t>
  </si>
  <si>
    <t>Taupe/Ivory</t>
  </si>
  <si>
    <t>23298030-000-009</t>
  </si>
  <si>
    <t>11/26/2018</t>
  </si>
  <si>
    <t>WR10-2418</t>
  </si>
  <si>
    <t>23298030-000-006</t>
  </si>
  <si>
    <t>MP35-7595</t>
  </si>
  <si>
    <t>RUG</t>
  </si>
  <si>
    <t>Renae</t>
  </si>
  <si>
    <t>Allie</t>
  </si>
  <si>
    <t>Black &amp; Ivory Modern Area Rug</t>
  </si>
  <si>
    <t>5x7'</t>
  </si>
  <si>
    <t>Black/Ivory</t>
  </si>
  <si>
    <t>7/10/2021</t>
  </si>
  <si>
    <t>BIGLOTSDS,JCPENNEY01,OLLIIX</t>
  </si>
  <si>
    <t>38658432-000-000</t>
  </si>
  <si>
    <t>8/9/2021</t>
  </si>
  <si>
    <t>8/24/2023</t>
  </si>
  <si>
    <t>MP35-7596</t>
  </si>
  <si>
    <t>6x9'</t>
  </si>
  <si>
    <t>AMAZON,JCPENNEY01,NRTPORT,OLLIIX</t>
  </si>
  <si>
    <t>38658432-000-002</t>
  </si>
  <si>
    <t>9/23/2021</t>
  </si>
  <si>
    <t>MP10-7684</t>
  </si>
  <si>
    <t>Amara</t>
  </si>
  <si>
    <t>Eve</t>
  </si>
  <si>
    <t>Faux Fur Comforter Set</t>
  </si>
  <si>
    <t>PP001673;PF005564</t>
  </si>
  <si>
    <t>10/28/2021</t>
  </si>
  <si>
    <t>39048940-000-001</t>
  </si>
  <si>
    <t>10/29/2021</t>
  </si>
  <si>
    <t>12/21/2021</t>
  </si>
  <si>
    <t>MP10-7687</t>
  </si>
  <si>
    <t>PP001673;PF005565</t>
  </si>
  <si>
    <t>39048940-000-002</t>
  </si>
  <si>
    <t>1/20/2022</t>
  </si>
  <si>
    <t>MT150-0066</t>
  </si>
  <si>
    <t>Amelia</t>
  </si>
  <si>
    <t>8-Light Traditional Metal Chandelier</t>
  </si>
  <si>
    <t>Glossy White</t>
  </si>
  <si>
    <t>11/18/2022</t>
  </si>
  <si>
    <t>MACY02</t>
  </si>
  <si>
    <t>40806884-000-000</t>
  </si>
  <si>
    <t>11/23/2022</t>
  </si>
  <si>
    <t>3/27/2023</t>
  </si>
  <si>
    <t>MP10-8377</t>
  </si>
  <si>
    <t>Willow</t>
  </si>
  <si>
    <t>Clara</t>
  </si>
  <si>
    <t>5 Piece Textured Jacquard Stripe Comforter Set with Throw Pillows</t>
  </si>
  <si>
    <t>PP001932;PF006164</t>
  </si>
  <si>
    <t>Polyester</t>
  </si>
  <si>
    <t>Pieced</t>
  </si>
  <si>
    <t>4/9/2024</t>
  </si>
  <si>
    <t>43800401-000-001</t>
  </si>
  <si>
    <t>4/8/2024</t>
  </si>
  <si>
    <t>4/18/2024</t>
  </si>
  <si>
    <t>SS40-0197</t>
  </si>
  <si>
    <t>SunSmart</t>
  </si>
  <si>
    <t>Loraine</t>
  </si>
  <si>
    <t>Enid</t>
  </si>
  <si>
    <t>Knitted Jacquard Paisley Total Blackout Grommet Top Curtain Panel</t>
  </si>
  <si>
    <t>PP001613;PF005413</t>
  </si>
  <si>
    <t>Damask</t>
  </si>
  <si>
    <t>AMAZONDS,CSNSTORES,DESINC,HDDS,JCPENNEY01,KOHLDSN,MACY02,OLLIIX,TGTDVS</t>
  </si>
  <si>
    <t>37896246-000-007</t>
  </si>
  <si>
    <t>4/23/2021</t>
  </si>
  <si>
    <t>4/19/2022</t>
  </si>
  <si>
    <t>SS40-0208</t>
  </si>
  <si>
    <t>50x108"</t>
  </si>
  <si>
    <t>PP001613;PF005416</t>
  </si>
  <si>
    <t>AMAZONDS,CSNSTORES,JCPENNEY01,KOHLDSN</t>
  </si>
  <si>
    <t>37896246-000-008</t>
  </si>
  <si>
    <t>4/25/2021</t>
  </si>
  <si>
    <t>6/18/2021</t>
  </si>
  <si>
    <t>SS40-0202</t>
  </si>
  <si>
    <t>PP001613;PF005414</t>
  </si>
  <si>
    <t>10/2/2024</t>
  </si>
  <si>
    <t>CSNSTORES,HDDS,JCPENNEY01,KOHLDSN,MACY02,TGTDVS</t>
  </si>
  <si>
    <t>37896246-000-010</t>
  </si>
  <si>
    <t>BR9144409622-23</t>
  </si>
  <si>
    <t>COVERLET&amp;BEDSPR</t>
  </si>
  <si>
    <t>Coverlet Mini Set</t>
  </si>
  <si>
    <t>Ames</t>
  </si>
  <si>
    <t>3 Piece Charmeuse Coverlet set</t>
  </si>
  <si>
    <t>PP001821;PF005855</t>
  </si>
  <si>
    <t>12/10/2021</t>
  </si>
  <si>
    <t>BLK01,CSNSTORES,JCPENNEY01,OLLIIX</t>
  </si>
  <si>
    <t>40070449-000-001</t>
  </si>
  <si>
    <t>6/10/2022</t>
  </si>
  <si>
    <t>BR9144409622-21</t>
  </si>
  <si>
    <t>PP001821;PF005854</t>
  </si>
  <si>
    <t>1/14/2022</t>
  </si>
  <si>
    <t>CSNSTORES,JCPENNEY01,KOHLDSN,MACY02,OLLIIX,TGTDVS</t>
  </si>
  <si>
    <t>40070449-000-000</t>
  </si>
  <si>
    <t>BR9144409622-22</t>
  </si>
  <si>
    <t>BLK01,CSNSTORES,JCPENNEY01,KOHLDSN,MACY02,OLLIIX,TGTDVS</t>
  </si>
  <si>
    <t>40070449-000-002</t>
  </si>
  <si>
    <t>MP10-044</t>
  </si>
  <si>
    <t>Amherst</t>
  </si>
  <si>
    <t>Eastridge</t>
  </si>
  <si>
    <t>Salem</t>
  </si>
  <si>
    <t>7 Piece Comforter Set</t>
  </si>
  <si>
    <t>PP000373</t>
  </si>
  <si>
    <t>Color Block</t>
  </si>
  <si>
    <t>Modern/Contemporary|Casual</t>
  </si>
  <si>
    <t>AMAZON,AMAZONDS,BLK01,CSNSTORES,JCPENNEY01,KOHLDSN,MACY02,TGTDVS</t>
  </si>
  <si>
    <t>13267098-000-002</t>
  </si>
  <si>
    <t>12/16/2015</t>
  </si>
  <si>
    <t>MP10-2588</t>
  </si>
  <si>
    <t>Green</t>
  </si>
  <si>
    <t>AMAZON,AMAZONDS,BLK01,CSNSTORES,KOHLDSN,MACY02,TGTDVS</t>
  </si>
  <si>
    <t>16159582-000-003</t>
  </si>
  <si>
    <t>5/31/2016</t>
  </si>
  <si>
    <t>MP10-123</t>
  </si>
  <si>
    <t>Natural</t>
  </si>
  <si>
    <t>PF002412;PP000373</t>
  </si>
  <si>
    <t>AMAZON,CSNSTORES,FINGERHUTDS,JCPENNEY01,KOHLDSN,MACY02,NRTPORT,OLLIIX,TGTDVS</t>
  </si>
  <si>
    <t>13652244-000-002</t>
  </si>
  <si>
    <t>MP72-6205</t>
  </si>
  <si>
    <t>Cotton Tufted Bath Rug</t>
  </si>
  <si>
    <t>27x45"</t>
  </si>
  <si>
    <t>PP000524;PF004654</t>
  </si>
  <si>
    <t>4/9/2019</t>
  </si>
  <si>
    <t>AMAZON,AMAZONDS,ASHFURNDS,CSNSTORES,DESINC,JCPENNEY01,KIRKLANDDS,KOHLDSN,MACY02,TGTDVS</t>
  </si>
  <si>
    <t>16629267-000-007</t>
  </si>
  <si>
    <t>5/23/2019</t>
  </si>
  <si>
    <t>MP10-128</t>
  </si>
  <si>
    <t>PF002413;PP000373</t>
  </si>
  <si>
    <t>AMAZON,AMAZONDS,CSNSTORES,KOHLDSN,MACY02,TGTDVS,WALMARTDS</t>
  </si>
  <si>
    <t>13652266-000-002</t>
  </si>
  <si>
    <t>MP10-039</t>
  </si>
  <si>
    <t>Red</t>
  </si>
  <si>
    <t>AMAZON,BLK01,CSNSTORES,DESINC,MACY02,TGTDVS</t>
  </si>
  <si>
    <t>13267078-000-002</t>
  </si>
  <si>
    <t>1/7/2015</t>
  </si>
  <si>
    <t>MP40-2224</t>
  </si>
  <si>
    <t>Polyoni Pintuck Curtain Panel</t>
  </si>
  <si>
    <t>PF001362;PP000524</t>
  </si>
  <si>
    <t>Light Filtering</t>
  </si>
  <si>
    <t>AMAZON,AMAZONDS,ASHFURNDS,BLK01,CASTLEGATE,CSNSTORES,JCPENNEY01,KOHLDSN,MACY02</t>
  </si>
  <si>
    <t>17924347-000-001</t>
  </si>
  <si>
    <t>12/3/2015</t>
  </si>
  <si>
    <t>MP41-2230</t>
  </si>
  <si>
    <t>VALANCE</t>
  </si>
  <si>
    <t>Valance</t>
  </si>
  <si>
    <t>Polyoni Pintuck Window Valance</t>
  </si>
  <si>
    <t>50x18"</t>
  </si>
  <si>
    <t>AMAZON,ASHFURNDS,CSNSTORES,DESINC,JCPENNEY01,KOHLDSN,TGTDVS,WALMARTDS</t>
  </si>
  <si>
    <t>17924350-000-001</t>
  </si>
  <si>
    <t>12/11/2015</t>
  </si>
  <si>
    <t>MP70-221</t>
  </si>
  <si>
    <t>SHOWER CURTAIN</t>
  </si>
  <si>
    <t>Shower Curtain</t>
  </si>
  <si>
    <t>Faux Silk Shower Curtain</t>
  </si>
  <si>
    <t>72x72"</t>
  </si>
  <si>
    <t>9/4/2024</t>
  </si>
  <si>
    <t>AMAZON,CSNSTORES,DESINC,HDDS,JCPENNEY01,KOHLDSN,MACY02,OLLIIX,TGTDVS</t>
  </si>
  <si>
    <t>14941994-000-000</t>
  </si>
  <si>
    <t>2/12/2016</t>
  </si>
  <si>
    <t>MP41-4375</t>
  </si>
  <si>
    <t>Polyoni Pintuck Valance</t>
  </si>
  <si>
    <t>PF002416</t>
  </si>
  <si>
    <t>6/3/2017</t>
  </si>
  <si>
    <t>18539537-000-003</t>
  </si>
  <si>
    <t>6/6/2017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</si>
  <si>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</si>
  <si>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</si>
  <si>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</si>
  <si>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</si>
  <si>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</si>
  <si>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</si>
  <si>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</si>
  <si>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</si>
  <si>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</si>
  <si>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9/9/2024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</si>
  <si>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</si>
  <si>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</si>
  <si>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</si>
  <si>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</si>
  <si>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</si>
  <si>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</si>
  <si>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</si>
  <si>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</si>
  <si>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</si>
  <si>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</si>
  <si>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</si>
  <si>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</si>
  <si>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</si>
  <si>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</si>
  <si>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</si>
  <si>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MP40-8297</t>
  </si>
  <si>
    <t>Anaheim</t>
  </si>
  <si>
    <t>Salford</t>
  </si>
  <si>
    <t>Preston</t>
  </si>
  <si>
    <t>Plaid Faux Leather Tab Top Curtain Panel with Fleece Lining</t>
  </si>
  <si>
    <t>PP001397;PF006073</t>
  </si>
  <si>
    <t>Mid-Century|Lodge/Cabin</t>
  </si>
  <si>
    <t>10/12/2023</t>
  </si>
  <si>
    <t>8/14/2024</t>
  </si>
  <si>
    <t>AMAZON,AMAZONDS,CSNSTORES,KOHLDSN</t>
  </si>
  <si>
    <t>35137209-000-003</t>
  </si>
  <si>
    <t>10/24/2023</t>
  </si>
  <si>
    <t>MP40-8296</t>
  </si>
  <si>
    <t>Plaid Rod Pocket and Back Tab Curtain Panel with Fleece Lining</t>
  </si>
  <si>
    <t>50x95"</t>
  </si>
  <si>
    <t>9/22/2023</t>
  </si>
  <si>
    <t>AMAZON,CSNSTORES,DESINC,KOHLDSN,OLLIIX</t>
  </si>
  <si>
    <t>35137210-000-008</t>
  </si>
  <si>
    <t>MP40-8274</t>
  </si>
  <si>
    <t>PP001397;PF006072</t>
  </si>
  <si>
    <t>35137210-000-007</t>
  </si>
  <si>
    <t>12/8/2023</t>
  </si>
  <si>
    <t>MP40-8276</t>
  </si>
  <si>
    <t>35137209-000-004</t>
  </si>
  <si>
    <t>MP40-8275</t>
  </si>
  <si>
    <t>35137210-000-009</t>
  </si>
  <si>
    <t>10/31/2023</t>
  </si>
  <si>
    <t>MP40-6761</t>
  </si>
  <si>
    <t>PP001397;PF004933</t>
  </si>
  <si>
    <t>10/31/2019</t>
  </si>
  <si>
    <t>AMAZON,AMAZONDS,BLK01,CSNSTORES,KOHLDSN,OLLIIX,TGTDVS</t>
  </si>
  <si>
    <t>35137209-000-001</t>
  </si>
  <si>
    <t>11/20/2019</t>
  </si>
  <si>
    <t>1/23/2020</t>
  </si>
  <si>
    <t>CC51-0024</t>
  </si>
  <si>
    <t>Andaz</t>
  </si>
  <si>
    <t>Solid Cotton Blanket</t>
  </si>
  <si>
    <t>11/25/2022</t>
  </si>
  <si>
    <t>42031427-000-000</t>
  </si>
  <si>
    <t>7/26/2023</t>
  </si>
  <si>
    <t>8/31/2023</t>
  </si>
  <si>
    <t>CCA12-0001</t>
  </si>
  <si>
    <t>Croscill Casual</t>
  </si>
  <si>
    <t>Anders</t>
  </si>
  <si>
    <t>3 Piece Duvet Set</t>
  </si>
  <si>
    <t>10/14/2022</t>
  </si>
  <si>
    <t>MACY02,OLLIIX</t>
  </si>
  <si>
    <t>42062616-000-000</t>
  </si>
  <si>
    <t>8/3/2023</t>
  </si>
  <si>
    <t>CCA12-0002</t>
  </si>
  <si>
    <t>42062616-000-001</t>
  </si>
  <si>
    <t>WR50-1350</t>
  </si>
  <si>
    <t>THROW</t>
  </si>
  <si>
    <t>Filled Throw</t>
  </si>
  <si>
    <t>Anderson</t>
  </si>
  <si>
    <t>Print Mink Down Alternative Filled Throw</t>
  </si>
  <si>
    <t>50x70"</t>
  </si>
  <si>
    <t>PF002058</t>
  </si>
  <si>
    <t>Plush</t>
  </si>
  <si>
    <t>AMAZON,BLK01,CSNSTORES,HSNDS,MACY02,OLLIIX</t>
  </si>
  <si>
    <t>16606693-000-000</t>
  </si>
  <si>
    <t>12/31/2015</t>
  </si>
  <si>
    <t>MP12-8131</t>
  </si>
  <si>
    <t>Andes</t>
  </si>
  <si>
    <t>Lennox</t>
  </si>
  <si>
    <t>Dallas</t>
  </si>
  <si>
    <t>3 Piece Corduroy Duvet Cover Set</t>
  </si>
  <si>
    <t>PP001830;PF005877</t>
  </si>
  <si>
    <t>11/28/2022</t>
  </si>
  <si>
    <t>CASTLEGATE,CSNSTORES,JCPENNEY01,KOHLDSN,OLLIIX,TGTDVS</t>
  </si>
  <si>
    <t>40850602-000-001</t>
  </si>
  <si>
    <t>12/5/2022</t>
  </si>
  <si>
    <t>3/23/2023</t>
  </si>
  <si>
    <t>MP40-1295</t>
  </si>
  <si>
    <t>Andora</t>
  </si>
  <si>
    <t>Eliza</t>
  </si>
  <si>
    <t>Aden</t>
  </si>
  <si>
    <t>Curtain Panel</t>
  </si>
  <si>
    <t>PF003823</t>
  </si>
  <si>
    <t>9/25/2024</t>
  </si>
  <si>
    <t>AMAZON,CSNSTORES,HDDS,JCPENNEY01,KOHLDSN,MACY02,TGTDVS</t>
  </si>
  <si>
    <t>15478285-000-006</t>
  </si>
  <si>
    <t>WIN40-099</t>
  </si>
  <si>
    <t>Chocolate</t>
  </si>
  <si>
    <t>PF003806</t>
  </si>
  <si>
    <t>AMAZON,BLK01,CSNSTORES,JCPENNEY01,KOHLDSN,MACY02,TGTDVS</t>
  </si>
  <si>
    <t>15478285-000-001</t>
  </si>
  <si>
    <t>MP40-717</t>
  </si>
  <si>
    <t>CSNSTORES,HDDS,JCPENNEY01,KOHLDSN,MACY02</t>
  </si>
  <si>
    <t>15478285-000-004</t>
  </si>
  <si>
    <t>MP40-1782</t>
  </si>
  <si>
    <t>PF003840</t>
  </si>
  <si>
    <t>8/28/2024</t>
  </si>
  <si>
    <t>CSNSTORES,DESINC,JCPENNEY01,KOHLDSN,MACY02,OLLIIX</t>
  </si>
  <si>
    <t>15478285-000-014</t>
  </si>
  <si>
    <t>8/29/2016</t>
  </si>
  <si>
    <t>MP40-718</t>
  </si>
  <si>
    <t>PF003816</t>
  </si>
  <si>
    <t>ASHFURNDS,CSNSTORES,DESINC,HDDS,HSNDS,JCPENNEY01,KOHLDSN,MACY02,TGTDVS,WALMARTDS</t>
  </si>
  <si>
    <t>15478285-000-005</t>
  </si>
  <si>
    <t>CS58-0313</t>
  </si>
  <si>
    <t>THROW WRAP</t>
  </si>
  <si>
    <t>Angel</t>
  </si>
  <si>
    <t>Plush Hooded Angel Wrap</t>
  </si>
  <si>
    <t>58x72"</t>
  </si>
  <si>
    <t>Lavender</t>
  </si>
  <si>
    <t>8/17/2017</t>
  </si>
  <si>
    <t>43948655-000-000</t>
  </si>
  <si>
    <t>5/10/2024</t>
  </si>
  <si>
    <t>II40-196</t>
  </si>
  <si>
    <t>Ankara</t>
  </si>
  <si>
    <t>Cotton Window Panel</t>
  </si>
  <si>
    <t>PF004010</t>
  </si>
  <si>
    <t>Print</t>
  </si>
  <si>
    <t>17218049-000-002</t>
  </si>
  <si>
    <t>4/27/2015</t>
  </si>
  <si>
    <t>MT100-0173</t>
  </si>
  <si>
    <t>ACCENT CHAIR</t>
  </si>
  <si>
    <t>Lounge Chair</t>
  </si>
  <si>
    <t>Anna</t>
  </si>
  <si>
    <t>Arm Accent Chair Set of 2</t>
  </si>
  <si>
    <t>PP001261</t>
  </si>
  <si>
    <t>MT Perry Street</t>
  </si>
  <si>
    <t>7/20/2024</t>
  </si>
  <si>
    <t>41353962-000-000</t>
  </si>
  <si>
    <t>4/10/2023</t>
  </si>
  <si>
    <t>7/3/2023</t>
  </si>
  <si>
    <t>MP40-3624</t>
  </si>
  <si>
    <t>Joycelyn</t>
  </si>
  <si>
    <t>Ariana</t>
  </si>
  <si>
    <t>Cotton Oversized Ruffle Curtain Panel</t>
  </si>
  <si>
    <t>50x63"</t>
  </si>
  <si>
    <t>PF003972</t>
  </si>
  <si>
    <t>6/30/2024</t>
  </si>
  <si>
    <t>AMAZON,BLK01,HSNDS,JCPENNEY01,KOHLDSN,MACY02,OLLIIX,TGTDVS</t>
  </si>
  <si>
    <t>15856535-000-003</t>
  </si>
  <si>
    <t>9/9/2016</t>
  </si>
  <si>
    <t>10/14/2016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</si>
  <si>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</si>
  <si>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</si>
  <si>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</si>
  <si>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</si>
  <si>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</si>
  <si>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</si>
  <si>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</si>
  <si>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</t>
  </si>
  <si>
    <t>41524915-000-000</t>
  </si>
  <si>
    <t>5/9/2023</t>
  </si>
  <si>
    <t>3/11/2024</t>
  </si>
  <si>
    <t>BR10-3844</t>
  </si>
  <si>
    <t>Apollo</t>
  </si>
  <si>
    <t>3 Piece Striped Seersucker Oversized Comforter Set</t>
  </si>
  <si>
    <t>PP001825;PF005863</t>
  </si>
  <si>
    <t>AMAZON,AMAZONDS,CSNSTORES,JCPENNEY01,KIRKLANDDS,KOHLDSN,MACY02,OLLIIX,TGTDVS,ZOLA</t>
  </si>
  <si>
    <t>40848672-000-001</t>
  </si>
  <si>
    <t>1/3/2023</t>
  </si>
  <si>
    <t>BR12-3842</t>
  </si>
  <si>
    <t>3 Piece Striped Seersucker Oversized Duvet Cover Set</t>
  </si>
  <si>
    <t>PP001825;PF005862</t>
  </si>
  <si>
    <t>JCPENNEY01,KOHLDSN,MACY02,OLLIIX,TGTDVS</t>
  </si>
  <si>
    <t>40848833-000-003</t>
  </si>
  <si>
    <t>7/11/2023</t>
  </si>
  <si>
    <t>BR10-3841</t>
  </si>
  <si>
    <t>AMAZON,AMAZONDS,CASTLEGATE,CSNSTORES,JCPENNEY01,KIRKLANDDS,KOHLDSN,MACY02,OLLIIX,TGTDVS,ZOLA</t>
  </si>
  <si>
    <t>40848672-000-003</t>
  </si>
  <si>
    <t>10/9/2023</t>
  </si>
  <si>
    <t>BR12-3843</t>
  </si>
  <si>
    <t>40848833-000-001</t>
  </si>
  <si>
    <t>4/5/2023</t>
  </si>
  <si>
    <t>II153-0159</t>
  </si>
  <si>
    <t>Aquaviva</t>
  </si>
  <si>
    <t xml:space="preserve">Aquaviva </t>
  </si>
  <si>
    <t>Confetti Glass Table Lamp</t>
  </si>
  <si>
    <t>Artisan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</si>
  <si>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</si>
  <si>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</si>
  <si>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</si>
  <si>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</si>
  <si>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</si>
  <si>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</si>
  <si>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</si>
  <si>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</si>
  <si>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7/15/2024</t>
  </si>
  <si>
    <t>215227136</t>
  </si>
  <si>
    <t>Archdale</t>
  </si>
  <si>
    <t>Brydon</t>
  </si>
  <si>
    <t>Palmer</t>
  </si>
  <si>
    <t>Bent Arm Push Back Recliner</t>
  </si>
  <si>
    <t>PF000564;PP000081</t>
  </si>
  <si>
    <t>19530878-000-000</t>
  </si>
  <si>
    <t>9/20/2016</t>
  </si>
  <si>
    <t>3/23/2018</t>
  </si>
  <si>
    <t>MP103-1193</t>
  </si>
  <si>
    <t>Archer</t>
  </si>
  <si>
    <t>Cedar</t>
  </si>
  <si>
    <t>Grimmer</t>
  </si>
  <si>
    <t>Faux Leather 360 Degree Swivel Arm Chair</t>
  </si>
  <si>
    <t>11/21/2022</t>
  </si>
  <si>
    <t>AMERSIGNDS,CSNSTORES,KIRKLANDDS,OLLIIX</t>
  </si>
  <si>
    <t>40538882-000-000</t>
  </si>
  <si>
    <t>4/4/2023</t>
  </si>
  <si>
    <t>BASI10-0407</t>
  </si>
  <si>
    <t>Arctic</t>
  </si>
  <si>
    <t>Polar</t>
  </si>
  <si>
    <t>Fur Down Alternative Comforter Mini Set</t>
  </si>
  <si>
    <t>PF002073;PP000376</t>
  </si>
  <si>
    <t>19265421-000-000</t>
  </si>
  <si>
    <t>8/20/2016</t>
  </si>
  <si>
    <t>8/26/2016</t>
  </si>
  <si>
    <t>BASI10-0408</t>
  </si>
  <si>
    <t>19265421-000-001</t>
  </si>
  <si>
    <t>AM10-0073</t>
  </si>
  <si>
    <t>Aria</t>
  </si>
  <si>
    <t>Milan</t>
  </si>
  <si>
    <t>Senia</t>
  </si>
  <si>
    <t>Floral Print Revesible Comforter Set</t>
  </si>
  <si>
    <t>PP001924;PF006378</t>
  </si>
  <si>
    <t>10/26/2023</t>
  </si>
  <si>
    <t>42786720-000-010</t>
  </si>
  <si>
    <t>5/17/2024</t>
  </si>
  <si>
    <t>II151-0136</t>
  </si>
  <si>
    <t>Geometric Bamboo Pendant</t>
  </si>
  <si>
    <t>Farm House|Transitional</t>
  </si>
  <si>
    <t>OLLIIX,ROOMECOM,Zulily</t>
  </si>
  <si>
    <t>40632018-000-000</t>
  </si>
  <si>
    <t>10/18/2022</t>
  </si>
  <si>
    <t>3/24/2023</t>
  </si>
  <si>
    <t>AM10-0076</t>
  </si>
  <si>
    <t>Sage</t>
  </si>
  <si>
    <t>PP001924;PF006379</t>
  </si>
  <si>
    <t>DESINC,HDDS,KOHLDSN,TGTDVS</t>
  </si>
  <si>
    <t>42786720-000-009</t>
  </si>
  <si>
    <t>MP100-0982</t>
  </si>
  <si>
    <t>Arianna</t>
  </si>
  <si>
    <t>Leda</t>
  </si>
  <si>
    <t>Swoop Wing Chair</t>
  </si>
  <si>
    <t>Taupe Multi</t>
  </si>
  <si>
    <t>5/19/2020</t>
  </si>
  <si>
    <t>ASHFURNDS,CSNSTORES,HDDS,LAMPDS,MACY02F,OLLIIX</t>
  </si>
  <si>
    <t>18195229-000-001</t>
  </si>
  <si>
    <t>Tier 3</t>
  </si>
  <si>
    <t>5/26/2020</t>
  </si>
  <si>
    <t>6/3/2020</t>
  </si>
  <si>
    <t>CH10-011</t>
  </si>
  <si>
    <t xml:space="preserve">Chapel Hill </t>
  </si>
  <si>
    <t>Arlo</t>
  </si>
  <si>
    <t>Oversized Comforter Set</t>
  </si>
  <si>
    <t>PF006290</t>
  </si>
  <si>
    <t>Pending</t>
  </si>
  <si>
    <t>CH10-012</t>
  </si>
  <si>
    <t>MP10-5059</t>
  </si>
  <si>
    <t>Arya</t>
  </si>
  <si>
    <t>Nova</t>
  </si>
  <si>
    <t>Alivia</t>
  </si>
  <si>
    <t>Embroidered Medallion Faux Fur Ultra Plush Comforter Mini Set</t>
  </si>
  <si>
    <t>PF002189</t>
  </si>
  <si>
    <t>Medallion</t>
  </si>
  <si>
    <t>BOHO</t>
  </si>
  <si>
    <t>10/7/2017</t>
  </si>
  <si>
    <t>AMAZON,AMAZONDS,ASHFURNDS,CSNSTORES,HOUZZ,KOHLDSN,MACY02,OLLIIX,TGTDVS,WALMARTDS</t>
  </si>
  <si>
    <t>24167929-000-002</t>
  </si>
  <si>
    <t>10/3/2017</t>
  </si>
  <si>
    <t>10/24/2017</t>
  </si>
  <si>
    <t>HH120-0255</t>
  </si>
  <si>
    <t>Harbor House</t>
  </si>
  <si>
    <t>OCCASIONL TABLE</t>
  </si>
  <si>
    <t>End Table</t>
  </si>
  <si>
    <t>Ashby</t>
  </si>
  <si>
    <t>Side Table</t>
  </si>
  <si>
    <t>Chestnut</t>
  </si>
  <si>
    <t>9/6/2018</t>
  </si>
  <si>
    <t>MP35-8058</t>
  </si>
  <si>
    <t>Asher</t>
  </si>
  <si>
    <t>Caroline</t>
  </si>
  <si>
    <t>Mandy</t>
  </si>
  <si>
    <t>Distressed Medallion Woven Area Rug</t>
  </si>
  <si>
    <t>Cream/Grey</t>
  </si>
  <si>
    <t>PP001799;PF005787</t>
  </si>
  <si>
    <t>40574187-000-003</t>
  </si>
  <si>
    <t>10/10/2022</t>
  </si>
  <si>
    <t>MP35-8060</t>
  </si>
  <si>
    <t>KOHLDSN,NRTPORT</t>
  </si>
  <si>
    <t>40574187-000-000</t>
  </si>
  <si>
    <t>4/13/2023</t>
  </si>
  <si>
    <t>MP103-1245</t>
  </si>
  <si>
    <t>Ashton</t>
  </si>
  <si>
    <t>Upholstered Swivel Chair with Wood Base</t>
  </si>
  <si>
    <t>3/13/2024</t>
  </si>
  <si>
    <t>MZ12-509</t>
  </si>
  <si>
    <t>Garrett</t>
  </si>
  <si>
    <t>Cody</t>
  </si>
  <si>
    <t>Duvet Cover Set</t>
  </si>
  <si>
    <t>Khaki/Navy</t>
  </si>
  <si>
    <t>PF000057</t>
  </si>
  <si>
    <t>AMAZON,AMAZONDS,BLK01,CSNSTORES,JCPENNEY01,KOHLDSN,MACY02,OLLIIX,TGTDVS,Zulily</t>
  </si>
  <si>
    <t>16557307-000-002</t>
  </si>
  <si>
    <t>9/30/2016</t>
  </si>
  <si>
    <t>3/31/2017</t>
  </si>
  <si>
    <t>MP103-1246</t>
  </si>
  <si>
    <t>ID12-2164</t>
  </si>
  <si>
    <t>Astoria</t>
  </si>
  <si>
    <t>Esther</t>
  </si>
  <si>
    <t>Clip Jacquard Duvet Cover Set</t>
  </si>
  <si>
    <t>PF005812</t>
  </si>
  <si>
    <t>12/19/2022</t>
  </si>
  <si>
    <t>40928834-000-001</t>
  </si>
  <si>
    <t>9/8/2023</t>
  </si>
  <si>
    <t>ID10-2163</t>
  </si>
  <si>
    <t>Clip Jacquard Comforter Set</t>
  </si>
  <si>
    <t>40932454-000-000</t>
  </si>
  <si>
    <t>1/4/2023</t>
  </si>
  <si>
    <t>MP13-1741</t>
  </si>
  <si>
    <t>Coverlet</t>
  </si>
  <si>
    <t>Attingham</t>
  </si>
  <si>
    <t>Danville</t>
  </si>
  <si>
    <t>Longmont</t>
  </si>
  <si>
    <t>7 Piece Quilt Set with Euro Shams and Throw Pillows</t>
  </si>
  <si>
    <t>PF002419</t>
  </si>
  <si>
    <t>Border</t>
  </si>
  <si>
    <t>Casual|Farm House</t>
  </si>
  <si>
    <t>AMAZON,AMAZONDS,BLK01,CSNSTORES,JCPENNEY01,KOHLDSN,MACY02,NRTPORT,TGTDVS</t>
  </si>
  <si>
    <t>17603981-000-000</t>
  </si>
  <si>
    <t>9/11/2015</t>
  </si>
  <si>
    <t>MP13-2694</t>
  </si>
  <si>
    <t>Aubrey</t>
  </si>
  <si>
    <t>Whitman</t>
  </si>
  <si>
    <t>Charlotte</t>
  </si>
  <si>
    <t>6 Piece Jacquard Quilt Set with Throw Pillows</t>
  </si>
  <si>
    <t>PF003388</t>
  </si>
  <si>
    <t>Paisley</t>
  </si>
  <si>
    <t>Transitional|Glam/Luxury</t>
  </si>
  <si>
    <t>AMAZON,AMAZONDS,BLK01,CSNSTORES,HDDS,HSNDS,JCPENNEY01,KOHLDSN,MACY02,OLLIIX,TGTDVS</t>
  </si>
  <si>
    <t>18524999-000-000</t>
  </si>
  <si>
    <t>4/1/2016</t>
  </si>
  <si>
    <t>MP40-693</t>
  </si>
  <si>
    <t>Jacquard Curtain Panel Pair</t>
  </si>
  <si>
    <t>PF003388;PP000381</t>
  </si>
  <si>
    <t>AMAZON,ASHFURNDS,CSNSTORES,JCPENNEY01,KOHLDSN,MACY02</t>
  </si>
  <si>
    <t>15478287-000-002</t>
  </si>
  <si>
    <t>5DS105-0051</t>
  </si>
  <si>
    <t>ACCENT BENCH</t>
  </si>
  <si>
    <t>Other Bench</t>
  </si>
  <si>
    <t>Upholstered Storage Bench</t>
  </si>
  <si>
    <t>TBU</t>
  </si>
  <si>
    <t>5DS104-0049</t>
  </si>
  <si>
    <t>BAR STOOL</t>
  </si>
  <si>
    <t>Counter Stool</t>
  </si>
  <si>
    <t>Upholstered Counter Stool with Nailhead Trim Set of 2</t>
  </si>
  <si>
    <t>7/30/2024</t>
  </si>
  <si>
    <t>5DS108-0046</t>
  </si>
  <si>
    <t>DINING CHAIR</t>
  </si>
  <si>
    <t>Dining Chair</t>
  </si>
  <si>
    <t>Upholstered Dining Chair with Nailhead Trim Set of 2</t>
  </si>
  <si>
    <t>MP40-2679</t>
  </si>
  <si>
    <t>Blue/Brown</t>
  </si>
  <si>
    <t>PF003389;PP000381</t>
  </si>
  <si>
    <t>AMAZON,ASHFURNDS,BLK01,CSNSTORES,DESINC,HDDS,KOHLDSN,OLLIIX,TGTDVS</t>
  </si>
  <si>
    <t>15478287-000-008</t>
  </si>
  <si>
    <t>7/8/2016</t>
  </si>
  <si>
    <t>MP40-2680</t>
  </si>
  <si>
    <t>Burgundy</t>
  </si>
  <si>
    <t>PF003393;PP000381</t>
  </si>
  <si>
    <t>AMAZON,ASHFURNDS,CSNSTORES,HDDS,JCPENNEY01,KOHLDSN,TGTDVS</t>
  </si>
  <si>
    <t>15478287-000-006</t>
  </si>
  <si>
    <t>8/19/2016</t>
  </si>
  <si>
    <t>5DS105-0052</t>
  </si>
  <si>
    <t>5DS104-0048</t>
  </si>
  <si>
    <t>Light Blue</t>
  </si>
  <si>
    <t>5DS108-0045</t>
  </si>
  <si>
    <t>5DS105-0050</t>
  </si>
  <si>
    <t>5DS104-0047</t>
  </si>
  <si>
    <t>5DS108-0044</t>
  </si>
  <si>
    <t>MP40-4897</t>
  </si>
  <si>
    <t>PF003394</t>
  </si>
  <si>
    <t>8/16/2017</t>
  </si>
  <si>
    <t>AMAZON,AMAZONDS,ASHFURNDS,CSNSTORES,JCPENNEY01,KOHLDSN,MACY02,TGTDVS,WALMARTDS</t>
  </si>
  <si>
    <t>15478287-000-010</t>
  </si>
  <si>
    <t>8/21/2017</t>
  </si>
  <si>
    <t>9/26/2017</t>
  </si>
  <si>
    <t>MP13-8314</t>
  </si>
  <si>
    <t>Bedspread</t>
  </si>
  <si>
    <t>5 Piece Jacquard Bedspread Set with Throw Pillows</t>
  </si>
  <si>
    <t>PP001909;PF006091</t>
  </si>
  <si>
    <t>11/19/2023</t>
  </si>
  <si>
    <t>21580991-000-008</t>
  </si>
  <si>
    <t>11/26/2023</t>
  </si>
  <si>
    <t>12/15/2023</t>
  </si>
  <si>
    <t>MP10-8313</t>
  </si>
  <si>
    <t>12 Piece Comforter Set with Cotton Bed Sheets</t>
  </si>
  <si>
    <t>12</t>
  </si>
  <si>
    <t>AMAZON,BLK01,KOHLDSN,TGTDVS</t>
  </si>
  <si>
    <t>23193762-000-005</t>
  </si>
  <si>
    <t>11/29/2023</t>
  </si>
  <si>
    <t>12/27/2023</t>
  </si>
  <si>
    <t>FB153-1175</t>
  </si>
  <si>
    <t>Auburn</t>
  </si>
  <si>
    <t>24" H Table Lamp with Marble Base</t>
  </si>
  <si>
    <t>41029984-000-000</t>
  </si>
  <si>
    <t>1/30/2023</t>
  </si>
  <si>
    <t>2/14/2023</t>
  </si>
  <si>
    <t>FB151-1188</t>
  </si>
  <si>
    <t>Bell Shaped Glass Pendant</t>
  </si>
  <si>
    <t>Dia.9"</t>
  </si>
  <si>
    <t>Gold/Amber</t>
  </si>
  <si>
    <t>AMAZON,CSNSTORES</t>
  </si>
  <si>
    <t>23542148-000-005</t>
  </si>
  <si>
    <t>4/26/2024</t>
  </si>
  <si>
    <t>CCL30-0029</t>
  </si>
  <si>
    <t>Croscill Classics</t>
  </si>
  <si>
    <t>Normal Pillow</t>
  </si>
  <si>
    <t>Aumont</t>
  </si>
  <si>
    <t>Oblong Decor Pillow</t>
  </si>
  <si>
    <t>22x15"</t>
  </si>
  <si>
    <t>B-</t>
  </si>
  <si>
    <t>Vintage</t>
  </si>
  <si>
    <t>10/26/2022</t>
  </si>
  <si>
    <t>CSNSTORES,DLCROSCILL</t>
  </si>
  <si>
    <t>42067840-000-001</t>
  </si>
  <si>
    <t>11/8/2023</t>
  </si>
  <si>
    <t>CCL30-0026</t>
  </si>
  <si>
    <t>10/24/2022</t>
  </si>
  <si>
    <t>42067840-000-002</t>
  </si>
  <si>
    <t>II151-0134</t>
  </si>
  <si>
    <t>Aurelia</t>
  </si>
  <si>
    <t>3-Light Chandelier with Frosted Glass Globe Bulbs</t>
  </si>
  <si>
    <t>3-Light</t>
  </si>
  <si>
    <t>40806287-000-000</t>
  </si>
  <si>
    <t>2/28/2023</t>
  </si>
  <si>
    <t>MP95F-0359</t>
  </si>
  <si>
    <t>Rounded Rectangle Fluted Wall Mirror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</si>
  <si>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</si>
  <si>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</si>
  <si>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</si>
  <si>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</si>
  <si>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</si>
  <si>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</si>
  <si>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</si>
  <si>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AMAZON,CSNSTORES,JCPENNEY01,KIRKLANDDS,KOHLDSN,LAMPDS,OLLIIX,TGTDVS</t>
  </si>
  <si>
    <t>39266366-000-000</t>
  </si>
  <si>
    <t>11/27/2021</t>
  </si>
  <si>
    <t>1/19/2022</t>
  </si>
  <si>
    <t>MP106-0383</t>
  </si>
  <si>
    <t>LOVESEAT &amp; SOFA</t>
  </si>
  <si>
    <t>Settee</t>
  </si>
  <si>
    <t>Avalon</t>
  </si>
  <si>
    <t>Calla</t>
  </si>
  <si>
    <t>Delaney</t>
  </si>
  <si>
    <t>Swoop Arm Settee</t>
  </si>
  <si>
    <t>PF001132;PP000091</t>
  </si>
  <si>
    <t>6/27/2017</t>
  </si>
  <si>
    <t>CSNSTORES,MACY02F</t>
  </si>
  <si>
    <t>23224677-000-000</t>
  </si>
  <si>
    <t>7/21/2017</t>
  </si>
  <si>
    <t>MP35-8114</t>
  </si>
  <si>
    <t>Averie</t>
  </si>
  <si>
    <t>Bianca</t>
  </si>
  <si>
    <t>Suzy</t>
  </si>
  <si>
    <t>Trellis Geometric Woven Area Rug</t>
  </si>
  <si>
    <t>3x5' Scatter</t>
  </si>
  <si>
    <t>Black/Cream</t>
  </si>
  <si>
    <t>PP001800;PF005788</t>
  </si>
  <si>
    <t>9/29/2022</t>
  </si>
  <si>
    <t>40689046-000-002</t>
  </si>
  <si>
    <t>10/27/2022</t>
  </si>
  <si>
    <t>MP35-8063</t>
  </si>
  <si>
    <t>40689046-000-001</t>
  </si>
  <si>
    <t>MP35-8064</t>
  </si>
  <si>
    <t>8x10'</t>
  </si>
  <si>
    <t>40689046-000-000</t>
  </si>
  <si>
    <t>MP40-3596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</si>
  <si>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</si>
  <si>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</si>
  <si>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</si>
  <si>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</si>
  <si>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</si>
  <si>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</si>
  <si>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</si>
  <si>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9/11/2024</t>
  </si>
  <si>
    <t>AMAZON,AMAZONDS,CSNSTORES,JCPENNEY01,MACY02,TGTDVS</t>
  </si>
  <si>
    <t>16625358-000-005</t>
  </si>
  <si>
    <t>8/31/2016</t>
  </si>
  <si>
    <t>9/23/2016</t>
  </si>
  <si>
    <t>MP40-7510</t>
  </si>
  <si>
    <t>Avery</t>
  </si>
  <si>
    <t>Kaisley</t>
  </si>
  <si>
    <t>Alaia</t>
  </si>
  <si>
    <t>Yarn Dyed Slub Grommet Top Sheer Window Curtain</t>
  </si>
  <si>
    <t>PP001637;PF005479</t>
  </si>
  <si>
    <t>5/24/2021</t>
  </si>
  <si>
    <t>38031529-000-004</t>
  </si>
  <si>
    <t>5/26/2021</t>
  </si>
  <si>
    <t>CCL40-0048</t>
  </si>
  <si>
    <t>Avignon</t>
  </si>
  <si>
    <t>Pleat Curtain Panel with Tieback (Single)</t>
  </si>
  <si>
    <t>52x96"</t>
  </si>
  <si>
    <t>11/14/2022</t>
  </si>
  <si>
    <t>CSNSTORES,DESINC,NRTPORT,OLLIIX</t>
  </si>
  <si>
    <t>42036995-000-007</t>
  </si>
  <si>
    <t>7/27/2023</t>
  </si>
  <si>
    <t>CCL40-0047</t>
  </si>
  <si>
    <t>52x84"</t>
  </si>
  <si>
    <t>42036995-000-001</t>
  </si>
  <si>
    <t>11/2/2023</t>
  </si>
  <si>
    <t>CCL40-0049</t>
  </si>
  <si>
    <t>Waterfall Valance (Single)</t>
  </si>
  <si>
    <t>38x46"</t>
  </si>
  <si>
    <t>42037171-000-002</t>
  </si>
  <si>
    <t>12/18/2023</t>
  </si>
  <si>
    <t>CCL40-0044</t>
  </si>
  <si>
    <t>Champagne</t>
  </si>
  <si>
    <t>7/31/2024</t>
  </si>
  <si>
    <t>CSNSTORES,DLCROSCILL,JCPENNEY01</t>
  </si>
  <si>
    <t>42036995-000-005</t>
  </si>
  <si>
    <t>CCL40-0046</t>
  </si>
  <si>
    <t>42037171-000-001</t>
  </si>
  <si>
    <t>CCL40-0051</t>
  </si>
  <si>
    <t>DLCROSCILL,JCPENNEY01,OLLIIX</t>
  </si>
  <si>
    <t>42036995-000-006</t>
  </si>
  <si>
    <t>CCL40-0052</t>
  </si>
  <si>
    <t>DLCROSCILL</t>
  </si>
  <si>
    <t>42037171-000-003</t>
  </si>
  <si>
    <t>11/10/2023</t>
  </si>
  <si>
    <t>CCL40-0042</t>
  </si>
  <si>
    <t>DLCROSCILL,OLLIIX</t>
  </si>
  <si>
    <t>42036995-000-004</t>
  </si>
  <si>
    <t>8/14/2023</t>
  </si>
  <si>
    <t>CCL40-0041</t>
  </si>
  <si>
    <t>42036995-000-002</t>
  </si>
  <si>
    <t>9/20/2023</t>
  </si>
  <si>
    <t>CCL40-0043</t>
  </si>
  <si>
    <t>42037171-000-000</t>
  </si>
  <si>
    <t>AM10-0283</t>
  </si>
  <si>
    <t>Avril</t>
  </si>
  <si>
    <t>Nami</t>
  </si>
  <si>
    <t>Ombak</t>
  </si>
  <si>
    <t>Fluffy Ribbed Plush Comforter Set</t>
  </si>
  <si>
    <t>PP001997;PF006415</t>
  </si>
  <si>
    <t>Tier S</t>
  </si>
  <si>
    <t>AM10-0284</t>
  </si>
  <si>
    <t>AM10-0285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</si>
  <si>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</si>
  <si>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</si>
  <si>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</si>
  <si>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</si>
  <si>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</si>
  <si>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</si>
  <si>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</si>
  <si>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</si>
  <si>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AM10-0286</t>
  </si>
  <si>
    <t>PP001997;PF006416</t>
  </si>
  <si>
    <t>AM10-0287</t>
  </si>
  <si>
    <t>AM10-0288</t>
  </si>
  <si>
    <t>AM10-0274</t>
  </si>
  <si>
    <t>Pink</t>
  </si>
  <si>
    <t>PP001997;PF006412</t>
  </si>
  <si>
    <t>AM10-0275</t>
  </si>
  <si>
    <t>AM10-0276</t>
  </si>
  <si>
    <t>MT130-1212</t>
  </si>
  <si>
    <t>ACCENT CHEST</t>
  </si>
  <si>
    <t>Chest</t>
  </si>
  <si>
    <t>Ayanna</t>
  </si>
  <si>
    <t>Accent Cabinet with Lower Shelf</t>
  </si>
  <si>
    <t>Reclaimed Wheat</t>
  </si>
  <si>
    <t>43879376-000-000</t>
  </si>
  <si>
    <t>4/25/2024</t>
  </si>
  <si>
    <t>II105-0592</t>
  </si>
  <si>
    <t>Bailey</t>
  </si>
  <si>
    <t>Boucle Flip Top Storage Bench</t>
  </si>
  <si>
    <t>8/7/2024</t>
  </si>
  <si>
    <t>II105-0593</t>
  </si>
  <si>
    <t>AM10-0161</t>
  </si>
  <si>
    <t>Darby</t>
  </si>
  <si>
    <t>Niro/Malani</t>
  </si>
  <si>
    <t>Pinch Pleat Woven Textured Comforter Set</t>
  </si>
  <si>
    <t>PP001966;PF006263</t>
  </si>
  <si>
    <t>AM12-0170</t>
  </si>
  <si>
    <t>Pinch Pleat Woven Textured Duvet Cover Set</t>
  </si>
  <si>
    <t>AM10-0162</t>
  </si>
  <si>
    <t>AM12-0171</t>
  </si>
  <si>
    <t>AM10-0163</t>
  </si>
  <si>
    <t>AM12-0172</t>
  </si>
  <si>
    <t>AM10-0164</t>
  </si>
  <si>
    <t>PP001966;PF006264</t>
  </si>
  <si>
    <t>AM12-0173</t>
  </si>
  <si>
    <t>AM10-0165</t>
  </si>
  <si>
    <t>AM12-0174</t>
  </si>
  <si>
    <t>AM10-0166</t>
  </si>
  <si>
    <t>AM12-0175</t>
  </si>
  <si>
    <t>AM10-0158</t>
  </si>
  <si>
    <t>PP001966;PF006262</t>
  </si>
  <si>
    <t>AM12-0167</t>
  </si>
  <si>
    <t>AM10-0159</t>
  </si>
  <si>
    <t>AM12-0168</t>
  </si>
  <si>
    <t>AM10-0160</t>
  </si>
  <si>
    <t>AM12-0169</t>
  </si>
  <si>
    <t>FPF18-0419</t>
  </si>
  <si>
    <t>Barton</t>
  </si>
  <si>
    <t>Weston</t>
  </si>
  <si>
    <t>Colette</t>
  </si>
  <si>
    <t>Wing Chair</t>
  </si>
  <si>
    <t>PF000703;PP000093</t>
  </si>
  <si>
    <t>CASTLEGATE,CSNSTORES,KOHLDSN,MACY02F,OLLIIX</t>
  </si>
  <si>
    <t>18298232-000-000</t>
  </si>
  <si>
    <t>4/29/2016</t>
  </si>
  <si>
    <t>FPF18-0151</t>
  </si>
  <si>
    <t>PF000615;PP000093</t>
  </si>
  <si>
    <t>CASTLEGATE,CSNSTORES,MACY02F</t>
  </si>
  <si>
    <t>17880174-000-000</t>
  </si>
  <si>
    <t>3/21/2017</t>
  </si>
  <si>
    <t>FPF18-0417</t>
  </si>
  <si>
    <t>PF000701;PP000093</t>
  </si>
  <si>
    <t>18297801-000-000</t>
  </si>
  <si>
    <t>6/10/2016</t>
  </si>
  <si>
    <t>FPF18-0152</t>
  </si>
  <si>
    <t>PF000616;PP000093</t>
  </si>
  <si>
    <t>CASTLEGATE,CSNSTORES,OLLIIX</t>
  </si>
  <si>
    <t>17880173-000-000</t>
  </si>
  <si>
    <t>6/4/2018</t>
  </si>
  <si>
    <t>ID95C-0059</t>
  </si>
  <si>
    <t>Canvas</t>
  </si>
  <si>
    <t>Beach Dogs</t>
  </si>
  <si>
    <t>Chihuahua Canvas Wall Art</t>
  </si>
  <si>
    <t>Chihuahua/Blue Multi</t>
  </si>
  <si>
    <t>Animal</t>
  </si>
  <si>
    <t>10/7/2023</t>
  </si>
  <si>
    <t>MACY02,OLLIIX,TGTDVS</t>
  </si>
  <si>
    <t>42721561-000-005</t>
  </si>
  <si>
    <t>10/8/2023</t>
  </si>
  <si>
    <t>ID95C-0054</t>
  </si>
  <si>
    <t>Corgi Canvas Wall Art</t>
  </si>
  <si>
    <t>Corgi/Blue Multi</t>
  </si>
  <si>
    <t>10/6/2023</t>
  </si>
  <si>
    <t>AMAZON,CSNSTORES,DESINC,MACY02,OLLIIX,TGTDVS</t>
  </si>
  <si>
    <t>42721561-000-003</t>
  </si>
  <si>
    <t>1/22/2024</t>
  </si>
  <si>
    <t>ID95C-0056</t>
  </si>
  <si>
    <t>Frenchie Canvas Wall Art</t>
  </si>
  <si>
    <t>Frenchie/Blue Multi</t>
  </si>
  <si>
    <t>CSNSTORES,OLLIIX,TGTDVS</t>
  </si>
  <si>
    <t>42721561-000-001</t>
  </si>
  <si>
    <t>ID95C-0058</t>
  </si>
  <si>
    <t>Golden Retriever Canvas Wall Art</t>
  </si>
  <si>
    <t>Golden Retriever/Blue Multi</t>
  </si>
  <si>
    <t>CSNSTORES,MACY02,OLLIIX,TGTDVS</t>
  </si>
  <si>
    <t>42721561-000-004</t>
  </si>
  <si>
    <t>ID95C-0057</t>
  </si>
  <si>
    <t>Pomeranian Canvas Wall Art</t>
  </si>
  <si>
    <t>Pomeranian/Blue Multi</t>
  </si>
  <si>
    <t>AMAZON,MACY02,OLLIIX,TGTDVS</t>
  </si>
  <si>
    <t>42721561-000-000</t>
  </si>
  <si>
    <t>ID95C-0055</t>
  </si>
  <si>
    <t>Yorkie Canvas Wall Art</t>
  </si>
  <si>
    <t>Yorkie/Blue Multi</t>
  </si>
  <si>
    <t>OLLIIX,TGTDVS</t>
  </si>
  <si>
    <t>42721561-000-002</t>
  </si>
  <si>
    <t>II154-0123</t>
  </si>
  <si>
    <t>LGT-FLOOR LAMPS</t>
  </si>
  <si>
    <t>Floor Lamps</t>
  </si>
  <si>
    <t>Beacon</t>
  </si>
  <si>
    <t>Arched Metal Floor Lamp with Chimney Shade</t>
  </si>
  <si>
    <t>Matte Black</t>
  </si>
  <si>
    <t>5/4/2022</t>
  </si>
  <si>
    <t>JCPENNEY01,KIRKLANDDS,TGTDVS,ZOLA</t>
  </si>
  <si>
    <t>39936236-000-000</t>
  </si>
  <si>
    <t>5/11/2022</t>
  </si>
  <si>
    <t>8/16/2022</t>
  </si>
  <si>
    <t>MP40-7496</t>
  </si>
  <si>
    <t>Beals</t>
  </si>
  <si>
    <t>Barnet</t>
  </si>
  <si>
    <t>Bayer</t>
  </si>
  <si>
    <t>Faux Linen Rod Pocket and Back Tab Fleece Lined Curtain Panel</t>
  </si>
  <si>
    <t>PP001631;PF005475</t>
  </si>
  <si>
    <t>AMAZON,BLK01,CSNSTORES,DESINC,JCPENNEY01,KOHLDSN,MACY02,OLLIIX,TGTDVS</t>
  </si>
  <si>
    <t>38477180-000-001</t>
  </si>
  <si>
    <t>7/14/2021</t>
  </si>
  <si>
    <t>MPS105-0307</t>
  </si>
  <si>
    <t>Beckett</t>
  </si>
  <si>
    <t>Tufted Storage Bench</t>
  </si>
  <si>
    <t>Antique Cream/Light Grey</t>
  </si>
  <si>
    <t>8/4/2024</t>
  </si>
  <si>
    <t>MPS115-0304</t>
  </si>
  <si>
    <t>Bed</t>
  </si>
  <si>
    <t>6/16/2024</t>
  </si>
  <si>
    <t>MPS115-0308</t>
  </si>
  <si>
    <t>Yes</t>
  </si>
  <si>
    <t>MPS130-0306</t>
  </si>
  <si>
    <t>2 Drawer Accent Chest</t>
  </si>
  <si>
    <t>MPS136-0305</t>
  </si>
  <si>
    <t>NIGHTSTAND</t>
  </si>
  <si>
    <t>Nightstand</t>
  </si>
  <si>
    <t>7/25/2024</t>
  </si>
  <si>
    <t>MP120-1206</t>
  </si>
  <si>
    <t>Occasional Table</t>
  </si>
  <si>
    <t>Belfast</t>
  </si>
  <si>
    <t>Nomad</t>
  </si>
  <si>
    <t>Westly</t>
  </si>
  <si>
    <t>Occasional Table with 2 Drawers</t>
  </si>
  <si>
    <t>Reclaimed Natural</t>
  </si>
  <si>
    <t>6/5/2023</t>
  </si>
  <si>
    <t>42052604-000-000</t>
  </si>
  <si>
    <t>7/30/2023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</si>
  <si>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</si>
  <si>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</si>
  <si>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</si>
  <si>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</si>
  <si>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</si>
  <si>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</si>
  <si>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</si>
  <si>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MP10-8405</t>
  </si>
  <si>
    <t>MZ10-0578</t>
  </si>
  <si>
    <t>Diana</t>
  </si>
  <si>
    <t>Ashlyn</t>
  </si>
  <si>
    <t>Reversible Ruched Seersucker to Plush Comforter Set</t>
  </si>
  <si>
    <t>PP000986;PF004450</t>
  </si>
  <si>
    <t>Modern/Contemporary|Transitional</t>
  </si>
  <si>
    <t>29057436-000-003</t>
  </si>
  <si>
    <t>9/30/2018</t>
  </si>
  <si>
    <t>FB154-1165</t>
  </si>
  <si>
    <t>Bellow</t>
  </si>
  <si>
    <t>Uplight Floor Lamp with Mercury Glass Shade</t>
  </si>
  <si>
    <t>AMERSIGNDS,CSNSTORES,JCPENNEY01,KIRKLANDDS,MACY02,OLLIIX,TGTDVS</t>
  </si>
  <si>
    <t>39936234-000-000</t>
  </si>
  <si>
    <t>5/9/2022</t>
  </si>
  <si>
    <t>5/18/2022</t>
  </si>
  <si>
    <t>MP13-6023</t>
  </si>
  <si>
    <t>Bennett</t>
  </si>
  <si>
    <t>Christian</t>
  </si>
  <si>
    <t>William</t>
  </si>
  <si>
    <t>4 Piece Jacquard Quilt Set with Throw Pillow</t>
  </si>
  <si>
    <t>PF002754</t>
  </si>
  <si>
    <t>Glam/Luxury|Transitional</t>
  </si>
  <si>
    <t>9/11/2018</t>
  </si>
  <si>
    <t>AMAZON,BLK01,CSNSTORES,DESINC,JCPENNEY01,KIRKLANDDS,KOHLDSN,MACY02,TGTDVS,Zulily</t>
  </si>
  <si>
    <t>28497921-000-000</t>
  </si>
  <si>
    <t>8/19/2018</t>
  </si>
  <si>
    <t>11/2/2018</t>
  </si>
  <si>
    <t>UH12-2474</t>
  </si>
  <si>
    <t>Silas</t>
  </si>
  <si>
    <t>Atlas</t>
  </si>
  <si>
    <t>3 Piece Chenille Duvet Cover Set</t>
  </si>
  <si>
    <t>Off-White</t>
  </si>
  <si>
    <t>PF005951</t>
  </si>
  <si>
    <t>5/1/2023</t>
  </si>
  <si>
    <t>41492927-000-000</t>
  </si>
  <si>
    <t>5/5/2023</t>
  </si>
  <si>
    <t>7/20/2023</t>
  </si>
  <si>
    <t>II108-0523</t>
  </si>
  <si>
    <t>Benson</t>
  </si>
  <si>
    <t>Upholstered Dining Chairs with Arms (Set of 2)</t>
  </si>
  <si>
    <t>Beige</t>
  </si>
  <si>
    <t>8/18/2024</t>
  </si>
  <si>
    <t>41774172-000-000</t>
  </si>
  <si>
    <t>6/19/2023</t>
  </si>
  <si>
    <t>8/2/2023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</si>
  <si>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</si>
  <si>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</si>
  <si>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</si>
  <si>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</si>
  <si>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</si>
  <si>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</si>
  <si>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</si>
  <si>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DESINC,KOHLDSN</t>
  </si>
  <si>
    <t>42788053-000-001</t>
  </si>
  <si>
    <t>12/13/2023</t>
  </si>
  <si>
    <t>UH12-2492</t>
  </si>
  <si>
    <t>3 Piece Matelasse Jacquard Duvet Cover Set</t>
  </si>
  <si>
    <t>BLK01,CSNSTORES,JCPENNEY01,TGTDVS</t>
  </si>
  <si>
    <t>42788052-000-001</t>
  </si>
  <si>
    <t>12/21/2023</t>
  </si>
  <si>
    <t>UH10-2491</t>
  </si>
  <si>
    <t>10/11/2023</t>
  </si>
  <si>
    <t>CSNSTORES,OLLIIX</t>
  </si>
  <si>
    <t>42788053-000-000</t>
  </si>
  <si>
    <t>UH12-2493</t>
  </si>
  <si>
    <t>10/10/2023</t>
  </si>
  <si>
    <t>CSNSTORES,KOHLDSN,TGTDVS</t>
  </si>
  <si>
    <t>42788052-000-000</t>
  </si>
  <si>
    <t>1/18/2024</t>
  </si>
  <si>
    <t>SS40-0122</t>
  </si>
  <si>
    <t>Abel</t>
  </si>
  <si>
    <t>Byron</t>
  </si>
  <si>
    <t>Ogee Knitted Jacquard Total Blackout Curtain Panel</t>
  </si>
  <si>
    <t>PP000358;PF004699</t>
  </si>
  <si>
    <t>6/12/2019</t>
  </si>
  <si>
    <t>AMAZON,AMAZONDS,CSNSTORES,KOHLDSN,MACY02,OLLIIX</t>
  </si>
  <si>
    <t>25504572-000-006</t>
  </si>
  <si>
    <t>6/20/2019</t>
  </si>
  <si>
    <t>11/27/2019</t>
  </si>
  <si>
    <t>BASI10-0398</t>
  </si>
  <si>
    <t>Bernard</t>
  </si>
  <si>
    <t>Bengston</t>
  </si>
  <si>
    <t>3M Scotchgard Down Alternative Comforter Mini Set</t>
  </si>
  <si>
    <t>PF002159</t>
  </si>
  <si>
    <t>AMAZON,ASHFURNDS,BLK01,CSNSTORES,JCPENNEY01,KOHLDSN,TGTDVS</t>
  </si>
  <si>
    <t>18775150-000-000</t>
  </si>
  <si>
    <t>BASI10-0399</t>
  </si>
  <si>
    <t>AMAZON,BLK01,CSNSTORES,DESINC,JCPENNEY01,KOHLDSN,MACY02,TGTDVS</t>
  </si>
  <si>
    <t>18775150-000-001</t>
  </si>
  <si>
    <t>CHM12-0007</t>
  </si>
  <si>
    <t>Croscill Home</t>
  </si>
  <si>
    <t>Bernini</t>
  </si>
  <si>
    <t>10/25/2022</t>
  </si>
  <si>
    <t>CSNSTORES,DLCROSCILL,MACY02,OLLIIX</t>
  </si>
  <si>
    <t>42062617-000-000</t>
  </si>
  <si>
    <t>10/18/2023</t>
  </si>
  <si>
    <t>CHM12-0008</t>
  </si>
  <si>
    <t>42062617-000-001</t>
  </si>
  <si>
    <t>9/27/2023</t>
  </si>
  <si>
    <t>WR9201030822-04</t>
  </si>
  <si>
    <t>Bernston</t>
  </si>
  <si>
    <t>Faux Wool to Faux Fur Down Alternative Comforter Set</t>
  </si>
  <si>
    <t>Gray Plaid</t>
  </si>
  <si>
    <t>PP001883;PF006005</t>
  </si>
  <si>
    <t>41067410-000-004</t>
  </si>
  <si>
    <t>2/7/2023</t>
  </si>
  <si>
    <t>11/30/2023</t>
  </si>
  <si>
    <t>WR9201030822-05</t>
  </si>
  <si>
    <t>CSNSTORES,TGTDVS,WALMARTDS</t>
  </si>
  <si>
    <t>41067410-000-008</t>
  </si>
  <si>
    <t>WR9201030822-06</t>
  </si>
  <si>
    <t>CSNSTORES,TGTDVS</t>
  </si>
  <si>
    <t>41067410-000-002</t>
  </si>
  <si>
    <t>WR9201030822-08</t>
  </si>
  <si>
    <t>Green Plaid</t>
  </si>
  <si>
    <t>PP001883;PF006006</t>
  </si>
  <si>
    <t>8/15/2022</t>
  </si>
  <si>
    <t>41067410-000-007</t>
  </si>
  <si>
    <t>WR9201030822-01</t>
  </si>
  <si>
    <t>Red Buffalo Check</t>
  </si>
  <si>
    <t>PP001883;PF006004</t>
  </si>
  <si>
    <t>41067410-000-000</t>
  </si>
  <si>
    <t>8/15/2023</t>
  </si>
  <si>
    <t>WR9201030822-02</t>
  </si>
  <si>
    <t>41067410-000-003</t>
  </si>
  <si>
    <t>7/31/2023</t>
  </si>
  <si>
    <t>WR9201030822-03</t>
  </si>
  <si>
    <t>41067410-000-006</t>
  </si>
  <si>
    <t>8/22/2023</t>
  </si>
  <si>
    <t>II101-0288</t>
  </si>
  <si>
    <t>OTTOMAN</t>
  </si>
  <si>
    <t>Ottoman</t>
  </si>
  <si>
    <t>Beverly</t>
  </si>
  <si>
    <t>Round stool</t>
  </si>
  <si>
    <t>Tan/Gold</t>
  </si>
  <si>
    <t>1/31/2018</t>
  </si>
  <si>
    <t>CSNSTORES,MACY02F,OLLIIX,TGTDVS</t>
  </si>
  <si>
    <t>26778241-000-000</t>
  </si>
  <si>
    <t>4/13/2018</t>
  </si>
  <si>
    <t>7/24/2018</t>
  </si>
  <si>
    <t>FPF18-0404</t>
  </si>
  <si>
    <t>Bexley</t>
  </si>
  <si>
    <t>Larkin</t>
  </si>
  <si>
    <t>Oda</t>
  </si>
  <si>
    <t>Rounded Back Dining Chair</t>
  </si>
  <si>
    <t>PF000695;PP000096</t>
  </si>
  <si>
    <t>8/1/2024</t>
  </si>
  <si>
    <t>CASTLEGATE,HOUZZ,MACY02F,OLLIIX</t>
  </si>
  <si>
    <t>22078834-000-001</t>
  </si>
  <si>
    <t>9/24/2018</t>
  </si>
  <si>
    <t>5DS73-0217</t>
  </si>
  <si>
    <t>Big Bundle</t>
  </si>
  <si>
    <t>100% Cotton Quick Dry 12 Piece Bath Towel Set</t>
  </si>
  <si>
    <t>12-Piece</t>
  </si>
  <si>
    <t>PP001159;PF006347</t>
  </si>
  <si>
    <t>7/3/2019</t>
  </si>
  <si>
    <t>BLK01,CSNSTORES,FINGERHUTDS,JCPENNEY01,KOHLDSN,MACY02,OLLIIX,TGTDVS,WALMARTDS,Zulily</t>
  </si>
  <si>
    <t>33127889-000-003</t>
  </si>
  <si>
    <t>7/31/2019</t>
  </si>
  <si>
    <t>11/18/2019</t>
  </si>
  <si>
    <t>5DS73-0289</t>
  </si>
  <si>
    <t>PP001159;PF006348</t>
  </si>
  <si>
    <t>2/10/2024</t>
  </si>
  <si>
    <t>8/25/2024</t>
  </si>
  <si>
    <t>FINGERHUTDS,KOHLDSN,TGTDVS</t>
  </si>
  <si>
    <t>33127889-000-005</t>
  </si>
  <si>
    <t>3/29/2024</t>
  </si>
  <si>
    <t>5DS73-0201</t>
  </si>
  <si>
    <t>PP001159;PF006346</t>
  </si>
  <si>
    <t>5/2/2019</t>
  </si>
  <si>
    <t>7/9/2024</t>
  </si>
  <si>
    <t>AAFESDS,AMAZONDS,BEALLSDS,BIGLOTSDS,BLK01,CSNSTORES,FINGERHUTDS,JCPENNEY01,KOHLDSN,MACY02,NEBFUR01,TGTDVS,WALMARTDS</t>
  </si>
  <si>
    <t>33127889-000-000</t>
  </si>
  <si>
    <t>6/15/2019</t>
  </si>
  <si>
    <t>1/20/2020</t>
  </si>
  <si>
    <t>5DS73-0202</t>
  </si>
  <si>
    <t>Indigo</t>
  </si>
  <si>
    <t>PP001159;PF006343</t>
  </si>
  <si>
    <t>6/8/2024</t>
  </si>
  <si>
    <t>AAFESDS,BEALLSDS,BLK01,CSNSTORES,FINGERHUTDS,JCPENNEY01,KOHLDSN,MACY02,TGTDVS</t>
  </si>
  <si>
    <t>33127889-000-002</t>
  </si>
  <si>
    <t>7/15/2019</t>
  </si>
  <si>
    <t>5DS73-0261</t>
  </si>
  <si>
    <t>PP001159;PF006345</t>
  </si>
  <si>
    <t>12/2/2022</t>
  </si>
  <si>
    <t>BLK01,FINGERHUTDS,JCPENNEY01,KOHLDSN,MACY02,TGTDVS</t>
  </si>
  <si>
    <t>33127889-000-004</t>
  </si>
  <si>
    <t>8/8/2023</t>
  </si>
  <si>
    <t>5DS73-0200</t>
  </si>
  <si>
    <t>PP001159;PF006344</t>
  </si>
  <si>
    <t>8/26/2024</t>
  </si>
  <si>
    <t>AAFESDS,AMAZONDS,BEALLSDS,BLK01,CSNSTORES,FINGERHUTDS,JCPENNEY01,KOHLDSN,MACY02,NEBFUR01,NRTPORT,OLLIIX,TGTDVS,WALMARTDS,Zulily</t>
  </si>
  <si>
    <t>33127889-000-001</t>
  </si>
  <si>
    <t>7/18/2019</t>
  </si>
  <si>
    <t>CCL30-0030</t>
  </si>
  <si>
    <t>Biron</t>
  </si>
  <si>
    <t>Square Decor Pillow</t>
  </si>
  <si>
    <t>18x18"</t>
  </si>
  <si>
    <t>42067836-000-000</t>
  </si>
  <si>
    <t>WR10-2178</t>
  </si>
  <si>
    <t>Bitter Creek</t>
  </si>
  <si>
    <t>Grey/Brown</t>
  </si>
  <si>
    <t>PF003315</t>
  </si>
  <si>
    <t>Southwestern</t>
  </si>
  <si>
    <t>Southwest|Transitional</t>
  </si>
  <si>
    <t>AMAZON,BEALLSDS,CSNSTORES,HDDS,JCPENNEY01,KOHLDSN,MACY02,OLLIIX,TGTDVS</t>
  </si>
  <si>
    <t>23671247-000-001</t>
  </si>
  <si>
    <t>8/22/2017</t>
  </si>
  <si>
    <t>10/17/2017</t>
  </si>
  <si>
    <t>WR10-2180</t>
  </si>
  <si>
    <t>9/30/2017</t>
  </si>
  <si>
    <t>AMAZON,AMAZONDS,ASHFURNDS,BEALLSDS,BLK01,CSNSTORES,FINGERHUTDS,JCPENNEY01,KOHLDSN,OLLIIX,TGTDVS</t>
  </si>
  <si>
    <t>23671247-000-003</t>
  </si>
  <si>
    <t>MP104-1133</t>
  </si>
  <si>
    <t>Bar Stool</t>
  </si>
  <si>
    <t>Bixby</t>
  </si>
  <si>
    <t>Dunas</t>
  </si>
  <si>
    <t>Burke</t>
  </si>
  <si>
    <t>Faux Leather Counter Stool with Metal Frame</t>
  </si>
  <si>
    <t>Industrial</t>
  </si>
  <si>
    <t>39668817-000-000</t>
  </si>
  <si>
    <t>3/7/2022</t>
  </si>
  <si>
    <t>3/21/2023</t>
  </si>
  <si>
    <t>MP10-8211</t>
  </si>
  <si>
    <t>Blair</t>
  </si>
  <si>
    <t>Dakota</t>
  </si>
  <si>
    <t>Ruched Fur Down Alternative Comforter Set</t>
  </si>
  <si>
    <t>PP001807;PF005999</t>
  </si>
  <si>
    <t>7/5/2023</t>
  </si>
  <si>
    <t>9/18/2024</t>
  </si>
  <si>
    <t>40552139-000-002</t>
  </si>
  <si>
    <t>10/23/2023</t>
  </si>
  <si>
    <t>MP10-8212</t>
  </si>
  <si>
    <t>40552139-000-004</t>
  </si>
  <si>
    <t>9/5/2023</t>
  </si>
  <si>
    <t>II150-0121</t>
  </si>
  <si>
    <t>6-light Ombre Glass Globe Chandelier</t>
  </si>
  <si>
    <t>Antique Brass/Amber</t>
  </si>
  <si>
    <t>CSNSTORES,KIRKLANDDS,KOHLDSN,OLLIIX,TGTDVS,ZOLA</t>
  </si>
  <si>
    <t>40002940-000-000</t>
  </si>
  <si>
    <t>5/24/2022</t>
  </si>
  <si>
    <t>5DS105-0036</t>
  </si>
  <si>
    <t>Bench</t>
  </si>
  <si>
    <t>Flip-top Upholstered Storage Bench</t>
  </si>
  <si>
    <t>1/27/2024</t>
  </si>
  <si>
    <t>AMAZONDS,TGTDVS</t>
  </si>
  <si>
    <t>Declined</t>
  </si>
  <si>
    <t>5DS105-0053</t>
  </si>
  <si>
    <t>Light Grey 2</t>
  </si>
  <si>
    <t>8/6/2024</t>
  </si>
  <si>
    <t>5DS105-0043</t>
  </si>
  <si>
    <t>Light Taupe</t>
  </si>
  <si>
    <t>5DS105-0029</t>
  </si>
  <si>
    <t>AMERSIGNDS,CSNSTORES,KIRKLANDDS,MACY02F,TGTDVS</t>
  </si>
  <si>
    <t>41984295-000-000</t>
  </si>
  <si>
    <t>7/16/2023</t>
  </si>
  <si>
    <t>II100-0495</t>
  </si>
  <si>
    <t>Chair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</si>
  <si>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</si>
  <si>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</si>
  <si>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</si>
  <si>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</si>
  <si>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</si>
  <si>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</si>
  <si>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ID12-2334</t>
  </si>
  <si>
    <t>Liam</t>
  </si>
  <si>
    <t>Reeve</t>
  </si>
  <si>
    <t>Plaid Duvet Cover Set</t>
  </si>
  <si>
    <t>Tan/Gray</t>
  </si>
  <si>
    <t>PF006203</t>
  </si>
  <si>
    <t>3/16/2024</t>
  </si>
  <si>
    <t>43736509-000-001</t>
  </si>
  <si>
    <t>3/22/2024</t>
  </si>
  <si>
    <t>ID12-2335</t>
  </si>
  <si>
    <t>43736509-000-000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</si>
  <si>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</si>
  <si>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</si>
  <si>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</si>
  <si>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</si>
  <si>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</si>
  <si>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</si>
  <si>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</si>
  <si>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</si>
  <si>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</si>
  <si>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AMAZONDS</t>
  </si>
  <si>
    <t>43955155-000-000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</si>
  <si>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</si>
  <si>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</si>
  <si>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</si>
  <si>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</si>
  <si>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</si>
  <si>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</si>
  <si>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SS40-0072</t>
  </si>
  <si>
    <t>Blakesly</t>
  </si>
  <si>
    <t>Kagen</t>
  </si>
  <si>
    <t>Etro</t>
  </si>
  <si>
    <t>Printed Ikat Blackout Curtain Panel</t>
  </si>
  <si>
    <t>PP000592;PF004056</t>
  </si>
  <si>
    <t>Blackout</t>
  </si>
  <si>
    <t>AMAZON,BLK01,CSNSTORES,HDDS,HOUZZ,JCPENNEY01,KOHLDSN,MACY02,TGTDVS,WALMARTDS</t>
  </si>
  <si>
    <t>25450234-000-007</t>
  </si>
  <si>
    <t>12/13/2017</t>
  </si>
  <si>
    <t>6/3/2019</t>
  </si>
  <si>
    <t>SS40-0073</t>
  </si>
  <si>
    <t>AMAZON,CSNSTORES,DESINC,HDDS,MACY02,TGTDVS,WALMARTDS</t>
  </si>
  <si>
    <t>25450234-000-008</t>
  </si>
  <si>
    <t>2/20/2018</t>
  </si>
  <si>
    <t>WR50-3968</t>
  </si>
  <si>
    <t>Throw</t>
  </si>
  <si>
    <t>Bloomington</t>
  </si>
  <si>
    <t>Faux Mohair to Sherpa Throw</t>
  </si>
  <si>
    <t>PP001878;PF005993</t>
  </si>
  <si>
    <t>8/25/2023</t>
  </si>
  <si>
    <t>AMAZON,AMAZONDS,OLLIIX</t>
  </si>
  <si>
    <t>42171499-000-001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</si>
  <si>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</si>
  <si>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</si>
  <si>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</si>
  <si>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</si>
  <si>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</si>
  <si>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</si>
  <si>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</si>
  <si>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AMAZON,ASHFURNDS,BLK01,CSNSTORES,KIRKLANDDS,OLLIIX,ROOMECOM,TGTDVS</t>
  </si>
  <si>
    <t>32348945-000-000</t>
  </si>
  <si>
    <t>2/13/2019</t>
  </si>
  <si>
    <t>2/20/2019</t>
  </si>
  <si>
    <t>MP95C-0133</t>
  </si>
  <si>
    <t>Blue Lagoon 2</t>
  </si>
  <si>
    <t>Abstract 2-piece Framed Canvas Wall Art Set</t>
  </si>
  <si>
    <t>PP000609</t>
  </si>
  <si>
    <t>10/12/2017</t>
  </si>
  <si>
    <t>AMAZON,AMERSIGNDS,ASHFURNDS,KIRKLANDDS,KOHLDSN,OLLIIX,TGTDVS</t>
  </si>
  <si>
    <t>25582615-000-000</t>
  </si>
  <si>
    <t>2/12/2018</t>
  </si>
  <si>
    <t>FB153-1167</t>
  </si>
  <si>
    <t>Blythe</t>
  </si>
  <si>
    <t>Resin Table Lamp</t>
  </si>
  <si>
    <t>CSNSTORES,JCPENNEY01,KOHLDSN,MACY02,ZOLA</t>
  </si>
  <si>
    <t>39771275-000-000</t>
  </si>
  <si>
    <t>3/28/2022</t>
  </si>
  <si>
    <t>7/7/2022</t>
  </si>
  <si>
    <t>MP95B-0252</t>
  </si>
  <si>
    <t>Wall Decor</t>
  </si>
  <si>
    <t>Boho Notion</t>
  </si>
  <si>
    <t>White Medallion Wood Wall Decor</t>
  </si>
  <si>
    <t>PP001436;PF005003</t>
  </si>
  <si>
    <t>5/21/2020</t>
  </si>
  <si>
    <t>AMAZON,BLK01,CSNSTORES,JCPENNEY01,KOHLDSN,LAMPDS,OLLIIX,TGTDVS</t>
  </si>
  <si>
    <t>36275946-000-000</t>
  </si>
  <si>
    <t>6/4/2020</t>
  </si>
  <si>
    <t>7/13/2020</t>
  </si>
  <si>
    <t>II103-0564</t>
  </si>
  <si>
    <t>Bonn</t>
  </si>
  <si>
    <t>Upholstered 360 Degree Swivel Chair</t>
  </si>
  <si>
    <t>2/28/2024</t>
  </si>
  <si>
    <t>41285717-000-002</t>
  </si>
  <si>
    <t>3/27/2024</t>
  </si>
  <si>
    <t>II103-0563</t>
  </si>
  <si>
    <t>41285717-000-001</t>
  </si>
  <si>
    <t>MP12-8293</t>
  </si>
  <si>
    <t>Bonnie</t>
  </si>
  <si>
    <t>Kairi</t>
  </si>
  <si>
    <t>Miley</t>
  </si>
  <si>
    <t>5 Piece Botanical Floral Seersucker Duvet Cover Set</t>
  </si>
  <si>
    <t>PP001900;PF006064</t>
  </si>
  <si>
    <t>11/18/2023</t>
  </si>
  <si>
    <t>43051592-000-001</t>
  </si>
  <si>
    <t>2/5/2024</t>
  </si>
  <si>
    <t>II100-0219</t>
  </si>
  <si>
    <t>Boomerang</t>
  </si>
  <si>
    <t>Accent Chair</t>
  </si>
  <si>
    <t>PF000109</t>
  </si>
  <si>
    <t>1/9/2018</t>
  </si>
  <si>
    <t>ASHFURNDS,CASTLEGATE,CSNSTORES,HDDS,LAMPDS,OLLIIX,TGTDVS</t>
  </si>
  <si>
    <t>25898951-000-000</t>
  </si>
  <si>
    <t>2/7/2018</t>
  </si>
  <si>
    <t>5/14/2018</t>
  </si>
  <si>
    <t>II95C-0154</t>
  </si>
  <si>
    <t>Botanical Waterfall</t>
  </si>
  <si>
    <t>Eucalyptus 2-piece Framed Canvas Wall Decor Set</t>
  </si>
  <si>
    <t>6/1/2023</t>
  </si>
  <si>
    <t>AMAZON,CSNSTORES,KIRKLANDDS,OLLIIX,TGTDVS</t>
  </si>
  <si>
    <t>42118915-000-000</t>
  </si>
  <si>
    <t>9/18/2023</t>
  </si>
  <si>
    <t>AM10-0030</t>
  </si>
  <si>
    <t>Boulder Stripe</t>
  </si>
  <si>
    <t>Cascade Stripe</t>
  </si>
  <si>
    <t>Highland Stripe</t>
  </si>
  <si>
    <t>Pieced Faux Suede Comforter Set</t>
  </si>
  <si>
    <t>PP001926;PF006148</t>
  </si>
  <si>
    <t>11/4/2023</t>
  </si>
  <si>
    <t>7/19/2024</t>
  </si>
  <si>
    <t>AMAZON,BLK01,CSNSTORES,DESINC,JCPENNEY01,KOHLDSN,MACY02,NRTPORT,TGTDVS</t>
  </si>
  <si>
    <t>42786719-000-005</t>
  </si>
  <si>
    <t>11/3/2023</t>
  </si>
  <si>
    <t>AM10-0290</t>
  </si>
  <si>
    <t>Brick</t>
  </si>
  <si>
    <t>PP001926;PF006375</t>
  </si>
  <si>
    <t>AM10-0291</t>
  </si>
  <si>
    <t>AM10-0292</t>
  </si>
  <si>
    <t>AM10-0031</t>
  </si>
  <si>
    <t>PP001926;PF006149</t>
  </si>
  <si>
    <t>11/21/2023</t>
  </si>
  <si>
    <t>AMAZON,BLK01,CSNSTORES,KOHLDSN,MACY02,NRTPORT,TGTDVS</t>
  </si>
  <si>
    <t>42786719-000-004</t>
  </si>
  <si>
    <t>AM10-0296</t>
  </si>
  <si>
    <t>PP001926;PF006377</t>
  </si>
  <si>
    <t>AM10-0297</t>
  </si>
  <si>
    <t>AM10-0298</t>
  </si>
  <si>
    <t>AM10-0293</t>
  </si>
  <si>
    <t>PP001926;PF006376</t>
  </si>
  <si>
    <t>AM10-0294</t>
  </si>
  <si>
    <t>AM10-0295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</si>
  <si>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</si>
  <si>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</si>
  <si>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</si>
  <si>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</si>
  <si>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</si>
  <si>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</si>
  <si>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</si>
  <si>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</si>
  <si>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</si>
  <si>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</si>
  <si>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</si>
  <si>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</si>
  <si>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</si>
  <si>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</si>
  <si>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</si>
  <si>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</si>
  <si>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</si>
  <si>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</si>
  <si>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</si>
  <si>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</si>
  <si>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</si>
  <si>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</si>
  <si>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</si>
  <si>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</si>
  <si>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</si>
  <si>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MP108-0513</t>
  </si>
  <si>
    <t>Braiden</t>
  </si>
  <si>
    <t>Quimby</t>
  </si>
  <si>
    <t>Garnet</t>
  </si>
  <si>
    <t>Dining Chair (set of 2)</t>
  </si>
  <si>
    <t>PP000621</t>
  </si>
  <si>
    <t>AMAZONDS,CSNSTORES,MACY02F,OLLIIX</t>
  </si>
  <si>
    <t>26569656-000-000</t>
  </si>
  <si>
    <t>3/29/2018</t>
  </si>
  <si>
    <t>10/8/2018</t>
  </si>
  <si>
    <t>WR10-3974</t>
  </si>
  <si>
    <t>Breckenridge</t>
  </si>
  <si>
    <t>Chenille Oversized Comforter Set</t>
  </si>
  <si>
    <t>PF006169</t>
  </si>
  <si>
    <t>Lodge/Cabin|Casual</t>
  </si>
  <si>
    <t>43734676-000-002</t>
  </si>
  <si>
    <t>3/21/2024</t>
  </si>
  <si>
    <t>ID12-2168</t>
  </si>
  <si>
    <t>Bree</t>
  </si>
  <si>
    <t>Mabel</t>
  </si>
  <si>
    <t>Laurel</t>
  </si>
  <si>
    <t>Embroidered Duvet Cover Set</t>
  </si>
  <si>
    <t>PF005813</t>
  </si>
  <si>
    <t>12/13/2022</t>
  </si>
  <si>
    <t>40918824-000-000</t>
  </si>
  <si>
    <t>12/30/2022</t>
  </si>
  <si>
    <t>9/6/2023</t>
  </si>
  <si>
    <t>II21-1304</t>
  </si>
  <si>
    <t>Bree Knit</t>
  </si>
  <si>
    <t>Oblong Pillow Cover</t>
  </si>
  <si>
    <t>12x20"</t>
  </si>
  <si>
    <t>PP001571;PF006068</t>
  </si>
  <si>
    <t>Acrylic</t>
  </si>
  <si>
    <t>19510041-000-006</t>
  </si>
  <si>
    <t>11/20/2023</t>
  </si>
  <si>
    <t>II21-1301</t>
  </si>
  <si>
    <t>Square Pillow Cover</t>
  </si>
  <si>
    <t>19510042-000-007</t>
  </si>
  <si>
    <t>II21-1307</t>
  </si>
  <si>
    <t>Euro Pillow Cover</t>
  </si>
  <si>
    <t>26x26"</t>
  </si>
  <si>
    <t>21015342-000-006</t>
  </si>
  <si>
    <t>II21-1303</t>
  </si>
  <si>
    <t>PP001571;PF006067</t>
  </si>
  <si>
    <t>AMAZONDS,CSNSTORES,TGTDVS</t>
  </si>
  <si>
    <t>19510041-000-007</t>
  </si>
  <si>
    <t>12/7/2023</t>
  </si>
  <si>
    <t>II21-1300</t>
  </si>
  <si>
    <t>19510042-000-008</t>
  </si>
  <si>
    <t>II21-1306</t>
  </si>
  <si>
    <t>AMAZONDS,OLLIIX,TGTDVS</t>
  </si>
  <si>
    <t>21015342-000-007</t>
  </si>
  <si>
    <t>1/29/2024</t>
  </si>
  <si>
    <t>II51-1136</t>
  </si>
  <si>
    <t>PP001571;PF005282</t>
  </si>
  <si>
    <t>1/16/2021</t>
  </si>
  <si>
    <t>AMAZON,CSNSTORES,JCPENNEY01,KIRKLANDDS,KOHLDSN,MACY02,TGTDVS</t>
  </si>
  <si>
    <t>18986582-000-015</t>
  </si>
  <si>
    <t>1/17/2021</t>
  </si>
  <si>
    <t>3/23/2021</t>
  </si>
  <si>
    <t>II51-1137</t>
  </si>
  <si>
    <t>AMAZON,AMAZONDS,ASHFURNDS,BLK01,CSNSTORES,JCPENNEY01,KIRKLANDDS,KOHLDSN,MACY02,TGTDVS</t>
  </si>
  <si>
    <t>18986582-000-016</t>
  </si>
  <si>
    <t>2/14/2021</t>
  </si>
  <si>
    <t>II30-1141</t>
  </si>
  <si>
    <t>DESINC,KOHLDSN,TGTDVS</t>
  </si>
  <si>
    <t>19510041-000-005</t>
  </si>
  <si>
    <t>2/23/2021</t>
  </si>
  <si>
    <t>II30-1139</t>
  </si>
  <si>
    <t>1/13/2021</t>
  </si>
  <si>
    <t>19510042-000-005</t>
  </si>
  <si>
    <t>1/24/2021</t>
  </si>
  <si>
    <t>2/9/2021</t>
  </si>
  <si>
    <t>II51-1142</t>
  </si>
  <si>
    <t>PP001571;PF005283</t>
  </si>
  <si>
    <t>AMAZON,CSNSTORES,KIRKLANDDS,KOHLDSN,MACY02,TGTDVS</t>
  </si>
  <si>
    <t>18986582-000-017</t>
  </si>
  <si>
    <t>II51-1143</t>
  </si>
  <si>
    <t>AMAZON,ASHFURNDS,CSNSTORES,JCPENNEY01,KIRKLANDDS,KOHLDSN,MACY02,TGTDVS</t>
  </si>
  <si>
    <t>18986582-000-013</t>
  </si>
  <si>
    <t>1/22/2021</t>
  </si>
  <si>
    <t>II51-1144</t>
  </si>
  <si>
    <t>AMAZON,CSNSTORES,JCPENNEY01,KIRKLANDDS,KOHLDSN,MACY02,OLLIIX,TGTDVS</t>
  </si>
  <si>
    <t>18986582-000-014</t>
  </si>
  <si>
    <t>2/18/2021</t>
  </si>
  <si>
    <t>II51-724</t>
  </si>
  <si>
    <t>PF003487</t>
  </si>
  <si>
    <t>AMAZON,BLK01,CSNSTORES,KOHLDSN,MACY02,TGTDVS</t>
  </si>
  <si>
    <t>18986582-000-000</t>
  </si>
  <si>
    <t>8/5/2016</t>
  </si>
  <si>
    <t>II30-740</t>
  </si>
  <si>
    <t>JCPENNEY01,KIRKLANDDS,KOHLDSN,MACY02,TGTDVS</t>
  </si>
  <si>
    <t>19510041-000-000</t>
  </si>
  <si>
    <t>10/10/2016</t>
  </si>
  <si>
    <t>II30-871</t>
  </si>
  <si>
    <t>AMAZON,BLK01,JCPENNEY01,KOHLDSN,MACY02,OLLIIX,TGTDVS</t>
  </si>
  <si>
    <t>21015342-000-000</t>
  </si>
  <si>
    <t>2/23/2017</t>
  </si>
  <si>
    <t>4/5/2017</t>
  </si>
  <si>
    <t>II51-1308</t>
  </si>
  <si>
    <t>PP001571;PF006066</t>
  </si>
  <si>
    <t>18986582-000-019</t>
  </si>
  <si>
    <t>10/25/2023</t>
  </si>
  <si>
    <t>II51-1309</t>
  </si>
  <si>
    <t>18986582-000-020</t>
  </si>
  <si>
    <t>II51-1310</t>
  </si>
  <si>
    <t>18986582-000-018</t>
  </si>
  <si>
    <t>11/24/2023</t>
  </si>
  <si>
    <t>II21-1302</t>
  </si>
  <si>
    <t>19510041-000-008</t>
  </si>
  <si>
    <t>II21-1299</t>
  </si>
  <si>
    <t>AMAZON,AMAZONDS,OLLIIX,TGTDVS</t>
  </si>
  <si>
    <t>19510042-000-006</t>
  </si>
  <si>
    <t>FPF18-0442</t>
  </si>
  <si>
    <t>Brentwood</t>
  </si>
  <si>
    <t>Cole</t>
  </si>
  <si>
    <t>Hudson</t>
  </si>
  <si>
    <t>Exposed Wood Arm Chair</t>
  </si>
  <si>
    <t>Grey/White</t>
  </si>
  <si>
    <t>PF000020;PP000101</t>
  </si>
  <si>
    <t>CSNSTORES,HOUZZ,OLLIIX,ROOMECOM</t>
  </si>
  <si>
    <t>18121092-000-000</t>
  </si>
  <si>
    <t>6/2/2016</t>
  </si>
  <si>
    <t>WR54-1997</t>
  </si>
  <si>
    <t>Brewster</t>
  </si>
  <si>
    <t>Oversized Mink to Berber Heated Throw</t>
  </si>
  <si>
    <t>60x70"</t>
  </si>
  <si>
    <t>Blue/Green</t>
  </si>
  <si>
    <t>PF003515</t>
  </si>
  <si>
    <t>9/29/2017</t>
  </si>
  <si>
    <t>KOHLDSN,OLLIIX</t>
  </si>
  <si>
    <t>23999157-000-000</t>
  </si>
  <si>
    <t>10/5/2017</t>
  </si>
  <si>
    <t>MP103-1229</t>
  </si>
  <si>
    <t>Brianne</t>
  </si>
  <si>
    <t>Betty</t>
  </si>
  <si>
    <t>Mitchell</t>
  </si>
  <si>
    <t>Wide Seat Swivel Arm Chair Set of 2</t>
  </si>
  <si>
    <t>PF001101</t>
  </si>
  <si>
    <t>5/5/2021</t>
  </si>
  <si>
    <t>44069122-000-000</t>
  </si>
  <si>
    <t>ID10-2143</t>
  </si>
  <si>
    <t>Brielle</t>
  </si>
  <si>
    <t>Ella</t>
  </si>
  <si>
    <t>Ombre Shaggy Long Fur Comforter Mini Set</t>
  </si>
  <si>
    <t>PP001784;PF005743</t>
  </si>
  <si>
    <t>AMAZON,CSNSTORES,JCPENNEY01,KOHLDSN,MACY02,OLLIIX,TGTDVS</t>
  </si>
  <si>
    <t>40279133-000-004</t>
  </si>
  <si>
    <t>8/18/2022</t>
  </si>
  <si>
    <t>9/23/2022</t>
  </si>
  <si>
    <t>II154-0157</t>
  </si>
  <si>
    <t>Brillora</t>
  </si>
  <si>
    <t>Floor lamp</t>
  </si>
  <si>
    <t>Gold/Marble</t>
  </si>
  <si>
    <t>MP104-0041</t>
  </si>
  <si>
    <t>Brody</t>
  </si>
  <si>
    <t>Victor</t>
  </si>
  <si>
    <t>Taye</t>
  </si>
  <si>
    <t>Wing Counter Stool</t>
  </si>
  <si>
    <t>PF000286;PP000104</t>
  </si>
  <si>
    <t>20549819-000-000</t>
  </si>
  <si>
    <t>12/21/2016</t>
  </si>
  <si>
    <t>4/27/2017</t>
  </si>
  <si>
    <t>FPF18-0108</t>
  </si>
  <si>
    <t>Brooke</t>
  </si>
  <si>
    <t>Miri</t>
  </si>
  <si>
    <t>Annie</t>
  </si>
  <si>
    <t>Tight Back Club Chair</t>
  </si>
  <si>
    <t>PF000602;PP000105</t>
  </si>
  <si>
    <t>7/14/2024</t>
  </si>
  <si>
    <t>ASHFURNDS,CASTLEGATE,CSNSTORES,KOHLDSN,MACY02F,ROOMECOM</t>
  </si>
  <si>
    <t>17880191-000-000</t>
  </si>
  <si>
    <t>UH12-2156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</si>
  <si>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</si>
  <si>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</si>
  <si>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</si>
  <si>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</si>
  <si>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</si>
  <si>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</si>
  <si>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</si>
  <si>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</si>
  <si>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AMAZON,CSNSTORES,KOHLDSN,TGTDVS</t>
  </si>
  <si>
    <t>22066583-000-017</t>
  </si>
  <si>
    <t>3/19/2018</t>
  </si>
  <si>
    <t>5/10/2018</t>
  </si>
  <si>
    <t>UH12-2158</t>
  </si>
  <si>
    <t>AMAZON,CSNSTORES,TGTDVS</t>
  </si>
  <si>
    <t>22066583-000-016</t>
  </si>
  <si>
    <t>5/29/2018</t>
  </si>
  <si>
    <t>UH10-2255</t>
  </si>
  <si>
    <t>Cotton Jacquard Comforter Set with Euro Shams and Throw Pillows</t>
  </si>
  <si>
    <t>PP000834;PF004683</t>
  </si>
  <si>
    <t>5/15/2019</t>
  </si>
  <si>
    <t>AMAZON,BLK01,JCPENNEY01,KOHLDSN,OLLIIX,ROOMECOM,TGTDVS</t>
  </si>
  <si>
    <t>22066584-000-004</t>
  </si>
  <si>
    <t>6/7/2019</t>
  </si>
  <si>
    <t>UH12-2258</t>
  </si>
  <si>
    <t>5/14/2019</t>
  </si>
  <si>
    <t>22066583-000-007</t>
  </si>
  <si>
    <t>5/16/2019</t>
  </si>
  <si>
    <t>6/24/2019</t>
  </si>
  <si>
    <t>UH10-2256</t>
  </si>
  <si>
    <t>AMAZON,BLK01,CSNSTORES,KOHLDSN,MACY02,OLLIIX,ROOMECOM,TGTDVS,ZOLA</t>
  </si>
  <si>
    <t>22066584-000-006</t>
  </si>
  <si>
    <t>6/2/2019</t>
  </si>
  <si>
    <t>UH12-2260</t>
  </si>
  <si>
    <t>22066583-000-003</t>
  </si>
  <si>
    <t>6/6/2019</t>
  </si>
  <si>
    <t>UH12-2164</t>
  </si>
  <si>
    <t>PP000834;PF004166</t>
  </si>
  <si>
    <t>9/2/2024</t>
  </si>
  <si>
    <t>AMAZON,BLK01,CSNSTORES,KOHLDSN,MACY02,OLLIIX,TGTDVS</t>
  </si>
  <si>
    <t>22066583-000-012</t>
  </si>
  <si>
    <t>3/27/2018</t>
  </si>
  <si>
    <t>UH70-2312</t>
  </si>
  <si>
    <t>Cotton Jacquard Pom Pom Shower Curtain</t>
  </si>
  <si>
    <t>70x72"</t>
  </si>
  <si>
    <t>Indigo Blue</t>
  </si>
  <si>
    <t>PP000834;PF004684</t>
  </si>
  <si>
    <t>1/8/2020</t>
  </si>
  <si>
    <t>AMAZON,CSNSTORES,HDDS,JCPENNEY01,KIRKLANDDS,KOHLDSN,MACY02,TGTDVS</t>
  </si>
  <si>
    <t>31010783-000-005</t>
  </si>
  <si>
    <t>1/10/2020</t>
  </si>
  <si>
    <t>3/17/2020</t>
  </si>
  <si>
    <t>UH70-2241</t>
  </si>
  <si>
    <t>Brooklyn Cotton Jacquard Pom Pom Shower Curtain</t>
  </si>
  <si>
    <t>PF002470;PP000834</t>
  </si>
  <si>
    <t>12/27/2018</t>
  </si>
  <si>
    <t>31010783-000-003</t>
  </si>
  <si>
    <t>12/31/2018</t>
  </si>
  <si>
    <t>1/14/2019</t>
  </si>
  <si>
    <t>UH12-2264</t>
  </si>
  <si>
    <t>5/10/2019</t>
  </si>
  <si>
    <t>22066583-000-004</t>
  </si>
  <si>
    <t>6/10/2019</t>
  </si>
  <si>
    <t>6/21/2019</t>
  </si>
  <si>
    <t>UH12-2265</t>
  </si>
  <si>
    <t>AMAZON,DESINC,KOHLDSN,TGTDVS</t>
  </si>
  <si>
    <t>22066583-000-005</t>
  </si>
  <si>
    <t>5/20/2019</t>
  </si>
  <si>
    <t>UH12-2266</t>
  </si>
  <si>
    <t>22066583-000-006</t>
  </si>
  <si>
    <t>7/20/2019</t>
  </si>
  <si>
    <t>UH12-0207</t>
  </si>
  <si>
    <t>PF002471</t>
  </si>
  <si>
    <t>4/22/2017</t>
  </si>
  <si>
    <t>AMAZON,CSNSTORES,KOHLDSN,MACY02,NEBFUR01,TGTDVS</t>
  </si>
  <si>
    <t>22066583-000-010</t>
  </si>
  <si>
    <t>5/4/2017</t>
  </si>
  <si>
    <t>5/12/2017</t>
  </si>
  <si>
    <t>UH12-0209</t>
  </si>
  <si>
    <t>22066583-000-011</t>
  </si>
  <si>
    <t>5/18/2017</t>
  </si>
  <si>
    <t>UH70-2242</t>
  </si>
  <si>
    <t>PF002471;PP000834</t>
  </si>
  <si>
    <t>AMAZON,AMAZONDS,HDDS,KOHLDSN,MACY02,OLLIIX</t>
  </si>
  <si>
    <t>31010783-000-001</t>
  </si>
  <si>
    <t>4/26/2019</t>
  </si>
  <si>
    <t>UH10-2494</t>
  </si>
  <si>
    <t>Rust</t>
  </si>
  <si>
    <t>PP000834;PF006097</t>
  </si>
  <si>
    <t>12/30/2023</t>
  </si>
  <si>
    <t>9/6/2024</t>
  </si>
  <si>
    <t>22066584-000-019</t>
  </si>
  <si>
    <t>1/2/2024</t>
  </si>
  <si>
    <t>UH12-2497</t>
  </si>
  <si>
    <t>22066583-000-020</t>
  </si>
  <si>
    <t>1/21/2024</t>
  </si>
  <si>
    <t>UH10-2495</t>
  </si>
  <si>
    <t>AMAZON,CSNSTORES,KOHLDSN,OLLIIX,TGTDVS</t>
  </si>
  <si>
    <t>22066584-000-018</t>
  </si>
  <si>
    <t>1/1/2024</t>
  </si>
  <si>
    <t>1/15/2024</t>
  </si>
  <si>
    <t>UH10-2496</t>
  </si>
  <si>
    <t>22066584-000-020</t>
  </si>
  <si>
    <t>1/8/2024</t>
  </si>
  <si>
    <t>UH12-2499</t>
  </si>
  <si>
    <t>CSNSTORES,JCPENNEY01,KOHLDSN</t>
  </si>
  <si>
    <t>22066583-000-019</t>
  </si>
  <si>
    <t>MP40-4363</t>
  </si>
  <si>
    <t>Peyton</t>
  </si>
  <si>
    <t>Metallic Geo Embroidered Curtain Panel</t>
  </si>
  <si>
    <t>PF003865</t>
  </si>
  <si>
    <t>CSNSTORES,JCPENNEY01,KOHLDSN,OLLIIX,TGTDVS</t>
  </si>
  <si>
    <t>22077954-000-004</t>
  </si>
  <si>
    <t>5/8/2017</t>
  </si>
  <si>
    <t>11/29/2017</t>
  </si>
  <si>
    <t>MP40-4364</t>
  </si>
  <si>
    <t>BLK01,CSNSTORES,MACY02,TGTDVS</t>
  </si>
  <si>
    <t>22077954-000-005</t>
  </si>
  <si>
    <t>6/28/2017</t>
  </si>
  <si>
    <t>TN10-0436</t>
  </si>
  <si>
    <t>Brooks</t>
  </si>
  <si>
    <t>Mason</t>
  </si>
  <si>
    <t>Print Sherpa Down Alternative Comforter Set</t>
  </si>
  <si>
    <t>Ivory/Black</t>
  </si>
  <si>
    <t>PP001517;PF005150</t>
  </si>
  <si>
    <t>8/27/2020</t>
  </si>
  <si>
    <t>36573277-000-001</t>
  </si>
  <si>
    <t>9/11/2020</t>
  </si>
  <si>
    <t>HH10-1832</t>
  </si>
  <si>
    <t>5 Piece Oversized Cotton Stripe Comforter Set</t>
  </si>
  <si>
    <t>White/Blue</t>
  </si>
  <si>
    <t>PP001815;PF005827</t>
  </si>
  <si>
    <t>12/6/2022</t>
  </si>
  <si>
    <t>CSNSTORES,JCPENNEY01,OLLIIX</t>
  </si>
  <si>
    <t>40856495-000-000</t>
  </si>
  <si>
    <t>12/8/2022</t>
  </si>
  <si>
    <t>1/26/2023</t>
  </si>
  <si>
    <t>MP104-1238</t>
  </si>
  <si>
    <t>Bryce</t>
  </si>
  <si>
    <t>Robertson</t>
  </si>
  <si>
    <t>Thornton</t>
  </si>
  <si>
    <t>26"H Upholstered Counter Stool with Metal Base</t>
  </si>
  <si>
    <t>43333499-000-000</t>
  </si>
  <si>
    <t>2/1/2024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</si>
  <si>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</si>
  <si>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</si>
  <si>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</si>
  <si>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</si>
  <si>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</si>
  <si>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</si>
  <si>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</si>
  <si>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PET66PT6022</t>
  </si>
  <si>
    <t>Dino Rubber Toy 2PK</t>
  </si>
  <si>
    <t>Citron/Orange</t>
  </si>
  <si>
    <t>3/31/2023</t>
  </si>
  <si>
    <t>43809386-000-004</t>
  </si>
  <si>
    <t>PET66PT6025-SM</t>
  </si>
  <si>
    <t>Kettlebell Rubber Toy SM</t>
  </si>
  <si>
    <t>Orange</t>
  </si>
  <si>
    <t>AMAZON,AMAZONDS</t>
  </si>
  <si>
    <t>43809386-000-003</t>
  </si>
  <si>
    <t>PET66PT6024</t>
  </si>
  <si>
    <t>Fruit Toy 2PK</t>
  </si>
  <si>
    <t>Orange/Banana</t>
  </si>
  <si>
    <t>AMAZONDS,OLLIIX</t>
  </si>
  <si>
    <t>43809386-000-001</t>
  </si>
  <si>
    <t>PET66PT6023</t>
  </si>
  <si>
    <t>Dumbbell Rubber Toy 2PK</t>
  </si>
  <si>
    <t>Pink/Orange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</si>
  <si>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</si>
  <si>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</si>
  <si>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</si>
  <si>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</si>
  <si>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</si>
  <si>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</si>
  <si>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</si>
  <si>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</si>
  <si>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</si>
  <si>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</si>
  <si>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</si>
  <si>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</si>
  <si>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</si>
  <si>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</si>
  <si>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</si>
  <si>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</si>
  <si>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WR51-3914</t>
  </si>
  <si>
    <t>Burlington</t>
  </si>
  <si>
    <t>Berber Blanket</t>
  </si>
  <si>
    <t>PP001175;PF005983</t>
  </si>
  <si>
    <t>5/18/2023</t>
  </si>
  <si>
    <t>24214447-000-018</t>
  </si>
  <si>
    <t>5/22/2023</t>
  </si>
  <si>
    <t>9/25/2023</t>
  </si>
  <si>
    <t>WR51-3915</t>
  </si>
  <si>
    <t>AMAZON,CSNSTORES,DESINC,FINGERHUTDS,JCPENNEY01,KOHLDSN,MACY02,TGTDVS</t>
  </si>
  <si>
    <t>24214447-000-022</t>
  </si>
  <si>
    <t>6/6/2023</t>
  </si>
  <si>
    <t>WR51-3912</t>
  </si>
  <si>
    <t>PP001175;PF005982</t>
  </si>
  <si>
    <t>6/18/2024</t>
  </si>
  <si>
    <t>24214447-000-016</t>
  </si>
  <si>
    <t>II10-1330</t>
  </si>
  <si>
    <t>Cairo</t>
  </si>
  <si>
    <t>3 Piece Cotton Jacquard Comforter Set</t>
  </si>
  <si>
    <t>PF006275;PP001968</t>
  </si>
  <si>
    <t>II12-1332</t>
  </si>
  <si>
    <t>3 Piece Cotton Jacquard Duvet Set</t>
  </si>
  <si>
    <t>II10-1331</t>
  </si>
  <si>
    <t>II12-1333</t>
  </si>
  <si>
    <t>MP100-1109</t>
  </si>
  <si>
    <t>Calder</t>
  </si>
  <si>
    <t>Cabrillo</t>
  </si>
  <si>
    <t>Webster</t>
  </si>
  <si>
    <t>Metal Leg Accent chair</t>
  </si>
  <si>
    <t>CSNSTORES,HDDS,OLLIIX,TGTDVS</t>
  </si>
  <si>
    <t>38194566-000-000</t>
  </si>
  <si>
    <t>8/23/2021</t>
  </si>
  <si>
    <t>MP130-1177</t>
  </si>
  <si>
    <t>Cali</t>
  </si>
  <si>
    <t>Allen</t>
  </si>
  <si>
    <t>Mallard</t>
  </si>
  <si>
    <t>3-Drawer Accent Chest</t>
  </si>
  <si>
    <t>2/15/2022</t>
  </si>
  <si>
    <t>39669208-000-000</t>
  </si>
  <si>
    <t>6/13/2023</t>
  </si>
  <si>
    <t>II150-0153</t>
  </si>
  <si>
    <t>Calista</t>
  </si>
  <si>
    <t>8-Light Metal Chandelier with Globe Bulbs</t>
  </si>
  <si>
    <t>Gold/Clear</t>
  </si>
  <si>
    <t>43652589-000-000</t>
  </si>
  <si>
    <t>3/4/2024</t>
  </si>
  <si>
    <t>CCA70-0021</t>
  </si>
  <si>
    <t>Calistoga</t>
  </si>
  <si>
    <t>Matelasse Shower Curtain</t>
  </si>
  <si>
    <t>One Size</t>
  </si>
  <si>
    <t>42057694-000-000</t>
  </si>
  <si>
    <t>10/13/2023</t>
  </si>
  <si>
    <t>CCA70-0020</t>
  </si>
  <si>
    <t>DLCROSCILL,HOUZZ,KOHLDSN,OLLIIX</t>
  </si>
  <si>
    <t>42057694-000-001</t>
  </si>
  <si>
    <t>CCA12-0006</t>
  </si>
  <si>
    <t>Callista</t>
  </si>
  <si>
    <t>10/20/2022</t>
  </si>
  <si>
    <t>CSNSTORES,DESINC,MACY02</t>
  </si>
  <si>
    <t>42062615-000-000</t>
  </si>
  <si>
    <t>11/13/2023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</si>
  <si>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</si>
  <si>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</si>
  <si>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</si>
  <si>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</si>
  <si>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</si>
  <si>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</si>
  <si>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</si>
  <si>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CSNSTORES,HDDS,KOHLDSN,MACY02,TGTDVS</t>
  </si>
  <si>
    <t>34332643-000-001</t>
  </si>
  <si>
    <t>9/16/2019</t>
  </si>
  <si>
    <t>11/19/2019</t>
  </si>
  <si>
    <t>UH12-2299</t>
  </si>
  <si>
    <t>Cotton Duvet Cover Set</t>
  </si>
  <si>
    <t>34332644-000-004</t>
  </si>
  <si>
    <t>UH12-2349</t>
  </si>
  <si>
    <t>Cotton Jacquard Duvet Cover Set</t>
  </si>
  <si>
    <t>PP001337;PF005185</t>
  </si>
  <si>
    <t>34332644-000-008</t>
  </si>
  <si>
    <t>10/19/2020</t>
  </si>
  <si>
    <t>MP103-1233</t>
  </si>
  <si>
    <t>Calvin</t>
  </si>
  <si>
    <t>Gayla</t>
  </si>
  <si>
    <t>Galva</t>
  </si>
  <si>
    <t>PF001099</t>
  </si>
  <si>
    <t>6/17/2021</t>
  </si>
  <si>
    <t>44063498-000-000</t>
  </si>
  <si>
    <t>MP51-2607</t>
  </si>
  <si>
    <t>Filled Blanket</t>
  </si>
  <si>
    <t>Cambria</t>
  </si>
  <si>
    <t>Parkman</t>
  </si>
  <si>
    <t>Oversized Down Alternative Blanket with Satin Trim</t>
  </si>
  <si>
    <t>PF002158;PP000919</t>
  </si>
  <si>
    <t>AMAZON,AMAZONDS,CSNSTORES,JCPENNEY01,KOHLDSN,MACY02,OLLIIX,TGTDVS,WALMARTDS</t>
  </si>
  <si>
    <t>18666104-000-009</t>
  </si>
  <si>
    <t>5/2/2016</t>
  </si>
  <si>
    <t>MP51-7650</t>
  </si>
  <si>
    <t>PP000919;PF005512</t>
  </si>
  <si>
    <t>8/28/2021</t>
  </si>
  <si>
    <t>18666104-000-020</t>
  </si>
  <si>
    <t>9/5/2021</t>
  </si>
  <si>
    <t>MP51-2598</t>
  </si>
  <si>
    <t>PF002155;PP000919</t>
  </si>
  <si>
    <t>AMAZON,BLK01,CSNSTORES,DESINC,JCPENNEY01,KOHLDSN,MACY02,OLLIIX,TGTDVS,WALMARTDS</t>
  </si>
  <si>
    <t>18666104-000-000</t>
  </si>
  <si>
    <t>7/28/2016</t>
  </si>
  <si>
    <t>MP51-2601</t>
  </si>
  <si>
    <t>PF002156;PP000919</t>
  </si>
  <si>
    <t>9/24/2024</t>
  </si>
  <si>
    <t>AMAZON,KOHLDSN,MACY02,OLLIIX</t>
  </si>
  <si>
    <t>18666104-000-003</t>
  </si>
  <si>
    <t>5/13/2016</t>
  </si>
  <si>
    <t>MT151-0067</t>
  </si>
  <si>
    <t>Camden</t>
  </si>
  <si>
    <t>4-Light Glass Bowl Shaped Chandelier</t>
  </si>
  <si>
    <t>AMAZONDS,CSNSTORES</t>
  </si>
  <si>
    <t>40806913-000-000</t>
  </si>
  <si>
    <t>MP35-7571</t>
  </si>
  <si>
    <t>Camdyn</t>
  </si>
  <si>
    <t>Ellie</t>
  </si>
  <si>
    <t>Wendy</t>
  </si>
  <si>
    <t>Super Soft Polyester Shag Area Rug</t>
  </si>
  <si>
    <t>7/12/2021</t>
  </si>
  <si>
    <t>38687418-000-006</t>
  </si>
  <si>
    <t>8/12/2021</t>
  </si>
  <si>
    <t>4/2/2024</t>
  </si>
  <si>
    <t>MP35-7568</t>
  </si>
  <si>
    <t>Scatter</t>
  </si>
  <si>
    <t>38687418-000-007</t>
  </si>
  <si>
    <t>MP35-7573</t>
  </si>
  <si>
    <t>4x6'</t>
  </si>
  <si>
    <t>38687418-000-003</t>
  </si>
  <si>
    <t>MP35-7574</t>
  </si>
  <si>
    <t>HDDS,JCPENNEY01</t>
  </si>
  <si>
    <t>38687418-000-001</t>
  </si>
  <si>
    <t>MP35-7575</t>
  </si>
  <si>
    <t>38687418-000-000</t>
  </si>
  <si>
    <t>4/7/2024</t>
  </si>
  <si>
    <t>MP35-7572</t>
  </si>
  <si>
    <t>38687418-000-005</t>
  </si>
  <si>
    <t>ID10-2170</t>
  </si>
  <si>
    <t>Camila</t>
  </si>
  <si>
    <t>Zoe</t>
  </si>
  <si>
    <t>Isla</t>
  </si>
  <si>
    <t>Reversible Comforter Set</t>
  </si>
  <si>
    <t>Black/White</t>
  </si>
  <si>
    <t>PF005814</t>
  </si>
  <si>
    <t>Global</t>
  </si>
  <si>
    <t>Casual|Global Inspired</t>
  </si>
  <si>
    <t>10/11/2022</t>
  </si>
  <si>
    <t>40655568-000-001</t>
  </si>
  <si>
    <t>ID12-2173</t>
  </si>
  <si>
    <t>Reversible Duvet Cover Set</t>
  </si>
  <si>
    <t>40656124-000-001</t>
  </si>
  <si>
    <t>MP103-1226</t>
  </si>
  <si>
    <t>Capstone</t>
  </si>
  <si>
    <t>Wilmette</t>
  </si>
  <si>
    <t>Milton</t>
  </si>
  <si>
    <t>Tufted Barrel Swivel Chair</t>
  </si>
  <si>
    <t>22701323-000-002</t>
  </si>
  <si>
    <t>MP103-0242</t>
  </si>
  <si>
    <t>Slate</t>
  </si>
  <si>
    <t>PF001102</t>
  </si>
  <si>
    <t>5/25/2017</t>
  </si>
  <si>
    <t>AMERSIGNDS,ASHFURNDS,CASTLEGATE,MACY02F,OLLIIX</t>
  </si>
  <si>
    <t>22701323-000-000</t>
  </si>
  <si>
    <t>6/25/2017</t>
  </si>
  <si>
    <t>MP10-8288</t>
  </si>
  <si>
    <t>Caralie</t>
  </si>
  <si>
    <t>Evian</t>
  </si>
  <si>
    <t>Tulia</t>
  </si>
  <si>
    <t>5 Piece Seersucker Comforter Set with Throw Pillows</t>
  </si>
  <si>
    <t>PP001862;PF006062</t>
  </si>
  <si>
    <t>AMAZON,CSNSTORES,JCPENNEY01,KOHLDSN</t>
  </si>
  <si>
    <t>41591582-000-002</t>
  </si>
  <si>
    <t>9/7/2023</t>
  </si>
  <si>
    <t>MP10-8204</t>
  </si>
  <si>
    <t>PP001862;PF005960</t>
  </si>
  <si>
    <t>5/11/2023</t>
  </si>
  <si>
    <t>AMAZON,CSNSTORES,KOHLDSN,MACY02,NRTPORT</t>
  </si>
  <si>
    <t>41591582-000-001</t>
  </si>
  <si>
    <t>5/15/2023</t>
  </si>
  <si>
    <t>II30-221</t>
  </si>
  <si>
    <t>Cario</t>
  </si>
  <si>
    <t>Embroidered Square Pillow</t>
  </si>
  <si>
    <t>PF003342;PP000371;PP000454;PP000478</t>
  </si>
  <si>
    <t>AMAZON,BEALLSDS,BLK01,KIRKLANDDS,KOHLDSN,MACY02,OLLIIX,TGTDVS</t>
  </si>
  <si>
    <t>17160777-000-000</t>
  </si>
  <si>
    <t>4/15/2015</t>
  </si>
  <si>
    <t>MT120-1189</t>
  </si>
  <si>
    <t>Round Coffee Table with Interchangeable Wood and Glass Top</t>
  </si>
  <si>
    <t>40366098-000-000</t>
  </si>
  <si>
    <t>9/5/2022</t>
  </si>
  <si>
    <t>1/17/2024</t>
  </si>
  <si>
    <t>MP104-1261</t>
  </si>
  <si>
    <t>Carson</t>
  </si>
  <si>
    <t>Fillmore</t>
  </si>
  <si>
    <t>Troy</t>
  </si>
  <si>
    <t>Counter Stool with Swivel Seat Set of 2</t>
  </si>
  <si>
    <t>PP000620</t>
  </si>
  <si>
    <t>1/17/2018</t>
  </si>
  <si>
    <t>6/9/2024</t>
  </si>
  <si>
    <t>26360395-000-005</t>
  </si>
  <si>
    <t>4/22/2024</t>
  </si>
  <si>
    <t>MP108-1264</t>
  </si>
  <si>
    <t>Upholstered Wingback Dining Chair Set of 2</t>
  </si>
  <si>
    <t>8/24/2024</t>
  </si>
  <si>
    <t>26377787-000-003</t>
  </si>
  <si>
    <t>4/24/2024</t>
  </si>
  <si>
    <t>MP104-0986</t>
  </si>
  <si>
    <t>Counter Stool with Swivel Seat</t>
  </si>
  <si>
    <t>6/15/2020</t>
  </si>
  <si>
    <t>6/23/2024</t>
  </si>
  <si>
    <t>BLK01,CASTLEGATE,CSNSTORES,LAMPDS,OLLIIX</t>
  </si>
  <si>
    <t>26360395-000-001</t>
  </si>
  <si>
    <t>6/18/2020</t>
  </si>
  <si>
    <t>6/24/2020</t>
  </si>
  <si>
    <t>MP108-1265</t>
  </si>
  <si>
    <t>12/9/2019</t>
  </si>
  <si>
    <t>8/10/2024</t>
  </si>
  <si>
    <t>26377787-000-004</t>
  </si>
  <si>
    <t>MP108-1266</t>
  </si>
  <si>
    <t>Light Sage Green</t>
  </si>
  <si>
    <t>12/4/2022</t>
  </si>
  <si>
    <t>MP104-1263</t>
  </si>
  <si>
    <t>26360395-000-003</t>
  </si>
  <si>
    <t>MP51-8426</t>
  </si>
  <si>
    <t>Carved Plush</t>
  </si>
  <si>
    <t>PP001953;PF006224</t>
  </si>
  <si>
    <t>AMAZON,AMAZONDS,KOHLDSN</t>
  </si>
  <si>
    <t>43785953-000-003</t>
  </si>
  <si>
    <t>MP51-8427</t>
  </si>
  <si>
    <t>3/30/2024</t>
  </si>
  <si>
    <t>AMAZON,AMAZONDS,KOHLDSN,OLLIIX</t>
  </si>
  <si>
    <t>43785953-000-006</t>
  </si>
  <si>
    <t>MP51-8428</t>
  </si>
  <si>
    <t>AMAZON,AMAZONDS,KOHLDSN,TGTDVS</t>
  </si>
  <si>
    <t>43785953-000-011</t>
  </si>
  <si>
    <t>MP51-8423</t>
  </si>
  <si>
    <t>PP001953;PF006223</t>
  </si>
  <si>
    <t>43785953-000-013</t>
  </si>
  <si>
    <t>MP51-8425</t>
  </si>
  <si>
    <t>43785953-000-008</t>
  </si>
  <si>
    <t>MP51-8420</t>
  </si>
  <si>
    <t>PP001953;PF006222</t>
  </si>
  <si>
    <t>43785953-000-009</t>
  </si>
  <si>
    <t>MP51-8421</t>
  </si>
  <si>
    <t>43785953-000-000</t>
  </si>
  <si>
    <t>MP51-8414</t>
  </si>
  <si>
    <t>PP001953;PF006220</t>
  </si>
  <si>
    <t>43785953-000-007</t>
  </si>
  <si>
    <t>MP51-8415</t>
  </si>
  <si>
    <t>43785953-000-005</t>
  </si>
  <si>
    <t>MP51-8416</t>
  </si>
  <si>
    <t>43785953-000-002</t>
  </si>
  <si>
    <t>MP95C-0297</t>
  </si>
  <si>
    <t>Cassia</t>
  </si>
  <si>
    <t>Embellished Floral 2-piece Canvas Wall Art Set</t>
  </si>
  <si>
    <t>PP001774</t>
  </si>
  <si>
    <t>4/12/2022</t>
  </si>
  <si>
    <t>CSNSTORES,DESINC,JCPENNEY01,KOHLDSN,LAMPDS,OLLIIX,TGTDVS,ZOLA,Zulily</t>
  </si>
  <si>
    <t>39841033-000-000</t>
  </si>
  <si>
    <t>4/15/2022</t>
  </si>
  <si>
    <t>10/19/2022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</si>
  <si>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</si>
  <si>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</si>
  <si>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</si>
  <si>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</si>
  <si>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</si>
  <si>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</si>
  <si>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</si>
  <si>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</si>
  <si>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43794265-000-001</t>
  </si>
  <si>
    <t>4/3/2024</t>
  </si>
  <si>
    <t>ID12-2360</t>
  </si>
  <si>
    <t>43794265-000-000</t>
  </si>
  <si>
    <t>ID12-2262</t>
  </si>
  <si>
    <t>Cassiopeia</t>
  </si>
  <si>
    <t>Lisa</t>
  </si>
  <si>
    <t>Watercolor Tie Dye Printed Duvet Cover Set with Throw Pillow</t>
  </si>
  <si>
    <t>PF005394;PP001904</t>
  </si>
  <si>
    <t>38019805-000-005</t>
  </si>
  <si>
    <t>2/20/2024</t>
  </si>
  <si>
    <t>ID10-2385</t>
  </si>
  <si>
    <t>Watercolor Tie Dye Printed Comforter Set with Throw Pillow</t>
  </si>
  <si>
    <t>PP001904;PF006265</t>
  </si>
  <si>
    <t>ID12-2388</t>
  </si>
  <si>
    <t>ID10-2386</t>
  </si>
  <si>
    <t>ID12-2389</t>
  </si>
  <si>
    <t>ID10-2387</t>
  </si>
  <si>
    <t>ID12-2390</t>
  </si>
  <si>
    <t>ID10-2255</t>
  </si>
  <si>
    <t>PP001904;PF006071</t>
  </si>
  <si>
    <t>AMAZON,CSNSTORES,JCPENNEY01,KOHLDSN,TGTDVS</t>
  </si>
  <si>
    <t>37999199-000-004</t>
  </si>
  <si>
    <t>ID12-2260</t>
  </si>
  <si>
    <t>38019805-000-002</t>
  </si>
  <si>
    <t>SS40-0097</t>
  </si>
  <si>
    <t>Cassius</t>
  </si>
  <si>
    <t>Odessa</t>
  </si>
  <si>
    <t>Aurora</t>
  </si>
  <si>
    <t>Jacquard Lined Total Blackout Rod Pocket/Back Tab Curtain Panel</t>
  </si>
  <si>
    <t>Grey/Silver</t>
  </si>
  <si>
    <t>PF004522;PP001040</t>
  </si>
  <si>
    <t>12/9/2018</t>
  </si>
  <si>
    <t>AMAZONDS,CSNSTORES,JCPENNEY01,KOHLDSN,MACY02</t>
  </si>
  <si>
    <t>24130527-000-006</t>
  </si>
  <si>
    <t>8/13/2020</t>
  </si>
  <si>
    <t>SS41-0236</t>
  </si>
  <si>
    <t>Marble Jacquard Rod Pocket Valance Embellished Trim</t>
  </si>
  <si>
    <t>46x38"</t>
  </si>
  <si>
    <t>PP001040;PF005830</t>
  </si>
  <si>
    <t>24130525-000-003</t>
  </si>
  <si>
    <t>MP40-8257</t>
  </si>
  <si>
    <t>Sheer Pair</t>
  </si>
  <si>
    <t>Cecily</t>
  </si>
  <si>
    <t>Vera</t>
  </si>
  <si>
    <t>Rosalie</t>
  </si>
  <si>
    <t>Burnout Printed Curtain Panel Pair</t>
  </si>
  <si>
    <t>2-PK 50x84"</t>
  </si>
  <si>
    <t>PP001360;PF005422</t>
  </si>
  <si>
    <t>23119294-000-008</t>
  </si>
  <si>
    <t>11/1/2023</t>
  </si>
  <si>
    <t>MP13-2533</t>
  </si>
  <si>
    <t>Celeste</t>
  </si>
  <si>
    <t>Isabella</t>
  </si>
  <si>
    <t>4 Piece Microfiber Reversible Ruffle Quilt Set with Throw Pillow</t>
  </si>
  <si>
    <t>PF002762</t>
  </si>
  <si>
    <t>Cottage/Country|Farm House</t>
  </si>
  <si>
    <t>8/16/2024</t>
  </si>
  <si>
    <t>18524338-000-001</t>
  </si>
  <si>
    <t>MP40-7371</t>
  </si>
  <si>
    <t>Ceres</t>
  </si>
  <si>
    <t>Elowen</t>
  </si>
  <si>
    <t>Persis</t>
  </si>
  <si>
    <t>Twisted Tab Voile Sheer Window Pair</t>
  </si>
  <si>
    <t>2-PK 50x63"</t>
  </si>
  <si>
    <t>PP001184;PF005382</t>
  </si>
  <si>
    <t>4/6/2021</t>
  </si>
  <si>
    <t>5/27/2024</t>
  </si>
  <si>
    <t>AMAZON,BLK01,CSNSTORES,JCPENNEY01,KOHLDSN</t>
  </si>
  <si>
    <t>25510906-000-011</t>
  </si>
  <si>
    <t>4/7/2021</t>
  </si>
  <si>
    <t>MP35-8065</t>
  </si>
  <si>
    <t>Chadwick</t>
  </si>
  <si>
    <t>Earl</t>
  </si>
  <si>
    <t>Larry</t>
  </si>
  <si>
    <t>Distressed Vintage Persian Woven Area Rug</t>
  </si>
  <si>
    <t>PP001801;PF005789</t>
  </si>
  <si>
    <t>40689047-000-002</t>
  </si>
  <si>
    <t>MP35-8066</t>
  </si>
  <si>
    <t>40689047-000-000</t>
  </si>
  <si>
    <t>MP35-8067</t>
  </si>
  <si>
    <t>40689047-000-003</t>
  </si>
  <si>
    <t>MP70-7696</t>
  </si>
  <si>
    <t>Charisma</t>
  </si>
  <si>
    <t>Charlaine</t>
  </si>
  <si>
    <t>Colissa</t>
  </si>
  <si>
    <t>Cotton Floral Printed Shower Curtain</t>
  </si>
  <si>
    <t>PP001680;PF005582</t>
  </si>
  <si>
    <t>11/10/2021</t>
  </si>
  <si>
    <t>AMAZONDS,CSNSTORES,JCPENNEY01,KOHLDSN,OLLIIX,TGTDVS</t>
  </si>
  <si>
    <t>39155399-000-000</t>
  </si>
  <si>
    <t>11/17/2021</t>
  </si>
  <si>
    <t>1/25/2022</t>
  </si>
  <si>
    <t>MT154-0065</t>
  </si>
  <si>
    <t>Charlton</t>
  </si>
  <si>
    <t>Metal Floor Lamp with Glass Cylinder Shade</t>
  </si>
  <si>
    <t>40804273-000-000</t>
  </si>
  <si>
    <t>11/22/2022</t>
  </si>
  <si>
    <t>1/23/2023</t>
  </si>
  <si>
    <t>MP50-8236</t>
  </si>
  <si>
    <t>Chenille Chunky Knit</t>
  </si>
  <si>
    <t>PP001875;PF005974</t>
  </si>
  <si>
    <t>AMAZON,CSNSTORES,JCPENNEY01,KOHLDSN,MACY02,TGTDVS,ZOLA</t>
  </si>
  <si>
    <t>38792796-000-005</t>
  </si>
  <si>
    <t>9/4/2023</t>
  </si>
  <si>
    <t>MP50-7673</t>
  </si>
  <si>
    <t>PP001875;PF005561</t>
  </si>
  <si>
    <t>8/30/2021</t>
  </si>
  <si>
    <t>AMAZON,CSNSTORES,FINGERHUTDS,JCPENNEY01,KOHLDSN,MACY02,OLLIIX,TGTDVS,ZOLA</t>
  </si>
  <si>
    <t>38792796-000-000</t>
  </si>
  <si>
    <t>9/6/2021</t>
  </si>
  <si>
    <t>9/21/2021</t>
  </si>
  <si>
    <t>NS30-1825A</t>
  </si>
  <si>
    <t>N Natori</t>
  </si>
  <si>
    <t>Cherry Blossom</t>
  </si>
  <si>
    <t>Square Pillow</t>
  </si>
  <si>
    <t>16x16"</t>
  </si>
  <si>
    <t>PF002590</t>
  </si>
  <si>
    <t>19321098-000-000</t>
  </si>
  <si>
    <t>12/5/2016</t>
  </si>
  <si>
    <t>5DS105-0013</t>
  </si>
  <si>
    <t>Cheshire</t>
  </si>
  <si>
    <t>Cheshire Accent Bench</t>
  </si>
  <si>
    <t>12/17/2021</t>
  </si>
  <si>
    <t>ASHFURNDS,CSNSTORES,KOHLDSN,TGTDVS</t>
  </si>
  <si>
    <t>39440588-000-000</t>
  </si>
  <si>
    <t>12/29/2021</t>
  </si>
  <si>
    <t>3/3/2022</t>
  </si>
  <si>
    <t>ID20-300</t>
  </si>
  <si>
    <t>Chevron</t>
  </si>
  <si>
    <t>Printed Microfiber Sheet Set</t>
  </si>
  <si>
    <t>PF001578</t>
  </si>
  <si>
    <t>AMAZON,CSNSTORES,HSNDS,JCPENNEY01,KOHLDSN,TGTDVS,WALMARTDS</t>
  </si>
  <si>
    <t>17218050-000-015</t>
  </si>
  <si>
    <t>4/13/2015</t>
  </si>
  <si>
    <t>ID20-1030</t>
  </si>
  <si>
    <t>PF001580</t>
  </si>
  <si>
    <t>AMAZONDS,CSNSTORES,HSNDS,KOHLDSN,WALMARTDS</t>
  </si>
  <si>
    <t>17218050-000-025</t>
  </si>
  <si>
    <t>9/27/2016</t>
  </si>
  <si>
    <t>12/2/2016</t>
  </si>
  <si>
    <t>5DS153-0053</t>
  </si>
  <si>
    <t>Chique</t>
  </si>
  <si>
    <t>Accent Table Lamp</t>
  </si>
  <si>
    <t>MP50N-5512</t>
  </si>
  <si>
    <t>Chloe</t>
  </si>
  <si>
    <t>Mila</t>
  </si>
  <si>
    <t>100% Cotton Tufted Chenille Lightweight Throw With Fringe Tassel 50" x 60"</t>
  </si>
  <si>
    <t>PP000792</t>
  </si>
  <si>
    <t>1/15/2018</t>
  </si>
  <si>
    <t>AMAZON,AMAZONDS,ASHFURNDS,BLK01,CSNSTORES,JCPENNEY01,KOHLDSN,MACY02,TGTDVS,WALMARTDS</t>
  </si>
  <si>
    <t>26107195-000-001</t>
  </si>
  <si>
    <t>2/16/2018</t>
  </si>
  <si>
    <t>3/26/2018</t>
  </si>
  <si>
    <t>MZ10-483</t>
  </si>
  <si>
    <t>Camille</t>
  </si>
  <si>
    <t>Christa</t>
  </si>
  <si>
    <t>PF000212;PP000400</t>
  </si>
  <si>
    <t>AMAZON,AMAZONDS,BLK01,CSNSTORES,DESINC,JCPENNEY01,KOHLDSN,MACY02,NRTPORT,TGTDVS</t>
  </si>
  <si>
    <t>16406888-000-002</t>
  </si>
  <si>
    <t>ID10-2326</t>
  </si>
  <si>
    <t>Kaia</t>
  </si>
  <si>
    <t>Lena</t>
  </si>
  <si>
    <t>Floral Striped Comforter Set</t>
  </si>
  <si>
    <t>PF006201</t>
  </si>
  <si>
    <t>BLK01,KOHLDSN,NRTPORT</t>
  </si>
  <si>
    <t>43787444-000-000</t>
  </si>
  <si>
    <t>ID12-2328</t>
  </si>
  <si>
    <t>Floral Striped Duvet Cover Set</t>
  </si>
  <si>
    <t>43794270-000-000</t>
  </si>
  <si>
    <t>ID10-2327</t>
  </si>
  <si>
    <t>AMAZONDS,BLK01,JCPENNEY01,KOHLDSN,NRTPORT</t>
  </si>
  <si>
    <t>43787444-000-001</t>
  </si>
  <si>
    <t>MT103-1208</t>
  </si>
  <si>
    <t>Swivel Armchair</t>
  </si>
  <si>
    <t>41947431-000-001</t>
  </si>
  <si>
    <t>MP103-1111</t>
  </si>
  <si>
    <t>Circa</t>
  </si>
  <si>
    <t>Emerson</t>
  </si>
  <si>
    <t>Upholstered Swivel Chair</t>
  </si>
  <si>
    <t>2/2/2022</t>
  </si>
  <si>
    <t>ASHFURNDS,CSNSTORES,JCPENNEY01</t>
  </si>
  <si>
    <t>39582783-000-000</t>
  </si>
  <si>
    <t>MP50-7694</t>
  </si>
  <si>
    <t>Claire</t>
  </si>
  <si>
    <t>Jane</t>
  </si>
  <si>
    <t>Luxury Basketweave Faux Fur Throw</t>
  </si>
  <si>
    <t>PP001679;PF005580</t>
  </si>
  <si>
    <t>38965275-000-002</t>
  </si>
  <si>
    <t>10/13/2021</t>
  </si>
  <si>
    <t>11/30/2021</t>
  </si>
  <si>
    <t>MP50-7692</t>
  </si>
  <si>
    <t>PP001679;PF005578</t>
  </si>
  <si>
    <t>JCPENNEY01,KOHLDSN,OLLIIX,TGTDVS</t>
  </si>
  <si>
    <t>38965275-000-001</t>
  </si>
  <si>
    <t>11/30/2022</t>
  </si>
  <si>
    <t>II115-0577</t>
  </si>
  <si>
    <t>Clark</t>
  </si>
  <si>
    <t>Platform Bed frame with Live-Edge Headboard and Built-in Nightstands/Drawers</t>
  </si>
  <si>
    <t>Dark Brown</t>
  </si>
  <si>
    <t>6/13/2024</t>
  </si>
  <si>
    <t>FPF20-0399</t>
  </si>
  <si>
    <t>Cleo</t>
  </si>
  <si>
    <t>Aida</t>
  </si>
  <si>
    <t>Islia</t>
  </si>
  <si>
    <t>PF000052;PP000123</t>
  </si>
  <si>
    <t>CASTLEGATE</t>
  </si>
  <si>
    <t>18195300-000-000</t>
  </si>
  <si>
    <t>2/23/2016</t>
  </si>
  <si>
    <t>CCL11-0023</t>
  </si>
  <si>
    <t>BED SKIRT&amp;SHAM</t>
  </si>
  <si>
    <t>Bed Skirt&amp;Sham</t>
  </si>
  <si>
    <t>Clermont</t>
  </si>
  <si>
    <t>European Pillow Sham</t>
  </si>
  <si>
    <t>42067463-000-003</t>
  </si>
  <si>
    <t>CCL11-0022</t>
  </si>
  <si>
    <t>CSNSTORES,DLCROSCILL,OLLIIX</t>
  </si>
  <si>
    <t>42067463-000-002</t>
  </si>
  <si>
    <t>UHK13-0084</t>
  </si>
  <si>
    <t>Urban Habitat Kids</t>
  </si>
  <si>
    <t>Daybed Cover</t>
  </si>
  <si>
    <t>Cloud</t>
  </si>
  <si>
    <t>Bliss</t>
  </si>
  <si>
    <t>Euphoria</t>
  </si>
  <si>
    <t>6 Piece Cotton Reversible Daybed Set</t>
  </si>
  <si>
    <t>Daybed</t>
  </si>
  <si>
    <t>PP000645;PF004077</t>
  </si>
  <si>
    <t>6/11/2018</t>
  </si>
  <si>
    <t>AMAZON,AMAZONDS,ASHFURNDS,CSNSTORES,JCPENNEY01,KOHLDSN,OLLIIX,TGTDVS,WALMARTDS</t>
  </si>
  <si>
    <t>27864126-000-000</t>
  </si>
  <si>
    <t>6/20/2018</t>
  </si>
  <si>
    <t>6/29/2018</t>
  </si>
  <si>
    <t>HH10-480</t>
  </si>
  <si>
    <t>Coastline</t>
  </si>
  <si>
    <t>Oversized Cotton Jacquard Comforter Set</t>
  </si>
  <si>
    <t>PF003317</t>
  </si>
  <si>
    <t>CSNSTORES,MACY02,OLLIIX</t>
  </si>
  <si>
    <t>13429956-000-000</t>
  </si>
  <si>
    <t>HH10-415</t>
  </si>
  <si>
    <t>AMAZON,AMAZONDS,BEALLSDS,CSNSTORES,KOHLDSN,MACY02,OLLIIX</t>
  </si>
  <si>
    <t>13431827-000-001</t>
  </si>
  <si>
    <t>8/12/2016</t>
  </si>
  <si>
    <t>4/24/2017</t>
  </si>
  <si>
    <t>HH10-1544</t>
  </si>
  <si>
    <t>6 Piece Oversized Cotton Jacquard Comforter Set</t>
  </si>
  <si>
    <t>PF003318</t>
  </si>
  <si>
    <t>18932361-000-000</t>
  </si>
  <si>
    <t>NS11-3662</t>
  </si>
  <si>
    <t>Cocoon</t>
  </si>
  <si>
    <t>Quilt Top Euro Sham</t>
  </si>
  <si>
    <t>Euro Sham</t>
  </si>
  <si>
    <t>PP001696;PF005608</t>
  </si>
  <si>
    <t>11/2/2021</t>
  </si>
  <si>
    <t>JCPENNEY01,KOHLDSN,OLLIIX</t>
  </si>
  <si>
    <t>39072237-000-000</t>
  </si>
  <si>
    <t>5/6/2022</t>
  </si>
  <si>
    <t>NS10-3653</t>
  </si>
  <si>
    <t>3 Piece Quilt Top Comforter Mini Set</t>
  </si>
  <si>
    <t>PP001696;PF005609</t>
  </si>
  <si>
    <t>AMAZON,CSNSTORES,JCPENNEY01,KOHLDSN,MACY02,OLLIIX</t>
  </si>
  <si>
    <t>39081182-000-001</t>
  </si>
  <si>
    <t>11/22/2021</t>
  </si>
  <si>
    <t>NS12-3656</t>
  </si>
  <si>
    <t>3 Piece Quilt Top Duvet Cover Mini Set</t>
  </si>
  <si>
    <t>CASTLEGATE,CSNSTORES,JCPENNEY01,MACY02,OLLIIX</t>
  </si>
  <si>
    <t>39081183-000-001</t>
  </si>
  <si>
    <t>11/29/2021</t>
  </si>
  <si>
    <t>MP51-8192</t>
  </si>
  <si>
    <t>Coleman</t>
  </si>
  <si>
    <t>Campbell</t>
  </si>
  <si>
    <t>Reversible HeiQ Smart Temperature Down Alternative Blanket</t>
  </si>
  <si>
    <t>PP001231;PF005947</t>
  </si>
  <si>
    <t>AMAZON,AMAZONDS,KOHLDSN,NRTPORT,OLLIIX,TGTDVS</t>
  </si>
  <si>
    <t>33738174-000-023</t>
  </si>
  <si>
    <t>6/16/2023</t>
  </si>
  <si>
    <t>MP51-8139</t>
  </si>
  <si>
    <t>PP001231;PF005884</t>
  </si>
  <si>
    <t>12/7/2022</t>
  </si>
  <si>
    <t>AMAZON,CSNSTORES,JCPENNEY01,KOHLDSN,MACY02,OLLIIX,TGTDVS,Zulily</t>
  </si>
  <si>
    <t>33738174-000-018</t>
  </si>
  <si>
    <t>12/12/2022</t>
  </si>
  <si>
    <t>MP51-6374</t>
  </si>
  <si>
    <t>PP001231;PF004705</t>
  </si>
  <si>
    <t>7/10/2019</t>
  </si>
  <si>
    <t>AMAZON,CSNSTORES,JCPENNEY01,KOHLDSN,MACY02,TGTDVS,WALMARTDS</t>
  </si>
  <si>
    <t>33738174-000-005</t>
  </si>
  <si>
    <t>7/9/2019</t>
  </si>
  <si>
    <t>1/3/2020</t>
  </si>
  <si>
    <t>MP51-6382</t>
  </si>
  <si>
    <t>PP001231;PF004707</t>
  </si>
  <si>
    <t>AMAZON,AMAZONDS,BLK01,JCPENNEY01,KOHLDSN,MACY02,OLLIIX,TGTDVS,WALMARTDS</t>
  </si>
  <si>
    <t>33738174-000-004</t>
  </si>
  <si>
    <t>9/25/2019</t>
  </si>
  <si>
    <t>MPS153-0025</t>
  </si>
  <si>
    <t>Rectangular Ceramic Table Lamp</t>
  </si>
  <si>
    <t>PF002829</t>
  </si>
  <si>
    <t>8/15/2024</t>
  </si>
  <si>
    <t>20910303-000-000</t>
  </si>
  <si>
    <t>MP104-0060</t>
  </si>
  <si>
    <t>Colfax</t>
  </si>
  <si>
    <t>Weldon</t>
  </si>
  <si>
    <t>Lorsted</t>
  </si>
  <si>
    <t>30-Inch Bar Stool</t>
  </si>
  <si>
    <t>PF000303;PP000127</t>
  </si>
  <si>
    <t>CSNSTORES,KIRKLANDDS,OLLIIX,ROOMECOM</t>
  </si>
  <si>
    <t>20549821-000-000</t>
  </si>
  <si>
    <t>MP104-0062</t>
  </si>
  <si>
    <t>PF000305;PP000127</t>
  </si>
  <si>
    <t>7/29/2024</t>
  </si>
  <si>
    <t>AMERSIGNDS,CSNSTORES,KIRKLANDDS,KOHLDSN,OLLIIX,ROOMECOM,TGTDVS</t>
  </si>
  <si>
    <t>20549818-000-000</t>
  </si>
  <si>
    <t>2/3/2017</t>
  </si>
  <si>
    <t>MP104-0061</t>
  </si>
  <si>
    <t>PF000304;PP000127</t>
  </si>
  <si>
    <t>CSNSTORES,ROOMECOM</t>
  </si>
  <si>
    <t>20550198-000-000</t>
  </si>
  <si>
    <t>2/2/2017</t>
  </si>
  <si>
    <t>5DS40-0227</t>
  </si>
  <si>
    <t>Colt</t>
  </si>
  <si>
    <t>Garett</t>
  </si>
  <si>
    <t>Room Darkening Metallic Printed Poly Velvet Rod Pocket/Back Tab Window Panel Pair</t>
  </si>
  <si>
    <t>37x63"</t>
  </si>
  <si>
    <t>PP000910;PF005231</t>
  </si>
  <si>
    <t>Velvet</t>
  </si>
  <si>
    <t>Room Darkening</t>
  </si>
  <si>
    <t>10/7/2020</t>
  </si>
  <si>
    <t>ASHFURNDS,CSNSTORES,JCPENNEY01,KOHLDSN,OLLIIX,TGTDVS</t>
  </si>
  <si>
    <t>28110688-000-015</t>
  </si>
  <si>
    <t>12/29/2020</t>
  </si>
  <si>
    <t>5DS40-0283</t>
  </si>
  <si>
    <t>37x84"</t>
  </si>
  <si>
    <t>PP000910;PF006007</t>
  </si>
  <si>
    <t>28110688-000-024</t>
  </si>
  <si>
    <t>6/26/2023</t>
  </si>
  <si>
    <t>5DS40-0284</t>
  </si>
  <si>
    <t>37x95"</t>
  </si>
  <si>
    <t>PP000910;PF006008</t>
  </si>
  <si>
    <t>JCPENNEY01,OLLIIX</t>
  </si>
  <si>
    <t>28110688-000-025</t>
  </si>
  <si>
    <t>9/12/2023</t>
  </si>
  <si>
    <t>5DS40-0287</t>
  </si>
  <si>
    <t>Grey/Copper</t>
  </si>
  <si>
    <t>PP000910;PF006132</t>
  </si>
  <si>
    <t>5/24/2024</t>
  </si>
  <si>
    <t>28110688-000-028</t>
  </si>
  <si>
    <t>5/30/2024</t>
  </si>
  <si>
    <t>5DS40-0288</t>
  </si>
  <si>
    <t>28110688-000-029</t>
  </si>
  <si>
    <t>5DS40-0151</t>
  </si>
  <si>
    <t>PP000910;PF004315</t>
  </si>
  <si>
    <t>7/10/2018</t>
  </si>
  <si>
    <t>ASHFURNDS,BIGLOTSDS,CSNSTORES,HDDS,JCPENNEY01,KOHLDSN,MACY02,TGTDVS</t>
  </si>
  <si>
    <t>28110688-000-011</t>
  </si>
  <si>
    <t>7/9/2018</t>
  </si>
  <si>
    <t>7/30/2018</t>
  </si>
  <si>
    <t>5DS40-0160</t>
  </si>
  <si>
    <t>PP000910;PF004318</t>
  </si>
  <si>
    <t>CSNSTORES,HDDS,JCPENNEY01,OLLIIX,TGTDVS</t>
  </si>
  <si>
    <t>28110688-000-012</t>
  </si>
  <si>
    <t>9/12/2018</t>
  </si>
  <si>
    <t>5DS40-0161</t>
  </si>
  <si>
    <t>BIGLOTSDS,CSNSTORES,JCPENNEY01,KIRKLANDDS,KOHLDSN,MACY02,OLLIIX,TGTDVS</t>
  </si>
  <si>
    <t>28110688-000-010</t>
  </si>
  <si>
    <t>12/17/2019</t>
  </si>
  <si>
    <t>5DS40-0285</t>
  </si>
  <si>
    <t>White/Gold</t>
  </si>
  <si>
    <t>PP000910;PF006131</t>
  </si>
  <si>
    <t>28110688-000-026</t>
  </si>
  <si>
    <t>5DS40-0286</t>
  </si>
  <si>
    <t>28110688-000-027</t>
  </si>
  <si>
    <t>FMY011JBH</t>
  </si>
  <si>
    <t>Colton</t>
  </si>
  <si>
    <t>Robin</t>
  </si>
  <si>
    <t>Track Arm Club Chair</t>
  </si>
  <si>
    <t>PF000577;PP000128</t>
  </si>
  <si>
    <t>7/18/2024</t>
  </si>
  <si>
    <t>AMAZONDS,ASHFURNDS,CASTLEGATE,CSNSTORES,KIRKLANDDS,KOHLDSN,MACY02F,OLLIIX,ROOMECOM</t>
  </si>
  <si>
    <t>17880180-000-000</t>
  </si>
  <si>
    <t>11/30/2015</t>
  </si>
  <si>
    <t>FPF18-0160</t>
  </si>
  <si>
    <t>PF000621;PP000128</t>
  </si>
  <si>
    <t>17880187-000-000</t>
  </si>
  <si>
    <t>11/21/2015</t>
  </si>
  <si>
    <t>5060SND</t>
  </si>
  <si>
    <t>Sand</t>
  </si>
  <si>
    <t>PF000571;PP000128</t>
  </si>
  <si>
    <t>ASHFURNDS,CASTLEGATE,CSNSTORES,OLLIIX</t>
  </si>
  <si>
    <t>17880183-000-000</t>
  </si>
  <si>
    <t>1/7/2016</t>
  </si>
  <si>
    <t>UH20-2466</t>
  </si>
  <si>
    <t>Comfort Cool Jersey Knit</t>
  </si>
  <si>
    <t>Nylon Blend Sheet Set</t>
  </si>
  <si>
    <t>PP001859;PF005950</t>
  </si>
  <si>
    <t>Jersey</t>
  </si>
  <si>
    <t>4/18/2023</t>
  </si>
  <si>
    <t>AMAZON,AMAZONDS,TGTDVS</t>
  </si>
  <si>
    <t>41392078-000-007</t>
  </si>
  <si>
    <t>4/20/2023</t>
  </si>
  <si>
    <t>2/14/2024</t>
  </si>
  <si>
    <t>UH20-2468</t>
  </si>
  <si>
    <t>41392078-000-011</t>
  </si>
  <si>
    <t>UH10-2508</t>
  </si>
  <si>
    <t>Oversized Down Alternative Comforter</t>
  </si>
  <si>
    <t>PP001912;PF006110</t>
  </si>
  <si>
    <t>12/5/2023</t>
  </si>
  <si>
    <t>AMAZONDS,CSNSTORES,KOHLDSN,MACY02,TGTDVS</t>
  </si>
  <si>
    <t>43139341-000-007</t>
  </si>
  <si>
    <t>12/29/2023</t>
  </si>
  <si>
    <t>UH20-2460</t>
  </si>
  <si>
    <t>PP001859;PF005949</t>
  </si>
  <si>
    <t>JCPENNEY01,KOHLDSN,TGTDVS</t>
  </si>
  <si>
    <t>41392078-000-009</t>
  </si>
  <si>
    <t>6/25/2023</t>
  </si>
  <si>
    <t>UH10-2500</t>
  </si>
  <si>
    <t>PF006108;PP001912</t>
  </si>
  <si>
    <t>BLK01,KOHLDSN,MACY02,TGTDVS</t>
  </si>
  <si>
    <t>43139341-000-003</t>
  </si>
  <si>
    <t>UH20-2454</t>
  </si>
  <si>
    <t>PP001859;PF005948</t>
  </si>
  <si>
    <t>AMAZON,KOHLDSN,MACY02,TGTDVS</t>
  </si>
  <si>
    <t>41392078-000-003</t>
  </si>
  <si>
    <t>UH10-2503</t>
  </si>
  <si>
    <t>PP001912;PF006109</t>
  </si>
  <si>
    <t>43139341-000-004</t>
  </si>
  <si>
    <t>12/12/2023</t>
  </si>
  <si>
    <t>UH20-2456</t>
  </si>
  <si>
    <t>AMAZON,AMAZONDS,KOHLDSN,MACY02,TGTDVS</t>
  </si>
  <si>
    <t>41392078-000-004</t>
  </si>
  <si>
    <t>11/27/2023</t>
  </si>
  <si>
    <t>UH10-2504</t>
  </si>
  <si>
    <t>CSNSTORES,KOHLDSN,MACY02,NRTPORT,TGTDVS</t>
  </si>
  <si>
    <t>43139341-000-002</t>
  </si>
  <si>
    <t>2/19/2024</t>
  </si>
  <si>
    <t>UH20-2458</t>
  </si>
  <si>
    <t>BLK01,KOHLDSN,TGTDVS</t>
  </si>
  <si>
    <t>41392078-000-002</t>
  </si>
  <si>
    <t>SS40-0232</t>
  </si>
  <si>
    <t>Como</t>
  </si>
  <si>
    <t>Leighton</t>
  </si>
  <si>
    <t>Aberdeen</t>
  </si>
  <si>
    <t>Tonal Printed Faux Silk Room Darkening Curtain Panel Pair</t>
  </si>
  <si>
    <t>42x95"</t>
  </si>
  <si>
    <t>PP001428;PF005726</t>
  </si>
  <si>
    <t>7/29/2022</t>
  </si>
  <si>
    <t>35381437-000-012</t>
  </si>
  <si>
    <t>8/1/2022</t>
  </si>
  <si>
    <t>MP40-7937</t>
  </si>
  <si>
    <t>Roman Shade</t>
  </si>
  <si>
    <t>Printed Faux Silk Room Darkening Cordless Roman Shade</t>
  </si>
  <si>
    <t>27x64"</t>
  </si>
  <si>
    <t>38024443-000-015</t>
  </si>
  <si>
    <t>8/23/2022</t>
  </si>
  <si>
    <t>MP40-7938</t>
  </si>
  <si>
    <t>31x64"</t>
  </si>
  <si>
    <t>AMAZONDS,CSNSTORES,HDDS,KOHLDSN,OLLIIX</t>
  </si>
  <si>
    <t>38024443-000-016</t>
  </si>
  <si>
    <t>MP40-7939</t>
  </si>
  <si>
    <t>33x64"</t>
  </si>
  <si>
    <t>CSNSTORES,JCPENNEY01,KOHLDSN,OLLIIX</t>
  </si>
  <si>
    <t>38024443-000-017</t>
  </si>
  <si>
    <t>4/7/2023</t>
  </si>
  <si>
    <t>MP40-7940</t>
  </si>
  <si>
    <t>35x64"</t>
  </si>
  <si>
    <t>AMAZONDS,CSNSTORES,JCPENNEY01,KOHLDSN,OLLIIX</t>
  </si>
  <si>
    <t>38024443-000-018</t>
  </si>
  <si>
    <t>11/16/2022</t>
  </si>
  <si>
    <t>MP40-7941</t>
  </si>
  <si>
    <t>39x64"</t>
  </si>
  <si>
    <t>AMAZONDS,CSNSTORES,HDDS,JCPENNEY01,KOHLDSN</t>
  </si>
  <si>
    <t>38024443-000-019</t>
  </si>
  <si>
    <t>MP40-7444</t>
  </si>
  <si>
    <t>PP001428;PF004984</t>
  </si>
  <si>
    <t>5/17/2021</t>
  </si>
  <si>
    <t>AMAZON,AMAZONDS,HDDS,TGTDVS</t>
  </si>
  <si>
    <t>38024443-000-012</t>
  </si>
  <si>
    <t>5/15/2021</t>
  </si>
  <si>
    <t>9/4/2021</t>
  </si>
  <si>
    <t>MP40-7436</t>
  </si>
  <si>
    <t>PP001428;PF004982</t>
  </si>
  <si>
    <t>AMAZON,AMAZONDS,CSNSTORES,JCPENNEY01,OLLIIX,TGTDVS</t>
  </si>
  <si>
    <t>38024443-000-003</t>
  </si>
  <si>
    <t>5/19/2021</t>
  </si>
  <si>
    <t>MP40-7439</t>
  </si>
  <si>
    <t>AMAZON,HDDS,KOHLDSN,MACY02,TGTDVS</t>
  </si>
  <si>
    <t>38024443-000-007</t>
  </si>
  <si>
    <t>6/3/2021</t>
  </si>
  <si>
    <t>MP40-7446</t>
  </si>
  <si>
    <t>PP001428;PF004983</t>
  </si>
  <si>
    <t>38024443-000-000</t>
  </si>
  <si>
    <t>7/26/2021</t>
  </si>
  <si>
    <t>MP40-7449</t>
  </si>
  <si>
    <t>AMAZON,BLK01,CSNSTORES,KOHLDSN,TGTDVS</t>
  </si>
  <si>
    <t>38024443-000-005</t>
  </si>
  <si>
    <t>7/8/2021</t>
  </si>
  <si>
    <t>WR13-3588</t>
  </si>
  <si>
    <t>Compass</t>
  </si>
  <si>
    <t>Cotton Quilt Mini Set</t>
  </si>
  <si>
    <t>PP001740;PF005659</t>
  </si>
  <si>
    <t>4/14/2022</t>
  </si>
  <si>
    <t>AMAZONDS,KOHLDSN</t>
  </si>
  <si>
    <t>39840726-000-000</t>
  </si>
  <si>
    <t>4/21/2022</t>
  </si>
  <si>
    <t>WR13-3589</t>
  </si>
  <si>
    <t>AMAZONDS,JCPENNEY01,KOHLDSN,OLLIIX,TGTDVS</t>
  </si>
  <si>
    <t>39840726-000-001</t>
  </si>
  <si>
    <t>6/19/2022</t>
  </si>
  <si>
    <t>MT104-1184</t>
  </si>
  <si>
    <t>Connor</t>
  </si>
  <si>
    <t>Upholstered Counter stool 25"H</t>
  </si>
  <si>
    <t>12/21/2022</t>
  </si>
  <si>
    <t>40537189-000-000</t>
  </si>
  <si>
    <t>10/30/2023</t>
  </si>
  <si>
    <t>BR9144409622-13</t>
  </si>
  <si>
    <t>Conway</t>
  </si>
  <si>
    <t>10 Piece Comforter Set with Bed Sheets</t>
  </si>
  <si>
    <t>PP001823;PF005858</t>
  </si>
  <si>
    <t>10</t>
  </si>
  <si>
    <t>11/4/2021</t>
  </si>
  <si>
    <t>JCPENNEY01,KOHLDSN,MACY02,TGTDVS,WALMARTDS</t>
  </si>
  <si>
    <t>40067411-000-000</t>
  </si>
  <si>
    <t>6/9/2022</t>
  </si>
  <si>
    <t>12/20/2022</t>
  </si>
  <si>
    <t>FB155-1173</t>
  </si>
  <si>
    <t>LGT-SCONCES</t>
  </si>
  <si>
    <t>Sconces</t>
  </si>
  <si>
    <t>Metal Wall Sconce with Cylinder Shade, Set of 2</t>
  </si>
  <si>
    <t>9/1/2024</t>
  </si>
  <si>
    <t>AMERSIGNDS,CSNSTORES,JCPENNEY01,ROOMECOM</t>
  </si>
  <si>
    <t>40807174-000-000</t>
  </si>
  <si>
    <t>BR9144409622-15</t>
  </si>
  <si>
    <t>PP001823;PF005859</t>
  </si>
  <si>
    <t>11/5/2021</t>
  </si>
  <si>
    <t>40067411-000-002</t>
  </si>
  <si>
    <t>BR9144409622-16</t>
  </si>
  <si>
    <t>JCPENNEY01,KOHLDSN,MACY02,TGTDVS</t>
  </si>
  <si>
    <t>40067411-000-003</t>
  </si>
  <si>
    <t>BR55-4071</t>
  </si>
  <si>
    <t>ELEC MATT PAD</t>
  </si>
  <si>
    <t>Elect Matt Pad</t>
  </si>
  <si>
    <t>Cool Touch</t>
  </si>
  <si>
    <t>Heated Mattress Pad</t>
  </si>
  <si>
    <t>PP001881;PF005998</t>
  </si>
  <si>
    <t>AMAZON,JCPENNEY01</t>
  </si>
  <si>
    <t>41947656-000-002</t>
  </si>
  <si>
    <t>7/12/2023</t>
  </si>
  <si>
    <t>BR55-4073</t>
  </si>
  <si>
    <t>AMAZON,JCPENNEY01,KOHLDSN</t>
  </si>
  <si>
    <t>41947656-000-005</t>
  </si>
  <si>
    <t>9/19/2023</t>
  </si>
  <si>
    <t>BR55-4075</t>
  </si>
  <si>
    <t>7/11/2024</t>
  </si>
  <si>
    <t>41947656-000-003</t>
  </si>
  <si>
    <t>SI50-0024</t>
  </si>
  <si>
    <t>Cooling Touch</t>
  </si>
  <si>
    <t>Down Alternative Throw</t>
  </si>
  <si>
    <t>PP001964;PF006252</t>
  </si>
  <si>
    <t>Nylon</t>
  </si>
  <si>
    <t>SI50-0021</t>
  </si>
  <si>
    <t>PP001964;PF006249</t>
  </si>
  <si>
    <t>SI50-0023</t>
  </si>
  <si>
    <t>PP001964;PF006251</t>
  </si>
  <si>
    <t>SI50-0022</t>
  </si>
  <si>
    <t>PP001964;PF006250</t>
  </si>
  <si>
    <t>SI51-0011</t>
  </si>
  <si>
    <t>Down Alternative Blanket</t>
  </si>
  <si>
    <t>PP001965;PF006253</t>
  </si>
  <si>
    <t>SI16-0014</t>
  </si>
  <si>
    <t>Mattress Pad</t>
  </si>
  <si>
    <t>Overfilled Deep Pocket Mattress Pad</t>
  </si>
  <si>
    <t>PP001963;PF006248</t>
  </si>
  <si>
    <t>7/6/2024</t>
  </si>
  <si>
    <t>SI10-0018</t>
  </si>
  <si>
    <t>PP001962;PF006247</t>
  </si>
  <si>
    <t>6/11/2024</t>
  </si>
  <si>
    <t>SI16-0015</t>
  </si>
  <si>
    <t>SI51-0012</t>
  </si>
  <si>
    <t>SI10-0019</t>
  </si>
  <si>
    <t>SI16-0016</t>
  </si>
  <si>
    <t>SI51-0013</t>
  </si>
  <si>
    <t>SI16-0017</t>
  </si>
  <si>
    <t>SI10-0020</t>
  </si>
  <si>
    <t>PET63OP6011</t>
  </si>
  <si>
    <t>Copper</t>
  </si>
  <si>
    <t>Ortho Napper</t>
  </si>
  <si>
    <t>AMAZON,AMAZONDS,CSNSTORES,DESINC</t>
  </si>
  <si>
    <t>43822207-000-000</t>
  </si>
  <si>
    <t>4/13/2024</t>
  </si>
  <si>
    <t>MZK10-267</t>
  </si>
  <si>
    <t>Cora</t>
  </si>
  <si>
    <t>Elsie</t>
  </si>
  <si>
    <t>Sophie</t>
  </si>
  <si>
    <t>Pompom Clip Jacquard Comforter Set</t>
  </si>
  <si>
    <t>Pink Multi</t>
  </si>
  <si>
    <t>PF006137</t>
  </si>
  <si>
    <t>Polka Dots</t>
  </si>
  <si>
    <t>43736332-000-000</t>
  </si>
  <si>
    <t>MZK10-268</t>
  </si>
  <si>
    <t>AMAZONDS,HDDS,TGTDVS</t>
  </si>
  <si>
    <t>43736332-000-001</t>
  </si>
  <si>
    <t>ST54-0290</t>
  </si>
  <si>
    <t>Serta</t>
  </si>
  <si>
    <t>Electric Blanket</t>
  </si>
  <si>
    <t>Corded Plush</t>
  </si>
  <si>
    <t>Heated Blanket</t>
  </si>
  <si>
    <t>PP001892;PF006035</t>
  </si>
  <si>
    <t>42738934-000-004</t>
  </si>
  <si>
    <t>ST54-0291</t>
  </si>
  <si>
    <t>9/21/2023</t>
  </si>
  <si>
    <t>42738934-000-003</t>
  </si>
  <si>
    <t>1/16/2024</t>
  </si>
  <si>
    <t>ST54-0292</t>
  </si>
  <si>
    <t>42738934-000-007</t>
  </si>
  <si>
    <t>ST54-0293</t>
  </si>
  <si>
    <t>42738934-000-012</t>
  </si>
  <si>
    <t>ST54-0294</t>
  </si>
  <si>
    <t>PP001892;PF006036</t>
  </si>
  <si>
    <t>42738934-000-010</t>
  </si>
  <si>
    <t>ST54-0295</t>
  </si>
  <si>
    <t>42738934-000-000</t>
  </si>
  <si>
    <t>ST54-0296</t>
  </si>
  <si>
    <t>JCPENNEY01,MACY02</t>
  </si>
  <si>
    <t>42738934-000-002</t>
  </si>
  <si>
    <t>1/19/2024</t>
  </si>
  <si>
    <t>ST54-0297</t>
  </si>
  <si>
    <t>42738934-000-008</t>
  </si>
  <si>
    <t>1/12/2024</t>
  </si>
  <si>
    <t>ST54-0286</t>
  </si>
  <si>
    <t>PP001892;PF006034</t>
  </si>
  <si>
    <t>42738934-000-014</t>
  </si>
  <si>
    <t>ST54-0287</t>
  </si>
  <si>
    <t>42738934-000-009</t>
  </si>
  <si>
    <t>ST54-0288</t>
  </si>
  <si>
    <t>42738934-000-011</t>
  </si>
  <si>
    <t>ST54-0289</t>
  </si>
  <si>
    <t>42738934-000-015</t>
  </si>
  <si>
    <t>ST54-0282</t>
  </si>
  <si>
    <t>PP001892;PF006033</t>
  </si>
  <si>
    <t>42738934-000-005</t>
  </si>
  <si>
    <t>CCL40-0056</t>
  </si>
  <si>
    <t>Cornelli</t>
  </si>
  <si>
    <t>Embroidery Curtain Panel (Single)</t>
  </si>
  <si>
    <t>42036994-000-001</t>
  </si>
  <si>
    <t>CCL40-0054</t>
  </si>
  <si>
    <t>42036994-000-003</t>
  </si>
  <si>
    <t>CCL40-0053</t>
  </si>
  <si>
    <t>42036994-000-002</t>
  </si>
  <si>
    <t>1/23/2024</t>
  </si>
  <si>
    <t>CC71-0040</t>
  </si>
  <si>
    <t>BATH ACCESSORIES</t>
  </si>
  <si>
    <t>Bath Accessory</t>
  </si>
  <si>
    <t>Corsica</t>
  </si>
  <si>
    <t>Silver Marbled Resin Tumbler</t>
  </si>
  <si>
    <t>10/17/2022</t>
  </si>
  <si>
    <t>42093669-000-002</t>
  </si>
  <si>
    <t>8/9/2023</t>
  </si>
  <si>
    <t>CC71-0042</t>
  </si>
  <si>
    <t>Silver Marbled Resin Jar</t>
  </si>
  <si>
    <t>42093669-000-000</t>
  </si>
  <si>
    <t>UH95C-0030</t>
  </si>
  <si>
    <t>Cosmic Curl</t>
  </si>
  <si>
    <t>3-piece Framed Canvas Wall Art Set</t>
  </si>
  <si>
    <t>Black/Taupe</t>
  </si>
  <si>
    <t>PP001611</t>
  </si>
  <si>
    <t>AMERSIGNDS,HDDS,JCPENNEY01,KIRKLANDDS,OLLIIX,TGTDVS,ZOLA</t>
  </si>
  <si>
    <t>37419231-000-000</t>
  </si>
  <si>
    <t>2/11/2021</t>
  </si>
  <si>
    <t>2/25/2021</t>
  </si>
  <si>
    <t>CS20-1560</t>
  </si>
  <si>
    <t>Cotton 144TC</t>
  </si>
  <si>
    <t>4 Piece Set 144TC 100% Printed Sheets</t>
  </si>
  <si>
    <t>Aster Blush</t>
  </si>
  <si>
    <t>4/29/2022</t>
  </si>
  <si>
    <t>43972195-000-001</t>
  </si>
  <si>
    <t>AM20-0361</t>
  </si>
  <si>
    <t>100% Cotton Solid Sheet Set</t>
  </si>
  <si>
    <t>PP001988;PF006385</t>
  </si>
  <si>
    <t>AM20-0362</t>
  </si>
  <si>
    <t>AM20-0363</t>
  </si>
  <si>
    <t>AM20-0364</t>
  </si>
  <si>
    <t>AM20-0353</t>
  </si>
  <si>
    <t>PP001988;PF006383</t>
  </si>
  <si>
    <t>AM20-0354</t>
  </si>
  <si>
    <t>AM20-0355</t>
  </si>
  <si>
    <t>AM20-0356</t>
  </si>
  <si>
    <t>AM20-0347</t>
  </si>
  <si>
    <t>PP001988;PF006382</t>
  </si>
  <si>
    <t>AM20-0348</t>
  </si>
  <si>
    <t>AM20-0349</t>
  </si>
  <si>
    <t>AM20-0350</t>
  </si>
  <si>
    <t>AM20-0351</t>
  </si>
  <si>
    <t>AM20-0352</t>
  </si>
  <si>
    <t>AM20-0357</t>
  </si>
  <si>
    <t>PP001988;PF006384</t>
  </si>
  <si>
    <t>AM20-0358</t>
  </si>
  <si>
    <t>AM20-0359</t>
  </si>
  <si>
    <t>AM20-0360</t>
  </si>
  <si>
    <t>CS20-1572</t>
  </si>
  <si>
    <t>Parisienne Pink</t>
  </si>
  <si>
    <t>Novelty</t>
  </si>
  <si>
    <t>43972195-000-000</t>
  </si>
  <si>
    <t>AM20-0341</t>
  </si>
  <si>
    <t>PP001988;PF006381</t>
  </si>
  <si>
    <t>AM20-0342</t>
  </si>
  <si>
    <t>AM20-0343</t>
  </si>
  <si>
    <t>AM20-0344</t>
  </si>
  <si>
    <t>AM20-0345</t>
  </si>
  <si>
    <t>AM20-0346</t>
  </si>
  <si>
    <t>BR55-0202</t>
  </si>
  <si>
    <t>Cotton Blend</t>
  </si>
  <si>
    <t>A++</t>
  </si>
  <si>
    <t>PF003436</t>
  </si>
  <si>
    <t>14027776-000-001</t>
  </si>
  <si>
    <t>2/3/2016</t>
  </si>
  <si>
    <t>ID20-695</t>
  </si>
  <si>
    <t>Cotton Blend Jersey Knit</t>
  </si>
  <si>
    <t>All Season Sheet Set</t>
  </si>
  <si>
    <t>PF002200</t>
  </si>
  <si>
    <t>6/20/2024</t>
  </si>
  <si>
    <t>18526070-000-008</t>
  </si>
  <si>
    <t>3/30/2016</t>
  </si>
  <si>
    <t>ID20-696</t>
  </si>
  <si>
    <t>AMAZON,AMAZONDS,BLK01,CSNSTORES,FINGERHUTDS,JCPENNEY01,KOHLDSN,MACY02,TGTDVS,WALMARTDS</t>
  </si>
  <si>
    <t>18526070-000-009</t>
  </si>
  <si>
    <t>5/9/2016</t>
  </si>
  <si>
    <t>ID20-697</t>
  </si>
  <si>
    <t>AMAZON,AMAZONDS,BEALLSDS,BLK01,CSNSTORES,FINGERHUTDS,JCPENNEY01,KOHLDSN,MACY02,TGTDVS</t>
  </si>
  <si>
    <t>18526070-000-010</t>
  </si>
  <si>
    <t>ID20-2461</t>
  </si>
  <si>
    <t>PP001991;PF006396</t>
  </si>
  <si>
    <t>ID20-2462</t>
  </si>
  <si>
    <t>ID20-2463</t>
  </si>
  <si>
    <t>ID20-2464</t>
  </si>
  <si>
    <t>ID20-2465</t>
  </si>
  <si>
    <t>ID20-692</t>
  </si>
  <si>
    <t>Dark Grey</t>
  </si>
  <si>
    <t>PF002199</t>
  </si>
  <si>
    <t>AMAZON,AMAZONDS,CSNSTORES,JCPENNEY01,KOHLDSN,MACY02,TGTDVS</t>
  </si>
  <si>
    <t>18526070-000-005</t>
  </si>
  <si>
    <t>4/20/2016</t>
  </si>
  <si>
    <t>ID20-2451</t>
  </si>
  <si>
    <t>PP001991;PF006394</t>
  </si>
  <si>
    <t>ID20-2452</t>
  </si>
  <si>
    <t>ID20-2453</t>
  </si>
  <si>
    <t>ID20-2454</t>
  </si>
  <si>
    <t>ID20-2455</t>
  </si>
  <si>
    <t>ID20-2456</t>
  </si>
  <si>
    <t>Oatmeal</t>
  </si>
  <si>
    <t>PP001991;PF006395</t>
  </si>
  <si>
    <t>ID20-2457</t>
  </si>
  <si>
    <t>ID20-2458</t>
  </si>
  <si>
    <t>ID20-2459</t>
  </si>
  <si>
    <t>ID20-2460</t>
  </si>
  <si>
    <t>ID20-703</t>
  </si>
  <si>
    <t>PF002202</t>
  </si>
  <si>
    <t>8/9/2024</t>
  </si>
  <si>
    <t>AMAZON,AMAZONDS,CSNSTORES,FINGERHUTDS,JCPENNEY01,KOHLDSN,MACY02,OLLIIX,TGTDVS</t>
  </si>
  <si>
    <t>18526070-000-016</t>
  </si>
  <si>
    <t>4/11/2016</t>
  </si>
  <si>
    <t>ID20-704</t>
  </si>
  <si>
    <t>18526070-000-017</t>
  </si>
  <si>
    <t>ID20-706</t>
  </si>
  <si>
    <t>AMAZON,AMAZONDS,BLK01,CSNSTORES,FINGERHUTDS,HSNDS,JCPENNEY01,KOHLDSN,MACY02,NRTPORT,OLLIIX,TGTDVS</t>
  </si>
  <si>
    <t>18526070-000-019</t>
  </si>
  <si>
    <t>ID20-1236</t>
  </si>
  <si>
    <t>PF002204</t>
  </si>
  <si>
    <t>9/9/2017</t>
  </si>
  <si>
    <t>18526070-000-048</t>
  </si>
  <si>
    <t>10/2/2017</t>
  </si>
  <si>
    <t>ID20-1237</t>
  </si>
  <si>
    <t>AMAZON,AMAZONDS,BLK01,CSNSTORES,FINGERHUTDS,JCPENNEY01,KOHLDSN,MACY02,OLLIIX,TGTDVS</t>
  </si>
  <si>
    <t>18526070-000-049</t>
  </si>
  <si>
    <t>ID20-1239</t>
  </si>
  <si>
    <t>AMAZON,BEALLSDS,BLK01,CSNSTORES,FINGERHUTDS,JCPENNEY01,KOHLDSN,MACY02,TGTDVS</t>
  </si>
  <si>
    <t>18526070-000-051</t>
  </si>
  <si>
    <t>ID20-687</t>
  </si>
  <si>
    <t>PF002198</t>
  </si>
  <si>
    <t>18526070-000-000</t>
  </si>
  <si>
    <t>6/24/2016</t>
  </si>
  <si>
    <t>ID20-690</t>
  </si>
  <si>
    <t>AMAZON,AMAZONDS,BLK01,CSNSTORES,JCPENNEY01,KOHLDSN,MACY02,OLLIIX,TGTDVS,WALMARTDS</t>
  </si>
  <si>
    <t>18526070-000-003</t>
  </si>
  <si>
    <t>4/12/2016</t>
  </si>
  <si>
    <t>WR20-3958</t>
  </si>
  <si>
    <t>Cotton Flannel</t>
  </si>
  <si>
    <t>Black Pine Trees</t>
  </si>
  <si>
    <t>PP000952;PF006050</t>
  </si>
  <si>
    <t>Flannel</t>
  </si>
  <si>
    <t>6/29/2024</t>
  </si>
  <si>
    <t>JCPENNEY01,TGTDVS</t>
  </si>
  <si>
    <t>19462540-000-065</t>
  </si>
  <si>
    <t>Tier 1-S</t>
  </si>
  <si>
    <t>WR20-3960</t>
  </si>
  <si>
    <t>19462540-000-071</t>
  </si>
  <si>
    <t>WR20-3961</t>
  </si>
  <si>
    <t>19462540-000-072</t>
  </si>
  <si>
    <t>10/20/2023</t>
  </si>
  <si>
    <t>WR20-3962</t>
  </si>
  <si>
    <t>19462540-000-073</t>
  </si>
  <si>
    <t>WR20-3312</t>
  </si>
  <si>
    <t>Black/White Scottie Dogs</t>
  </si>
  <si>
    <t>PP001647;PF005505</t>
  </si>
  <si>
    <t>19462540-000-059</t>
  </si>
  <si>
    <t>10/18/2021</t>
  </si>
  <si>
    <t>12/26/2021</t>
  </si>
  <si>
    <t>WR20-3314</t>
  </si>
  <si>
    <t>FINGERHUTDS,MACY02</t>
  </si>
  <si>
    <t>19462540-000-061</t>
  </si>
  <si>
    <t>10/25/2021</t>
  </si>
  <si>
    <t>WR20-2067</t>
  </si>
  <si>
    <t>Blue Dog</t>
  </si>
  <si>
    <t>PF002310</t>
  </si>
  <si>
    <t>19462540-000-018</t>
  </si>
  <si>
    <t>10/19/2017</t>
  </si>
  <si>
    <t>10/26/2017</t>
  </si>
  <si>
    <t>WR20-2035</t>
  </si>
  <si>
    <t>PF002303</t>
  </si>
  <si>
    <t>AMAZON,MACY02,WALMARTDS</t>
  </si>
  <si>
    <t>19462540-000-021</t>
  </si>
  <si>
    <t>11/1/2017</t>
  </si>
  <si>
    <t>WR20-2043</t>
  </si>
  <si>
    <t>Blue Plaid</t>
  </si>
  <si>
    <t>PF002306</t>
  </si>
  <si>
    <t>9/28/2017</t>
  </si>
  <si>
    <t>19462540-000-033</t>
  </si>
  <si>
    <t>10/30/2017</t>
  </si>
  <si>
    <t>WR20-2044</t>
  </si>
  <si>
    <t>AMAZON,MACY02,OLLIIX</t>
  </si>
  <si>
    <t>19462540-000-034</t>
  </si>
  <si>
    <t>WR20-2045</t>
  </si>
  <si>
    <t>AMAZON,JCPENNEY01,KOHLDSN,MACY02,OLLIIX</t>
  </si>
  <si>
    <t>19462540-000-035</t>
  </si>
  <si>
    <t>4/18/2018</t>
  </si>
  <si>
    <t>WR20-2279</t>
  </si>
  <si>
    <t>Blue Sheep</t>
  </si>
  <si>
    <t>PP000952;PF004383</t>
  </si>
  <si>
    <t>8/7/2018</t>
  </si>
  <si>
    <t>19462540-000-046</t>
  </si>
  <si>
    <t>8/31/2018</t>
  </si>
  <si>
    <t>10/5/2018</t>
  </si>
  <si>
    <t>WR20-2280</t>
  </si>
  <si>
    <t>PP000952;PF004384</t>
  </si>
  <si>
    <t>AMAZONDS,JCPENNEY01,MACY02</t>
  </si>
  <si>
    <t>19462540-000-056</t>
  </si>
  <si>
    <t>9/10/2018</t>
  </si>
  <si>
    <t>WR20-3999</t>
  </si>
  <si>
    <t>Blue Snowflake</t>
  </si>
  <si>
    <t>PF002274;PP000952</t>
  </si>
  <si>
    <t>8/22/2024</t>
  </si>
  <si>
    <t>WR20-4000</t>
  </si>
  <si>
    <t>WR20-1787</t>
  </si>
  <si>
    <t>PF002274</t>
  </si>
  <si>
    <t>19462540-000-039</t>
  </si>
  <si>
    <t>9/13/2016</t>
  </si>
  <si>
    <t>9/19/2016</t>
  </si>
  <si>
    <t>WR20-1788</t>
  </si>
  <si>
    <t>MACY02,WALMARTDS</t>
  </si>
  <si>
    <t>19462540-000-040</t>
  </si>
  <si>
    <t>9/22/2016</t>
  </si>
  <si>
    <t>WR20-1789</t>
  </si>
  <si>
    <t>19462540-000-041</t>
  </si>
  <si>
    <t>11/11/2016</t>
  </si>
  <si>
    <t>WR20-2031</t>
  </si>
  <si>
    <t>Blue Winter Frost</t>
  </si>
  <si>
    <t>PF002302</t>
  </si>
  <si>
    <t>7/5/2024</t>
  </si>
  <si>
    <t>19462540-000-015</t>
  </si>
  <si>
    <t>WR20-2032</t>
  </si>
  <si>
    <t>19462540-000-016</t>
  </si>
  <si>
    <t>11/13/2017</t>
  </si>
  <si>
    <t>WR20-2033</t>
  </si>
  <si>
    <t>BLK01,MACY02</t>
  </si>
  <si>
    <t>19462540-000-017</t>
  </si>
  <si>
    <t>10/23/2017</t>
  </si>
  <si>
    <t>WR20-1796</t>
  </si>
  <si>
    <t>Brown Plaid</t>
  </si>
  <si>
    <t>PF002272</t>
  </si>
  <si>
    <t>4/6/2017</t>
  </si>
  <si>
    <t>19462540-000-003</t>
  </si>
  <si>
    <t>WR20-1797</t>
  </si>
  <si>
    <t>19462540-000-004</t>
  </si>
  <si>
    <t>WR20-1798</t>
  </si>
  <si>
    <t>AMAZON,MACY02</t>
  </si>
  <si>
    <t>19462540-000-005</t>
  </si>
  <si>
    <t>10/5/2016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</si>
  <si>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</si>
  <si>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</si>
  <si>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</si>
  <si>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</si>
  <si>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</si>
  <si>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</si>
  <si>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</si>
  <si>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</si>
  <si>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</si>
  <si>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</si>
  <si>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</si>
  <si>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</si>
  <si>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</si>
  <si>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19462540-000-000</t>
  </si>
  <si>
    <t>WR20-1794</t>
  </si>
  <si>
    <t>19462540-000-001</t>
  </si>
  <si>
    <t>10/6/2016</t>
  </si>
  <si>
    <t>WR20-4005</t>
  </si>
  <si>
    <t>WR20-3953</t>
  </si>
  <si>
    <t>Green Tree Trip</t>
  </si>
  <si>
    <t>PP000952;PF006049</t>
  </si>
  <si>
    <t>19462540-000-067</t>
  </si>
  <si>
    <t>WR20-3954</t>
  </si>
  <si>
    <t>19462540-000-068</t>
  </si>
  <si>
    <t>WR20-3955</t>
  </si>
  <si>
    <t>19462540-000-069</t>
  </si>
  <si>
    <t>WR20-3956</t>
  </si>
  <si>
    <t>19462540-000-070</t>
  </si>
  <si>
    <t>WR20-3957</t>
  </si>
  <si>
    <t>19462540-000-064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</si>
  <si>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</si>
  <si>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</si>
  <si>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</si>
  <si>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</si>
  <si>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</si>
  <si>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</si>
  <si>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</si>
  <si>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</si>
  <si>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</si>
  <si>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KOHLDSN,MACY02,WALMARTDS</t>
  </si>
  <si>
    <t>19462540-000-054</t>
  </si>
  <si>
    <t>9/18/2018</t>
  </si>
  <si>
    <t>WR20-2283</t>
  </si>
  <si>
    <t>19462540-000-053</t>
  </si>
  <si>
    <t>8/30/2018</t>
  </si>
  <si>
    <t>WR20-2284</t>
  </si>
  <si>
    <t>19462540-000-050</t>
  </si>
  <si>
    <t>WR20-2046</t>
  </si>
  <si>
    <t>Grey Plaid</t>
  </si>
  <si>
    <t>PF002307</t>
  </si>
  <si>
    <t>19462540-000-036</t>
  </si>
  <si>
    <t>10/31/2017</t>
  </si>
  <si>
    <t>WR20-2047</t>
  </si>
  <si>
    <t>19462540-000-037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</si>
  <si>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</si>
  <si>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</si>
  <si>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</si>
  <si>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</si>
  <si>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</si>
  <si>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</si>
  <si>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</si>
  <si>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</si>
  <si>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</si>
  <si>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</si>
  <si>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</si>
  <si>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</si>
  <si>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19462540-000-006</t>
  </si>
  <si>
    <t>WR20-1801</t>
  </si>
  <si>
    <t>8/29/2017</t>
  </si>
  <si>
    <t>19462540-000-008</t>
  </si>
  <si>
    <t>10/4/2016</t>
  </si>
  <si>
    <t>WR20-2285</t>
  </si>
  <si>
    <t>PP000952;PF004385</t>
  </si>
  <si>
    <t>19462540-000-049</t>
  </si>
  <si>
    <t>9/4/2018</t>
  </si>
  <si>
    <t>WR20-2071</t>
  </si>
  <si>
    <t>Tan Cars</t>
  </si>
  <si>
    <t>PF002312</t>
  </si>
  <si>
    <t>19462540-000-028</t>
  </si>
  <si>
    <t>WR20-2072</t>
  </si>
  <si>
    <t>19462540-000-029</t>
  </si>
  <si>
    <t>WR20-2041</t>
  </si>
  <si>
    <t>PF002305</t>
  </si>
  <si>
    <t>AMAZON,BLK01,FINGERHUTDS</t>
  </si>
  <si>
    <t>19462540-000-031</t>
  </si>
  <si>
    <t>WR20-2042</t>
  </si>
  <si>
    <t>19462540-000-032</t>
  </si>
  <si>
    <t>WR20-2070</t>
  </si>
  <si>
    <t>Tan Dog</t>
  </si>
  <si>
    <t>PF002311</t>
  </si>
  <si>
    <t>BLK01,MACY02,TGTDVS</t>
  </si>
  <si>
    <t>19462540-000-024</t>
  </si>
  <si>
    <t>10/27/2017</t>
  </si>
  <si>
    <t>WR20-2037</t>
  </si>
  <si>
    <t>PF002304</t>
  </si>
  <si>
    <t>9/21/2017</t>
  </si>
  <si>
    <t>FINGERHUTDS,JCPENNEY01,MACY02</t>
  </si>
  <si>
    <t>19462540-000-025</t>
  </si>
  <si>
    <t>10/25/2017</t>
  </si>
  <si>
    <t>WR20-2038</t>
  </si>
  <si>
    <t>AMAZONDS,FINGERHUTDS,JCPENNEY01,MACY02</t>
  </si>
  <si>
    <t>19462540-000-026</t>
  </si>
  <si>
    <t>WR20-2039</t>
  </si>
  <si>
    <t>AMAZON,MACY02,TGTDVS</t>
  </si>
  <si>
    <t>19462540-000-027</t>
  </si>
  <si>
    <t>WR20-3994</t>
  </si>
  <si>
    <t>PP000952;PF006332</t>
  </si>
  <si>
    <t>WR20-3995</t>
  </si>
  <si>
    <t>WR20-3996</t>
  </si>
  <si>
    <t>WR20-3997</t>
  </si>
  <si>
    <t>WR20-3998</t>
  </si>
  <si>
    <t>WR20-1790</t>
  </si>
  <si>
    <t>Tan Snowflake</t>
  </si>
  <si>
    <t>PF002275</t>
  </si>
  <si>
    <t>BLK01,JCPENNEY01,MACY02,WALMARTDS</t>
  </si>
  <si>
    <t>19462540-000-042</t>
  </si>
  <si>
    <t>WR20-1791</t>
  </si>
  <si>
    <t>JCPENNEY01,MACY02,WALMARTDS</t>
  </si>
  <si>
    <t>19462540-000-043</t>
  </si>
  <si>
    <t>WR20-1792</t>
  </si>
  <si>
    <t>19462540-000-044</t>
  </si>
  <si>
    <t>9/21/2016</t>
  </si>
  <si>
    <t>MP130-0824</t>
  </si>
  <si>
    <t>Cabinet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</si>
  <si>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</si>
  <si>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</si>
  <si>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</si>
  <si>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</si>
  <si>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</si>
  <si>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</si>
  <si>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</si>
  <si>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CSNSTORES,KOHLDSN,LAMPDS,MACY02F,OLLIIX</t>
  </si>
  <si>
    <t>32695090-000-000</t>
  </si>
  <si>
    <t>3/20/2019</t>
  </si>
  <si>
    <t>5/21/2019</t>
  </si>
  <si>
    <t>TN20-0359</t>
  </si>
  <si>
    <t>Cozy Cotton Flannel</t>
  </si>
  <si>
    <t>Printed Sheet Set</t>
  </si>
  <si>
    <t>Aqua Dots</t>
  </si>
  <si>
    <t>PP000954;PF004388</t>
  </si>
  <si>
    <t>8/29/2018</t>
  </si>
  <si>
    <t>19463070-000-148</t>
  </si>
  <si>
    <t>10/7/2018</t>
  </si>
  <si>
    <t>10/15/2018</t>
  </si>
  <si>
    <t>TN20-0361</t>
  </si>
  <si>
    <t>19463070-000-149</t>
  </si>
  <si>
    <t>TN20-0362</t>
  </si>
  <si>
    <t>19463070-000-151</t>
  </si>
  <si>
    <t>10/1/2018</t>
  </si>
  <si>
    <t>TN20-0363</t>
  </si>
  <si>
    <t>AMAZON,CSNSTORES,MACY02,TGTDVS</t>
  </si>
  <si>
    <t>19463070-000-150</t>
  </si>
  <si>
    <t>10/11/2018</t>
  </si>
  <si>
    <t>TN20-0221</t>
  </si>
  <si>
    <t>Aqua French Bulldog</t>
  </si>
  <si>
    <t>PF002289</t>
  </si>
  <si>
    <t>19463070-000-078</t>
  </si>
  <si>
    <t>10/13/2017</t>
  </si>
  <si>
    <t>11/20/2017</t>
  </si>
  <si>
    <t>TN20-0222</t>
  </si>
  <si>
    <t>AMAZONDS,JCPENNEY01,TGTDVS</t>
  </si>
  <si>
    <t>19463070-000-079</t>
  </si>
  <si>
    <t>11/24/2017</t>
  </si>
  <si>
    <t>TN20-0223</t>
  </si>
  <si>
    <t>19463070-000-080</t>
  </si>
  <si>
    <t>11/14/2017</t>
  </si>
  <si>
    <t>TN20-0225</t>
  </si>
  <si>
    <t>AMAZON,AMAZONDS,MACY02,TGTDVS</t>
  </si>
  <si>
    <t>19463070-000-082</t>
  </si>
  <si>
    <t>TN20-0281</t>
  </si>
  <si>
    <t>Aqua Geo</t>
  </si>
  <si>
    <t>PF002293</t>
  </si>
  <si>
    <t>19463070-000-102</t>
  </si>
  <si>
    <t>TN20-0282</t>
  </si>
  <si>
    <t>19463070-000-103</t>
  </si>
  <si>
    <t>9/19/2019</t>
  </si>
  <si>
    <t>TN20-0283</t>
  </si>
  <si>
    <t>19463070-000-104</t>
  </si>
  <si>
    <t>TN20-0284</t>
  </si>
  <si>
    <t>AMAZON,BLK01,CSNSTORES,JCPENNEY01,MACY02,TGTDVS</t>
  </si>
  <si>
    <t>19463070-000-105</t>
  </si>
  <si>
    <t>11/5/2017</t>
  </si>
  <si>
    <t>TN20-0410</t>
  </si>
  <si>
    <t>Bear</t>
  </si>
  <si>
    <t>PP000954;PF004714</t>
  </si>
  <si>
    <t>7/25/2019</t>
  </si>
  <si>
    <t>AMAZON,KOHLDSN,MACY02,OLLIIX,TGTDVS</t>
  </si>
  <si>
    <t>19463070-000-160</t>
  </si>
  <si>
    <t>7/30/2019</t>
  </si>
  <si>
    <t>9/12/2019</t>
  </si>
  <si>
    <t>TN20-0411</t>
  </si>
  <si>
    <t>19463070-000-159</t>
  </si>
  <si>
    <t>10/10/2019</t>
  </si>
  <si>
    <t>TN20-0412</t>
  </si>
  <si>
    <t>19463070-000-162</t>
  </si>
  <si>
    <t>11/1/2019</t>
  </si>
  <si>
    <t>TN20-0413</t>
  </si>
  <si>
    <t>AMAZON,KOHLDSN,MACY02,TGTDVS,WALMARTDS</t>
  </si>
  <si>
    <t>19463070-000-161</t>
  </si>
  <si>
    <t>10/8/2019</t>
  </si>
  <si>
    <t>TN20-0414</t>
  </si>
  <si>
    <t>19463070-000-164</t>
  </si>
  <si>
    <t>10/3/2019</t>
  </si>
  <si>
    <t>TN20-0467</t>
  </si>
  <si>
    <t>Blue Cars</t>
  </si>
  <si>
    <t>PP000954;PF005500</t>
  </si>
  <si>
    <t>19463070-000-178</t>
  </si>
  <si>
    <t>9/24/2021</t>
  </si>
  <si>
    <t>9/28/2021</t>
  </si>
  <si>
    <t>TN20-0468</t>
  </si>
  <si>
    <t>AMAZON,FINGERHUTDS,KOHLDSN,MACY02,TGTDVS</t>
  </si>
  <si>
    <t>19463070-000-177</t>
  </si>
  <si>
    <t>TN20-0470</t>
  </si>
  <si>
    <t>19463070-000-180</t>
  </si>
  <si>
    <t>TN20-0383</t>
  </si>
  <si>
    <t>Blue Forest</t>
  </si>
  <si>
    <t>PP000954;PF004392</t>
  </si>
  <si>
    <t>7/3/2024</t>
  </si>
  <si>
    <t>19463070-000-140</t>
  </si>
  <si>
    <t>TN20-0385</t>
  </si>
  <si>
    <t>19463070-000-141</t>
  </si>
  <si>
    <t>TN20-0386</t>
  </si>
  <si>
    <t>19463070-000-143</t>
  </si>
  <si>
    <t>10/4/2018</t>
  </si>
  <si>
    <t>TN20-0387</t>
  </si>
  <si>
    <t>HSNDS,MACY02</t>
  </si>
  <si>
    <t>19463070-000-142</t>
  </si>
  <si>
    <t>TN20-0245</t>
  </si>
  <si>
    <t>PF002292</t>
  </si>
  <si>
    <t>AMAZON,AMAZONDS,KOHLDSN,MACY02,TGTDVS,WALMARTDS</t>
  </si>
  <si>
    <t>19463070-000-096</t>
  </si>
  <si>
    <t>TN20-0246</t>
  </si>
  <si>
    <t>19463070-000-097</t>
  </si>
  <si>
    <t>TN20-0247</t>
  </si>
  <si>
    <t>19463070-000-098</t>
  </si>
  <si>
    <t>TN20-0081</t>
  </si>
  <si>
    <t>PF002280</t>
  </si>
  <si>
    <t>4/21/2017</t>
  </si>
  <si>
    <t>19463070-000-040</t>
  </si>
  <si>
    <t>TN20-0212</t>
  </si>
  <si>
    <t>9/8/2017</t>
  </si>
  <si>
    <t>19463070-000-069</t>
  </si>
  <si>
    <t>9/14/2017</t>
  </si>
  <si>
    <t>11/15/2017</t>
  </si>
  <si>
    <t>TN20-0082</t>
  </si>
  <si>
    <t>19463070-000-041</t>
  </si>
  <si>
    <t>10/21/2016</t>
  </si>
  <si>
    <t>TN20-0083</t>
  </si>
  <si>
    <t>19463070-000-042</t>
  </si>
  <si>
    <t>TN20-0085</t>
  </si>
  <si>
    <t>19463070-000-044</t>
  </si>
  <si>
    <t>11/21/2016</t>
  </si>
  <si>
    <t>TN20-0263</t>
  </si>
  <si>
    <t>Blue Polar Bears</t>
  </si>
  <si>
    <t>PF002295</t>
  </si>
  <si>
    <t>19463070-000-114</t>
  </si>
  <si>
    <t>TN20-0264</t>
  </si>
  <si>
    <t>AMAZON,FINGERHUTDS,JCPENNEY01,MACY02,OLLIIX</t>
  </si>
  <si>
    <t>19463070-000-115</t>
  </si>
  <si>
    <t>TN20-0265</t>
  </si>
  <si>
    <t>AMAZON,JCPENNEY01,MACY02</t>
  </si>
  <si>
    <t>19463070-000-116</t>
  </si>
  <si>
    <t>TN20-0266</t>
  </si>
  <si>
    <t>19463070-000-117</t>
  </si>
  <si>
    <t>TN20-0267</t>
  </si>
  <si>
    <t>19463070-000-118</t>
  </si>
  <si>
    <t>11/7/2017</t>
  </si>
  <si>
    <t>TN20-0121</t>
  </si>
  <si>
    <t>Blue Solid</t>
  </si>
  <si>
    <t>PF002288</t>
  </si>
  <si>
    <t>19463070-000-015</t>
  </si>
  <si>
    <t>TN20-0122</t>
  </si>
  <si>
    <t>19463070-000-016</t>
  </si>
  <si>
    <t>TN20-0123</t>
  </si>
  <si>
    <t>19463070-000-017</t>
  </si>
  <si>
    <t>TN20-0124</t>
  </si>
  <si>
    <t>19463070-000-018</t>
  </si>
  <si>
    <t>10/26/2016</t>
  </si>
  <si>
    <t>TN20-0415</t>
  </si>
  <si>
    <t>Blush Dots</t>
  </si>
  <si>
    <t>PP000954;PF004715</t>
  </si>
  <si>
    <t>8/5/2019</t>
  </si>
  <si>
    <t>19463070-000-163</t>
  </si>
  <si>
    <t>9/22/2019</t>
  </si>
  <si>
    <t>TN20-0417</t>
  </si>
  <si>
    <t>19463070-000-165</t>
  </si>
  <si>
    <t>TN20-0419</t>
  </si>
  <si>
    <t>19463070-000-167</t>
  </si>
  <si>
    <t>10/16/2019</t>
  </si>
  <si>
    <t>TN20-0569</t>
  </si>
  <si>
    <t>Gray Herringbone Check</t>
  </si>
  <si>
    <t>PP000954;PF006338</t>
  </si>
  <si>
    <t>Gingham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</si>
  <si>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</si>
  <si>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</si>
  <si>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</si>
  <si>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</si>
  <si>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</si>
  <si>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</si>
  <si>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</si>
  <si>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</si>
  <si>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8/30/2023</t>
  </si>
  <si>
    <t>JCPENNEY01,MACY02,TGTDVS</t>
  </si>
  <si>
    <t>19463070-000-181</t>
  </si>
  <si>
    <t>TN20-0511</t>
  </si>
  <si>
    <t>19463070-000-183</t>
  </si>
  <si>
    <t>TN20-0514</t>
  </si>
  <si>
    <t>19463070-000-184</t>
  </si>
  <si>
    <t>12/14/2023</t>
  </si>
  <si>
    <t>TN20-0515</t>
  </si>
  <si>
    <t>19463070-000-187</t>
  </si>
  <si>
    <t>11/16/2023</t>
  </si>
  <si>
    <t>TN20-0516</t>
  </si>
  <si>
    <t>Gray/Taupe Nordic</t>
  </si>
  <si>
    <t>PP000954;PF006048</t>
  </si>
  <si>
    <t>8/19/2023</t>
  </si>
  <si>
    <t>19463070-000-186</t>
  </si>
  <si>
    <t>TN20-0517</t>
  </si>
  <si>
    <t>19463070-000-189</t>
  </si>
  <si>
    <t>TN20-0518</t>
  </si>
  <si>
    <t>19463070-000-188</t>
  </si>
  <si>
    <t>TN20-0519</t>
  </si>
  <si>
    <t>19463070-000-190</t>
  </si>
  <si>
    <t>TN20-0520</t>
  </si>
  <si>
    <t>19463070-000-192</t>
  </si>
  <si>
    <t>TN20-0521</t>
  </si>
  <si>
    <t>MACY02,TGTDVS</t>
  </si>
  <si>
    <t>19463070-000-191</t>
  </si>
  <si>
    <t>11/12/2023</t>
  </si>
  <si>
    <t>TN20-0377</t>
  </si>
  <si>
    <t>Grey Dogs</t>
  </si>
  <si>
    <t>PP000954;PF004390</t>
  </si>
  <si>
    <t>19463070-000-136</t>
  </si>
  <si>
    <t>TN20-0379</t>
  </si>
  <si>
    <t>19463070-000-137</t>
  </si>
  <si>
    <t>10/16/2018</t>
  </si>
  <si>
    <t>TN20-0380</t>
  </si>
  <si>
    <t>19463070-000-139</t>
  </si>
  <si>
    <t>TN20-0381</t>
  </si>
  <si>
    <t>19463070-000-138</t>
  </si>
  <si>
    <t>TN20-0353</t>
  </si>
  <si>
    <t>Grey Dots</t>
  </si>
  <si>
    <t>PP000954;PF004387</t>
  </si>
  <si>
    <t>19463070-000-144</t>
  </si>
  <si>
    <t>10/23/2018</t>
  </si>
  <si>
    <t>TN20-0355</t>
  </si>
  <si>
    <t>AMAZONDS,JCPENNEY01,KOHLDSN,MACY02,TGTDVS</t>
  </si>
  <si>
    <t>19463070-000-146</t>
  </si>
  <si>
    <t>11/16/2018</t>
  </si>
  <si>
    <t>TN20-0356</t>
  </si>
  <si>
    <t>19463070-000-145</t>
  </si>
  <si>
    <t>TN20-0357</t>
  </si>
  <si>
    <t>19463070-000-147</t>
  </si>
  <si>
    <t>TN20-0239</t>
  </si>
  <si>
    <t>PF002291</t>
  </si>
  <si>
    <t>19463070-000-090</t>
  </si>
  <si>
    <t>TN20-0240</t>
  </si>
  <si>
    <t>19463070-000-091</t>
  </si>
  <si>
    <t>11/9/2018</t>
  </si>
  <si>
    <t>TN20-0242</t>
  </si>
  <si>
    <t>AMAZONDS,BLK01,JCPENNEY01,KOHLDSN,MACY02,TGTDVS</t>
  </si>
  <si>
    <t>19463070-000-093</t>
  </si>
  <si>
    <t>11/6/2017</t>
  </si>
  <si>
    <t>TN20-0244</t>
  </si>
  <si>
    <t>19463070-000-095</t>
  </si>
  <si>
    <t>TN20-0365</t>
  </si>
  <si>
    <t>Grey Penguins</t>
  </si>
  <si>
    <t>PP000954;PF004389</t>
  </si>
  <si>
    <t>19463070-000-152</t>
  </si>
  <si>
    <t>TN20-0367</t>
  </si>
  <si>
    <t>19463070-000-153</t>
  </si>
  <si>
    <t>TN20-0368</t>
  </si>
  <si>
    <t>19463070-000-155</t>
  </si>
  <si>
    <t>TN20-0369</t>
  </si>
  <si>
    <t>AMAZONDS,JCPENNEY01,KOHLDSN,MACY02,TGTDVS,WALMARTDS</t>
  </si>
  <si>
    <t>19463070-000-154</t>
  </si>
  <si>
    <t>TN20-0106</t>
  </si>
  <si>
    <t>Grey Solid</t>
  </si>
  <si>
    <t>PF002287</t>
  </si>
  <si>
    <t>19463070-000-000</t>
  </si>
  <si>
    <t>TN20-0107</t>
  </si>
  <si>
    <t>19463070-000-001</t>
  </si>
  <si>
    <t>1/9/2017</t>
  </si>
  <si>
    <t>TN20-0108</t>
  </si>
  <si>
    <t>19463070-000-002</t>
  </si>
  <si>
    <t>11/16/2016</t>
  </si>
  <si>
    <t>TN20-0109</t>
  </si>
  <si>
    <t>19463070-000-003</t>
  </si>
  <si>
    <t>11/3/2016</t>
  </si>
  <si>
    <t>TN20-0110</t>
  </si>
  <si>
    <t>19463070-000-004</t>
  </si>
  <si>
    <t>1/3/2017</t>
  </si>
  <si>
    <t>TN20-0111</t>
  </si>
  <si>
    <t>Ivory Solid</t>
  </si>
  <si>
    <t>PF002286</t>
  </si>
  <si>
    <t>9/20/2017</t>
  </si>
  <si>
    <t>19463070-000-005</t>
  </si>
  <si>
    <t>TN20-0112</t>
  </si>
  <si>
    <t>19463070-000-006</t>
  </si>
  <si>
    <t>11/29/2016</t>
  </si>
  <si>
    <t>TN20-0114</t>
  </si>
  <si>
    <t>19463070-000-008</t>
  </si>
  <si>
    <t>11/10/2016</t>
  </si>
  <si>
    <t>TN20-0115</t>
  </si>
  <si>
    <t>AMAZON,BLK01,MACY02,TGTDVS</t>
  </si>
  <si>
    <t>19463070-000-009</t>
  </si>
  <si>
    <t>11/28/2016</t>
  </si>
  <si>
    <t>TN20-0269</t>
  </si>
  <si>
    <t>Multi Forest Animals</t>
  </si>
  <si>
    <t>PF002296</t>
  </si>
  <si>
    <t>19463070-000-120</t>
  </si>
  <si>
    <t>TN20-0270</t>
  </si>
  <si>
    <t>19463070-000-121</t>
  </si>
  <si>
    <t>TN20-0271</t>
  </si>
  <si>
    <t>19463070-000-122</t>
  </si>
  <si>
    <t>TN20-0272</t>
  </si>
  <si>
    <t>19463070-000-123</t>
  </si>
  <si>
    <t>TN20-0273</t>
  </si>
  <si>
    <t>19463070-000-124</t>
  </si>
  <si>
    <t>11/3/2017</t>
  </si>
  <si>
    <t>TN20-0251</t>
  </si>
  <si>
    <t>Multi Leaves</t>
  </si>
  <si>
    <t>PF002294</t>
  </si>
  <si>
    <t>19463070-000-108</t>
  </si>
  <si>
    <t>TN20-0252</t>
  </si>
  <si>
    <t>10/6/2017</t>
  </si>
  <si>
    <t>19463070-000-109</t>
  </si>
  <si>
    <t>TN20-0253</t>
  </si>
  <si>
    <t>19463070-000-110</t>
  </si>
  <si>
    <t>TN20-0254</t>
  </si>
  <si>
    <t>19463070-000-111</t>
  </si>
  <si>
    <t>TN20-0371</t>
  </si>
  <si>
    <t>Multi Sloth</t>
  </si>
  <si>
    <t>PP000954;PF004391</t>
  </si>
  <si>
    <t>19463070-000-132</t>
  </si>
  <si>
    <t>10/2/2018</t>
  </si>
  <si>
    <t>TN20-0373</t>
  </si>
  <si>
    <t>19463070-000-134</t>
  </si>
  <si>
    <t>TN20-0374</t>
  </si>
  <si>
    <t>AMAZONDS,MACY02</t>
  </si>
  <si>
    <t>19463070-000-133</t>
  </si>
  <si>
    <t>TN20-0375</t>
  </si>
  <si>
    <t>AMAZONDS,KOHLDSN,MACY02,OLLIIX,TGTDVS,WALMARTDS</t>
  </si>
  <si>
    <t>19463070-000-135</t>
  </si>
  <si>
    <t>9/26/2018</t>
  </si>
  <si>
    <t>TN20-0227</t>
  </si>
  <si>
    <t>Pink French Bulldog</t>
  </si>
  <si>
    <t>PF002290</t>
  </si>
  <si>
    <t>19463070-000-084</t>
  </si>
  <si>
    <t>TN20-0228</t>
  </si>
  <si>
    <t>19463070-000-085</t>
  </si>
  <si>
    <t>11/16/2017</t>
  </si>
  <si>
    <t>TN20-0229</t>
  </si>
  <si>
    <t>19463070-000-086</t>
  </si>
  <si>
    <t>TN20-0230</t>
  </si>
  <si>
    <t>19463070-000-087</t>
  </si>
  <si>
    <t>TN20-0231</t>
  </si>
  <si>
    <t>19463070-000-088</t>
  </si>
  <si>
    <t>10/28/2017</t>
  </si>
  <si>
    <t>TN20-0275</t>
  </si>
  <si>
    <t>Pink Plaid</t>
  </si>
  <si>
    <t>PF002297</t>
  </si>
  <si>
    <t>19463070-000-126</t>
  </si>
  <si>
    <t>TN20-0276</t>
  </si>
  <si>
    <t>19463070-000-127</t>
  </si>
  <si>
    <t>TN20-0277</t>
  </si>
  <si>
    <t>AMAZONDS,FINGERHUTDS,KOHLDSN,MACY02,TGTDVS</t>
  </si>
  <si>
    <t>19463070-000-128</t>
  </si>
  <si>
    <t>TN20-0278</t>
  </si>
  <si>
    <t>19463070-000-129</t>
  </si>
  <si>
    <t>TN20-0279</t>
  </si>
  <si>
    <t>AMAZON,AMAZONDS,JCPENNEY01,KOHLDSN,MACY02,TGTDVS</t>
  </si>
  <si>
    <t>19463070-000-130</t>
  </si>
  <si>
    <t>5/1/2018</t>
  </si>
  <si>
    <t>TN20-0066</t>
  </si>
  <si>
    <t>Pink/Grey Snowflakes</t>
  </si>
  <si>
    <t>PF002277</t>
  </si>
  <si>
    <t>19463070-000-025</t>
  </si>
  <si>
    <t>TN20-0209</t>
  </si>
  <si>
    <t>19463070-000-066</t>
  </si>
  <si>
    <t>TN20-0067</t>
  </si>
  <si>
    <t>19463070-000-026</t>
  </si>
  <si>
    <t>TN20-0068</t>
  </si>
  <si>
    <t>19463070-000-027</t>
  </si>
  <si>
    <t>TN20-0069</t>
  </si>
  <si>
    <t>6/30/2017</t>
  </si>
  <si>
    <t>19463070-000-028</t>
  </si>
  <si>
    <t>10/19/2016</t>
  </si>
  <si>
    <t>TN20-0076</t>
  </si>
  <si>
    <t>PF002279</t>
  </si>
  <si>
    <t>19463070-000-035</t>
  </si>
  <si>
    <t>11/2/2016</t>
  </si>
  <si>
    <t>TN20-0211</t>
  </si>
  <si>
    <t>AMAZONDS,JCPENNEY01,WALMARTDS</t>
  </si>
  <si>
    <t>19463070-000-068</t>
  </si>
  <si>
    <t>TN20-0077</t>
  </si>
  <si>
    <t>19463070-000-036</t>
  </si>
  <si>
    <t>TN20-0080</t>
  </si>
  <si>
    <t>19463070-000-039</t>
  </si>
  <si>
    <t>TN20-0424</t>
  </si>
  <si>
    <t>Reindeer</t>
  </si>
  <si>
    <t>PP000954;PF004716</t>
  </si>
  <si>
    <t>19463070-000-172</t>
  </si>
  <si>
    <t>9/27/2019</t>
  </si>
  <si>
    <t>TN20-0405</t>
  </si>
  <si>
    <t>Seafoam Llama</t>
  </si>
  <si>
    <t>PP000954;PF004713</t>
  </si>
  <si>
    <t>19463070-000-175</t>
  </si>
  <si>
    <t>9/9/2019</t>
  </si>
  <si>
    <t>TN20-0406</t>
  </si>
  <si>
    <t>19463070-000-174</t>
  </si>
  <si>
    <t>TN20-0408</t>
  </si>
  <si>
    <t>19463070-000-156</t>
  </si>
  <si>
    <t>8/26/2019</t>
  </si>
  <si>
    <t>TN20-0409</t>
  </si>
  <si>
    <t>19463070-000-158</t>
  </si>
  <si>
    <t>10/15/2019</t>
  </si>
  <si>
    <t>TN20-0210</t>
  </si>
  <si>
    <t>PF002278</t>
  </si>
  <si>
    <t>19463070-000-067</t>
  </si>
  <si>
    <t>TN20-0072</t>
  </si>
  <si>
    <t>AMAZON,CSNSTORES,JCPENNEY01,MACY02</t>
  </si>
  <si>
    <t>19463070-000-031</t>
  </si>
  <si>
    <t>TN20-0073</t>
  </si>
  <si>
    <t>19463070-000-032</t>
  </si>
  <si>
    <t>10/13/2016</t>
  </si>
  <si>
    <t>TN20-0074</t>
  </si>
  <si>
    <t>FINGERHUTDS,JCPENNEY01,KOHLDSN</t>
  </si>
  <si>
    <t>19463070-000-033</t>
  </si>
  <si>
    <t>TN20-0075</t>
  </si>
  <si>
    <t>5/5/2017</t>
  </si>
  <si>
    <t>19463070-000-034</t>
  </si>
  <si>
    <t>10/27/2016</t>
  </si>
  <si>
    <t>TN20-0116</t>
  </si>
  <si>
    <t>Tan Solid</t>
  </si>
  <si>
    <t>PF002285</t>
  </si>
  <si>
    <t>19463070-000-010</t>
  </si>
  <si>
    <t>11/23/2016</t>
  </si>
  <si>
    <t>TN20-0117</t>
  </si>
  <si>
    <t>19463070-000-011</t>
  </si>
  <si>
    <t>12/1/2016</t>
  </si>
  <si>
    <t>TN20-0118</t>
  </si>
  <si>
    <t>19463070-000-012</t>
  </si>
  <si>
    <t>TN20-0119</t>
  </si>
  <si>
    <t>DESINC,JCPENNEY01,KOHLDSN,MACY02,OLLIIX,TGTDVS</t>
  </si>
  <si>
    <t>19463070-000-013</t>
  </si>
  <si>
    <t>TN20-0120</t>
  </si>
  <si>
    <t>19463070-000-014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</si>
  <si>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</si>
  <si>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</si>
  <si>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</si>
  <si>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</si>
  <si>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</si>
  <si>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</si>
  <si>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</si>
  <si>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</si>
  <si>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</si>
  <si>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</si>
  <si>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</si>
  <si>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19463070-000-020</t>
  </si>
  <si>
    <t>TN20-0062</t>
  </si>
  <si>
    <t>19463070-000-021</t>
  </si>
  <si>
    <t>TN20-0063</t>
  </si>
  <si>
    <t>19463070-000-022</t>
  </si>
  <si>
    <t>TN20-0064</t>
  </si>
  <si>
    <t>19463070-000-023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</si>
  <si>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</si>
  <si>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</si>
  <si>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</si>
  <si>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</si>
  <si>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</si>
  <si>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</si>
  <si>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</si>
  <si>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</si>
  <si>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TN12-0431</t>
  </si>
  <si>
    <t>Cozy Flannel</t>
  </si>
  <si>
    <t>100% Cotton Flannel Printed Duvet Set</t>
  </si>
  <si>
    <t>Aqua Penguins</t>
  </si>
  <si>
    <t>PP000955;PF004711</t>
  </si>
  <si>
    <t>28398925-000-004</t>
  </si>
  <si>
    <t>TN12-0432</t>
  </si>
  <si>
    <t>28398925-000-005</t>
  </si>
  <si>
    <t>9/18/2019</t>
  </si>
  <si>
    <t>ID20-1757</t>
  </si>
  <si>
    <t>Cozy Soft</t>
  </si>
  <si>
    <t>Cotton Flannel Printed Sheet Set</t>
  </si>
  <si>
    <t>Blue Penguins</t>
  </si>
  <si>
    <t>PP000944;PF004719</t>
  </si>
  <si>
    <t>27441193-000-033</t>
  </si>
  <si>
    <t>9/21/2019</t>
  </si>
  <si>
    <t>ID20-1758</t>
  </si>
  <si>
    <t>27441193-000-034</t>
  </si>
  <si>
    <t>9/21/2020</t>
  </si>
  <si>
    <t>ID20-1759</t>
  </si>
  <si>
    <t>27441193-000-035</t>
  </si>
  <si>
    <t>ID20-1760</t>
  </si>
  <si>
    <t>27441193-000-028</t>
  </si>
  <si>
    <t>9/13/2019</t>
  </si>
  <si>
    <t>ID20-1536</t>
  </si>
  <si>
    <t>Blue Stars</t>
  </si>
  <si>
    <t>PP000944;PF004352</t>
  </si>
  <si>
    <t>6/21/2018</t>
  </si>
  <si>
    <t>27441193-000-008</t>
  </si>
  <si>
    <t>5/28/2018</t>
  </si>
  <si>
    <t>7/16/2018</t>
  </si>
  <si>
    <t>ID20-1537</t>
  </si>
  <si>
    <t>27441193-000-027</t>
  </si>
  <si>
    <t>ID20-1538</t>
  </si>
  <si>
    <t>27441193-000-014</t>
  </si>
  <si>
    <t>8/3/2018</t>
  </si>
  <si>
    <t>ID20-1539</t>
  </si>
  <si>
    <t>27441193-000-000</t>
  </si>
  <si>
    <t>7/31/2018</t>
  </si>
  <si>
    <t>ID20-2048</t>
  </si>
  <si>
    <t>Green Cactus</t>
  </si>
  <si>
    <t>PP000944;PF005498</t>
  </si>
  <si>
    <t>9/15/2021</t>
  </si>
  <si>
    <t>AMAZONDS,CSNSTORES,JCPENNEY01,KOHLDSN,MACY02,OLLIIX,TGTDVS</t>
  </si>
  <si>
    <t>27441193-000-043</t>
  </si>
  <si>
    <t>9/26/2021</t>
  </si>
  <si>
    <t>11/15/2021</t>
  </si>
  <si>
    <t>ID20-2044</t>
  </si>
  <si>
    <t>Grey Sloths</t>
  </si>
  <si>
    <t>PP000944;PF005497</t>
  </si>
  <si>
    <t>AMAZONDS,DESINC,KOHLDSN,MACY02,TGTDVS</t>
  </si>
  <si>
    <t>27441193-000-045</t>
  </si>
  <si>
    <t>ID20-2045</t>
  </si>
  <si>
    <t>27441193-000-044</t>
  </si>
  <si>
    <t>11/8/2021</t>
  </si>
  <si>
    <t>ID20-2046</t>
  </si>
  <si>
    <t>AMAZONDS,CSNSTORES,DESINC,KOHLDSN,TGTDVS</t>
  </si>
  <si>
    <t>27441193-000-041</t>
  </si>
  <si>
    <t>11/9/2021</t>
  </si>
  <si>
    <t>ID20-2047</t>
  </si>
  <si>
    <t>27441193-000-040</t>
  </si>
  <si>
    <t>11/16/2021</t>
  </si>
  <si>
    <t>ID20-1540</t>
  </si>
  <si>
    <t>Grey Stars</t>
  </si>
  <si>
    <t>PP000944;PF004353</t>
  </si>
  <si>
    <t>27441193-000-011</t>
  </si>
  <si>
    <t>8/1/2018</t>
  </si>
  <si>
    <t>ID20-1541</t>
  </si>
  <si>
    <t>27441193-000-022</t>
  </si>
  <si>
    <t>ID20-1542</t>
  </si>
  <si>
    <t>27441193-000-007</t>
  </si>
  <si>
    <t>ID20-1543</t>
  </si>
  <si>
    <t>27441193-000-016</t>
  </si>
  <si>
    <t>ID20-1552</t>
  </si>
  <si>
    <t>Grey/Pink Cats</t>
  </si>
  <si>
    <t>PP000944;PF004356</t>
  </si>
  <si>
    <t>27441193-000-019</t>
  </si>
  <si>
    <t>ID20-1553</t>
  </si>
  <si>
    <t>27441193-000-004</t>
  </si>
  <si>
    <t>8/2/2018</t>
  </si>
  <si>
    <t>ID20-1554</t>
  </si>
  <si>
    <t>27441193-000-001</t>
  </si>
  <si>
    <t>ID20-1555</t>
  </si>
  <si>
    <t>27441193-000-003</t>
  </si>
  <si>
    <t>7/25/2018</t>
  </si>
  <si>
    <t>ID20-1556</t>
  </si>
  <si>
    <t>Grey/Pink Dots</t>
  </si>
  <si>
    <t>PP000944;PF004357</t>
  </si>
  <si>
    <t>27441193-000-010</t>
  </si>
  <si>
    <t>8/23/2018</t>
  </si>
  <si>
    <t>ID20-1557</t>
  </si>
  <si>
    <t>27441193-000-017</t>
  </si>
  <si>
    <t>7/3/2018</t>
  </si>
  <si>
    <t>ID20-1558</t>
  </si>
  <si>
    <t>27441193-000-021</t>
  </si>
  <si>
    <t>ID20-1559</t>
  </si>
  <si>
    <t>AMAZON,JCPENNEY01,KOHLDSN,MACY02</t>
  </si>
  <si>
    <t>27441193-000-020</t>
  </si>
  <si>
    <t>ID20-1532</t>
  </si>
  <si>
    <t>Pink Llamas</t>
  </si>
  <si>
    <t>PP000944;PF004351</t>
  </si>
  <si>
    <t>27441193-000-026</t>
  </si>
  <si>
    <t>7/23/2018</t>
  </si>
  <si>
    <t>ID20-1534</t>
  </si>
  <si>
    <t>AMAZON,BLK01,JCPENNEY01,MACY02</t>
  </si>
  <si>
    <t>27441193-000-025</t>
  </si>
  <si>
    <t>8/6/2018</t>
  </si>
  <si>
    <t>ID20-1535</t>
  </si>
  <si>
    <t>KOHLDSN,MACY02,OLLIIX</t>
  </si>
  <si>
    <t>27441193-000-005</t>
  </si>
  <si>
    <t>7/6/2018</t>
  </si>
  <si>
    <t>ID20-1749</t>
  </si>
  <si>
    <t>Pink/Grey Hedgehogs</t>
  </si>
  <si>
    <t>PP000944;PF004717</t>
  </si>
  <si>
    <t>27441193-000-029</t>
  </si>
  <si>
    <t>8/30/2019</t>
  </si>
  <si>
    <t>ID20-1750</t>
  </si>
  <si>
    <t>27441193-000-030</t>
  </si>
  <si>
    <t>11/23/2020</t>
  </si>
  <si>
    <t>ID20-1752</t>
  </si>
  <si>
    <t>27441193-000-032</t>
  </si>
  <si>
    <t>8/13/2019</t>
  </si>
  <si>
    <t>ID20-1548</t>
  </si>
  <si>
    <t>Seafoam Foxes</t>
  </si>
  <si>
    <t>PP000944;PF004355</t>
  </si>
  <si>
    <t>27441193-000-002</t>
  </si>
  <si>
    <t>ID20-1549</t>
  </si>
  <si>
    <t>27441193-000-012</t>
  </si>
  <si>
    <t>ID20-1550</t>
  </si>
  <si>
    <t>27441193-000-009</t>
  </si>
  <si>
    <t>8/27/2018</t>
  </si>
  <si>
    <t>ID20-1551</t>
  </si>
  <si>
    <t>27441193-000-013</t>
  </si>
  <si>
    <t>ID20-1753</t>
  </si>
  <si>
    <t>Teal Dogs</t>
  </si>
  <si>
    <t>PP000944;PF004718</t>
  </si>
  <si>
    <t>27441193-000-036</t>
  </si>
  <si>
    <t>ID20-1754</t>
  </si>
  <si>
    <t>27441193-000-037</t>
  </si>
  <si>
    <t>2/12/2020</t>
  </si>
  <si>
    <t>ID20-1755</t>
  </si>
  <si>
    <t>27441193-000-038</t>
  </si>
  <si>
    <t>9/15/2019</t>
  </si>
  <si>
    <t>ID20-1756</t>
  </si>
  <si>
    <t>27441193-000-039</t>
  </si>
  <si>
    <t>2/11/2020</t>
  </si>
  <si>
    <t>ID20-2446</t>
  </si>
  <si>
    <t>White Holiday Trees</t>
  </si>
  <si>
    <t>PP000944;PF006314</t>
  </si>
  <si>
    <t>ID20-2447</t>
  </si>
  <si>
    <t>ID20-2448</t>
  </si>
  <si>
    <t>ID20-2449</t>
  </si>
  <si>
    <t>IIF18-0054</t>
  </si>
  <si>
    <t>Crackle</t>
  </si>
  <si>
    <t>PF000207;PP000022</t>
  </si>
  <si>
    <t>AMERSIGNDS,CASTLEGATE,CSNSTORES,HDDS,LAMPDS,OLLIIX,ROOMECOM</t>
  </si>
  <si>
    <t>19586467-000-000</t>
  </si>
  <si>
    <t>9/26/2016</t>
  </si>
  <si>
    <t>5DS153-0045</t>
  </si>
  <si>
    <t>Crewe</t>
  </si>
  <si>
    <t>Textured Resin Table Lamp</t>
  </si>
  <si>
    <t>40917635-000-000</t>
  </si>
  <si>
    <t>12/28/2022</t>
  </si>
  <si>
    <t>2/6/2023</t>
  </si>
  <si>
    <t>FB150-1191</t>
  </si>
  <si>
    <t>Curiana</t>
  </si>
  <si>
    <t>5-light Linear Chandelier with Textured Glass Shades</t>
  </si>
  <si>
    <t>MP12-8357</t>
  </si>
  <si>
    <t>Dahlia</t>
  </si>
  <si>
    <t>Junia</t>
  </si>
  <si>
    <t>Blossom</t>
  </si>
  <si>
    <t>3 Piece Floral Cotton Duvet Cover Set</t>
  </si>
  <si>
    <t>Peach/Off-White</t>
  </si>
  <si>
    <t>PF006122;PP001916</t>
  </si>
  <si>
    <t>43395720-000-001</t>
  </si>
  <si>
    <t>1/7/2024</t>
  </si>
  <si>
    <t>3/15/2024</t>
  </si>
  <si>
    <t>MP12-8358</t>
  </si>
  <si>
    <t>43395720-000-000</t>
  </si>
  <si>
    <t>MP35-7557</t>
  </si>
  <si>
    <t>Hanford</t>
  </si>
  <si>
    <t>Tiled Border Area Rug</t>
  </si>
  <si>
    <t>3x7' Runner</t>
  </si>
  <si>
    <t>Beige/Cream</t>
  </si>
  <si>
    <t>BLK01,JCPENNEY01,KOHLDSN,OLLIIX</t>
  </si>
  <si>
    <t>35376031-000-006</t>
  </si>
  <si>
    <t>MP35-7071</t>
  </si>
  <si>
    <t>12/13/2019</t>
  </si>
  <si>
    <t>35376031-000-001</t>
  </si>
  <si>
    <t>1/6/2020</t>
  </si>
  <si>
    <t>7/28/2020</t>
  </si>
  <si>
    <t>MP95B-0231</t>
  </si>
  <si>
    <t>Damask Wood Panel</t>
  </si>
  <si>
    <t>Two-tone Geometric Wall Decor</t>
  </si>
  <si>
    <t>Wood</t>
  </si>
  <si>
    <t>PP001412;PF004958</t>
  </si>
  <si>
    <t>10/2/2019</t>
  </si>
  <si>
    <t>AMAZON,AMAZONDS,CSNSTORES,JCPENNEY01,KIRKLANDDS,KOHLDSN,LAMPDS,NEBFUR01,OLLIIX</t>
  </si>
  <si>
    <t>35137208-000-000</t>
  </si>
  <si>
    <t>5DS100-0026</t>
  </si>
  <si>
    <t>Dani</t>
  </si>
  <si>
    <t>Tufted back Accent Chair</t>
  </si>
  <si>
    <t>5DS100-0040</t>
  </si>
  <si>
    <t>5DS100-0039</t>
  </si>
  <si>
    <t>Denim Blue</t>
  </si>
  <si>
    <t>41846672-000-003</t>
  </si>
  <si>
    <t>5DS100-0028</t>
  </si>
  <si>
    <t>ZOLA</t>
  </si>
  <si>
    <t>41846672-000-001</t>
  </si>
  <si>
    <t>6/27/2023</t>
  </si>
  <si>
    <t>5DS100-0038</t>
  </si>
  <si>
    <t>Grey 2</t>
  </si>
  <si>
    <t>2/24/2024</t>
  </si>
  <si>
    <t>41846672-000-002</t>
  </si>
  <si>
    <t>5DS100-0027</t>
  </si>
  <si>
    <t>Navy Blue</t>
  </si>
  <si>
    <t>41846672-000-000</t>
  </si>
  <si>
    <t>9/26/2023</t>
  </si>
  <si>
    <t>UH10-2434</t>
  </si>
  <si>
    <t>Emery</t>
  </si>
  <si>
    <t>Hailey</t>
  </si>
  <si>
    <t>3 Piece Cotton Gauze Waffle Weave Comforter Set</t>
  </si>
  <si>
    <t>PF005678</t>
  </si>
  <si>
    <t>6/14/2022</t>
  </si>
  <si>
    <t>40085770-000-000</t>
  </si>
  <si>
    <t>6/15/2022</t>
  </si>
  <si>
    <t>7/15/2022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</si>
  <si>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</si>
  <si>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</si>
  <si>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</si>
  <si>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</si>
  <si>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</si>
  <si>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</si>
  <si>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</si>
  <si>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</si>
  <si>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CSNSTORES,LAMPDS,OLLIIX</t>
  </si>
  <si>
    <t>40185271-000-000</t>
  </si>
  <si>
    <t>7/25/2022</t>
  </si>
  <si>
    <t>ID10-501</t>
  </si>
  <si>
    <t>Daryl</t>
  </si>
  <si>
    <t>Chet</t>
  </si>
  <si>
    <t>PF001601</t>
  </si>
  <si>
    <t>CSNSTORES,HDDS,KOHLDSN,MACY02,OLLIIX,Zulily</t>
  </si>
  <si>
    <t>16406443-000-002</t>
  </si>
  <si>
    <t>9/3/2015</t>
  </si>
  <si>
    <t>MP12-390</t>
  </si>
  <si>
    <t>Dawn</t>
  </si>
  <si>
    <t>Vanessa</t>
  </si>
  <si>
    <t>Stella</t>
  </si>
  <si>
    <t>9 Piece Cotton Percale Duvet Cover Set</t>
  </si>
  <si>
    <t>PF003403;PP000407</t>
  </si>
  <si>
    <t>Shabby Chic|Transitional</t>
  </si>
  <si>
    <t>15685750-000-001</t>
  </si>
  <si>
    <t>MP10-7667</t>
  </si>
  <si>
    <t>Dax</t>
  </si>
  <si>
    <t>Noah</t>
  </si>
  <si>
    <t>7 Piece Microsuede Comforter Set</t>
  </si>
  <si>
    <t>PP001669;PF005556</t>
  </si>
  <si>
    <t>BLK01,CSNSTORES,DESINC,FINGERHUTDS,JCPENNEY01,KOHLDSN,MACY02,OLLIIX,TGTDVS,ZOLA</t>
  </si>
  <si>
    <t>38819125-000-003</t>
  </si>
  <si>
    <t>MP103-0480</t>
  </si>
  <si>
    <t>Deanna</t>
  </si>
  <si>
    <t>Morton</t>
  </si>
  <si>
    <t>Sparta</t>
  </si>
  <si>
    <t>Upholstered Swivel Accent Chair</t>
  </si>
  <si>
    <t>24752656-000-000</t>
  </si>
  <si>
    <t>MT100-0174</t>
  </si>
  <si>
    <t>Decker</t>
  </si>
  <si>
    <t>Accent Armchair Set of 2</t>
  </si>
  <si>
    <t>PP001268</t>
  </si>
  <si>
    <t>44063501-000-000</t>
  </si>
  <si>
    <t>MP125-1190</t>
  </si>
  <si>
    <t>ACCENT TABLE</t>
  </si>
  <si>
    <t>Accent Table</t>
  </si>
  <si>
    <t>Del Mar</t>
  </si>
  <si>
    <t>Heidi</t>
  </si>
  <si>
    <t>Ashley</t>
  </si>
  <si>
    <t>Pedestal Accent Table</t>
  </si>
  <si>
    <t>Bronze</t>
  </si>
  <si>
    <t>ASHFURNDS,CSNSTORES,HOUZZ,KIRKLANDDS,OLLIIX</t>
  </si>
  <si>
    <t>40899396-000-000</t>
  </si>
  <si>
    <t>2/21/2023</t>
  </si>
  <si>
    <t>MP41-2114</t>
  </si>
  <si>
    <t>Delray Diamond</t>
  </si>
  <si>
    <t>Natalie</t>
  </si>
  <si>
    <t>Printed Diamond Window Valance</t>
  </si>
  <si>
    <t>PF003884;PP000409</t>
  </si>
  <si>
    <t>17924345-000-000</t>
  </si>
  <si>
    <t>12/4/2015</t>
  </si>
  <si>
    <t>II95C-0157</t>
  </si>
  <si>
    <t>Derby</t>
  </si>
  <si>
    <t>Hand Embellished Horse Framed Canvas Wall Art</t>
  </si>
  <si>
    <t>DESINC,OLLIIX</t>
  </si>
  <si>
    <t>42721567-000-000</t>
  </si>
  <si>
    <t>II95C-0150</t>
  </si>
  <si>
    <t>Desert Serenity</t>
  </si>
  <si>
    <t>Hand Embellished Abstract 2-piece Framed Canvas Wall Art Set</t>
  </si>
  <si>
    <t>PP001871</t>
  </si>
  <si>
    <t>ASHFURNDS,KIRKLANDDS,OLLIIX,TGTDVS</t>
  </si>
  <si>
    <t>41374289-000-000</t>
  </si>
  <si>
    <t>4/16/2023</t>
  </si>
  <si>
    <t>8/28/2023</t>
  </si>
  <si>
    <t>5DS150-0044</t>
  </si>
  <si>
    <t>Devon</t>
  </si>
  <si>
    <t>6-Light Chandelier with Bowl Shaped Glass Shades</t>
  </si>
  <si>
    <t xml:space="preserve"> 40565434-000-000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</si>
  <si>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</si>
  <si>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</si>
  <si>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</si>
  <si>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</si>
  <si>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</si>
  <si>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</si>
  <si>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</si>
  <si>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44066001-000-000</t>
  </si>
  <si>
    <t>MP100-1228</t>
  </si>
  <si>
    <t>Donohue</t>
  </si>
  <si>
    <t>Sunnee</t>
  </si>
  <si>
    <t>Lyla</t>
  </si>
  <si>
    <t>Accent chair Set of 2</t>
  </si>
  <si>
    <t>44062242-000-000</t>
  </si>
  <si>
    <t>MP10-8281</t>
  </si>
  <si>
    <t>Donovan</t>
  </si>
  <si>
    <t>Perry</t>
  </si>
  <si>
    <t>7 Piece Jacquard Comforter Set with Throw Pillows</t>
  </si>
  <si>
    <t>PP000411;PF006063</t>
  </si>
  <si>
    <t>22307610-000-005</t>
  </si>
  <si>
    <t>9/10/2023</t>
  </si>
  <si>
    <t>FB155-1176</t>
  </si>
  <si>
    <t>Dove</t>
  </si>
  <si>
    <t>Double Tube 2-Light Wall Sconce</t>
  </si>
  <si>
    <t>Frosted glass/gold</t>
  </si>
  <si>
    <t>42120667-000-000</t>
  </si>
  <si>
    <t>MT153-0068</t>
  </si>
  <si>
    <t>Doyer</t>
  </si>
  <si>
    <t>Metal Table Lamp</t>
  </si>
  <si>
    <t>Gold/White</t>
  </si>
  <si>
    <t>40807345-000-000</t>
  </si>
  <si>
    <t>3/19/2023</t>
  </si>
  <si>
    <t>ID10-2313</t>
  </si>
  <si>
    <t>Dream Puff</t>
  </si>
  <si>
    <t>Down Alternative Comforter Set</t>
  </si>
  <si>
    <t>PP001937;PF006180</t>
  </si>
  <si>
    <t>5/21/2024</t>
  </si>
  <si>
    <t>44054527-000-010</t>
  </si>
  <si>
    <t>5/29/2024</t>
  </si>
  <si>
    <t>ID10-2314</t>
  </si>
  <si>
    <t>4/30/2024</t>
  </si>
  <si>
    <t>44054527-000-005</t>
  </si>
  <si>
    <t>ID10-2315</t>
  </si>
  <si>
    <t>44054527-000-011</t>
  </si>
  <si>
    <t>ID10-2310</t>
  </si>
  <si>
    <t>PP001937;PF006179</t>
  </si>
  <si>
    <t>44054527-000-006</t>
  </si>
  <si>
    <t>ID10-2311</t>
  </si>
  <si>
    <t>44054527-000-001</t>
  </si>
  <si>
    <t>ID10-2312</t>
  </si>
  <si>
    <t>44054527-000-007</t>
  </si>
  <si>
    <t>ID10-2307</t>
  </si>
  <si>
    <t>PP001937;PF006178</t>
  </si>
  <si>
    <t>44054527-000-000</t>
  </si>
  <si>
    <t>ID10-2308</t>
  </si>
  <si>
    <t>44054527-000-002</t>
  </si>
  <si>
    <t>ID10-2309</t>
  </si>
  <si>
    <t>44054527-000-008</t>
  </si>
  <si>
    <t>ID10-2304</t>
  </si>
  <si>
    <t>PP001937;PF006177</t>
  </si>
  <si>
    <t>44054527-000-004</t>
  </si>
  <si>
    <t>ID10-2305</t>
  </si>
  <si>
    <t>44054527-000-009</t>
  </si>
  <si>
    <t>ID10-2306</t>
  </si>
  <si>
    <t>44054527-000-003</t>
  </si>
  <si>
    <t>ID16-2316</t>
  </si>
  <si>
    <t>Overfilled Down Alternative Mattress Pad</t>
  </si>
  <si>
    <t>PP001938;PF006181</t>
  </si>
  <si>
    <t>AMAZON,NRTPORT,OLLIIX,TGTDVS</t>
  </si>
  <si>
    <t>43823219-000-001</t>
  </si>
  <si>
    <t>ID16-2317</t>
  </si>
  <si>
    <t>AMAZON,NRTPORT,OLLIIX</t>
  </si>
  <si>
    <t>43823219-000-002</t>
  </si>
  <si>
    <t>ID16-2318</t>
  </si>
  <si>
    <t>43823219-000-000</t>
  </si>
  <si>
    <t>ID16-2319</t>
  </si>
  <si>
    <t>43823219-000-003</t>
  </si>
  <si>
    <t>BR51-4440</t>
  </si>
  <si>
    <t>Dream Soft</t>
  </si>
  <si>
    <t>PP001948;PF006208</t>
  </si>
  <si>
    <t>43727975-000-008</t>
  </si>
  <si>
    <t>BR51-4446</t>
  </si>
  <si>
    <t>PP001948;PF006210</t>
  </si>
  <si>
    <t>AMAZON,KOHLDSN,TGTDVS</t>
  </si>
  <si>
    <t>43727975-000-007</t>
  </si>
  <si>
    <t>BR51-4448</t>
  </si>
  <si>
    <t>43727975-000-000</t>
  </si>
  <si>
    <t>BR51-4443</t>
  </si>
  <si>
    <t>PP001948;PF006209</t>
  </si>
  <si>
    <t>43727975-000-001</t>
  </si>
  <si>
    <t>BR51-4437</t>
  </si>
  <si>
    <t>PP001948;PF006207</t>
  </si>
  <si>
    <t>AMAZON,KOHLDSN,OLLIIX</t>
  </si>
  <si>
    <t>43727975-000-009</t>
  </si>
  <si>
    <t>BR51-4438</t>
  </si>
  <si>
    <t>43727975-000-003</t>
  </si>
  <si>
    <t>ST54-3579</t>
  </si>
  <si>
    <t>Dream Soft Heated</t>
  </si>
  <si>
    <t>PP001983;PF006359</t>
  </si>
  <si>
    <t>8/19/2024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</si>
  <si>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</si>
  <si>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</si>
  <si>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</si>
  <si>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</si>
  <si>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</si>
  <si>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</si>
  <si>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</si>
  <si>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</si>
  <si>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</si>
  <si>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</si>
  <si>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</si>
  <si>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</si>
  <si>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</si>
  <si>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</si>
  <si>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</si>
  <si>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</si>
  <si>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</si>
  <si>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</si>
  <si>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</si>
  <si>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</si>
  <si>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</si>
  <si>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</si>
  <si>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</si>
  <si>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</si>
  <si>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</si>
  <si>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</si>
  <si>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</si>
  <si>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</si>
  <si>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CSNSTORES,KIRKLANDDS,OLLIIX,ZOLA</t>
  </si>
  <si>
    <t>42721629-000-000</t>
  </si>
  <si>
    <t>MP12-8162</t>
  </si>
  <si>
    <t>Drew</t>
  </si>
  <si>
    <t>Hendry</t>
  </si>
  <si>
    <t>Knox</t>
  </si>
  <si>
    <t>3 Piece Clipped Jacquard Duvet Cover Set</t>
  </si>
  <si>
    <t>PP001839;PF005896</t>
  </si>
  <si>
    <t>4/6/2023</t>
  </si>
  <si>
    <t>41353320-000-000</t>
  </si>
  <si>
    <t>MP10-8161</t>
  </si>
  <si>
    <t>5 Piece Clipped Jacquard Comforter Set with Throw Pillows</t>
  </si>
  <si>
    <t>PP001839;PF005895</t>
  </si>
  <si>
    <t>AMAZON,JCPENNEY01,KOHLDSN,MACY02,TGTDVS</t>
  </si>
  <si>
    <t>41353062-000-000</t>
  </si>
  <si>
    <t>11/14/2023</t>
  </si>
  <si>
    <t>MP12-8163</t>
  </si>
  <si>
    <t>41353320-000-001</t>
  </si>
  <si>
    <t>5DS153-0029</t>
  </si>
  <si>
    <t>Driggs</t>
  </si>
  <si>
    <t>Ceramic Textured Table Lamp</t>
  </si>
  <si>
    <t>Ivory/Grey</t>
  </si>
  <si>
    <t>AMERSIGNDS,CSNSTORES,JCPENNEY01,KIRKLANDDS,KOHLDSN,MACY02,OLLIIX,ROOMECOM,TGTDVS</t>
  </si>
  <si>
    <t>30664612-000-000</t>
  </si>
  <si>
    <t>11/14/2018</t>
  </si>
  <si>
    <t>1/16/2019</t>
  </si>
  <si>
    <t>MP130-0156</t>
  </si>
  <si>
    <t>Driscoll</t>
  </si>
  <si>
    <t>Wyatt</t>
  </si>
  <si>
    <t>Grayson</t>
  </si>
  <si>
    <t>2-Door Cabinet</t>
  </si>
  <si>
    <t>PF000438</t>
  </si>
  <si>
    <t>ASHFURNDS,CASTLEGATE,CSNSTORES,HDDS,HOUZZ,KIRKLANDDS,KOHLDSN,LAMPDS,MACY02F,OLLIIX</t>
  </si>
  <si>
    <t>21140952-000-000</t>
  </si>
  <si>
    <t>3/15/2017</t>
  </si>
  <si>
    <t>MP10-7632</t>
  </si>
  <si>
    <t>Duke</t>
  </si>
  <si>
    <t>York</t>
  </si>
  <si>
    <t>Faux Fur Comforter Mini Set</t>
  </si>
  <si>
    <t>PP000412;PF004332</t>
  </si>
  <si>
    <t>8/4/2021</t>
  </si>
  <si>
    <t>AMAZONDS,FINGERHUTDS,JCPENNEY01,KOHLDSN,MACY02,OLLIIX,TGTDVS</t>
  </si>
  <si>
    <t>19303741-000-008</t>
  </si>
  <si>
    <t>8/11/2021</t>
  </si>
  <si>
    <t>10/11/2021</t>
  </si>
  <si>
    <t>MP50-453</t>
  </si>
  <si>
    <t>Long Fur Throw</t>
  </si>
  <si>
    <t>PF003536;PP000412</t>
  </si>
  <si>
    <t>AMAZON,BLK01,CSNSTORES,DESINC,FINGERHUTDS,JCPENNEY01,KOHLDSN,MACY02,OLLIIX,TGTDVS</t>
  </si>
  <si>
    <t>15574045-000-000</t>
  </si>
  <si>
    <t>MP50-5784</t>
  </si>
  <si>
    <t>5/8/2018</t>
  </si>
  <si>
    <t>AMAZON,AMAZONDS,BLK01,FINGERHUTDS,HSNDS,JCPENNEY01,KOHLDSN,MACY02,OLLIIX,TGTDVS</t>
  </si>
  <si>
    <t>15574045-000-005</t>
  </si>
  <si>
    <t>6/8/2018</t>
  </si>
  <si>
    <t>MP50-4823</t>
  </si>
  <si>
    <t>PF003568</t>
  </si>
  <si>
    <t>8/18/2017</t>
  </si>
  <si>
    <t>AMAZON,CSNSTORES,DESINC,FINGERHUTDS,HSNDS,JCPENNEY01,KOHLDSN,MACY02,NEBFUR01,OLLIIX,TGTDVS</t>
  </si>
  <si>
    <t>15574045-000-004</t>
  </si>
  <si>
    <t>8/28/2017</t>
  </si>
  <si>
    <t>MP30-2999</t>
  </si>
  <si>
    <t>Faux Fur Square Pillow</t>
  </si>
  <si>
    <t>PF003558;PP000412</t>
  </si>
  <si>
    <t>ASHFURNDS,CSNSTORES,FINGERHUTDS,JCPENNEY01,KOHLDSN,MACY02,TGTDVS</t>
  </si>
  <si>
    <t>18986986-000-002</t>
  </si>
  <si>
    <t>7/13/2016</t>
  </si>
  <si>
    <t>MP50-455</t>
  </si>
  <si>
    <t>AMAZON,BLK01,CSNSTORES,DESINC,FINGERHUTDS,JCPENNEY01,KOHLDSN,MACY02,OLLIIX,TGTDVS,WALMARTDS</t>
  </si>
  <si>
    <t>15574045-000-002</t>
  </si>
  <si>
    <t>5/18/2015</t>
  </si>
  <si>
    <t>MP30-3000</t>
  </si>
  <si>
    <t>PF003567;PP000412</t>
  </si>
  <si>
    <t>18986986-000-003</t>
  </si>
  <si>
    <t>9/12/2016</t>
  </si>
  <si>
    <t>MP50-1593</t>
  </si>
  <si>
    <t>AMAZON,AMAZONDS,CSNSTORES,FINGERHUTDS,JCPENNEY01,KOHLDSN,MACY02,TGTDVS</t>
  </si>
  <si>
    <t>15574045-000-003</t>
  </si>
  <si>
    <t>1/18/2016</t>
  </si>
  <si>
    <t>UH13-2523</t>
  </si>
  <si>
    <t>Dune</t>
  </si>
  <si>
    <t>Toren</t>
  </si>
  <si>
    <t>Ryland</t>
  </si>
  <si>
    <t>Poly Gauze Quilt Set</t>
  </si>
  <si>
    <t>PP001940;PF006185</t>
  </si>
  <si>
    <t>43786359-000-001</t>
  </si>
  <si>
    <t>UH13-2525</t>
  </si>
  <si>
    <t>PP001940;PF006186</t>
  </si>
  <si>
    <t>43786359-000-002</t>
  </si>
  <si>
    <t>UH13-2526</t>
  </si>
  <si>
    <t>43786359-000-003</t>
  </si>
  <si>
    <t>SYNC66-0023</t>
  </si>
  <si>
    <t>Durable</t>
  </si>
  <si>
    <t>Dog Seatbelt for Carseat Adjustable Black Nylon 2-Pack Set</t>
  </si>
  <si>
    <t>16"-27"</t>
  </si>
  <si>
    <t>11/30/2016</t>
  </si>
  <si>
    <t>43976042-000-000</t>
  </si>
  <si>
    <t>MPS95F-0039</t>
  </si>
  <si>
    <t>Mirrors</t>
  </si>
  <si>
    <t>Eclipse</t>
  </si>
  <si>
    <t>Gold Trio Wall Mirror</t>
  </si>
  <si>
    <t>PP001769</t>
  </si>
  <si>
    <t>6/29/2022</t>
  </si>
  <si>
    <t>AMERSIGNDS,CSNSTORES,JCPENNEY01,KOHLDSN,MACY02,OLLIIX,TGTDVS</t>
  </si>
  <si>
    <t>24185325-000-001</t>
  </si>
  <si>
    <t>7/5/2022</t>
  </si>
  <si>
    <t>8/22/2022</t>
  </si>
  <si>
    <t>MP40-3779</t>
  </si>
  <si>
    <t>Eden</t>
  </si>
  <si>
    <t>Laya</t>
  </si>
  <si>
    <t>Fretwork Burnout Sheer Curtain Panel</t>
  </si>
  <si>
    <t>PF003819</t>
  </si>
  <si>
    <t>CSNSTORES,FINGERHUTDS,JCPENNEY01,KOHLDSN,MACY02,WALMARTDS</t>
  </si>
  <si>
    <t>20741027-000-006</t>
  </si>
  <si>
    <t>1/19/2017</t>
  </si>
  <si>
    <t>3/7/2017</t>
  </si>
  <si>
    <t>ID10-2102</t>
  </si>
  <si>
    <t>Effie AZ</t>
  </si>
  <si>
    <t>Shaggy Fur Reversible Comforter Set</t>
  </si>
  <si>
    <t>2/17/2022</t>
  </si>
  <si>
    <t>43944077-000-006</t>
  </si>
  <si>
    <t>ID10-2103</t>
  </si>
  <si>
    <t>43944077-000-004</t>
  </si>
  <si>
    <t>ID10-2104</t>
  </si>
  <si>
    <t>43944077-000-005</t>
  </si>
  <si>
    <t>ID10-2099</t>
  </si>
  <si>
    <t>43944077-000-003</t>
  </si>
  <si>
    <t>ID10-2100</t>
  </si>
  <si>
    <t>43944077-000-007</t>
  </si>
  <si>
    <t>ID10-2101</t>
  </si>
  <si>
    <t>43944077-000-008</t>
  </si>
  <si>
    <t>ID10-2107</t>
  </si>
  <si>
    <t>2/23/2022</t>
  </si>
  <si>
    <t>43944077-000-009</t>
  </si>
  <si>
    <t>ID10-2196</t>
  </si>
  <si>
    <t>12/1/2022</t>
  </si>
  <si>
    <t>43944077-000-000</t>
  </si>
  <si>
    <t>ID10-2197</t>
  </si>
  <si>
    <t>43944077-000-002</t>
  </si>
  <si>
    <t>ID10-2198</t>
  </si>
  <si>
    <t>43944077-000-001</t>
  </si>
  <si>
    <t>BR54-0180</t>
  </si>
  <si>
    <t>Electric Micro Fleece</t>
  </si>
  <si>
    <t>PF003617</t>
  </si>
  <si>
    <t>14030863-000-023</t>
  </si>
  <si>
    <t>BR54-0185</t>
  </si>
  <si>
    <t>PF003628</t>
  </si>
  <si>
    <t>14030863-000-022</t>
  </si>
  <si>
    <t>BR54-0194</t>
  </si>
  <si>
    <t>PF003414</t>
  </si>
  <si>
    <t>AMAZON,AMAZONDS,ASHFURNDS,BLK01,CSNSTORES,KOHLDSN,TGTDVS</t>
  </si>
  <si>
    <t>14030863-000-004</t>
  </si>
  <si>
    <t>BR54-0190</t>
  </si>
  <si>
    <t>PF003639</t>
  </si>
  <si>
    <t>AMAZON,HDDS,JCPENNEY01,KOHLDSN,MACY02</t>
  </si>
  <si>
    <t>14030863-000-003</t>
  </si>
  <si>
    <t>BR54-3259</t>
  </si>
  <si>
    <t>12/22/2021</t>
  </si>
  <si>
    <t>AMAZON,AMAZONDS,BLK01,HDDS,KOHLDSN,TGTDVS</t>
  </si>
  <si>
    <t>14030863-000-015</t>
  </si>
  <si>
    <t>1/13/2022</t>
  </si>
  <si>
    <t>1/17/2022</t>
  </si>
  <si>
    <t>MT150-0080</t>
  </si>
  <si>
    <t>Elegenza</t>
  </si>
  <si>
    <t>6-light Chandelier with Fabric Drum Shades</t>
  </si>
  <si>
    <t>Antique Gold</t>
  </si>
  <si>
    <t>MT150-0079</t>
  </si>
  <si>
    <t>Chrome</t>
  </si>
  <si>
    <t>MP41-7411</t>
  </si>
  <si>
    <t>Elena</t>
  </si>
  <si>
    <t>Juline</t>
  </si>
  <si>
    <t>Gail</t>
  </si>
  <si>
    <t>Faux Silk Waterfall Embellished Valance</t>
  </si>
  <si>
    <t>PP001164;PF004653</t>
  </si>
  <si>
    <t>4/20/2021</t>
  </si>
  <si>
    <t>AMAZON,BLK01,CSNSTORES,DESINC,JCPENNEY01,KOHLDSN,MACY02</t>
  </si>
  <si>
    <t>23314418-000-006</t>
  </si>
  <si>
    <t>5/3/2021</t>
  </si>
  <si>
    <t>II153-0154</t>
  </si>
  <si>
    <t>Elixir</t>
  </si>
  <si>
    <t>Gold Hourglass Metal Table Lamp</t>
  </si>
  <si>
    <t>43888702-000-000</t>
  </si>
  <si>
    <t>4/29/2024</t>
  </si>
  <si>
    <t>MP95B-0241</t>
  </si>
  <si>
    <t>Round Natural Fiber and Mirror 3-piece Wall Decor Set</t>
  </si>
  <si>
    <t>PP001424;PF004976</t>
  </si>
  <si>
    <t>AMERSIGNDS,CSNSTORES,OLLIIX</t>
  </si>
  <si>
    <t>35137212-000-000</t>
  </si>
  <si>
    <t>12/11/2019</t>
  </si>
  <si>
    <t>MT101-0014</t>
  </si>
  <si>
    <t>Ellen</t>
  </si>
  <si>
    <t>Cocktail Ottoman</t>
  </si>
  <si>
    <t>PP001279</t>
  </si>
  <si>
    <t>CASTLEGATE,CSNSTORES,KIRKLANDDS,KOHLDSN,OLLIIX</t>
  </si>
  <si>
    <t>33732339-000-000</t>
  </si>
  <si>
    <t>7/8/2019</t>
  </si>
  <si>
    <t>3/16/2020</t>
  </si>
  <si>
    <t>5DS150-0042</t>
  </si>
  <si>
    <t>CSNSTORES,KIRKLANDDS,TGTDVS</t>
  </si>
  <si>
    <t>39817466-000-000</t>
  </si>
  <si>
    <t>4/7/2022</t>
  </si>
  <si>
    <t>II12-1071</t>
  </si>
  <si>
    <t>Ellipse</t>
  </si>
  <si>
    <t>PP001094;PF004766</t>
  </si>
  <si>
    <t>8/28/2019</t>
  </si>
  <si>
    <t>CASTLEGATE,CSNSTORES,JCPENNEY01,MACY02,OLLIIX,TGTDVS,ZOLA</t>
  </si>
  <si>
    <t>31826629-000-003</t>
  </si>
  <si>
    <t>CCA12-0004</t>
  </si>
  <si>
    <t>Ellis</t>
  </si>
  <si>
    <t>Heathered Gray</t>
  </si>
  <si>
    <t>11/11/2022</t>
  </si>
  <si>
    <t>42127892-000-001</t>
  </si>
  <si>
    <t>10/17/2023</t>
  </si>
  <si>
    <t>FB154-1166</t>
  </si>
  <si>
    <t>Ellsworth</t>
  </si>
  <si>
    <t>Asymmetrical Adjustable Height Metal Floor Lamp</t>
  </si>
  <si>
    <t>CSNSTORES,OLLIIX,ZOLA</t>
  </si>
  <si>
    <t>39980009-000-000</t>
  </si>
  <si>
    <t>5/19/2022</t>
  </si>
  <si>
    <t>MP50-3254</t>
  </si>
  <si>
    <t>Elma</t>
  </si>
  <si>
    <t>Celia</t>
  </si>
  <si>
    <t>Oversized Textured Plush Throw</t>
  </si>
  <si>
    <t>PF003441</t>
  </si>
  <si>
    <t>4/15/2017</t>
  </si>
  <si>
    <t>19173744-000-002</t>
  </si>
  <si>
    <t>8/3/2016</t>
  </si>
  <si>
    <t>MP50-3253</t>
  </si>
  <si>
    <t>PF003440</t>
  </si>
  <si>
    <t>6/23/2017</t>
  </si>
  <si>
    <t>19173744-000-001</t>
  </si>
  <si>
    <t>8/30/2016</t>
  </si>
  <si>
    <t>MT108-1197</t>
  </si>
  <si>
    <t>Elmcrest</t>
  </si>
  <si>
    <t>Upholstered Dining Chair with Nailhead Trim</t>
  </si>
  <si>
    <t>Beige Stripe</t>
  </si>
  <si>
    <t>MT Lily Pond</t>
  </si>
  <si>
    <t>1/26/2024</t>
  </si>
  <si>
    <t>36430169-000-002</t>
  </si>
  <si>
    <t>2/27/2024</t>
  </si>
  <si>
    <t>3/18/2024</t>
  </si>
  <si>
    <t>MP108-0911</t>
  </si>
  <si>
    <t>Elmwood</t>
  </si>
  <si>
    <t>Bernardo</t>
  </si>
  <si>
    <t>Steven</t>
  </si>
  <si>
    <t>Dining Chair Set of 2</t>
  </si>
  <si>
    <t>CSNSTORES,HOUZZ,KOHLDSN,MACY02F,OLLIIX,ROOMECOM</t>
  </si>
  <si>
    <t>35543250-000-000</t>
  </si>
  <si>
    <t>8/19/2020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</si>
  <si>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</si>
  <si>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</si>
  <si>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</si>
  <si>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</si>
  <si>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</si>
  <si>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</si>
  <si>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CS10-1436</t>
  </si>
  <si>
    <t>Ember</t>
  </si>
  <si>
    <t>2 Piece Comforter set</t>
  </si>
  <si>
    <t>6/21/2021</t>
  </si>
  <si>
    <t>43961014-000-000</t>
  </si>
  <si>
    <t>CS10-1437</t>
  </si>
  <si>
    <t>3 Piece Comforter set</t>
  </si>
  <si>
    <t>7/3/2021</t>
  </si>
  <si>
    <t>43961014-000-002</t>
  </si>
  <si>
    <t>CS10-1438</t>
  </si>
  <si>
    <t>43961014-000-003</t>
  </si>
  <si>
    <t>CS10-1429</t>
  </si>
  <si>
    <t>5/11/2021</t>
  </si>
  <si>
    <t>43961014-000-001</t>
  </si>
  <si>
    <t>CS10-1430</t>
  </si>
  <si>
    <t>43961014-000-004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</si>
  <si>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</si>
  <si>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</si>
  <si>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</si>
  <si>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</si>
  <si>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</si>
  <si>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</si>
  <si>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</si>
  <si>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</si>
  <si>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MP20-8178</t>
  </si>
  <si>
    <t>Embroidered Microfiber</t>
  </si>
  <si>
    <t>4 PC Sheet Set</t>
  </si>
  <si>
    <t>Taupe Geo</t>
  </si>
  <si>
    <t>PP001840;PF005899</t>
  </si>
  <si>
    <t>12/15/2022</t>
  </si>
  <si>
    <t>40923839-000-004</t>
  </si>
  <si>
    <t>MP20-8179</t>
  </si>
  <si>
    <t>Teal Medallion</t>
  </si>
  <si>
    <t>PP001840;PF005900</t>
  </si>
  <si>
    <t>40923839-000-003</t>
  </si>
  <si>
    <t>MP40-8329</t>
  </si>
  <si>
    <t>Emilia</t>
  </si>
  <si>
    <t>Lillian</t>
  </si>
  <si>
    <t>Twist Tab Lined Window Curtain Panel</t>
  </si>
  <si>
    <t>PP001164;PF006098</t>
  </si>
  <si>
    <t>11/15/2023</t>
  </si>
  <si>
    <t>AMAZON,CSNSTORES,JCPENNEY01</t>
  </si>
  <si>
    <t>15855802-000-049</t>
  </si>
  <si>
    <t>Tier 2</t>
  </si>
  <si>
    <t>12/19/2023</t>
  </si>
  <si>
    <t>1/3/2024</t>
  </si>
  <si>
    <t>MP40-8331</t>
  </si>
  <si>
    <t>CSNSTORES,JCPENNEY01</t>
  </si>
  <si>
    <t>15855802-000-051</t>
  </si>
  <si>
    <t>MP40-8332</t>
  </si>
  <si>
    <t>50x120"</t>
  </si>
  <si>
    <t>15855802-000-052</t>
  </si>
  <si>
    <t>MP40-8335</t>
  </si>
  <si>
    <t>Twist Tab Total Blackout Window Curtain Panel</t>
  </si>
  <si>
    <t>50x84" Blackout</t>
  </si>
  <si>
    <t>33704698-000-009</t>
  </si>
  <si>
    <t>3/28/2024</t>
  </si>
  <si>
    <t>MP40-8336</t>
  </si>
  <si>
    <t>50x95" Blackout</t>
  </si>
  <si>
    <t>33704698-000-008</t>
  </si>
  <si>
    <t>MP40-6323</t>
  </si>
  <si>
    <t>PP001164;PF004652</t>
  </si>
  <si>
    <t>5/9/2019</t>
  </si>
  <si>
    <t>CSNSTORES,DESINC,JCPENNEY01,MACY02</t>
  </si>
  <si>
    <t>15855802-000-039</t>
  </si>
  <si>
    <t>6/25/2019</t>
  </si>
  <si>
    <t>MP40-6324</t>
  </si>
  <si>
    <t>15855802-000-038</t>
  </si>
  <si>
    <t>MP41-6325</t>
  </si>
  <si>
    <t>Lightweight Faux Silk Valance With Beads</t>
  </si>
  <si>
    <t>50x26"</t>
  </si>
  <si>
    <t>22670044-000-009</t>
  </si>
  <si>
    <t>6/19/2019</t>
  </si>
  <si>
    <t>MP40-2686</t>
  </si>
  <si>
    <t>PF003966</t>
  </si>
  <si>
    <t>AMAZON,CSNSTORES,DESINC,JCPENNEY01,KOHLDSN,TGTDVS</t>
  </si>
  <si>
    <t>15855802-000-020</t>
  </si>
  <si>
    <t>8/18/2016</t>
  </si>
  <si>
    <t>MP40-3561</t>
  </si>
  <si>
    <t>15855802-000-030</t>
  </si>
  <si>
    <t>MP40-7405</t>
  </si>
  <si>
    <t>PF003966;PP001164</t>
  </si>
  <si>
    <t>3/12/2021</t>
  </si>
  <si>
    <t>33704698-000-007</t>
  </si>
  <si>
    <t>4/1/2021</t>
  </si>
  <si>
    <t>MP41-4454</t>
  </si>
  <si>
    <t>PF003964</t>
  </si>
  <si>
    <t>6/2/2017</t>
  </si>
  <si>
    <t>AMAZON,BEALLSDS,CASTLEGATE,CSNSTORES,DESINC,JCPENNEY01,KOHLDSN,MACY02,TGTDVS</t>
  </si>
  <si>
    <t>22670044-000-004</t>
  </si>
  <si>
    <t>MP40-6559</t>
  </si>
  <si>
    <t>PP001164;PF004762</t>
  </si>
  <si>
    <t>7/27/2019</t>
  </si>
  <si>
    <t>AMAZONDS,KOHLDSN,MACY02</t>
  </si>
  <si>
    <t>15855802-000-044</t>
  </si>
  <si>
    <t>9/20/2019</t>
  </si>
  <si>
    <t>WIN40-117</t>
  </si>
  <si>
    <t>Dusty Aqua</t>
  </si>
  <si>
    <t>PF003965</t>
  </si>
  <si>
    <t>AMAZON,BLK01,CSNSTORES,HDDS,JCPENNEY01,KOHLDSN,MACY02,TGTDVS</t>
  </si>
  <si>
    <t>15855802-000-004</t>
  </si>
  <si>
    <t>WIN40-121</t>
  </si>
  <si>
    <t>AMAZON,CASTLEGATE,CSNSTORES,FINGERHUTDS,HDDS,JCPENNEY01,KOHLDSN,MACY02,TGTDVS</t>
  </si>
  <si>
    <t>15855802-000-005</t>
  </si>
  <si>
    <t>MP41-4455</t>
  </si>
  <si>
    <t>AMAZON,CSNSTORES,FINGERHUTDS,JCPENNEY01,KOHLDSN,TGTDVS</t>
  </si>
  <si>
    <t>22670044-000-005</t>
  </si>
  <si>
    <t>9/15/2017</t>
  </si>
  <si>
    <t>MP40-8334</t>
  </si>
  <si>
    <t>PP001164;PF006099</t>
  </si>
  <si>
    <t>15855802-000-054</t>
  </si>
  <si>
    <t>MP40-6316</t>
  </si>
  <si>
    <t>AMAZON,ASHFURNDS,BLK01,CSNSTORES,JCPENNEY01,KOHLDSN</t>
  </si>
  <si>
    <t>15855802-000-043</t>
  </si>
  <si>
    <t>6/5/2019</t>
  </si>
  <si>
    <t>7/22/2019</t>
  </si>
  <si>
    <t>MP40-6318</t>
  </si>
  <si>
    <t>15855802-000-041</t>
  </si>
  <si>
    <t>MP40-6319</t>
  </si>
  <si>
    <t>CSNSTORES,DESINC,JCPENNEY01</t>
  </si>
  <si>
    <t>15855802-000-040</t>
  </si>
  <si>
    <t>12/4/2019</t>
  </si>
  <si>
    <t>MP40-1300</t>
  </si>
  <si>
    <t>Pewter</t>
  </si>
  <si>
    <t>PF003967</t>
  </si>
  <si>
    <t>AMAZON,AMAZONDS,BLK01,CSNSTORES,JCPENNEY01,KOHLDSN</t>
  </si>
  <si>
    <t>15855802-000-009</t>
  </si>
  <si>
    <t>MP40-2682</t>
  </si>
  <si>
    <t>AMAZON,AMAZONDS,CSNSTORES,HDDS,JCPENNEY01,KOHLDSN</t>
  </si>
  <si>
    <t>15855802-000-016</t>
  </si>
  <si>
    <t>8/22/2016</t>
  </si>
  <si>
    <t>MP41-4452</t>
  </si>
  <si>
    <t>BLK01,CASTLEGATE,CSNSTORES,DESINC,JCPENNEY01,KOHLDSN</t>
  </si>
  <si>
    <t>22670044-000-002</t>
  </si>
  <si>
    <t>MP40-3554</t>
  </si>
  <si>
    <t>PF003970</t>
  </si>
  <si>
    <t>BLK01,CSNSTORES,HDDS,JCPENNEY01,KOHLDSN,TGTDVS</t>
  </si>
  <si>
    <t>15855802-000-023</t>
  </si>
  <si>
    <t>MP40-3555</t>
  </si>
  <si>
    <t>15855802-000-024</t>
  </si>
  <si>
    <t>10/3/2016</t>
  </si>
  <si>
    <t>MP41-4476</t>
  </si>
  <si>
    <t>AMAZON,AMAZONDS,BLK01,CSNSTORES,JCPENNEY01,KOHLDSN,TGTDVS</t>
  </si>
  <si>
    <t>22670044-000-007</t>
  </si>
  <si>
    <t>6/29/2017</t>
  </si>
  <si>
    <t>MP10-8437</t>
  </si>
  <si>
    <t>Maisie</t>
  </si>
  <si>
    <t>Grace</t>
  </si>
  <si>
    <t>12 Piece Jacquard Comforter Set with Bed Sheets</t>
  </si>
  <si>
    <t>PP001528;PF006230</t>
  </si>
  <si>
    <t>MP10-8438</t>
  </si>
  <si>
    <t>MP10-8439</t>
  </si>
  <si>
    <t>MP40-6329</t>
  </si>
  <si>
    <t>PP001164;PF004651</t>
  </si>
  <si>
    <t>15855802-000-032</t>
  </si>
  <si>
    <t>MP40-5272</t>
  </si>
  <si>
    <t>PF003969</t>
  </si>
  <si>
    <t>AMAZON,CSNSTORES,JCPENNEY01,OLLIIX</t>
  </si>
  <si>
    <t>15855802-000-031</t>
  </si>
  <si>
    <t>4/6/2018</t>
  </si>
  <si>
    <t>MP40-3558</t>
  </si>
  <si>
    <t>PF003958</t>
  </si>
  <si>
    <t>AMAZON,AMAZONDS,BLK01,CSNSTORES,DESINC,HDDS,HSNDS,JCPENNEY01,KIRKLANDDS,MACY02,OLLIIX,TGTDVS</t>
  </si>
  <si>
    <t>15855802-000-027</t>
  </si>
  <si>
    <t>ID50-1604</t>
  </si>
  <si>
    <t>Emma</t>
  </si>
  <si>
    <t>Maddie</t>
  </si>
  <si>
    <t>Shaggy Faux Fur Throw</t>
  </si>
  <si>
    <t>PP000794;PF004113</t>
  </si>
  <si>
    <t>9/21/2018</t>
  </si>
  <si>
    <t>ASHFURNDS,BEALLSDS,BLK01,CSNSTORES,FINGERHUTDS,JCPENNEY01,KOHLDSN,MACY02,OLLIIX,TGTDVS</t>
  </si>
  <si>
    <t>29105624-000-001</t>
  </si>
  <si>
    <t>12/10/2018</t>
  </si>
  <si>
    <t>WR10-3860</t>
  </si>
  <si>
    <t>Emmet Creek</t>
  </si>
  <si>
    <t>Down Alternative Comforter Set with Throw Pillow</t>
  </si>
  <si>
    <t>Softspun</t>
  </si>
  <si>
    <t>Boho</t>
  </si>
  <si>
    <t>Southwest</t>
  </si>
  <si>
    <t>AMAZONDS,JCPENNEY01,KOHLDSN</t>
  </si>
  <si>
    <t>42801335-000-001</t>
  </si>
  <si>
    <t>4/1/2024</t>
  </si>
  <si>
    <t>WR10-3861</t>
  </si>
  <si>
    <t>42801335-000-003</t>
  </si>
  <si>
    <t>BASI10-0576</t>
  </si>
  <si>
    <t>Energy Recovery</t>
  </si>
  <si>
    <t>Energy Recovery Oversized Down Alternative Comforter</t>
  </si>
  <si>
    <t>PF005643;PP001727</t>
  </si>
  <si>
    <t>2/1/2022</t>
  </si>
  <si>
    <t>39599923-000-001</t>
  </si>
  <si>
    <t>3/3/2023</t>
  </si>
  <si>
    <t>BASI10-0577</t>
  </si>
  <si>
    <t>AMAZONDS,BLK01,CSNSTORES,JCPENNEY01,KOHLDSN,MACY02,TGTDVS</t>
  </si>
  <si>
    <t>39599923-000-000</t>
  </si>
  <si>
    <t>7/4/2022</t>
  </si>
  <si>
    <t>BASI10-0578</t>
  </si>
  <si>
    <t>AMAZONDS,BIGLOTSDS,BLK01,CSNSTORES,JCPENNEY01,KOHLDSN,MACY02,NRTPORT,OLLIIX,TGTDVS</t>
  </si>
  <si>
    <t>39599923-000-002</t>
  </si>
  <si>
    <t>8/5/2022</t>
  </si>
  <si>
    <t>MP40-6750</t>
  </si>
  <si>
    <t>Englewood</t>
  </si>
  <si>
    <t>Oslow</t>
  </si>
  <si>
    <t>Lincoln</t>
  </si>
  <si>
    <t>Solid Piece Dyed Grommet Top Curtain Panel</t>
  </si>
  <si>
    <t>PP001398;PF004938</t>
  </si>
  <si>
    <t>35010479-000-008</t>
  </si>
  <si>
    <t>11/12/2019</t>
  </si>
  <si>
    <t>MP40-6751</t>
  </si>
  <si>
    <t>35010479-000-007</t>
  </si>
  <si>
    <t>12/3/2019</t>
  </si>
  <si>
    <t>EO04-7938</t>
  </si>
  <si>
    <t>Echo Design</t>
  </si>
  <si>
    <t>EO422101</t>
  </si>
  <si>
    <t>Flurries 464</t>
  </si>
  <si>
    <t>43658579-000-001</t>
  </si>
  <si>
    <t>EO04-7939</t>
  </si>
  <si>
    <t>43658579-000-007</t>
  </si>
  <si>
    <t>EO04-7940</t>
  </si>
  <si>
    <t>43658579-000-003</t>
  </si>
  <si>
    <t>EO04-7941</t>
  </si>
  <si>
    <t>43658579-000-000</t>
  </si>
  <si>
    <t>EO04-7930</t>
  </si>
  <si>
    <t>Red Buffalo Check 964</t>
  </si>
  <si>
    <t>43658579-000-006</t>
  </si>
  <si>
    <t>EO04-7931</t>
  </si>
  <si>
    <t>43658579-000-002</t>
  </si>
  <si>
    <t>EO04-7932</t>
  </si>
  <si>
    <t>43658579-000-005</t>
  </si>
  <si>
    <t>EO04-7933</t>
  </si>
  <si>
    <t>43658579-000-004</t>
  </si>
  <si>
    <t>MPS10-537</t>
  </si>
  <si>
    <t>Essence</t>
  </si>
  <si>
    <t>Oversized Cotton Clipped Jacquard Comforter Set with Euro Shams and Throw Pillows</t>
  </si>
  <si>
    <t>PF006266</t>
  </si>
  <si>
    <t>8</t>
  </si>
  <si>
    <t>7/12/2024</t>
  </si>
  <si>
    <t>MPS10-538</t>
  </si>
  <si>
    <t>MT95G-0030</t>
  </si>
  <si>
    <t>Estuary</t>
  </si>
  <si>
    <t>Abstract Landscape Framed Glass Wall Art</t>
  </si>
  <si>
    <t>PP001449;PF005016</t>
  </si>
  <si>
    <t>AMAZONDS,BLK01,CSNSTORES,DESINC,JCPENNEY01,KIRKLANDDS,KOHLDSN,OLLIIX,ZOLA,Zulily</t>
  </si>
  <si>
    <t>35147143-000-000</t>
  </si>
  <si>
    <t>4/14/2020</t>
  </si>
  <si>
    <t>MP95C-0117</t>
  </si>
  <si>
    <t>Ethereal</t>
  </si>
  <si>
    <t>Diptych 2-piece Framed Canvas Wall Art Set</t>
  </si>
  <si>
    <t>PF002035</t>
  </si>
  <si>
    <t>8/26/2017</t>
  </si>
  <si>
    <t>AMAZON,AMERSIGNDS,CSNSTORES,KIRKLANDDS,KOHLDSN,LAMPDS,OLLIIX,ROOMECOM,TGTDVS</t>
  </si>
  <si>
    <t>23745774-000-000</t>
  </si>
  <si>
    <t>9/11/2017</t>
  </si>
  <si>
    <t>II153-0161</t>
  </si>
  <si>
    <t>Ethra</t>
  </si>
  <si>
    <t>Ceramic Table Lamp</t>
  </si>
  <si>
    <t>MT105-0147</t>
  </si>
  <si>
    <t>2/11/2022</t>
  </si>
  <si>
    <t>39608090-000-000</t>
  </si>
  <si>
    <t>2/18/2022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</si>
  <si>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</si>
  <si>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</si>
  <si>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</si>
  <si>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</si>
  <si>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</si>
  <si>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</si>
  <si>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</si>
  <si>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43787551-000-000</t>
  </si>
  <si>
    <t>MP10-8398</t>
  </si>
  <si>
    <t>43787551-000-001</t>
  </si>
  <si>
    <t>MP10-8395</t>
  </si>
  <si>
    <t>PP001947;PF006205</t>
  </si>
  <si>
    <t>43787551-000-003</t>
  </si>
  <si>
    <t>MPE10-897</t>
  </si>
  <si>
    <t>Everest</t>
  </si>
  <si>
    <t>Colebrook</t>
  </si>
  <si>
    <t>Rochester</t>
  </si>
  <si>
    <t>8 Piece Reversible Comforter Set with Bed Sheets</t>
  </si>
  <si>
    <t>PP001499;PF005107</t>
  </si>
  <si>
    <t>6/17/2020</t>
  </si>
  <si>
    <t>AMAZON,CSNSTORES,JCPENNEY01,TGTDVS</t>
  </si>
  <si>
    <t>36030180-000-000</t>
  </si>
  <si>
    <t>6/16/2020</t>
  </si>
  <si>
    <t>7/27/2020</t>
  </si>
  <si>
    <t>MPE10-898</t>
  </si>
  <si>
    <t>BIGLOTSDS,CSNSTORES,HDDS,JCPENNEY01,KOHLDSN,MACY02,TGTDVS</t>
  </si>
  <si>
    <t>36030180-000-004</t>
  </si>
  <si>
    <t>5DS108-0025</t>
  </si>
  <si>
    <t>Everly</t>
  </si>
  <si>
    <t>Upholstered Channel-back Dining Chair Set of 2</t>
  </si>
  <si>
    <t>AMERSIGNDS,CSNSTORES,KIRKLANDDS,MACY02F</t>
  </si>
  <si>
    <t>41922410-000-001</t>
  </si>
  <si>
    <t>MP12-8305</t>
  </si>
  <si>
    <t>Maeve</t>
  </si>
  <si>
    <t>Selena</t>
  </si>
  <si>
    <t>3 Piece Tufted Woven Medallion Duvet Cover Set</t>
  </si>
  <si>
    <t>PP001905;PF006074</t>
  </si>
  <si>
    <t>42825325-000-001</t>
  </si>
  <si>
    <t>1/4/2024</t>
  </si>
  <si>
    <t>MP10-8304</t>
  </si>
  <si>
    <t>3 Piece Tufted Woven Medallion Comforter Set</t>
  </si>
  <si>
    <t>BLK01,CSNSTORES,JCPENNEY01,KIRKLANDDS,KOHLDSN,TGTDVS</t>
  </si>
  <si>
    <t>42825324-000-000</t>
  </si>
  <si>
    <t>2/9/2024</t>
  </si>
  <si>
    <t>MP12-8306</t>
  </si>
  <si>
    <t>42825325-000-000</t>
  </si>
  <si>
    <t>5DS108-0053</t>
  </si>
  <si>
    <t>5DS108-0042</t>
  </si>
  <si>
    <t>5DS108-0034</t>
  </si>
  <si>
    <t>1/31/2024</t>
  </si>
  <si>
    <t>41922410-000-002</t>
  </si>
  <si>
    <t>II153-0107</t>
  </si>
  <si>
    <t>Ceramic Table Lamp with Handles</t>
  </si>
  <si>
    <t>12/23/2021</t>
  </si>
  <si>
    <t>39463174-000-000</t>
  </si>
  <si>
    <t>1/5/2022</t>
  </si>
  <si>
    <t>6/8/2022</t>
  </si>
  <si>
    <t>ID11-1413</t>
  </si>
  <si>
    <t>Bedskirt</t>
  </si>
  <si>
    <t>Extended</t>
  </si>
  <si>
    <t>Drop 36" Dorm Bedskirt</t>
  </si>
  <si>
    <t>PF001771</t>
  </si>
  <si>
    <t>5/15/2018</t>
  </si>
  <si>
    <t>AMAZON,BLK01,CSNSTORES,JCPENNEY01,KOHLDSN,MACY02</t>
  </si>
  <si>
    <t>27247263-000-001</t>
  </si>
  <si>
    <t>5/16/2018</t>
  </si>
  <si>
    <t>7/16/2019</t>
  </si>
  <si>
    <t>ID11-1409</t>
  </si>
  <si>
    <t>PF001770</t>
  </si>
  <si>
    <t>AMAZONDS,BLK01,KOHLDSN,MACY02,TGTDVS,WALMARTDS</t>
  </si>
  <si>
    <t>27247263-000-005</t>
  </si>
  <si>
    <t>6/28/2018</t>
  </si>
  <si>
    <t>II150-0118</t>
  </si>
  <si>
    <t>Ezra</t>
  </si>
  <si>
    <t>5-Light Metal Chandelier</t>
  </si>
  <si>
    <t>Antique Brass/White</t>
  </si>
  <si>
    <t>AMAZONDS,JCPENNEY01,KOHLDSN,NEBFUR01,OLLIIX,TGTDVS</t>
  </si>
  <si>
    <t>39936217-000-000</t>
  </si>
  <si>
    <t>5/12/2022</t>
  </si>
  <si>
    <t>7/6/2022</t>
  </si>
  <si>
    <t>MP95G-0298</t>
  </si>
  <si>
    <t>Fair Florets</t>
  </si>
  <si>
    <t>3-piece Framed Glass Wall Art Set</t>
  </si>
  <si>
    <t>PP001778</t>
  </si>
  <si>
    <t>6/1/2022</t>
  </si>
  <si>
    <t>AMAZONDS,AMERSIGNDS,BLK01,CSNSTORES,DESINC,JCPENNEY01,KIRKLANDDS,KOHLDSN,MACY02,OLLIIX,TGTDVS,ZOLA,Zulily</t>
  </si>
  <si>
    <t>40050444-000-000</t>
  </si>
  <si>
    <t>6/2/2022</t>
  </si>
  <si>
    <t>10/3/2022</t>
  </si>
  <si>
    <t>FB150-1169</t>
  </si>
  <si>
    <t>Fairmount</t>
  </si>
  <si>
    <t>8-Light Traditional Chandelier with Drum Shades</t>
  </si>
  <si>
    <t>Black/Silver</t>
  </si>
  <si>
    <t>40565580-000-000</t>
  </si>
  <si>
    <t>MP35-8050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</si>
  <si>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</si>
  <si>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</si>
  <si>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</si>
  <si>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</si>
  <si>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</si>
  <si>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</si>
  <si>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</si>
  <si>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AMAZONDS,JCPENNEY01,KIRKLANDDS,OLLIIX</t>
  </si>
  <si>
    <t>40639753-000-001</t>
  </si>
  <si>
    <t>MP35-8052</t>
  </si>
  <si>
    <t>JCPENNEY01,KIRKLANDDS,OLLIIX</t>
  </si>
  <si>
    <t>40639753-000-003</t>
  </si>
  <si>
    <t>MP100-1084</t>
  </si>
  <si>
    <t>Fallon</t>
  </si>
  <si>
    <t>Hawkins</t>
  </si>
  <si>
    <t>Calan</t>
  </si>
  <si>
    <t>Brown/Gold</t>
  </si>
  <si>
    <t>37889750-000-000</t>
  </si>
  <si>
    <t>1/9/2024</t>
  </si>
  <si>
    <t>MT100-1190</t>
  </si>
  <si>
    <t>Fayette</t>
  </si>
  <si>
    <t>Tufted Accent Arm Chair</t>
  </si>
  <si>
    <t>Traditional|Farm House</t>
  </si>
  <si>
    <t>10/21/2023</t>
  </si>
  <si>
    <t>AMAZONDS,CSNSTORES,KIRKLANDDS,MACY02F,OLLIIX</t>
  </si>
  <si>
    <t>43139537-000-000</t>
  </si>
  <si>
    <t>2/12/2024</t>
  </si>
  <si>
    <t>ID12-1944</t>
  </si>
  <si>
    <t>Felicia</t>
  </si>
  <si>
    <t>Isabel</t>
  </si>
  <si>
    <t>Alyssa</t>
  </si>
  <si>
    <t>Velvet Duvet Cover Set with Throw Pillow</t>
  </si>
  <si>
    <t>PP001091;PF005199</t>
  </si>
  <si>
    <t>AMAZONDS,MACY02,TGTDVS</t>
  </si>
  <si>
    <t>33908184-000-010</t>
  </si>
  <si>
    <t>10/11/2020</t>
  </si>
  <si>
    <t>ID12-2057</t>
  </si>
  <si>
    <t>9/10/2021</t>
  </si>
  <si>
    <t>33908184-000-017</t>
  </si>
  <si>
    <t>10/2/2021</t>
  </si>
  <si>
    <t>ID12-2159</t>
  </si>
  <si>
    <t>PP001091;PF005800</t>
  </si>
  <si>
    <t>33908184-000-020</t>
  </si>
  <si>
    <t>10/4/2022</t>
  </si>
  <si>
    <t>ID12-2160</t>
  </si>
  <si>
    <t>AMAZONDS,BLK01,JCPENNEY01,KOHLDSN,TGTDVS</t>
  </si>
  <si>
    <t>33908184-000-018</t>
  </si>
  <si>
    <t>ID12-1782</t>
  </si>
  <si>
    <t>PP001091;PF004575</t>
  </si>
  <si>
    <t>8/7/2019</t>
  </si>
  <si>
    <t>6/17/2024</t>
  </si>
  <si>
    <t>AMAZON,AMAZONDS,KOHLDSN,MACY02,OLLIIX,TGTDVS,Zulily</t>
  </si>
  <si>
    <t>33908184-000-000</t>
  </si>
  <si>
    <t>8/8/2019</t>
  </si>
  <si>
    <t>10/9/2019</t>
  </si>
  <si>
    <t>ID10-2400</t>
  </si>
  <si>
    <t>Velvet Comforter Set with Throw Pillow</t>
  </si>
  <si>
    <t>PP001091;PF006267</t>
  </si>
  <si>
    <t>ID12-2403</t>
  </si>
  <si>
    <t>ID10-2401</t>
  </si>
  <si>
    <t>ID12-2404</t>
  </si>
  <si>
    <t>ID10-2402</t>
  </si>
  <si>
    <t>ID12-2405</t>
  </si>
  <si>
    <t>ID10-2412</t>
  </si>
  <si>
    <t>PP001091;PF006269</t>
  </si>
  <si>
    <t>ID12-2415</t>
  </si>
  <si>
    <t>ID10-2413</t>
  </si>
  <si>
    <t>ID12-2416</t>
  </si>
  <si>
    <t>ID10-2414</t>
  </si>
  <si>
    <t>ID12-2417</t>
  </si>
  <si>
    <t>ID10-1791</t>
  </si>
  <si>
    <t>PP001091;PF004858</t>
  </si>
  <si>
    <t>AMAZON,AMAZONDS,BLK01,CSNSTORES,FINGERHUTDS,HDDS,KOHLDSN,MACY02,NEBFUR01,NRTPORT,OLLIIX,TGTDVS</t>
  </si>
  <si>
    <t>32471150-000-005</t>
  </si>
  <si>
    <t>9/28/2019</t>
  </si>
  <si>
    <t>ID13-2141</t>
  </si>
  <si>
    <t>Velvet Quilt Set</t>
  </si>
  <si>
    <t>9/14/2022</t>
  </si>
  <si>
    <t>CSNSTORES,JCPENNEY01,TGTDVS</t>
  </si>
  <si>
    <t>40487073-000-002</t>
  </si>
  <si>
    <t>9/22/2022</t>
  </si>
  <si>
    <t>ID12-1793</t>
  </si>
  <si>
    <t>AMAZON,AMAZONDS,MACY02,TGTDVS,WALMARTDS</t>
  </si>
  <si>
    <t>33908184-000-004</t>
  </si>
  <si>
    <t>ID13-2142</t>
  </si>
  <si>
    <t>CSNSTORES,JCPENNEY01,MACY02,NRTPORT,OLLIIX,TGTDVS</t>
  </si>
  <si>
    <t>40487073-000-003</t>
  </si>
  <si>
    <t>ID10-2406</t>
  </si>
  <si>
    <t>PP001091;PF006268</t>
  </si>
  <si>
    <t>ID12-2409</t>
  </si>
  <si>
    <t>ID10-2407</t>
  </si>
  <si>
    <t>ID12-2410</t>
  </si>
  <si>
    <t>ID10-2408</t>
  </si>
  <si>
    <t>ID12-2411</t>
  </si>
  <si>
    <t>ID12-1907</t>
  </si>
  <si>
    <t>PP001091;PF005084</t>
  </si>
  <si>
    <t>5/15/2020</t>
  </si>
  <si>
    <t>33908184-000-008</t>
  </si>
  <si>
    <t>7/12/2020</t>
  </si>
  <si>
    <t>ID12-1908</t>
  </si>
  <si>
    <t>AMAZONDS,CSNSTORES,JCPENNEY01,NRTPORT,TGTDVS,WALMARTDS</t>
  </si>
  <si>
    <t>33908184-000-009</t>
  </si>
  <si>
    <t>5/18/2020</t>
  </si>
  <si>
    <t>ID12-1977</t>
  </si>
  <si>
    <t>2/24/2021</t>
  </si>
  <si>
    <t>AMAZON,BLK01,CSNSTORES,JCPENNEY01,KOHLDSN,NRTPORT,OLLIIX,TGTDVS</t>
  </si>
  <si>
    <t>33908184-000-012</t>
  </si>
  <si>
    <t>3/8/2021</t>
  </si>
  <si>
    <t>MP95G-0253</t>
  </si>
  <si>
    <t>Feminine Figures</t>
  </si>
  <si>
    <t>Sketch 2-piece Framed Glass and Matted Wall Art Set</t>
  </si>
  <si>
    <t>PP001456;PF005028</t>
  </si>
  <si>
    <t>Figurative</t>
  </si>
  <si>
    <t>AMERSIGNDS,ASHFURNDS,CSNSTORES,HDDS,JCPENNEY01,KIRKLANDDS,KOHLDSN,MACY02,NEBFUR01,OLLIIX,ROOMECOM,TGTDVS</t>
  </si>
  <si>
    <t>35145236-000-000</t>
  </si>
  <si>
    <t>II100-0494</t>
  </si>
  <si>
    <t>Ferguson</t>
  </si>
  <si>
    <t>Faux Leather Accent Chair</t>
  </si>
  <si>
    <t>40538796-000-000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</si>
  <si>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</si>
  <si>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</si>
  <si>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</si>
  <si>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</si>
  <si>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</si>
  <si>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</si>
  <si>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</si>
  <si>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9/1/2017</t>
  </si>
  <si>
    <t>AMAZON,AMAZONDS,BLK01,CSNSTORES,HSNDS,KOHLDSN,MACY02,OLLIIX,TGTDVS</t>
  </si>
  <si>
    <t>23226779-000-000</t>
  </si>
  <si>
    <t>7/25/2017</t>
  </si>
  <si>
    <t>9/6/2017</t>
  </si>
  <si>
    <t>UHK12-0038</t>
  </si>
  <si>
    <t>Shark Cotton Duvet Cover Set</t>
  </si>
  <si>
    <t>AMAZON,AMAZONDS,CSNSTORES,JCPENNEY01,MACY02,TGTDVS,WALMARTDS</t>
  </si>
  <si>
    <t>23225943-000-000</t>
  </si>
  <si>
    <t>MT121-1187</t>
  </si>
  <si>
    <t>DINING TABLE</t>
  </si>
  <si>
    <t>Dining Table</t>
  </si>
  <si>
    <t>Fiona</t>
  </si>
  <si>
    <t>Rectangular Wood Dining Table</t>
  </si>
  <si>
    <t>Brown/Distressed White</t>
  </si>
  <si>
    <t>AMAZONDS,CSNSTORES,KIRKLANDDS,KOHLDSN,OLLIIX</t>
  </si>
  <si>
    <t>40899398-000-000</t>
  </si>
  <si>
    <t>MT108-1186</t>
  </si>
  <si>
    <t>Upholstered Dining Chair with Turned Wood Legs Set of 2</t>
  </si>
  <si>
    <t>40538393-000-000</t>
  </si>
  <si>
    <t>MP160-0181</t>
  </si>
  <si>
    <t>Fiore</t>
  </si>
  <si>
    <t>Sunburst Wall Decor Mirror 29.5"D</t>
  </si>
  <si>
    <t>29.5" Dia</t>
  </si>
  <si>
    <t>AMAZON,ASHFURNDS,CSNSTORES,DESINC,HOUZZ,KOHLDSN,LAMPDS,MACY02,OLLIIX,ROOMECOM,TGTDVS</t>
  </si>
  <si>
    <t>25582543-000-000</t>
  </si>
  <si>
    <t>CHM13-0009</t>
  </si>
  <si>
    <t>3 Piece Coverlet Set</t>
  </si>
  <si>
    <t>Marshmallow</t>
  </si>
  <si>
    <t>DLCROSCILL,MACY02,OLLIIX</t>
  </si>
  <si>
    <t>42041893-000-001</t>
  </si>
  <si>
    <t>7/28/2023</t>
  </si>
  <si>
    <t>ST54-0133</t>
  </si>
  <si>
    <t>Fleece to Sherpa</t>
  </si>
  <si>
    <t>7/9/2021</t>
  </si>
  <si>
    <t>37425752-000-017</t>
  </si>
  <si>
    <t>ST54-0134</t>
  </si>
  <si>
    <t>37425752-000-016</t>
  </si>
  <si>
    <t>11/1/2021</t>
  </si>
  <si>
    <t>ST54-0136</t>
  </si>
  <si>
    <t>37425752-000-018</t>
  </si>
  <si>
    <t>8/18/2021</t>
  </si>
  <si>
    <t>ST54-0102</t>
  </si>
  <si>
    <t>2/16/2021</t>
  </si>
  <si>
    <t>CSNSTORES,DESINC,KOHLDSN,MACY02,OLLIIX,TGTDVS</t>
  </si>
  <si>
    <t>37425752-000-014</t>
  </si>
  <si>
    <t>2/17/2021</t>
  </si>
  <si>
    <t>ST54-0137</t>
  </si>
  <si>
    <t>DESINC,KOHLDSN,MACY02,OLLIIX</t>
  </si>
  <si>
    <t>37425752-000-021</t>
  </si>
  <si>
    <t>ST54-0140</t>
  </si>
  <si>
    <t>BLK01,KOHLDSN,MACY02</t>
  </si>
  <si>
    <t>37425752-000-024</t>
  </si>
  <si>
    <t>10/26/2021</t>
  </si>
  <si>
    <t>ST54-0110</t>
  </si>
  <si>
    <t>BLK01,JCPENNEY01,KOHLDSN,MACY02,TGTDVS</t>
  </si>
  <si>
    <t>37425752-000-013</t>
  </si>
  <si>
    <t>2/22/2021</t>
  </si>
  <si>
    <t>ST54-0111</t>
  </si>
  <si>
    <t>37425752-000-007</t>
  </si>
  <si>
    <t>2/20/2021</t>
  </si>
  <si>
    <t>ID95C-0027</t>
  </si>
  <si>
    <t>Flight Time</t>
  </si>
  <si>
    <t>Triptych 3-piece Canvas Wall Art Set</t>
  </si>
  <si>
    <t>CSNSTORES,KIRKLANDDS,KOHLDSN,NEBFUR01,OLLIIX,ROOMECOM</t>
  </si>
  <si>
    <t>22077438-000-000</t>
  </si>
  <si>
    <t>5/30/2017</t>
  </si>
  <si>
    <t>II153-0150</t>
  </si>
  <si>
    <t>Flinn</t>
  </si>
  <si>
    <t>23" Resin Table Lamp with Faux Wood Texture</t>
  </si>
  <si>
    <t>Natural Whitewash</t>
  </si>
  <si>
    <t>12/28/2023</t>
  </si>
  <si>
    <t>43356933-000-000</t>
  </si>
  <si>
    <t>WR10-2480</t>
  </si>
  <si>
    <t>Flint</t>
  </si>
  <si>
    <t>CozySpun Down Alternative Comforter Mini Set</t>
  </si>
  <si>
    <t>PP001005;PF004483</t>
  </si>
  <si>
    <t>11/7/2018</t>
  </si>
  <si>
    <t>30781313-000-001</t>
  </si>
  <si>
    <t>12/6/2018</t>
  </si>
  <si>
    <t>WR10-2482</t>
  </si>
  <si>
    <t>PF004456;PF004483</t>
  </si>
  <si>
    <t>AMAZON,MACY02,TGTDVS,WALMARTDS</t>
  </si>
  <si>
    <t>30781313-000-002</t>
  </si>
  <si>
    <t>MP100-1202</t>
  </si>
  <si>
    <t>Florian</t>
  </si>
  <si>
    <t>Duncan</t>
  </si>
  <si>
    <t>Halton</t>
  </si>
  <si>
    <t>Upholstered Accent Chair</t>
  </si>
  <si>
    <t>Light Gray</t>
  </si>
  <si>
    <t>40536895-000-000</t>
  </si>
  <si>
    <t>MP35-6814</t>
  </si>
  <si>
    <t>Flourish</t>
  </si>
  <si>
    <t>Plume</t>
  </si>
  <si>
    <t>Lassiter</t>
  </si>
  <si>
    <t>Printed Matte Area Rug</t>
  </si>
  <si>
    <t>Cream/Blue/Beige</t>
  </si>
  <si>
    <t>34172618-000-001</t>
  </si>
  <si>
    <t>10/11/2019</t>
  </si>
  <si>
    <t>12/5/2019</t>
  </si>
  <si>
    <t>MT95C-0025</t>
  </si>
  <si>
    <t>Foggy Morning</t>
  </si>
  <si>
    <t>PP001444;PF005011</t>
  </si>
  <si>
    <t>AMAZONDS,HOUZZ,JCPENNEY01,MACY02,OLLIIX,ZOLA</t>
  </si>
  <si>
    <t>35145515-000-000</t>
  </si>
  <si>
    <t>4/15/2020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</si>
  <si>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</si>
  <si>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</si>
  <si>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</si>
  <si>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</si>
  <si>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</si>
  <si>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</si>
  <si>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</si>
  <si>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</si>
  <si>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25450057-000-000</t>
  </si>
  <si>
    <t>12/27/2017</t>
  </si>
  <si>
    <t>BR54-0858</t>
  </si>
  <si>
    <t>Foot-throw</t>
  </si>
  <si>
    <t>Throw with Foot Pocket 52"x62"</t>
  </si>
  <si>
    <t>50x62"</t>
  </si>
  <si>
    <t>PP001378;PF004898</t>
  </si>
  <si>
    <t>3/6/2018</t>
  </si>
  <si>
    <t>33834753-000-000</t>
  </si>
  <si>
    <t>7/19/2019</t>
  </si>
  <si>
    <t>10/30/2019</t>
  </si>
  <si>
    <t>BR54-0857</t>
  </si>
  <si>
    <t>PP001378;PF004897</t>
  </si>
  <si>
    <t>33834753-000-001</t>
  </si>
  <si>
    <t>MP95C-0041</t>
  </si>
  <si>
    <t>Forest Reflections</t>
  </si>
  <si>
    <t>PF001911</t>
  </si>
  <si>
    <t>AMAZON,ASHFURNDS,BEALLSDS,BLK01,KIRKLANDDS,KOHLDSN,MACY02,OLLIIX,TGTDVS,Zulily</t>
  </si>
  <si>
    <t>18755595-000-000</t>
  </si>
  <si>
    <t>TN51-0486</t>
  </si>
  <si>
    <t>Four Seasons</t>
  </si>
  <si>
    <t>Goose Feather and Down Filling All Seasons Blanket</t>
  </si>
  <si>
    <t>PP001805;PF005798</t>
  </si>
  <si>
    <t>AMAZONDS,CSNSTORES,JCPENNEY01,KOHLDSN,MACY02,NRTPORT,OLLIIX,TGTDVS,Zulily</t>
  </si>
  <si>
    <t>40804195-000-001</t>
  </si>
  <si>
    <t>MP35-8028</t>
  </si>
  <si>
    <t>Frances</t>
  </si>
  <si>
    <t>Molly</t>
  </si>
  <si>
    <t>Sarah</t>
  </si>
  <si>
    <t>Medallion Woven Area Rug</t>
  </si>
  <si>
    <t>3x8' Runner</t>
  </si>
  <si>
    <t>PP001793;PF005778</t>
  </si>
  <si>
    <t>40580533-000-000</t>
  </si>
  <si>
    <t>MP35-8029</t>
  </si>
  <si>
    <t>BLK01,CSNSTORES,JCPENNEY01,KOHLDSN</t>
  </si>
  <si>
    <t>40580533-000-006</t>
  </si>
  <si>
    <t>II112-0520</t>
  </si>
  <si>
    <t>DINING BENCH</t>
  </si>
  <si>
    <t>Dining Bench</t>
  </si>
  <si>
    <t>Frank</t>
  </si>
  <si>
    <t>41775304-000-000</t>
  </si>
  <si>
    <t>II108-0521</t>
  </si>
  <si>
    <t>Upholstered Dining Chair (Set of 2)</t>
  </si>
  <si>
    <t>6/28/2023</t>
  </si>
  <si>
    <t>41917134-000-000</t>
  </si>
  <si>
    <t>MP10-8466</t>
  </si>
  <si>
    <t>Fraser</t>
  </si>
  <si>
    <t>Joshua</t>
  </si>
  <si>
    <t>Levi</t>
  </si>
  <si>
    <t>5 Piece Printed Seersucker Comforter Set with Throw Pillows</t>
  </si>
  <si>
    <t>PP001818;PF006291</t>
  </si>
  <si>
    <t>5/18/2024</t>
  </si>
  <si>
    <t>7/23/2024</t>
  </si>
  <si>
    <t>MP13-8468</t>
  </si>
  <si>
    <t>3 Piece Printed Microfiber Seersucker Quilt Set</t>
  </si>
  <si>
    <t>MP10-8467</t>
  </si>
  <si>
    <t>MP13-8469</t>
  </si>
  <si>
    <t>II104-0378</t>
  </si>
  <si>
    <t>Frazier</t>
  </si>
  <si>
    <t>Counter Stool 24" With Back</t>
  </si>
  <si>
    <t>OLLIIX,ZOLA</t>
  </si>
  <si>
    <t>28618025-000-000</t>
  </si>
  <si>
    <t>10/9/2018</t>
  </si>
  <si>
    <t>FPF18-0493</t>
  </si>
  <si>
    <t>Fremont</t>
  </si>
  <si>
    <t>Barrel Arm Chair</t>
  </si>
  <si>
    <t>PF000745;PP000161</t>
  </si>
  <si>
    <t>CASTLEGATE,CSNSTORES,KIRKLANDDS</t>
  </si>
  <si>
    <t>18344493-000-000</t>
  </si>
  <si>
    <t>MT95C-0005</t>
  </si>
  <si>
    <t>French Herbarium</t>
  </si>
  <si>
    <t>2-piece Framed Canvas Wall Art Set</t>
  </si>
  <si>
    <t>AMAZON,CSNSTORES,DESINC,JCPENNEY01,KIRKLANDDS,KOHLDSN,OLLIIX,ROOMECOM,TGTDVS,ZOLA</t>
  </si>
  <si>
    <t>34135488-000-000</t>
  </si>
  <si>
    <t>BL51N-0852</t>
  </si>
  <si>
    <t>Freshspun Basketweave</t>
  </si>
  <si>
    <t>Cotton Blanket</t>
  </si>
  <si>
    <t>PF003481</t>
  </si>
  <si>
    <t>AMAZONDS,ASHFURNDS,BEALLSDS,BIGLOTSDS,BLK01,CSNSTORES,HSNDS,KOHLDSN,MACY02,TGTDVS,WALMARTDS,Zulily</t>
  </si>
  <si>
    <t>18986578-000-007</t>
  </si>
  <si>
    <t>BL51N-0845</t>
  </si>
  <si>
    <t>PF003478</t>
  </si>
  <si>
    <t>AMAZON,AMAZONDS,ASHFURNDS,BIGLOTSDS,CSNSTORES,KOHLDSN,MACY02,TGTDVS,WALMARTDS</t>
  </si>
  <si>
    <t>18986578-000-000</t>
  </si>
  <si>
    <t>MP51N-8382</t>
  </si>
  <si>
    <t>PP001933;PF006166</t>
  </si>
  <si>
    <t>18986578-000-026</t>
  </si>
  <si>
    <t>MP51N-8383</t>
  </si>
  <si>
    <t>18986578-000-025</t>
  </si>
  <si>
    <t>MP51N-8384</t>
  </si>
  <si>
    <t>18986578-000-024</t>
  </si>
  <si>
    <t>BL51N-0866</t>
  </si>
  <si>
    <t>PF003485</t>
  </si>
  <si>
    <t>AMAZON,AMAZONDS,BEALLSDS,BLK01,CSNSTORES,HSNDS,KOHLDSN,MACY02,TGTDVS,WALMARTDS</t>
  </si>
  <si>
    <t>18986578-000-021</t>
  </si>
  <si>
    <t>8/2/2016</t>
  </si>
  <si>
    <t>BL51N-0867</t>
  </si>
  <si>
    <t>AMAZON,AMAZONDS,BEALLSDS,BLK01,CSNSTORES,KOHLDSN,MACY02,TGTDVS,WALMARTDS</t>
  </si>
  <si>
    <t>18986578-000-022</t>
  </si>
  <si>
    <t>7/27/2016</t>
  </si>
  <si>
    <t>BL51N-0868</t>
  </si>
  <si>
    <t>AMAZON,AMAZONDS,ASHFURNDS,BEALLSDS,BLK01,CSNSTORES,HSNDS,KOHLDSN,MACY02,TGTDVS,WALMARTDS</t>
  </si>
  <si>
    <t>18986578-000-023</t>
  </si>
  <si>
    <t>7/26/2016</t>
  </si>
  <si>
    <t>BL51N-0860</t>
  </si>
  <si>
    <t>PF003483</t>
  </si>
  <si>
    <t>AMAZON,CSNSTORES,KOHLDSN,MACY02,TGTDVS,WALMARTDS</t>
  </si>
  <si>
    <t>18986578-000-015</t>
  </si>
  <si>
    <t>BL51N-0861</t>
  </si>
  <si>
    <t>AMAZON,AMAZONDS,BEALLSDS,CSNSTORES,KOHLDSN,MACY02,NRTPORT,TGTDVS,WALMARTDS</t>
  </si>
  <si>
    <t>18986578-000-016</t>
  </si>
  <si>
    <t>BL51N-0862</t>
  </si>
  <si>
    <t>AMAZON,BEALLSDS,BIGLOTSDS,CSNSTORES,KOHLDSN,MACY02,NRTPORT,TGTDVS,WALMARTDS</t>
  </si>
  <si>
    <t>18986578-000-017</t>
  </si>
  <si>
    <t>8/1/2016</t>
  </si>
  <si>
    <t>BL51N-0848</t>
  </si>
  <si>
    <t>PF003479</t>
  </si>
  <si>
    <t>AMAZONDS,CSNSTORES,KOHLDSN,MACY02,OLLIIX,TGTDVS,WALMARTDS</t>
  </si>
  <si>
    <t>18986578-000-003</t>
  </si>
  <si>
    <t>1/8/2018</t>
  </si>
  <si>
    <t>BL51N-0850</t>
  </si>
  <si>
    <t>AMAZON,AMAZONDS,ASHFURNDS,BLK01,CSNSTORES,HSNDS,KOHLDSN,MACY02,TGTDVS,WALMARTDS</t>
  </si>
  <si>
    <t>18986578-000-005</t>
  </si>
  <si>
    <t>BL51N-0857</t>
  </si>
  <si>
    <t>PF003482</t>
  </si>
  <si>
    <t>AMAZON,AMAZONDS,BLK01,CSNSTORES,HSNDS,KOHLDSN,MACY02,OLLIIX,TGTDVS,WALMARTDS,Zulily</t>
  </si>
  <si>
    <t>18986578-000-012</t>
  </si>
  <si>
    <t>7/25/2016</t>
  </si>
  <si>
    <t>FB153-1155</t>
  </si>
  <si>
    <t>Fulton</t>
  </si>
  <si>
    <t>Concrete Table Lamp</t>
  </si>
  <si>
    <t>Black/Grey</t>
  </si>
  <si>
    <t>1/27/2021</t>
  </si>
  <si>
    <t>CSNSTORES,HOUZZ,KOHLDSN,OLLIIX</t>
  </si>
  <si>
    <t>24339016-000-001</t>
  </si>
  <si>
    <t>3/17/2021</t>
  </si>
  <si>
    <t>3/22/2021</t>
  </si>
  <si>
    <t>MP40-7870</t>
  </si>
  <si>
    <t>Galen</t>
  </si>
  <si>
    <t>Colm</t>
  </si>
  <si>
    <t>Paxton</t>
  </si>
  <si>
    <t>Basketweave Room Darkening Cordless Roman Shade</t>
  </si>
  <si>
    <t>23x64"</t>
  </si>
  <si>
    <t>PP001307;PF005661</t>
  </si>
  <si>
    <t>3/21/2022</t>
  </si>
  <si>
    <t>AMAZONDS,HDDS,JCPENNEY01,KOHLDSN,OLLIIX</t>
  </si>
  <si>
    <t>34381036-000-031</t>
  </si>
  <si>
    <t>4/20/2022</t>
  </si>
  <si>
    <t>MP40-7318</t>
  </si>
  <si>
    <t>1/5/2021</t>
  </si>
  <si>
    <t>AMAZON,CSNSTORES,HDDS,KOHLDSN,OLLIIX,TGTDVS</t>
  </si>
  <si>
    <t>34381036-000-016</t>
  </si>
  <si>
    <t>1/11/2021</t>
  </si>
  <si>
    <t>MP40-7872</t>
  </si>
  <si>
    <t>34x64"</t>
  </si>
  <si>
    <t>34381036-000-033</t>
  </si>
  <si>
    <t>4/25/2022</t>
  </si>
  <si>
    <t>MP40-7320</t>
  </si>
  <si>
    <t>AMAZON,ASHFURNDS,CSNSTORES,HDDS,JCPENNEY01,KOHLDSN,MACY02,TGTDVS</t>
  </si>
  <si>
    <t>34381036-000-021</t>
  </si>
  <si>
    <t>1/8/2021</t>
  </si>
  <si>
    <t>MP40-7321</t>
  </si>
  <si>
    <t>AMAZON,CSNSTORES,HDDS,JCPENNEY01,TGTDVS</t>
  </si>
  <si>
    <t>34381036-000-020</t>
  </si>
  <si>
    <t>1/12/2021</t>
  </si>
  <si>
    <t>MP40-8089</t>
  </si>
  <si>
    <t>12/14/2022</t>
  </si>
  <si>
    <t>34381036-000-044</t>
  </si>
  <si>
    <t>MP40-7750</t>
  </si>
  <si>
    <t>29x64"</t>
  </si>
  <si>
    <t>PP001307;PF004746</t>
  </si>
  <si>
    <t>11/23/2021</t>
  </si>
  <si>
    <t>34381036-000-025</t>
  </si>
  <si>
    <t>12/3/2021</t>
  </si>
  <si>
    <t>MP40-6552</t>
  </si>
  <si>
    <t>AMAZON,AMAZONDS,CSNSTORES,HDDS,JCPENNEY01,KOHLDSN,TGTDVS</t>
  </si>
  <si>
    <t>34381036-000-003</t>
  </si>
  <si>
    <t>9/23/2019</t>
  </si>
  <si>
    <t>MP40-6553</t>
  </si>
  <si>
    <t>34381036-000-001</t>
  </si>
  <si>
    <t>MP40-7751</t>
  </si>
  <si>
    <t>AMAZON,AMAZONDS,BLK01,CSNSTORES,HDDS,JCPENNEY01,KOHLDSN,MACY02,OLLIIX</t>
  </si>
  <si>
    <t>34381036-000-026</t>
  </si>
  <si>
    <t>12/13/2021</t>
  </si>
  <si>
    <t>MP40-6554</t>
  </si>
  <si>
    <t>AMAZON,AMAZONDS,ASHFURNDS,BIGLOTSDS,BLK01,CSNSTORES,HDDS,JCPENNEY01,KOHLDSN,MACY02,TGTDVS</t>
  </si>
  <si>
    <t>34381036-000-000</t>
  </si>
  <si>
    <t>10/5/2019</t>
  </si>
  <si>
    <t>11/8/2019</t>
  </si>
  <si>
    <t>MP40-7195</t>
  </si>
  <si>
    <t>34381036-000-009</t>
  </si>
  <si>
    <t>6/29/2020</t>
  </si>
  <si>
    <t>7/10/2020</t>
  </si>
  <si>
    <t>MP40-7989</t>
  </si>
  <si>
    <t>Basketweave Total Blackout Roman Shade</t>
  </si>
  <si>
    <t>27x64" Blackout</t>
  </si>
  <si>
    <t>40328911-000-002</t>
  </si>
  <si>
    <t>8/30/2022</t>
  </si>
  <si>
    <t>MP40-7990</t>
  </si>
  <si>
    <t>31x64" Blackout</t>
  </si>
  <si>
    <t>AMAZONDS,CSNSTORES,HDDS,KOHLDSN</t>
  </si>
  <si>
    <t>40328911-000-001</t>
  </si>
  <si>
    <t>6/29/2023</t>
  </si>
  <si>
    <t>MP40-7991</t>
  </si>
  <si>
    <t>35x64" Blackout</t>
  </si>
  <si>
    <t>AMAZONDS,CSNSTORES,HDDS,JCPENNEY01,KOHLDSN,OLLIIX</t>
  </si>
  <si>
    <t>40328911-000-003</t>
  </si>
  <si>
    <t>MP40-7922</t>
  </si>
  <si>
    <t>Basketweave Room Darkening Curtain Panel Pair</t>
  </si>
  <si>
    <t>2-PK 40x84"</t>
  </si>
  <si>
    <t>PP001307;PF004745</t>
  </si>
  <si>
    <t>7/18/2022</t>
  </si>
  <si>
    <t>AMAZONDS,CSNSTORES,DESINC,HDDS,JCPENNEY01,KOHLDSN,MACY02,OLLIIX</t>
  </si>
  <si>
    <t>40253096-000-000</t>
  </si>
  <si>
    <t>8/11/2022</t>
  </si>
  <si>
    <t>MP40-7867</t>
  </si>
  <si>
    <t>PP001307;PF005660</t>
  </si>
  <si>
    <t>AMAZONDS,CSNSTORES,HDDS,JCPENNEY01,KOHLDSN,MACY02</t>
  </si>
  <si>
    <t>34381036-000-034</t>
  </si>
  <si>
    <t>MP40-7224</t>
  </si>
  <si>
    <t>PP001307;PF005195</t>
  </si>
  <si>
    <t>AMAZON,AMAZONDS,CASTLEGATE,CSNSTORES,HDDS,JCPENNEY01,KOHLDSN,MACY02,OLLIIX,TGTDVS</t>
  </si>
  <si>
    <t>34381036-000-010</t>
  </si>
  <si>
    <t>9/1/2020</t>
  </si>
  <si>
    <t>9/7/2020</t>
  </si>
  <si>
    <t>MP40-7227</t>
  </si>
  <si>
    <t>AMAZON,AMAZONDS,CSNSTORES,DESINC,HDDS,JCPENNEY01,OLLIIX,TGTDVS</t>
  </si>
  <si>
    <t>34381036-000-012</t>
  </si>
  <si>
    <t>9/4/2020</t>
  </si>
  <si>
    <t>MP40-7986</t>
  </si>
  <si>
    <t>40328911-000-007</t>
  </si>
  <si>
    <t>FPF20-0281</t>
  </si>
  <si>
    <t>Garbo</t>
  </si>
  <si>
    <t>Sydney</t>
  </si>
  <si>
    <t>London</t>
  </si>
  <si>
    <t>Captains Dining Chair</t>
  </si>
  <si>
    <t>PF000779;PP000163</t>
  </si>
  <si>
    <t>17681033-000-000</t>
  </si>
  <si>
    <t>5/19/2016</t>
  </si>
  <si>
    <t>II150-0131</t>
  </si>
  <si>
    <t>Gardham</t>
  </si>
  <si>
    <t>8-Light Sputnik Sphere Chandelier</t>
  </si>
  <si>
    <t>40565600-000-000</t>
  </si>
  <si>
    <t>CSP51N-1531</t>
  </si>
  <si>
    <t>Gauze</t>
  </si>
  <si>
    <t>100% Cotton Lightweight Blanket</t>
  </si>
  <si>
    <t>PP001581;PF006165</t>
  </si>
  <si>
    <t>2/13/2024</t>
  </si>
  <si>
    <t>AMAZON,KOHLDSN,TGTDVS,ZOLA</t>
  </si>
  <si>
    <t>37310914-000-009</t>
  </si>
  <si>
    <t>3/20/2024</t>
  </si>
  <si>
    <t>MP100-1188</t>
  </si>
  <si>
    <t>Gavin</t>
  </si>
  <si>
    <t>Raiston</t>
  </si>
  <si>
    <t>Faux Leather Channel Accent Armchair</t>
  </si>
  <si>
    <t>LAMPDS,OLLIIX</t>
  </si>
  <si>
    <t>40536421-000-000</t>
  </si>
  <si>
    <t>CCA13-0010</t>
  </si>
  <si>
    <t>Gema</t>
  </si>
  <si>
    <t>3 Piece Grey Coverlet Set</t>
  </si>
  <si>
    <t>CSNSTORES,JCPENNEY01,MACY02</t>
  </si>
  <si>
    <t>42041895-000-000</t>
  </si>
  <si>
    <t>CCA11-0012</t>
  </si>
  <si>
    <t>CSNSTORES,NRTPORT</t>
  </si>
  <si>
    <t>42067027-000-000</t>
  </si>
  <si>
    <t>12/6/2023</t>
  </si>
  <si>
    <t>CCA13-0007</t>
  </si>
  <si>
    <t>3 Piece White Coverlet Set</t>
  </si>
  <si>
    <t>Soft White</t>
  </si>
  <si>
    <t>CSNSTORES,HOUZZ,JCPENNEY01,MACY02,OLLIIX</t>
  </si>
  <si>
    <t>42041895-000-003</t>
  </si>
  <si>
    <t>CCA11-0011</t>
  </si>
  <si>
    <t>42067027-000-001</t>
  </si>
  <si>
    <t>MP40-1595</t>
  </si>
  <si>
    <t>Gemma</t>
  </si>
  <si>
    <t>Kida</t>
  </si>
  <si>
    <t>Sheer Embroidered Window Curtain</t>
  </si>
  <si>
    <t>PF004018</t>
  </si>
  <si>
    <t>BLK01,CSNSTORES,DESINC,FINGERHUTDS,JCPENNEY01,KOHLDSN,MACY02,TGTDVS,WALMARTDS</t>
  </si>
  <si>
    <t>17488496-000-001</t>
  </si>
  <si>
    <t>7/30/2015</t>
  </si>
  <si>
    <t>MP12-8285</t>
  </si>
  <si>
    <t>Ada</t>
  </si>
  <si>
    <t>3 Piece Floral Duvet Cover Set</t>
  </si>
  <si>
    <t>White/Multi</t>
  </si>
  <si>
    <t>PF006061;PP001899</t>
  </si>
  <si>
    <t>42820354-000-001</t>
  </si>
  <si>
    <t>MP10-8284</t>
  </si>
  <si>
    <t>4 Piece Floral Comforter Set with Throw Pillow</t>
  </si>
  <si>
    <t>BLK01,CSNSTORES,TGTDVS</t>
  </si>
  <si>
    <t>43000614-000-000</t>
  </si>
  <si>
    <t>MP12-8286</t>
  </si>
  <si>
    <t>42820354-000-000</t>
  </si>
  <si>
    <t>PET63PT6028</t>
  </si>
  <si>
    <t>Geo</t>
  </si>
  <si>
    <t>Pet Throw</t>
  </si>
  <si>
    <t>Navy/Grey</t>
  </si>
  <si>
    <t>4/14/2023</t>
  </si>
  <si>
    <t>43822302-000-000</t>
  </si>
  <si>
    <t>MP10-7237</t>
  </si>
  <si>
    <t>Gia</t>
  </si>
  <si>
    <t>Margot</t>
  </si>
  <si>
    <t>Back Print Long Fur Comforter Mini Set</t>
  </si>
  <si>
    <t>PP001110;PF005210</t>
  </si>
  <si>
    <t>9/29/2020</t>
  </si>
  <si>
    <t>32785666-000-004</t>
  </si>
  <si>
    <t>10/9/2020</t>
  </si>
  <si>
    <t>UH95C-0002</t>
  </si>
  <si>
    <t>Gilded Feathers</t>
  </si>
  <si>
    <t>Gold Foil 2-piece Canvas Wall Art Set</t>
  </si>
  <si>
    <t>PF001877</t>
  </si>
  <si>
    <t>AMAZON,KIRKLANDDS,OLLIIX,TGTDVS</t>
  </si>
  <si>
    <t>19507335-000-000</t>
  </si>
  <si>
    <t>9/14/2016</t>
  </si>
  <si>
    <t>MT95G-0081</t>
  </si>
  <si>
    <t>Gilded Nature</t>
  </si>
  <si>
    <t>Gold Metallic Leaf Panel Framed Graphic Wall Decor 3-Piece Set</t>
  </si>
  <si>
    <t>2/7/2024</t>
  </si>
  <si>
    <t>AMAZON,AMAZONDS,CSNSTORES,KIRKLANDDS</t>
  </si>
  <si>
    <t>43651869-000-000</t>
  </si>
  <si>
    <t>3/3/2024</t>
  </si>
  <si>
    <t>MT95G-0087</t>
  </si>
  <si>
    <t>Gilded Trio</t>
  </si>
  <si>
    <t>Gold Metallic Leaf Square Framed Graphic Wall Decor 3-Piece Set</t>
  </si>
  <si>
    <t>AMAZON,AMAZONDS,KIRKLANDDS</t>
  </si>
  <si>
    <t>43651870-000-000</t>
  </si>
  <si>
    <t>MT153-0051</t>
  </si>
  <si>
    <t>Glendale</t>
  </si>
  <si>
    <t>Ribbed Ceramic Table Lamp</t>
  </si>
  <si>
    <t>AMAZON,AMAZONDS,CSNSTORES,KOHLDSN,OLLIIX,ROOMECOM</t>
  </si>
  <si>
    <t>39048872-000-000</t>
  </si>
  <si>
    <t>MZ12-0597</t>
  </si>
  <si>
    <t>Glimmer</t>
  </si>
  <si>
    <t>Sparkle</t>
  </si>
  <si>
    <t>Dazzle</t>
  </si>
  <si>
    <t>Metallic Glitter Printed Reversible Duvet Cover Set</t>
  </si>
  <si>
    <t>PF004812</t>
  </si>
  <si>
    <t>8/14/2019</t>
  </si>
  <si>
    <t>AMAZON,ASHFURNDS,CSNSTORES,JCPENNEY01,MACY02,NEBFUR01,OLLIIX,TGTDVS</t>
  </si>
  <si>
    <t>33881128-000-000</t>
  </si>
  <si>
    <t>MP95C-0063</t>
  </si>
  <si>
    <t>Golden Harvest</t>
  </si>
  <si>
    <t>Framed Canvas 3 Piece Set</t>
  </si>
  <si>
    <t>PF001951</t>
  </si>
  <si>
    <t>19303787-000-000</t>
  </si>
  <si>
    <t>MPS107-0033</t>
  </si>
  <si>
    <t>SECTIONAL SOFA</t>
  </si>
  <si>
    <t>Sectional Sofa</t>
  </si>
  <si>
    <t>Gordon</t>
  </si>
  <si>
    <t>Modular Sofa Left Arm</t>
  </si>
  <si>
    <t>PF001251;PP000296</t>
  </si>
  <si>
    <t>5/2/2017</t>
  </si>
  <si>
    <t>20562084-000-000</t>
  </si>
  <si>
    <t>12/27/2016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</si>
  <si>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</si>
  <si>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</si>
  <si>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</si>
  <si>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</si>
  <si>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</si>
  <si>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</si>
  <si>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</si>
  <si>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</si>
  <si>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5/23/2024</t>
  </si>
  <si>
    <t>43057821-000-000</t>
  </si>
  <si>
    <t>UHK10-0227</t>
  </si>
  <si>
    <t>43057821-000-001</t>
  </si>
  <si>
    <t>UHK12-0229</t>
  </si>
  <si>
    <t>Floral Reversible Tufted Chenille Duvet Cover Set</t>
  </si>
  <si>
    <t>43057839-000-000</t>
  </si>
  <si>
    <t>MP100-1157</t>
  </si>
  <si>
    <t>Grafton</t>
  </si>
  <si>
    <t>Rile</t>
  </si>
  <si>
    <t>Nettie</t>
  </si>
  <si>
    <t>Upholstered Armless Accent Lounge chair</t>
  </si>
  <si>
    <t>CSNSTORES,ZOLA</t>
  </si>
  <si>
    <t>40149798-000-000</t>
  </si>
  <si>
    <t>7/13/2022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</si>
  <si>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</si>
  <si>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</si>
  <si>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</si>
  <si>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</si>
  <si>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</si>
  <si>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</si>
  <si>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</si>
  <si>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</si>
  <si>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43972757-000-001</t>
  </si>
  <si>
    <t>MP101-1164</t>
  </si>
  <si>
    <t>Coffee Table</t>
  </si>
  <si>
    <t>Greenwich</t>
  </si>
  <si>
    <t>Orrell</t>
  </si>
  <si>
    <t>Padma</t>
  </si>
  <si>
    <t>Square Shape Button-tufted Upholstered Metal Base Ottoman/Coffee Table</t>
  </si>
  <si>
    <t>AMERSIGNDS,CSNSTORES,LAMPDS,OLLIIX</t>
  </si>
  <si>
    <t>39940830-000-000</t>
  </si>
  <si>
    <t>5/10/2022</t>
  </si>
  <si>
    <t>MP95C-0330</t>
  </si>
  <si>
    <t>Grumpy Cats</t>
  </si>
  <si>
    <t>I Don't Care Canvas Wall Art</t>
  </si>
  <si>
    <t>I Don't Care/Multi</t>
  </si>
  <si>
    <t>Transitional|Modern/Contemporary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</si>
  <si>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</si>
  <si>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</si>
  <si>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</si>
  <si>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</si>
  <si>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</si>
  <si>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</si>
  <si>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</si>
  <si>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</si>
  <si>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</si>
  <si>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</si>
  <si>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</si>
  <si>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</si>
  <si>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</si>
  <si>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</si>
  <si>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</si>
  <si>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</si>
  <si>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</si>
  <si>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</si>
  <si>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</si>
  <si>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</si>
  <si>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</si>
  <si>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</si>
  <si>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</si>
  <si>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</si>
  <si>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</si>
  <si>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</si>
  <si>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BR13-3873</t>
  </si>
  <si>
    <t>Guthrie</t>
  </si>
  <si>
    <t>3 Piece Striated Cationic Dyed Oversized Quilt Set</t>
  </si>
  <si>
    <t>PP001829;PF005871</t>
  </si>
  <si>
    <t>40849411-000-003</t>
  </si>
  <si>
    <t>TN50-0484</t>
  </si>
  <si>
    <t>Hadly</t>
  </si>
  <si>
    <t>Wearable Multipurpose Throw</t>
  </si>
  <si>
    <t>62x68"</t>
  </si>
  <si>
    <t>PP001804;PF005797</t>
  </si>
  <si>
    <t>40804224-000-000</t>
  </si>
  <si>
    <t>HH10-1683</t>
  </si>
  <si>
    <t>Hallie</t>
  </si>
  <si>
    <t>6 Piece Cotton Comforter Set</t>
  </si>
  <si>
    <t>PF004246</t>
  </si>
  <si>
    <t>12/14/2017</t>
  </si>
  <si>
    <t>AMAZON,AMAZONDS,BLK01,MACY02</t>
  </si>
  <si>
    <t>26568495-000-003</t>
  </si>
  <si>
    <t>4/2/2018</t>
  </si>
  <si>
    <t>HH12-1687</t>
  </si>
  <si>
    <t>5 Piece Cotton Duvet Cover Set</t>
  </si>
  <si>
    <t>CSNSTORES,JCPENNEY01,MACY02,ROOMECOM</t>
  </si>
  <si>
    <t>26568013-000-001</t>
  </si>
  <si>
    <t>6/25/2018</t>
  </si>
  <si>
    <t>NS12-3252</t>
  </si>
  <si>
    <t>Hanae</t>
  </si>
  <si>
    <t>Cotton Blend Yarn Dyed 3 Piece Duvet Cover Set</t>
  </si>
  <si>
    <t>PP000991;PF004456</t>
  </si>
  <si>
    <t>29058248-000-000</t>
  </si>
  <si>
    <t>NS30-3254</t>
  </si>
  <si>
    <t>Embroidered Cotton Oblong Decorative Pillow</t>
  </si>
  <si>
    <t>PP000991</t>
  </si>
  <si>
    <t>CSNSTORES,HSNDS,MACY02,OLLIIX</t>
  </si>
  <si>
    <t>29058473-000-000</t>
  </si>
  <si>
    <t>5/28/2019</t>
  </si>
  <si>
    <t>MP104-0392</t>
  </si>
  <si>
    <t>Hancock</t>
  </si>
  <si>
    <t>Irvine</t>
  </si>
  <si>
    <t>Silloth</t>
  </si>
  <si>
    <t>High Wingback Button Tufted Upholstered 30" Swivel Bar Stool with Nailhead Accent</t>
  </si>
  <si>
    <t>Camel/Brown</t>
  </si>
  <si>
    <t>PP000169</t>
  </si>
  <si>
    <t>CSNSTORES,LAMPDS,OLLIIX,ROOMECOM</t>
  </si>
  <si>
    <t>25456815-000-000</t>
  </si>
  <si>
    <t>12/19/2017</t>
  </si>
  <si>
    <t>MP35-7577</t>
  </si>
  <si>
    <t>Hannah</t>
  </si>
  <si>
    <t>Reese</t>
  </si>
  <si>
    <t>Jessica</t>
  </si>
  <si>
    <t>Moroccan Global Woven Area Rug</t>
  </si>
  <si>
    <t>Blue/Cream</t>
  </si>
  <si>
    <t>HOUZZ,KIRKLANDDS,KOHLDSN</t>
  </si>
  <si>
    <t>38658555-000-003</t>
  </si>
  <si>
    <t>MP35-7578</t>
  </si>
  <si>
    <t>AMAZONDS,BIGLOTSDS,KIRKLANDDS</t>
  </si>
  <si>
    <t>38658555-000-001</t>
  </si>
  <si>
    <t>MP35-8018</t>
  </si>
  <si>
    <t>PF005776;PP001793</t>
  </si>
  <si>
    <t>38658555-000-007</t>
  </si>
  <si>
    <t>MP35-8020</t>
  </si>
  <si>
    <t>38658555-000-005</t>
  </si>
  <si>
    <t>MP35-8022</t>
  </si>
  <si>
    <t>38658555-000-012</t>
  </si>
  <si>
    <t>12/3/2022</t>
  </si>
  <si>
    <t>MP35-8024</t>
  </si>
  <si>
    <t>Light Grey/Cream</t>
  </si>
  <si>
    <t>PF005777;PP001793</t>
  </si>
  <si>
    <t>38658555-000-010</t>
  </si>
  <si>
    <t>MP35-8023</t>
  </si>
  <si>
    <t>JCPENNEY01,KIRKLANDDS</t>
  </si>
  <si>
    <t>38658555-000-013</t>
  </si>
  <si>
    <t>MP35-8025</t>
  </si>
  <si>
    <t>38658555-000-011</t>
  </si>
  <si>
    <t>MP35-8026</t>
  </si>
  <si>
    <t>38658555-000-008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</si>
  <si>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</si>
  <si>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</si>
  <si>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</si>
  <si>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</si>
  <si>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</si>
  <si>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</si>
  <si>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</si>
  <si>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4/21/2024</t>
  </si>
  <si>
    <t>MP13-8308</t>
  </si>
  <si>
    <t>42825150-000-002</t>
  </si>
  <si>
    <t>11/22/2023</t>
  </si>
  <si>
    <t>MP13-8310</t>
  </si>
  <si>
    <t>PP001908;PF006090</t>
  </si>
  <si>
    <t>42825150-000-000</t>
  </si>
  <si>
    <t>MP40-4526</t>
  </si>
  <si>
    <t>Harper</t>
  </si>
  <si>
    <t>Kaylee</t>
  </si>
  <si>
    <t>Solid Crushed Curtain Panel Pair</t>
  </si>
  <si>
    <t>PF003909</t>
  </si>
  <si>
    <t>7/14/2017</t>
  </si>
  <si>
    <t>AMAZON,AMAZONDS,ASHFURNDS,CSNSTORES,JCPENNEY01,KOHLDSN,MACY02,TGTDVS</t>
  </si>
  <si>
    <t>23304113-000-022</t>
  </si>
  <si>
    <t>7/28/2017</t>
  </si>
  <si>
    <t>9/25/2017</t>
  </si>
  <si>
    <t>MP13-8009</t>
  </si>
  <si>
    <t>Mercer</t>
  </si>
  <si>
    <t>3 Piece Velvet Quilt Set</t>
  </si>
  <si>
    <t>Mustard</t>
  </si>
  <si>
    <t>PP001790;PF005759</t>
  </si>
  <si>
    <t>Traditional|Transitional</t>
  </si>
  <si>
    <t>19185435-000-018</t>
  </si>
  <si>
    <t>CH10-013</t>
  </si>
  <si>
    <t>Oversized Cotton Matelasse Comforter Set</t>
  </si>
  <si>
    <t>PF006289</t>
  </si>
  <si>
    <t>CH10-014</t>
  </si>
  <si>
    <t>MP40-4496</t>
  </si>
  <si>
    <t>PF003913</t>
  </si>
  <si>
    <t>23304113-000-012</t>
  </si>
  <si>
    <t>8/11/2017</t>
  </si>
  <si>
    <t>MP40-4497</t>
  </si>
  <si>
    <t>CSNSTORES,DESINC,JCPENNEY01,KOHLDSN,MACY02,OLLIIX,TGTDVS</t>
  </si>
  <si>
    <t>23304113-000-013</t>
  </si>
  <si>
    <t>MP103-1230</t>
  </si>
  <si>
    <t>Harris</t>
  </si>
  <si>
    <t>Lois</t>
  </si>
  <si>
    <t>Sidney</t>
  </si>
  <si>
    <t>PF001115;PP000172</t>
  </si>
  <si>
    <t>5/28/2021</t>
  </si>
  <si>
    <t>44063500-000-000</t>
  </si>
  <si>
    <t>MT105-1215</t>
  </si>
  <si>
    <t>Harstrom</t>
  </si>
  <si>
    <t>Soft Close Storage Bench</t>
  </si>
  <si>
    <t>MP50-8242</t>
  </si>
  <si>
    <t>Haven</t>
  </si>
  <si>
    <t>Amaya</t>
  </si>
  <si>
    <t>Faux Fur Throw 50x60"</t>
  </si>
  <si>
    <t>PP001877;PF005989</t>
  </si>
  <si>
    <t>7/6/2023</t>
  </si>
  <si>
    <t>42014984-000-002</t>
  </si>
  <si>
    <t>10/29/2023</t>
  </si>
  <si>
    <t>MP50-8240</t>
  </si>
  <si>
    <t>42014984-000-001</t>
  </si>
  <si>
    <t>10/22/2023</t>
  </si>
  <si>
    <t>MT153-0072</t>
  </si>
  <si>
    <t>Hawley</t>
  </si>
  <si>
    <t>Faux Leather Table Lamp</t>
  </si>
  <si>
    <t>Gold/Brown</t>
  </si>
  <si>
    <t>43060812-000-000</t>
  </si>
  <si>
    <t>MP40-4601</t>
  </si>
  <si>
    <t>Hayden</t>
  </si>
  <si>
    <t>Jasper</t>
  </si>
  <si>
    <t>Jacey</t>
  </si>
  <si>
    <t>Woven Faux Linen Striped Window Sheer</t>
  </si>
  <si>
    <t>PF003931</t>
  </si>
  <si>
    <t>7/4/2017</t>
  </si>
  <si>
    <t>22976432-000-003</t>
  </si>
  <si>
    <t>MP40-5617</t>
  </si>
  <si>
    <t>Jax</t>
  </si>
  <si>
    <t>Ren</t>
  </si>
  <si>
    <t>Cotton Duck Printed Grommet Window Curtain Set of 2</t>
  </si>
  <si>
    <t>PP000852;PF004191</t>
  </si>
  <si>
    <t>26449604-000-003</t>
  </si>
  <si>
    <t>3/16/2018</t>
  </si>
  <si>
    <t>3/22/2018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</si>
  <si>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</si>
  <si>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</si>
  <si>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</si>
  <si>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</si>
  <si>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</si>
  <si>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</si>
  <si>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BR54-0893</t>
  </si>
  <si>
    <t>Heated Fleece Throw</t>
  </si>
  <si>
    <t>10/17/2018</t>
  </si>
  <si>
    <t>43947025-000-001</t>
  </si>
  <si>
    <t>BR54-0891</t>
  </si>
  <si>
    <t>43947025-000-003</t>
  </si>
  <si>
    <t>BR54-0892</t>
  </si>
  <si>
    <t>43947025-000-000</t>
  </si>
  <si>
    <t>BR54-0894</t>
  </si>
  <si>
    <t>43947025-000-002</t>
  </si>
  <si>
    <t>BR55-0535</t>
  </si>
  <si>
    <t>Heated Microfiber</t>
  </si>
  <si>
    <t>Heated Mattress Pad with 3M Scotchgard</t>
  </si>
  <si>
    <t>PF003423</t>
  </si>
  <si>
    <t>9/23/2017</t>
  </si>
  <si>
    <t>17643490-000-002</t>
  </si>
  <si>
    <t>10/5/2015</t>
  </si>
  <si>
    <t>BR54-0377</t>
  </si>
  <si>
    <t>Heated Microlight to Berber</t>
  </si>
  <si>
    <t>PF003601</t>
  </si>
  <si>
    <t>JCPENNEY01,OLLIIX,WALMARTDS</t>
  </si>
  <si>
    <t>16659779-000-000</t>
  </si>
  <si>
    <t>BR54-0378</t>
  </si>
  <si>
    <t>16659779-000-001</t>
  </si>
  <si>
    <t>BR54-0379</t>
  </si>
  <si>
    <t>4/4/2017</t>
  </si>
  <si>
    <t>AMAZON,BLK01,CSNSTORES,HSNDS,JCPENNEY01,MACY02,NEBFUR01,OLLIIX,TGTDVS</t>
  </si>
  <si>
    <t>16659779-000-002</t>
  </si>
  <si>
    <t>BR54-0380</t>
  </si>
  <si>
    <t>10/11/2017</t>
  </si>
  <si>
    <t>AMAZON,AMAZONDS,FINGERHUTDS,KOHLDSN,MACY02</t>
  </si>
  <si>
    <t>16659779-000-003</t>
  </si>
  <si>
    <t>BR54-0308</t>
  </si>
  <si>
    <t>PF003569</t>
  </si>
  <si>
    <t>HDDS,KOHLDSN,OLLIIX,WALMARTDS</t>
  </si>
  <si>
    <t>15820468-000-000</t>
  </si>
  <si>
    <t>BR54-0385</t>
  </si>
  <si>
    <t>PF003603</t>
  </si>
  <si>
    <t>4/19/2017</t>
  </si>
  <si>
    <t>AMAZON,WALMARTDS</t>
  </si>
  <si>
    <t>16659779-000-008</t>
  </si>
  <si>
    <t>BR54-0386</t>
  </si>
  <si>
    <t>16659779-000-009</t>
  </si>
  <si>
    <t>7/23/2015</t>
  </si>
  <si>
    <t>BR54-0387</t>
  </si>
  <si>
    <t>16659779-000-010</t>
  </si>
  <si>
    <t>BR54-0416</t>
  </si>
  <si>
    <t>PF003605</t>
  </si>
  <si>
    <t>AMAZON,BLOOM02,CSNSTORES,JCPENNEY01,KOHLDSN,MACY02,OLLIIX,WALMARTDS</t>
  </si>
  <si>
    <t>16659779-000-016</t>
  </si>
  <si>
    <t>11/4/2015</t>
  </si>
  <si>
    <t>BR54-0417</t>
  </si>
  <si>
    <t>AMAZON,BEALLSDS,CSNSTORES,KOHLDSN,OLLIIX</t>
  </si>
  <si>
    <t>16659779-000-017</t>
  </si>
  <si>
    <t>10/19/2015</t>
  </si>
  <si>
    <t>BR54-0419</t>
  </si>
  <si>
    <t>AMAZON,CSNSTORES,JCPENNEY01,KOHLDSN,MACY02,OLLIIX,TGTDVS,WALMARTDS</t>
  </si>
  <si>
    <t>16659779-000-019</t>
  </si>
  <si>
    <t>10/16/2015</t>
  </si>
  <si>
    <t>BR54-0647</t>
  </si>
  <si>
    <t>PF003607</t>
  </si>
  <si>
    <t>4/14/2017</t>
  </si>
  <si>
    <t>16659779-000-021</t>
  </si>
  <si>
    <t>BR54-0648</t>
  </si>
  <si>
    <t>AMAZONDS,CSNSTORES,JCPENNEY01,KOHLDSN,MACY02,TGTDVS,WALMARTDS</t>
  </si>
  <si>
    <t>16659779-000-022</t>
  </si>
  <si>
    <t>9/1/2016</t>
  </si>
  <si>
    <t>BR54-0650</t>
  </si>
  <si>
    <t>PF003608</t>
  </si>
  <si>
    <t>AMAZON,BLK01,BLOOM02</t>
  </si>
  <si>
    <t>16659779-000-024</t>
  </si>
  <si>
    <t>9/6/2016</t>
  </si>
  <si>
    <t>BR54-0651</t>
  </si>
  <si>
    <t>AMAZON,CSNSTORES,NORDSTRACKDS</t>
  </si>
  <si>
    <t>16659779-000-025</t>
  </si>
  <si>
    <t>BR54-0652</t>
  </si>
  <si>
    <t>AMAZON,ASHFURNDS,KOHLDSN,MACY02,OLLIIX,TGTDVS</t>
  </si>
  <si>
    <t>16659779-000-026</t>
  </si>
  <si>
    <t>BR54-1941</t>
  </si>
  <si>
    <t>PP001523;PF005169</t>
  </si>
  <si>
    <t>9/28/2020</t>
  </si>
  <si>
    <t>AMAZON,CSNSTORES,KOHLDSN,MACY02,OLLIIX,TGTDVS</t>
  </si>
  <si>
    <t>16659779-000-035</t>
  </si>
  <si>
    <t>10/5/2020</t>
  </si>
  <si>
    <t>BR54-1943</t>
  </si>
  <si>
    <t>9/14/2020</t>
  </si>
  <si>
    <t>AMAZON,HDDS,KOHLDSN,OLLIIX</t>
  </si>
  <si>
    <t>16659779-000-033</t>
  </si>
  <si>
    <t>9/18/2020</t>
  </si>
  <si>
    <t>BR54-1927</t>
  </si>
  <si>
    <t>AMAZON,AMAZONDS,KOHLDSN,MACY02</t>
  </si>
  <si>
    <t>15820468-000-008</t>
  </si>
  <si>
    <t>BR54-0389</t>
  </si>
  <si>
    <t>PF003604</t>
  </si>
  <si>
    <t>16659779-000-012</t>
  </si>
  <si>
    <t>BR54-0391</t>
  </si>
  <si>
    <t>16659779-000-014</t>
  </si>
  <si>
    <t>BR54-0392</t>
  </si>
  <si>
    <t>4/20/2017</t>
  </si>
  <si>
    <t>AMAZON,OLLIIX,TGTDVS,WALMARTDS</t>
  </si>
  <si>
    <t>16659779-000-015</t>
  </si>
  <si>
    <t>BR54-0382</t>
  </si>
  <si>
    <t>PF003602</t>
  </si>
  <si>
    <t>16659779-000-005</t>
  </si>
  <si>
    <t>7/13/2015</t>
  </si>
  <si>
    <t>BR54-0383</t>
  </si>
  <si>
    <t>AMAZON,AMAZONDS,ASHFURNDS,BLK01,CSNSTORES,HDDS,JCPENNEY01,KOHLDSN,MACY02,OLLIIX,WALMARTDS</t>
  </si>
  <si>
    <t>16659779-000-006</t>
  </si>
  <si>
    <t>7/7/2015</t>
  </si>
  <si>
    <t>BR54-0384</t>
  </si>
  <si>
    <t>AMAZON,AMAZONDS,BEALLSDS,HDDS,JCPENNEY01,KOHLDSN,MACY02,OLLIIX,TGTDVS</t>
  </si>
  <si>
    <t>16659779-000-007</t>
  </si>
  <si>
    <t>7/20/2015</t>
  </si>
  <si>
    <t>BR54-1937</t>
  </si>
  <si>
    <t>PP001523;PF005168</t>
  </si>
  <si>
    <t>16659779-000-030</t>
  </si>
  <si>
    <t>9/30/2020</t>
  </si>
  <si>
    <t>BR54-1926</t>
  </si>
  <si>
    <t>AMAZON,BLK01,FINGERHUTDS,KOHLDSN,MACY02,NORDSTRACKDS,OLLIIX</t>
  </si>
  <si>
    <t>15820468-000-007</t>
  </si>
  <si>
    <t>BR54-0539</t>
  </si>
  <si>
    <t>Heated Ogee</t>
  </si>
  <si>
    <t>PF003426</t>
  </si>
  <si>
    <t>FINGERHUTDS,HDDS,KOHLDSN,TGTDVS,WALMARTDS</t>
  </si>
  <si>
    <t>17651648-000-001</t>
  </si>
  <si>
    <t>9/24/2015</t>
  </si>
  <si>
    <t>BR54-0749</t>
  </si>
  <si>
    <t>PF003431</t>
  </si>
  <si>
    <t>CSNSTORES,KOHLDSN,TGTDVS,WALMARTDS</t>
  </si>
  <si>
    <t>17651648-000-006</t>
  </si>
  <si>
    <t>BR54-0541</t>
  </si>
  <si>
    <t>PF003428</t>
  </si>
  <si>
    <t>AMAZON,KOHLDSN,OLLIIX,TGTDVS,WALMARTDS</t>
  </si>
  <si>
    <t>17651648-000-003</t>
  </si>
  <si>
    <t>10/27/2015</t>
  </si>
  <si>
    <t>BR54-0777</t>
  </si>
  <si>
    <t>PF003498</t>
  </si>
  <si>
    <t>9/22/2017</t>
  </si>
  <si>
    <t>17651648-000-007</t>
  </si>
  <si>
    <t>BR54-0540</t>
  </si>
  <si>
    <t>PF003427</t>
  </si>
  <si>
    <t>AMAZON,KOHLDSN,TGTDVS,WALMARTDS</t>
  </si>
  <si>
    <t>17651648-000-002</t>
  </si>
  <si>
    <t>BR54-0904</t>
  </si>
  <si>
    <t>Heated Plush</t>
  </si>
  <si>
    <t>PF004401</t>
  </si>
  <si>
    <t>AMAZON,BLK01,MACY02</t>
  </si>
  <si>
    <t>17632904-000-030</t>
  </si>
  <si>
    <t>11/20/2018</t>
  </si>
  <si>
    <t>11/29/2018</t>
  </si>
  <si>
    <t>BR54-0908</t>
  </si>
  <si>
    <t>PF004402</t>
  </si>
  <si>
    <t>17632904-000-028</t>
  </si>
  <si>
    <t>11/30/2018</t>
  </si>
  <si>
    <t>BR54-0909</t>
  </si>
  <si>
    <t>AMAZON,HDDS,KOHLDSN,MACY02,WALMARTDS</t>
  </si>
  <si>
    <t>17632904-000-024</t>
  </si>
  <si>
    <t>BR54-0513</t>
  </si>
  <si>
    <t>PF003417</t>
  </si>
  <si>
    <t>17632904-000-000</t>
  </si>
  <si>
    <t>9/21/2015</t>
  </si>
  <si>
    <t>BR54-0514</t>
  </si>
  <si>
    <t>17632904-000-001</t>
  </si>
  <si>
    <t>12/1/2015</t>
  </si>
  <si>
    <t>BR54-0521</t>
  </si>
  <si>
    <t>PF003419</t>
  </si>
  <si>
    <t>17632904-000-008</t>
  </si>
  <si>
    <t>BR54-0522</t>
  </si>
  <si>
    <t>17632904-000-009</t>
  </si>
  <si>
    <t>11/6/2015</t>
  </si>
  <si>
    <t>BR54-0654</t>
  </si>
  <si>
    <t>PF003421</t>
  </si>
  <si>
    <t>17632904-000-016</t>
  </si>
  <si>
    <t>BR54-0655</t>
  </si>
  <si>
    <t>AMAZON,JCPENNEY01,KOHLDSN,MACY02,TGTDVS,WALMARTDS</t>
  </si>
  <si>
    <t>17632904-000-017</t>
  </si>
  <si>
    <t>10/12/2016</t>
  </si>
  <si>
    <t>BR54-0517</t>
  </si>
  <si>
    <t>PF003418</t>
  </si>
  <si>
    <t>17632904-000-004</t>
  </si>
  <si>
    <t>BR54-0658</t>
  </si>
  <si>
    <t>Sapphire Blue</t>
  </si>
  <si>
    <t>PF003422</t>
  </si>
  <si>
    <t>AMAZON,BLK01,JCPENNEY01,KOHLDSN,MACY02,NORDSTRACKDS,TGTDVS</t>
  </si>
  <si>
    <t>17632904-000-020</t>
  </si>
  <si>
    <t>BR54-0659</t>
  </si>
  <si>
    <t>17632904-000-021</t>
  </si>
  <si>
    <t>BR54-1928</t>
  </si>
  <si>
    <t>PP001522;PF005166</t>
  </si>
  <si>
    <t>AMAZON,BLK01,FINGERHUTDS,JCPENNEY01,KOHLDSN,MACY02,TGTDVS</t>
  </si>
  <si>
    <t>17632904-000-038</t>
  </si>
  <si>
    <t>10/2/2020</t>
  </si>
  <si>
    <t>WR54-1753</t>
  </si>
  <si>
    <t>Heated Plush to Berber</t>
  </si>
  <si>
    <t>PF003611</t>
  </si>
  <si>
    <t>19299771-000-014</t>
  </si>
  <si>
    <t>9/16/2016</t>
  </si>
  <si>
    <t>WR54-1754</t>
  </si>
  <si>
    <t>JCPENNEY01,KOHLDSN,WALMARTDS</t>
  </si>
  <si>
    <t>19299771-000-015</t>
  </si>
  <si>
    <t>WR54-1755</t>
  </si>
  <si>
    <t>PF003612</t>
  </si>
  <si>
    <t>19299771-000-016</t>
  </si>
  <si>
    <t>WR54-1757</t>
  </si>
  <si>
    <t>19299771-000-018</t>
  </si>
  <si>
    <t>8/24/2016</t>
  </si>
  <si>
    <t>WR54-1767</t>
  </si>
  <si>
    <t>PF003581</t>
  </si>
  <si>
    <t>19267553-000-000</t>
  </si>
  <si>
    <t>WR54-1759</t>
  </si>
  <si>
    <t>PF003614</t>
  </si>
  <si>
    <t>AMAZON,KOHLDSN,MACY02</t>
  </si>
  <si>
    <t>19299771-000-020</t>
  </si>
  <si>
    <t>8/23/2016</t>
  </si>
  <si>
    <t>WR54-1760</t>
  </si>
  <si>
    <t>19299771-000-021</t>
  </si>
  <si>
    <t>WR54-1762</t>
  </si>
  <si>
    <t>19299771-000-023</t>
  </si>
  <si>
    <t>10/25/2016</t>
  </si>
  <si>
    <t>WR54-1773</t>
  </si>
  <si>
    <t>PF003583</t>
  </si>
  <si>
    <t>19267553-000-006</t>
  </si>
  <si>
    <t>WR54-1764</t>
  </si>
  <si>
    <t>PF003615</t>
  </si>
  <si>
    <t>19299771-000-025</t>
  </si>
  <si>
    <t>WR54-1771</t>
  </si>
  <si>
    <t>PF003580</t>
  </si>
  <si>
    <t>19267553-000-004</t>
  </si>
  <si>
    <t>9/8/2016</t>
  </si>
  <si>
    <t>WR54-1744</t>
  </si>
  <si>
    <t>PF003609</t>
  </si>
  <si>
    <t>19299771-000-005</t>
  </si>
  <si>
    <t>10/17/2016</t>
  </si>
  <si>
    <t>WR54-1747</t>
  </si>
  <si>
    <t>PF003610</t>
  </si>
  <si>
    <t>19299771-000-008</t>
  </si>
  <si>
    <t>12/12/2016</t>
  </si>
  <si>
    <t>WR54-1748</t>
  </si>
  <si>
    <t>19299771-000-009</t>
  </si>
  <si>
    <t>WR54-1749</t>
  </si>
  <si>
    <t>CSNSTORES,MACY02,WALMARTDS</t>
  </si>
  <si>
    <t>19299771-000-010</t>
  </si>
  <si>
    <t>11/15/2016</t>
  </si>
  <si>
    <t>WR54-1769</t>
  </si>
  <si>
    <t>PF003578</t>
  </si>
  <si>
    <t>KOHLDSN,MACY02,TGTDVS,WALMARTDS</t>
  </si>
  <si>
    <t>19267553-000-002</t>
  </si>
  <si>
    <t>CS54-0999</t>
  </si>
  <si>
    <t>Electric Throw Wrap</t>
  </si>
  <si>
    <t>Heated Wrap Sock Set</t>
  </si>
  <si>
    <t>Heated Wrap with Sock Set</t>
  </si>
  <si>
    <t>PP001383;PF004912</t>
  </si>
  <si>
    <t>5/30/2019</t>
  </si>
  <si>
    <t>34433362-000-002</t>
  </si>
  <si>
    <t>10/14/2019</t>
  </si>
  <si>
    <t>TN10-0539</t>
  </si>
  <si>
    <t>Heavy Warmth</t>
  </si>
  <si>
    <t>Goose Feather and Down Oversize Comforter</t>
  </si>
  <si>
    <t>PP001803;PF006107</t>
  </si>
  <si>
    <t>40804196-000-004</t>
  </si>
  <si>
    <t>12/4/2023</t>
  </si>
  <si>
    <t>TN10-0540</t>
  </si>
  <si>
    <t>40804196-000-008</t>
  </si>
  <si>
    <t>TN10-0541</t>
  </si>
  <si>
    <t>BLK01,KOHLDSN,MACY02,OLLIIX,TGTDVS</t>
  </si>
  <si>
    <t>40804196-000-007</t>
  </si>
  <si>
    <t>TN10-0536</t>
  </si>
  <si>
    <t>PP001803;PF006106</t>
  </si>
  <si>
    <t>40804196-000-005</t>
  </si>
  <si>
    <t>TN10-0537</t>
  </si>
  <si>
    <t>40804196-000-006</t>
  </si>
  <si>
    <t>12/3/2023</t>
  </si>
  <si>
    <t>TN10-0538</t>
  </si>
  <si>
    <t>40804196-000-003</t>
  </si>
  <si>
    <t>TN10-0488</t>
  </si>
  <si>
    <t>PP001803;PF005794</t>
  </si>
  <si>
    <t>40804196-000-001</t>
  </si>
  <si>
    <t>TN10-0490</t>
  </si>
  <si>
    <t>40804196-000-000</t>
  </si>
  <si>
    <t>12/29/2022</t>
  </si>
  <si>
    <t>II150-0122</t>
  </si>
  <si>
    <t>Helena</t>
  </si>
  <si>
    <t>6-Light Frosted Glass Globe Linear Chandelier</t>
  </si>
  <si>
    <t>JCPENNEY01,OLLIIX,ZOLA</t>
  </si>
  <si>
    <t>39822003-000-000</t>
  </si>
  <si>
    <t>4/8/2022</t>
  </si>
  <si>
    <t>MPS100-0115</t>
  </si>
  <si>
    <t>Dining Side Chair</t>
  </si>
  <si>
    <t>PF001230;PP000300</t>
  </si>
  <si>
    <t>21828372-000-000</t>
  </si>
  <si>
    <t>MPS108-0294</t>
  </si>
  <si>
    <t>11/4/2020</t>
  </si>
  <si>
    <t>21828372-000-001</t>
  </si>
  <si>
    <t>11/9/2020</t>
  </si>
  <si>
    <t>II95B-0152</t>
  </si>
  <si>
    <t>Awd</t>
  </si>
  <si>
    <t>Henna</t>
  </si>
  <si>
    <t>Framed Medallion Rice Paper Shadow Box Wall Decor</t>
  </si>
  <si>
    <t>PP001873</t>
  </si>
  <si>
    <t>6/15/2024</t>
  </si>
  <si>
    <t>AMAZON,AMAZONDS,CSNSTORES,JCPENNEY01,KOHLDSN,MACY02,NRTPORT,OLLIIX</t>
  </si>
  <si>
    <t>41707977-000-000</t>
  </si>
  <si>
    <t>II104-0463</t>
  </si>
  <si>
    <t>Henrick</t>
  </si>
  <si>
    <t>Grey Multi</t>
  </si>
  <si>
    <t>1/10/2022</t>
  </si>
  <si>
    <t>39490814-000-000</t>
  </si>
  <si>
    <t>1/12/2022</t>
  </si>
  <si>
    <t>5/31/2022</t>
  </si>
  <si>
    <t>BASI16-0236</t>
  </si>
  <si>
    <t>Highline</t>
  </si>
  <si>
    <t>Montview</t>
  </si>
  <si>
    <t>3M Microfiber Mattress Pad</t>
  </si>
  <si>
    <t>PF002082</t>
  </si>
  <si>
    <t>BIGLOTSDS,BLK01,CSNSTORES,JCPENNEY01,KOHLDSN,MACY02,NRTPORT,OLLIIX,TGTDVS,WALMARTDS,ZOLA,Zulily</t>
  </si>
  <si>
    <t>16347369-000-000</t>
  </si>
  <si>
    <t>FPF18-0053</t>
  </si>
  <si>
    <t>Hilton</t>
  </si>
  <si>
    <t>Sheldon</t>
  </si>
  <si>
    <t>Bally</t>
  </si>
  <si>
    <t>Armless Accent Chair</t>
  </si>
  <si>
    <t>PF000592;PP000176</t>
  </si>
  <si>
    <t>ASHFURNDS,CASTLEGATE,CSNSTORES,HDDS,KOHLDSN,MACY02F,OLLIIX,TGTDVS</t>
  </si>
  <si>
    <t>17879871-000-000</t>
  </si>
  <si>
    <t>12/2/2015</t>
  </si>
  <si>
    <t>MP10-8264</t>
  </si>
  <si>
    <t>Hollis</t>
  </si>
  <si>
    <t>Sherpa Comforter Set</t>
  </si>
  <si>
    <t>PP001895;PF006045</t>
  </si>
  <si>
    <t>7/19/2023</t>
  </si>
  <si>
    <t>42124120-000-002</t>
  </si>
  <si>
    <t>MP10-8265</t>
  </si>
  <si>
    <t>AMAZON,CSNSTORES,JCPENNEY01,MACY02,OLLIIX</t>
  </si>
  <si>
    <t>42124120-000-001</t>
  </si>
  <si>
    <t>MP10-8266</t>
  </si>
  <si>
    <t>42124120-000-000</t>
  </si>
  <si>
    <t>II120-0553</t>
  </si>
  <si>
    <t>Honey</t>
  </si>
  <si>
    <t>Fluted Hexagon Coffee Table</t>
  </si>
  <si>
    <t>42846069-000-000</t>
  </si>
  <si>
    <t>12/11/2023</t>
  </si>
  <si>
    <t>MP10-8277</t>
  </si>
  <si>
    <t>Honeycomb Textured</t>
  </si>
  <si>
    <t>PP001896;PF006053</t>
  </si>
  <si>
    <t>42617993-000-000</t>
  </si>
  <si>
    <t>MP10-8278</t>
  </si>
  <si>
    <t>42617993-000-001</t>
  </si>
  <si>
    <t>CS14-0207</t>
  </si>
  <si>
    <t>Howdy Hoots</t>
  </si>
  <si>
    <t>Quilt Set</t>
  </si>
  <si>
    <t>43954355-000-001</t>
  </si>
  <si>
    <t>CS14-0208</t>
  </si>
  <si>
    <t>43954355-000-000</t>
  </si>
  <si>
    <t>WR13-3474</t>
  </si>
  <si>
    <t>Quilt</t>
  </si>
  <si>
    <t>Oversized Cotton Quilt Mini Set</t>
  </si>
  <si>
    <t>PP001705;PF005622</t>
  </si>
  <si>
    <t>9/20/2021</t>
  </si>
  <si>
    <t>38897999-000-001</t>
  </si>
  <si>
    <t>9/27/2021</t>
  </si>
  <si>
    <t>10/19/2021</t>
  </si>
  <si>
    <t>WR10-3854</t>
  </si>
  <si>
    <t>Hudson Valley</t>
  </si>
  <si>
    <t>Grey/Black Buffalo Check</t>
  </si>
  <si>
    <t>PP001847;PF005908</t>
  </si>
  <si>
    <t>9/2/2022</t>
  </si>
  <si>
    <t>40366198-000-003</t>
  </si>
  <si>
    <t>9/9/2022</t>
  </si>
  <si>
    <t>10/31/2022</t>
  </si>
  <si>
    <t>UH95G-0034</t>
  </si>
  <si>
    <t>Humming Birds</t>
  </si>
  <si>
    <t>2-Piece Framed Graphics Wall Art Set</t>
  </si>
  <si>
    <t>8/18/2023</t>
  </si>
  <si>
    <t>AMAZON,CSNSTORES,KIRKLANDDS,MACY02,OLLIIX,TGTDVS</t>
  </si>
  <si>
    <t>42149176-000-000</t>
  </si>
  <si>
    <t>8/23/2023</t>
  </si>
  <si>
    <t>WR50-1783</t>
  </si>
  <si>
    <t>Huntington</t>
  </si>
  <si>
    <t>Quilted Throw</t>
  </si>
  <si>
    <t>PF003308</t>
  </si>
  <si>
    <t>AMAZON,BLK01,CSNSTORES,JCPENNEY01,KOHLDSN,TGTDVS</t>
  </si>
  <si>
    <t>19409336-000-000</t>
  </si>
  <si>
    <t>MPS108-0152</t>
  </si>
  <si>
    <t>Hutton</t>
  </si>
  <si>
    <t>Dining Side Chair (set of 2)</t>
  </si>
  <si>
    <t>CSNSTORES,KOHLDSN,MACY02F,OLLIIX,TGTDVS</t>
  </si>
  <si>
    <t>24253257-000-000</t>
  </si>
  <si>
    <t>MP100-1162</t>
  </si>
  <si>
    <t>Ian</t>
  </si>
  <si>
    <t>Upholstered Tufted Mid-Century Accent Chair</t>
  </si>
  <si>
    <t>5/3/2022</t>
  </si>
  <si>
    <t>39918901-000-000</t>
  </si>
  <si>
    <t>3/6/2023</t>
  </si>
  <si>
    <t>MP10-8338</t>
  </si>
  <si>
    <t>Ibiza</t>
  </si>
  <si>
    <t>Alba</t>
  </si>
  <si>
    <t>Triana</t>
  </si>
  <si>
    <t>4 Piece Printed Comforter Set with Throw Pillow</t>
  </si>
  <si>
    <t>PP001913;PF006112</t>
  </si>
  <si>
    <t>9/28/2024</t>
  </si>
  <si>
    <t>43626571-000-001</t>
  </si>
  <si>
    <t>MP12-8340</t>
  </si>
  <si>
    <t>4 Piece Printed Duvet Cover Set with Throw Pillow</t>
  </si>
  <si>
    <t>43642761-000-001</t>
  </si>
  <si>
    <t>LAF04-0018</t>
  </si>
  <si>
    <t>II000133</t>
  </si>
  <si>
    <t>Cotton Solid Terry Robe</t>
  </si>
  <si>
    <t>L/XL</t>
  </si>
  <si>
    <t>37254726-000-000</t>
  </si>
  <si>
    <t>12/16/2020</t>
  </si>
  <si>
    <t>II04-3015</t>
  </si>
  <si>
    <t>Cotton Terry Solid Robe</t>
  </si>
  <si>
    <t>S/M</t>
  </si>
  <si>
    <t>Mint</t>
  </si>
  <si>
    <t>43658574-000-000</t>
  </si>
  <si>
    <t>II04-3016</t>
  </si>
  <si>
    <t>43658574-000-001</t>
  </si>
  <si>
    <t>LAF04-0019</t>
  </si>
  <si>
    <t>37254725-000-001</t>
  </si>
  <si>
    <t>3/5/2021</t>
  </si>
  <si>
    <t>LAF04-0020</t>
  </si>
  <si>
    <t>37254725-000-000</t>
  </si>
  <si>
    <t>II04-6823</t>
  </si>
  <si>
    <t>II000188</t>
  </si>
  <si>
    <t>Waffle Robe</t>
  </si>
  <si>
    <t>Blue 400</t>
  </si>
  <si>
    <t>43634614-000-000</t>
  </si>
  <si>
    <t>II04-6827</t>
  </si>
  <si>
    <t>Rose 661</t>
  </si>
  <si>
    <t>43634614-000-002</t>
  </si>
  <si>
    <t>II04-6828</t>
  </si>
  <si>
    <t>43634614-000-001</t>
  </si>
  <si>
    <t>II04-6825</t>
  </si>
  <si>
    <t>White 100</t>
  </si>
  <si>
    <t>43634614-000-004</t>
  </si>
  <si>
    <t>II04-3014</t>
  </si>
  <si>
    <t>II000350</t>
  </si>
  <si>
    <t>100% Cotton Solid Terry Wrap W/Straps(roll pack) W/Hanger</t>
  </si>
  <si>
    <t>43658575-000-000</t>
  </si>
  <si>
    <t>II04-2462</t>
  </si>
  <si>
    <t>100% Cotton Solid Terry Wrap W/Straps No Hanger (No roll pack)</t>
  </si>
  <si>
    <t>Rose</t>
  </si>
  <si>
    <t>37254655-000-000</t>
  </si>
  <si>
    <t>2/2/2021</t>
  </si>
  <si>
    <t>2/8/2021</t>
  </si>
  <si>
    <t>II04-6819</t>
  </si>
  <si>
    <t>II000380</t>
  </si>
  <si>
    <t>Waffle Wrap</t>
  </si>
  <si>
    <t>43634613-000-002</t>
  </si>
  <si>
    <t>II04-1585</t>
  </si>
  <si>
    <t>II317125</t>
  </si>
  <si>
    <t>L/S Paisley Print Lite Micro 42" Robe</t>
  </si>
  <si>
    <t>Bedouin blue 447</t>
  </si>
  <si>
    <t>43663099-000-003</t>
  </si>
  <si>
    <t>II04-1586</t>
  </si>
  <si>
    <t>43663099-000-002</t>
  </si>
  <si>
    <t>II04-8041</t>
  </si>
  <si>
    <t>II422101</t>
  </si>
  <si>
    <t>Women's printed plush robe</t>
  </si>
  <si>
    <t>5/13/2022</t>
  </si>
  <si>
    <t>43663532-000-001</t>
  </si>
  <si>
    <t>3/7/2024</t>
  </si>
  <si>
    <t>II04-8038</t>
  </si>
  <si>
    <t>Scrolls</t>
  </si>
  <si>
    <t>43663532-000-006</t>
  </si>
  <si>
    <t>II04-8039</t>
  </si>
  <si>
    <t>43663532-000-005</t>
  </si>
  <si>
    <t>II04-8044</t>
  </si>
  <si>
    <t>Winter Damask</t>
  </si>
  <si>
    <t>43663532-000-000</t>
  </si>
  <si>
    <t>II04-8045</t>
  </si>
  <si>
    <t>43663532-000-004</t>
  </si>
  <si>
    <t>4/15/2024</t>
  </si>
  <si>
    <t>II04-8046</t>
  </si>
  <si>
    <t>Winter Floral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</si>
  <si>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</si>
  <si>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</si>
  <si>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</si>
  <si>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</si>
  <si>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</si>
  <si>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</si>
  <si>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</si>
  <si>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</si>
  <si>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</si>
  <si>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II04-8100</t>
  </si>
  <si>
    <t>43639017-000-002</t>
  </si>
  <si>
    <t>II04-8101</t>
  </si>
  <si>
    <t>43639017-000-004</t>
  </si>
  <si>
    <t>II04-8102</t>
  </si>
  <si>
    <t>43639017-000-005</t>
  </si>
  <si>
    <t>II04-8103</t>
  </si>
  <si>
    <t>43639017-000-017</t>
  </si>
  <si>
    <t>II04-8104</t>
  </si>
  <si>
    <t>XXL</t>
  </si>
  <si>
    <t>43639017-000-013</t>
  </si>
  <si>
    <t>II04-8093</t>
  </si>
  <si>
    <t>Quiet Gray</t>
  </si>
  <si>
    <t>43639017-000-000</t>
  </si>
  <si>
    <t>II04-8094</t>
  </si>
  <si>
    <t>43639017-000-009</t>
  </si>
  <si>
    <t>II04-8095</t>
  </si>
  <si>
    <t>43639017-000-015</t>
  </si>
  <si>
    <t>4/16/2024</t>
  </si>
  <si>
    <t>II04-8096</t>
  </si>
  <si>
    <t>43639017-000-014</t>
  </si>
  <si>
    <t>II04-8097</t>
  </si>
  <si>
    <t>43639017-000-010</t>
  </si>
  <si>
    <t>II04-8098</t>
  </si>
  <si>
    <t>43639017-000-011</t>
  </si>
  <si>
    <t>II04-8105</t>
  </si>
  <si>
    <t>Rich Concord</t>
  </si>
  <si>
    <t>43639017-000-008</t>
  </si>
  <si>
    <t>II04-8107</t>
  </si>
  <si>
    <t>43639017-000-016</t>
  </si>
  <si>
    <t>II04-8108</t>
  </si>
  <si>
    <t>43639017-000-001</t>
  </si>
  <si>
    <t>II04-8109</t>
  </si>
  <si>
    <t>43639017-000-003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</si>
  <si>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</si>
  <si>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</si>
  <si>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</si>
  <si>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</si>
  <si>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</si>
  <si>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</si>
  <si>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</si>
  <si>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43663098-000-013</t>
  </si>
  <si>
    <t>II04-9610</t>
  </si>
  <si>
    <t>M/L IM222101 Robe</t>
  </si>
  <si>
    <t>M/L</t>
  </si>
  <si>
    <t>43663098-000-006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</si>
  <si>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</si>
  <si>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</si>
  <si>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</si>
  <si>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</si>
  <si>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</si>
  <si>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</si>
  <si>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</si>
  <si>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43663098-000-001</t>
  </si>
  <si>
    <t>II04-8420</t>
  </si>
  <si>
    <t>43663098-000-011</t>
  </si>
  <si>
    <t>II04-8416</t>
  </si>
  <si>
    <t>Denim 459</t>
  </si>
  <si>
    <t>43663098-000-010</t>
  </si>
  <si>
    <t>II04-8417</t>
  </si>
  <si>
    <t>43663098-000-003</t>
  </si>
  <si>
    <t>II04-8418</t>
  </si>
  <si>
    <t>43663098-000-017</t>
  </si>
  <si>
    <t>II04-8410</t>
  </si>
  <si>
    <t>Med Navy 411</t>
  </si>
  <si>
    <t>43663098-000-004</t>
  </si>
  <si>
    <t>II04-8411</t>
  </si>
  <si>
    <t>43663098-000-007</t>
  </si>
  <si>
    <t>II04-8413</t>
  </si>
  <si>
    <t>Steel 030</t>
  </si>
  <si>
    <t>43663098-000-016</t>
  </si>
  <si>
    <t>II04-8414</t>
  </si>
  <si>
    <t>43663098-000-008</t>
  </si>
  <si>
    <t>3/19/2024</t>
  </si>
  <si>
    <t>II04-8415</t>
  </si>
  <si>
    <t>43663098-000-000</t>
  </si>
  <si>
    <t>4/4/2024</t>
  </si>
  <si>
    <t>II04-8408</t>
  </si>
  <si>
    <t>43663098-000-015</t>
  </si>
  <si>
    <t>II04-8409</t>
  </si>
  <si>
    <t>43663098-000-005</t>
  </si>
  <si>
    <t>II12-1096</t>
  </si>
  <si>
    <t>Imani</t>
  </si>
  <si>
    <t>Cotton Printed Duvet Cover Set with Chenille</t>
  </si>
  <si>
    <t>PF005068</t>
  </si>
  <si>
    <t>3/30/2020</t>
  </si>
  <si>
    <t>26488689-000-002</t>
  </si>
  <si>
    <t>4/6/2020</t>
  </si>
  <si>
    <t>II12-1091</t>
  </si>
  <si>
    <t>PF005067</t>
  </si>
  <si>
    <t>4/23/2020</t>
  </si>
  <si>
    <t>AMERSIGNDS,BLK01,CASTLEGATE,CSNSTORES,HSNDS,JCPENNEY01,KOHLDSN,MACY02,ROOMECOM,TGTDVS</t>
  </si>
  <si>
    <t>26488689-000-005</t>
  </si>
  <si>
    <t>4/26/2020</t>
  </si>
  <si>
    <t>II70-1319</t>
  </si>
  <si>
    <t>Cotton Printed Shower Curtain with Chenille</t>
  </si>
  <si>
    <t>PP000428;PF005760</t>
  </si>
  <si>
    <t>36737143-000-003</t>
  </si>
  <si>
    <t>MT95B-0065</t>
  </si>
  <si>
    <t>Indigo Shells</t>
  </si>
  <si>
    <t>Framed Sea Urchin Shadow Box Wall Decor</t>
  </si>
  <si>
    <t>PP001690</t>
  </si>
  <si>
    <t>AMAZON,AMAZONDS,BLK01,CSNSTORES,JCPENNEY01,KOHLDSN,MACY02,OLLIIX,TGTDVS,ZOLA</t>
  </si>
  <si>
    <t>39266115-000-000</t>
  </si>
  <si>
    <t>3/8/2022</t>
  </si>
  <si>
    <t>MP40-1066</t>
  </si>
  <si>
    <t>Irina</t>
  </si>
  <si>
    <t>Iris</t>
  </si>
  <si>
    <t>Clarissa</t>
  </si>
  <si>
    <t>Diamond Sheer Window Curtain Panel</t>
  </si>
  <si>
    <t>PF004007</t>
  </si>
  <si>
    <t>CSNSTORES,HDDS,KOHLDSN,TGTDVS</t>
  </si>
  <si>
    <t>16620318-000-002</t>
  </si>
  <si>
    <t>MP40-4943</t>
  </si>
  <si>
    <t>Window Scarf</t>
  </si>
  <si>
    <t>Diamond Sheer Embroidered Window Scarf</t>
  </si>
  <si>
    <t>50x216"</t>
  </si>
  <si>
    <t>AMAZON,AMAZONDS,CSNSTORES,JCPENNEY01,KOHLDSN,TGTDVS</t>
  </si>
  <si>
    <t>23864061-000-005</t>
  </si>
  <si>
    <t>3/21/2018</t>
  </si>
  <si>
    <t>MP40-2333</t>
  </si>
  <si>
    <t>PF004006</t>
  </si>
  <si>
    <t>AMAZONDS,HDDS,JCPENNEY01,TGTDVS</t>
  </si>
  <si>
    <t>16620318-000-004</t>
  </si>
  <si>
    <t>2/26/2017</t>
  </si>
  <si>
    <t>MP41-4937</t>
  </si>
  <si>
    <t>Diamond Sheer Embroidered Waterfall Valance</t>
  </si>
  <si>
    <t>AMAZON,BLK01,CSNSTORES,JCPENNEY01,KOHLDSN,MACY02,OLLIIX,TGTDVS</t>
  </si>
  <si>
    <t>23864062-000-001</t>
  </si>
  <si>
    <t>MP40-2332</t>
  </si>
  <si>
    <t>PF004005</t>
  </si>
  <si>
    <t>AMAZON,HDDS,JCPENNEY01,KOHLDSN,MACY02,TGTDVS</t>
  </si>
  <si>
    <t>16620318-000-003</t>
  </si>
  <si>
    <t>7/11/2016</t>
  </si>
  <si>
    <t>MP40-4935</t>
  </si>
  <si>
    <t>AMAZON,ASHFURNDS,CSNSTORES,JCPENNEY01,KOHLDSN,MACY02,TGTDVS</t>
  </si>
  <si>
    <t>23864061-000-001</t>
  </si>
  <si>
    <t>MP40-2010</t>
  </si>
  <si>
    <t>White/Grey</t>
  </si>
  <si>
    <t>PF004008</t>
  </si>
  <si>
    <t>AMAZON,CSNSTORES,HDDS,JCPENNEY01,KOHLDSN,MACY02,OLLIIX,TGTDVS</t>
  </si>
  <si>
    <t>16620318-000-006</t>
  </si>
  <si>
    <t>UHK13-0224</t>
  </si>
  <si>
    <t>Kinsley</t>
  </si>
  <si>
    <t>Woodland Animals Reversible Cotton Quilt Set</t>
  </si>
  <si>
    <t>PF005316</t>
  </si>
  <si>
    <t>41988848-000-000</t>
  </si>
  <si>
    <t>7/17/2023</t>
  </si>
  <si>
    <t>MP104-1085</t>
  </si>
  <si>
    <t>Isadora</t>
  </si>
  <si>
    <t>Andrina</t>
  </si>
  <si>
    <t>Faustina</t>
  </si>
  <si>
    <t>Counter stool</t>
  </si>
  <si>
    <t>37890065-000-000</t>
  </si>
  <si>
    <t>6/23/2021</t>
  </si>
  <si>
    <t>MT100-0163</t>
  </si>
  <si>
    <t>PP001282</t>
  </si>
  <si>
    <t>5/10/2021</t>
  </si>
  <si>
    <t>44063499-000-000</t>
  </si>
  <si>
    <t>MT105-0159</t>
  </si>
  <si>
    <t>Accent Bench</t>
  </si>
  <si>
    <t>6/9/2023</t>
  </si>
  <si>
    <t>CSNSTORES,MACY02F,TGTDVS</t>
  </si>
  <si>
    <t>41747770-000-000</t>
  </si>
  <si>
    <t>6/14/2023</t>
  </si>
  <si>
    <t>7/10/2023</t>
  </si>
  <si>
    <t>II11-551</t>
  </si>
  <si>
    <t>Sham</t>
  </si>
  <si>
    <t>Cotton Embroidered Euro Sham</t>
  </si>
  <si>
    <t>PF003356;PP000371</t>
  </si>
  <si>
    <t>AMAZON,BLK01,KOHLDSN,MACY02,OLLIIX,TGTDVS</t>
  </si>
  <si>
    <t>17639204-000-001</t>
  </si>
  <si>
    <t>ID95A-0040</t>
  </si>
  <si>
    <t>ALT. GRAPHICS</t>
  </si>
  <si>
    <t>Alt. Graphics</t>
  </si>
  <si>
    <t>Island Views</t>
  </si>
  <si>
    <t>2-piece Framed Wall Art Set</t>
  </si>
  <si>
    <t>Pink/Blue</t>
  </si>
  <si>
    <t>PP001835</t>
  </si>
  <si>
    <t>10/13/2022</t>
  </si>
  <si>
    <t>KIRKLANDDS,OLLIIX</t>
  </si>
  <si>
    <t>40665767-000-000</t>
  </si>
  <si>
    <t>MP105-1222</t>
  </si>
  <si>
    <t>Ivan</t>
  </si>
  <si>
    <t>Stanton</t>
  </si>
  <si>
    <t>Leland</t>
  </si>
  <si>
    <t>Accent Bench with Lower Shelf</t>
  </si>
  <si>
    <t>AMERSIGNDS,CSNSTORES,KIRKLANDDS,KOHLDSN,LAMPDS,OLLIIX,ZOLA</t>
  </si>
  <si>
    <t>41285756-000-000</t>
  </si>
  <si>
    <t>3/26/2023</t>
  </si>
  <si>
    <t>TN54-0395</t>
  </si>
  <si>
    <t>Jacob</t>
  </si>
  <si>
    <t>Lucas</t>
  </si>
  <si>
    <t>Oversized Plaid Plush Heated Throw</t>
  </si>
  <si>
    <t>PP000961;PF004397</t>
  </si>
  <si>
    <t>24111993-000-002</t>
  </si>
  <si>
    <t>MT100-1183</t>
  </si>
  <si>
    <t>Jada</t>
  </si>
  <si>
    <t>11/2/2022</t>
  </si>
  <si>
    <t>40538354-000-000</t>
  </si>
  <si>
    <t>4/27/2023</t>
  </si>
  <si>
    <t>II115-0555</t>
  </si>
  <si>
    <t>Jameson</t>
  </si>
  <si>
    <t>Woven Faux Leather Bed Queen</t>
  </si>
  <si>
    <t>43333363-000-000</t>
  </si>
  <si>
    <t>ID12-2187</t>
  </si>
  <si>
    <t>Janie</t>
  </si>
  <si>
    <t>Thea</t>
  </si>
  <si>
    <t>Rainbow Iridescent Metallic Dot Duvet Cover Set</t>
  </si>
  <si>
    <t>PP001812;PF005817</t>
  </si>
  <si>
    <t>40884430-000-000</t>
  </si>
  <si>
    <t>1/25/2023</t>
  </si>
  <si>
    <t>ID12-2183</t>
  </si>
  <si>
    <t>PP001812;PF005816</t>
  </si>
  <si>
    <t>40884430-000-003</t>
  </si>
  <si>
    <t>MP10-8442</t>
  </si>
  <si>
    <t>Jasmine</t>
  </si>
  <si>
    <t>3 Piece Faux Fur Comforter Set</t>
  </si>
  <si>
    <t>PP001941;PF006188</t>
  </si>
  <si>
    <t>MP10-8443</t>
  </si>
  <si>
    <t>MP35-8047</t>
  </si>
  <si>
    <t>Audrey</t>
  </si>
  <si>
    <t>Larissa</t>
  </si>
  <si>
    <t>Vintage Medallion Woven Area Rug</t>
  </si>
  <si>
    <t>Orange Multi</t>
  </si>
  <si>
    <t>PP001796;PF005784</t>
  </si>
  <si>
    <t>40640331-000-002</t>
  </si>
  <si>
    <t>MP35-8046</t>
  </si>
  <si>
    <t>40640331-000-001</t>
  </si>
  <si>
    <t>MP35-8048</t>
  </si>
  <si>
    <t>40640331-000-000</t>
  </si>
  <si>
    <t>MP35-8049</t>
  </si>
  <si>
    <t>40640331-000-003</t>
  </si>
  <si>
    <t>MP10-8440</t>
  </si>
  <si>
    <t>PP001941;PF006187</t>
  </si>
  <si>
    <t>MP10-8441</t>
  </si>
  <si>
    <t>BR9144409622-05</t>
  </si>
  <si>
    <t>5 Piece Crinkle Velvet Comforter Set</t>
  </si>
  <si>
    <t>PP001819;PF005850</t>
  </si>
  <si>
    <t>40067587-000-003</t>
  </si>
  <si>
    <t>BR9144409622-06</t>
  </si>
  <si>
    <t>40067587-000-002</t>
  </si>
  <si>
    <t>BR9144409622-07</t>
  </si>
  <si>
    <t>PP001819;PF005851</t>
  </si>
  <si>
    <t>10/22/2021</t>
  </si>
  <si>
    <t>CSNSTORES,JCPENNEY01,OLLIIX,TGTDVS</t>
  </si>
  <si>
    <t>40067587-000-001</t>
  </si>
  <si>
    <t>BR9144409622-08</t>
  </si>
  <si>
    <t>40067587-000-000</t>
  </si>
  <si>
    <t>MPE10-1073</t>
  </si>
  <si>
    <t>Jaxon</t>
  </si>
  <si>
    <t>Deacon</t>
  </si>
  <si>
    <t>Ryder</t>
  </si>
  <si>
    <t>Stripe Comforter Set with Bed Sheets</t>
  </si>
  <si>
    <t>Coral/Grey</t>
  </si>
  <si>
    <t>PP001834;PF006310</t>
  </si>
  <si>
    <t>MPE10-1074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</si>
  <si>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</si>
  <si>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</si>
  <si>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</si>
  <si>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</si>
  <si>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</si>
  <si>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</si>
  <si>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</si>
  <si>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</si>
  <si>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</si>
  <si>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</si>
  <si>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MPE10-1038</t>
  </si>
  <si>
    <t>Taupe/Grey</t>
  </si>
  <si>
    <t>PP001834;PF006114</t>
  </si>
  <si>
    <t>12/22/2023</t>
  </si>
  <si>
    <t>40804241-000-006</t>
  </si>
  <si>
    <t>12/25/2023</t>
  </si>
  <si>
    <t>MPE10-1039</t>
  </si>
  <si>
    <t>40804241-000-005</t>
  </si>
  <si>
    <t>MPE10-1040</t>
  </si>
  <si>
    <t>40804241-000-007</t>
  </si>
  <si>
    <t>II151-0115</t>
  </si>
  <si>
    <t>Jaxson</t>
  </si>
  <si>
    <t>Metal Mesh Pendant</t>
  </si>
  <si>
    <t>39584122-000-000</t>
  </si>
  <si>
    <t>II153-0106</t>
  </si>
  <si>
    <t>Jayda</t>
  </si>
  <si>
    <t>Geometric Ceramic Table Lamp</t>
  </si>
  <si>
    <t>39471169-000-000</t>
  </si>
  <si>
    <t>1/7/2022</t>
  </si>
  <si>
    <t>1/31/2022</t>
  </si>
  <si>
    <t>5DS100-0031</t>
  </si>
  <si>
    <t>Rolled Arm Accent Chair</t>
  </si>
  <si>
    <t>5DS100-0030</t>
  </si>
  <si>
    <t>41984336-000-000</t>
  </si>
  <si>
    <t>2/21/2024</t>
  </si>
  <si>
    <t>MT160-0005</t>
  </si>
  <si>
    <t>Jefferson</t>
  </si>
  <si>
    <t>Rectangle Accent Mirror</t>
  </si>
  <si>
    <t>34159556-000-000</t>
  </si>
  <si>
    <t>MT153-0015</t>
  </si>
  <si>
    <t>Jemma</t>
  </si>
  <si>
    <t>AMAZON,AMAZONDS,CSNSTORES,KOHLDSN,OLLIIX</t>
  </si>
  <si>
    <t>33712596-000-000</t>
  </si>
  <si>
    <t>11/7/2019</t>
  </si>
  <si>
    <t>II136-0308</t>
  </si>
  <si>
    <t>Jeremy</t>
  </si>
  <si>
    <t>Storage Nightstand</t>
  </si>
  <si>
    <t>Off-White/Navy</t>
  </si>
  <si>
    <t>2/8/2018</t>
  </si>
  <si>
    <t>CSNSTORES,HDDS,LAMPDS,MACY02F,OLLIIX,TGTDVS</t>
  </si>
  <si>
    <t>27161553-000-000</t>
  </si>
  <si>
    <t>II103-0578</t>
  </si>
  <si>
    <t>Jessel</t>
  </si>
  <si>
    <t>Shearling Sherpa Swivel Chair with Wood Base</t>
  </si>
  <si>
    <t>II103-0579</t>
  </si>
  <si>
    <t>II95C-0161</t>
  </si>
  <si>
    <t>Jeweled Geo</t>
  </si>
  <si>
    <t>Hand-Embellished Abstract 2-Piece Framed Canvas Wall Art Set</t>
  </si>
  <si>
    <t>43114604-000-000</t>
  </si>
  <si>
    <t>FPF20-0283</t>
  </si>
  <si>
    <t>Jodi</t>
  </si>
  <si>
    <t>Lydia</t>
  </si>
  <si>
    <t>Lauren</t>
  </si>
  <si>
    <t>Tufted Wing Counter Stool</t>
  </si>
  <si>
    <t>PF000781;PP000180</t>
  </si>
  <si>
    <t>AMAZONDS,CSNSTORES,KOHLDSN,OLLIIX</t>
  </si>
  <si>
    <t>19827343-000-000</t>
  </si>
  <si>
    <t>AM10-0082</t>
  </si>
  <si>
    <t>Jonah</t>
  </si>
  <si>
    <t>Micah</t>
  </si>
  <si>
    <t>Plaid Check Printed Comforter Set</t>
  </si>
  <si>
    <t>PP001925;PF006145</t>
  </si>
  <si>
    <t>9/29/2023</t>
  </si>
  <si>
    <t>9/20/2024</t>
  </si>
  <si>
    <t>CSNSTORES,DESINC,JCPENNEY01,KOHLDSN,MACY02,TGTDVS</t>
  </si>
  <si>
    <t>42786794-000-002</t>
  </si>
  <si>
    <t>AM10-0084</t>
  </si>
  <si>
    <t>CSNSTORES,DESINC,JCPENNEY01,KOHLDSN,MACY02,NRTPORT</t>
  </si>
  <si>
    <t>42786794-000-003</t>
  </si>
  <si>
    <t>AM10-0087</t>
  </si>
  <si>
    <t>Charcoal Grey</t>
  </si>
  <si>
    <t>PP001925;PF006146</t>
  </si>
  <si>
    <t>42786794-000-001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</si>
  <si>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</si>
  <si>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</si>
  <si>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</si>
  <si>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</si>
  <si>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</si>
  <si>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</si>
  <si>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MP103-0246</t>
  </si>
  <si>
    <t>Julian</t>
  </si>
  <si>
    <t>Evanston</t>
  </si>
  <si>
    <t>Lenox</t>
  </si>
  <si>
    <t>Push Back Recliner</t>
  </si>
  <si>
    <t>PF001106</t>
  </si>
  <si>
    <t>6/11/2017</t>
  </si>
  <si>
    <t>ASHFURNDS,CSNSTORES,JCPENNEY01,KIRKLANDDS,KOHLDSN,MACY02F,OLLIIX,ROOMECOM</t>
  </si>
  <si>
    <t>22858581-000-000</t>
  </si>
  <si>
    <t>6/22/2017</t>
  </si>
  <si>
    <t>SS40-0023</t>
  </si>
  <si>
    <t>Julie</t>
  </si>
  <si>
    <t>April</t>
  </si>
  <si>
    <t>Lila</t>
  </si>
  <si>
    <t>Printed Botanical Blackout Curtain Panel</t>
  </si>
  <si>
    <t>PF003953</t>
  </si>
  <si>
    <t>9/19/2017</t>
  </si>
  <si>
    <t>23998106-000-001</t>
  </si>
  <si>
    <t>9/17/2017</t>
  </si>
  <si>
    <t>CS13-1604</t>
  </si>
  <si>
    <t>Juliette</t>
  </si>
  <si>
    <t>Coverlet Set</t>
  </si>
  <si>
    <t>8/2/2022</t>
  </si>
  <si>
    <t>43948801-000-005</t>
  </si>
  <si>
    <t>CS13-1605</t>
  </si>
  <si>
    <t>43948801-000-000</t>
  </si>
  <si>
    <t>CS13-1606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</si>
  <si>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</si>
  <si>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</si>
  <si>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</si>
  <si>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</si>
  <si>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</si>
  <si>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</si>
  <si>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</si>
  <si>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CCL10-0062</t>
  </si>
  <si>
    <t>Julius</t>
  </si>
  <si>
    <t>4 Piece Comforter Set</t>
  </si>
  <si>
    <t>Blue/Grey</t>
  </si>
  <si>
    <t>42282354-000-004</t>
  </si>
  <si>
    <t>CCL10-0064</t>
  </si>
  <si>
    <t>42282354-000-002</t>
  </si>
  <si>
    <t>CCL10-0001</t>
  </si>
  <si>
    <t>10/21/2022</t>
  </si>
  <si>
    <t>42282354-000-003</t>
  </si>
  <si>
    <t>CCL10-0003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</si>
  <si>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</si>
  <si>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</si>
  <si>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</si>
  <si>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</si>
  <si>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</si>
  <si>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</si>
  <si>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</si>
  <si>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</si>
  <si>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</si>
  <si>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</si>
  <si>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</si>
  <si>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</si>
  <si>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</si>
  <si>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</si>
  <si>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</si>
  <si>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</si>
  <si>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</si>
  <si>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UH10-2519</t>
  </si>
  <si>
    <t>Juniper</t>
  </si>
  <si>
    <t>Aspen</t>
  </si>
  <si>
    <t>Poly Jersey Puffy Comforter Set</t>
  </si>
  <si>
    <t>PP001939;PF006184</t>
  </si>
  <si>
    <t>43794453-000-005</t>
  </si>
  <si>
    <t>UH10-2520</t>
  </si>
  <si>
    <t>43794453-000-001</t>
  </si>
  <si>
    <t>UH10-2515</t>
  </si>
  <si>
    <t>PP001939;PF006183</t>
  </si>
  <si>
    <t>43794453-000-003</t>
  </si>
  <si>
    <t>UH10-2516</t>
  </si>
  <si>
    <t>43794453-000-004</t>
  </si>
  <si>
    <t>UH10-2517</t>
  </si>
  <si>
    <t>KOHLDSN,NRTPORT,TGTDVS</t>
  </si>
  <si>
    <t>43794453-000-002</t>
  </si>
  <si>
    <t>5DS100-0037</t>
  </si>
  <si>
    <t>Juno</t>
  </si>
  <si>
    <t>Upholstered Accent Armchair</t>
  </si>
  <si>
    <t>41847220-000-002</t>
  </si>
  <si>
    <t>5DS100-0054</t>
  </si>
  <si>
    <t>5DS100-0032</t>
  </si>
  <si>
    <t>MACY02F</t>
  </si>
  <si>
    <t>MP95C-0301</t>
  </si>
  <si>
    <t>Kalamata Branches</t>
  </si>
  <si>
    <t>Botanical Illustration 2-piece Framed Canvas Wall Art Set</t>
  </si>
  <si>
    <t>JCPENNEY01,KIRKLANDDS,KOHLDSN,OLLIIX,ZOLA</t>
  </si>
  <si>
    <t>39901421-000-000</t>
  </si>
  <si>
    <t>5/5/2022</t>
  </si>
  <si>
    <t>MP40-7502</t>
  </si>
  <si>
    <t>Kane</t>
  </si>
  <si>
    <t>Kyler</t>
  </si>
  <si>
    <t>Kanya</t>
  </si>
  <si>
    <t>Texture Printed Woven Faux Linen Window Panel</t>
  </si>
  <si>
    <t>PP001630;PF005473</t>
  </si>
  <si>
    <t>38034953-000-004</t>
  </si>
  <si>
    <t>Unproductive</t>
  </si>
  <si>
    <t>5/27/2021</t>
  </si>
  <si>
    <t>II12-1152</t>
  </si>
  <si>
    <t>Kara</t>
  </si>
  <si>
    <t>3 Piece Cotton Jacquard Duvet Cover Set</t>
  </si>
  <si>
    <t>PP001486;PF005293</t>
  </si>
  <si>
    <t>Farmhouse</t>
  </si>
  <si>
    <t>1/26/2021</t>
  </si>
  <si>
    <t>36016833-000-003</t>
  </si>
  <si>
    <t>5/25/2021</t>
  </si>
  <si>
    <t>II12-1272</t>
  </si>
  <si>
    <t>PP001486;PF005762</t>
  </si>
  <si>
    <t>AMAZONDS,CSNSTORES,JCPENNEY01,KOHLDSN,MACY02,NRTPORT,OLLIIX,TGTDVS</t>
  </si>
  <si>
    <t>36016833-000-005</t>
  </si>
  <si>
    <t>II12-1273</t>
  </si>
  <si>
    <t>AMAZONDS,CSNSTORES,JCPENNEY01,KOHLDSN,MACY02,OLLIIX,TGTDVS,ZOLA,Zulily</t>
  </si>
  <si>
    <t>36016833-000-006</t>
  </si>
  <si>
    <t>II70-1288</t>
  </si>
  <si>
    <t>Cotton Jacquard Shower Curtain</t>
  </si>
  <si>
    <t>AMAZON,CSNSTORES,KIRKLANDDS,KOHLDSN,MACY02,OLLIIX,TGTDVS,ZOLA</t>
  </si>
  <si>
    <t>40804251-000-002</t>
  </si>
  <si>
    <t>II12-1269</t>
  </si>
  <si>
    <t>PP001486;PF005761</t>
  </si>
  <si>
    <t>36016833-000-007</t>
  </si>
  <si>
    <t>II70-1289</t>
  </si>
  <si>
    <t>40804251-000-001</t>
  </si>
  <si>
    <t>PET63OP6186-MD</t>
  </si>
  <si>
    <t>Kato</t>
  </si>
  <si>
    <t>Medium Reversible Ortho Pet Napper</t>
  </si>
  <si>
    <t>43822960-000-006</t>
  </si>
  <si>
    <t>PET63OP6186-LG</t>
  </si>
  <si>
    <t>Large Reversible Ortho Pet Napper</t>
  </si>
  <si>
    <t>43822960-000-007</t>
  </si>
  <si>
    <t>PET63OP6186-XL</t>
  </si>
  <si>
    <t>Xlarge Reversible Ortho Pet Napper</t>
  </si>
  <si>
    <t>43822960-000-008</t>
  </si>
  <si>
    <t>PET63OP6187-MD</t>
  </si>
  <si>
    <t>43822960-000-000</t>
  </si>
  <si>
    <t>PET63OP6187-LG</t>
  </si>
  <si>
    <t>AMAZONDS,CSNSTORES,KOHLDSN</t>
  </si>
  <si>
    <t>43822960-000-004</t>
  </si>
  <si>
    <t>PET63OP6187-XL</t>
  </si>
  <si>
    <t>43822960-000-002</t>
  </si>
  <si>
    <t>PET63OP6188-MD</t>
  </si>
  <si>
    <t>43822960-000-005</t>
  </si>
  <si>
    <t>PET63OP6188-LG</t>
  </si>
  <si>
    <t>43822960-000-001</t>
  </si>
  <si>
    <t>PET63OP6188-XL</t>
  </si>
  <si>
    <t>43822960-000-003</t>
  </si>
  <si>
    <t>MT160-0011</t>
  </si>
  <si>
    <t>Katonah</t>
  </si>
  <si>
    <t>Black Round Wall Mirror 36"</t>
  </si>
  <si>
    <t>AMAZON,AMAZONDS,ASHFURNDS,CSNSTORES,JCPENNEY01,KOHLDSN,OLLIIX</t>
  </si>
  <si>
    <t>33712566-000-000</t>
  </si>
  <si>
    <t>MP13-1237</t>
  </si>
  <si>
    <t>Keaton</t>
  </si>
  <si>
    <t>2 Piece Quilt Set</t>
  </si>
  <si>
    <t>PF003411</t>
  </si>
  <si>
    <t>CSNSTORES,DESINC,JCPENNEY01,KOHLDSN,MACY02,OLLIIX,TGTDVS,Zulily</t>
  </si>
  <si>
    <t>15854488-000-023</t>
  </si>
  <si>
    <t>MP13-3458</t>
  </si>
  <si>
    <t>3 Piece Quilt Set</t>
  </si>
  <si>
    <t>PF003412</t>
  </si>
  <si>
    <t>AMERSIGNDS,BLK01,CSNSTORES,HSNDS,JCPENNEY01,KOHLDSN,MACY02,OLLIIX,TGTDVS,WALMARTDS</t>
  </si>
  <si>
    <t>15854488-000-024</t>
  </si>
  <si>
    <t>II120-0568</t>
  </si>
  <si>
    <t>Keegan</t>
  </si>
  <si>
    <t>Round Mixed Material Coffee Table with Shelf</t>
  </si>
  <si>
    <t>Oak/Marble</t>
  </si>
  <si>
    <t>8/13/2024</t>
  </si>
  <si>
    <t>MP104-0440</t>
  </si>
  <si>
    <t>Kellen</t>
  </si>
  <si>
    <t>Mervin</t>
  </si>
  <si>
    <t>Savage</t>
  </si>
  <si>
    <t>PF001125;PP000186</t>
  </si>
  <si>
    <t>23960111-000-000</t>
  </si>
  <si>
    <t>II153-0112</t>
  </si>
  <si>
    <t>Kenlyn</t>
  </si>
  <si>
    <t>CSNSTORES,OLLIIX,TGTDVS,Zulily</t>
  </si>
  <si>
    <t>39463048-000-001</t>
  </si>
  <si>
    <t>MT120-1192</t>
  </si>
  <si>
    <t>Kenna</t>
  </si>
  <si>
    <t>Fluted 2-drawer Coffee Table</t>
  </si>
  <si>
    <t>10/28/2023</t>
  </si>
  <si>
    <t>42846070-000-000</t>
  </si>
  <si>
    <t>MT136-1207</t>
  </si>
  <si>
    <t>Dark Coffee</t>
  </si>
  <si>
    <t>43804838-000-000</t>
  </si>
  <si>
    <t>BR10-3860</t>
  </si>
  <si>
    <t>Kent</t>
  </si>
  <si>
    <t>3 Piece Striped Herringbone Oversized Comforter Set</t>
  </si>
  <si>
    <t>PP001827;PF005867</t>
  </si>
  <si>
    <t>CSNSTORES,JCPENNEY01,KOHLDSN,MACY02,OLLIIX,TGTDVS,ZOLA</t>
  </si>
  <si>
    <t>40848856-000-001</t>
  </si>
  <si>
    <t>BR12-3863</t>
  </si>
  <si>
    <t>3 Piece Striped Herringbone Oversized Duvet Cover Set</t>
  </si>
  <si>
    <t>40849041-000-003</t>
  </si>
  <si>
    <t>MP35-8071</t>
  </si>
  <si>
    <t>Kenzie</t>
  </si>
  <si>
    <t>Talia</t>
  </si>
  <si>
    <t>Nikki</t>
  </si>
  <si>
    <t>Moroccan Bordered Global Woven Area Rug</t>
  </si>
  <si>
    <t>Grey/Cream</t>
  </si>
  <si>
    <t>PP001802;PF005790</t>
  </si>
  <si>
    <t>BIGLOTSDS</t>
  </si>
  <si>
    <t>40580885-000-000</t>
  </si>
  <si>
    <t>4/19/2024</t>
  </si>
  <si>
    <t>HH12-1854</t>
  </si>
  <si>
    <t>Kiawah Island</t>
  </si>
  <si>
    <t>5 Piece Cotton Duvet Cover Set with Throw Pillow</t>
  </si>
  <si>
    <t>PP001898;PF006056</t>
  </si>
  <si>
    <t>42762565-000-001</t>
  </si>
  <si>
    <t>BR9144409622-04</t>
  </si>
  <si>
    <t>Kiona</t>
  </si>
  <si>
    <t>5 Piece Crushed Velvet Comforter Set</t>
  </si>
  <si>
    <t>PP001820;PF005853</t>
  </si>
  <si>
    <t>10/21/2021</t>
  </si>
  <si>
    <t>40070515-000-002</t>
  </si>
  <si>
    <t>MP122-1136</t>
  </si>
  <si>
    <t>Kirtley</t>
  </si>
  <si>
    <t>Abram</t>
  </si>
  <si>
    <t>Writing Desk With Drawer</t>
  </si>
  <si>
    <t>White/Brown</t>
  </si>
  <si>
    <t>39583040-000-000</t>
  </si>
  <si>
    <t>MZK10-247</t>
  </si>
  <si>
    <t>Kristie AZ</t>
  </si>
  <si>
    <t>100% Polyester Printed Comforter Set</t>
  </si>
  <si>
    <t>43960897-000-001</t>
  </si>
  <si>
    <t>MZK10-248</t>
  </si>
  <si>
    <t>43960897-000-000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</si>
  <si>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</si>
  <si>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</si>
  <si>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</si>
  <si>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</si>
  <si>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</si>
  <si>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</si>
  <si>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</si>
  <si>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</si>
  <si>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</si>
  <si>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</si>
  <si>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AM10-0272</t>
  </si>
  <si>
    <t>AM10-0273</t>
  </si>
  <si>
    <t>AM10-0268</t>
  </si>
  <si>
    <t>PP001996;PF006410</t>
  </si>
  <si>
    <t>AM10-0269</t>
  </si>
  <si>
    <t>AM10-0270</t>
  </si>
  <si>
    <t>AM10-0265</t>
  </si>
  <si>
    <t>PP001996;PF006409</t>
  </si>
  <si>
    <t>AM10-0266</t>
  </si>
  <si>
    <t>AM10-0267</t>
  </si>
  <si>
    <t>MP40-7974</t>
  </si>
  <si>
    <t>Suvi</t>
  </si>
  <si>
    <t>Linen Blend Light Filtering Cordless Roman Shade</t>
  </si>
  <si>
    <t>PP001787;PF005749</t>
  </si>
  <si>
    <t>40368620-000-011</t>
  </si>
  <si>
    <t>9/6/2022</t>
  </si>
  <si>
    <t>MP40-7976</t>
  </si>
  <si>
    <t>40368620-000-010</t>
  </si>
  <si>
    <t>MP40-7982</t>
  </si>
  <si>
    <t>PP001787;PF005750</t>
  </si>
  <si>
    <t>AMAZON,AMAZONDS,CSNSTORES,JCPENNEY01,KOHLDSN,NRTPORT,OLLIIX</t>
  </si>
  <si>
    <t>40368620-000-006</t>
  </si>
  <si>
    <t>MP40-7983</t>
  </si>
  <si>
    <t>Linen Blend Light Filtering Curtain Panel Pair</t>
  </si>
  <si>
    <t>2-PK 52x84"</t>
  </si>
  <si>
    <t>PP001787;PF005748</t>
  </si>
  <si>
    <t>8/12/2022</t>
  </si>
  <si>
    <t>CSNSTORES,JCPENNEY01,KIRKLANDDS,KOHLDSN,MACY02,OLLIIX</t>
  </si>
  <si>
    <t>40279134-000-001</t>
  </si>
  <si>
    <t>MP40-7969</t>
  </si>
  <si>
    <t>CSNSTORES,DESINC,JCPENNEY01,KOHLDSN,MACY02</t>
  </si>
  <si>
    <t>40368620-000-005</t>
  </si>
  <si>
    <t>II100-0476</t>
  </si>
  <si>
    <t>Lacey</t>
  </si>
  <si>
    <t>Upholstered Button Tufted Accent Chair</t>
  </si>
  <si>
    <t>40149618-000-000</t>
  </si>
  <si>
    <t>3/8/2023</t>
  </si>
  <si>
    <t>MP10-5878</t>
  </si>
  <si>
    <t>Laetitia</t>
  </si>
  <si>
    <t>Virginia</t>
  </si>
  <si>
    <t>3-Piece Tufted Cotton Chenille Medallion Comforter Set</t>
  </si>
  <si>
    <t>PF004301;PP000898</t>
  </si>
  <si>
    <t>BOHO|Casual</t>
  </si>
  <si>
    <t>27457629-000-009</t>
  </si>
  <si>
    <t>II154-0158</t>
  </si>
  <si>
    <t>Laguna</t>
  </si>
  <si>
    <t>Rattan Weave Shade Floor Lamp</t>
  </si>
  <si>
    <t>Gold/Natural</t>
  </si>
  <si>
    <t>II153-0152</t>
  </si>
  <si>
    <t>Rattan Weave Shade Table Lamp</t>
  </si>
  <si>
    <t>1/24/2024</t>
  </si>
  <si>
    <t>43652613-000-000</t>
  </si>
  <si>
    <t>MP100-1161</t>
  </si>
  <si>
    <t>Lampert</t>
  </si>
  <si>
    <t>Samantha</t>
  </si>
  <si>
    <t>Upholstered Open Arm Metal Leg Accent chair</t>
  </si>
  <si>
    <t>39918902-000-000</t>
  </si>
  <si>
    <t>MP10-6570</t>
  </si>
  <si>
    <t>Lana</t>
  </si>
  <si>
    <t>Naomi</t>
  </si>
  <si>
    <t>Marble Faux Fur Comforter Set</t>
  </si>
  <si>
    <t>Grey/Blue</t>
  </si>
  <si>
    <t>PP001331;PF004791</t>
  </si>
  <si>
    <t>8/19/2019</t>
  </si>
  <si>
    <t>33955922-000-001</t>
  </si>
  <si>
    <t>MP10-6571</t>
  </si>
  <si>
    <t>BEALLSDS,CSNSTORES,TGTDVS</t>
  </si>
  <si>
    <t>33955922-000-000</t>
  </si>
  <si>
    <t>II122-0033</t>
  </si>
  <si>
    <t>Lancaster</t>
  </si>
  <si>
    <t>Amber/Graphite</t>
  </si>
  <si>
    <t>PF000894;PP000034</t>
  </si>
  <si>
    <t>ASHFURNDS,CSNSTORES,JCPENNEY01,OLLIIX</t>
  </si>
  <si>
    <t>20712778-000-000</t>
  </si>
  <si>
    <t>1/13/2017</t>
  </si>
  <si>
    <t>3/13/2017</t>
  </si>
  <si>
    <t>II104-0429</t>
  </si>
  <si>
    <t>Counter Stool with Back</t>
  </si>
  <si>
    <t>Oak/Silver</t>
  </si>
  <si>
    <t>11/10/2020</t>
  </si>
  <si>
    <t>19789052-000-001</t>
  </si>
  <si>
    <t>II122-0451</t>
  </si>
  <si>
    <t>Reclaimed White</t>
  </si>
  <si>
    <t>ASHFURNDS,CSNSTORES,NEBFUR01,OLLIIX</t>
  </si>
  <si>
    <t>20712778-000-002</t>
  </si>
  <si>
    <t>MP10-8164</t>
  </si>
  <si>
    <t>Langley</t>
  </si>
  <si>
    <t>Cove</t>
  </si>
  <si>
    <t xml:space="preserve">5 Piece Clipped Jacquard  Comforter Set</t>
  </si>
  <si>
    <t>PP001838;PF005893</t>
  </si>
  <si>
    <t>CSNSTORES,HDDS,JCPENNEY01,KIRKLANDDS,KOHLDSN,MACY02,OLLIIX,TGTDVS</t>
  </si>
  <si>
    <t>40910892-000-001</t>
  </si>
  <si>
    <t>12/27/2022</t>
  </si>
  <si>
    <t>MP10-8165</t>
  </si>
  <si>
    <t>CSNSTORES,JCPENNEY01,KIRKLANDDS,KOHLDSN,OLLIIX,TGTDVS</t>
  </si>
  <si>
    <t>40910892-000-000</t>
  </si>
  <si>
    <t>ID10-2418</t>
  </si>
  <si>
    <t>Zara</t>
  </si>
  <si>
    <t>Animal Chenille Comforter Set</t>
  </si>
  <si>
    <t>PF006270</t>
  </si>
  <si>
    <t>ID12-2421</t>
  </si>
  <si>
    <t>Animal Chenille Duvet Cover Set</t>
  </si>
  <si>
    <t>ID10-2419</t>
  </si>
  <si>
    <t>ID12-2422</t>
  </si>
  <si>
    <t>ID10-2420</t>
  </si>
  <si>
    <t>ID12-2423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</si>
  <si>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</si>
  <si>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</si>
  <si>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</si>
  <si>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</si>
  <si>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</si>
  <si>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</si>
  <si>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BLK01,CSNSTORES,FINGERHUTDS,JCPENNEY01,KOHLDSN,MACY02,OLLIIX,TGTDVS</t>
  </si>
  <si>
    <t>15646449-000-012</t>
  </si>
  <si>
    <t>7/21/2015</t>
  </si>
  <si>
    <t>BASI10-0201</t>
  </si>
  <si>
    <t>PF002061</t>
  </si>
  <si>
    <t>15646449-000-006</t>
  </si>
  <si>
    <t>BASI10-0202</t>
  </si>
  <si>
    <t>ASHFURNDS,BLK01,CSNSTORES,FINGERHUTDS,JCPENNEY01,KOHLDSN,MACY02,OLLIIX,TGTDVS</t>
  </si>
  <si>
    <t>15646449-000-007</t>
  </si>
  <si>
    <t>BASI10-0195</t>
  </si>
  <si>
    <t>Brown/Sand</t>
  </si>
  <si>
    <t>PF002059</t>
  </si>
  <si>
    <t>15646449-000-000</t>
  </si>
  <si>
    <t>MPE10-614</t>
  </si>
  <si>
    <t>Charcoal/Grey</t>
  </si>
  <si>
    <t>PF002064</t>
  </si>
  <si>
    <t>BLK01,CSNSTORES,FINGERHUTDS,JCPENNEY01,KOHLDSN,MACY02,TGTDVS,WALMARTDS</t>
  </si>
  <si>
    <t>15646449-000-018</t>
  </si>
  <si>
    <t>BASI10-0198</t>
  </si>
  <si>
    <t>Navy/Light Blue</t>
  </si>
  <si>
    <t>PF002060</t>
  </si>
  <si>
    <t>ASHFURNDS,BLK01,CSNSTORES,FINGERHUTDS,JCPENNEY01,KOHLDSN,MACY02,TGTDVS,Zulily</t>
  </si>
  <si>
    <t>15646449-000-003</t>
  </si>
  <si>
    <t>MP72-5830</t>
  </si>
  <si>
    <t>Lasso</t>
  </si>
  <si>
    <t>Copula</t>
  </si>
  <si>
    <t>Braide</t>
  </si>
  <si>
    <t>100% Cotton Chenille Chain Stitch Rug</t>
  </si>
  <si>
    <t>20x30"</t>
  </si>
  <si>
    <t>PP000880;PF004257</t>
  </si>
  <si>
    <t>AMAZON,CASTLEGATE,CSNSTORES,HDDS,JCPENNEY01,KIRKLANDDS,KOHLDSN,MACY02,OLLIIX,TGTDVS,WALMARTDS</t>
  </si>
  <si>
    <t>27404669-000-000</t>
  </si>
  <si>
    <t>5/24/2018</t>
  </si>
  <si>
    <t>MP72-5826</t>
  </si>
  <si>
    <t>17x24"</t>
  </si>
  <si>
    <t>PP000880;PF004256</t>
  </si>
  <si>
    <t>AMAZON,CSNSTORES,HDDS,JCPENNEY01,KOHLDSN,MACY02,OLLIIX,TGTDVS,WALMARTDS</t>
  </si>
  <si>
    <t>27404669-000-001</t>
  </si>
  <si>
    <t>3/4/2019</t>
  </si>
  <si>
    <t>MP10-6644</t>
  </si>
  <si>
    <t>Vivian</t>
  </si>
  <si>
    <t>Piedmont</t>
  </si>
  <si>
    <t>7 Piece Tufted Comforter Set</t>
  </si>
  <si>
    <t>PF002423;PP000440</t>
  </si>
  <si>
    <t>AMAZON,BIGLOTSDS,BLK01,JCPENNEY01,KOHLDSN,MACY02,NRTPORT,ROOMECOM,TGTDVS</t>
  </si>
  <si>
    <t>39620303-000-021</t>
  </si>
  <si>
    <t>5DS122-0010</t>
  </si>
  <si>
    <t>Laurel Desk</t>
  </si>
  <si>
    <t>Natural/White</t>
  </si>
  <si>
    <t>10/6/2021</t>
  </si>
  <si>
    <t>CSNSTORES,DESINC</t>
  </si>
  <si>
    <t>38980655-000-000</t>
  </si>
  <si>
    <t>MP10-256</t>
  </si>
  <si>
    <t>Plum</t>
  </si>
  <si>
    <t>PF002424;PP000440</t>
  </si>
  <si>
    <t>AMAZON,AMAZONDS,BLK01,CSNSTORES,JCPENNEY01,KOHLDSN,MACY02,NRTPORT,OLLIIX,TGTDVS,WALMARTDS</t>
  </si>
  <si>
    <t>39620303-000-008</t>
  </si>
  <si>
    <t>MPS115-0261A</t>
  </si>
  <si>
    <t>HB:64.5"W X 52"H X 2.5"T; FB:64.5" X 38"H X 2.5"T</t>
  </si>
  <si>
    <t>II120-0574</t>
  </si>
  <si>
    <t>Console Table</t>
  </si>
  <si>
    <t>Layana</t>
  </si>
  <si>
    <t>Faux White Marble Console Table with Reeded Wooden Pillar Legs</t>
  </si>
  <si>
    <t>Natural/Faux White Marble</t>
  </si>
  <si>
    <t>II120-0573</t>
  </si>
  <si>
    <t>Faux White Marble Round Coffee Table with Storage</t>
  </si>
  <si>
    <t>MP95B-0273</t>
  </si>
  <si>
    <t>Leah</t>
  </si>
  <si>
    <t xml:space="preserve">Leah </t>
  </si>
  <si>
    <t>Round Two-tone Medallion Wall Decor</t>
  </si>
  <si>
    <t>PP001633</t>
  </si>
  <si>
    <t>9/18/2021</t>
  </si>
  <si>
    <t>38900782-000-000</t>
  </si>
  <si>
    <t>2/14/2022</t>
  </si>
  <si>
    <t>WR50-1628</t>
  </si>
  <si>
    <t>Leeds</t>
  </si>
  <si>
    <t>Softspun Down Alternative Oversized Throw</t>
  </si>
  <si>
    <t>PF002057</t>
  </si>
  <si>
    <t>4/8/2017</t>
  </si>
  <si>
    <t>17651624-000-000</t>
  </si>
  <si>
    <t>10/23/2015</t>
  </si>
  <si>
    <t>MP40-8218</t>
  </si>
  <si>
    <t>Leilani</t>
  </si>
  <si>
    <t>Kauna</t>
  </si>
  <si>
    <t>Maui</t>
  </si>
  <si>
    <t>Palm Leaf Burnout Window Sheer</t>
  </si>
  <si>
    <t>Sage Green</t>
  </si>
  <si>
    <t>PP001628;PF006009</t>
  </si>
  <si>
    <t>22281011-000-007</t>
  </si>
  <si>
    <t>II108-0500</t>
  </si>
  <si>
    <t>Lemmy</t>
  </si>
  <si>
    <t>Armless Upholstered Dining Chair Set of 2</t>
  </si>
  <si>
    <t>12/16/2022</t>
  </si>
  <si>
    <t>MACY02F,OLLIIX</t>
  </si>
  <si>
    <t>40983761-000-000</t>
  </si>
  <si>
    <t>1/16/2023</t>
  </si>
  <si>
    <t>TN10-0055</t>
  </si>
  <si>
    <t>Level 2</t>
  </si>
  <si>
    <t>Oversized Cotton Sateen Down Comforter</t>
  </si>
  <si>
    <t>PF002110</t>
  </si>
  <si>
    <t>17837806-000-000</t>
  </si>
  <si>
    <t>12/8/2015</t>
  </si>
  <si>
    <t>TN10-0057</t>
  </si>
  <si>
    <t>17837806-000-002</t>
  </si>
  <si>
    <t>TN10-0059</t>
  </si>
  <si>
    <t>Level 3</t>
  </si>
  <si>
    <t>17880179-000-001</t>
  </si>
  <si>
    <t>11/29/2015</t>
  </si>
  <si>
    <t>ID13-1852</t>
  </si>
  <si>
    <t>Lidia</t>
  </si>
  <si>
    <t>Printed Reversible Cotton Coverlet Set</t>
  </si>
  <si>
    <t>PF004991</t>
  </si>
  <si>
    <t>35406910-000-001</t>
  </si>
  <si>
    <t>1/9/2020</t>
  </si>
  <si>
    <t>3/23/2020</t>
  </si>
  <si>
    <t>MT95B-0079</t>
  </si>
  <si>
    <t>Framed Rice Paper Shadow Box Gingko Leaf Wall Decor Art</t>
  </si>
  <si>
    <t>42877874-000-000</t>
  </si>
  <si>
    <t>MP100-1218</t>
  </si>
  <si>
    <t>Lounge</t>
  </si>
  <si>
    <t>Lillie</t>
  </si>
  <si>
    <t>Emily</t>
  </si>
  <si>
    <t>Maya</t>
  </si>
  <si>
    <t>Handcrafted Seagrass Back Armchair with Removable Seat Cushion and Back Pillow</t>
  </si>
  <si>
    <t>CSNSTORES,HOUZZ,OLLIIX</t>
  </si>
  <si>
    <t>41594065-000-000</t>
  </si>
  <si>
    <t>7/25/2023</t>
  </si>
  <si>
    <t>ID10-1866</t>
  </si>
  <si>
    <t>Serena</t>
  </si>
  <si>
    <t>Metallic Animal Printed Comforter Set</t>
  </si>
  <si>
    <t>Ivory/Gold</t>
  </si>
  <si>
    <t>PF005053</t>
  </si>
  <si>
    <t>2/26/2020</t>
  </si>
  <si>
    <t>AMAZON,AMAZONDS,BLK01,CSNSTORES,FINGERHUTDS,KOHLDSN,MACY02,OLLIIX,TGTDVS,WALMARTDS</t>
  </si>
  <si>
    <t>35653419-000-000</t>
  </si>
  <si>
    <t>ID12-1868</t>
  </si>
  <si>
    <t>Metallic Animal Printed Duvet Cover Set</t>
  </si>
  <si>
    <t>AMAZONDS,CSNSTORES,MACY02,TGTDVS,WALMARTDS</t>
  </si>
  <si>
    <t>35628676-000-001</t>
  </si>
  <si>
    <t>5/10/2020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</si>
  <si>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</si>
  <si>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</si>
  <si>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</si>
  <si>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</si>
  <si>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</si>
  <si>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</si>
  <si>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</si>
  <si>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</si>
  <si>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</si>
  <si>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MP101-1137</t>
  </si>
  <si>
    <t>Lindsey</t>
  </si>
  <si>
    <t>Alice</t>
  </si>
  <si>
    <t>Kylie</t>
  </si>
  <si>
    <t>Tufted Square Cocktail Ottoman</t>
  </si>
  <si>
    <t>16977705-000-002</t>
  </si>
  <si>
    <t>MP21-7890</t>
  </si>
  <si>
    <t>Linen Blend</t>
  </si>
  <si>
    <t>2PK Pillowcase</t>
  </si>
  <si>
    <t>PP001751;PF005688</t>
  </si>
  <si>
    <t>Linen</t>
  </si>
  <si>
    <t>JCPENNEY01,MACY02,ZOLA</t>
  </si>
  <si>
    <t>39918924-000-002</t>
  </si>
  <si>
    <t>5/14/2022</t>
  </si>
  <si>
    <t>MP21-7889</t>
  </si>
  <si>
    <t>Standard Case</t>
  </si>
  <si>
    <t>39918924-000-001</t>
  </si>
  <si>
    <t>MP95C-0037</t>
  </si>
  <si>
    <t>Linen Botanicals</t>
  </si>
  <si>
    <t>Illustration 3-piece Canvas Wall Art Set</t>
  </si>
  <si>
    <t>PF001908</t>
  </si>
  <si>
    <t>ASHFURNDS,BIGLOTSDS,BLK01,CSNSTORES,DESINC,KIRKLANDDS,KOHLDSN,LAMPDS,OLLIIX,ROOMECOM,TGTDVS,Zulily</t>
  </si>
  <si>
    <t>18755591-000-000</t>
  </si>
  <si>
    <t>5/24/2016</t>
  </si>
  <si>
    <t>5DS153-0049</t>
  </si>
  <si>
    <t>Liora</t>
  </si>
  <si>
    <t>2-Tone Ceramic Table Lamp Set of 2</t>
  </si>
  <si>
    <t>43453100-000-001</t>
  </si>
  <si>
    <t>5DS153-0047</t>
  </si>
  <si>
    <t>Sage Green/Gold</t>
  </si>
  <si>
    <t>43453100-000-000</t>
  </si>
  <si>
    <t>5DS153-0048</t>
  </si>
  <si>
    <t>White/Silver</t>
  </si>
  <si>
    <t>43453100-000-002</t>
  </si>
  <si>
    <t>MP51N-4640</t>
  </si>
  <si>
    <t>Liquid Cotton</t>
  </si>
  <si>
    <t>PF003525</t>
  </si>
  <si>
    <t>AMAZON,BEALLSDS,CSNSTORES,JCPENNEY01,KOHLDSN,MACY02,OLLIIX,WALMARTDS</t>
  </si>
  <si>
    <t>14944585-000-024</t>
  </si>
  <si>
    <t>BL51N-0679</t>
  </si>
  <si>
    <t>PF003480</t>
  </si>
  <si>
    <t>AMAZON,AMAZONDS,BIGLOTSDS,CASTLEGATE,CSNSTORES,JCPENNEY01,KOHLDSN,MACY02,OLLIIX,TGTDVS,WALMARTDS</t>
  </si>
  <si>
    <t>14944585-000-014</t>
  </si>
  <si>
    <t>BL51N-0734</t>
  </si>
  <si>
    <t>PF003491</t>
  </si>
  <si>
    <t>14944585-000-017</t>
  </si>
  <si>
    <t>MP51N-8380</t>
  </si>
  <si>
    <t>PP001934;PF006167</t>
  </si>
  <si>
    <t>AMAZON,AMAZONDS,CSNSTORES,KOHLDSN,OLLIIX,TGTDVS</t>
  </si>
  <si>
    <t>14944585-000-031</t>
  </si>
  <si>
    <t>MP51N-8381</t>
  </si>
  <si>
    <t>14944585-000-030</t>
  </si>
  <si>
    <t>BL51N-0735</t>
  </si>
  <si>
    <t>PF003502</t>
  </si>
  <si>
    <t>AMAZON,AMAZONDS,BLK01,CSNSTORES,JCPENNEY01,KOHLDSN,MACY02,OLLIIX,TGTDVS,WALMARTDS,Zulily</t>
  </si>
  <si>
    <t>14944585-000-018</t>
  </si>
  <si>
    <t>6/22/2015</t>
  </si>
  <si>
    <t>BL51N-0611</t>
  </si>
  <si>
    <t>PF003458</t>
  </si>
  <si>
    <t>AMAZON,AMAZONDS,CSNSTORES,HDDS,JCPENNEY01,KOHLDSN,MACY02,OLLIIX,TGTDVS</t>
  </si>
  <si>
    <t>14944585-000-006</t>
  </si>
  <si>
    <t>HH12-1803</t>
  </si>
  <si>
    <t>Livia</t>
  </si>
  <si>
    <t>PP001574;PF005294</t>
  </si>
  <si>
    <t>37289938-000-000</t>
  </si>
  <si>
    <t>1/14/2021</t>
  </si>
  <si>
    <t>MP70-5669</t>
  </si>
  <si>
    <t>Lola</t>
  </si>
  <si>
    <t>Brianna</t>
  </si>
  <si>
    <t xml:space="preserve">100% Cotton  Floral Printed Shower Curtain</t>
  </si>
  <si>
    <t>Grey/Peach</t>
  </si>
  <si>
    <t>PP000448;PF004226</t>
  </si>
  <si>
    <t>2/28/2018</t>
  </si>
  <si>
    <t>8/23/2024</t>
  </si>
  <si>
    <t>AMAZON,AMAZONDS,CSNSTORES,HDDS,JCPENNEY01,KOHLDSN,MACY02,OLLIIX,TGTDVS,WALMARTDS,Zulily</t>
  </si>
  <si>
    <t>14708559-000-003</t>
  </si>
  <si>
    <t>2/21/2018</t>
  </si>
  <si>
    <t>4/16/2018</t>
  </si>
  <si>
    <t>FPF18-0495</t>
  </si>
  <si>
    <t>Lina</t>
  </si>
  <si>
    <t>Tufted Armless Chair</t>
  </si>
  <si>
    <t>PF000747;PP000194</t>
  </si>
  <si>
    <t>BLK01,CASTLEGATE,CSNSTORES,HDDS,KOHLDSN,LAMPDS,MACY02F,OLLIIX,ROOMECOM</t>
  </si>
  <si>
    <t>18343346-000-000</t>
  </si>
  <si>
    <t>5/11/2016</t>
  </si>
  <si>
    <t>MP12-176</t>
  </si>
  <si>
    <t>Victoria</t>
  </si>
  <si>
    <t>6 Piece Printed Duvet Cover Set</t>
  </si>
  <si>
    <t>Taupe Grey/Yellow</t>
  </si>
  <si>
    <t>PF002450;PP000448</t>
  </si>
  <si>
    <t>Farm House|Casual</t>
  </si>
  <si>
    <t>AMAZON,CSNSTORES,HSNDS,JCPENNEY01,MACY02,NRTPORT,OLLIIX,TGTDVS</t>
  </si>
  <si>
    <t>26361244-000-004</t>
  </si>
  <si>
    <t>MT103-0162</t>
  </si>
  <si>
    <t>Skirted Swivel Chair Set of 2</t>
  </si>
  <si>
    <t>PP001274</t>
  </si>
  <si>
    <t>HH12-1623</t>
  </si>
  <si>
    <t>Lorelai</t>
  </si>
  <si>
    <t>Cotton Printed 5 Piece Duvet Cover Set</t>
  </si>
  <si>
    <t>PF003337</t>
  </si>
  <si>
    <t>26569525-000-001</t>
  </si>
  <si>
    <t>4/9/2018</t>
  </si>
  <si>
    <t>ID31-2034</t>
  </si>
  <si>
    <t>CUSHION/POUF</t>
  </si>
  <si>
    <t>Cube/Cylinder</t>
  </si>
  <si>
    <t>Loretta</t>
  </si>
  <si>
    <t>Lorissa</t>
  </si>
  <si>
    <t>Poly Chenille Round Floor Pillow Cushion</t>
  </si>
  <si>
    <t>Dia 22"x6"</t>
  </si>
  <si>
    <t>PF004189;PP000936</t>
  </si>
  <si>
    <t>5/8/2021</t>
  </si>
  <si>
    <t>AMAZON,CSNSTORES,MACY02,NRTPORT,TGTDVS</t>
  </si>
  <si>
    <t>38241495-000-000</t>
  </si>
  <si>
    <t>7/23/2021</t>
  </si>
  <si>
    <t>CCL10-0007</t>
  </si>
  <si>
    <t>42155571-000-000</t>
  </si>
  <si>
    <t>10/15/2023</t>
  </si>
  <si>
    <t>CCL10-0009</t>
  </si>
  <si>
    <t>42155571-000-002</t>
  </si>
  <si>
    <t>9/3/2023</t>
  </si>
  <si>
    <t>ID10-1217</t>
  </si>
  <si>
    <t>Eleni</t>
  </si>
  <si>
    <t>Boho Comforter Set with Bed Sheets</t>
  </si>
  <si>
    <t>PF001689</t>
  </si>
  <si>
    <t>AMAZON,AMAZONDS,BEALLSDS,CSNSTORES,DESINC,JCPENNEY01,KOHLDSN,MACY02,OLLIIX,TGTDVS</t>
  </si>
  <si>
    <t>22779124-000-001</t>
  </si>
  <si>
    <t>6/19/2017</t>
  </si>
  <si>
    <t>7/5/2017</t>
  </si>
  <si>
    <t>MP10-8433</t>
  </si>
  <si>
    <t>Lori</t>
  </si>
  <si>
    <t>Monroe</t>
  </si>
  <si>
    <t>Tessa</t>
  </si>
  <si>
    <t>PP001956;PF006231</t>
  </si>
  <si>
    <t>MP10-8434</t>
  </si>
  <si>
    <t>MP10-8435</t>
  </si>
  <si>
    <t>Teal/Silver</t>
  </si>
  <si>
    <t>PP001956;PF006232</t>
  </si>
  <si>
    <t>MP10-8436</t>
  </si>
  <si>
    <t>MPS73-477</t>
  </si>
  <si>
    <t>Luce</t>
  </si>
  <si>
    <t>100% Egyptian Cotton 6 Piece Towel Set</t>
  </si>
  <si>
    <t>PP001119</t>
  </si>
  <si>
    <t>AMAZON,AMAZONDS,JCPENNEY01,KOHLDSN,MACY02,OLLIIX,TGTDVS,ZOLA</t>
  </si>
  <si>
    <t>33012082-000-004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</si>
  <si>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</si>
  <si>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</si>
  <si>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</si>
  <si>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</si>
  <si>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</si>
  <si>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</si>
  <si>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AMAZON,AMAZONDS,CSNSTORES,JCPENNEY01,KOHLDSN,MACY02,OLLIIX</t>
  </si>
  <si>
    <t>24780500-000-000</t>
  </si>
  <si>
    <t>11/22/2017</t>
  </si>
  <si>
    <t>12/3/2017</t>
  </si>
  <si>
    <t>ID10-2369</t>
  </si>
  <si>
    <t>Lucy</t>
  </si>
  <si>
    <t>Elise</t>
  </si>
  <si>
    <t>PP001813;PF006254</t>
  </si>
  <si>
    <t>40850769-000-015</t>
  </si>
  <si>
    <t>ID12-2372</t>
  </si>
  <si>
    <t>ID10-2370</t>
  </si>
  <si>
    <t>40850769-000-020</t>
  </si>
  <si>
    <t>ID12-2373</t>
  </si>
  <si>
    <t>ID10-2371</t>
  </si>
  <si>
    <t>40850769-000-019</t>
  </si>
  <si>
    <t>ID10-2374</t>
  </si>
  <si>
    <t>PP001813;PF006255</t>
  </si>
  <si>
    <t>40850769-000-018</t>
  </si>
  <si>
    <t>ID12-2377</t>
  </si>
  <si>
    <t>ID10-2375</t>
  </si>
  <si>
    <t>40850769-000-017</t>
  </si>
  <si>
    <t>ID12-2378</t>
  </si>
  <si>
    <t>ID10-2376</t>
  </si>
  <si>
    <t>5/22/2024</t>
  </si>
  <si>
    <t>40850769-000-016</t>
  </si>
  <si>
    <t>ID10-2282</t>
  </si>
  <si>
    <t>PP001813;PF006085</t>
  </si>
  <si>
    <t>40850769-000-014</t>
  </si>
  <si>
    <t>3/14/2024</t>
  </si>
  <si>
    <t>ID12-2285</t>
  </si>
  <si>
    <t>40850749-000-006</t>
  </si>
  <si>
    <t>ID12-2286</t>
  </si>
  <si>
    <t>10/19/2023</t>
  </si>
  <si>
    <t>40850749-000-007</t>
  </si>
  <si>
    <t>ID10-2284</t>
  </si>
  <si>
    <t>AMAZON,CSNSTORES,JCPENNEY01,KOHLDSN,OLLIIX,TGTDVS</t>
  </si>
  <si>
    <t>40850769-000-011</t>
  </si>
  <si>
    <t>ID10-2188</t>
  </si>
  <si>
    <t>PP001813;PF005818</t>
  </si>
  <si>
    <t>40850769-000-001</t>
  </si>
  <si>
    <t>7/14/2023</t>
  </si>
  <si>
    <t>ID12-2281</t>
  </si>
  <si>
    <t>PP001813;PF006084</t>
  </si>
  <si>
    <t>40850749-000-005</t>
  </si>
  <si>
    <t>ID10-2279</t>
  </si>
  <si>
    <t>AMAZON,CSNSTORES,HDDS,JCPENNEY01,KOHLDSN,NRTPORT,TGTDVS</t>
  </si>
  <si>
    <t>40850769-000-004</t>
  </si>
  <si>
    <t>ID10-2287</t>
  </si>
  <si>
    <t>PP001813;PF005819</t>
  </si>
  <si>
    <t>CSNSTORES,JCPENNEY01,KOHLDSN,NRTPORT,TGTDVS</t>
  </si>
  <si>
    <t>40850769-000-008</t>
  </si>
  <si>
    <t>ID12-2276</t>
  </si>
  <si>
    <t>PP001813;PF006083</t>
  </si>
  <si>
    <t>40850749-000-009</t>
  </si>
  <si>
    <t>ID10-2274</t>
  </si>
  <si>
    <t>CSNSTORES,JCPENNEY01,KOHLDSN,NRTPORT,OLLIIX,TGTDVS</t>
  </si>
  <si>
    <t>40850769-000-009</t>
  </si>
  <si>
    <t>UHK12-0232</t>
  </si>
  <si>
    <t>Lulu</t>
  </si>
  <si>
    <t>Floral Reversible Cotton Duvet Cover Set with Throw Pillow</t>
  </si>
  <si>
    <t>PF006170</t>
  </si>
  <si>
    <t>43844635-000-001</t>
  </si>
  <si>
    <t>ID10-2011</t>
  </si>
  <si>
    <t>Lumi</t>
  </si>
  <si>
    <t>Cameron</t>
  </si>
  <si>
    <t>PP001607;PF005400</t>
  </si>
  <si>
    <t>5/7/2021</t>
  </si>
  <si>
    <t>BLK01,CSNSTORES,DESINC,KOHLDSN,MACY02,OLLIIX,TGTDVS</t>
  </si>
  <si>
    <t>38019946-000-000</t>
  </si>
  <si>
    <t>ID12-2013</t>
  </si>
  <si>
    <t>Striped Duvet Cover Set</t>
  </si>
  <si>
    <t>BLK01,CSNSTORES,MACY02</t>
  </si>
  <si>
    <t>38019921-000-002</t>
  </si>
  <si>
    <t>ID10-2012</t>
  </si>
  <si>
    <t>38019946-000-003</t>
  </si>
  <si>
    <t>6/29/2021</t>
  </si>
  <si>
    <t>FB155-1182</t>
  </si>
  <si>
    <t>Luminex</t>
  </si>
  <si>
    <t>White Ceramic Wall Sconce with Adjustable Swing Arm</t>
  </si>
  <si>
    <t>5/11/2024</t>
  </si>
  <si>
    <t>MP95C-0208</t>
  </si>
  <si>
    <t>Luminous Bloom</t>
  </si>
  <si>
    <t>Gold Foil and Hand Embellished Floral Canvas Wall Art</t>
  </si>
  <si>
    <t>4/17/2019</t>
  </si>
  <si>
    <t>AMAZON,AMERSIGNDS,BLK01,DESINC,KIRKLANDDS,KOHLDSN,MACY02,OLLIIX,Zulily</t>
  </si>
  <si>
    <t>33246977-000-000</t>
  </si>
  <si>
    <t>5/6/2019</t>
  </si>
  <si>
    <t>2/3/2020</t>
  </si>
  <si>
    <t>MPE10-1058</t>
  </si>
  <si>
    <t>Luna</t>
  </si>
  <si>
    <t>Piper</t>
  </si>
  <si>
    <t>Floral Comforter Set with Bed Sheets</t>
  </si>
  <si>
    <t>PF002742;PP001974</t>
  </si>
  <si>
    <t>MPE10-1059</t>
  </si>
  <si>
    <t>MPE10-1060</t>
  </si>
  <si>
    <t>MPE10-1061</t>
  </si>
  <si>
    <t>MPE10-1062</t>
  </si>
  <si>
    <t>MPE10-1063</t>
  </si>
  <si>
    <t>PF002743;PP001974</t>
  </si>
  <si>
    <t>MPE10-1064</t>
  </si>
  <si>
    <t>MPE10-1065</t>
  </si>
  <si>
    <t>MPE10-1066</t>
  </si>
  <si>
    <t>MPE10-1067</t>
  </si>
  <si>
    <t>FB153-1180</t>
  </si>
  <si>
    <t>Luxuria</t>
  </si>
  <si>
    <t>Textured Glass and Acrylic Base Table Lamp</t>
  </si>
  <si>
    <t>43446596-000-001</t>
  </si>
  <si>
    <t>FB153-1178</t>
  </si>
  <si>
    <t>43446596-000-000</t>
  </si>
  <si>
    <t>CCS20-012</t>
  </si>
  <si>
    <t>Luxury Egyptian</t>
  </si>
  <si>
    <t>500TC Cotton Sheet Set</t>
  </si>
  <si>
    <t>42025513-000-007</t>
  </si>
  <si>
    <t>CCS20-013</t>
  </si>
  <si>
    <t>AMAZON,BLK01,CSNSTORES,DLCROSCILL,JCPENNEY01,KOHLDSN,MACY02,OLLIIX</t>
  </si>
  <si>
    <t>42025513-000-008</t>
  </si>
  <si>
    <t>CCS20-015</t>
  </si>
  <si>
    <t>500TC Cotton Pillowcases</t>
  </si>
  <si>
    <t>DLCROSCILL,KOHLDSN</t>
  </si>
  <si>
    <t>42024797-000-000</t>
  </si>
  <si>
    <t>CCS20-038</t>
  </si>
  <si>
    <t>42025513-000-006</t>
  </si>
  <si>
    <t>CCS20-014</t>
  </si>
  <si>
    <t>Standard</t>
  </si>
  <si>
    <t>DLCROSCILL,KOHLDSN,MACY02</t>
  </si>
  <si>
    <t>42024797-000-003</t>
  </si>
  <si>
    <t>CCS20-010</t>
  </si>
  <si>
    <t>42024797-000-001</t>
  </si>
  <si>
    <t>CCS20-037</t>
  </si>
  <si>
    <t>AMAZONDS,CSNSTORES,KOHLDSN,MACY02</t>
  </si>
  <si>
    <t>42025513-000-000</t>
  </si>
  <si>
    <t>CCS20-002</t>
  </si>
  <si>
    <t>42025513-000-003</t>
  </si>
  <si>
    <t>CCS20-005</t>
  </si>
  <si>
    <t>42024797-000-005</t>
  </si>
  <si>
    <t>MP133-0533</t>
  </si>
  <si>
    <t>Lyle</t>
  </si>
  <si>
    <t>Arbor</t>
  </si>
  <si>
    <t>PP000634</t>
  </si>
  <si>
    <t>11/30/2017</t>
  </si>
  <si>
    <t>25456814-000-000</t>
  </si>
  <si>
    <t>FB153-1189</t>
  </si>
  <si>
    <t>Lysandria</t>
  </si>
  <si>
    <t>Glass Table Lamp</t>
  </si>
  <si>
    <t>AM10-0091</t>
  </si>
  <si>
    <t>Maca</t>
  </si>
  <si>
    <t>Textured Print Reversible Comforter Set</t>
  </si>
  <si>
    <t>PP001995;PF006406</t>
  </si>
  <si>
    <t>AMAZON,DESINC,TGTDVS</t>
  </si>
  <si>
    <t>43844223-000-003</t>
  </si>
  <si>
    <t>AM12-0116</t>
  </si>
  <si>
    <t>Textured Print Reversible Duvet Set</t>
  </si>
  <si>
    <t>11/11/2023</t>
  </si>
  <si>
    <t>43844222-000-005</t>
  </si>
  <si>
    <t>AM10-0092</t>
  </si>
  <si>
    <t>43844223-000-008</t>
  </si>
  <si>
    <t>AM12-0117</t>
  </si>
  <si>
    <t>43844222-000-004</t>
  </si>
  <si>
    <t>AM10-0093</t>
  </si>
  <si>
    <t>AMAZON,BLK01,DESINC</t>
  </si>
  <si>
    <t>43844223-000-002</t>
  </si>
  <si>
    <t>AM12-0118</t>
  </si>
  <si>
    <t>43844222-000-002</t>
  </si>
  <si>
    <t>AM10-0094</t>
  </si>
  <si>
    <t>PP001995;PF006407</t>
  </si>
  <si>
    <t>43844223-000-005</t>
  </si>
  <si>
    <t>AM12-0119</t>
  </si>
  <si>
    <t>43844222-000-003</t>
  </si>
  <si>
    <t>AM10-0095</t>
  </si>
  <si>
    <t>43844223-000-006</t>
  </si>
  <si>
    <t>AM10-0096</t>
  </si>
  <si>
    <t>BLK01,DESINC,HDDS</t>
  </si>
  <si>
    <t>43844223-000-004</t>
  </si>
  <si>
    <t>AM10-0088</t>
  </si>
  <si>
    <t>PP001995;PF006405</t>
  </si>
  <si>
    <t>43844223-000-000</t>
  </si>
  <si>
    <t>AM12-0113</t>
  </si>
  <si>
    <t>43844222-000-001</t>
  </si>
  <si>
    <t>AM10-0089</t>
  </si>
  <si>
    <t>43844223-000-001</t>
  </si>
  <si>
    <t>AM12-0114</t>
  </si>
  <si>
    <t>43844222-000-008</t>
  </si>
  <si>
    <t>AM10-0090</t>
  </si>
  <si>
    <t>BLK01,CSNSTORES,DESINC</t>
  </si>
  <si>
    <t>43844223-000-007</t>
  </si>
  <si>
    <t>AM12-0115</t>
  </si>
  <si>
    <t>43844222-000-000</t>
  </si>
  <si>
    <t>II100-0291</t>
  </si>
  <si>
    <t>Madden</t>
  </si>
  <si>
    <t>1/27/2018</t>
  </si>
  <si>
    <t>ASHFURNDS,CSNSTORES,LAMPDS,MACY02F,OLLIIX</t>
  </si>
  <si>
    <t>26106887-000-000</t>
  </si>
  <si>
    <t>5/23/2018</t>
  </si>
  <si>
    <t>BR10-3864</t>
  </si>
  <si>
    <t>Maddox</t>
  </si>
  <si>
    <t>3 Piece Striated Cationic Dyed Oversized Comforter Set with Pleats</t>
  </si>
  <si>
    <t>PP001828;PF005869</t>
  </si>
  <si>
    <t>ASHFURNDS,CSNSTORES,JCPENNEY01,KOHLDSN,MACY02,TGTDVS,ZOLA</t>
  </si>
  <si>
    <t>40849200-000-000</t>
  </si>
  <si>
    <t>2/2/2023</t>
  </si>
  <si>
    <t>BR12-3866</t>
  </si>
  <si>
    <t>3 Piece Striated Cationic Dyed Oversized Duvet Cover Set with Pleats</t>
  </si>
  <si>
    <t>CSNSTORES,JCPENNEY01,KOHLDSN,MACY02,TGTDVS,Zulily</t>
  </si>
  <si>
    <t>40849218-000-002</t>
  </si>
  <si>
    <t>BR10-3865</t>
  </si>
  <si>
    <t>40849200-000-002</t>
  </si>
  <si>
    <t>1/9/2023</t>
  </si>
  <si>
    <t>BR12-3870</t>
  </si>
  <si>
    <t>PP001828;PF005870</t>
  </si>
  <si>
    <t>CSNSTORES,KOHLDSN,MACY02,TGTDVS,ZOLA,Zulily</t>
  </si>
  <si>
    <t>40849218-000-000</t>
  </si>
  <si>
    <t>FB153-1181</t>
  </si>
  <si>
    <t>Maelle</t>
  </si>
  <si>
    <t>Blue Aqua Swirl Blown Glass Table Lamp</t>
  </si>
  <si>
    <t>43672567-000-000</t>
  </si>
  <si>
    <t>3/10/2024</t>
  </si>
  <si>
    <t>MPE10-736</t>
  </si>
  <si>
    <t>Maible</t>
  </si>
  <si>
    <t>Caldwell</t>
  </si>
  <si>
    <t>9 Piece Comforter Set with Cotton Bed Sheets</t>
  </si>
  <si>
    <t>PP000877;PF004251</t>
  </si>
  <si>
    <t>3/28/2018</t>
  </si>
  <si>
    <t>AMAZON,BLK01,CSNSTORES,FINGERHUTDS,HSNDS,JCPENNEY01,KOHLDSN,TGTDVS</t>
  </si>
  <si>
    <t>26802188-000-002</t>
  </si>
  <si>
    <t>4/17/2018</t>
  </si>
  <si>
    <t>5/11/2018</t>
  </si>
  <si>
    <t>MP104-1247</t>
  </si>
  <si>
    <t>Maison</t>
  </si>
  <si>
    <t>Marc</t>
  </si>
  <si>
    <t>Eugene</t>
  </si>
  <si>
    <t>Dark Grey/Antique Gold</t>
  </si>
  <si>
    <t>MP100-1168</t>
  </si>
  <si>
    <t>Malabar</t>
  </si>
  <si>
    <t>Leigh</t>
  </si>
  <si>
    <t>Daly</t>
  </si>
  <si>
    <t>CSNSTORES,DESINC,KOHLDSN</t>
  </si>
  <si>
    <t>25928769-000-001</t>
  </si>
  <si>
    <t>4/2/2022</t>
  </si>
  <si>
    <t>ID10-2044</t>
  </si>
  <si>
    <t>Malea</t>
  </si>
  <si>
    <t>Leena</t>
  </si>
  <si>
    <t>Shaggy Long Fur Comforter Mini Set</t>
  </si>
  <si>
    <t>PP001109;PF005482</t>
  </si>
  <si>
    <t>8/3/2021</t>
  </si>
  <si>
    <t>AMAZONDS,CSNSTORES,DESINC,HSNDS,JCPENNEY01,KOHLDSN,MACY02,TGTDVS</t>
  </si>
  <si>
    <t>32517355-000-012</t>
  </si>
  <si>
    <t>ID12-2039</t>
  </si>
  <si>
    <t>Shaggy Fur Duvet Cover Set</t>
  </si>
  <si>
    <t>PP001109;PF005257</t>
  </si>
  <si>
    <t>CSNSTORES,JCPENNEY01,MACY02,NRTPORT,TGTDVS</t>
  </si>
  <si>
    <t>36696387-000-011</t>
  </si>
  <si>
    <t>8/31/2021</t>
  </si>
  <si>
    <t>9/29/2021</t>
  </si>
  <si>
    <t>ID10-1920</t>
  </si>
  <si>
    <t>9/17/2020</t>
  </si>
  <si>
    <t>AMAZON,ASHFURNDS,BLK01,CSNSTORES,FINGERHUTDS,JCPENNEY01,KOHLDSN,MACY02,OLLIIX,TGTDVS</t>
  </si>
  <si>
    <t>32517355-000-011</t>
  </si>
  <si>
    <t>ID10-2234</t>
  </si>
  <si>
    <t>PP001109;PF006032</t>
  </si>
  <si>
    <t>AMAZON,CSNSTORES,JCPENNEY01,KOHLDSN,MACY02</t>
  </si>
  <si>
    <t>32517355-000-017</t>
  </si>
  <si>
    <t>ID10-2235</t>
  </si>
  <si>
    <t>AMAZON,JCPENNEY01,KOHLDSN,MACY02,NRTPORT</t>
  </si>
  <si>
    <t>32517355-000-016</t>
  </si>
  <si>
    <t>ID10-2236</t>
  </si>
  <si>
    <t>AMAZON,CSNSTORES,JCPENNEY01,KOHLDSN,MACY02,NRTPORT</t>
  </si>
  <si>
    <t>32517355-000-015</t>
  </si>
  <si>
    <t>ID10-2437</t>
  </si>
  <si>
    <t>Shaggy Faux Fur Comforter Mini Set</t>
  </si>
  <si>
    <t>Green/White</t>
  </si>
  <si>
    <t>PP001109;PF006284</t>
  </si>
  <si>
    <t>8/8/2024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</si>
  <si>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</si>
  <si>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</si>
  <si>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</si>
  <si>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</si>
  <si>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</si>
  <si>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</si>
  <si>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</si>
  <si>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ST54-0151</t>
  </si>
  <si>
    <t>Malea Heated</t>
  </si>
  <si>
    <t>Leena Heated</t>
  </si>
  <si>
    <t>Shaggy Faux Fur Heated Throw</t>
  </si>
  <si>
    <t>6/28/2021</t>
  </si>
  <si>
    <t>CSNSTORES,HSNDS,JCPENNEY01,KOHLDSN,MACY02,OLLIIX,TGTDVS,WALMARTDS,Zulily</t>
  </si>
  <si>
    <t>38580938-000-000</t>
  </si>
  <si>
    <t>7/28/2021</t>
  </si>
  <si>
    <t>9/8/2021</t>
  </si>
  <si>
    <t>II100-0488</t>
  </si>
  <si>
    <t>Malibu</t>
  </si>
  <si>
    <t>1/12/2023</t>
  </si>
  <si>
    <t>CSNSTORES,KIRKLANDDS,OLLIIX</t>
  </si>
  <si>
    <t>19889612-000-002</t>
  </si>
  <si>
    <t>MT100-0137</t>
  </si>
  <si>
    <t>Manhattan</t>
  </si>
  <si>
    <t>38772978-000-000</t>
  </si>
  <si>
    <t>CSP10-1477</t>
  </si>
  <si>
    <t>Mara</t>
  </si>
  <si>
    <t>4 Piece Cotton and Rayon from Bamboo Blend Waffle Weave Comforter Cover Set w/removable insert</t>
  </si>
  <si>
    <t>PP001677;PF005573</t>
  </si>
  <si>
    <t>11/24/2021</t>
  </si>
  <si>
    <t>BLK01,CSNSTORES,JCPENNEY01,KIRKLANDDS,KOHLDSN,MACY02,OLLIIX,TGTDVS,ZOLA,Zulily</t>
  </si>
  <si>
    <t>39242855-000-003</t>
  </si>
  <si>
    <t>12/30/2021</t>
  </si>
  <si>
    <t>TN54-0509</t>
  </si>
  <si>
    <t>Marbled Sherpa</t>
  </si>
  <si>
    <t>Heated Throw</t>
  </si>
  <si>
    <t>PP001894;PF006044</t>
  </si>
  <si>
    <t>9/9/2023</t>
  </si>
  <si>
    <t>42618276-000-001</t>
  </si>
  <si>
    <t>TN54-0507</t>
  </si>
  <si>
    <t>PP001894;PF006042</t>
  </si>
  <si>
    <t>42618276-000-000</t>
  </si>
  <si>
    <t>11/17/2023</t>
  </si>
  <si>
    <t>TN54-0508</t>
  </si>
  <si>
    <t>PP001894;PF006043</t>
  </si>
  <si>
    <t>JCPENNEY01,KOHLDSN,MACY02</t>
  </si>
  <si>
    <t>42618276-000-002</t>
  </si>
  <si>
    <t>MP120-0085</t>
  </si>
  <si>
    <t>Marbury</t>
  </si>
  <si>
    <t>Aniston</t>
  </si>
  <si>
    <t>PP000202</t>
  </si>
  <si>
    <t>5/26/2017</t>
  </si>
  <si>
    <t>6/21/2024</t>
  </si>
  <si>
    <t>CSNSTORES,KOHLDSN,MACY02F,OLLIIX</t>
  </si>
  <si>
    <t>20422450-000-000</t>
  </si>
  <si>
    <t>12/6/2016</t>
  </si>
  <si>
    <t>1/28/2017</t>
  </si>
  <si>
    <t>MP10-8410</t>
  </si>
  <si>
    <t>Marfa</t>
  </si>
  <si>
    <t>Peony</t>
  </si>
  <si>
    <t>4 Piece Pintuck Comforter Set with Throw Pillow</t>
  </si>
  <si>
    <t>PP001950;PF006214</t>
  </si>
  <si>
    <t>5/3/2024</t>
  </si>
  <si>
    <t>MP12-8412</t>
  </si>
  <si>
    <t>3 Piece Pintuck Duvet Cover Set</t>
  </si>
  <si>
    <t>MP10-8411</t>
  </si>
  <si>
    <t>MP12-8413</t>
  </si>
  <si>
    <t>FUR130-0019</t>
  </si>
  <si>
    <t>Maria</t>
  </si>
  <si>
    <t>Gabrielle</t>
  </si>
  <si>
    <t>Ava</t>
  </si>
  <si>
    <t>Gold Lattice Accent Chest</t>
  </si>
  <si>
    <t>PF000100;PP000204</t>
  </si>
  <si>
    <t>20126376-000-000</t>
  </si>
  <si>
    <t>MP104-1127</t>
  </si>
  <si>
    <t>Marian</t>
  </si>
  <si>
    <t>Misha</t>
  </si>
  <si>
    <t>Khloe</t>
  </si>
  <si>
    <t>Tufted Counter Stool</t>
  </si>
  <si>
    <t>3/17/2022</t>
  </si>
  <si>
    <t>CASTLEGATE,CSNSTORES,JCPENNEY01,KIRKLANDDS,KOHLDSN,TGTDVS</t>
  </si>
  <si>
    <t>21851040-000-001</t>
  </si>
  <si>
    <t>3/19/2022</t>
  </si>
  <si>
    <t>MT100-0148</t>
  </si>
  <si>
    <t>Maribelle</t>
  </si>
  <si>
    <t>Accent chair</t>
  </si>
  <si>
    <t>Beige/Blue</t>
  </si>
  <si>
    <t>6/7/2022</t>
  </si>
  <si>
    <t>CSNSTORES,KIRKLANDDS</t>
  </si>
  <si>
    <t>40067139-000-000</t>
  </si>
  <si>
    <t>MP13-7944</t>
  </si>
  <si>
    <t>Marina</t>
  </si>
  <si>
    <t>Anchorage</t>
  </si>
  <si>
    <t>Fairbanks</t>
  </si>
  <si>
    <t>6 Piece Printed Quilt Set with Throw Pillows</t>
  </si>
  <si>
    <t>PP001782;PF005732</t>
  </si>
  <si>
    <t>8/19/2022</t>
  </si>
  <si>
    <t>AMAZONDS,CSNSTORES,JCPENNEY01,KOHLDSN,TGTDVS</t>
  </si>
  <si>
    <t>18146410-000-004</t>
  </si>
  <si>
    <t>9/13/2022</t>
  </si>
  <si>
    <t>II104-0490</t>
  </si>
  <si>
    <t>Marino</t>
  </si>
  <si>
    <t>Backless Upholstered Counter Stool 26"H</t>
  </si>
  <si>
    <t>1/10/2023</t>
  </si>
  <si>
    <t>AMERSIGNDS,CSNSTORES,HOUZZ,KOHLDSN,LAMPDS,OLLIIX</t>
  </si>
  <si>
    <t>40896090-000-000</t>
  </si>
  <si>
    <t>3/10/2023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</si>
  <si>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</si>
  <si>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</si>
  <si>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</si>
  <si>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</si>
  <si>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</si>
  <si>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</si>
  <si>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MP10-8465</t>
  </si>
  <si>
    <t>MPS95F-0036</t>
  </si>
  <si>
    <t>Marlowe</t>
  </si>
  <si>
    <t>Beaded Round Wall Mirror 27"D</t>
  </si>
  <si>
    <t>27" Dia</t>
  </si>
  <si>
    <t>PF005436</t>
  </si>
  <si>
    <t>5/6/2021</t>
  </si>
  <si>
    <t>AMAZON,AMAZONDS,CSNSTORES,DESINC,JCPENNEY01,KOHLDSN,OLLIIX,TGTDVS</t>
  </si>
  <si>
    <t>24185324-000-004</t>
  </si>
  <si>
    <t>MPS95F-0035</t>
  </si>
  <si>
    <t>9/5/2020</t>
  </si>
  <si>
    <t>AMAZON,AMAZONDS,BLK01,CSNSTORES,KOHLDSN,LAMPDS,OLLIIX,TGTDVS</t>
  </si>
  <si>
    <t>24185324-000-003</t>
  </si>
  <si>
    <t>10/10/2020</t>
  </si>
  <si>
    <t>10/22/2020</t>
  </si>
  <si>
    <t>MPS160-339</t>
  </si>
  <si>
    <t>Beaded Round Wall Mirror 36"D</t>
  </si>
  <si>
    <t>36" Dia</t>
  </si>
  <si>
    <t>AMAZON,AMAZONDS,CSNSTORES,DESINC,KOHLDSN,LAMPDS,OLLIIX</t>
  </si>
  <si>
    <t>24185324-000-001</t>
  </si>
  <si>
    <t>11/11/2018</t>
  </si>
  <si>
    <t>11/19/2018</t>
  </si>
  <si>
    <t>PET66-0017</t>
  </si>
  <si>
    <t>Martingale</t>
  </si>
  <si>
    <t>Reflective No Pull Dog Collar for Training Large/Medium Breed Dogs</t>
  </si>
  <si>
    <t>43976046-000-000</t>
  </si>
  <si>
    <t>PET66-0018</t>
  </si>
  <si>
    <t>43976046-000-001</t>
  </si>
  <si>
    <t>II12-1014</t>
  </si>
  <si>
    <t>Masie</t>
  </si>
  <si>
    <t>3 Piece Elastic Embroidered Cotton Duvet Cover Set</t>
  </si>
  <si>
    <t>PP000451;PF004164</t>
  </si>
  <si>
    <t>25797292-000-000</t>
  </si>
  <si>
    <t>2/6/2018</t>
  </si>
  <si>
    <t>II12-1015</t>
  </si>
  <si>
    <t>AMAZON,AMAZONDS,BLK01,CSNSTORES,JCPENNEY01,MACY02,TGTDVS</t>
  </si>
  <si>
    <t>25797292-000-001</t>
  </si>
  <si>
    <t>2/14/2018</t>
  </si>
  <si>
    <t>MP95D-0303</t>
  </si>
  <si>
    <t>CLOCKS</t>
  </si>
  <si>
    <t>Clocks(161)</t>
  </si>
  <si>
    <t>23.6" Wood Wall Clock</t>
  </si>
  <si>
    <t>Natural/Black</t>
  </si>
  <si>
    <t>PP001422</t>
  </si>
  <si>
    <t>CSNSTORES,JCPENNEY01,KIRKLANDDS,KOHLDSN,NEBFUR01,OLLIIX,ZOLA</t>
  </si>
  <si>
    <t>35292488-000-002</t>
  </si>
  <si>
    <t>9/19/2022</t>
  </si>
  <si>
    <t>MP35-8055</t>
  </si>
  <si>
    <t>Mateo</t>
  </si>
  <si>
    <t>Kenneth</t>
  </si>
  <si>
    <t>Siren</t>
  </si>
  <si>
    <t>Boho Medallion Woven Area Rug</t>
  </si>
  <si>
    <t>PP001798;PF005786</t>
  </si>
  <si>
    <t>40587884-000-001</t>
  </si>
  <si>
    <t>MP35-8056</t>
  </si>
  <si>
    <t>40587884-000-002</t>
  </si>
  <si>
    <t>10/1/2023</t>
  </si>
  <si>
    <t>MP35-8057</t>
  </si>
  <si>
    <t>40587884-000-003</t>
  </si>
  <si>
    <t>MP104-1104</t>
  </si>
  <si>
    <t>Quarry</t>
  </si>
  <si>
    <t>Powell</t>
  </si>
  <si>
    <t>Swivel Counter Stool</t>
  </si>
  <si>
    <t>5/18/2021</t>
  </si>
  <si>
    <t>35542320-000-001</t>
  </si>
  <si>
    <t>MP103-1171</t>
  </si>
  <si>
    <t>Swivel Glider</t>
  </si>
  <si>
    <t>Mathis</t>
  </si>
  <si>
    <t>Rae</t>
  </si>
  <si>
    <t>Dolores</t>
  </si>
  <si>
    <t>Swivel Glider Chair</t>
  </si>
  <si>
    <t>35504269-000-001</t>
  </si>
  <si>
    <t>4/13/2022</t>
  </si>
  <si>
    <t>ID10-2228</t>
  </si>
  <si>
    <t>Maude</t>
  </si>
  <si>
    <t>Lilith</t>
  </si>
  <si>
    <t>Floral Reversible Comforter Set</t>
  </si>
  <si>
    <t>PF005945</t>
  </si>
  <si>
    <t>AMAZON,AMAZONDS,CSNSTORES,DESINC,HDDS,KOHLDSN,MACY02,TGTDVS</t>
  </si>
  <si>
    <t>41162348-000-001</t>
  </si>
  <si>
    <t>ID10-2229</t>
  </si>
  <si>
    <t>41162348-000-000</t>
  </si>
  <si>
    <t>6/23/2023</t>
  </si>
  <si>
    <t>BASI10-0297</t>
  </si>
  <si>
    <t>Maximum Warmth</t>
  </si>
  <si>
    <t>Cotton Down Alternative Featherless Comforter</t>
  </si>
  <si>
    <t>PF002093</t>
  </si>
  <si>
    <t>17651641-000-001</t>
  </si>
  <si>
    <t>10/25/2015</t>
  </si>
  <si>
    <t>BASI10-0298</t>
  </si>
  <si>
    <t>17651641-000-002</t>
  </si>
  <si>
    <t>FPF18-0435</t>
  </si>
  <si>
    <t>Maxwell</t>
  </si>
  <si>
    <t>Roan</t>
  </si>
  <si>
    <t>Button Tufted Wing Chair</t>
  </si>
  <si>
    <t>PF000714;PP000209</t>
  </si>
  <si>
    <t>ASHFURNDS,CASTLEGATE,CSNSTORES,KOHLDSN,LAMPDS,OLLIIX</t>
  </si>
  <si>
    <t>19746214-000-000</t>
  </si>
  <si>
    <t>SS40-0037</t>
  </si>
  <si>
    <t>Arlie</t>
  </si>
  <si>
    <t>Rune</t>
  </si>
  <si>
    <t>Printed Heathered Blackout Grommet Top Curtain Panel</t>
  </si>
  <si>
    <t>Dusty Seafoam</t>
  </si>
  <si>
    <t>PF003954;PP001038</t>
  </si>
  <si>
    <t>AMAZONDS,CSNSTORES,DESINC,KOHLDSN,OLLIIX,TGTDVS</t>
  </si>
  <si>
    <t>23998010-000-011</t>
  </si>
  <si>
    <t>1/12/2018</t>
  </si>
  <si>
    <t>SS40-0034</t>
  </si>
  <si>
    <t>50x54"</t>
  </si>
  <si>
    <t>PF003954</t>
  </si>
  <si>
    <t>CSNSTORES,JCPENNEY01,MACY02,TGTDVS</t>
  </si>
  <si>
    <t>23998010-000-008</t>
  </si>
  <si>
    <t>SS40-0032</t>
  </si>
  <si>
    <t>PF003956</t>
  </si>
  <si>
    <t>BEALLSDS,CSNSTORES,JCPENNEY01,KOHLDSN,MACY02,NRTPORT,OLLIIX,TGTDVS</t>
  </si>
  <si>
    <t>23998010-000-006</t>
  </si>
  <si>
    <t>SS40-0030</t>
  </si>
  <si>
    <t>AMAZON,BEALLSDS,CSNSTORES,DESINC,JCPENNEY01,KOHLDSN,MACY02,TGTDVS</t>
  </si>
  <si>
    <t>23998010-000-004</t>
  </si>
  <si>
    <t>HH10-1790</t>
  </si>
  <si>
    <t>Meadow</t>
  </si>
  <si>
    <t>5 Piece Cotton Comforter Set</t>
  </si>
  <si>
    <t>PP001457;PF005030</t>
  </si>
  <si>
    <t>CASTLEGATE,CSNSTORES,JCPENNEY01,KOHLDSN,MACY02,OLLIIX</t>
  </si>
  <si>
    <t>35376073-000-001</t>
  </si>
  <si>
    <t>12/27/2019</t>
  </si>
  <si>
    <t>CHM30-0015</t>
  </si>
  <si>
    <t>Melodia</t>
  </si>
  <si>
    <t>42067838-000-000</t>
  </si>
  <si>
    <t>II121-0417</t>
  </si>
  <si>
    <t>Oval Dining Table</t>
  </si>
  <si>
    <t>19134574-000-001</t>
  </si>
  <si>
    <t>2/16/2022</t>
  </si>
  <si>
    <t>UH12-2326</t>
  </si>
  <si>
    <t>Ronan</t>
  </si>
  <si>
    <t>3 Piece Cotton Chenille Duvet Cover Set</t>
  </si>
  <si>
    <t>PP001460;PF005050</t>
  </si>
  <si>
    <t>Casual|Transitional</t>
  </si>
  <si>
    <t>3/31/2020</t>
  </si>
  <si>
    <t>35761411-000-001</t>
  </si>
  <si>
    <t>MP10-4887</t>
  </si>
  <si>
    <t>Mercia</t>
  </si>
  <si>
    <t>Delta</t>
  </si>
  <si>
    <t>Corynn</t>
  </si>
  <si>
    <t>7 Piece Reversible Cotton Sateen Comforter Set</t>
  </si>
  <si>
    <t>PF002675</t>
  </si>
  <si>
    <t>8/30/2017</t>
  </si>
  <si>
    <t>AMAZON,BEALLSDS,BLK01,CASTLEGATE,CSNSTORES,JCPENNEY01,KOHLDSN,MACY02,TGTDVS</t>
  </si>
  <si>
    <t>23596220-000-000</t>
  </si>
  <si>
    <t>MPE10-088</t>
  </si>
  <si>
    <t>Merritt</t>
  </si>
  <si>
    <t>Almaden</t>
  </si>
  <si>
    <t>Becker</t>
  </si>
  <si>
    <t>PF003668;PP000457</t>
  </si>
  <si>
    <t>17159032-000-004</t>
  </si>
  <si>
    <t>4/7/2015</t>
  </si>
  <si>
    <t>MPE10-093</t>
  </si>
  <si>
    <t>PF003669;PP000457</t>
  </si>
  <si>
    <t>17296260-000-004</t>
  </si>
  <si>
    <t>ID20-1736</t>
  </si>
  <si>
    <t>Metallic Dot</t>
  </si>
  <si>
    <t>Aqua/Silver</t>
  </si>
  <si>
    <t>PP000922;PF004701</t>
  </si>
  <si>
    <t>27266912-000-011</t>
  </si>
  <si>
    <t>6/18/2019</t>
  </si>
  <si>
    <t>7/2/2019</t>
  </si>
  <si>
    <t>ID20-1737</t>
  </si>
  <si>
    <t>27266912-000-012</t>
  </si>
  <si>
    <t>6/30/2019</t>
  </si>
  <si>
    <t>ID20-1474</t>
  </si>
  <si>
    <t>Blush/Gold</t>
  </si>
  <si>
    <t>PP000922</t>
  </si>
  <si>
    <t>5/25/2018</t>
  </si>
  <si>
    <t>27266912-000-002</t>
  </si>
  <si>
    <t>5/17/2018</t>
  </si>
  <si>
    <t>6/7/2018</t>
  </si>
  <si>
    <t>ID20-1741</t>
  </si>
  <si>
    <t>PP000922;PF004702</t>
  </si>
  <si>
    <t>AMAZONDS,JCPENNEY01,KOHLDSN,MACY02,TGTDVS,Zulily</t>
  </si>
  <si>
    <t>27266912-000-010</t>
  </si>
  <si>
    <t>7/29/2019</t>
  </si>
  <si>
    <t>ID20-1742</t>
  </si>
  <si>
    <t>27266912-000-014</t>
  </si>
  <si>
    <t>7/5/2019</t>
  </si>
  <si>
    <t>ID20-1743</t>
  </si>
  <si>
    <t>27266912-000-015</t>
  </si>
  <si>
    <t>ID20-1470</t>
  </si>
  <si>
    <t>27266912-000-000</t>
  </si>
  <si>
    <t>II100-0517</t>
  </si>
  <si>
    <t>Metro</t>
  </si>
  <si>
    <t>3 Piece Upholstered Sectional</t>
  </si>
  <si>
    <t>3PC Sectional</t>
  </si>
  <si>
    <t>39940944-000-003</t>
  </si>
  <si>
    <t>II100-0515</t>
  </si>
  <si>
    <t>4 Piece Upholstered Sectional</t>
  </si>
  <si>
    <t>4PC Sectional</t>
  </si>
  <si>
    <t>39940944-000-002</t>
  </si>
  <si>
    <t>MP95F-0327</t>
  </si>
  <si>
    <t>Mia</t>
  </si>
  <si>
    <t>Gold Metal Arch Wall Mirror</t>
  </si>
  <si>
    <t>43921713-000-000</t>
  </si>
  <si>
    <t>5/2/2024</t>
  </si>
  <si>
    <t>II104-0576</t>
  </si>
  <si>
    <t>Woven Rattan Back Swivel Counter Stool</t>
  </si>
  <si>
    <t>MPE10-222</t>
  </si>
  <si>
    <t>RIAB</t>
  </si>
  <si>
    <t>Michelle</t>
  </si>
  <si>
    <t>Christine</t>
  </si>
  <si>
    <t>Tracy</t>
  </si>
  <si>
    <t>24 Piece Room in a Bag</t>
  </si>
  <si>
    <t>PF003677</t>
  </si>
  <si>
    <t>24</t>
  </si>
  <si>
    <t>AMAZON,BLK01,CASTLEGATE,CSNSTORES,NRTPORT,TGTDVS</t>
  </si>
  <si>
    <t>18529342-000-002</t>
  </si>
  <si>
    <t>4/15/2016</t>
  </si>
  <si>
    <t>TN20-0589</t>
  </si>
  <si>
    <t>Micro Fleece</t>
  </si>
  <si>
    <t>PP001622;PF006393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</si>
  <si>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</si>
  <si>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</si>
  <si>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</si>
  <si>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</si>
  <si>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</si>
  <si>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</si>
  <si>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</si>
  <si>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13709532-000-130</t>
  </si>
  <si>
    <t>TN20-0461</t>
  </si>
  <si>
    <t>13709532-000-132</t>
  </si>
  <si>
    <t>TN20-0462</t>
  </si>
  <si>
    <t>13709532-000-131</t>
  </si>
  <si>
    <t>8/10/2021</t>
  </si>
  <si>
    <t>TN20-0463</t>
  </si>
  <si>
    <t>13709532-000-134</t>
  </si>
  <si>
    <t>TN20-0464</t>
  </si>
  <si>
    <t>13709532-000-133</t>
  </si>
  <si>
    <t>TN20-0465</t>
  </si>
  <si>
    <t>13709532-000-135</t>
  </si>
  <si>
    <t>PC20-009</t>
  </si>
  <si>
    <t>PF001563</t>
  </si>
  <si>
    <t>AMAZON,DESINC,FINGERHUTDS,KOHLDSN,MACY02</t>
  </si>
  <si>
    <t>13709532-000-002</t>
  </si>
  <si>
    <t>1/14/2015</t>
  </si>
  <si>
    <t>SHET20-745</t>
  </si>
  <si>
    <t>13709532-000-051</t>
  </si>
  <si>
    <t>3/23/2016</t>
  </si>
  <si>
    <t>PC20-010</t>
  </si>
  <si>
    <t>13709532-000-009</t>
  </si>
  <si>
    <t>1/26/2015</t>
  </si>
  <si>
    <t>PC20-011</t>
  </si>
  <si>
    <t>13709532-000-010</t>
  </si>
  <si>
    <t>PC20-012</t>
  </si>
  <si>
    <t>BLK01,FINGERHUTDS,KOHLDSN</t>
  </si>
  <si>
    <t>13709532-000-011</t>
  </si>
  <si>
    <t>SHET20-746</t>
  </si>
  <si>
    <t>13709532-000-052</t>
  </si>
  <si>
    <t>1/17/2017</t>
  </si>
  <si>
    <t>SHET20-838</t>
  </si>
  <si>
    <t>Blue Diamond</t>
  </si>
  <si>
    <t>PF001781</t>
  </si>
  <si>
    <t>FINGERHUTDS,HSNDS,KOHLDSN</t>
  </si>
  <si>
    <t>13709532-000-056</t>
  </si>
  <si>
    <t>TN20-0522</t>
  </si>
  <si>
    <t>PP001622;PF006086</t>
  </si>
  <si>
    <t>13709532-000-145</t>
  </si>
  <si>
    <t>TN20-0523</t>
  </si>
  <si>
    <t>13709532-000-144</t>
  </si>
  <si>
    <t>TN20-0524</t>
  </si>
  <si>
    <t>13709532-000-147</t>
  </si>
  <si>
    <t>TN20-0525</t>
  </si>
  <si>
    <t>13709532-000-146</t>
  </si>
  <si>
    <t>TN20-0526</t>
  </si>
  <si>
    <t>13709532-000-149</t>
  </si>
  <si>
    <t>TN20-0527</t>
  </si>
  <si>
    <t>13709532-000-148</t>
  </si>
  <si>
    <t>SHET20-530</t>
  </si>
  <si>
    <t>PF001775</t>
  </si>
  <si>
    <t>AMAZON,AMAZONDS,FINGERHUTDS,KOHLDSN</t>
  </si>
  <si>
    <t>13709532-000-020</t>
  </si>
  <si>
    <t>SHET20-737</t>
  </si>
  <si>
    <t>13709532-000-043</t>
  </si>
  <si>
    <t>1/25/2016</t>
  </si>
  <si>
    <t>SHET20-531</t>
  </si>
  <si>
    <t>13709532-000-021</t>
  </si>
  <si>
    <t>1/13/2015</t>
  </si>
  <si>
    <t>SHET20-532</t>
  </si>
  <si>
    <t>13709532-000-022</t>
  </si>
  <si>
    <t>SHET20-533</t>
  </si>
  <si>
    <t>13709532-000-023</t>
  </si>
  <si>
    <t>SHET20-738</t>
  </si>
  <si>
    <t>13709532-000-044</t>
  </si>
  <si>
    <t>11/9/2016</t>
  </si>
  <si>
    <t>PC20-005</t>
  </si>
  <si>
    <t>PF001735</t>
  </si>
  <si>
    <t>13709532-000-001</t>
  </si>
  <si>
    <t>4/8/2015</t>
  </si>
  <si>
    <t>SHET20-743</t>
  </si>
  <si>
    <t>13709532-000-049</t>
  </si>
  <si>
    <t>PC20-006</t>
  </si>
  <si>
    <t>AMAZON,DESINC,KOHLDSN</t>
  </si>
  <si>
    <t>13709532-000-006</t>
  </si>
  <si>
    <t>PC20-008</t>
  </si>
  <si>
    <t>FINGERHUTDS,KOHLDSN</t>
  </si>
  <si>
    <t>13709532-000-008</t>
  </si>
  <si>
    <t>1/23/2015</t>
  </si>
  <si>
    <t>SHET20-744</t>
  </si>
  <si>
    <t>13709532-000-050</t>
  </si>
  <si>
    <t>1/22/2016</t>
  </si>
  <si>
    <t>TN51-0477</t>
  </si>
  <si>
    <t>PP001706;PF005623</t>
  </si>
  <si>
    <t>9/22/2021</t>
  </si>
  <si>
    <t>13124112-000-027</t>
  </si>
  <si>
    <t>SHET20-526</t>
  </si>
  <si>
    <t>PF001774</t>
  </si>
  <si>
    <t>AMAZON,FINGERHUTDS,KOHLDSN,MACY02</t>
  </si>
  <si>
    <t>13709532-000-016</t>
  </si>
  <si>
    <t>5/14/2015</t>
  </si>
  <si>
    <t>SHET20-735</t>
  </si>
  <si>
    <t>BLK01,DESINC,KOHLDSN,MACY02</t>
  </si>
  <si>
    <t>13709532-000-041</t>
  </si>
  <si>
    <t>2/17/2016</t>
  </si>
  <si>
    <t>SHET20-527</t>
  </si>
  <si>
    <t>13709532-000-017</t>
  </si>
  <si>
    <t>8/9/2015</t>
  </si>
  <si>
    <t>SHET20-528</t>
  </si>
  <si>
    <t>AMAZON,FINGERHUTDS,JCPENNEY01,KOHLDSN,TGTDVS,WALMARTDS</t>
  </si>
  <si>
    <t>13709532-000-018</t>
  </si>
  <si>
    <t>SHET20-736</t>
  </si>
  <si>
    <t>13709532-000-042</t>
  </si>
  <si>
    <t>1/21/2016</t>
  </si>
  <si>
    <t>SHET20-842</t>
  </si>
  <si>
    <t>Grey Diamond</t>
  </si>
  <si>
    <t>PF001782</t>
  </si>
  <si>
    <t>13709532-000-060</t>
  </si>
  <si>
    <t>12/7/2016</t>
  </si>
  <si>
    <t>TN20-0528</t>
  </si>
  <si>
    <t>PP001622;PF006087</t>
  </si>
  <si>
    <t>13709532-000-137</t>
  </si>
  <si>
    <t>TN20-0529</t>
  </si>
  <si>
    <t>13709532-000-136</t>
  </si>
  <si>
    <t>TN20-0530</t>
  </si>
  <si>
    <t>13709532-000-138</t>
  </si>
  <si>
    <t>TN20-0531</t>
  </si>
  <si>
    <t>13709532-000-140</t>
  </si>
  <si>
    <t>SHET20-996</t>
  </si>
  <si>
    <t>PF002215</t>
  </si>
  <si>
    <t>13709532-000-084</t>
  </si>
  <si>
    <t>12/15/2016</t>
  </si>
  <si>
    <t>SHET20-997</t>
  </si>
  <si>
    <t>13709532-000-085</t>
  </si>
  <si>
    <t>SHET20-998</t>
  </si>
  <si>
    <t>13709532-000-086</t>
  </si>
  <si>
    <t>SHET20-999</t>
  </si>
  <si>
    <t>13709532-000-087</t>
  </si>
  <si>
    <t>TN20-0532</t>
  </si>
  <si>
    <t>Grey Snowflake</t>
  </si>
  <si>
    <t>PP001622;PF006088</t>
  </si>
  <si>
    <t>13709532-000-139</t>
  </si>
  <si>
    <t>TN20-0533</t>
  </si>
  <si>
    <t>13709532-000-142</t>
  </si>
  <si>
    <t>TN20-0534</t>
  </si>
  <si>
    <t>13709532-000-141</t>
  </si>
  <si>
    <t>TN20-0535</t>
  </si>
  <si>
    <t>13709532-000-143</t>
  </si>
  <si>
    <t>PC20-124</t>
  </si>
  <si>
    <t>PF001746</t>
  </si>
  <si>
    <t>AMAZON,TGTDVS,WALMARTDS</t>
  </si>
  <si>
    <t>13709532-000-012</t>
  </si>
  <si>
    <t>SHET20-747</t>
  </si>
  <si>
    <t>AMAZON,FINGERHUTDS,HSNDS,KOHLDSN,MACY02</t>
  </si>
  <si>
    <t>13709532-000-053</t>
  </si>
  <si>
    <t>7/19/2016</t>
  </si>
  <si>
    <t>PC20-125</t>
  </si>
  <si>
    <t>AMAZON,HSNDS,KOHLDSN,MACY02,WALMARTDS</t>
  </si>
  <si>
    <t>13709532-000-013</t>
  </si>
  <si>
    <t>PC20-127</t>
  </si>
  <si>
    <t>AMAZON,HSNDS,KOHLDSN</t>
  </si>
  <si>
    <t>13709532-000-015</t>
  </si>
  <si>
    <t>SHET20-748</t>
  </si>
  <si>
    <t>13709532-000-054</t>
  </si>
  <si>
    <t>2/10/2016</t>
  </si>
  <si>
    <t>PC20-001</t>
  </si>
  <si>
    <t>PF001674</t>
  </si>
  <si>
    <t>13709532-000-000</t>
  </si>
  <si>
    <t>8/30/2015</t>
  </si>
  <si>
    <t>SHET20-741</t>
  </si>
  <si>
    <t>13709532-000-047</t>
  </si>
  <si>
    <t>1/20/2016</t>
  </si>
  <si>
    <t>PC20-002</t>
  </si>
  <si>
    <t>13709532-000-003</t>
  </si>
  <si>
    <t>4/29/2015</t>
  </si>
  <si>
    <t>PC20-003</t>
  </si>
  <si>
    <t>13709532-000-004</t>
  </si>
  <si>
    <t>3/18/2015</t>
  </si>
  <si>
    <t>PC20-004</t>
  </si>
  <si>
    <t>13709532-000-005</t>
  </si>
  <si>
    <t>1/22/2015</t>
  </si>
  <si>
    <t>SHET20-742</t>
  </si>
  <si>
    <t>13709532-000-048</t>
  </si>
  <si>
    <t>SHET20-796</t>
  </si>
  <si>
    <t>PF001777</t>
  </si>
  <si>
    <t>13709532-000-037</t>
  </si>
  <si>
    <t>SHET20-793</t>
  </si>
  <si>
    <t>13709532-000-038</t>
  </si>
  <si>
    <t>SHET20-794</t>
  </si>
  <si>
    <t>AMAZON,CSNSTORES,DESINC,JCPENNEY01,KOHLDSN,MACY02</t>
  </si>
  <si>
    <t>13709532-000-039</t>
  </si>
  <si>
    <t>11/18/2015</t>
  </si>
  <si>
    <t>SHET20-795</t>
  </si>
  <si>
    <t>13709532-000-040</t>
  </si>
  <si>
    <t>11/17/2015</t>
  </si>
  <si>
    <t>TN20-0449</t>
  </si>
  <si>
    <t>PP001622;PF005446</t>
  </si>
  <si>
    <t>13709532-000-119</t>
  </si>
  <si>
    <t>TN20-0450</t>
  </si>
  <si>
    <t>13709532-000-121</t>
  </si>
  <si>
    <t>5/29/2021</t>
  </si>
  <si>
    <t>10/14/2021</t>
  </si>
  <si>
    <t>TN20-0451</t>
  </si>
  <si>
    <t>13709532-000-120</t>
  </si>
  <si>
    <t>8/16/2021</t>
  </si>
  <si>
    <t>TN20-0453</t>
  </si>
  <si>
    <t>13709532-000-122</t>
  </si>
  <si>
    <t>SHET20-534</t>
  </si>
  <si>
    <t>PF001776</t>
  </si>
  <si>
    <t>AMAZON,FINGERHUTDS</t>
  </si>
  <si>
    <t>13709532-000-024</t>
  </si>
  <si>
    <t>3/31/2015</t>
  </si>
  <si>
    <t>SHET20-739</t>
  </si>
  <si>
    <t>13709532-000-045</t>
  </si>
  <si>
    <t>4/18/2016</t>
  </si>
  <si>
    <t>SHET20-535</t>
  </si>
  <si>
    <t>13709532-000-025</t>
  </si>
  <si>
    <t>SHET20-536</t>
  </si>
  <si>
    <t>13709532-000-026</t>
  </si>
  <si>
    <t>SHET20-537</t>
  </si>
  <si>
    <t>13709532-000-027</t>
  </si>
  <si>
    <t>1/15/2015</t>
  </si>
  <si>
    <t>SHET20-740</t>
  </si>
  <si>
    <t>13709532-000-046</t>
  </si>
  <si>
    <t>8/7/2016</t>
  </si>
  <si>
    <t>BL51-0684</t>
  </si>
  <si>
    <t>PF003598</t>
  </si>
  <si>
    <t>AMAZON,AMAZONDS,ASHFURNDS,BLK01,CSNSTORES,DESINC,MACY02,TGTDVS</t>
  </si>
  <si>
    <t>13124112-000-018</t>
  </si>
  <si>
    <t>ID20-2208</t>
  </si>
  <si>
    <t>All Season Soft Touch Sheet Set</t>
  </si>
  <si>
    <t>PP001853;PF005933</t>
  </si>
  <si>
    <t>16342274-000-046</t>
  </si>
  <si>
    <t>ID20-2209</t>
  </si>
  <si>
    <t>JCPENNEY01,KOHLDSN,NRTPORT,TGTDVS</t>
  </si>
  <si>
    <t>16342274-000-045</t>
  </si>
  <si>
    <t>ID20-2210</t>
  </si>
  <si>
    <t>AMAZON,OLLIIX,TGTDVS</t>
  </si>
  <si>
    <t>16342274-000-055</t>
  </si>
  <si>
    <t>ID20-2211</t>
  </si>
  <si>
    <t>AMAZON,BEALLSDS,JCPENNEY01,KOHLDSN,NRTPORT,TGTDVS</t>
  </si>
  <si>
    <t>16342274-000-052</t>
  </si>
  <si>
    <t>ID20-2212</t>
  </si>
  <si>
    <t>16342274-000-051</t>
  </si>
  <si>
    <t>ID20-2203</t>
  </si>
  <si>
    <t>PP001853;PF005932</t>
  </si>
  <si>
    <t>16342274-000-044</t>
  </si>
  <si>
    <t>ID20-2204</t>
  </si>
  <si>
    <t>16342274-000-048</t>
  </si>
  <si>
    <t>ID20-2206</t>
  </si>
  <si>
    <t>AMAZON,AMAZONDS,JCPENNEY01,KOHLDSN,OLLIIX,TGTDVS</t>
  </si>
  <si>
    <t>16342274-000-050</t>
  </si>
  <si>
    <t>ID20-2207</t>
  </si>
  <si>
    <t>16342274-000-049</t>
  </si>
  <si>
    <t>ID20-1914</t>
  </si>
  <si>
    <t>Sheet Set with Side Storage Pockets</t>
  </si>
  <si>
    <t>PF001772</t>
  </si>
  <si>
    <t>5/13/2020</t>
  </si>
  <si>
    <t>27441431-000-021</t>
  </si>
  <si>
    <t>5/14/2020</t>
  </si>
  <si>
    <t>ID20-1075</t>
  </si>
  <si>
    <t>AMAZONDS,BLK01,FINGERHUTDS,HSNDS,JCPENNEY01,KOHLDSN,MACY02,TGTDVS,WALMARTDS</t>
  </si>
  <si>
    <t>16342274-000-034</t>
  </si>
  <si>
    <t>5/1/2017</t>
  </si>
  <si>
    <t>ID20-1915</t>
  </si>
  <si>
    <t>27441431-000-017</t>
  </si>
  <si>
    <t>5/25/2020</t>
  </si>
  <si>
    <t>ID20-1076</t>
  </si>
  <si>
    <t>AMAZON,BEALLSDS,HSNDS,JCPENNEY01,KOHLDSN,MACY02,NRTPORT,TGTDVS,WALMARTDS</t>
  </si>
  <si>
    <t>16342274-000-035</t>
  </si>
  <si>
    <t>ID20-1916</t>
  </si>
  <si>
    <t>AMAZONDS,HDDS,JCPENNEY01,KOHLDSN,MACY02,TGTDVS</t>
  </si>
  <si>
    <t>27441431-000-016</t>
  </si>
  <si>
    <t>12/28/2020</t>
  </si>
  <si>
    <t>ID20-1078</t>
  </si>
  <si>
    <t>AMAZON,BLK01,FINGERHUTDS,HSNDS,JCPENNEY01,KOHLDSN,MACY02,NRTPORT,OLLIIX,TGTDVS</t>
  </si>
  <si>
    <t>16342274-000-037</t>
  </si>
  <si>
    <t>3/28/2017</t>
  </si>
  <si>
    <t>ID20-132</t>
  </si>
  <si>
    <t>PF001767</t>
  </si>
  <si>
    <t>16342274-000-010</t>
  </si>
  <si>
    <t>ID20-1454</t>
  </si>
  <si>
    <t>HDDS,JCPENNEY01,MACY02,TGTDVS</t>
  </si>
  <si>
    <t>27441431-000-000</t>
  </si>
  <si>
    <t>11/22/2019</t>
  </si>
  <si>
    <t>ID20-1455</t>
  </si>
  <si>
    <t>AMAZON,BLK01,HDDS,JCPENNEY01,KOHLDSN,MACY02,TGTDVS,WALMARTDS</t>
  </si>
  <si>
    <t>27441431-000-007</t>
  </si>
  <si>
    <t>ID20-134</t>
  </si>
  <si>
    <t>AMAZONDS,BEALLSDS,HSNDS,JCPENNEY01,KOHLDSN,MACY02,NRTPORT,OLLIIX,TGTDVS,WALMARTDS</t>
  </si>
  <si>
    <t>16342274-000-012</t>
  </si>
  <si>
    <t>2/9/2015</t>
  </si>
  <si>
    <t>ID20-1457</t>
  </si>
  <si>
    <t>AMAZON,HDDS,JCPENNEY01,KOHLDSN,MACY02,TGTDVS,WALMARTDS</t>
  </si>
  <si>
    <t>27441431-000-015</t>
  </si>
  <si>
    <t>12/11/2018</t>
  </si>
  <si>
    <t>ID20-136</t>
  </si>
  <si>
    <t>AMAZON,AMAZONDS,FINGERHUTDS,HSNDS,JCPENNEY01,NRTPORT,TGTDVS</t>
  </si>
  <si>
    <t>16342274-000-014</t>
  </si>
  <si>
    <t>2/4/2015</t>
  </si>
  <si>
    <t>ID20-2214</t>
  </si>
  <si>
    <t>PP001853;PF005934</t>
  </si>
  <si>
    <t>16342274-000-053</t>
  </si>
  <si>
    <t>ID20-2215</t>
  </si>
  <si>
    <t>16342274-000-057</t>
  </si>
  <si>
    <t>ID20-2216</t>
  </si>
  <si>
    <t>AMAZON,AMAZONDS,JCPENNEY01,KOHLDSN,TGTDVS</t>
  </si>
  <si>
    <t>16342274-000-056</t>
  </si>
  <si>
    <t>ID20-2217</t>
  </si>
  <si>
    <t>AMAZONDS,JCPENNEY01,KOHLDSN,TGTDVS</t>
  </si>
  <si>
    <t>16342274-000-058</t>
  </si>
  <si>
    <t>ID20-137</t>
  </si>
  <si>
    <t>PF001769</t>
  </si>
  <si>
    <t>BEALLSDS,HSNDS,JCPENNEY01,KOHLDSN,MACY02,OLLIIX,TGTDVS,WALMARTDS</t>
  </si>
  <si>
    <t>16342274-000-015</t>
  </si>
  <si>
    <t>ID20-1458</t>
  </si>
  <si>
    <t>27441431-000-014</t>
  </si>
  <si>
    <t>ID20-138</t>
  </si>
  <si>
    <t>BLK01,FINGERHUTDS,HSNDS,JCPENNEY01,KOHLDSN,MACY02,TGTDVS,WALMARTDS</t>
  </si>
  <si>
    <t>16342274-000-016</t>
  </si>
  <si>
    <t>2/20/2015</t>
  </si>
  <si>
    <t>ID20-1459</t>
  </si>
  <si>
    <t>BLK01,HDDS,JCPENNEY01,KOHLDSN,MACY02,TGTDVS</t>
  </si>
  <si>
    <t>27441431-000-006</t>
  </si>
  <si>
    <t>7/2/2018</t>
  </si>
  <si>
    <t>ID20-1460</t>
  </si>
  <si>
    <t>CSNSTORES,HDDS,JCPENNEY01,KOHLDSN,MACY02,OLLIIX,TGTDVS</t>
  </si>
  <si>
    <t>27441431-000-010</t>
  </si>
  <si>
    <t>6/12/2018</t>
  </si>
  <si>
    <t>ID20-141</t>
  </si>
  <si>
    <t>FINGERHUTDS,HSNDS,JCPENNEY01,KOHLDSN,MACY02,TGTDVS,WALMARTDS</t>
  </si>
  <si>
    <t>16342274-000-019</t>
  </si>
  <si>
    <t>ID20-1081</t>
  </si>
  <si>
    <t>PF001773</t>
  </si>
  <si>
    <t>AMAZON,BLK01,FINGERHUTDS,HSNDS,JCPENNEY01,KOHLDSN,MACY02,TGTDVS</t>
  </si>
  <si>
    <t>16342274-000-040</t>
  </si>
  <si>
    <t>ID20-1082</t>
  </si>
  <si>
    <t>AMAZON,BLK01,HSNDS,JCPENNEY01,KOHLDSN,MACY02,TGTDVS,WALMARTDS,Zulily</t>
  </si>
  <si>
    <t>16342274-000-041</t>
  </si>
  <si>
    <t>12/29/2016</t>
  </si>
  <si>
    <t>ID20-1083</t>
  </si>
  <si>
    <t>AMAZON,AMAZONDS,BLK01,FINGERHUTDS,HSNDS,JCPENNEY01,KOHLDSN,MACY02,TGTDVS,WALMARTDS</t>
  </si>
  <si>
    <t>16342274-000-042</t>
  </si>
  <si>
    <t>ID20-1084</t>
  </si>
  <si>
    <t>AMAZON,BLK01,FINGERHUTDS,HSNDS,JCPENNEY01,KOHLDSN,MACY02,OLLIIX,TGTDVS,WALMARTDS</t>
  </si>
  <si>
    <t>16342274-000-043</t>
  </si>
  <si>
    <t>1/12/2017</t>
  </si>
  <si>
    <t>ID20-1910</t>
  </si>
  <si>
    <t>HDDS,JCPENNEY01,MACY02,TGTDVS,WALMARTDS</t>
  </si>
  <si>
    <t>27441431-000-023</t>
  </si>
  <si>
    <t>4/5/2021</t>
  </si>
  <si>
    <t>ID20-143</t>
  </si>
  <si>
    <t>16342274-000-021</t>
  </si>
  <si>
    <t>ID20-1911</t>
  </si>
  <si>
    <t>AMAZONDS,BLK01,HDDS,JCPENNEY01,KOHLDSN,MACY02,TGTDVS,WALMARTDS</t>
  </si>
  <si>
    <t>27441431-000-020</t>
  </si>
  <si>
    <t>ID20-144</t>
  </si>
  <si>
    <t>AMAZON,AMAZONDS,JCPENNEY01,KOHLDSN,MACY02,OLLIIX,TGTDVS,WALMARTDS</t>
  </si>
  <si>
    <t>16342274-000-022</t>
  </si>
  <si>
    <t>ID20-1912</t>
  </si>
  <si>
    <t>AMAZONDS,HDDS,JCPENNEY01,MACY02,TGTDVS,WALMARTDS</t>
  </si>
  <si>
    <t>27441431-000-019</t>
  </si>
  <si>
    <t>7/6/2020</t>
  </si>
  <si>
    <t>ID20-146</t>
  </si>
  <si>
    <t>AMAZON,AMAZONDS,FINGERHUTDS,HSNDS,JCPENNEY01,KOHLDSN,MACY02,NRTPORT,OLLIIX,TGTDVS</t>
  </si>
  <si>
    <t>16342274-000-024</t>
  </si>
  <si>
    <t>CS20-0244</t>
  </si>
  <si>
    <t>Microfiber 75GSM</t>
  </si>
  <si>
    <t>Microfiber 75GSM Solid Sheet Set 4 PC</t>
  </si>
  <si>
    <t>1/2/2019</t>
  </si>
  <si>
    <t>43972194-000-000</t>
  </si>
  <si>
    <t>5/20/2024</t>
  </si>
  <si>
    <t>CS20-0246</t>
  </si>
  <si>
    <t>43972194-000-002</t>
  </si>
  <si>
    <t>ST55-0266</t>
  </si>
  <si>
    <t>Microfiber Heated</t>
  </si>
  <si>
    <t>PP001880;PF005997</t>
  </si>
  <si>
    <t>DESINC,JCPENNEY01,KOHLDSN</t>
  </si>
  <si>
    <t>41947745-000-000</t>
  </si>
  <si>
    <t>9/17/2023</t>
  </si>
  <si>
    <t>ST55-0269</t>
  </si>
  <si>
    <t>41947745-000-005</t>
  </si>
  <si>
    <t>ST55-0270</t>
  </si>
  <si>
    <t>41947745-000-002</t>
  </si>
  <si>
    <t>8/13/2023</t>
  </si>
  <si>
    <t>ST55-0271</t>
  </si>
  <si>
    <t>41947745-000-003</t>
  </si>
  <si>
    <t>BASI16-0584</t>
  </si>
  <si>
    <t>Microfiber with HeiQ Smart Temp</t>
  </si>
  <si>
    <t>Microfiber with HeiQ Smart Temp Treament Waterproof Mattress Pad</t>
  </si>
  <si>
    <t>PP001786;PF005747</t>
  </si>
  <si>
    <t>40710807-000-002</t>
  </si>
  <si>
    <t>BASI10-0581</t>
  </si>
  <si>
    <t>Oversized Down Alt Comforter with HeiQ Smart Temp Treatment</t>
  </si>
  <si>
    <t>PP001785;PF005746</t>
  </si>
  <si>
    <t>40710765-000-001</t>
  </si>
  <si>
    <t>2/1/2023</t>
  </si>
  <si>
    <t>BASI16-0585</t>
  </si>
  <si>
    <t>40710807-000-000</t>
  </si>
  <si>
    <t>BASI10-0582</t>
  </si>
  <si>
    <t>AMAZONDS,BLK01,CSNSTORES,JCPENNEY01,KOHLDSN,MACY02,OLLIIX,TGTDVS,ZOLA</t>
  </si>
  <si>
    <t>40710765-000-000</t>
  </si>
  <si>
    <t>BASI16-0586</t>
  </si>
  <si>
    <t>40710807-000-001</t>
  </si>
  <si>
    <t>1/17/2023</t>
  </si>
  <si>
    <t>TN51-0554</t>
  </si>
  <si>
    <t>Microfleece</t>
  </si>
  <si>
    <t>PP001936;PF006176</t>
  </si>
  <si>
    <t>TN51-0555</t>
  </si>
  <si>
    <t>TN51-0556</t>
  </si>
  <si>
    <t>TN51-0551</t>
  </si>
  <si>
    <t>PP001936;PF006175</t>
  </si>
  <si>
    <t>TN51-0552</t>
  </si>
  <si>
    <t>TN51-0553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</si>
  <si>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</si>
  <si>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</si>
  <si>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</si>
  <si>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</si>
  <si>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</si>
  <si>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</si>
  <si>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</si>
  <si>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</si>
  <si>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</si>
  <si>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</si>
  <si>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</si>
  <si>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</si>
  <si>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BL51-0617</t>
  </si>
  <si>
    <t>Microlight</t>
  </si>
  <si>
    <t>PF003586</t>
  </si>
  <si>
    <t>15379780-000-003</t>
  </si>
  <si>
    <t>ID51-822</t>
  </si>
  <si>
    <t>Microlight Plush</t>
  </si>
  <si>
    <t>Oversized Blanket</t>
  </si>
  <si>
    <t>PF003474</t>
  </si>
  <si>
    <t>AMAZON,AMAZONDS,BEALLSDS,BLK01,CSNSTORES,FINGERHUTDS,JCPENNEY01,KOHLDSN,MACY02,OLLIIX,TGTDVS,WALMARTDS</t>
  </si>
  <si>
    <t>18631076-000-001</t>
  </si>
  <si>
    <t>4/25/2016</t>
  </si>
  <si>
    <t>ID51-1087</t>
  </si>
  <si>
    <t>PF003476</t>
  </si>
  <si>
    <t>AMAZON,ASHFURNDS,CSNSTORES,FINGERHUTDS,KOHLDSN,MACY02,NRTPORT,TGTDVS,WALMARTDS</t>
  </si>
  <si>
    <t>18631076-000-013</t>
  </si>
  <si>
    <t>1/10/2017</t>
  </si>
  <si>
    <t>3/27/2017</t>
  </si>
  <si>
    <t>ID51-1088</t>
  </si>
  <si>
    <t>AMAZON,CSNSTORES,FINGERHUTDS,JCPENNEY01,KOHLDSN,MACY02,NRTPORT,TGTDVS,WALMARTDS</t>
  </si>
  <si>
    <t>18631076-000-014</t>
  </si>
  <si>
    <t>2/16/2017</t>
  </si>
  <si>
    <t>ID51-829</t>
  </si>
  <si>
    <t>PF003473</t>
  </si>
  <si>
    <t>AMAZON,AMAZONDS,ASHFURNDS,BLK01,CSNSTORES,DESINC,FINGERHUTDS,JCPENNEY01,KIRKLANDDS,KOHLDSN,MACY02,NRTPORT,TGTDVS,WALMARTDS,Zulily</t>
  </si>
  <si>
    <t>18631076-000-008</t>
  </si>
  <si>
    <t>ID50-844</t>
  </si>
  <si>
    <t>Oversized Throw</t>
  </si>
  <si>
    <t>18660058-000-002</t>
  </si>
  <si>
    <t>6/14/2016</t>
  </si>
  <si>
    <t>ID51-831</t>
  </si>
  <si>
    <t>PF003475</t>
  </si>
  <si>
    <t>AMAZON,AMAZONDS,ASHFURNDS,BEALLSDS,BLK01,CSNSTORES,DESINC,FINGERHUTDS,JCPENNEY01,KOHLDSN,MACY02,TGTDVS</t>
  </si>
  <si>
    <t>18631076-000-010</t>
  </si>
  <si>
    <t>ID51-1310</t>
  </si>
  <si>
    <t>8/31/2017</t>
  </si>
  <si>
    <t>AMAZON,AMAZONDS,BLK01,CSNSTORES,FINGERHUTDS,JCPENNEY01,KOHLDSN,MACY02,OLLIIX,TGTDVS,WALMARTDS</t>
  </si>
  <si>
    <t>18631076-000-020</t>
  </si>
  <si>
    <t>9/4/2017</t>
  </si>
  <si>
    <t>9/10/2017</t>
  </si>
  <si>
    <t>ID51-1089</t>
  </si>
  <si>
    <t>PF003477</t>
  </si>
  <si>
    <t>18631076-000-015</t>
  </si>
  <si>
    <t>ID51-1090</t>
  </si>
  <si>
    <t>AMAZON,ASHFURNDS,BEALLSDS,CSNSTORES,FINGERHUTDS,JCPENNEY01,KOHLDSN,MACY02,TGTDVS</t>
  </si>
  <si>
    <t>18631076-000-016</t>
  </si>
  <si>
    <t>2/6/2017</t>
  </si>
  <si>
    <t>ID51-1091</t>
  </si>
  <si>
    <t>AMAZON,AMAZONDS,BLK01,CSNSTORES,FINGERHUTDS,JCPENNEY01,KOHLDSN,MACY02,TGTDVS,WALMARTDS,Zulily</t>
  </si>
  <si>
    <t>18631076-000-017</t>
  </si>
  <si>
    <t>3/17/2017</t>
  </si>
  <si>
    <t>BR54-4129</t>
  </si>
  <si>
    <t>Microplush</t>
  </si>
  <si>
    <t>Heated Blanket with Wifi Technology</t>
  </si>
  <si>
    <t>PP001882;PF006002</t>
  </si>
  <si>
    <t>42618483-000-000</t>
  </si>
  <si>
    <t>BR54-4126</t>
  </si>
  <si>
    <t>PP001882;PF006001</t>
  </si>
  <si>
    <t>42618483-000-004</t>
  </si>
  <si>
    <t>BR54-4127</t>
  </si>
  <si>
    <t>42618483-000-001</t>
  </si>
  <si>
    <t>BR54-4131</t>
  </si>
  <si>
    <t>PP001882;PF006003</t>
  </si>
  <si>
    <t>42618483-000-003</t>
  </si>
  <si>
    <t>MP95C-0125</t>
  </si>
  <si>
    <t>Midnight Tide Blue</t>
  </si>
  <si>
    <t>Abstract 5-piece Canvas Wall Art Set</t>
  </si>
  <si>
    <t>PP000603</t>
  </si>
  <si>
    <t>9/13/2017</t>
  </si>
  <si>
    <t>AMERSIGNDS,BEALLSDS,KIRKLANDDS,KOHLDSN,LAMPDS,TGTDVS</t>
  </si>
  <si>
    <t>23715702-000-000</t>
  </si>
  <si>
    <t>8/25/2017</t>
  </si>
  <si>
    <t>II10-1316</t>
  </si>
  <si>
    <t>3 Piece Cotton Comforter Set with Chenille Tufting</t>
  </si>
  <si>
    <t>PP001321;PF006111</t>
  </si>
  <si>
    <t>43956462-000-000</t>
  </si>
  <si>
    <t>2/26/2024</t>
  </si>
  <si>
    <t>II12-1318</t>
  </si>
  <si>
    <t>3 Piece Cotton Duvet Cover Set with Chenille Tufting</t>
  </si>
  <si>
    <t>43956461-000-001</t>
  </si>
  <si>
    <t>II40-1278</t>
  </si>
  <si>
    <t>Cotton Printed Curtain Panel with Chenille detail and Lining</t>
  </si>
  <si>
    <t>PP001321;PF005708</t>
  </si>
  <si>
    <t>AMAZONDS,CSNSTORES,DESINC,JCPENNEY01,KOHLDSN,MACY02,OLLIIX</t>
  </si>
  <si>
    <t>37999039-000-002</t>
  </si>
  <si>
    <t>9/12/2022</t>
  </si>
  <si>
    <t>II12-1067</t>
  </si>
  <si>
    <t>Mill Valley</t>
  </si>
  <si>
    <t>Reversible Cotton Duvet Cover Set</t>
  </si>
  <si>
    <t>PP001318;PF004764</t>
  </si>
  <si>
    <t>34332646-000-001</t>
  </si>
  <si>
    <t>1/28/2020</t>
  </si>
  <si>
    <t>IIF17-0149</t>
  </si>
  <si>
    <t>Milo</t>
  </si>
  <si>
    <t>PP000041</t>
  </si>
  <si>
    <t>20691716-000-000</t>
  </si>
  <si>
    <t>AM14-0365</t>
  </si>
  <si>
    <t>QUILT</t>
  </si>
  <si>
    <t>Mina</t>
  </si>
  <si>
    <t>Hanna</t>
  </si>
  <si>
    <t>Aera</t>
  </si>
  <si>
    <t>Waffle Weave Textured Quilt Set</t>
  </si>
  <si>
    <t>PP001928;PF006425</t>
  </si>
  <si>
    <t>AM14-0366</t>
  </si>
  <si>
    <t>AM14-0367</t>
  </si>
  <si>
    <t>AM14-0368</t>
  </si>
  <si>
    <t>PP001928;PF006426</t>
  </si>
  <si>
    <t>AM14-0369</t>
  </si>
  <si>
    <t>AM14-0370</t>
  </si>
  <si>
    <t>AM14-0371</t>
  </si>
  <si>
    <t>PP001928;PF006427</t>
  </si>
  <si>
    <t>AM14-0372</t>
  </si>
  <si>
    <t>AM14-0373</t>
  </si>
  <si>
    <t>AM14-0374</t>
  </si>
  <si>
    <t>PP001928;PF006428</t>
  </si>
  <si>
    <t>AM14-0375</t>
  </si>
  <si>
    <t>AM14-0376</t>
  </si>
  <si>
    <t>ID10-2382</t>
  </si>
  <si>
    <t>Mira</t>
  </si>
  <si>
    <t>Arabella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</si>
  <si>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</si>
  <si>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</si>
  <si>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</si>
  <si>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</si>
  <si>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</si>
  <si>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</si>
  <si>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42733819-000-003</t>
  </si>
  <si>
    <t>ID10-2267</t>
  </si>
  <si>
    <t>CSNSTORES,NRTPORT,TGTDVS</t>
  </si>
  <si>
    <t>42733819-000-008</t>
  </si>
  <si>
    <t>ID10-2268</t>
  </si>
  <si>
    <t>AMAZON,CSNSTORES,JCPENNEY01,NRTPORT</t>
  </si>
  <si>
    <t>42733819-000-002</t>
  </si>
  <si>
    <t>ID10-2379</t>
  </si>
  <si>
    <t>PP001907;PF006259</t>
  </si>
  <si>
    <t>ID10-2380</t>
  </si>
  <si>
    <t>ID10-2381</t>
  </si>
  <si>
    <t>ID10-2270</t>
  </si>
  <si>
    <t>PP001907;PF006082</t>
  </si>
  <si>
    <t>AMAZON,CSNSTORES,KOHLDSN,NRTPORT,TGTDVS</t>
  </si>
  <si>
    <t>42733819-000-000</t>
  </si>
  <si>
    <t>ID10-2271</t>
  </si>
  <si>
    <t>42733819-000-004</t>
  </si>
  <si>
    <t>ID10-2264</t>
  </si>
  <si>
    <t>PP001907;PF006080</t>
  </si>
  <si>
    <t>CSNSTORES,HDDS,KOHLDSN,NRTPORT,TGTDVS</t>
  </si>
  <si>
    <t>42733819-000-001</t>
  </si>
  <si>
    <t>ID10-2265</t>
  </si>
  <si>
    <t>AMAZON,CSNSTORES,NRTPORT,TGTDVS</t>
  </si>
  <si>
    <t>42733819-000-007</t>
  </si>
  <si>
    <t>SS40-0021</t>
  </si>
  <si>
    <t>Mirage</t>
  </si>
  <si>
    <t>Elysia</t>
  </si>
  <si>
    <t>Azalea</t>
  </si>
  <si>
    <t>Knitted Jacquard Damask Total Blackout Grommet Top Curtain Panel</t>
  </si>
  <si>
    <t>PP001653;PF005528</t>
  </si>
  <si>
    <t>Luxury</t>
  </si>
  <si>
    <t>AMAZON,ASHFURNDS,CASTLEGATE,CSNSTORES,MACY02,OLLIIX,TGTDVS</t>
  </si>
  <si>
    <t>23909103-000-008</t>
  </si>
  <si>
    <t>SS40-0101</t>
  </si>
  <si>
    <t>PP001039;PF004521</t>
  </si>
  <si>
    <t>11/25/2018</t>
  </si>
  <si>
    <t>23909103-000-011</t>
  </si>
  <si>
    <t>10/29/2019</t>
  </si>
  <si>
    <t>SS40-0103</t>
  </si>
  <si>
    <t>23909103-000-010</t>
  </si>
  <si>
    <t>AM10-0176</t>
  </si>
  <si>
    <t>Miro</t>
  </si>
  <si>
    <t>Ayko</t>
  </si>
  <si>
    <t>Marty</t>
  </si>
  <si>
    <t>Soft Washed Color Block Comforter Set</t>
  </si>
  <si>
    <t>PP001980;PF006320</t>
  </si>
  <si>
    <t>44053879-000-003</t>
  </si>
  <si>
    <t>AM10-0177</t>
  </si>
  <si>
    <t>44053879-000-008</t>
  </si>
  <si>
    <t>AM10-0178</t>
  </si>
  <si>
    <t>44053879-000-002</t>
  </si>
  <si>
    <t>BR10-3848</t>
  </si>
  <si>
    <t>3 Piece Gauze Oversized Comforter Set</t>
  </si>
  <si>
    <t>PP001826;PF005864</t>
  </si>
  <si>
    <t>CSNSTORES,JCPENNEY01,MACY02,OLLIIX,TGTDVS</t>
  </si>
  <si>
    <t>40888646-000-002</t>
  </si>
  <si>
    <t>BR10-3849</t>
  </si>
  <si>
    <t>CSNSTORES,JCPENNEY01,KOHLDSN,MACY02,TGTDVS,ZOLA</t>
  </si>
  <si>
    <t>40888646-000-001</t>
  </si>
  <si>
    <t>AM10-0179</t>
  </si>
  <si>
    <t>PP001980;PF006321</t>
  </si>
  <si>
    <t>44053879-000-004</t>
  </si>
  <si>
    <t>AM10-0180</t>
  </si>
  <si>
    <t>44053879-000-000</t>
  </si>
  <si>
    <t>AM10-0181</t>
  </si>
  <si>
    <t>44053879-000-005</t>
  </si>
  <si>
    <t>BR10-3852</t>
  </si>
  <si>
    <t>PP001826;PF005865</t>
  </si>
  <si>
    <t>40888646-000-003</t>
  </si>
  <si>
    <t>AM10-0182</t>
  </si>
  <si>
    <t>PP001980;PF006322</t>
  </si>
  <si>
    <t>44053879-000-007</t>
  </si>
  <si>
    <t>AM10-0183</t>
  </si>
  <si>
    <t>44053879-000-006</t>
  </si>
  <si>
    <t>AM10-0184</t>
  </si>
  <si>
    <t>44053879-000-001</t>
  </si>
  <si>
    <t>II100-0544</t>
  </si>
  <si>
    <t>Modular Armless Chair</t>
  </si>
  <si>
    <t>Armless Chair</t>
  </si>
  <si>
    <t>41053312-000-004</t>
  </si>
  <si>
    <t>1/10/2024</t>
  </si>
  <si>
    <t>II100-0543</t>
  </si>
  <si>
    <t>Modular Corner Chair</t>
  </si>
  <si>
    <t>Corner Chair</t>
  </si>
  <si>
    <t>41053312-000-003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</si>
  <si>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</si>
  <si>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</si>
  <si>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</si>
  <si>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</si>
  <si>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</si>
  <si>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</si>
  <si>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</si>
  <si>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</si>
  <si>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</si>
  <si>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</si>
  <si>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</si>
  <si>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</si>
  <si>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</si>
  <si>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3-Piece Modular L-Shape Sofa</t>
  </si>
  <si>
    <t>43928759-000-001</t>
  </si>
  <si>
    <t>II90-0559</t>
  </si>
  <si>
    <t>4-Piece Modular Sofa with Ottoman</t>
  </si>
  <si>
    <t>43928756-000-000</t>
  </si>
  <si>
    <t>2/23/2024</t>
  </si>
  <si>
    <t>II100-0506</t>
  </si>
  <si>
    <t>Silver Grey</t>
  </si>
  <si>
    <t>1/31/2023</t>
  </si>
  <si>
    <t>41053312-000-002</t>
  </si>
  <si>
    <t>II100-0505</t>
  </si>
  <si>
    <t>CASTLEGATE,CSNSTORES,KOHLDSN,OLLIIX</t>
  </si>
  <si>
    <t>41053312-000-000</t>
  </si>
  <si>
    <t>4/12/2023</t>
  </si>
  <si>
    <t>II101-0507</t>
  </si>
  <si>
    <t>Modular Ottoman</t>
  </si>
  <si>
    <t>41053312-000-001</t>
  </si>
  <si>
    <t>II90-0533</t>
  </si>
  <si>
    <t>Accent Chair|Ottoman</t>
  </si>
  <si>
    <t>43928759-000-000</t>
  </si>
  <si>
    <t>II90-0535</t>
  </si>
  <si>
    <t>43928756-000-001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</si>
  <si>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</si>
  <si>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</si>
  <si>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</si>
  <si>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</si>
  <si>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</si>
  <si>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</si>
  <si>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</si>
  <si>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</si>
  <si>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</si>
  <si>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5DS120-0011</t>
  </si>
  <si>
    <t>Monarch</t>
  </si>
  <si>
    <t>Monarch Coffee Table</t>
  </si>
  <si>
    <t>Dark Coffee/Black</t>
  </si>
  <si>
    <t>ASHFURNDS,DESINC,OLLIIX</t>
  </si>
  <si>
    <t>38980698-000-000</t>
  </si>
  <si>
    <t>MP103-1204</t>
  </si>
  <si>
    <t>Irene</t>
  </si>
  <si>
    <t>Jenny</t>
  </si>
  <si>
    <t>Armless 360 Degree Swivel Chair</t>
  </si>
  <si>
    <t>40538991-000-000</t>
  </si>
  <si>
    <t>CCL11-0020</t>
  </si>
  <si>
    <t>Montague</t>
  </si>
  <si>
    <t>42067462-000-000</t>
  </si>
  <si>
    <t>CCL11-0021</t>
  </si>
  <si>
    <t>BLK01,CSNSTORES,DLCROSCILL,JCPENNEY01</t>
  </si>
  <si>
    <t>42067462-000-001</t>
  </si>
  <si>
    <t>II120-0575</t>
  </si>
  <si>
    <t>Monterey</t>
  </si>
  <si>
    <t>54" Console table</t>
  </si>
  <si>
    <t>54"W</t>
  </si>
  <si>
    <t>6/26/2024</t>
  </si>
  <si>
    <t>MP95C-0325</t>
  </si>
  <si>
    <t>Moody Coast</t>
  </si>
  <si>
    <t>Hand Embellished Landscape Framed Canvas Wall Art</t>
  </si>
  <si>
    <t>Blue/Pink</t>
  </si>
  <si>
    <t>42794029-000-000</t>
  </si>
  <si>
    <t>MP163-0183</t>
  </si>
  <si>
    <t>BOXES &amp; BASKETS</t>
  </si>
  <si>
    <t>Baskets</t>
  </si>
  <si>
    <t>Moraga</t>
  </si>
  <si>
    <t>Basket Set of 2</t>
  </si>
  <si>
    <t>26498904-000-000</t>
  </si>
  <si>
    <t>10/12/2018</t>
  </si>
  <si>
    <t>MT100-1203</t>
  </si>
  <si>
    <t>Morgan</t>
  </si>
  <si>
    <t>Cane Accent Chair with Removable Back Cushion</t>
  </si>
  <si>
    <t>43804499-000-000</t>
  </si>
  <si>
    <t>HH12-1868</t>
  </si>
  <si>
    <t>5 Piece Cotton Jaquard Duvet Set</t>
  </si>
  <si>
    <t>PP001753;PF006226</t>
  </si>
  <si>
    <t>Farm House|Lodge/Cabin</t>
  </si>
  <si>
    <t>40856409-000-002</t>
  </si>
  <si>
    <t>HH12-1869</t>
  </si>
  <si>
    <t>40856409-000-003</t>
  </si>
  <si>
    <t>MP71-4895</t>
  </si>
  <si>
    <t>Mosaic</t>
  </si>
  <si>
    <t>4 Piece Bath Accessory Set</t>
  </si>
  <si>
    <t>8/4/2017</t>
  </si>
  <si>
    <t>AMAZON,CSNSTORES,JCPENNEY01,MACY02,NRTPORT,WALMARTDS</t>
  </si>
  <si>
    <t>23284230-000-001</t>
  </si>
  <si>
    <t>MPS10-523</t>
  </si>
  <si>
    <t>Murphy</t>
  </si>
  <si>
    <t>Oversized Cotton Jacquard Comforter Set with Euro Shams and Throw Pillows</t>
  </si>
  <si>
    <t>PP001957;PF006233</t>
  </si>
  <si>
    <t>MPS10-524</t>
  </si>
  <si>
    <t>UH10-0223</t>
  </si>
  <si>
    <t>Myla</t>
  </si>
  <si>
    <t>Jojo</t>
  </si>
  <si>
    <t>Kira</t>
  </si>
  <si>
    <t>7 Piece Cotton Jacquard Comforter Set</t>
  </si>
  <si>
    <t>PF002478</t>
  </si>
  <si>
    <t>AMAZON,BLK01,CSNSTORES,HSNDS,KOHLDSN,TGTDVS</t>
  </si>
  <si>
    <t>26488682-000-002</t>
  </si>
  <si>
    <t>MT153-0077</t>
  </si>
  <si>
    <t>Mystique</t>
  </si>
  <si>
    <t>Blue Ceramic Ginger Jar Table Lamp</t>
  </si>
  <si>
    <t>43888820-000-000</t>
  </si>
  <si>
    <t>6/2/2024</t>
  </si>
  <si>
    <t>ID10-013</t>
  </si>
  <si>
    <t>Nadia</t>
  </si>
  <si>
    <t>Laila</t>
  </si>
  <si>
    <t>Darcy</t>
  </si>
  <si>
    <t>PF001614;PP000465</t>
  </si>
  <si>
    <t>AMAZON,BLK01,KOHLDSN,MACY02,TGTDVS,WALMARTDS</t>
  </si>
  <si>
    <t>16662807-000-008</t>
  </si>
  <si>
    <t>PET63HM6012</t>
  </si>
  <si>
    <t>Nala</t>
  </si>
  <si>
    <t>Hide Mat SM</t>
  </si>
  <si>
    <t>43826956-000-000</t>
  </si>
  <si>
    <t>PET63HM6013</t>
  </si>
  <si>
    <t>Hide Mat LG</t>
  </si>
  <si>
    <t>30x40"</t>
  </si>
  <si>
    <t>AMAZONDS,CSNSTORES,OLLIIX</t>
  </si>
  <si>
    <t>43826956-000-001</t>
  </si>
  <si>
    <t>MP13-8198</t>
  </si>
  <si>
    <t>Alva</t>
  </si>
  <si>
    <t>Azariah</t>
  </si>
  <si>
    <t>3 Piece Scalloped Edge Crinkle Microfiber Quilt Set</t>
  </si>
  <si>
    <t>PP001861;PF005955</t>
  </si>
  <si>
    <t>BLK01,CSNSTORES,DESINC,KIRKLANDDS,KOHLDSN,MACY02,TGTDVS</t>
  </si>
  <si>
    <t>41374296-000-003</t>
  </si>
  <si>
    <t>4/19/2023</t>
  </si>
  <si>
    <t>ID10-2237</t>
  </si>
  <si>
    <t>Madelyn</t>
  </si>
  <si>
    <t>Metallic Print Faux Fur Comforter Set</t>
  </si>
  <si>
    <t>PF006026;PP001891</t>
  </si>
  <si>
    <t>BLK01,JCPENNEY01,TGTDVS</t>
  </si>
  <si>
    <t>41294106-000-008</t>
  </si>
  <si>
    <t>8/6/2023</t>
  </si>
  <si>
    <t>ID12-2243</t>
  </si>
  <si>
    <t>Metallic Print Faux Fur Duvet Cover Set</t>
  </si>
  <si>
    <t>42078313-000-000</t>
  </si>
  <si>
    <t>ID10-2249</t>
  </si>
  <si>
    <t>41294106-000-007</t>
  </si>
  <si>
    <t>ID12-2247</t>
  </si>
  <si>
    <t>PP001891;PF006028</t>
  </si>
  <si>
    <t>42078313-000-001</t>
  </si>
  <si>
    <t>ID10-2242</t>
  </si>
  <si>
    <t>CSNSTORES,JCPENNEY01,KOHLDSN,NRTPORT</t>
  </si>
  <si>
    <t>41294106-000-009</t>
  </si>
  <si>
    <t>ID12-2248</t>
  </si>
  <si>
    <t>42078313-000-004</t>
  </si>
  <si>
    <t>MT95F-0088</t>
  </si>
  <si>
    <t>Rectangular Wood and Rattan Mirror</t>
  </si>
  <si>
    <t>43922587-000-001</t>
  </si>
  <si>
    <t>MT95F-0089</t>
  </si>
  <si>
    <t>43922587-000-000</t>
  </si>
  <si>
    <t>ID12-2245</t>
  </si>
  <si>
    <t>PP001891;PF006027</t>
  </si>
  <si>
    <t>42078313-000-005</t>
  </si>
  <si>
    <t>ID10-2240</t>
  </si>
  <si>
    <t>AMAZON,CSNSTORES,NRTPORT</t>
  </si>
  <si>
    <t>41294106-000-003</t>
  </si>
  <si>
    <t>ID10-2250</t>
  </si>
  <si>
    <t>41294106-000-004</t>
  </si>
  <si>
    <t>MT154-0071</t>
  </si>
  <si>
    <t>Nassau</t>
  </si>
  <si>
    <t>Metal Bamboo Floor Lamp 60"H</t>
  </si>
  <si>
    <t>Black/Natural</t>
  </si>
  <si>
    <t>42120668-000-000</t>
  </si>
  <si>
    <t>CS14-1296</t>
  </si>
  <si>
    <t>Printed Reversible Quilt Set</t>
  </si>
  <si>
    <t>43966085-000-001</t>
  </si>
  <si>
    <t>CS14-1297</t>
  </si>
  <si>
    <t>AMAZON,DESINC</t>
  </si>
  <si>
    <t>43966085-000-000</t>
  </si>
  <si>
    <t>FPF20-0559</t>
  </si>
  <si>
    <t>Nate</t>
  </si>
  <si>
    <t>Everitt</t>
  </si>
  <si>
    <t>Gally</t>
  </si>
  <si>
    <t>PF000088;PP000222</t>
  </si>
  <si>
    <t>CSNSTORES,KOHLDSN,ROOMECOM,TGTDVS</t>
  </si>
  <si>
    <t>18930304-000-000</t>
  </si>
  <si>
    <t>2/21/2017</t>
  </si>
  <si>
    <t>II12-055</t>
  </si>
  <si>
    <t>Nathan</t>
  </si>
  <si>
    <t>Duvet Cover Mini Set</t>
  </si>
  <si>
    <t>PF001591</t>
  </si>
  <si>
    <t>Mid-Century|Modern/Contemporary</t>
  </si>
  <si>
    <t>16181933-000-000</t>
  </si>
  <si>
    <t>II12-057</t>
  </si>
  <si>
    <t>16181933-000-002</t>
  </si>
  <si>
    <t>MP95G-0005</t>
  </si>
  <si>
    <t>Natural Agate Trio</t>
  </si>
  <si>
    <t>Real Stone Framed Glass and Double Matted Wall Art</t>
  </si>
  <si>
    <t>PF001833</t>
  </si>
  <si>
    <t>AMAZONDS,CSNSTORES,KOHLDSN,OLLIIX,ROOMECOM,TGTDVS</t>
  </si>
  <si>
    <t>17643480-000-000</t>
  </si>
  <si>
    <t>9/29/2015</t>
  </si>
  <si>
    <t>II13-1198</t>
  </si>
  <si>
    <t>Nea AZ</t>
  </si>
  <si>
    <t>Cotton Coverlet Set</t>
  </si>
  <si>
    <t>43943748-000-000</t>
  </si>
  <si>
    <t>5DS153-0052</t>
  </si>
  <si>
    <t>Neonova</t>
  </si>
  <si>
    <t>5DS153-0051</t>
  </si>
  <si>
    <t>II95C-0160</t>
  </si>
  <si>
    <t>Neutral Stones</t>
  </si>
  <si>
    <t>Figural 2-piece Framed Canvas Wall Art Set</t>
  </si>
  <si>
    <t>42794030-000-000</t>
  </si>
  <si>
    <t>II110-0590</t>
  </si>
  <si>
    <t>Newport</t>
  </si>
  <si>
    <t>Lounge Chair Set of 2</t>
  </si>
  <si>
    <t>20675185-000-006</t>
  </si>
  <si>
    <t>II100-0526</t>
  </si>
  <si>
    <t>PF000835;PP000045</t>
  </si>
  <si>
    <t>4/12/2021</t>
  </si>
  <si>
    <t>20675185-000-012</t>
  </si>
  <si>
    <t>II110-0391</t>
  </si>
  <si>
    <t>10/7/2019</t>
  </si>
  <si>
    <t>ASHFURNDS,CASTLEGATE,CSNSTORES,KOHLDSN,MACY02F,OLLIIX,ROOMECOM,ZOLA</t>
  </si>
  <si>
    <t>20675185-000-002</t>
  </si>
  <si>
    <t>11/25/2019</t>
  </si>
  <si>
    <t>II110-0587</t>
  </si>
  <si>
    <t>20675185-000-008</t>
  </si>
  <si>
    <t>MP35-7551</t>
  </si>
  <si>
    <t>Fielding</t>
  </si>
  <si>
    <t>Abstract Area Rug</t>
  </si>
  <si>
    <t>Cream/Blue</t>
  </si>
  <si>
    <t>BIGLOTSDS,JCPENNEY01</t>
  </si>
  <si>
    <t>35376033-000-003</t>
  </si>
  <si>
    <t>II100-0588</t>
  </si>
  <si>
    <t>20675185-000-007</t>
  </si>
  <si>
    <t>II110-0589</t>
  </si>
  <si>
    <t>20675185-000-009</t>
  </si>
  <si>
    <t>MP35-7552</t>
  </si>
  <si>
    <t>9/16/2021</t>
  </si>
  <si>
    <t>35376033-000-007</t>
  </si>
  <si>
    <t>MP35-7554</t>
  </si>
  <si>
    <t>HDDS,JCPENNEY01,OLLIIX</t>
  </si>
  <si>
    <t>35376033-000-004</t>
  </si>
  <si>
    <t>II100-0591</t>
  </si>
  <si>
    <t>Pale Green</t>
  </si>
  <si>
    <t>PF000954;PP000045</t>
  </si>
  <si>
    <t>20675185-000-010</t>
  </si>
  <si>
    <t>IIF18-0015</t>
  </si>
  <si>
    <t>ASHFURNDS,CASTLEGATE,CSNSTORES,HDDS,KOHLDSN,MACY02F,OLLIIX</t>
  </si>
  <si>
    <t>19889542-000-000</t>
  </si>
  <si>
    <t>II100-0586</t>
  </si>
  <si>
    <t>20675185-000-011</t>
  </si>
  <si>
    <t>5DS153-0037</t>
  </si>
  <si>
    <t>Nicolo</t>
  </si>
  <si>
    <t>Textured Ceramic Table Lamp</t>
  </si>
  <si>
    <t>39467327-000-000</t>
  </si>
  <si>
    <t>5DS153-0036</t>
  </si>
  <si>
    <t>CSNSTORES,JCPENNEY01,KOHLDSN,OLLIIX,ROOMECOM,TGTDVS</t>
  </si>
  <si>
    <t>39467327-000-001</t>
  </si>
  <si>
    <t>5/17/2022</t>
  </si>
  <si>
    <t>MPE10-956</t>
  </si>
  <si>
    <t>Nimbus</t>
  </si>
  <si>
    <t>Cirrus</t>
  </si>
  <si>
    <t>Alto</t>
  </si>
  <si>
    <t>5 Piece Comforter Set with Bed Sheets</t>
  </si>
  <si>
    <t>PP001703;PF005620</t>
  </si>
  <si>
    <t>39242488-000-007</t>
  </si>
  <si>
    <t>4/1/2022</t>
  </si>
  <si>
    <t>MPE10-960</t>
  </si>
  <si>
    <t>7 Piece Comforter Set with Bed Sheets</t>
  </si>
  <si>
    <t>39242488-000-003</t>
  </si>
  <si>
    <t>BR9144409622-17</t>
  </si>
  <si>
    <t>Nora</t>
  </si>
  <si>
    <t>10 Piece Geometric Comforter Set with Bed Sheets</t>
  </si>
  <si>
    <t>PP001824;PF005860</t>
  </si>
  <si>
    <t>40070231-000-003</t>
  </si>
  <si>
    <t>BR9144409622-18</t>
  </si>
  <si>
    <t>40070231-000-001</t>
  </si>
  <si>
    <t>BR9144409622-19</t>
  </si>
  <si>
    <t>PP001824;PF005861</t>
  </si>
  <si>
    <t>CSNSTORES,JCPENNEY01,KOHLDSN,MACY02,OLLIIX,TGTDVS,WALMARTDS</t>
  </si>
  <si>
    <t>40070231-000-002</t>
  </si>
  <si>
    <t>MP10-1993</t>
  </si>
  <si>
    <t>Norfolk</t>
  </si>
  <si>
    <t>Ultra Plush Comforter Mini Set</t>
  </si>
  <si>
    <t>PF002102</t>
  </si>
  <si>
    <t>17880396-000-000</t>
  </si>
  <si>
    <t>MP10-1250</t>
  </si>
  <si>
    <t>Northfield</t>
  </si>
  <si>
    <t>Longford</t>
  </si>
  <si>
    <t>Cotton Twill Stain Release Down Blend Comforter</t>
  </si>
  <si>
    <t>PF002074</t>
  </si>
  <si>
    <t>CSNSTORES,HSNDS,JCPENNEY01,KOHLDSN,MACY02,OLLIIX,TGTDVS,WALMARTDS</t>
  </si>
  <si>
    <t>16663862-000-001</t>
  </si>
  <si>
    <t>MP10-1251</t>
  </si>
  <si>
    <t>FINGERHUTDS,HOUZZ,HSNDS,JCPENNEY01,KOHLDSN,MACY02,OLLIIX,TGTDVS</t>
  </si>
  <si>
    <t>16663862-000-002</t>
  </si>
  <si>
    <t>II73-1254</t>
  </si>
  <si>
    <t>Rhett</t>
  </si>
  <si>
    <t>Cotton Dobby Slub 6 Piece Towel Set</t>
  </si>
  <si>
    <t>PP001772;PF005717</t>
  </si>
  <si>
    <t>AMAZONDS,JCPENNEY01,KOHLDSN,MACY02,OLLIIX,TGTDVS</t>
  </si>
  <si>
    <t>40252919-000-001</t>
  </si>
  <si>
    <t>PET63CM6018</t>
  </si>
  <si>
    <t>Back Printed Microberber Bumper Crate Mat</t>
  </si>
  <si>
    <t>43827513-000-000</t>
  </si>
  <si>
    <t>PET63CM6019</t>
  </si>
  <si>
    <t>AMAZON,AMAZONDS,CSNSTORES</t>
  </si>
  <si>
    <t>43827513-000-001</t>
  </si>
  <si>
    <t>PET63CM6020</t>
  </si>
  <si>
    <t>43827513-000-003</t>
  </si>
  <si>
    <t>PET63CM6021</t>
  </si>
  <si>
    <t>43827513-000-002</t>
  </si>
  <si>
    <t>II95F-0155</t>
  </si>
  <si>
    <t>Natural Rattan Rectangle Wall Mirror</t>
  </si>
  <si>
    <t>CSNSTORES,DESINC,HOUZZ,LAMPDS,MACY02,OLLIIX,TGTDVS,ZOLA</t>
  </si>
  <si>
    <t>42180559-000-000</t>
  </si>
  <si>
    <t>II73-1252</t>
  </si>
  <si>
    <t>PP001772;PF005720</t>
  </si>
  <si>
    <t>40252919-000-000</t>
  </si>
  <si>
    <t>PET63CM6014</t>
  </si>
  <si>
    <t>Oxford Bumper Crate Mat</t>
  </si>
  <si>
    <t>Olive Green</t>
  </si>
  <si>
    <t>4/11/2023</t>
  </si>
  <si>
    <t>43827514-000-003</t>
  </si>
  <si>
    <t>PET63CM6015</t>
  </si>
  <si>
    <t>43827514-000-000</t>
  </si>
  <si>
    <t>PET63CM6016</t>
  </si>
  <si>
    <t>43827514-000-002</t>
  </si>
  <si>
    <t>PET63CM6017</t>
  </si>
  <si>
    <t>AMAZON,AMAZONDS,CSNSTORES,DESINC,OLLIIX</t>
  </si>
  <si>
    <t>43827514-000-001</t>
  </si>
  <si>
    <t>II110-0584</t>
  </si>
  <si>
    <t>Novak</t>
  </si>
  <si>
    <t>4/8/2023</t>
  </si>
  <si>
    <t>9/13/2024</t>
  </si>
  <si>
    <t>20226921-000-007</t>
  </si>
  <si>
    <t>4/20/2024</t>
  </si>
  <si>
    <t>II100-0585</t>
  </si>
  <si>
    <t>1/6/2022</t>
  </si>
  <si>
    <t>20226921-000-010</t>
  </si>
  <si>
    <t>II100-0582</t>
  </si>
  <si>
    <t>20226921-000-008</t>
  </si>
  <si>
    <t>ID20-1438</t>
  </si>
  <si>
    <t>Print Sheet Set</t>
  </si>
  <si>
    <t>Aqua Dogs</t>
  </si>
  <si>
    <t>PP000909;PF004369</t>
  </si>
  <si>
    <t>AMAZON,BLK01,CSNSTORES,KOHLDSN,MACY02,OLLIIX</t>
  </si>
  <si>
    <t>26991463-000-011</t>
  </si>
  <si>
    <t>4/29/2018</t>
  </si>
  <si>
    <t>5/21/2018</t>
  </si>
  <si>
    <t>ID20-1439</t>
  </si>
  <si>
    <t>TXL</t>
  </si>
  <si>
    <t>AMAZON,AMAZONDS,BLK01,CSNSTORES,KOHLDSN,MACY02,WALMARTDS</t>
  </si>
  <si>
    <t>26991463-000-002</t>
  </si>
  <si>
    <t>ID20-1440</t>
  </si>
  <si>
    <t>AMAZON,BLK01,CSNSTORES,KOHLDSN,MACY02,NRTPORT,OLLIIX,Zulily</t>
  </si>
  <si>
    <t>26991463-000-005</t>
  </si>
  <si>
    <t>6/5/2018</t>
  </si>
  <si>
    <t>ID20-1427</t>
  </si>
  <si>
    <t>Grey/Blue Road Trip</t>
  </si>
  <si>
    <t>PP000909;PF004366</t>
  </si>
  <si>
    <t>AMAZON,AMAZONDS,CSNSTORES,KOHLDSN,MACY02,WALMARTDS</t>
  </si>
  <si>
    <t>26991463-000-020</t>
  </si>
  <si>
    <t>6/1/2018</t>
  </si>
  <si>
    <t>ID20-1432</t>
  </si>
  <si>
    <t>Pink Cats</t>
  </si>
  <si>
    <t>PP000909;PF004367</t>
  </si>
  <si>
    <t>AMAZON,KOHLDSN,MACY02,WALMARTDS</t>
  </si>
  <si>
    <t>26991463-000-008</t>
  </si>
  <si>
    <t>ID20-1433</t>
  </si>
  <si>
    <t>AMAZON,BLK01,CSNSTORES,KOHLDSN,MACY02,Zulily</t>
  </si>
  <si>
    <t>26991463-000-000</t>
  </si>
  <si>
    <t>BR73-3755</t>
  </si>
  <si>
    <t>Nuage</t>
  </si>
  <si>
    <t>Cotton Tencel Blend Antimicrobial 6 Piece Towel Set</t>
  </si>
  <si>
    <t>PP001792;PF005774</t>
  </si>
  <si>
    <t>40822610-000-001</t>
  </si>
  <si>
    <t>BR73-3750</t>
  </si>
  <si>
    <t>PP001792;PF005769</t>
  </si>
  <si>
    <t>40822610-000-004</t>
  </si>
  <si>
    <t>6/8/2023</t>
  </si>
  <si>
    <t>BR73-3752</t>
  </si>
  <si>
    <t>PP001792;PF005771</t>
  </si>
  <si>
    <t>BLK01,CSNSTORES,HDDS,JCPENNEY01,KOHLDSN,MACY02,OLLIIX,TGTDVS,ZOLA</t>
  </si>
  <si>
    <t>40822610-000-002</t>
  </si>
  <si>
    <t>BR73-3754</t>
  </si>
  <si>
    <t>PP001792;PF005773</t>
  </si>
  <si>
    <t>40822610-000-003</t>
  </si>
  <si>
    <t>BR73-3751</t>
  </si>
  <si>
    <t>PP001792;PF005770</t>
  </si>
  <si>
    <t>40822610-000-005</t>
  </si>
  <si>
    <t>2/16/2023</t>
  </si>
  <si>
    <t>LCN73-0130</t>
  </si>
  <si>
    <t>Nurture</t>
  </si>
  <si>
    <t>Sustainable Antimicrobial Bath Towel 6 Piece Set</t>
  </si>
  <si>
    <t>PP001624;PF005451</t>
  </si>
  <si>
    <t>CSNSTORES,HDDS,JCPENNEY01,KOHLDSN,MACY02,TGTDVS,ZOLA</t>
  </si>
  <si>
    <t>38820878-000-000</t>
  </si>
  <si>
    <t>9/14/2021</t>
  </si>
  <si>
    <t>5DS13-0290</t>
  </si>
  <si>
    <t>Oakley</t>
  </si>
  <si>
    <t>Hayley</t>
  </si>
  <si>
    <t>Glen</t>
  </si>
  <si>
    <t>3 Piece Reversible Bedspread Set</t>
  </si>
  <si>
    <t>PP000972;PF006115</t>
  </si>
  <si>
    <t>2/6/2024</t>
  </si>
  <si>
    <t>28324813-000-006</t>
  </si>
  <si>
    <t>2/22/2024</t>
  </si>
  <si>
    <t>5DS13-0291</t>
  </si>
  <si>
    <t>28324813-000-007</t>
  </si>
  <si>
    <t>3/12/2024</t>
  </si>
  <si>
    <t>5DS13-0292</t>
  </si>
  <si>
    <t>PP000972;PF006116</t>
  </si>
  <si>
    <t>AMAZON,JCPENNEY01,KOHLDSN,OLLIIX,TGTDVS</t>
  </si>
  <si>
    <t>28324813-000-008</t>
  </si>
  <si>
    <t>5DS13-0293</t>
  </si>
  <si>
    <t>AMAZON,CSNSTORES,JCPENNEY01,KOHLDSN,NRTPORT,TGTDVS</t>
  </si>
  <si>
    <t>28324813-000-009</t>
  </si>
  <si>
    <t>II104-0210</t>
  </si>
  <si>
    <t>Oaktown</t>
  </si>
  <si>
    <t>Backless Bar Stool with Swivel Seat</t>
  </si>
  <si>
    <t>PP000580</t>
  </si>
  <si>
    <t>1/20/2018</t>
  </si>
  <si>
    <t>7/28/2024</t>
  </si>
  <si>
    <t>AMERSIGNDS,CSNSTORES,KOHLDSN,MACY02F,OLLIIX,TGTDVS</t>
  </si>
  <si>
    <t>25917092-000-000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</si>
  <si>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</si>
  <si>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</si>
  <si>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</si>
  <si>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</si>
  <si>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</si>
  <si>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MPS10-516</t>
  </si>
  <si>
    <t>43731222-000-001</t>
  </si>
  <si>
    <t>MP95C-0062</t>
  </si>
  <si>
    <t>Ocean Seashells</t>
  </si>
  <si>
    <t>4-piece Framed Canvas Wall Art Set</t>
  </si>
  <si>
    <t>PF001950</t>
  </si>
  <si>
    <t>AMAZON,CSNSTORES,KIRKLANDDS,KOHLDSN,LAMPDS,OLLIIX,TGTDVS,Zulily</t>
  </si>
  <si>
    <t>19308172-000-000</t>
  </si>
  <si>
    <t>MP70-8085</t>
  </si>
  <si>
    <t>Odette</t>
  </si>
  <si>
    <t>Dillon</t>
  </si>
  <si>
    <t>Eliot</t>
  </si>
  <si>
    <t>Jacquard Shower Curtain</t>
  </si>
  <si>
    <t>PP000900;PF005801</t>
  </si>
  <si>
    <t>34828563-000-002</t>
  </si>
  <si>
    <t>MP50-1729</t>
  </si>
  <si>
    <t>Ogee</t>
  </si>
  <si>
    <t>PF003630;PP000475</t>
  </si>
  <si>
    <t>AMAZON,AMAZONDS,ASHFURNDS,FINGERHUTDS,JCPENNEY01,KOHLDSN,MACY02,OLLIIX,TGTDVS</t>
  </si>
  <si>
    <t>17690739-000-001</t>
  </si>
  <si>
    <t>MP50-1728</t>
  </si>
  <si>
    <t>PF003632;PP000475</t>
  </si>
  <si>
    <t>AMAZON,AMAZONDS,ASHFURNDS,CSNSTORES,DESINC,FINGERHUTDS,JCPENNEY01,KOHLDSN,MACY02,TGTDVS</t>
  </si>
  <si>
    <t>17690739-000-000</t>
  </si>
  <si>
    <t>11/16/2015</t>
  </si>
  <si>
    <t>MP95C-0322</t>
  </si>
  <si>
    <t>Old Glory</t>
  </si>
  <si>
    <t>Hand Embellished Framed Canvas Horse Wall Art</t>
  </si>
  <si>
    <t>Brown/Neutral</t>
  </si>
  <si>
    <t>Traditional|Southwest</t>
  </si>
  <si>
    <t>CSNSTORES,KIRKLANDDS,OLLIIX,TGTDVS</t>
  </si>
  <si>
    <t>42672548-000-000</t>
  </si>
  <si>
    <t>MP95C-0076</t>
  </si>
  <si>
    <t>Old White Barn</t>
  </si>
  <si>
    <t>Gel Coat Canvas</t>
  </si>
  <si>
    <t>PF001889</t>
  </si>
  <si>
    <t>Still Life</t>
  </si>
  <si>
    <t>D123202320405301-000-000</t>
  </si>
  <si>
    <t>ID12-2325</t>
  </si>
  <si>
    <t>Oliena</t>
  </si>
  <si>
    <t>Elodie</t>
  </si>
  <si>
    <t>Floral Paisley Duvet Cover Set</t>
  </si>
  <si>
    <t>PF006200</t>
  </si>
  <si>
    <t>43794458-000-001</t>
  </si>
  <si>
    <t>II108-0457</t>
  </si>
  <si>
    <t>Oliver</t>
  </si>
  <si>
    <t>Dining Side Chair Set of 2</t>
  </si>
  <si>
    <t>3/15/2022</t>
  </si>
  <si>
    <t>27160197-000-001</t>
  </si>
  <si>
    <t>3/18/2022</t>
  </si>
  <si>
    <t>3/30/2022</t>
  </si>
  <si>
    <t>ID10-2300</t>
  </si>
  <si>
    <t>Cationic Dyed Clip Jacquard Comforter Set with Throw Pillow</t>
  </si>
  <si>
    <t>PF006163</t>
  </si>
  <si>
    <t>DESINC,TGTDVS</t>
  </si>
  <si>
    <t>43757614-000-001</t>
  </si>
  <si>
    <t>ID10-2301</t>
  </si>
  <si>
    <t>43757614-000-000</t>
  </si>
  <si>
    <t>ID12-2303</t>
  </si>
  <si>
    <t>Cationic Dyed Clip Jacquard Duvet Cover Set with Throw Pillow</t>
  </si>
  <si>
    <t>43757959-000-000</t>
  </si>
  <si>
    <t>MP104-1197</t>
  </si>
  <si>
    <t>Onyx</t>
  </si>
  <si>
    <t>Boyle</t>
  </si>
  <si>
    <t>Grattan</t>
  </si>
  <si>
    <t>Upholstered 360 Degree Swivel Counter Stool 26" H</t>
  </si>
  <si>
    <t>26768229-000-002</t>
  </si>
  <si>
    <t>11/8/2022</t>
  </si>
  <si>
    <t>FB150-1190</t>
  </si>
  <si>
    <t>Opulentia</t>
  </si>
  <si>
    <t>9-light Round Tiered Chandelier with Textured Glass Shades</t>
  </si>
  <si>
    <t>NS10-3725</t>
  </si>
  <si>
    <t>Origami</t>
  </si>
  <si>
    <t>3 Piece Oversized Knit Quilted Top Comforter Mini Set</t>
  </si>
  <si>
    <t>PP001768;PF005709</t>
  </si>
  <si>
    <t>40425737-000-000</t>
  </si>
  <si>
    <t>II151-0139</t>
  </si>
  <si>
    <t>Orion</t>
  </si>
  <si>
    <t>Natural Rope and Metal Mesh Cylinder Pendant</t>
  </si>
  <si>
    <t>40632365-000-000</t>
  </si>
  <si>
    <t>WR10-3842</t>
  </si>
  <si>
    <t>Orlen</t>
  </si>
  <si>
    <t>Plush to Sherpa Comforter Set</t>
  </si>
  <si>
    <t>PP001848;PF005914</t>
  </si>
  <si>
    <t>11/7/2022</t>
  </si>
  <si>
    <t>40769027-000-007</t>
  </si>
  <si>
    <t>WR10-3843</t>
  </si>
  <si>
    <t>40769027-000-008</t>
  </si>
  <si>
    <t>MP10-8375</t>
  </si>
  <si>
    <t>Orly</t>
  </si>
  <si>
    <t>Eliana</t>
  </si>
  <si>
    <t>Tamar</t>
  </si>
  <si>
    <t>3 Piece Tufted Woven Comforter Set</t>
  </si>
  <si>
    <t>PP001922;PF006138</t>
  </si>
  <si>
    <t>BLK01,DESINC,TGTDVS</t>
  </si>
  <si>
    <t>43734757-000-001</t>
  </si>
  <si>
    <t>MP10-8376</t>
  </si>
  <si>
    <t>BLK01,CSNSTORES,KOHLDSN,OLLIIX</t>
  </si>
  <si>
    <t>43734757-000-000</t>
  </si>
  <si>
    <t>II100-0512</t>
  </si>
  <si>
    <t>Oslo</t>
  </si>
  <si>
    <t>Faux Leather Woven Accent Chair</t>
  </si>
  <si>
    <t>41538053-000-000</t>
  </si>
  <si>
    <t>MP40-8182</t>
  </si>
  <si>
    <t>Otis</t>
  </si>
  <si>
    <t>Leo</t>
  </si>
  <si>
    <t>Faux Linen Cordless Total Blackout Roman Shade</t>
  </si>
  <si>
    <t>PP001845;PF005903</t>
  </si>
  <si>
    <t>42129401-000-007</t>
  </si>
  <si>
    <t>MP40-8183</t>
  </si>
  <si>
    <t>42129401-000-000</t>
  </si>
  <si>
    <t>MP40-8184</t>
  </si>
  <si>
    <t>42129401-000-004</t>
  </si>
  <si>
    <t>MP40-8185</t>
  </si>
  <si>
    <t>AMAZONDS,CSNSTORES,JCPENNEY01</t>
  </si>
  <si>
    <t>42129401-000-005</t>
  </si>
  <si>
    <t>MP40-8188</t>
  </si>
  <si>
    <t>PP001845;PF005904</t>
  </si>
  <si>
    <t>42129401-000-002</t>
  </si>
  <si>
    <t>5DS13-0032</t>
  </si>
  <si>
    <t>Otto</t>
  </si>
  <si>
    <t>Nash</t>
  </si>
  <si>
    <t>Trace</t>
  </si>
  <si>
    <t>3 Piece Reversible Quilt Set</t>
  </si>
  <si>
    <t>PF004288;PP000894</t>
  </si>
  <si>
    <t>BLK01,CSNSTORES,JCPENNEY01,KIRKLANDDS,KOHLDSN,MACY02,OLLIIX,TGTDVS,Zulily</t>
  </si>
  <si>
    <t>26132655-000-000</t>
  </si>
  <si>
    <t>5/7/2018</t>
  </si>
  <si>
    <t>5DS13-0033</t>
  </si>
  <si>
    <t>BIGLOTSDS,BLK01,CSNSTORES,JCPENNEY01,KOHLDSN,MACY02,OLLIIX,TGTDVS,WALMARTDS</t>
  </si>
  <si>
    <t>26132655-000-001</t>
  </si>
  <si>
    <t>BR20-1857</t>
  </si>
  <si>
    <t>Oversized Cotton Flannel</t>
  </si>
  <si>
    <t>4 Piece Sheet Set</t>
  </si>
  <si>
    <t>Beige Windowpane</t>
  </si>
  <si>
    <t>PP001510;PF005125</t>
  </si>
  <si>
    <t>36614943-000-004</t>
  </si>
  <si>
    <t>BR20-1858</t>
  </si>
  <si>
    <t>36614943-000-012</t>
  </si>
  <si>
    <t>BR20-1859</t>
  </si>
  <si>
    <t>36614943-000-013</t>
  </si>
  <si>
    <t>BR20-4171</t>
  </si>
  <si>
    <t>Beige/White Stripes</t>
  </si>
  <si>
    <t>PP001510;PF006052</t>
  </si>
  <si>
    <t>36614943-000-025</t>
  </si>
  <si>
    <t>BR20-4172</t>
  </si>
  <si>
    <t>36614943-000-024</t>
  </si>
  <si>
    <t>BR20-4174</t>
  </si>
  <si>
    <t>36614943-000-027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</si>
  <si>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</si>
  <si>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</si>
  <si>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</si>
  <si>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</si>
  <si>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</si>
  <si>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</si>
  <si>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</si>
  <si>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</si>
  <si>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</si>
  <si>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36614943-000-017</t>
  </si>
  <si>
    <t>BR20-1862</t>
  </si>
  <si>
    <t>36614943-000-014</t>
  </si>
  <si>
    <t>11/11/2020</t>
  </si>
  <si>
    <t>BR20-1863</t>
  </si>
  <si>
    <t>36614943-000-010</t>
  </si>
  <si>
    <t>2/21/2021</t>
  </si>
  <si>
    <t>BR20-1853</t>
  </si>
  <si>
    <t>Grey Windowpane</t>
  </si>
  <si>
    <t>PP001510;PF005123</t>
  </si>
  <si>
    <t>36614943-000-003</t>
  </si>
  <si>
    <t>BR20-1854</t>
  </si>
  <si>
    <t>36614943-000-018</t>
  </si>
  <si>
    <t>10/27/2020</t>
  </si>
  <si>
    <t>BR20-1855</t>
  </si>
  <si>
    <t>36614943-000-009</t>
  </si>
  <si>
    <t>10/12/2020</t>
  </si>
  <si>
    <t>BR20-1849</t>
  </si>
  <si>
    <t>PP001510;PF005126</t>
  </si>
  <si>
    <t>36614943-000-016</t>
  </si>
  <si>
    <t>10/26/2020</t>
  </si>
  <si>
    <t>BR20-1850</t>
  </si>
  <si>
    <t>36614943-000-019</t>
  </si>
  <si>
    <t>BR20-1851</t>
  </si>
  <si>
    <t>36614943-000-002</t>
  </si>
  <si>
    <t>1/18/2021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</si>
  <si>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</si>
  <si>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</si>
  <si>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</si>
  <si>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</si>
  <si>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</si>
  <si>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</si>
  <si>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</si>
  <si>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</si>
  <si>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</si>
  <si>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</si>
  <si>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</si>
  <si>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</si>
  <si>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</si>
  <si>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</si>
  <si>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</si>
  <si>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36614943-000-006</t>
  </si>
  <si>
    <t>9/6/2020</t>
  </si>
  <si>
    <t>BR20-1846</t>
  </si>
  <si>
    <t>36614943-000-007</t>
  </si>
  <si>
    <t>BR20-1847</t>
  </si>
  <si>
    <t>36614943-000-021</t>
  </si>
  <si>
    <t>12/11/2020</t>
  </si>
  <si>
    <t>BR20-4167</t>
  </si>
  <si>
    <t>White Tossed Botanical</t>
  </si>
  <si>
    <t>PP001510;PF006051</t>
  </si>
  <si>
    <t>36614943-000-031</t>
  </si>
  <si>
    <t>BR20-4168</t>
  </si>
  <si>
    <t>36614943-000-030</t>
  </si>
  <si>
    <t>BR20-4169</t>
  </si>
  <si>
    <t>36614943-000-029</t>
  </si>
  <si>
    <t>BR54-1157</t>
  </si>
  <si>
    <t>Oversized Plush</t>
  </si>
  <si>
    <t>Printed Heated Throw</t>
  </si>
  <si>
    <t>PP001309;PF004749</t>
  </si>
  <si>
    <t>AMAZON,BLK01,CSNSTORES,KOHLDSN</t>
  </si>
  <si>
    <t>34433208-000-000</t>
  </si>
  <si>
    <t>FPF18-0219</t>
  </si>
  <si>
    <t>Oxford</t>
  </si>
  <si>
    <t>Mid-Century Accent Chair</t>
  </si>
  <si>
    <t>Burnt Orange</t>
  </si>
  <si>
    <t>PF000651;PP000226</t>
  </si>
  <si>
    <t>ASHFURNDS,CASTLEGATE,CSNSTORES,KOHLDSN,LAMPDS,OLLIIX,ROOMECOM</t>
  </si>
  <si>
    <t>16977709-000-002</t>
  </si>
  <si>
    <t>3/11/2015</t>
  </si>
  <si>
    <t>FPF18-0217</t>
  </si>
  <si>
    <t>PF000649;PP000226</t>
  </si>
  <si>
    <t>AMERSIGNDS,CASTLEGATE,CSNSTORES,OLLIIX</t>
  </si>
  <si>
    <t>16977709-000-000</t>
  </si>
  <si>
    <t>FPF21-0367</t>
  </si>
  <si>
    <t>Pacific</t>
  </si>
  <si>
    <t>Metal Tripod Floor Lamp with Glass Shade</t>
  </si>
  <si>
    <t>PF002773</t>
  </si>
  <si>
    <t>AMERSIGNDS,CASTLEGATE,CSNSTORES,MACY02,OLLIIX,ROOMECOM,TGTDVS</t>
  </si>
  <si>
    <t>17626799-000-000</t>
  </si>
  <si>
    <t>II151-0105</t>
  </si>
  <si>
    <t>Metal Pendant with Drum Shade</t>
  </si>
  <si>
    <t>Plated Nickel</t>
  </si>
  <si>
    <t>37377053-000-000</t>
  </si>
  <si>
    <t>II154-0091</t>
  </si>
  <si>
    <t>CSNSTORES,OLLIIX,ROOMECOM,TGTDVS</t>
  </si>
  <si>
    <t>17626799-000-001</t>
  </si>
  <si>
    <t>9/7/2018</t>
  </si>
  <si>
    <t>MP10-6177</t>
  </si>
  <si>
    <t>Palisades</t>
  </si>
  <si>
    <t>Hanover</t>
  </si>
  <si>
    <t>Overland</t>
  </si>
  <si>
    <t>7 Piece Faux Suede Comforter Set</t>
  </si>
  <si>
    <t>PP000481;PF004572</t>
  </si>
  <si>
    <t>Traditional|Casual</t>
  </si>
  <si>
    <t>2/15/2019</t>
  </si>
  <si>
    <t>AMAZON,BLK01,CSNSTORES,DESINC,FINGERHUTDS,KOHLDSN,MACY02,OLLIIX</t>
  </si>
  <si>
    <t>13946108-000-005</t>
  </si>
  <si>
    <t>4/3/2019</t>
  </si>
  <si>
    <t>4/10/2019</t>
  </si>
  <si>
    <t>MP100-0441</t>
  </si>
  <si>
    <t>Nicoli</t>
  </si>
  <si>
    <t>PF001083</t>
  </si>
  <si>
    <t>7/26/2017</t>
  </si>
  <si>
    <t>7/21/2024</t>
  </si>
  <si>
    <t>ASHFURNDS,CSNSTORES,KOHLDSN,LAMPDS,MACY02F,OLLIIX</t>
  </si>
  <si>
    <t>23224680-000-000</t>
  </si>
  <si>
    <t>MP10-8146</t>
  </si>
  <si>
    <t>Panache</t>
  </si>
  <si>
    <t>8 Piece Embroidered Microfiber Comforter Set</t>
  </si>
  <si>
    <t>PP001836;PF005887</t>
  </si>
  <si>
    <t>12/9/2022</t>
  </si>
  <si>
    <t>AMAZON,CSNSTORES,KOHLDSN,MACY02,TGTDVS,Zulily</t>
  </si>
  <si>
    <t>40899072-000-002</t>
  </si>
  <si>
    <t>BASI10-0421</t>
  </si>
  <si>
    <t>Parker</t>
  </si>
  <si>
    <t>Williams</t>
  </si>
  <si>
    <t>Plush Down Alternative Comforter Set</t>
  </si>
  <si>
    <t>PF002130;PP000483</t>
  </si>
  <si>
    <t>19301941-000-005</t>
  </si>
  <si>
    <t>BASI50-0427</t>
  </si>
  <si>
    <t>Oversized Plush Down Alternative Filled Throw</t>
  </si>
  <si>
    <t>ASHFURNDS,BLK01,MACY02,OLLIIX,TGTDVS</t>
  </si>
  <si>
    <t>19195715-000-001</t>
  </si>
  <si>
    <t>8/9/2016</t>
  </si>
  <si>
    <t>BASI10-0418</t>
  </si>
  <si>
    <t>PF002129;PP000483</t>
  </si>
  <si>
    <t>19301941-000-003</t>
  </si>
  <si>
    <t>BASI10-0419</t>
  </si>
  <si>
    <t>19301941-000-004</t>
  </si>
  <si>
    <t>BASI50-0426</t>
  </si>
  <si>
    <t>19195715-000-000</t>
  </si>
  <si>
    <t>BASI50-0429</t>
  </si>
  <si>
    <t>PF002132</t>
  </si>
  <si>
    <t>19195715-000-003</t>
  </si>
  <si>
    <t>BASI10-0423</t>
  </si>
  <si>
    <t>PF002131;PP000483</t>
  </si>
  <si>
    <t>19301941-000-002</t>
  </si>
  <si>
    <t>BASI10-0424</t>
  </si>
  <si>
    <t>19301941-000-007</t>
  </si>
  <si>
    <t>BASI10-0425</t>
  </si>
  <si>
    <t>19301941-000-008</t>
  </si>
  <si>
    <t>BASI50-0428</t>
  </si>
  <si>
    <t>19195715-000-002</t>
  </si>
  <si>
    <t>MPE10-948</t>
  </si>
  <si>
    <t>Parkston</t>
  </si>
  <si>
    <t>Hartford</t>
  </si>
  <si>
    <t>3M Scotchgard Down Alternative All Season Comforter Set</t>
  </si>
  <si>
    <t>PP001340;PF005481</t>
  </si>
  <si>
    <t>AMAZON,AMAZONDS,BLK01,CSNSTORES,JCPENNEY01,KOHLDSN,MACY02,TGTDVS,Zulily</t>
  </si>
  <si>
    <t>16339273-000-010</t>
  </si>
  <si>
    <t>MPE10-950</t>
  </si>
  <si>
    <t>16339273-000-006</t>
  </si>
  <si>
    <t>8/5/2021</t>
  </si>
  <si>
    <t>MPE10-598</t>
  </si>
  <si>
    <t>PF002084</t>
  </si>
  <si>
    <t>8/23/2017</t>
  </si>
  <si>
    <t>AMAZON,AMAZONDS,HSNDS,JCPENNEY01,KOHLDSN,MACY02,TGTDVS,WALMARTDS</t>
  </si>
  <si>
    <t>23718199-000-000</t>
  </si>
  <si>
    <t>10/16/2017</t>
  </si>
  <si>
    <t>MPE10-600</t>
  </si>
  <si>
    <t>AMAZON,AMAZONDS,ASHFURNDS,BLK01,CSNSTORES,JCPENNEY01,KOHLDSN,MACY02,TGTDVS</t>
  </si>
  <si>
    <t>23718199-000-002</t>
  </si>
  <si>
    <t>BASI10-0242</t>
  </si>
  <si>
    <t>PF002083</t>
  </si>
  <si>
    <t>AMAZON,AMAZONDS,BLK01,CSNSTORES,DESINC,JCPENNEY01,KOHLDSN,MACY02,OLLIIX,TGTDVS</t>
  </si>
  <si>
    <t>16339273-000-000</t>
  </si>
  <si>
    <t>MPE10-945</t>
  </si>
  <si>
    <t>PP001340;PF005480</t>
  </si>
  <si>
    <t>16339273-000-007</t>
  </si>
  <si>
    <t>8/1/2021</t>
  </si>
  <si>
    <t>MPE10-947</t>
  </si>
  <si>
    <t>16339273-000-009</t>
  </si>
  <si>
    <t>II95B-0159</t>
  </si>
  <si>
    <t>Paths Collide</t>
  </si>
  <si>
    <t>Framed Carved Resin Dimensional Wall Decor</t>
  </si>
  <si>
    <t>43051392-000-000</t>
  </si>
  <si>
    <t>MPE10-873</t>
  </si>
  <si>
    <t>Patrick</t>
  </si>
  <si>
    <t>Paton</t>
  </si>
  <si>
    <t>Leroy</t>
  </si>
  <si>
    <t>6 Piece Comforter Set with Bed Sheets</t>
  </si>
  <si>
    <t>PF004948;PP001404</t>
  </si>
  <si>
    <t>11/26/2019</t>
  </si>
  <si>
    <t>35226636-000-002</t>
  </si>
  <si>
    <t>11/29/2019</t>
  </si>
  <si>
    <t>MP95B-0270</t>
  </si>
  <si>
    <t>Patterned Tiles</t>
  </si>
  <si>
    <t>Distressed Navy Blue Medallion 3-piece Wall Decor Set</t>
  </si>
  <si>
    <t>PF005466</t>
  </si>
  <si>
    <t>AMAZON,BEALLSDS,CSNSTORES,DESINC,JCPENNEY01,KIRKLANDDS,KOHLDSN,LAMPDS,MACY02,OLLIIX,TGTDVS,Zulily</t>
  </si>
  <si>
    <t>18755597-000-001</t>
  </si>
  <si>
    <t>5DS100-0035</t>
  </si>
  <si>
    <t>Paula</t>
  </si>
  <si>
    <t>Slipcover Accent Armchair</t>
  </si>
  <si>
    <t>5DS100-0019</t>
  </si>
  <si>
    <t>6/21/2023</t>
  </si>
  <si>
    <t>AMERSIGNDS,KIRKLANDDS,TGTDVS</t>
  </si>
  <si>
    <t>5DS100-0041</t>
  </si>
  <si>
    <t>MP95C-0323</t>
  </si>
  <si>
    <t>Peaceful River</t>
  </si>
  <si>
    <t>Hand Embellished Framed Canvas Abstract Landscape Wall Art</t>
  </si>
  <si>
    <t>Green Multi</t>
  </si>
  <si>
    <t>CSNSTORES,DESINC,MACY02,OLLIIX,TGTDVS</t>
  </si>
  <si>
    <t>42672547-000-000</t>
  </si>
  <si>
    <t>MP20-5413</t>
  </si>
  <si>
    <t>Peached Percale</t>
  </si>
  <si>
    <t>200 Thread Count Relaxed Cotton Percale Sheet Set</t>
  </si>
  <si>
    <t>PF004094</t>
  </si>
  <si>
    <t>BEALLSDS,CSNSTORES,JCPENNEY01,KOHLDSN,MACY02,OLLIIX,TGTDVS,WALMARTDS,Zulily</t>
  </si>
  <si>
    <t>26575275-000-024</t>
  </si>
  <si>
    <t>4/11/2018</t>
  </si>
  <si>
    <t>MP20-5414</t>
  </si>
  <si>
    <t>26575275-000-034</t>
  </si>
  <si>
    <t>MP20-5416</t>
  </si>
  <si>
    <t>26575275-000-021</t>
  </si>
  <si>
    <t>6/26/2018</t>
  </si>
  <si>
    <t>MP20-5389</t>
  </si>
  <si>
    <t>PF004090</t>
  </si>
  <si>
    <t>BLK01,JCPENNEY01,KOHLDSN,MACY02,TGTDVS,WALMARTDS</t>
  </si>
  <si>
    <t>26575275-000-033</t>
  </si>
  <si>
    <t>MP20-5392</t>
  </si>
  <si>
    <t>BLK01,CSNSTORES,JCPENNEY01,MACY02,OLLIIX,TGTDVS</t>
  </si>
  <si>
    <t>26575275-000-008</t>
  </si>
  <si>
    <t>6/13/2018</t>
  </si>
  <si>
    <t>MP20-5377</t>
  </si>
  <si>
    <t>PF004088</t>
  </si>
  <si>
    <t>BLK01,JCPENNEY01,KOHLDSN,MACY02,OLLIIX,TGTDVS,WALMARTDS,Zulily</t>
  </si>
  <si>
    <t>26575275-000-004</t>
  </si>
  <si>
    <t>4/12/2018</t>
  </si>
  <si>
    <t>MP20-5407</t>
  </si>
  <si>
    <t>PF004093</t>
  </si>
  <si>
    <t>BLK01,JCPENNEY01,KOHLDSN,MACY02,OLLIIX,TGTDVS,WALMARTDS</t>
  </si>
  <si>
    <t>26575275-000-031</t>
  </si>
  <si>
    <t>5/9/2018</t>
  </si>
  <si>
    <t>MP20-5409</t>
  </si>
  <si>
    <t>BLK01,HDDS,JCPENNEY01,KOHLDSN,MACY02,OLLIIX,TGTDVS,WALMARTDS</t>
  </si>
  <si>
    <t>26575275-000-030</t>
  </si>
  <si>
    <t>MP20-6638</t>
  </si>
  <si>
    <t>PP001365;PF004864</t>
  </si>
  <si>
    <t>26575275-000-043</t>
  </si>
  <si>
    <t>MP20-6640</t>
  </si>
  <si>
    <t>BLK01,JCPENNEY01,KOHLDSN,MACY02,OLLIIX</t>
  </si>
  <si>
    <t>26575275-000-038</t>
  </si>
  <si>
    <t>10/24/2019</t>
  </si>
  <si>
    <t>MP20-6643</t>
  </si>
  <si>
    <t>26575275-000-035</t>
  </si>
  <si>
    <t>MP20-5397</t>
  </si>
  <si>
    <t>PF004091</t>
  </si>
  <si>
    <t>BLK01,CSNSTORES,JCPENNEY01,KOHLDSN,MACY02,OLLIIX,TGTDVS,WALMARTDS,Zulily</t>
  </si>
  <si>
    <t>26575275-000-002</t>
  </si>
  <si>
    <t>MP20-5382</t>
  </si>
  <si>
    <t>PF004089</t>
  </si>
  <si>
    <t>26575275-000-005</t>
  </si>
  <si>
    <t>MP20-5383</t>
  </si>
  <si>
    <t>BEALLSDS,BLK01,CSNSTORES,JCPENNEY01,MACY02,OLLIIX,TGTDVS</t>
  </si>
  <si>
    <t>26575275-000-023</t>
  </si>
  <si>
    <t>5/22/2018</t>
  </si>
  <si>
    <t>MP20-5385</t>
  </si>
  <si>
    <t>BLK01,CSNSTORES,JCPENNEY01,KOHLDSN,MACY02,OLLIIX,TGTDVS,WALMARTDS</t>
  </si>
  <si>
    <t>26575275-000-025</t>
  </si>
  <si>
    <t>MP20-5403</t>
  </si>
  <si>
    <t>PF004092</t>
  </si>
  <si>
    <t>BLK01,CSNSTORES,JCPENNEY01,KOHLDSN,MACY02,NRTPORT,OLLIIX,TGTDVS,WALMARTDS,Zulily</t>
  </si>
  <si>
    <t>26575275-000-029</t>
  </si>
  <si>
    <t>5/2/2018</t>
  </si>
  <si>
    <t>MP20-5404</t>
  </si>
  <si>
    <t>BEALLSDS,CSNSTORES,HOUZZ,JCPENNEY01,KOHLDSN,MACY02,OLLIIX,TGTDVS,WALMARTDS,Zulily</t>
  </si>
  <si>
    <t>26575275-000-015</t>
  </si>
  <si>
    <t>MP104-1148</t>
  </si>
  <si>
    <t>Pearce</t>
  </si>
  <si>
    <t>Walsh</t>
  </si>
  <si>
    <t>Howard</t>
  </si>
  <si>
    <t>Bar Stool with Swivel Seat</t>
  </si>
  <si>
    <t>AMERSIGNDS,CSNSTORES</t>
  </si>
  <si>
    <t>26360394-000-011</t>
  </si>
  <si>
    <t>MP104-1257</t>
  </si>
  <si>
    <t>26360394-000-005</t>
  </si>
  <si>
    <t>MP104-1052</t>
  </si>
  <si>
    <t>26360394-000-012</t>
  </si>
  <si>
    <t>10/28/2020</t>
  </si>
  <si>
    <t>MP104-1255</t>
  </si>
  <si>
    <t>PP000623</t>
  </si>
  <si>
    <t>26360394-000-007</t>
  </si>
  <si>
    <t>MP104-1149</t>
  </si>
  <si>
    <t>CSNSTORES,DESINC,OLLIIX,TGTDVS</t>
  </si>
  <si>
    <t>26360394-000-009</t>
  </si>
  <si>
    <t>3/13/2022</t>
  </si>
  <si>
    <t>MP104-1147</t>
  </si>
  <si>
    <t>CSNSTORES,JCPENNEY01,NEBFUR01</t>
  </si>
  <si>
    <t>26360394-000-003</t>
  </si>
  <si>
    <t>MP104-1259</t>
  </si>
  <si>
    <t>Bar Stool with Swivel Seat Set of 2</t>
  </si>
  <si>
    <t>26360394-000-008</t>
  </si>
  <si>
    <t>MP104-1256</t>
  </si>
  <si>
    <t>26360394-000-006</t>
  </si>
  <si>
    <t>MZ12-0594</t>
  </si>
  <si>
    <t>Pearl</t>
  </si>
  <si>
    <t>Phoebe</t>
  </si>
  <si>
    <t>Daphne</t>
  </si>
  <si>
    <t>Metallic Printed Reversible Duvet Cover Set</t>
  </si>
  <si>
    <t>Aqua/Purple</t>
  </si>
  <si>
    <t>PF004811</t>
  </si>
  <si>
    <t>BLK01,CSNSTORES,JCPENNEY01,KOHLDSN,MACY02,TGTDVS,Zulily</t>
  </si>
  <si>
    <t>33881129-000-001</t>
  </si>
  <si>
    <t>MP50-3723</t>
  </si>
  <si>
    <t>Pebble Beach</t>
  </si>
  <si>
    <t>Pacific Grove</t>
  </si>
  <si>
    <t>Ocean View</t>
  </si>
  <si>
    <t>Oversized Cotton Quilted Throw</t>
  </si>
  <si>
    <t>PF002758;PP000484</t>
  </si>
  <si>
    <t>AMAZON,AMAZONDS,ASHFURNDS,BEALLSDS,BLK01,CSNSTORES,HSNDS,KOHLDSN,MACY02,OLLIIX,ROOMECOM,TGTDVS,WALMARTDS,Zulily</t>
  </si>
  <si>
    <t>19596196-000-000</t>
  </si>
  <si>
    <t>9/25/2016</t>
  </si>
  <si>
    <t>MPS10-521</t>
  </si>
  <si>
    <t>Pescal</t>
  </si>
  <si>
    <t>Oversized Velvet Comforter Set with Euro Shams and Throw Pillows</t>
  </si>
  <si>
    <t>PP001955;PF006227</t>
  </si>
  <si>
    <t>MPS10-522</t>
  </si>
  <si>
    <t>ID95C-0041</t>
  </si>
  <si>
    <t>Pet Portrait</t>
  </si>
  <si>
    <t>Bohemian Cat In Forest Framed Canvas Wall Art</t>
  </si>
  <si>
    <t>Bohemian Cat</t>
  </si>
  <si>
    <t>Casual|Shabby Chic</t>
  </si>
  <si>
    <t>DESINC,OLLIIX,TGTDVS</t>
  </si>
  <si>
    <t>42721568-000-001</t>
  </si>
  <si>
    <t>ID95C-0045</t>
  </si>
  <si>
    <t>Captain's Guard Pug Framed Canvas Wall Art</t>
  </si>
  <si>
    <t>Captain Pug</t>
  </si>
  <si>
    <t>Casual|Coastal</t>
  </si>
  <si>
    <t>42721568-000-006</t>
  </si>
  <si>
    <t>ID95C-0047</t>
  </si>
  <si>
    <t>King Charles Spaniel III Framed Canvas Wall Art</t>
  </si>
  <si>
    <t>King Charles Spaniel III</t>
  </si>
  <si>
    <t>Casual|Traditional</t>
  </si>
  <si>
    <t>42721568-000-002</t>
  </si>
  <si>
    <t>ID95C-0046</t>
  </si>
  <si>
    <t>Kitty Queen Charlotte Framed Canvas Wall Art</t>
  </si>
  <si>
    <t>Kitty Queen Charlotte</t>
  </si>
  <si>
    <t>AMAZON,DESINC,MACY02,TGTDVS</t>
  </si>
  <si>
    <t>42721568-000-003</t>
  </si>
  <si>
    <t>ID95C-0042</t>
  </si>
  <si>
    <t>Kitty Queen Belle Framed Canvas Wall Art</t>
  </si>
  <si>
    <t>Queen Belle</t>
  </si>
  <si>
    <t>AMAZON,CSNSTORES,DESINC,MACY02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</si>
  <si>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</si>
  <si>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</si>
  <si>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</si>
  <si>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</si>
  <si>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</si>
  <si>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</si>
  <si>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</si>
  <si>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</si>
  <si>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AMAZON,CSNSTORES,DESINC,OLLIIX,TGTDVS</t>
  </si>
  <si>
    <t>42721568-000-004</t>
  </si>
  <si>
    <t>MT120-1202</t>
  </si>
  <si>
    <t>Philippe</t>
  </si>
  <si>
    <t>Round Coffee Table with Shelf</t>
  </si>
  <si>
    <t>Traditional|MT Lily Pond|Coastal</t>
  </si>
  <si>
    <t>43752253-000-000</t>
  </si>
  <si>
    <t>MT100-1204</t>
  </si>
  <si>
    <t>Accent Arm Chair</t>
  </si>
  <si>
    <t>Morocco Brown/Taupe</t>
  </si>
  <si>
    <t>MT106-1205</t>
  </si>
  <si>
    <t>Loveseat</t>
  </si>
  <si>
    <t>AM10-0185</t>
  </si>
  <si>
    <t>Himari</t>
  </si>
  <si>
    <t>Diamond Quilted Ruffle Edge Comforter Set</t>
  </si>
  <si>
    <t>PP001981;PF006323</t>
  </si>
  <si>
    <t>5/7/2024</t>
  </si>
  <si>
    <t>44053878-000-003</t>
  </si>
  <si>
    <t>AM10-0186</t>
  </si>
  <si>
    <t>44053878-000-006</t>
  </si>
  <si>
    <t>AM10-0187</t>
  </si>
  <si>
    <t>44053878-000-002</t>
  </si>
  <si>
    <t>AM10-0188</t>
  </si>
  <si>
    <t>PP001981;PF006324</t>
  </si>
  <si>
    <t>44053878-000-010</t>
  </si>
  <si>
    <t>AM10-0189</t>
  </si>
  <si>
    <t>44053878-000-007</t>
  </si>
  <si>
    <t>AM10-0190</t>
  </si>
  <si>
    <t>44053878-000-012</t>
  </si>
  <si>
    <t>AM10-0194</t>
  </si>
  <si>
    <t>PP001981;PF006326</t>
  </si>
  <si>
    <t>44053878-000-000</t>
  </si>
  <si>
    <t>AM10-0195</t>
  </si>
  <si>
    <t>44053878-000-014</t>
  </si>
  <si>
    <t>AM10-0196</t>
  </si>
  <si>
    <t>44053878-000-004</t>
  </si>
  <si>
    <t>AM10-0191</t>
  </si>
  <si>
    <t>PP001981;PF006325</t>
  </si>
  <si>
    <t>44053878-000-005</t>
  </si>
  <si>
    <t>AM10-0192</t>
  </si>
  <si>
    <t>44053878-000-013</t>
  </si>
  <si>
    <t>AM10-0193</t>
  </si>
  <si>
    <t>44053878-000-009</t>
  </si>
  <si>
    <t>AM10-0197</t>
  </si>
  <si>
    <t>PP001981;PF006327</t>
  </si>
  <si>
    <t>44053878-000-011</t>
  </si>
  <si>
    <t>AM10-0198</t>
  </si>
  <si>
    <t>44053878-000-008</t>
  </si>
  <si>
    <t>AM10-0199</t>
  </si>
  <si>
    <t>44053878-000-001</t>
  </si>
  <si>
    <t>CS10-0068</t>
  </si>
  <si>
    <t>Pierre</t>
  </si>
  <si>
    <t>Comforter Set( Comforter mini set with one dec pillow )</t>
  </si>
  <si>
    <t>3/2/2017</t>
  </si>
  <si>
    <t>43960385-000-000</t>
  </si>
  <si>
    <t>ID10-2201</t>
  </si>
  <si>
    <t>Pike</t>
  </si>
  <si>
    <t>Carter</t>
  </si>
  <si>
    <t>Plaid Reversible Comforter Set</t>
  </si>
  <si>
    <t>White/Gray</t>
  </si>
  <si>
    <t>PF005618</t>
  </si>
  <si>
    <t>AMAZON,CSNSTORES,DESINC,JCPENNEY01,KOHLDSN,MACY02,OLLIIX</t>
  </si>
  <si>
    <t>39297866-000-002</t>
  </si>
  <si>
    <t>CSP10-1484</t>
  </si>
  <si>
    <t>6/9/2021</t>
  </si>
  <si>
    <t>AMAZON,CSNSTORES,DESINC,JCPENNEY01,KOHLDSN,MACY02,OLLIIX,TGTDVS,ZOLA</t>
  </si>
  <si>
    <t>39297866-000-001</t>
  </si>
  <si>
    <t>3/27/2022</t>
  </si>
  <si>
    <t>CSP10-1485</t>
  </si>
  <si>
    <t>39297866-000-000</t>
  </si>
  <si>
    <t>3/14/2022</t>
  </si>
  <si>
    <t>MZ10-189</t>
  </si>
  <si>
    <t>Pipeline</t>
  </si>
  <si>
    <t>Switch</t>
  </si>
  <si>
    <t>Maverick</t>
  </si>
  <si>
    <t>PF000190</t>
  </si>
  <si>
    <t>AMAZON,HDDS,JCPENNEY01,KOHLDSN,MACY02,OLLIIX,TGTDVS</t>
  </si>
  <si>
    <t>14607150-000-004</t>
  </si>
  <si>
    <t>BR73-2440</t>
  </si>
  <si>
    <t>100% Cotton Feather Touch Antimicrobial Towel 6 Piece Set</t>
  </si>
  <si>
    <t>PP001590;PF005341</t>
  </si>
  <si>
    <t>AMAZON,CSNSTORES,HDDS,JCPENNEY01,KOHLDSN,MACY02,OLLIIX,TGTDVS,ZOLA</t>
  </si>
  <si>
    <t>37965788-000-000</t>
  </si>
  <si>
    <t>BR73-2439</t>
  </si>
  <si>
    <t>PP001590;PF005340</t>
  </si>
  <si>
    <t>AMAZON,AMAZONDS,CSNSTORES,JCPENNEY01,KOHLDSN,MACY02,NORDSTRACKDS,TGTDVS,ZOLA</t>
  </si>
  <si>
    <t>37965788-000-004</t>
  </si>
  <si>
    <t>BR73-4070</t>
  </si>
  <si>
    <t>PP001590;PF005957</t>
  </si>
  <si>
    <t>ST54-0083</t>
  </si>
  <si>
    <t>Plush Heated</t>
  </si>
  <si>
    <t>37390124-000-014</t>
  </si>
  <si>
    <t>ST54-0087</t>
  </si>
  <si>
    <t>37390124-000-004</t>
  </si>
  <si>
    <t>ST54-0130</t>
  </si>
  <si>
    <t>6/25/2021</t>
  </si>
  <si>
    <t>CSNSTORES,FINGERHUTDS,KOHLDSN,MACY02</t>
  </si>
  <si>
    <t>37390124-000-016</t>
  </si>
  <si>
    <t>ST54-0131</t>
  </si>
  <si>
    <t>37390124-000-018</t>
  </si>
  <si>
    <t>ST54-0132</t>
  </si>
  <si>
    <t>CSNSTORES,FINGERHUTDS,JCPENNEY01,KOHLDSN,MACY02</t>
  </si>
  <si>
    <t>37390124-000-017</t>
  </si>
  <si>
    <t>8/20/2021</t>
  </si>
  <si>
    <t>ST54-0120</t>
  </si>
  <si>
    <t>37639220-000-005</t>
  </si>
  <si>
    <t>9/3/2021</t>
  </si>
  <si>
    <t>ST54-0097</t>
  </si>
  <si>
    <t>37390124-000-015</t>
  </si>
  <si>
    <t>MZ20-499</t>
  </si>
  <si>
    <t>Polka Dot</t>
  </si>
  <si>
    <t>Printed 100% Cotton Sheet Set</t>
  </si>
  <si>
    <t>Dark Pink</t>
  </si>
  <si>
    <t>PF001573</t>
  </si>
  <si>
    <t>AMAZON,AMAZONDS,CSNSTORES,HSNDS,KOHLDSN,MACY02,TGTDVS</t>
  </si>
  <si>
    <t>18525726-000-015</t>
  </si>
  <si>
    <t>11/14/2016</t>
  </si>
  <si>
    <t>MZ20-500</t>
  </si>
  <si>
    <t>18525726-000-016</t>
  </si>
  <si>
    <t>10/7/2016</t>
  </si>
  <si>
    <t>MZ20-415</t>
  </si>
  <si>
    <t>PF001570</t>
  </si>
  <si>
    <t>18525726-000-006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</si>
  <si>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</si>
  <si>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</si>
  <si>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</si>
  <si>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</si>
  <si>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</si>
  <si>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</si>
  <si>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</si>
  <si>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</si>
  <si>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</si>
  <si>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</si>
  <si>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</si>
  <si>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</si>
  <si>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</si>
  <si>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</si>
  <si>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</si>
  <si>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AM10-0140</t>
  </si>
  <si>
    <t>Porter</t>
  </si>
  <si>
    <t>Evans</t>
  </si>
  <si>
    <t>Walker</t>
  </si>
  <si>
    <t>Soft Washed Pleated Comforter Set</t>
  </si>
  <si>
    <t>PP001927;PF006243</t>
  </si>
  <si>
    <t>42786875-000-019</t>
  </si>
  <si>
    <t>AM12-0149</t>
  </si>
  <si>
    <t>Soft Washed Pleated Duvet Cover Set</t>
  </si>
  <si>
    <t>PP001927;PF006240</t>
  </si>
  <si>
    <t>42786797-000-020</t>
  </si>
  <si>
    <t>AM10-0392</t>
  </si>
  <si>
    <t>Clay</t>
  </si>
  <si>
    <t>PP001927;PF006422</t>
  </si>
  <si>
    <t>AM12-0410</t>
  </si>
  <si>
    <t>AM10-0393</t>
  </si>
  <si>
    <t>AM12-0411</t>
  </si>
  <si>
    <t>AM10-0394</t>
  </si>
  <si>
    <t>AM12-0412</t>
  </si>
  <si>
    <t>AM12-0034</t>
  </si>
  <si>
    <t>PP001927;PF006150</t>
  </si>
  <si>
    <t>42786797-000-006</t>
  </si>
  <si>
    <t>AM10-0389</t>
  </si>
  <si>
    <t>PP001927;PF006420</t>
  </si>
  <si>
    <t>AM12-0407</t>
  </si>
  <si>
    <t>AM10-0390</t>
  </si>
  <si>
    <t>AM12-0408</t>
  </si>
  <si>
    <t>AM10-0391</t>
  </si>
  <si>
    <t>AM12-0409</t>
  </si>
  <si>
    <t>AM10-0398</t>
  </si>
  <si>
    <t>PP001927;PF006423</t>
  </si>
  <si>
    <t>AM12-0416</t>
  </si>
  <si>
    <t>AM10-0399</t>
  </si>
  <si>
    <t>AM12-0417</t>
  </si>
  <si>
    <t>AM10-0400</t>
  </si>
  <si>
    <t>AM12-0418</t>
  </si>
  <si>
    <t>AM10-0401</t>
  </si>
  <si>
    <t>PP001927;PF006424</t>
  </si>
  <si>
    <t>AM12-0419</t>
  </si>
  <si>
    <t>AM10-0402</t>
  </si>
  <si>
    <t>AM12-0420</t>
  </si>
  <si>
    <t>AM10-0403</t>
  </si>
  <si>
    <t>AM12-0421</t>
  </si>
  <si>
    <t>AM10-0395</t>
  </si>
  <si>
    <t>PP001927;PF006421</t>
  </si>
  <si>
    <t>AM12-0413</t>
  </si>
  <si>
    <t>AM10-0396</t>
  </si>
  <si>
    <t>AM12-0414</t>
  </si>
  <si>
    <t>AM10-0397</t>
  </si>
  <si>
    <t>AM12-0415</t>
  </si>
  <si>
    <t>AM12-0146</t>
  </si>
  <si>
    <t>PP001927;PF006242</t>
  </si>
  <si>
    <t>42786797-000-011</t>
  </si>
  <si>
    <t>AM10-0386</t>
  </si>
  <si>
    <t>PP001927;PF006419</t>
  </si>
  <si>
    <t>AM12-0404</t>
  </si>
  <si>
    <t>AM10-0387</t>
  </si>
  <si>
    <t>AM12-0405</t>
  </si>
  <si>
    <t>AM10-0388</t>
  </si>
  <si>
    <t>AM12-0406</t>
  </si>
  <si>
    <t>MZ12-0647</t>
  </si>
  <si>
    <t>Primrose</t>
  </si>
  <si>
    <t>Evie</t>
  </si>
  <si>
    <t>Purple Multi</t>
  </si>
  <si>
    <t>PF005829</t>
  </si>
  <si>
    <t>1/11/2024</t>
  </si>
  <si>
    <t>43642762-000-001</t>
  </si>
  <si>
    <t>MZ20-0540</t>
  </si>
  <si>
    <t>Printed</t>
  </si>
  <si>
    <t>Microfiber Sheet Set</t>
  </si>
  <si>
    <t>Blue Whales</t>
  </si>
  <si>
    <t>PF002354</t>
  </si>
  <si>
    <t>4/13/2017</t>
  </si>
  <si>
    <t>AMAZON,KOHLDSN,NRTPORT,OLLIIX</t>
  </si>
  <si>
    <t>21528187-000-007</t>
  </si>
  <si>
    <t>5/10/2017</t>
  </si>
  <si>
    <t>MZ20-0541</t>
  </si>
  <si>
    <t>AMAZON,BLK01,CSNSTORES,KOHLDSN,NRTPORT,OLLIIX</t>
  </si>
  <si>
    <t>21528187-000-008</t>
  </si>
  <si>
    <t>4/28/2017</t>
  </si>
  <si>
    <t>MZ20-0638</t>
  </si>
  <si>
    <t>Rainbow</t>
  </si>
  <si>
    <t>PF005825</t>
  </si>
  <si>
    <t>9/21/2022</t>
  </si>
  <si>
    <t>AMAZONDS,KOHLDSN,MACY02,OLLIIX</t>
  </si>
  <si>
    <t>21528187-000-016</t>
  </si>
  <si>
    <t>9/26/2022</t>
  </si>
  <si>
    <t>MZ20-0641</t>
  </si>
  <si>
    <t>Space Rocket</t>
  </si>
  <si>
    <t>PF005826</t>
  </si>
  <si>
    <t>AMAZONDS,CSNSTORES,KOHLDSN,MACY02,OLLIIX</t>
  </si>
  <si>
    <t>21528187-000-013</t>
  </si>
  <si>
    <t>ID20-2365</t>
  </si>
  <si>
    <t>Printed Microfiber</t>
  </si>
  <si>
    <t>Beige Dotted Arches</t>
  </si>
  <si>
    <t>PP001852;PF006229</t>
  </si>
  <si>
    <t>42128527-000-009</t>
  </si>
  <si>
    <t>ID20-2366</t>
  </si>
  <si>
    <t>42128527-000-008</t>
  </si>
  <si>
    <t>ID20-2218</t>
  </si>
  <si>
    <t>Black Floral</t>
  </si>
  <si>
    <t>PP001852;PF005930</t>
  </si>
  <si>
    <t>3/2/2023</t>
  </si>
  <si>
    <t>42128527-000-006</t>
  </si>
  <si>
    <t>ID20-2220</t>
  </si>
  <si>
    <t>42128527-000-002</t>
  </si>
  <si>
    <t>ID20-2221</t>
  </si>
  <si>
    <t>AMAZON,AMAZONDS,BLK01,JCPENNEY01,KOHLDSN,NRTPORT,TGTDVS</t>
  </si>
  <si>
    <t>42128527-000-003</t>
  </si>
  <si>
    <t>ID20-2222</t>
  </si>
  <si>
    <t>Blue Chevron</t>
  </si>
  <si>
    <t>PP001852;PF005931</t>
  </si>
  <si>
    <t>AMAZON,AMAZONDS,CSNSTORES,KOHLDSN,MACY02,OLLIIX,TGTDVS</t>
  </si>
  <si>
    <t>42128527-000-004</t>
  </si>
  <si>
    <t>ID20-2225</t>
  </si>
  <si>
    <t>42128527-000-001</t>
  </si>
  <si>
    <t>1/30/2024</t>
  </si>
  <si>
    <t>ID20-2361</t>
  </si>
  <si>
    <t>Blush Waves</t>
  </si>
  <si>
    <t>PP001852;PF006228</t>
  </si>
  <si>
    <t>42128527-000-013</t>
  </si>
  <si>
    <t>ID20-2362</t>
  </si>
  <si>
    <t>42128527-000-012</t>
  </si>
  <si>
    <t>ID20-2363</t>
  </si>
  <si>
    <t>42128527-000-015</t>
  </si>
  <si>
    <t>ID20-2364</t>
  </si>
  <si>
    <t>42128527-000-014</t>
  </si>
  <si>
    <t>ST54-0146</t>
  </si>
  <si>
    <t>Printed Plush</t>
  </si>
  <si>
    <t>PF005547;PP001669</t>
  </si>
  <si>
    <t>CSNSTORES,KOHLDSN,NRTPORT,TGTDVS</t>
  </si>
  <si>
    <t>38225639-000-001</t>
  </si>
  <si>
    <t>ST54-0149</t>
  </si>
  <si>
    <t>PF005550;PP001669</t>
  </si>
  <si>
    <t>HSNDS,KOHLDSN,TGTDVS</t>
  </si>
  <si>
    <t>38225639-000-000</t>
  </si>
  <si>
    <t>8/24/2021</t>
  </si>
  <si>
    <t>MPE20-1025</t>
  </si>
  <si>
    <t>Printed Satin</t>
  </si>
  <si>
    <t>Blue Marble</t>
  </si>
  <si>
    <t>PP001851;PF006096</t>
  </si>
  <si>
    <t>Satin</t>
  </si>
  <si>
    <t>42672831-000-008</t>
  </si>
  <si>
    <t>MPE20-1028</t>
  </si>
  <si>
    <t>42672831-000-011</t>
  </si>
  <si>
    <t>MPE20-999</t>
  </si>
  <si>
    <t>Gray Leopard</t>
  </si>
  <si>
    <t>PP001851;PF005928</t>
  </si>
  <si>
    <t>3/1/2023</t>
  </si>
  <si>
    <t>42672831-000-004</t>
  </si>
  <si>
    <t>MPE20-1002</t>
  </si>
  <si>
    <t>AMAZON,BLK01,JCPENNEY01,KIRKLANDDS,KOHLDSN,MACY02,NRTPORT,OLLIIX,TGTDVS</t>
  </si>
  <si>
    <t>42672831-000-001</t>
  </si>
  <si>
    <t>MPE20-992</t>
  </si>
  <si>
    <t>Taupe Leopard</t>
  </si>
  <si>
    <t>PP001851;PF005927</t>
  </si>
  <si>
    <t>AMAZON,JCPENNEY01,KOHLDSN,MACY02,NRTPORT,TGTDVS</t>
  </si>
  <si>
    <t>42672831-000-002</t>
  </si>
  <si>
    <t>MPE20-993</t>
  </si>
  <si>
    <t>AMAZON,CSNSTORES,JCPENNEY01,KOHLDSN,MACY02,NRTPORT,TGTDVS</t>
  </si>
  <si>
    <t>42672831-000-000</t>
  </si>
  <si>
    <t>MPE20-995</t>
  </si>
  <si>
    <t>AMAZON,BLK01,HDDS,JCPENNEY01,KIRKLANDDS,KOHLDSN,MACY02,NRTPORT,OLLIIX,TGTDVS</t>
  </si>
  <si>
    <t>42672831-000-005</t>
  </si>
  <si>
    <t>MT153-0073</t>
  </si>
  <si>
    <t>Provencal</t>
  </si>
  <si>
    <t>29"H Resin Table Lamp Set of 2</t>
  </si>
  <si>
    <t>Reclaimed Grey</t>
  </si>
  <si>
    <t>12/9/2023</t>
  </si>
  <si>
    <t>43169901-000-000</t>
  </si>
  <si>
    <t>12/10/2023</t>
  </si>
  <si>
    <t>BASI16-0249</t>
  </si>
  <si>
    <t>Quiet Nights</t>
  </si>
  <si>
    <t>Ensure</t>
  </si>
  <si>
    <t>300 Thread Count Cotton Sateen Waterproof Mattress Pad</t>
  </si>
  <si>
    <t>PF002048</t>
  </si>
  <si>
    <t>AMAZON,AMAZONDS,BEALLSDS,BLK01,CSNSTORES,FINGERHUTDS,JCPENNEY01,KOHLDSN,MACY02,TGTDVS,WALMARTDS</t>
  </si>
  <si>
    <t>13476503-000-005</t>
  </si>
  <si>
    <t>BR13-1361</t>
  </si>
  <si>
    <t>ELECTRIC QUILT</t>
  </si>
  <si>
    <t>Electric Quilt</t>
  </si>
  <si>
    <t>Quilted Plush</t>
  </si>
  <si>
    <t>PP001454;PF005022</t>
  </si>
  <si>
    <t>11/17/2019</t>
  </si>
  <si>
    <t>35116974-000-007</t>
  </si>
  <si>
    <t>5/4/2020</t>
  </si>
  <si>
    <t>BR13-1362</t>
  </si>
  <si>
    <t>AMAZONDS,CSNSTORES,HDDS,KOHLDSN,MACY02,TGTDVS</t>
  </si>
  <si>
    <t>35116974-000-009</t>
  </si>
  <si>
    <t>7/19/2020</t>
  </si>
  <si>
    <t>BR13-1364</t>
  </si>
  <si>
    <t>35116974-000-002</t>
  </si>
  <si>
    <t>4/27/2020</t>
  </si>
  <si>
    <t>BR13-1357</t>
  </si>
  <si>
    <t>PP001454;PF005021</t>
  </si>
  <si>
    <t>AMAZONDS,CSNSTORES,MACY02</t>
  </si>
  <si>
    <t>35116974-000-000</t>
  </si>
  <si>
    <t>BR13-1358</t>
  </si>
  <si>
    <t>35116974-000-005</t>
  </si>
  <si>
    <t>BR13-1360</t>
  </si>
  <si>
    <t>JCPENNEY01,MACY02,OLLIIX,TGTDVS</t>
  </si>
  <si>
    <t>35116974-000-003</t>
  </si>
  <si>
    <t>10/14/2020</t>
  </si>
  <si>
    <t>BR13-1365</t>
  </si>
  <si>
    <t>PP001454;PF005023</t>
  </si>
  <si>
    <t>35116974-000-011</t>
  </si>
  <si>
    <t>4/19/2020</t>
  </si>
  <si>
    <t>BR13-1366</t>
  </si>
  <si>
    <t>35116974-000-001</t>
  </si>
  <si>
    <t>FPF18-0512</t>
  </si>
  <si>
    <t>Qwen</t>
  </si>
  <si>
    <t>Button Tufted Accent Chair</t>
  </si>
  <si>
    <t>PF000756;PP000233</t>
  </si>
  <si>
    <t>ASHFURNDS,CASTLEGATE,CSNSTORES,KIRKLANDDS,KOHLDSN,MACY02F,OLLIIX,ROOMECOM</t>
  </si>
  <si>
    <t>18677251-000-000</t>
  </si>
  <si>
    <t>MP167-0352</t>
  </si>
  <si>
    <t>DECO ACCENTS</t>
  </si>
  <si>
    <t>Tabletop Decor</t>
  </si>
  <si>
    <t>Rabbit</t>
  </si>
  <si>
    <t>Small Object</t>
  </si>
  <si>
    <t>Small</t>
  </si>
  <si>
    <t>Nickel</t>
  </si>
  <si>
    <t>35272192-000-000</t>
  </si>
  <si>
    <t>12/6/2019</t>
  </si>
  <si>
    <t>MP95B-0319</t>
  </si>
  <si>
    <t>Radiant</t>
  </si>
  <si>
    <t>Half-moon 2-piece Metal Wall Decor Set</t>
  </si>
  <si>
    <t>42877457-000-000</t>
  </si>
  <si>
    <t>TN54-0341</t>
  </si>
  <si>
    <t>Raina</t>
  </si>
  <si>
    <t>Arielle</t>
  </si>
  <si>
    <t>Heated Metallic Print Throw</t>
  </si>
  <si>
    <t>PP000896;PF004307</t>
  </si>
  <si>
    <t>AMAZON,ASHFURNDS,FINGERHUTDS,JCPENNEY01,KOHLDSN,TGTDVS</t>
  </si>
  <si>
    <t>27555593-000-003</t>
  </si>
  <si>
    <t>ID40-1617</t>
  </si>
  <si>
    <t>Total Blackout Metallic Print Grommet Top Curtain Panel</t>
  </si>
  <si>
    <t>PF001694;PP000896</t>
  </si>
  <si>
    <t>12/20/2018</t>
  </si>
  <si>
    <t>AMAZON,AMERSIGNDS,BEALLSDS,BLK01,CSNSTORES,JCPENNEY01,KOHLDSN</t>
  </si>
  <si>
    <t>26317608-000-003</t>
  </si>
  <si>
    <t>12/26/2018</t>
  </si>
  <si>
    <t>1/4/2019</t>
  </si>
  <si>
    <t>ID70-1291</t>
  </si>
  <si>
    <t>Printed Metallic Shower Curtain</t>
  </si>
  <si>
    <t>7/19/2017</t>
  </si>
  <si>
    <t>CSNSTORES,DESINC,JCPENNEY01,KOHLDSN,MACY02,TGTDVS,WALMARTDS</t>
  </si>
  <si>
    <t>23394858-000-000</t>
  </si>
  <si>
    <t>TN54-0342</t>
  </si>
  <si>
    <t>PP000896;PF004308</t>
  </si>
  <si>
    <t>AMAZON,AMAZONDS,ASHFURNDS,FINGERHUTDS,HDDS,JCPENNEY01,KOHLDSN,MACY02,TGTDVS,WALMARTDS,ZOLA</t>
  </si>
  <si>
    <t>27555593-000-000</t>
  </si>
  <si>
    <t>ID40-1616</t>
  </si>
  <si>
    <t>PF001696;PP000896</t>
  </si>
  <si>
    <t>AMAZON,BEALLSDS,CSNSTORES,JCPENNEY01,KOHLDSN,MACY02</t>
  </si>
  <si>
    <t>26317608-000-004</t>
  </si>
  <si>
    <t>TN54-0340</t>
  </si>
  <si>
    <t>PP000896;PF004306</t>
  </si>
  <si>
    <t>AMAZON,BLK01,FINGERHUTDS,HDDS,JCPENNEY01,KOHLDSN,TGTDVS,WALMARTDS</t>
  </si>
  <si>
    <t>27555593-000-001</t>
  </si>
  <si>
    <t>ID12-1393</t>
  </si>
  <si>
    <t>Metallic Printed Duvet Cover Set</t>
  </si>
  <si>
    <t>PF004172</t>
  </si>
  <si>
    <t>AMAZON,JCPENNEY01,MACY02,NRTPORT</t>
  </si>
  <si>
    <t>26059446-000-012</t>
  </si>
  <si>
    <t>2/13/2018</t>
  </si>
  <si>
    <t>ID12-1394</t>
  </si>
  <si>
    <t>AMAZON,AMAZONDS,CSNSTORES,JCPENNEY01,KOHLDSN,MACY02,NRTPORT</t>
  </si>
  <si>
    <t>26059446-000-013</t>
  </si>
  <si>
    <t>ID10-1507</t>
  </si>
  <si>
    <t>Metallic Printed Comforter Set</t>
  </si>
  <si>
    <t>PP000896;PF004343</t>
  </si>
  <si>
    <t>6/22/2018</t>
  </si>
  <si>
    <t>AMAZON,AMAZONDS,AMERSIGNDS,CSNSTORES,JCPENNEY01,KOHLDSN,MACY02,NRTPORT,OLLIIX,TGTDVS</t>
  </si>
  <si>
    <t>22972351-000-003</t>
  </si>
  <si>
    <t>ID12-1510</t>
  </si>
  <si>
    <t>AMAZON,CSNSTORES,JCPENNEY01,MACY02,TGTDVS</t>
  </si>
  <si>
    <t>26059446-000-003</t>
  </si>
  <si>
    <t>ID12-1512</t>
  </si>
  <si>
    <t>AMAZON,AMAZONDS,BLK01,CSNSTORES,HDDS,JCPENNEY01,KOHLDSN,MACY02,NRTPORT,Zulily</t>
  </si>
  <si>
    <t>26059446-000-005</t>
  </si>
  <si>
    <t>7/13/2018</t>
  </si>
  <si>
    <t>ID10-1817</t>
  </si>
  <si>
    <t>PP000896;PF004928</t>
  </si>
  <si>
    <t>10/19/2019</t>
  </si>
  <si>
    <t>AMAZON,AMAZONDS,CSNSTORES,FINGERHUTDS,HDDS,JCPENNEY01,KOHLDSN,MACY02,TGTDVS</t>
  </si>
  <si>
    <t>22972351-000-010</t>
  </si>
  <si>
    <t>10/22/2019</t>
  </si>
  <si>
    <t>ID40-1807</t>
  </si>
  <si>
    <t>AMAZON,AMERSIGNDS,BEALLSDS,BLK01,CSNSTORES,DESINC,HDDS,JCPENNEY01,KOHLDSN,MACY02,TGTDVS</t>
  </si>
  <si>
    <t>26317608-000-009</t>
  </si>
  <si>
    <t>5DS10-0254</t>
  </si>
  <si>
    <t>Ramsey</t>
  </si>
  <si>
    <t>Lynda</t>
  </si>
  <si>
    <t>Casey</t>
  </si>
  <si>
    <t xml:space="preserve">Embroidered 8 Piece  Comforter Set</t>
  </si>
  <si>
    <t>PF005656;PP001734</t>
  </si>
  <si>
    <t>7/11/2022</t>
  </si>
  <si>
    <t>AMAZONDS,BEALLSDS,BIGLOTSDS,CSNSTORES,JCPENNEY01,KOHLDSN,MACY02,NRTPORT,OLLIIX,Zulily</t>
  </si>
  <si>
    <t>26576716-000-007</t>
  </si>
  <si>
    <t>MP10-8210</t>
  </si>
  <si>
    <t>Rana</t>
  </si>
  <si>
    <t>Marlon</t>
  </si>
  <si>
    <t>Gianni</t>
  </si>
  <si>
    <t>7 Piece Flocking Comforter Set with Euro Shams and Throw Pillows</t>
  </si>
  <si>
    <t>PP001869;PF005972</t>
  </si>
  <si>
    <t>DESINC,JCPENNEY01,KOHLDSN,NRTPORT</t>
  </si>
  <si>
    <t>42119015-000-001</t>
  </si>
  <si>
    <t>CS20-1202</t>
  </si>
  <si>
    <t>Rayon Bamboo</t>
  </si>
  <si>
    <t>Rayon Bamboo Solid Sheet Set 4PC</t>
  </si>
  <si>
    <t>Bamboo</t>
  </si>
  <si>
    <t>8/14/2020</t>
  </si>
  <si>
    <t>43972193-000-000</t>
  </si>
  <si>
    <t>BASI30-0525</t>
  </si>
  <si>
    <t>Pillow Insert</t>
  </si>
  <si>
    <t>Rayon from Bamboo</t>
  </si>
  <si>
    <t>Shredded Memory Foam Pillow with Rayon from Bamboo Blend Cover</t>
  </si>
  <si>
    <t>PP000941</t>
  </si>
  <si>
    <t>BLK01,JCPENNEY01,MACY02,OLLIIX,ZOLA</t>
  </si>
  <si>
    <t>26942078-000-001</t>
  </si>
  <si>
    <t>4/26/2018</t>
  </si>
  <si>
    <t>BASI30-0526</t>
  </si>
  <si>
    <t>Body Pillow</t>
  </si>
  <si>
    <t>BLK01,JCPENNEY01,KOHLDSN,MACY02,OLLIIX,TGTDVS,ZOLA</t>
  </si>
  <si>
    <t>26942078-000-000</t>
  </si>
  <si>
    <t>3/26/2019</t>
  </si>
  <si>
    <t>MT95F-0080</t>
  </si>
  <si>
    <t>Regina</t>
  </si>
  <si>
    <t>Gold Arched Wall Mirror</t>
  </si>
  <si>
    <t>Cottage/Country|Farm House|Glam/Luxury</t>
  </si>
  <si>
    <t>AMAZON,CSNSTORES,DESINC,MACY02,OLLIIX</t>
  </si>
  <si>
    <t>42877233-000-000</t>
  </si>
  <si>
    <t>II95F-0153</t>
  </si>
  <si>
    <t>Remi</t>
  </si>
  <si>
    <t>Arched Wood Wall Mirror</t>
  </si>
  <si>
    <t>41984906-000-000</t>
  </si>
  <si>
    <t>ID10-2295</t>
  </si>
  <si>
    <t>Alden</t>
  </si>
  <si>
    <t>Sutton</t>
  </si>
  <si>
    <t>Quilted Chevron Comforter Set</t>
  </si>
  <si>
    <t>PP001931;PF006160</t>
  </si>
  <si>
    <t>43626614-000-004</t>
  </si>
  <si>
    <t>ID10-2298</t>
  </si>
  <si>
    <t>PP001931;PF006162</t>
  </si>
  <si>
    <t>43626614-000-003</t>
  </si>
  <si>
    <t>ID10-2299</t>
  </si>
  <si>
    <t>AMAZON,KOHLDSN,NRTPORT,TGTDVS</t>
  </si>
  <si>
    <t>43626614-000-000</t>
  </si>
  <si>
    <t>ID10-2296</t>
  </si>
  <si>
    <t>PP001931;PF006161</t>
  </si>
  <si>
    <t>AMAZON,NRTPORT,TGTDVS</t>
  </si>
  <si>
    <t>43626614-000-002</t>
  </si>
  <si>
    <t>II100-0041</t>
  </si>
  <si>
    <t>Renu</t>
  </si>
  <si>
    <t>Bar Stool with Backrest</t>
  </si>
  <si>
    <t>Light Brown</t>
  </si>
  <si>
    <t>PF000834;PP000048</t>
  </si>
  <si>
    <t>7/6/2017</t>
  </si>
  <si>
    <t>20757304-000-000</t>
  </si>
  <si>
    <t>II121-0039</t>
  </si>
  <si>
    <t>Round Bar Table</t>
  </si>
  <si>
    <t>PF000887;PP000048</t>
  </si>
  <si>
    <t>6/24/2024</t>
  </si>
  <si>
    <t>CASTLEGATE,CSNSTORES,MACY02F,OLLIIX,ROOMECOM</t>
  </si>
  <si>
    <t>20665657-000-000</t>
  </si>
  <si>
    <t>2/13/2017</t>
  </si>
  <si>
    <t>II30-1283</t>
  </si>
  <si>
    <t>Reva</t>
  </si>
  <si>
    <t>Cotton Oblong Pillow with tassels</t>
  </si>
  <si>
    <t>Oblong</t>
  </si>
  <si>
    <t>Off White/Blue</t>
  </si>
  <si>
    <t>PP001809;PF005804</t>
  </si>
  <si>
    <t>40403315-000-000</t>
  </si>
  <si>
    <t>10/15/2022</t>
  </si>
  <si>
    <t>II12-1102</t>
  </si>
  <si>
    <t>Rhea</t>
  </si>
  <si>
    <t>Cotton Jacquard Duvet Cover Mini Set</t>
  </si>
  <si>
    <t>Grey/Black</t>
  </si>
  <si>
    <t>PF005086;PP001731</t>
  </si>
  <si>
    <t>3/9/2020</t>
  </si>
  <si>
    <t>28487352-000-002</t>
  </si>
  <si>
    <t>II10-1223</t>
  </si>
  <si>
    <t>Cotton Jacquard Comforter Mini Set</t>
  </si>
  <si>
    <t>PF005628</t>
  </si>
  <si>
    <t>6/30/2021</t>
  </si>
  <si>
    <t>AMAZON,AMAZONDS,CSNSTORES,DESINC,JCPENNEY01,KOHLDSN,TGTDVS</t>
  </si>
  <si>
    <t>28487240-000-004</t>
  </si>
  <si>
    <t>12/6/2021</t>
  </si>
  <si>
    <t>1/3/2022</t>
  </si>
  <si>
    <t>II13-1194</t>
  </si>
  <si>
    <t>Rhea AZ</t>
  </si>
  <si>
    <t>White/ Charcoal</t>
  </si>
  <si>
    <t>43947861-000-000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</si>
  <si>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</si>
  <si>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</si>
  <si>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</si>
  <si>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</si>
  <si>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</si>
  <si>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</si>
  <si>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</si>
  <si>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</si>
  <si>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43642763-000-001</t>
  </si>
  <si>
    <t>MP12-8374</t>
  </si>
  <si>
    <t>43642763-000-000</t>
  </si>
  <si>
    <t>ST54-0174</t>
  </si>
  <si>
    <t>Ribbed Micro Fleece</t>
  </si>
  <si>
    <t>7/20/2021</t>
  </si>
  <si>
    <t>38579612-000-002</t>
  </si>
  <si>
    <t>ST54-0175</t>
  </si>
  <si>
    <t>38579612-000-021</t>
  </si>
  <si>
    <t>ST54-0176</t>
  </si>
  <si>
    <t>38579612-000-000</t>
  </si>
  <si>
    <t>ST54-0158</t>
  </si>
  <si>
    <t>38579612-000-009</t>
  </si>
  <si>
    <t>ST54-0160</t>
  </si>
  <si>
    <t>38579612-000-024</t>
  </si>
  <si>
    <t>ST54-0179</t>
  </si>
  <si>
    <t>38579612-000-004</t>
  </si>
  <si>
    <t>ST54-0180</t>
  </si>
  <si>
    <t>38579612-000-014</t>
  </si>
  <si>
    <t>ST54-0166</t>
  </si>
  <si>
    <t>FINGERHUTDS,KOHLDSN,MACY02,TGTDVS</t>
  </si>
  <si>
    <t>38579612-000-018</t>
  </si>
  <si>
    <t>ST54-0167</t>
  </si>
  <si>
    <t>38579612-000-012</t>
  </si>
  <si>
    <t>ST54-0168</t>
  </si>
  <si>
    <t>38579612-000-013</t>
  </si>
  <si>
    <t>ST54-0154</t>
  </si>
  <si>
    <t>CSNSTORES,KOHLDSN,MACY02,WALMARTDS</t>
  </si>
  <si>
    <t>38579612-000-006</t>
  </si>
  <si>
    <t>ST54-0155</t>
  </si>
  <si>
    <t>CSNSTORES,JCPENNEY01,KOHLDSN,MACY02,TGTDVS,WALMARTDS</t>
  </si>
  <si>
    <t>38579612-000-011</t>
  </si>
  <si>
    <t>ST54-0157</t>
  </si>
  <si>
    <t>38579612-000-007</t>
  </si>
  <si>
    <t>ST54-0170</t>
  </si>
  <si>
    <t>38579612-000-022</t>
  </si>
  <si>
    <t>ST54-0171</t>
  </si>
  <si>
    <t>FINGERHUTDS,KOHLDSN,MACY02</t>
  </si>
  <si>
    <t>38579612-000-016</t>
  </si>
  <si>
    <t>ST54-0172</t>
  </si>
  <si>
    <t>FINGERHUTDS,JCPENNEY01,KOHLDSN,MACY02</t>
  </si>
  <si>
    <t>38579612-000-005</t>
  </si>
  <si>
    <t>ST54-0173</t>
  </si>
  <si>
    <t>CSNSTORES,FINGERHUTDS,JCPENNEY01,MACY02</t>
  </si>
  <si>
    <t>38579612-000-017</t>
  </si>
  <si>
    <t>ST54-0162</t>
  </si>
  <si>
    <t>38579612-000-027</t>
  </si>
  <si>
    <t>ST54-0164</t>
  </si>
  <si>
    <t>38579612-000-026</t>
  </si>
  <si>
    <t>ST54-0165</t>
  </si>
  <si>
    <t>CSNSTORES,FINGERHUTDS,KOHLDSN,MACY02,WALMARTDS</t>
  </si>
  <si>
    <t>38579612-000-025</t>
  </si>
  <si>
    <t>MP13-8388</t>
  </si>
  <si>
    <t>Ridge</t>
  </si>
  <si>
    <t>Pioneer</t>
  </si>
  <si>
    <t>Warren</t>
  </si>
  <si>
    <t>6 Piece Reversible Plaid Daybed Cover Set</t>
  </si>
  <si>
    <t>PP001537;PF006171</t>
  </si>
  <si>
    <t>CSNSTORES,DESINC,KOHLDSN,TGTDVS</t>
  </si>
  <si>
    <t>34496498-000-002</t>
  </si>
  <si>
    <t>MP12-7215</t>
  </si>
  <si>
    <t>6 Piece Herringbone Duvet Cover Set</t>
  </si>
  <si>
    <t>PP001539;PF005194</t>
  </si>
  <si>
    <t>AMAZONDS,BLK01,CSNSTORES,KOHLDSN,MACY02,TGTDVS</t>
  </si>
  <si>
    <t>23443926-000-004</t>
  </si>
  <si>
    <t>MP13-8387</t>
  </si>
  <si>
    <t>PP001537;PF005192</t>
  </si>
  <si>
    <t>34496498-000-001</t>
  </si>
  <si>
    <t>MP10-4670</t>
  </si>
  <si>
    <t>7 Piece Herringbone Comforter Set</t>
  </si>
  <si>
    <t>AMAZON,CSNSTORES,HDDS,JCPENNEY01,KOHLDSN,MACY02,TGTDVS,WALMARTDS</t>
  </si>
  <si>
    <t>23443634-000-001</t>
  </si>
  <si>
    <t>8/10/2017</t>
  </si>
  <si>
    <t>WR50-1627</t>
  </si>
  <si>
    <t>Ridley</t>
  </si>
  <si>
    <t>PF002056</t>
  </si>
  <si>
    <t>17651625-000-000</t>
  </si>
  <si>
    <t>WR54-2388</t>
  </si>
  <si>
    <t>Oversized Plaid Print Faux Mink to Berber Heated Throw</t>
  </si>
  <si>
    <t>29670047-000-000</t>
  </si>
  <si>
    <t>ID12-2179</t>
  </si>
  <si>
    <t>Riku</t>
  </si>
  <si>
    <t>Ayla</t>
  </si>
  <si>
    <t>Milani</t>
  </si>
  <si>
    <t>PF005815</t>
  </si>
  <si>
    <t>40711223-000-000</t>
  </si>
  <si>
    <t>11/1/2022</t>
  </si>
  <si>
    <t>MP35-8042</t>
  </si>
  <si>
    <t>Riley</t>
  </si>
  <si>
    <t>Cadence</t>
  </si>
  <si>
    <t>Karly</t>
  </si>
  <si>
    <t>Watercolor Abstract Stripe Woven Area Rug</t>
  </si>
  <si>
    <t>PP001795;PF005783</t>
  </si>
  <si>
    <t>38754881-000-006</t>
  </si>
  <si>
    <t>MP35-8043</t>
  </si>
  <si>
    <t>38754881-000-007</t>
  </si>
  <si>
    <t>MP35-8044</t>
  </si>
  <si>
    <t>38754881-000-004</t>
  </si>
  <si>
    <t>MP35-8045</t>
  </si>
  <si>
    <t>AMAZON,HDDS,JCPENNEY01,OLLIIX</t>
  </si>
  <si>
    <t>38754881-000-005</t>
  </si>
  <si>
    <t>MP35-7586</t>
  </si>
  <si>
    <t>Blue/Tan</t>
  </si>
  <si>
    <t>BIGLOTSDS,CSNSTORES,JCPENNEY01,KOHLDSN,OLLIIX</t>
  </si>
  <si>
    <t>38754881-000-000</t>
  </si>
  <si>
    <t>MP35-7587</t>
  </si>
  <si>
    <t>HDDS,NRTPORT,OLLIIX</t>
  </si>
  <si>
    <t>38754881-000-001</t>
  </si>
  <si>
    <t>MP35-7588</t>
  </si>
  <si>
    <t>BIGLOTSDS,HDDS,JCPENNEY01</t>
  </si>
  <si>
    <t>38754881-000-002</t>
  </si>
  <si>
    <t>MP35-7589</t>
  </si>
  <si>
    <t>BIGLOTSDS,HDDS,JCPENNEY01,OLLIIX</t>
  </si>
  <si>
    <t>38754881-000-003</t>
  </si>
  <si>
    <t>10/7/2021</t>
  </si>
  <si>
    <t>MP10-8399</t>
  </si>
  <si>
    <t>Riordan</t>
  </si>
  <si>
    <t>Waffle Knit Chenille Comforter Set</t>
  </si>
  <si>
    <t>PP001944;PF006196</t>
  </si>
  <si>
    <t>Chenille</t>
  </si>
  <si>
    <t>MP10-8400</t>
  </si>
  <si>
    <t>MP10-8401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</si>
  <si>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</si>
  <si>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</si>
  <si>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</si>
  <si>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</si>
  <si>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</si>
  <si>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</si>
  <si>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</si>
  <si>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ID10-2431</t>
  </si>
  <si>
    <t>ID10-2432</t>
  </si>
  <si>
    <t>ID10-2433</t>
  </si>
  <si>
    <t>II100-0166</t>
  </si>
  <si>
    <t>Rocket</t>
  </si>
  <si>
    <t>PF000128;PP000049</t>
  </si>
  <si>
    <t>CASTLEGATE,CSNSTORES,MACY02F,OLLIIX,TGTDVS</t>
  </si>
  <si>
    <t>24890804-000-000</t>
  </si>
  <si>
    <t>11/21/2017</t>
  </si>
  <si>
    <t>II104-0504</t>
  </si>
  <si>
    <t>Rogue</t>
  </si>
  <si>
    <t>Armless 360 Degree Swivel Counter Stool 25"H</t>
  </si>
  <si>
    <t>Dusty Blue</t>
  </si>
  <si>
    <t>43466487-000-000</t>
  </si>
  <si>
    <t>1/25/2024</t>
  </si>
  <si>
    <t>II95C-0061</t>
  </si>
  <si>
    <t>Rolling Waves</t>
  </si>
  <si>
    <t>PF001917</t>
  </si>
  <si>
    <t>AMERSIGNDS,ASHFURNDS,DESINC,HDDS,KIRKLANDDS,KOHLDSN,OLLIIX,ROOMECOM,TGTDVS</t>
  </si>
  <si>
    <t>18800513-000-000</t>
  </si>
  <si>
    <t>6/6/2016</t>
  </si>
  <si>
    <t>CCA40-0015</t>
  </si>
  <si>
    <t>Romo</t>
  </si>
  <si>
    <t>Dual-colored Curtain Panel (Single)</t>
  </si>
  <si>
    <t>42036992-000-000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</si>
  <si>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</si>
  <si>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</si>
  <si>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</si>
  <si>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</si>
  <si>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</si>
  <si>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</si>
  <si>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</si>
  <si>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</si>
  <si>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</si>
  <si>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</si>
  <si>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</si>
  <si>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</si>
  <si>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MP40-6831</t>
  </si>
  <si>
    <t>Rosette</t>
  </si>
  <si>
    <t>Florah</t>
  </si>
  <si>
    <t>Bloom</t>
  </si>
  <si>
    <t>Floral Embellished Cuff Tab Top Solid Curtain Panel</t>
  </si>
  <si>
    <t>PP000857;PF004966</t>
  </si>
  <si>
    <t>AMAZON,AMAZONDS,ASHFURNDS,BLK01,CSNSTORES,JCPENNEY01,KOHLDSN,MACY02,OLLIIX</t>
  </si>
  <si>
    <t>26441688-000-010</t>
  </si>
  <si>
    <t>1/14/2020</t>
  </si>
  <si>
    <t>MP40-5644</t>
  </si>
  <si>
    <t>PP000857;PF004199</t>
  </si>
  <si>
    <t>AMAZON,CSNSTORES,JCPENNEY01,KOHLDSN,MACY02,NRTPORT,OLLIIX,TGTDVS</t>
  </si>
  <si>
    <t>26441688-000-000</t>
  </si>
  <si>
    <t>UH10-2480</t>
  </si>
  <si>
    <t>Rowan</t>
  </si>
  <si>
    <t>Cillian</t>
  </si>
  <si>
    <t>Kylar</t>
  </si>
  <si>
    <t>Striped Clipped Jacquard Comforter Set</t>
  </si>
  <si>
    <t>PP001906;PF006077</t>
  </si>
  <si>
    <t>43251733-000-000</t>
  </si>
  <si>
    <t>12/24/2023</t>
  </si>
  <si>
    <t>UH12-2483</t>
  </si>
  <si>
    <t>Striped Clipped Jacquard Duvet Cover Set</t>
  </si>
  <si>
    <t>AMAZON,AMAZONDS,CSNSTORES,JCPENNEY01,TGTDVS</t>
  </si>
  <si>
    <t>43251734-000-002</t>
  </si>
  <si>
    <t>UH12-2484</t>
  </si>
  <si>
    <t>43251734-000-001</t>
  </si>
  <si>
    <t>MP50-8272</t>
  </si>
  <si>
    <t>Waffle Knit Chenille Throw</t>
  </si>
  <si>
    <t>PP001876;PF005987</t>
  </si>
  <si>
    <t>42657468-000-000</t>
  </si>
  <si>
    <t>MP50-8273</t>
  </si>
  <si>
    <t>PP001876;PF005988</t>
  </si>
  <si>
    <t>42657468-000-004</t>
  </si>
  <si>
    <t>UH10-2485</t>
  </si>
  <si>
    <t>PP001906;PF006078</t>
  </si>
  <si>
    <t>43251733-000-005</t>
  </si>
  <si>
    <t>UH10-2486</t>
  </si>
  <si>
    <t>43251733-000-004</t>
  </si>
  <si>
    <t>UH12-2488</t>
  </si>
  <si>
    <t>43251734-000-000</t>
  </si>
  <si>
    <t>UH12-2489</t>
  </si>
  <si>
    <t>43251734-000-003</t>
  </si>
  <si>
    <t>MP50-8271</t>
  </si>
  <si>
    <t>PP001876;PF005986</t>
  </si>
  <si>
    <t>BLK01,CSNSTORES,OLLIIX,TGTDVS</t>
  </si>
  <si>
    <t>42657468-000-002</t>
  </si>
  <si>
    <t>MP50-8269</t>
  </si>
  <si>
    <t>PP001876;PF005984</t>
  </si>
  <si>
    <t>42657468-000-001</t>
  </si>
  <si>
    <t>MP50-8270</t>
  </si>
  <si>
    <t>PP001876;PF005985</t>
  </si>
  <si>
    <t>42657468-000-003</t>
  </si>
  <si>
    <t>II100-0462</t>
  </si>
  <si>
    <t>Roxie</t>
  </si>
  <si>
    <t>DESINC,HOUZZ,OLLIIX,TGTDVS</t>
  </si>
  <si>
    <t>39491039-000-000</t>
  </si>
  <si>
    <t>4/28/2022</t>
  </si>
  <si>
    <t>MP130-0451</t>
  </si>
  <si>
    <t>Rubrix</t>
  </si>
  <si>
    <t>Savannah</t>
  </si>
  <si>
    <t>Kat</t>
  </si>
  <si>
    <t>3 Drawer Chest</t>
  </si>
  <si>
    <t>PP000241</t>
  </si>
  <si>
    <t>CSNSTORES,OLLIIX,ROOMECOM</t>
  </si>
  <si>
    <t>24174599-000-000</t>
  </si>
  <si>
    <t>II100-0470</t>
  </si>
  <si>
    <t>Ryan</t>
  </si>
  <si>
    <t>Metal Frame Accent Chair</t>
  </si>
  <si>
    <t>6/23/2022</t>
  </si>
  <si>
    <t>40116057-000-000</t>
  </si>
  <si>
    <t>6/27/2022</t>
  </si>
  <si>
    <t>9/30/2022</t>
  </si>
  <si>
    <t>II151-0120</t>
  </si>
  <si>
    <t>saben</t>
  </si>
  <si>
    <t>2-Tier Layered Shade Pendant</t>
  </si>
  <si>
    <t>39821743-000-000</t>
  </si>
  <si>
    <t>MPE13-168</t>
  </si>
  <si>
    <t>Saben</t>
  </si>
  <si>
    <t>Barret</t>
  </si>
  <si>
    <t>Seth</t>
  </si>
  <si>
    <t>6 Piece Quilt Set with Cotton Bed Sheets</t>
  </si>
  <si>
    <t>PF003676;PP000497</t>
  </si>
  <si>
    <t>AMAZONDS,ASHFURNDS,CSNSTORES,JCPENNEY01,NRTPORT,TGTDVS</t>
  </si>
  <si>
    <t>18089288-000-000</t>
  </si>
  <si>
    <t>3/9/2016</t>
  </si>
  <si>
    <t>MPE70-1030</t>
  </si>
  <si>
    <t>Stripe Print Shower Curtain</t>
  </si>
  <si>
    <t>Taupe/Black</t>
  </si>
  <si>
    <t>43072052-000-001</t>
  </si>
  <si>
    <t>11/23/2023</t>
  </si>
  <si>
    <t>CC30-0033</t>
  </si>
  <si>
    <t>Sable</t>
  </si>
  <si>
    <t>Solid Faux Fur Square Decor Pillow</t>
  </si>
  <si>
    <t>CC30-0032</t>
  </si>
  <si>
    <t>Golden</t>
  </si>
  <si>
    <t>42031209-000-000</t>
  </si>
  <si>
    <t>CC50-0028</t>
  </si>
  <si>
    <t>Solid Faux Fur Throw</t>
  </si>
  <si>
    <t>BLK01,MACY02,OLLIIX</t>
  </si>
  <si>
    <t>42031428-000-000</t>
  </si>
  <si>
    <t>CC30-0031</t>
  </si>
  <si>
    <t>42031209-000-001</t>
  </si>
  <si>
    <t>CC50-0027</t>
  </si>
  <si>
    <t>DLCROSCILL,MACY02</t>
  </si>
  <si>
    <t>42031428-000-003</t>
  </si>
  <si>
    <t>CC30-0030</t>
  </si>
  <si>
    <t>42031209-000-002</t>
  </si>
  <si>
    <t>MP12-6103</t>
  </si>
  <si>
    <t>Sabrina</t>
  </si>
  <si>
    <t>Amber</t>
  </si>
  <si>
    <t>3 Piece Tufted Cotton Chenille Duvet Cover Set</t>
  </si>
  <si>
    <t>PF002604;PP000641</t>
  </si>
  <si>
    <t>1/30/2019</t>
  </si>
  <si>
    <t>31372489-000-001</t>
  </si>
  <si>
    <t>MP70-6712</t>
  </si>
  <si>
    <t>Sade</t>
  </si>
  <si>
    <t>Esker</t>
  </si>
  <si>
    <t>Tinge</t>
  </si>
  <si>
    <t>Ombre Waffle Weave Shower Curtain</t>
  </si>
  <si>
    <t>PP001386</t>
  </si>
  <si>
    <t>34332800-000-002</t>
  </si>
  <si>
    <t>MT130-1211</t>
  </si>
  <si>
    <t>Salina</t>
  </si>
  <si>
    <t>Woven Cane Accent Cabinet</t>
  </si>
  <si>
    <t>Toasted Almond</t>
  </si>
  <si>
    <t>43879570-000-000</t>
  </si>
  <si>
    <t>MT115-1210</t>
  </si>
  <si>
    <t>Woven Cane Queen Platform Bed</t>
  </si>
  <si>
    <t>43882265-000-000</t>
  </si>
  <si>
    <t>MP108-1254</t>
  </si>
  <si>
    <t>Salma</t>
  </si>
  <si>
    <t>Skirted Dining Arm Chair with Casters</t>
  </si>
  <si>
    <t>UHK13-0190</t>
  </si>
  <si>
    <t>Sammie</t>
  </si>
  <si>
    <t>Cotton Cabana Stripe Reversible Quilt Set with Rainbow Reverse</t>
  </si>
  <si>
    <t>PP001810;PF005805</t>
  </si>
  <si>
    <t>40747301-000-000</t>
  </si>
  <si>
    <t>UHK13-0191</t>
  </si>
  <si>
    <t>40747301-000-002</t>
  </si>
  <si>
    <t>MP10-1254</t>
  </si>
  <si>
    <t>Sarasota</t>
  </si>
  <si>
    <t>Belford</t>
  </si>
  <si>
    <t>Microcell Down Alternative Comforter Mini Set</t>
  </si>
  <si>
    <t>PF002075</t>
  </si>
  <si>
    <t>AMAZON,BLK01,CSNSTORES,KOHLDSN,MACY02,OLLIIX,TGTDVS,ZOLA</t>
  </si>
  <si>
    <t>16732992-000-002</t>
  </si>
  <si>
    <t>MP40-2029</t>
  </si>
  <si>
    <t>Saratoga</t>
  </si>
  <si>
    <t>Westmont</t>
  </si>
  <si>
    <t>Sereno</t>
  </si>
  <si>
    <t>Fretwork Print Grommet Top Window Curtain Panel</t>
  </si>
  <si>
    <t>Beige/Spice</t>
  </si>
  <si>
    <t>PF004000;PP000501</t>
  </si>
  <si>
    <t>16667967-000-019</t>
  </si>
  <si>
    <t>7/14/2016</t>
  </si>
  <si>
    <t>MP40-1571</t>
  </si>
  <si>
    <t>Blue/White</t>
  </si>
  <si>
    <t>PF003998;PP000501</t>
  </si>
  <si>
    <t>16667967-000-012</t>
  </si>
  <si>
    <t>MP40-1575</t>
  </si>
  <si>
    <t>CSNSTORES,HSNDS,JCPENNEY01,KOHLDSN,TGTDVS</t>
  </si>
  <si>
    <t>16667967-000-014</t>
  </si>
  <si>
    <t>7/12/2016</t>
  </si>
  <si>
    <t>MP40-2026</t>
  </si>
  <si>
    <t>16667967-000-015</t>
  </si>
  <si>
    <t>MP41-2027</t>
  </si>
  <si>
    <t>Fretwork Print Grommet Top Window Valance</t>
  </si>
  <si>
    <t>AMAZON,CASTLEGATE,CSNSTORES,JCPENNEY01,KOHLDSN,TGTDVS</t>
  </si>
  <si>
    <t>17651639-000-006</t>
  </si>
  <si>
    <t>MP40-2398</t>
  </si>
  <si>
    <t>PF004001;PP000501</t>
  </si>
  <si>
    <t>16667967-000-030</t>
  </si>
  <si>
    <t>MP40-2407</t>
  </si>
  <si>
    <t>Khaki/Black</t>
  </si>
  <si>
    <t>PF004003;PP000501</t>
  </si>
  <si>
    <t>16667967-000-020</t>
  </si>
  <si>
    <t>MP40-2410</t>
  </si>
  <si>
    <t>16667967-000-023</t>
  </si>
  <si>
    <t>MP40-2404</t>
  </si>
  <si>
    <t>Seafoam/White</t>
  </si>
  <si>
    <t>PF004002;PP000501</t>
  </si>
  <si>
    <t>16667967-000-031</t>
  </si>
  <si>
    <t>6/29/2016</t>
  </si>
  <si>
    <t>MP40-2023</t>
  </si>
  <si>
    <t>Yellow/White</t>
  </si>
  <si>
    <t>PF003999;PP000501</t>
  </si>
  <si>
    <t>16667967-000-011</t>
  </si>
  <si>
    <t>MPE20-775</t>
  </si>
  <si>
    <t>Luxury 6 PC Sheet Set</t>
  </si>
  <si>
    <t>PP001032;PF004513</t>
  </si>
  <si>
    <t>AMAZON,BLK01,CSNSTORES,FINGERHUTDS,JCPENNEY01,KOHLDSN,MACY02,NRTPORT,TGTDVS,WALMARTDS</t>
  </si>
  <si>
    <t>13709535-000-025</t>
  </si>
  <si>
    <t>12/13/2018</t>
  </si>
  <si>
    <t>MPE20-910</t>
  </si>
  <si>
    <t>PP001032;PF005160</t>
  </si>
  <si>
    <t>AMAZON,BLK01,CSNSTORES,FINGERHUTDS,HDDS,JCPENNEY01,MACY02,NRTPORT,TGTDVS</t>
  </si>
  <si>
    <t>13709535-000-040</t>
  </si>
  <si>
    <t>MPE20-713</t>
  </si>
  <si>
    <t>PF004075</t>
  </si>
  <si>
    <t>AMAZON,BLK01,CSNSTORES,DESINC,HDDS,JCPENNEY01,KOHLDSN,MACY02,NRTPORT,TGTDVS,WALMARTDS</t>
  </si>
  <si>
    <t>13709535-000-012</t>
  </si>
  <si>
    <t>12/22/2017</t>
  </si>
  <si>
    <t>2/18/2018</t>
  </si>
  <si>
    <t>SHET20-178</t>
  </si>
  <si>
    <t>PF001731</t>
  </si>
  <si>
    <t>AMAZON,CSNSTORES,HSNDS,JCPENNEY01,KOHLDSN,MACY02,NRTPORT,TGTDVS,WALMARTDS</t>
  </si>
  <si>
    <t>13709535-000-008</t>
  </si>
  <si>
    <t>MPE21-783</t>
  </si>
  <si>
    <t>Luxury 2 PC Pillowcases</t>
  </si>
  <si>
    <t>PF001731;PP001032</t>
  </si>
  <si>
    <t>31010805-000-001</t>
  </si>
  <si>
    <t>12/12/2018</t>
  </si>
  <si>
    <t>9/1/2019</t>
  </si>
  <si>
    <t>MPE20-902</t>
  </si>
  <si>
    <t>PP001032;PF005158</t>
  </si>
  <si>
    <t>AMAZON,BLK01,CSNSTORES,JCPENNEY01,KOHLDSN,MACY02,NRTPORT,OLLIIX,TGTDVS,WALMARTDS</t>
  </si>
  <si>
    <t>13709535-000-044</t>
  </si>
  <si>
    <t>MPE10-1049</t>
  </si>
  <si>
    <t>Satin Luxury</t>
  </si>
  <si>
    <t>PP001952;PF006218</t>
  </si>
  <si>
    <t>5/16/2024</t>
  </si>
  <si>
    <t>44054162-000-001</t>
  </si>
  <si>
    <t>MPE10-1050</t>
  </si>
  <si>
    <t>44054162-000-000</t>
  </si>
  <si>
    <t>MPE10-1047</t>
  </si>
  <si>
    <t>PP001952;PF006217</t>
  </si>
  <si>
    <t>44054162-000-002</t>
  </si>
  <si>
    <t>MPE10-1048</t>
  </si>
  <si>
    <t>44054162-000-005</t>
  </si>
  <si>
    <t>MPE10-1051</t>
  </si>
  <si>
    <t>PP001952;PF006219</t>
  </si>
  <si>
    <t>44054162-000-003</t>
  </si>
  <si>
    <t>MPE10-1052</t>
  </si>
  <si>
    <t>44054162-000-004</t>
  </si>
  <si>
    <t>FB150-1163</t>
  </si>
  <si>
    <t>Savor</t>
  </si>
  <si>
    <t>6-Light Traditional Candelabra Styled Chandelier</t>
  </si>
  <si>
    <t>39936216-000-000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</si>
  <si>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</si>
  <si>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</si>
  <si>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</si>
  <si>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</si>
  <si>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</si>
  <si>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</si>
  <si>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40769015-000-001</t>
  </si>
  <si>
    <t>5DS153-0017</t>
  </si>
  <si>
    <t>Saxony</t>
  </si>
  <si>
    <t>Metallic Glass Table Lamp</t>
  </si>
  <si>
    <t>CASTLEGATE,CSNSTORES,KIRKLANDDS,KOHLDSN,OLLIIX,ROOMECOM,TGTDVS</t>
  </si>
  <si>
    <t>28676356-000-000</t>
  </si>
  <si>
    <t>II100-0078</t>
  </si>
  <si>
    <t>Scott</t>
  </si>
  <si>
    <t>Cream/Morrocco</t>
  </si>
  <si>
    <t>PF000836</t>
  </si>
  <si>
    <t>CSNSTORES,MACY02F,OLLIIX</t>
  </si>
  <si>
    <t>21236710-000-000</t>
  </si>
  <si>
    <t>3/23/2017</t>
  </si>
  <si>
    <t>3/29/2017</t>
  </si>
  <si>
    <t>II130-0497</t>
  </si>
  <si>
    <t>Seagate</t>
  </si>
  <si>
    <t>Handcrafted Seagrass 2-Door Accent chest</t>
  </si>
  <si>
    <t>CSNSTORES,HOUZZ</t>
  </si>
  <si>
    <t>41162297-000-000</t>
  </si>
  <si>
    <t>4/17/2023</t>
  </si>
  <si>
    <t>II116-0496</t>
  </si>
  <si>
    <t>HEADBOARD</t>
  </si>
  <si>
    <t>Headboard</t>
  </si>
  <si>
    <t>Handcrafted Seagrass Headboard Queen</t>
  </si>
  <si>
    <t>Global Inspired|Transitional</t>
  </si>
  <si>
    <t>CSNSTORES,HOUZZ,KOHLDSN,MACY02F</t>
  </si>
  <si>
    <t>41143873-000-000</t>
  </si>
  <si>
    <t>MP95C-0146A</t>
  </si>
  <si>
    <t>Seascape</t>
  </si>
  <si>
    <t>PP000790</t>
  </si>
  <si>
    <t>AMAZON,AMERSIGNDS,KIRKLANDDS,KOHLDSN,MACY02,OLLIIX,ROOMECOM,TGTDVS</t>
  </si>
  <si>
    <t>25658387-000-000</t>
  </si>
  <si>
    <t>MT105-0072</t>
  </si>
  <si>
    <t>Secor</t>
  </si>
  <si>
    <t>Upholstered Accent Bench with Metal Base</t>
  </si>
  <si>
    <t>2/10/2020</t>
  </si>
  <si>
    <t>AMAZON,AMAZONDS,CSNSTORES,KIRKLANDDS,MACY02F,OLLIIX,ROOMECOM,TGTDVS</t>
  </si>
  <si>
    <t>35543146-000-000</t>
  </si>
  <si>
    <t>3/11/2020</t>
  </si>
  <si>
    <t>ID10-416</t>
  </si>
  <si>
    <t>Senna</t>
  </si>
  <si>
    <t>Chelsea</t>
  </si>
  <si>
    <t>PF001621;PP000503</t>
  </si>
  <si>
    <t>AMAZON,AMAZONDS,BLK01,CSNSTORES,HDDS,JCPENNEY01,KOHLDSN,MACY02,OLLIIX,TGTDVS</t>
  </si>
  <si>
    <t>15997988-000-005</t>
  </si>
  <si>
    <t>ID10-417</t>
  </si>
  <si>
    <t>AMAZON,AMAZONDS,CSNSTORES,HDDS,JCPENNEY01,KOHLDSN,MACY02,NEBFUR01,OLLIIX,TGTDVS</t>
  </si>
  <si>
    <t>15997988-000-006</t>
  </si>
  <si>
    <t>7/27/2015</t>
  </si>
  <si>
    <t>ID95C-0034</t>
  </si>
  <si>
    <t>Sentiment Arrows</t>
  </si>
  <si>
    <t>Printed Canvas (3pcs/set)</t>
  </si>
  <si>
    <t>PF002024</t>
  </si>
  <si>
    <t>22759231-000-000</t>
  </si>
  <si>
    <t>MP12-1103</t>
  </si>
  <si>
    <t>Alicia</t>
  </si>
  <si>
    <t>PF002716</t>
  </si>
  <si>
    <t>16662801-000-001</t>
  </si>
  <si>
    <t>II10-1214</t>
  </si>
  <si>
    <t>3 Piece Cotton Printed Comforter Set w/ trims</t>
  </si>
  <si>
    <t>PP001725;PF005641</t>
  </si>
  <si>
    <t>39209888-000-000</t>
  </si>
  <si>
    <t>MP10-3535</t>
  </si>
  <si>
    <t>Serendipity</t>
  </si>
  <si>
    <t>Harmony</t>
  </si>
  <si>
    <t>Desiree</t>
  </si>
  <si>
    <t>Cotton Percale Comforter Set</t>
  </si>
  <si>
    <t>Peach</t>
  </si>
  <si>
    <t>PF002628</t>
  </si>
  <si>
    <t>19595467-000-000</t>
  </si>
  <si>
    <t>MP10-3537</t>
  </si>
  <si>
    <t>19595467-000-002</t>
  </si>
  <si>
    <t>MP40-3504</t>
  </si>
  <si>
    <t>Serene</t>
  </si>
  <si>
    <t>Belle</t>
  </si>
  <si>
    <t>Embroidered Curtain Panel</t>
  </si>
  <si>
    <t>PF003398;PP000505</t>
  </si>
  <si>
    <t>AMAZON,JCPENNEY01,KOHLDSN,TGTDVS</t>
  </si>
  <si>
    <t>17226346-000-001</t>
  </si>
  <si>
    <t>11/25/2016</t>
  </si>
  <si>
    <t>MP41-3507</t>
  </si>
  <si>
    <t>Embroidered Window Valance</t>
  </si>
  <si>
    <t>PF003400;PP000505</t>
  </si>
  <si>
    <t>4/11/2017</t>
  </si>
  <si>
    <t>17226345-000-002</t>
  </si>
  <si>
    <t>MP40-4209</t>
  </si>
  <si>
    <t>PF003404;PP000505</t>
  </si>
  <si>
    <t>AMAZON,BLK01,CSNSTORES,JCPENNEY01,KOHLDSN,OLLIIX,TGTDVS,WALMARTDS</t>
  </si>
  <si>
    <t>17226346-000-003</t>
  </si>
  <si>
    <t>2/7/2017</t>
  </si>
  <si>
    <t>MP40-5478</t>
  </si>
  <si>
    <t>PF003405;PP000505</t>
  </si>
  <si>
    <t>1/3/2018</t>
  </si>
  <si>
    <t>AMAZON,AMAZONDS,BLK01,CSNSTORES,JCPENNEY01,OLLIIX,TGTDVS</t>
  </si>
  <si>
    <t>17226346-000-006</t>
  </si>
  <si>
    <t>II150-0149</t>
  </si>
  <si>
    <t>Serenitie</t>
  </si>
  <si>
    <t>5-Light Linear Chandelier</t>
  </si>
  <si>
    <t>42825749-000-000</t>
  </si>
  <si>
    <t>MPE10-150</t>
  </si>
  <si>
    <t>Serenity</t>
  </si>
  <si>
    <t>Odisha</t>
  </si>
  <si>
    <t>Nepal</t>
  </si>
  <si>
    <t>7 Piece Comforter Set with Cotton Bed Sheets</t>
  </si>
  <si>
    <t>PF003665;PP000507</t>
  </si>
  <si>
    <t>Transitional|Casual</t>
  </si>
  <si>
    <t>AMAZON,BLK01,CSNSTORES,KOHLDSN,ROOMECOM,TGTDVS</t>
  </si>
  <si>
    <t>18100172-000-000</t>
  </si>
  <si>
    <t>1/29/2016</t>
  </si>
  <si>
    <t>MPE10-154</t>
  </si>
  <si>
    <t>18100172-000-004</t>
  </si>
  <si>
    <t>CC71-0034</t>
  </si>
  <si>
    <t>Seville</t>
  </si>
  <si>
    <t>Mosaic Glass Lotion Pump</t>
  </si>
  <si>
    <t>42094909-000-000</t>
  </si>
  <si>
    <t>MP131-0977</t>
  </si>
  <si>
    <t>Seymore</t>
  </si>
  <si>
    <t>Fort</t>
  </si>
  <si>
    <t>Winley</t>
  </si>
  <si>
    <t>Brown/Bronze</t>
  </si>
  <si>
    <t>36382305-000-000</t>
  </si>
  <si>
    <t>FPF18-0197</t>
  </si>
  <si>
    <t>Shandra II</t>
  </si>
  <si>
    <t>Tahlia</t>
  </si>
  <si>
    <t>Tufted Top Soft Close Storage Bench</t>
  </si>
  <si>
    <t>PF000636;PP000260</t>
  </si>
  <si>
    <t>AMAZONDS,AMERSIGNDS,ASHFURNDS,CSNSTORES,JCPENNEY01,KOHLDSN,OLLIIX,ROOMECOM</t>
  </si>
  <si>
    <t>16675780-000-002</t>
  </si>
  <si>
    <t>2/25/2015</t>
  </si>
  <si>
    <t>5DS70-0251</t>
  </si>
  <si>
    <t>Shawnee</t>
  </si>
  <si>
    <t>Josefina</t>
  </si>
  <si>
    <t>Stacie</t>
  </si>
  <si>
    <t>Printed and Embroidered Shower Curtain</t>
  </si>
  <si>
    <t>PF005657;PP001733</t>
  </si>
  <si>
    <t>26943064-000-001</t>
  </si>
  <si>
    <t>ID10-2424</t>
  </si>
  <si>
    <t>Shay</t>
  </si>
  <si>
    <t>Monica</t>
  </si>
  <si>
    <t>Colorblock Clip Jacquard Comforter Set</t>
  </si>
  <si>
    <t>PF006271</t>
  </si>
  <si>
    <t>ID12-2427</t>
  </si>
  <si>
    <t>Colorblock Clip Jacquard Duvet Cover Set</t>
  </si>
  <si>
    <t>ID10-2425</t>
  </si>
  <si>
    <t>ID12-2428</t>
  </si>
  <si>
    <t>ID10-2426</t>
  </si>
  <si>
    <t>ID12-2429</t>
  </si>
  <si>
    <t>II10-1320</t>
  </si>
  <si>
    <t>3 Piece Striped Cotton Comforter Set</t>
  </si>
  <si>
    <t>PP001961;PF006245</t>
  </si>
  <si>
    <t>II12-1322</t>
  </si>
  <si>
    <t>3 Piece Striped Cotton Duvet Cover Set</t>
  </si>
  <si>
    <t>II10-1321</t>
  </si>
  <si>
    <t>II12-1323</t>
  </si>
  <si>
    <t>II10-1324</t>
  </si>
  <si>
    <t>PP001961;PF006246</t>
  </si>
  <si>
    <t>II12-1326</t>
  </si>
  <si>
    <t>II10-1325</t>
  </si>
  <si>
    <t>II12-1327</t>
  </si>
  <si>
    <t>FPF18-0179</t>
  </si>
  <si>
    <t>Shelley</t>
  </si>
  <si>
    <t>Keira</t>
  </si>
  <si>
    <t>Square Storage Ottoman with Pillows</t>
  </si>
  <si>
    <t>PF000632;PP000261</t>
  </si>
  <si>
    <t>21176502-000-000</t>
  </si>
  <si>
    <t>4/10/2017</t>
  </si>
  <si>
    <t>MP108-1178</t>
  </si>
  <si>
    <t>Sheraton</t>
  </si>
  <si>
    <t>Joey</t>
  </si>
  <si>
    <t>Peralta</t>
  </si>
  <si>
    <t>Tufted Low Back Upholstered Arm Dining Chair Set of 2</t>
  </si>
  <si>
    <t>CSNSTORES,LAMPDS</t>
  </si>
  <si>
    <t>40002684-000-000</t>
  </si>
  <si>
    <t>TN54-0496</t>
  </si>
  <si>
    <t>Sherpa</t>
  </si>
  <si>
    <t>PP001893;PF006038</t>
  </si>
  <si>
    <t>AMAZON,AMAZONDS,CSNSTORES,JCPENNEY01,KOHLDSN</t>
  </si>
  <si>
    <t>42738933-000-004</t>
  </si>
  <si>
    <t>TN54-0498</t>
  </si>
  <si>
    <t>42738933-000-005</t>
  </si>
  <si>
    <t>11/9/2023</t>
  </si>
  <si>
    <t>TN54-0504</t>
  </si>
  <si>
    <t>PP001893;PF006040</t>
  </si>
  <si>
    <t>42738933-000-008</t>
  </si>
  <si>
    <t>TN54-0505</t>
  </si>
  <si>
    <t>42738933-000-007</t>
  </si>
  <si>
    <t>TN54-0506</t>
  </si>
  <si>
    <t>42738933-000-009</t>
  </si>
  <si>
    <t>TN54-0500</t>
  </si>
  <si>
    <t>PP001893;PF006039</t>
  </si>
  <si>
    <t>42738933-000-000</t>
  </si>
  <si>
    <t>TN54-0501</t>
  </si>
  <si>
    <t>42738933-000-015</t>
  </si>
  <si>
    <t>TN54-0502</t>
  </si>
  <si>
    <t>42738933-000-002</t>
  </si>
  <si>
    <t>TN54-0492</t>
  </si>
  <si>
    <t>PP001893;PF006037</t>
  </si>
  <si>
    <t>42738933-000-013</t>
  </si>
  <si>
    <t>TN54-0494</t>
  </si>
  <si>
    <t>42738933-000-003</t>
  </si>
  <si>
    <t>MP95C-0321</t>
  </si>
  <si>
    <t>Shimmering Symphony</t>
  </si>
  <si>
    <t>Glitter and Gold Foil Abstract Triptych 3-piece Canvas Wall Art Set</t>
  </si>
  <si>
    <t>42672668-000-000</t>
  </si>
  <si>
    <t>CC10-0017</t>
  </si>
  <si>
    <t>Signature</t>
  </si>
  <si>
    <t>Dobby Cotton Down Alternative Comforter</t>
  </si>
  <si>
    <t>42078396-000-001</t>
  </si>
  <si>
    <t>CC10-0018</t>
  </si>
  <si>
    <t>42078396-000-000</t>
  </si>
  <si>
    <t>CCS20-016</t>
  </si>
  <si>
    <t>Signature Hem</t>
  </si>
  <si>
    <t>300TC Cotton Sheet Set</t>
  </si>
  <si>
    <t>42025512-000-000</t>
  </si>
  <si>
    <t>CCS20-017</t>
  </si>
  <si>
    <t>BLK01,CSNSTORES,JCPENNEY01</t>
  </si>
  <si>
    <t>42025512-000-004</t>
  </si>
  <si>
    <t>CCS20-020</t>
  </si>
  <si>
    <t>300TC Cotton Pillowcases</t>
  </si>
  <si>
    <t>42024798-000-000</t>
  </si>
  <si>
    <t>12/20/2023</t>
  </si>
  <si>
    <t>CCS20-018</t>
  </si>
  <si>
    <t>42025512-000-002</t>
  </si>
  <si>
    <t>CCS20-021</t>
  </si>
  <si>
    <t>CSNSTORES,DLCROSCILL,JCPENNEY01,KOHLDSN,MACY02,OLLIIX</t>
  </si>
  <si>
    <t>42025512-000-003</t>
  </si>
  <si>
    <t>CCS20-022</t>
  </si>
  <si>
    <t>CSNSTORES,DLCROSCILL,JCPENNEY01,MACY02,OLLIIX</t>
  </si>
  <si>
    <t>42025512-000-001</t>
  </si>
  <si>
    <t>CCS20-025</t>
  </si>
  <si>
    <t>42024798-000-002</t>
  </si>
  <si>
    <t>CCS20-023</t>
  </si>
  <si>
    <t>BLK01,CSNSTORES</t>
  </si>
  <si>
    <t>42025512-000-005</t>
  </si>
  <si>
    <t>2/2/2024</t>
  </si>
  <si>
    <t>MP103-1186</t>
  </si>
  <si>
    <t>Sikora</t>
  </si>
  <si>
    <t>Gayley</t>
  </si>
  <si>
    <t>Felipe</t>
  </si>
  <si>
    <t>Channel Tufted Swivel Armchair</t>
  </si>
  <si>
    <t>40537064-000-000</t>
  </si>
  <si>
    <t>II95C-0151</t>
  </si>
  <si>
    <t>Silver Sand</t>
  </si>
  <si>
    <t>Hand Embellished Abstract 3-piece Canvas Wall Art Set</t>
  </si>
  <si>
    <t>PP001870</t>
  </si>
  <si>
    <t>ASHFURNDS</t>
  </si>
  <si>
    <t>41392108-000-000</t>
  </si>
  <si>
    <t>MP40-8119</t>
  </si>
  <si>
    <t>Simone</t>
  </si>
  <si>
    <t>Abelia</t>
  </si>
  <si>
    <t>Fleur</t>
  </si>
  <si>
    <t>Printed Floral Rod Pocket and Back Tab Voile Sheer Curtain</t>
  </si>
  <si>
    <t>PP001352;PF005873</t>
  </si>
  <si>
    <t>AMAZONDS,CSNSTORES,JCPENNEY01,KOHLDSN,NRTPORT,OLLIIX</t>
  </si>
  <si>
    <t>35137211-000-009</t>
  </si>
  <si>
    <t>MP40-8118</t>
  </si>
  <si>
    <t>Printed Floral Twist Tab Top Voile Sheer Curtain</t>
  </si>
  <si>
    <t>35137197-000-009</t>
  </si>
  <si>
    <t>MP40-8120</t>
  </si>
  <si>
    <t>35137211-000-008</t>
  </si>
  <si>
    <t>MP40-8121</t>
  </si>
  <si>
    <t>Printed Floral Voile Sheer Scarf</t>
  </si>
  <si>
    <t>42x144"</t>
  </si>
  <si>
    <t>35137203-000-008</t>
  </si>
  <si>
    <t>MP40-8122</t>
  </si>
  <si>
    <t>42x216"</t>
  </si>
  <si>
    <t>35137203-000-009</t>
  </si>
  <si>
    <t>MP40-6614</t>
  </si>
  <si>
    <t>PP001352;PF004832</t>
  </si>
  <si>
    <t>35137197-000-000</t>
  </si>
  <si>
    <t>1/2/2020</t>
  </si>
  <si>
    <t>MP40-6615</t>
  </si>
  <si>
    <t>35137197-000-001</t>
  </si>
  <si>
    <t>5/12/2020</t>
  </si>
  <si>
    <t>MP40-6617</t>
  </si>
  <si>
    <t>KOHLDSN,WALMARTDS</t>
  </si>
  <si>
    <t>35137211-000-003</t>
  </si>
  <si>
    <t>2/4/2020</t>
  </si>
  <si>
    <t>MP40-6620</t>
  </si>
  <si>
    <t>PP001352;PF004833</t>
  </si>
  <si>
    <t>35137197-000-003</t>
  </si>
  <si>
    <t>4/24/2020</t>
  </si>
  <si>
    <t>MP40-6623</t>
  </si>
  <si>
    <t>35137211-000-001</t>
  </si>
  <si>
    <t>MP40-6773</t>
  </si>
  <si>
    <t>PP001352;PF004944</t>
  </si>
  <si>
    <t>BLK01,CSNSTORES,JCPENNEY01,KOHLDSN,WALMARTDS</t>
  </si>
  <si>
    <t>35137197-000-004</t>
  </si>
  <si>
    <t>MP40-6775</t>
  </si>
  <si>
    <t>AMAZON,CSNSTORES,JCPENNEY01,KOHLDSN,MACY02,WALMARTDS</t>
  </si>
  <si>
    <t>35137211-000-005</t>
  </si>
  <si>
    <t>4/16/2020</t>
  </si>
  <si>
    <t>MP40-6774</t>
  </si>
  <si>
    <t>35137197-000-005</t>
  </si>
  <si>
    <t>MP40-6776</t>
  </si>
  <si>
    <t>35137211-000-002</t>
  </si>
  <si>
    <t>MP95G-0282</t>
  </si>
  <si>
    <t>Skipping Stones</t>
  </si>
  <si>
    <t>Geo UV Printed Shadowbox 2 Piece Wall Art Set</t>
  </si>
  <si>
    <t>PP001661</t>
  </si>
  <si>
    <t>MACY02,NEBFUR01,OLLIIX,TGTDVS</t>
  </si>
  <si>
    <t>38513638-000-000</t>
  </si>
  <si>
    <t>BASI10-0461</t>
  </si>
  <si>
    <t>Sloan</t>
  </si>
  <si>
    <t>Kaplan</t>
  </si>
  <si>
    <t>Plush Down Alternative Comforter Mini Set</t>
  </si>
  <si>
    <t>PF002146</t>
  </si>
  <si>
    <t>19616067-000-005</t>
  </si>
  <si>
    <t>10/11/2016</t>
  </si>
  <si>
    <t>SHET20-970</t>
  </si>
  <si>
    <t>Smart Cool Microfiber</t>
  </si>
  <si>
    <t>PF002218</t>
  </si>
  <si>
    <t>Coolmax</t>
  </si>
  <si>
    <t>BLK01,KOHLDSN,MACY02,NEBFUR01,TGTDVS,WALMARTDS</t>
  </si>
  <si>
    <t>19599624-000-010</t>
  </si>
  <si>
    <t>5/16/2017</t>
  </si>
  <si>
    <t>SHET20-971</t>
  </si>
  <si>
    <t>19599624-000-011</t>
  </si>
  <si>
    <t>2/24/2017</t>
  </si>
  <si>
    <t>SHET20-974</t>
  </si>
  <si>
    <t>19599624-000-014</t>
  </si>
  <si>
    <t>SHET20-1191</t>
  </si>
  <si>
    <t>PP001565;PF005247</t>
  </si>
  <si>
    <t>12/21/2020</t>
  </si>
  <si>
    <t>BLK01,JCPENNEY01,KOHLDSN,MACY02,NRTPORT</t>
  </si>
  <si>
    <t>19599624-000-030</t>
  </si>
  <si>
    <t>1/15/2021</t>
  </si>
  <si>
    <t>SHET20-1193</t>
  </si>
  <si>
    <t>19599624-000-034</t>
  </si>
  <si>
    <t>SHET20-960</t>
  </si>
  <si>
    <t>PF002216</t>
  </si>
  <si>
    <t>AMAZON,AMAZONDS,BLK01,JCPENNEY01,KOHLDSN,OLLIIX,TGTDVS,WALMARTDS</t>
  </si>
  <si>
    <t>19599624-000-000</t>
  </si>
  <si>
    <t>SHET20-961</t>
  </si>
  <si>
    <t>AMAZON,AMAZONDS,BLK01,KOHLDSN,MACY02,OLLIIX,TGTDVS,WALMARTDS,ZOLA</t>
  </si>
  <si>
    <t>19599624-000-001</t>
  </si>
  <si>
    <t>SHET20-964</t>
  </si>
  <si>
    <t>AMAZON,AMAZONDS,BLK01,JCPENNEY01,KOHLDSN,MACY02,TGTDVS</t>
  </si>
  <si>
    <t>19599624-000-004</t>
  </si>
  <si>
    <t>SHET20-975</t>
  </si>
  <si>
    <t>PF002219</t>
  </si>
  <si>
    <t>19599624-000-015</t>
  </si>
  <si>
    <t>SHET20-976</t>
  </si>
  <si>
    <t>19599624-000-016</t>
  </si>
  <si>
    <t>SHET20-977</t>
  </si>
  <si>
    <t>BEALLSDS,BLK01,JCPENNEY01,KOHLDSN,MACY02,OLLIIX,TGTDVS,ZOLA</t>
  </si>
  <si>
    <t>19599624-000-017</t>
  </si>
  <si>
    <t>SHET20-978</t>
  </si>
  <si>
    <t>BEALLSDS,BLK01,CSNSTORES,JCPENNEY01,KOHLDSN,MACY02,TGTDVS,ZOLA</t>
  </si>
  <si>
    <t>19599624-000-018</t>
  </si>
  <si>
    <t>SHET20-979</t>
  </si>
  <si>
    <t>19599624-000-019</t>
  </si>
  <si>
    <t>SHET20-1184</t>
  </si>
  <si>
    <t>PP001565;PF005246</t>
  </si>
  <si>
    <t>19599624-000-020</t>
  </si>
  <si>
    <t>SHET20-1185</t>
  </si>
  <si>
    <t>BLK01,DESINC,JCPENNEY01,KOHLDSN,MACY02,TGTDVS</t>
  </si>
  <si>
    <t>19599624-000-024</t>
  </si>
  <si>
    <t>SHET20-1188</t>
  </si>
  <si>
    <t>19599624-000-021</t>
  </si>
  <si>
    <t>10/4/2021</t>
  </si>
  <si>
    <t>SHET20-965</t>
  </si>
  <si>
    <t>PF002217</t>
  </si>
  <si>
    <t>19599624-000-005</t>
  </si>
  <si>
    <t>SHET20-968</t>
  </si>
  <si>
    <t>19599624-000-008</t>
  </si>
  <si>
    <t>MP95B-0358</t>
  </si>
  <si>
    <t>Solana</t>
  </si>
  <si>
    <t>Framed Abstract Coastal Rice Shadowbox Wall Decor</t>
  </si>
  <si>
    <t>4/11/2024</t>
  </si>
  <si>
    <t xml:space="preserve"> 39673879-000-001</t>
  </si>
  <si>
    <t>CS40-1263</t>
  </si>
  <si>
    <t>Solid Thermal Panel Pair</t>
  </si>
  <si>
    <t>8/22/2020</t>
  </si>
  <si>
    <t>WALMARTDS</t>
  </si>
  <si>
    <t>43972756-000-000</t>
  </si>
  <si>
    <t>BL20-0602</t>
  </si>
  <si>
    <t>Soloft Plush</t>
  </si>
  <si>
    <t>Micro Plush Sheet Set</t>
  </si>
  <si>
    <t>PF001708</t>
  </si>
  <si>
    <t>AMAZON,CSNSTORES,KOHLDSN,MACY02,WALMARTDS</t>
  </si>
  <si>
    <t>13709538-000-020</t>
  </si>
  <si>
    <t>10/21/2015</t>
  </si>
  <si>
    <t>BL20-0453</t>
  </si>
  <si>
    <t>PF001697</t>
  </si>
  <si>
    <t>13709538-000-010</t>
  </si>
  <si>
    <t>BL20-0454</t>
  </si>
  <si>
    <t>13709538-000-022</t>
  </si>
  <si>
    <t>BL20-0455</t>
  </si>
  <si>
    <t>13709538-000-002</t>
  </si>
  <si>
    <t>BL20-0456</t>
  </si>
  <si>
    <t>13709538-000-016</t>
  </si>
  <si>
    <t>BL20-0449</t>
  </si>
  <si>
    <t>PF001675</t>
  </si>
  <si>
    <t>13709538-000-011</t>
  </si>
  <si>
    <t>BL20-0450</t>
  </si>
  <si>
    <t>13709538-000-023</t>
  </si>
  <si>
    <t>BL20-0451</t>
  </si>
  <si>
    <t>13709538-000-001</t>
  </si>
  <si>
    <t>2/11/2015</t>
  </si>
  <si>
    <t>BL20-0452</t>
  </si>
  <si>
    <t>AMAZONDS,DESINC,KOHLDSN,OLLIIX</t>
  </si>
  <si>
    <t>13709538-000-017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</si>
  <si>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</si>
  <si>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</si>
  <si>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</si>
  <si>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</si>
  <si>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</si>
  <si>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</si>
  <si>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</si>
  <si>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13709538-000-009</t>
  </si>
  <si>
    <t>BL20-0458</t>
  </si>
  <si>
    <t>13709538-000-021</t>
  </si>
  <si>
    <t>BL20-0459</t>
  </si>
  <si>
    <t>13709538-000-003</t>
  </si>
  <si>
    <t>BL20-0460</t>
  </si>
  <si>
    <t>13709538-000-015</t>
  </si>
  <si>
    <t>BL20-0869</t>
  </si>
  <si>
    <t>PF001719</t>
  </si>
  <si>
    <t>13709538-000-007</t>
  </si>
  <si>
    <t>BL20-0872</t>
  </si>
  <si>
    <t>13709538-000-013</t>
  </si>
  <si>
    <t>BL20-0445</t>
  </si>
  <si>
    <t>PF001663</t>
  </si>
  <si>
    <t>13709538-000-012</t>
  </si>
  <si>
    <t>BL20-0446</t>
  </si>
  <si>
    <t>13709538-000-024</t>
  </si>
  <si>
    <t>BL20-0447</t>
  </si>
  <si>
    <t>13709538-000-000</t>
  </si>
  <si>
    <t>BL20-0448</t>
  </si>
  <si>
    <t>AMAZONDS,DESINC,KOHLDSN,MACY02</t>
  </si>
  <si>
    <t>13709538-000-018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</si>
  <si>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</si>
  <si>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</si>
  <si>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</si>
  <si>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</si>
  <si>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</si>
  <si>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</si>
  <si>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</si>
  <si>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AMAZONDS,CSNSTORES,JCPENNEY01,KOHLDSN,MACY02,TGTDVS</t>
  </si>
  <si>
    <t>13709538-000-026</t>
  </si>
  <si>
    <t>MP130-0528</t>
  </si>
  <si>
    <t>Sonata</t>
  </si>
  <si>
    <t>Malta</t>
  </si>
  <si>
    <t>Accent Chest with 2 Drawers</t>
  </si>
  <si>
    <t>PP000629</t>
  </si>
  <si>
    <t>CSNSTORES,LAMPDS,MACY02F,OLLIIX,ROOMECOM</t>
  </si>
  <si>
    <t>25473526-000-000</t>
  </si>
  <si>
    <t>12/28/2017</t>
  </si>
  <si>
    <t>II90-0538</t>
  </si>
  <si>
    <t>Dining Bench|Dining Table</t>
  </si>
  <si>
    <t>Sonoma</t>
  </si>
  <si>
    <t>Natural 6-Piece Set</t>
  </si>
  <si>
    <t>42099720-000-001</t>
  </si>
  <si>
    <t>II90-0539</t>
  </si>
  <si>
    <t>Natural 7-Piece Set</t>
  </si>
  <si>
    <t>42099719-000-002</t>
  </si>
  <si>
    <t>II90-0542</t>
  </si>
  <si>
    <t>Gray 7-Piece Set</t>
  </si>
  <si>
    <t>7/16/2021</t>
  </si>
  <si>
    <t>42099719-000-001</t>
  </si>
  <si>
    <t>II121-0446</t>
  </si>
  <si>
    <t>Rectangle Dining Table</t>
  </si>
  <si>
    <t>AMAZONDS,CSNSTORES,HOUZZ,OLLIIX</t>
  </si>
  <si>
    <t>26801769-000-002</t>
  </si>
  <si>
    <t>5/12/2021</t>
  </si>
  <si>
    <t>II90-0540</t>
  </si>
  <si>
    <t>White 6-Piece Set</t>
  </si>
  <si>
    <t>8/2/2021</t>
  </si>
  <si>
    <t>42099720-000-000</t>
  </si>
  <si>
    <t>II90-0541</t>
  </si>
  <si>
    <t>White 7-Piece Set</t>
  </si>
  <si>
    <t>42099719-000-000</t>
  </si>
  <si>
    <t>ST35-0252</t>
  </si>
  <si>
    <t>Sophia</t>
  </si>
  <si>
    <t>Talas Trellis Area Rug in Cream</t>
  </si>
  <si>
    <t>38830014-000-000</t>
  </si>
  <si>
    <t>ST35-0253</t>
  </si>
  <si>
    <t>38830014-000-001</t>
  </si>
  <si>
    <t>ID40-1797</t>
  </si>
  <si>
    <t>Pom Pom Embellished Curtain Panel</t>
  </si>
  <si>
    <t>PF001530;PP001619</t>
  </si>
  <si>
    <t>9/10/2019</t>
  </si>
  <si>
    <t>34389959-000-005</t>
  </si>
  <si>
    <t>11/5/2019</t>
  </si>
  <si>
    <t>ID40-2019</t>
  </si>
  <si>
    <t>PF005439;PP001619</t>
  </si>
  <si>
    <t>34389959-000-007</t>
  </si>
  <si>
    <t>MP35-8040</t>
  </si>
  <si>
    <t>PP001794;PF005781</t>
  </si>
  <si>
    <t>40587885-000-003</t>
  </si>
  <si>
    <t>MP35-8037</t>
  </si>
  <si>
    <t>Talas Trellis Area Rug in Grey and Cream</t>
  </si>
  <si>
    <t>PP001794;PF005780</t>
  </si>
  <si>
    <t>AMAZON,BIGLOTSDS,CSNSTORES,NRTPORT</t>
  </si>
  <si>
    <t>40587885-000-000</t>
  </si>
  <si>
    <t>MP35-8036</t>
  </si>
  <si>
    <t>40587885-000-004</t>
  </si>
  <si>
    <t>MP35-8039</t>
  </si>
  <si>
    <t>40587885-000-005</t>
  </si>
  <si>
    <t>MP72-2490</t>
  </si>
  <si>
    <t>Spa Cotton</t>
  </si>
  <si>
    <t>Reversible Bath Rug</t>
  </si>
  <si>
    <t>24x72"</t>
  </si>
  <si>
    <t>PF001448;PP000510</t>
  </si>
  <si>
    <t>AMAZON,AMAZONDS,ASHFURNDS,CSNSTORES,JCPENNEY01,KIRKLANDDS,KOHLDSN,MACY02,OLLIIX,TGTDVS,Zulily</t>
  </si>
  <si>
    <t>17404250-000-008</t>
  </si>
  <si>
    <t>MP70-8452</t>
  </si>
  <si>
    <t>Spa Waffle</t>
  </si>
  <si>
    <t>Shower Curtain with 3M Treatment</t>
  </si>
  <si>
    <t>72x84"</t>
  </si>
  <si>
    <t>PP000511;PF006256</t>
  </si>
  <si>
    <t>MP70-8449</t>
  </si>
  <si>
    <t>MP70-8456</t>
  </si>
  <si>
    <t>PP000511;PF006257</t>
  </si>
  <si>
    <t>MP70-8453</t>
  </si>
  <si>
    <t>MP95G-0324</t>
  </si>
  <si>
    <t>Sparkling Sea</t>
  </si>
  <si>
    <t>Framed Glass and Single Matted Abstract Landscape Coastal Wall Art</t>
  </si>
  <si>
    <t>42762477-000-000</t>
  </si>
  <si>
    <t>MPS73-436</t>
  </si>
  <si>
    <t>Splendor</t>
  </si>
  <si>
    <t>1000gsm 100% Cotton 6 Piece Towel Set</t>
  </si>
  <si>
    <t>PP001153</t>
  </si>
  <si>
    <t>AMAZONDS,BLK01,HDDS,JCPENNEY01,KIRKLANDDS,KOHLDSN,MACY02,OLLIIX,TGTDVS</t>
  </si>
  <si>
    <t>33130256-000-003</t>
  </si>
  <si>
    <t>5/22/2019</t>
  </si>
  <si>
    <t>11/24/2019</t>
  </si>
  <si>
    <t>HE10-416</t>
  </si>
  <si>
    <t>Home Essence</t>
  </si>
  <si>
    <t>Springfield</t>
  </si>
  <si>
    <t>43960163-000-000</t>
  </si>
  <si>
    <t>WR13-3042</t>
  </si>
  <si>
    <t>Spruce Hill</t>
  </si>
  <si>
    <t>PP001508;PF005120</t>
  </si>
  <si>
    <t>Patchwork</t>
  </si>
  <si>
    <t>AMAZON,BLK01,CSNSTORES,DESINC,JCPENNEY01,KOHLDSN,OLLIIX,TGTDVS</t>
  </si>
  <si>
    <t>36457867-000-000</t>
  </si>
  <si>
    <t>MT95B-0083</t>
  </si>
  <si>
    <t>Staggered Stones</t>
  </si>
  <si>
    <t>Blue Natural Agate Double Mat Shadow Box Wall Decor</t>
  </si>
  <si>
    <t>43932324-000-000</t>
  </si>
  <si>
    <t>5/6/2024</t>
  </si>
  <si>
    <t>MT95B-0085</t>
  </si>
  <si>
    <t>Off-White Natural Agate Double Mat Shadow Box Wall Decor</t>
  </si>
  <si>
    <t>43932324-000-001</t>
  </si>
  <si>
    <t>MZK13-136</t>
  </si>
  <si>
    <t>Starry Night</t>
  </si>
  <si>
    <t>Shooting Star</t>
  </si>
  <si>
    <t>Midnight Dreams</t>
  </si>
  <si>
    <t>Reversible Quilt Set with Throw Pillow</t>
  </si>
  <si>
    <t>PF000525</t>
  </si>
  <si>
    <t>8/1/2017</t>
  </si>
  <si>
    <t>BLK01,CSNSTORES,JCPENNEY01,KOHLDSN,TGTDVS</t>
  </si>
  <si>
    <t>23440392-000-000</t>
  </si>
  <si>
    <t>MP10-8444</t>
  </si>
  <si>
    <t>Stay Puffed</t>
  </si>
  <si>
    <t>Overfilled Down Alternative Comforter</t>
  </si>
  <si>
    <t>PP001902;PF006238</t>
  </si>
  <si>
    <t>42657016-000-002</t>
  </si>
  <si>
    <t>MP21-8447</t>
  </si>
  <si>
    <t>Overfilled Pillow Protector Single Piece</t>
  </si>
  <si>
    <t>PP001903;PF006239</t>
  </si>
  <si>
    <t>MP10-8445</t>
  </si>
  <si>
    <t>42657016-000-003</t>
  </si>
  <si>
    <t>MP21-8446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</si>
  <si>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</si>
  <si>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</si>
  <si>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</si>
  <si>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</si>
  <si>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</si>
  <si>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</si>
  <si>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AMAZON,AMERSIGNDS,KOHLDSN,LAMPDS,OLLIIX</t>
  </si>
  <si>
    <t>30776137-000-000</t>
  </si>
  <si>
    <t>II105-0569</t>
  </si>
  <si>
    <t>Steve</t>
  </si>
  <si>
    <t>Boucle Waterfall Bench</t>
  </si>
  <si>
    <t>52"W</t>
  </si>
  <si>
    <t>5/1/2024</t>
  </si>
  <si>
    <t>41775209-000-003</t>
  </si>
  <si>
    <t>MP104-1212</t>
  </si>
  <si>
    <t>Stewart</t>
  </si>
  <si>
    <t>Upholstered 360 Degree Swivel Counter Stool 25" H</t>
  </si>
  <si>
    <t>40968535-000-000</t>
  </si>
  <si>
    <t>ID95B-0025</t>
  </si>
  <si>
    <t>Summer Bliss</t>
  </si>
  <si>
    <t>Silver Framed Floral Medallion 3-piece Wall Decor Set</t>
  </si>
  <si>
    <t>PF001929</t>
  </si>
  <si>
    <t>ASHFURNDS,BIGLOTSDS,KIRKLANDDS,KOHLDSN,LAMPDS,MACY02,OLLIIX,TGTDVS</t>
  </si>
  <si>
    <t>19320826-000-000</t>
  </si>
  <si>
    <t>MPS95A-0023</t>
  </si>
  <si>
    <t>Sunburst</t>
  </si>
  <si>
    <t>Hand Painted Dimensional Resin Wall Art</t>
  </si>
  <si>
    <t>30x30"</t>
  </si>
  <si>
    <t>PF002029</t>
  </si>
  <si>
    <t>AMAZON,AMAZONDS,AMERSIGNDS,CSNSTORES,HDDS,KOHLDSN,LAMPDS,OLLIIX,ROOMECOM,TGTDVS</t>
  </si>
  <si>
    <t>25582544-000-000</t>
  </si>
  <si>
    <t>1/26/2018</t>
  </si>
  <si>
    <t>MPS95B-0044</t>
  </si>
  <si>
    <t>Hand Painted Triptych 3-piece Dimensional Resin Wall Art Set</t>
  </si>
  <si>
    <t>3-Piece</t>
  </si>
  <si>
    <t>40050368-000-002</t>
  </si>
  <si>
    <t>MPS95B-0045</t>
  </si>
  <si>
    <t>AMAZON,CSNSTORES,KIRKLANDDS,OLLIIX</t>
  </si>
  <si>
    <t>40050368-000-001</t>
  </si>
  <si>
    <t>MPS95A-0038</t>
  </si>
  <si>
    <t>PF005495</t>
  </si>
  <si>
    <t>AMAZON,AMAZONDS,CSNSTORES,JCPENNEY01,KIRKLANDDS,KOHLDSN,OLLIIX,ROOMECOM</t>
  </si>
  <si>
    <t>25582545-000-001</t>
  </si>
  <si>
    <t>7/21/2021</t>
  </si>
  <si>
    <t>PET66BP6026</t>
  </si>
  <si>
    <t>Sunrise</t>
  </si>
  <si>
    <t>Dog Backpack</t>
  </si>
  <si>
    <t>43808189-000-000</t>
  </si>
  <si>
    <t>WR14-1730</t>
  </si>
  <si>
    <t>Sunset</t>
  </si>
  <si>
    <t>PF003308;PP000534</t>
  </si>
  <si>
    <t>AMAZON,CSNSTORES,FINGERHUTDS,HSNDS,JCPENNEY01,KOHLDSN,MACY02,TGTDVS</t>
  </si>
  <si>
    <t>19405599-000-000</t>
  </si>
  <si>
    <t>WR50-1785</t>
  </si>
  <si>
    <t>AMAZON,AMAZONDS,BLK01,CSNSTORES,KOHLDSN,MACY02,OLLIIX,TGTDVS</t>
  </si>
  <si>
    <t>19408193-000-000</t>
  </si>
  <si>
    <t>WR70-1814</t>
  </si>
  <si>
    <t>100% Cotton Shower Curtain</t>
  </si>
  <si>
    <t>19269378-000-000</t>
  </si>
  <si>
    <t>II115-0502</t>
  </si>
  <si>
    <t>Sunset Cliff</t>
  </si>
  <si>
    <t>Wood Queen Bed</t>
  </si>
  <si>
    <t>41825209-000-000</t>
  </si>
  <si>
    <t>II136-0503</t>
  </si>
  <si>
    <t>1-Drawer Nightstand with Shelf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</si>
  <si>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</si>
  <si>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</si>
  <si>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</si>
  <si>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</si>
  <si>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</si>
  <si>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</si>
  <si>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</si>
  <si>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</si>
  <si>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</si>
  <si>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DESINC,MACY02,OLLIIX,TGTDVS</t>
  </si>
  <si>
    <t>42721560-000-003</t>
  </si>
  <si>
    <t>ID95C-0052</t>
  </si>
  <si>
    <t>Goat Canvas Wall Art</t>
  </si>
  <si>
    <t>Goat/Green Multi</t>
  </si>
  <si>
    <t>42721560-000-004</t>
  </si>
  <si>
    <t>ID95C-0049</t>
  </si>
  <si>
    <t>Lamb Canvas Wall Art</t>
  </si>
  <si>
    <t>Lamb/Green Multi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</si>
  <si>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</si>
  <si>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</si>
  <si>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</si>
  <si>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</si>
  <si>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</si>
  <si>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</si>
  <si>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</si>
  <si>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</si>
  <si>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42721560-000-000</t>
  </si>
  <si>
    <t>II10-046</t>
  </si>
  <si>
    <t>Cotton Seersucker Comfoter Set</t>
  </si>
  <si>
    <t>PF001590</t>
  </si>
  <si>
    <t>Casual|Mid-Century</t>
  </si>
  <si>
    <t>18154134-000-000</t>
  </si>
  <si>
    <t>2/26/2016</t>
  </si>
  <si>
    <t>II12-051</t>
  </si>
  <si>
    <t>BLK01,CSNSTORES,KOHLDSN,MACY02,OLLIIX,TGTDVS</t>
  </si>
  <si>
    <t>18146418-000-002</t>
  </si>
  <si>
    <t>3/30/2015</t>
  </si>
  <si>
    <t>HH12-1347</t>
  </si>
  <si>
    <t>Suzanna</t>
  </si>
  <si>
    <t>PF003327</t>
  </si>
  <si>
    <t>AMAZON,AMAZONDS,CSNSTORES,NRTPORT,OLLIIX</t>
  </si>
  <si>
    <t>17626824-000-000</t>
  </si>
  <si>
    <t>11/13/2015</t>
  </si>
  <si>
    <t>HH30-1650</t>
  </si>
  <si>
    <t>PP000337</t>
  </si>
  <si>
    <t>AMAZON,ASHFURNDS,BLK01,CSNSTORES,KOHLDSN,MACY02,OLLIIX</t>
  </si>
  <si>
    <t>30914972-000-000</t>
  </si>
  <si>
    <t>12/3/2018</t>
  </si>
  <si>
    <t>HH30-1651</t>
  </si>
  <si>
    <t>Oblong Pillow</t>
  </si>
  <si>
    <t>AMAZON,ASHFURNDS,BLK01,CSNSTORES,JCPENNEY01,KOHLDSN,MACY02,OLLIIX</t>
  </si>
  <si>
    <t>30914970-000-000</t>
  </si>
  <si>
    <t>II104-0251</t>
  </si>
  <si>
    <t>Tacoma</t>
  </si>
  <si>
    <t>24" Counter stool</t>
  </si>
  <si>
    <t>PP000055</t>
  </si>
  <si>
    <t>26568496-000-000</t>
  </si>
  <si>
    <t>IIF20-0106</t>
  </si>
  <si>
    <t>Barstool</t>
  </si>
  <si>
    <t>PF000981;PP000055</t>
  </si>
  <si>
    <t>19153848-000-000</t>
  </si>
  <si>
    <t>FPF20-0337</t>
  </si>
  <si>
    <t>Dining Chair (Set of 2)</t>
  </si>
  <si>
    <t>PF000793;PP000055</t>
  </si>
  <si>
    <t>19902861-000-000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</si>
  <si>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</si>
  <si>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</si>
  <si>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</si>
  <si>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</si>
  <si>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</si>
  <si>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</si>
  <si>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36788979-000-001</t>
  </si>
  <si>
    <t>WR50-1781</t>
  </si>
  <si>
    <t>Tasha</t>
  </si>
  <si>
    <t>19409224-000-000</t>
  </si>
  <si>
    <t>WR54-1776</t>
  </si>
  <si>
    <t>PF003453</t>
  </si>
  <si>
    <t>BLK01,KOHLDSN,MACY02,OLLIIX</t>
  </si>
  <si>
    <t>19294649-000-002</t>
  </si>
  <si>
    <t>WR50-1782</t>
  </si>
  <si>
    <t>AMAZON,AMAZONDS,BLK01,CSNSTORES,HDDS,JCPENNEY01,TGTDVS,WALMARTDS</t>
  </si>
  <si>
    <t>19409224-000-001</t>
  </si>
  <si>
    <t>FPF18-0253</t>
  </si>
  <si>
    <t>Taylor</t>
  </si>
  <si>
    <t>Elsa</t>
  </si>
  <si>
    <t>PF000677;PP000270</t>
  </si>
  <si>
    <t>AMERSIGNDS,ASHFURNDS,CASTLEGATE,CSNSTORES,DESINC,HDDS,MACY02F,OLLIIX,ZOLA</t>
  </si>
  <si>
    <t>17880200-000-000</t>
  </si>
  <si>
    <t>MP12-8201</t>
  </si>
  <si>
    <t>Bryn</t>
  </si>
  <si>
    <t>River</t>
  </si>
  <si>
    <t>PP001860;PF005953</t>
  </si>
  <si>
    <t>5/12/2023</t>
  </si>
  <si>
    <t>41593686-000-001</t>
  </si>
  <si>
    <t>7/18/2023</t>
  </si>
  <si>
    <t>MP12-8202</t>
  </si>
  <si>
    <t>41593686-000-000</t>
  </si>
  <si>
    <t>MP40-8432</t>
  </si>
  <si>
    <t>Clipped Jacquard Light Filtering Rod Pocket/Back Tab Single Curtain Panel</t>
  </si>
  <si>
    <t>PP001860;PF005952</t>
  </si>
  <si>
    <t>44092529-000-000</t>
  </si>
  <si>
    <t>MP95C-0120</t>
  </si>
  <si>
    <t>Teal Tides</t>
  </si>
  <si>
    <t>PF002038</t>
  </si>
  <si>
    <t>KIRKLANDDS,KOHLDSN,OLLIIX,ROOMECOM,TGTDVS</t>
  </si>
  <si>
    <t>23578143-000-000</t>
  </si>
  <si>
    <t>BR20-3896</t>
  </si>
  <si>
    <t>Tencel Polyester Blend</t>
  </si>
  <si>
    <t>PP001850;PF005924</t>
  </si>
  <si>
    <t>Tencel</t>
  </si>
  <si>
    <t>41028508-000-001</t>
  </si>
  <si>
    <t>1/27/2023</t>
  </si>
  <si>
    <t>1/5/2024</t>
  </si>
  <si>
    <t>BR20-3904</t>
  </si>
  <si>
    <t>PP001850;PF005926</t>
  </si>
  <si>
    <t>41028508-000-003</t>
  </si>
  <si>
    <t>BR20-3900</t>
  </si>
  <si>
    <t>PP001850;PF005925</t>
  </si>
  <si>
    <t>41028508-000-012</t>
  </si>
  <si>
    <t>ID10-2226</t>
  </si>
  <si>
    <t>Terra</t>
  </si>
  <si>
    <t>Althea</t>
  </si>
  <si>
    <t>Gwen</t>
  </si>
  <si>
    <t>Modern Comforter Set</t>
  </si>
  <si>
    <t>PF005944</t>
  </si>
  <si>
    <t>41294100-000-001</t>
  </si>
  <si>
    <t>3/29/2023</t>
  </si>
  <si>
    <t>ID10-2227</t>
  </si>
  <si>
    <t>41294100-000-000</t>
  </si>
  <si>
    <t>MZK10-273</t>
  </si>
  <si>
    <t>Tanya</t>
  </si>
  <si>
    <t>Jamie</t>
  </si>
  <si>
    <t>Tassel Comforter Set with Heart Shaped Throw Pillow</t>
  </si>
  <si>
    <t>PP001045;PF006288</t>
  </si>
  <si>
    <t>MZK10-274</t>
  </si>
  <si>
    <t>WR13-2057</t>
  </si>
  <si>
    <t>Teton</t>
  </si>
  <si>
    <t>Embroidered Plush Quilt Set</t>
  </si>
  <si>
    <t>PF002180</t>
  </si>
  <si>
    <t>AMAZON,ASHFURNDS,CSNSTORES,KOHLDSN,MACY02,OLLIIX</t>
  </si>
  <si>
    <t>23298025-000-000</t>
  </si>
  <si>
    <t>WR13-2058</t>
  </si>
  <si>
    <t>AMAZON,CSNSTORES,JCPENNEY01,MACY02,OLLIIX,TGTDVS</t>
  </si>
  <si>
    <t>23298025-000-001</t>
  </si>
  <si>
    <t>MT95G-0086</t>
  </si>
  <si>
    <t>The Duel</t>
  </si>
  <si>
    <t>Cheetah Framed Graphic Wall Decor 2 Piece set</t>
  </si>
  <si>
    <t>KIRKLANDDS,OLLIIX,TGTDVS</t>
  </si>
  <si>
    <t>43651871-000-000</t>
  </si>
  <si>
    <t>MP101-1135</t>
  </si>
  <si>
    <t>Tracey</t>
  </si>
  <si>
    <t>Conner</t>
  </si>
  <si>
    <t>Sally</t>
  </si>
  <si>
    <t>Faux Leather Cocktail Ottoman</t>
  </si>
  <si>
    <t>39771180-000-000</t>
  </si>
  <si>
    <t>ST54-0246</t>
  </si>
  <si>
    <t>Travis AZ</t>
  </si>
  <si>
    <t>Heated Tri-Rib Microfleece Blanket</t>
  </si>
  <si>
    <t>Berry Red</t>
  </si>
  <si>
    <t>43942077-000-017</t>
  </si>
  <si>
    <t>ST54-0248</t>
  </si>
  <si>
    <t>43942077-000-013</t>
  </si>
  <si>
    <t>ST54-0249</t>
  </si>
  <si>
    <t>43942077-000-001</t>
  </si>
  <si>
    <t>ST54-0234</t>
  </si>
  <si>
    <t>43942077-000-024</t>
  </si>
  <si>
    <t>ST54-0235</t>
  </si>
  <si>
    <t>43942077-000-011</t>
  </si>
  <si>
    <t>ST54-0236</t>
  </si>
  <si>
    <t>43942077-000-023</t>
  </si>
  <si>
    <t>ST54-0237</t>
  </si>
  <si>
    <t>43942077-000-016</t>
  </si>
  <si>
    <t>ST54-0222</t>
  </si>
  <si>
    <t>43942077-000-025</t>
  </si>
  <si>
    <t>ST54-0223</t>
  </si>
  <si>
    <t>43942077-000-015</t>
  </si>
  <si>
    <t>ST54-0224</t>
  </si>
  <si>
    <t>43942077-000-020</t>
  </si>
  <si>
    <t>ST54-0225</t>
  </si>
  <si>
    <t>43942077-000-026</t>
  </si>
  <si>
    <t>ST54-0242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</si>
  <si>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</si>
  <si>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</si>
  <si>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</si>
  <si>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</si>
  <si>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</si>
  <si>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</si>
  <si>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</si>
  <si>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</si>
  <si>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</si>
  <si>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</si>
  <si>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</si>
  <si>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</si>
  <si>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</si>
  <si>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ST54-0241</t>
  </si>
  <si>
    <t>43942077-000-019</t>
  </si>
  <si>
    <t>ST54-0230</t>
  </si>
  <si>
    <t>Latte Tan</t>
  </si>
  <si>
    <t>43942077-000-003</t>
  </si>
  <si>
    <t>ST54-0231</t>
  </si>
  <si>
    <t>43942077-000-006</t>
  </si>
  <si>
    <t>ST54-0232</t>
  </si>
  <si>
    <t>43942077-000-022</t>
  </si>
  <si>
    <t>ST54-0233</t>
  </si>
  <si>
    <t>43942077-000-014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</si>
  <si>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</si>
  <si>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</si>
  <si>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</si>
  <si>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</si>
  <si>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</si>
  <si>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</si>
  <si>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</si>
  <si>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ST54-0229</t>
  </si>
  <si>
    <t>43942077-000-005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</si>
  <si>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</si>
  <si>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</si>
  <si>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</si>
  <si>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</si>
  <si>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</si>
  <si>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</si>
  <si>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AMERSIGNDS,CSNSTORES,KOHLDSN,OLLIIX,TGTDVS</t>
  </si>
  <si>
    <t>39738293-000-000</t>
  </si>
  <si>
    <t>PET63CC6031</t>
  </si>
  <si>
    <t>Trucker</t>
  </si>
  <si>
    <t>Crate Cover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</si>
  <si>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</si>
  <si>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</si>
  <si>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</si>
  <si>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</si>
  <si>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</si>
  <si>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</si>
  <si>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</si>
  <si>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WR10-3857</t>
  </si>
  <si>
    <t>Tunbridge</t>
  </si>
  <si>
    <t>Print Sherpa Comforter Set</t>
  </si>
  <si>
    <t>PF005751;PP001788</t>
  </si>
  <si>
    <t>8/24/2022</t>
  </si>
  <si>
    <t>40322460-000-001</t>
  </si>
  <si>
    <t>9/15/2022</t>
  </si>
  <si>
    <t>WR10-3858</t>
  </si>
  <si>
    <t>40322460-000-000</t>
  </si>
  <si>
    <t>MPS73-532</t>
  </si>
  <si>
    <t>Turkish</t>
  </si>
  <si>
    <t>100% Cotton Bath Sheet 2 Piece Set</t>
  </si>
  <si>
    <t>35x70" - 2PK</t>
  </si>
  <si>
    <t>PP001361</t>
  </si>
  <si>
    <t>MPS73-543</t>
  </si>
  <si>
    <t>Cotton 6 Piece Bath Towel Set</t>
  </si>
  <si>
    <t>PP001361;PF006305</t>
  </si>
  <si>
    <t>MPS73-533</t>
  </si>
  <si>
    <t>MPS73-534</t>
  </si>
  <si>
    <t>MPS73-531</t>
  </si>
  <si>
    <t>MP103-1231</t>
  </si>
  <si>
    <t>Tyler</t>
  </si>
  <si>
    <t>Memo</t>
  </si>
  <si>
    <t>Natural Multi</t>
  </si>
  <si>
    <t>PF001096;PP000273</t>
  </si>
  <si>
    <t>44075923-000-000</t>
  </si>
  <si>
    <t>TN54-0200</t>
  </si>
  <si>
    <t>Ultra Soft</t>
  </si>
  <si>
    <t>Plush Reverses to Berber Heated Blanket</t>
  </si>
  <si>
    <t>PF003495</t>
  </si>
  <si>
    <t>KOHLDSN,TGTDVS,WALMARTDS</t>
  </si>
  <si>
    <t>24091825-000-012</t>
  </si>
  <si>
    <t>TN54-0202</t>
  </si>
  <si>
    <t>24091825-000-014</t>
  </si>
  <si>
    <t>TN54-0397</t>
  </si>
  <si>
    <t>PF004403</t>
  </si>
  <si>
    <t>24091825-000-018</t>
  </si>
  <si>
    <t>TN54-0398</t>
  </si>
  <si>
    <t>BLK01,KOHLDSN</t>
  </si>
  <si>
    <t>24091825-000-017</t>
  </si>
  <si>
    <t>TN54-0399</t>
  </si>
  <si>
    <t>24091825-000-016</t>
  </si>
  <si>
    <t>TN54-0400</t>
  </si>
  <si>
    <t>24091825-000-023</t>
  </si>
  <si>
    <t>12/3/2020</t>
  </si>
  <si>
    <t>TN54-0197</t>
  </si>
  <si>
    <t>PF003494</t>
  </si>
  <si>
    <t>KOHLDSN,MACY02,OLLIIX,TGTDVS,WALMARTDS</t>
  </si>
  <si>
    <t>24091825-000-009</t>
  </si>
  <si>
    <t>TN54-0198</t>
  </si>
  <si>
    <t>24091825-000-010</t>
  </si>
  <si>
    <t>TN54-0199</t>
  </si>
  <si>
    <t>24091825-000-011</t>
  </si>
  <si>
    <t>TN54-0402</t>
  </si>
  <si>
    <t>PF004404</t>
  </si>
  <si>
    <t>24091825-000-021</t>
  </si>
  <si>
    <t>TN54-0403</t>
  </si>
  <si>
    <t>24091825-000-020</t>
  </si>
  <si>
    <t>TN54-0404</t>
  </si>
  <si>
    <t>24091825-000-019</t>
  </si>
  <si>
    <t>TN54-0192</t>
  </si>
  <si>
    <t>PF003493</t>
  </si>
  <si>
    <t>JCPENNEY01,OLLIIX,TGTDVS</t>
  </si>
  <si>
    <t>24091825-000-004</t>
  </si>
  <si>
    <t>TN54-0193</t>
  </si>
  <si>
    <t>BLK01,MACY02,TGTDVS,WALMARTDS</t>
  </si>
  <si>
    <t>24091825-000-005</t>
  </si>
  <si>
    <t>TN54-0194</t>
  </si>
  <si>
    <t>24091825-000-006</t>
  </si>
  <si>
    <t>TN54-0188</t>
  </si>
  <si>
    <t>PF003492</t>
  </si>
  <si>
    <t>24091825-000-000</t>
  </si>
  <si>
    <t>TN54-0190</t>
  </si>
  <si>
    <t>24091825-000-002</t>
  </si>
  <si>
    <t>TN54-0191</t>
  </si>
  <si>
    <t>BLK01,KOHLDSN,OLLIIX,TGTDVS,WALMARTDS</t>
  </si>
  <si>
    <t>24091825-000-003</t>
  </si>
  <si>
    <t>UH12-2405</t>
  </si>
  <si>
    <t>Union Square</t>
  </si>
  <si>
    <t>Austin</t>
  </si>
  <si>
    <t>Cotton Yarn Dyed Jacquard Plaid Duvet Cover Set</t>
  </si>
  <si>
    <t>PF005555</t>
  </si>
  <si>
    <t>11/12/2021</t>
  </si>
  <si>
    <t>39087531-000-000</t>
  </si>
  <si>
    <t>MPS10-544</t>
  </si>
  <si>
    <t>Urban Cabin</t>
  </si>
  <si>
    <t>PP001989;PF006386</t>
  </si>
  <si>
    <t>Glam/Luxury|Lodge/Cabin</t>
  </si>
  <si>
    <t>8/29/2024</t>
  </si>
  <si>
    <t>MPS10-545</t>
  </si>
  <si>
    <t>BR9144409622-11</t>
  </si>
  <si>
    <t>Vail</t>
  </si>
  <si>
    <t>10 Piece Watercolor Ombre Comforter Set with Bed Sheets</t>
  </si>
  <si>
    <t>PP001822;PF005857</t>
  </si>
  <si>
    <t>40070304-000-000</t>
  </si>
  <si>
    <t>BR9144409622-12</t>
  </si>
  <si>
    <t>40070304-000-003</t>
  </si>
  <si>
    <t>BR9144409622-09</t>
  </si>
  <si>
    <t>PP001822;PF005856</t>
  </si>
  <si>
    <t>40070304-000-001</t>
  </si>
  <si>
    <t>7/20/2022</t>
  </si>
  <si>
    <t>BR9144409622-10</t>
  </si>
  <si>
    <t>40070304-000-002</t>
  </si>
  <si>
    <t>CCL10-0004</t>
  </si>
  <si>
    <t>Valentina</t>
  </si>
  <si>
    <t>BLK01,CSNSTORES,MACY02,OLLIIX</t>
  </si>
  <si>
    <t>42079026-000-001</t>
  </si>
  <si>
    <t>CCL10-0006</t>
  </si>
  <si>
    <t>42079026-000-002</t>
  </si>
  <si>
    <t>II153-0162</t>
  </si>
  <si>
    <t>Veluna</t>
  </si>
  <si>
    <t>Textured Ceramic Table Lamp with Fluted Fabric Shade</t>
  </si>
  <si>
    <t>ID10-2339</t>
  </si>
  <si>
    <t>Velvet Dream Puff</t>
  </si>
  <si>
    <t>2 Piece Comforter Set</t>
  </si>
  <si>
    <t>PP001942;PF006190</t>
  </si>
  <si>
    <t>43800402-000-004</t>
  </si>
  <si>
    <t>ID10-2341</t>
  </si>
  <si>
    <t>3 Piece Comforter Set</t>
  </si>
  <si>
    <t>43800402-000-003</t>
  </si>
  <si>
    <t>ID10-2336</t>
  </si>
  <si>
    <t>PP001942;PF006189</t>
  </si>
  <si>
    <t>43800402-000-007</t>
  </si>
  <si>
    <t>ID10-2338</t>
  </si>
  <si>
    <t>43800402-000-005</t>
  </si>
  <si>
    <t>ID10-2342</t>
  </si>
  <si>
    <t>PP001942;PF006191</t>
  </si>
  <si>
    <t>43800402-000-001</t>
  </si>
  <si>
    <t>ID10-2343</t>
  </si>
  <si>
    <t>43800402-000-000</t>
  </si>
  <si>
    <t>ID10-2344</t>
  </si>
  <si>
    <t>43800402-000-008</t>
  </si>
  <si>
    <t>FB13-1027</t>
  </si>
  <si>
    <t>Velvet Touch</t>
  </si>
  <si>
    <t>3 Piece Luxurious Oversized Quilt Set</t>
  </si>
  <si>
    <t>PF003280</t>
  </si>
  <si>
    <t>BLK01,CSNSTORES,KOHLDSN,MACY02,OLLIIX</t>
  </si>
  <si>
    <t>19321640-000-000</t>
  </si>
  <si>
    <t>CCL13-0016</t>
  </si>
  <si>
    <t>Versailles</t>
  </si>
  <si>
    <t>3 Piece Champagne Quilt Set</t>
  </si>
  <si>
    <t>42041894-000-000</t>
  </si>
  <si>
    <t>MPS137-0004</t>
  </si>
  <si>
    <t>DRESSER/CHEST</t>
  </si>
  <si>
    <t>Dresser</t>
  </si>
  <si>
    <t>Small Dresser</t>
  </si>
  <si>
    <t>Light Natural</t>
  </si>
  <si>
    <t>PF001290;PP000311</t>
  </si>
  <si>
    <t>4/26/2017</t>
  </si>
  <si>
    <t>AMERSIGNDS,CASTLEGATE,CSNSTORES,DESINC,KIRKLANDDS,KOHLDSN,OLLIIX,ROOMECOM</t>
  </si>
  <si>
    <t>20476257-000-000</t>
  </si>
  <si>
    <t>12/14/2016</t>
  </si>
  <si>
    <t>SS40-0091</t>
  </si>
  <si>
    <t>Victorio</t>
  </si>
  <si>
    <t>Laurent</t>
  </si>
  <si>
    <t>Printed Jacquard Grommet Top Total Blackout Curtain Panel</t>
  </si>
  <si>
    <t>PP000999;PF004468</t>
  </si>
  <si>
    <t>CASTLEGATE,CSNSTORES,DESINC,JCPENNEY01</t>
  </si>
  <si>
    <t>29074578-000-003</t>
  </si>
  <si>
    <t>CHM12-0003</t>
  </si>
  <si>
    <t>Villa</t>
  </si>
  <si>
    <t>3 Piece Grey Duvet Set</t>
  </si>
  <si>
    <t>Steel Gray</t>
  </si>
  <si>
    <t>42062413-000-000</t>
  </si>
  <si>
    <t>MP13-7144</t>
  </si>
  <si>
    <t>Violette</t>
  </si>
  <si>
    <t>Juliana</t>
  </si>
  <si>
    <t>Valeria</t>
  </si>
  <si>
    <t xml:space="preserve">3 Piece Tufted Cotton Chenille  Coverlet Set</t>
  </si>
  <si>
    <t>Ivory/Taupe</t>
  </si>
  <si>
    <t>PP001469;PF005063</t>
  </si>
  <si>
    <t>AMAZON,AMAZONDS,BLK01,CSNSTORES,DESINC,JCPENNEY01,MACY02,OLLIIX,TGTDVS,WALMARTDS,Zulily</t>
  </si>
  <si>
    <t>35925292-000-001</t>
  </si>
  <si>
    <t>10/5/2022</t>
  </si>
  <si>
    <t>MP12-7142</t>
  </si>
  <si>
    <t>PP001468;PF005062</t>
  </si>
  <si>
    <t>AMAZON,AMAZONDS,CSNSTORES,JCPENNEY01,KOHLDSN,MACY02,OLLIIX,TGTDVS,WALMARTDS,Zulily</t>
  </si>
  <si>
    <t>35925291-000-000</t>
  </si>
  <si>
    <t>7/17/2022</t>
  </si>
  <si>
    <t>CS40-1554</t>
  </si>
  <si>
    <t>Pair Total Blackout</t>
  </si>
  <si>
    <t>43971899-000-005</t>
  </si>
  <si>
    <t>CS40-1553</t>
  </si>
  <si>
    <t>43971899-000-004</t>
  </si>
  <si>
    <t>CS40-1552</t>
  </si>
  <si>
    <t>43971899-000-003</t>
  </si>
  <si>
    <t>CS40-1551</t>
  </si>
  <si>
    <t>43971899-000-000</t>
  </si>
  <si>
    <t>CS40-1550</t>
  </si>
  <si>
    <t>43971899-000-002</t>
  </si>
  <si>
    <t>CS40-1549</t>
  </si>
  <si>
    <t>43971899-000-001</t>
  </si>
  <si>
    <t>MP50-8256</t>
  </si>
  <si>
    <t>Vivienne</t>
  </si>
  <si>
    <t>Faux Fur Throw</t>
  </si>
  <si>
    <t>PP001889;PF006021</t>
  </si>
  <si>
    <t>43349208-000-000</t>
  </si>
  <si>
    <t>CS10-0255-1</t>
  </si>
  <si>
    <t>Vixie</t>
  </si>
  <si>
    <t>Reversible Down Alternative Comforter Set</t>
  </si>
  <si>
    <t>Grey/Yellow</t>
  </si>
  <si>
    <t>PP001375;PF004883</t>
  </si>
  <si>
    <t>6/17/2019</t>
  </si>
  <si>
    <t>33488805-000-017</t>
  </si>
  <si>
    <t>FPF18-0383</t>
  </si>
  <si>
    <t>Waldorf</t>
  </si>
  <si>
    <t>PF000016;PP000062</t>
  </si>
  <si>
    <t>ASHFURNDS,HOUZZ,KIRKLANDDS,LAMPDS,OLLIIX</t>
  </si>
  <si>
    <t>19830075-000-000</t>
  </si>
  <si>
    <t>CS10-1340</t>
  </si>
  <si>
    <t>Wallace</t>
  </si>
  <si>
    <t>Complete Bed with Sheet Set</t>
  </si>
  <si>
    <t>Navy/Red</t>
  </si>
  <si>
    <t>43956680-000-000</t>
  </si>
  <si>
    <t>CS10-1341</t>
  </si>
  <si>
    <t>43956680-000-001</t>
  </si>
  <si>
    <t>CS10-1342</t>
  </si>
  <si>
    <t>43956680-000-002</t>
  </si>
  <si>
    <t>UH95C-0033</t>
  </si>
  <si>
    <t>Wandering Strokes</t>
  </si>
  <si>
    <t>Abstract Framed Canvas 3 Piece Set</t>
  </si>
  <si>
    <t>PP001666</t>
  </si>
  <si>
    <t>CSNSTORES,NEBFUR01</t>
  </si>
  <si>
    <t>38501113-000-000</t>
  </si>
  <si>
    <t>BASI10-0293</t>
  </si>
  <si>
    <t>Warmer</t>
  </si>
  <si>
    <t>17651642-000-000</t>
  </si>
  <si>
    <t>2/16/2016</t>
  </si>
  <si>
    <t>MP105-1267</t>
  </si>
  <si>
    <t>Welburn</t>
  </si>
  <si>
    <t>Antonio</t>
  </si>
  <si>
    <t>Madera</t>
  </si>
  <si>
    <t>PP000673</t>
  </si>
  <si>
    <t>9/21/2024</t>
  </si>
  <si>
    <t>MP121-1221</t>
  </si>
  <si>
    <t>Phelps</t>
  </si>
  <si>
    <t>Rectangle Extension Dining Table</t>
  </si>
  <si>
    <t>41594063-000-000</t>
  </si>
  <si>
    <t>MT104-0142</t>
  </si>
  <si>
    <t>Wheaton</t>
  </si>
  <si>
    <t>25" Upholstered Counter Stool</t>
  </si>
  <si>
    <t>40002904-000-000</t>
  </si>
  <si>
    <t>MT100-0176</t>
  </si>
  <si>
    <t>Whitney</t>
  </si>
  <si>
    <t>MT Bedford|Farm House</t>
  </si>
  <si>
    <t>42801114-000-000</t>
  </si>
  <si>
    <t>MP120-0971</t>
  </si>
  <si>
    <t>Larris</t>
  </si>
  <si>
    <t>Cocktail Table</t>
  </si>
  <si>
    <t>6/11/2020</t>
  </si>
  <si>
    <t>36328403-000-000</t>
  </si>
  <si>
    <t>MP120-0972</t>
  </si>
  <si>
    <t>36328404-000-000</t>
  </si>
  <si>
    <t>CCL30-0038</t>
  </si>
  <si>
    <t>Winchester</t>
  </si>
  <si>
    <t>42067841-000-003</t>
  </si>
  <si>
    <t>CCL30-0036</t>
  </si>
  <si>
    <t>42067841-000-002</t>
  </si>
  <si>
    <t>CCL30-0035</t>
  </si>
  <si>
    <t>CSNSTORES,HOUZZ,JCPENNEY01,MACY02</t>
  </si>
  <si>
    <t>42067841-000-000</t>
  </si>
  <si>
    <t>MP51-8500</t>
  </si>
  <si>
    <t>Windom</t>
  </si>
  <si>
    <t>Prospect</t>
  </si>
  <si>
    <t>Lightweight Down Alternative Blanket with Satin Trim</t>
  </si>
  <si>
    <t>PP001377;PF006380</t>
  </si>
  <si>
    <t>MP51-8501</t>
  </si>
  <si>
    <t>MP51-8502</t>
  </si>
  <si>
    <t>MP51-7858</t>
  </si>
  <si>
    <t>Windom AZ</t>
  </si>
  <si>
    <t>3M Print Down Alt Blanket</t>
  </si>
  <si>
    <t>Diamond Geo/Taupe</t>
  </si>
  <si>
    <t>43965994-000-001</t>
  </si>
  <si>
    <t>MP51-7860</t>
  </si>
  <si>
    <t>43965994-000-000</t>
  </si>
  <si>
    <t>MP10-7846</t>
  </si>
  <si>
    <t>3M Solid Down Alt Comforter</t>
  </si>
  <si>
    <t>43944076-000-001</t>
  </si>
  <si>
    <t>MP10-7843</t>
  </si>
  <si>
    <t>43944076-000-002</t>
  </si>
  <si>
    <t>MP10-7844</t>
  </si>
  <si>
    <t>43944076-000-003</t>
  </si>
  <si>
    <t>MP10-7845</t>
  </si>
  <si>
    <t>43944076-000-000</t>
  </si>
  <si>
    <t>II95C-0158</t>
  </si>
  <si>
    <t>Windswept</t>
  </si>
  <si>
    <t>Hand Embellished Highland Bull Canvas Wall Art</t>
  </si>
  <si>
    <t>Farm House|Cottage/Country</t>
  </si>
  <si>
    <t>42794699-000-000</t>
  </si>
  <si>
    <t>AMFBA10-0303</t>
  </si>
  <si>
    <t>Winfield</t>
  </si>
  <si>
    <t>Solid Comforter Set</t>
  </si>
  <si>
    <t>AMFBA10-0304</t>
  </si>
  <si>
    <t>AMFBA10-0305</t>
  </si>
  <si>
    <t>AMFBA10-0294</t>
  </si>
  <si>
    <t>AMFBA10-0295</t>
  </si>
  <si>
    <t>AMFBA10-0296</t>
  </si>
  <si>
    <t>MT108-0160</t>
  </si>
  <si>
    <t>Upholstered Dining chair Set of 2</t>
  </si>
  <si>
    <t>Set of 2</t>
  </si>
  <si>
    <t>35973771-000-002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</si>
  <si>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</si>
  <si>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</si>
  <si>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</si>
  <si>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</si>
  <si>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</si>
  <si>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</si>
  <si>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</si>
  <si>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</si>
  <si>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</si>
  <si>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</si>
  <si>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</si>
  <si>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MP10-8362</t>
  </si>
  <si>
    <t>16663861-000-005</t>
  </si>
  <si>
    <t>MP10-8363</t>
  </si>
  <si>
    <t>16663861-000-004</t>
  </si>
  <si>
    <t>2/8/2024</t>
  </si>
  <si>
    <t>MP10-8365</t>
  </si>
  <si>
    <t>PP001919;PF006134</t>
  </si>
  <si>
    <t>16663861-000-006</t>
  </si>
  <si>
    <t>MP10-8366</t>
  </si>
  <si>
    <t>16663861-000-008</t>
  </si>
  <si>
    <t>CHM40-0024</t>
  </si>
  <si>
    <t>Winslow</t>
  </si>
  <si>
    <t>Floral Curtain Panel (Single)</t>
  </si>
  <si>
    <t>42036993-000-000</t>
  </si>
  <si>
    <t>CHM40-0022</t>
  </si>
  <si>
    <t>DLCROSCILL,JCPENNEY01</t>
  </si>
  <si>
    <t>42036993-000-002</t>
  </si>
  <si>
    <t>CHM70-0020</t>
  </si>
  <si>
    <t>Floral Shower Curtain</t>
  </si>
  <si>
    <t>CSNSTORES,DLCROSCILL,JCPENNEY01,KOHLDSN,OLLIIX</t>
  </si>
  <si>
    <t>42057695-000-000</t>
  </si>
  <si>
    <t>WR50-1786</t>
  </si>
  <si>
    <t>Winter Hills</t>
  </si>
  <si>
    <t>AMAZON,AMAZONDS,BEALLSDS,BLK01,CSNSTORES,KOHLDSN,MACY02,OLLIIX,TGTDVS</t>
  </si>
  <si>
    <t>19408192-000-000</t>
  </si>
  <si>
    <t>WR50-1784</t>
  </si>
  <si>
    <t>Winter Plains</t>
  </si>
  <si>
    <t>19408194-000-000</t>
  </si>
  <si>
    <t>WR13-3883</t>
  </si>
  <si>
    <t>Winter Valley</t>
  </si>
  <si>
    <t>Oversized 3 PC Microfiber Quilt Set</t>
  </si>
  <si>
    <t>Red/Brown</t>
  </si>
  <si>
    <t>PP001808;PF005803</t>
  </si>
  <si>
    <t>AMAZONDS,JCPENNEY01,KOHLDSN,MACY02,OLLIIX,TGTDVS,Zulily</t>
  </si>
  <si>
    <t>40762800-000-000</t>
  </si>
  <si>
    <t>WR13-3884</t>
  </si>
  <si>
    <t>AMAZONDS,BLK01,JCPENNEY01,KOHLDSN,MACY02,OLLIIX,TGTDVS</t>
  </si>
  <si>
    <t>40762800-000-001</t>
  </si>
  <si>
    <t>12/26/2022</t>
  </si>
  <si>
    <t>BASI51-0324</t>
  </si>
  <si>
    <t>Wonder Wool</t>
  </si>
  <si>
    <t>Down Alternative</t>
  </si>
  <si>
    <t>PF002094</t>
  </si>
  <si>
    <t>Wool</t>
  </si>
  <si>
    <t>AMAZON,CSNSTORES,KOHLDSN,MACY02,NEBFUR01,WALMARTDS</t>
  </si>
  <si>
    <t>17639207-000-001</t>
  </si>
  <si>
    <t>II151-0138</t>
  </si>
  <si>
    <t>Wren</t>
  </si>
  <si>
    <t>Bell Shaped Bamboo Pendant</t>
  </si>
  <si>
    <t>40632363-000-000</t>
  </si>
  <si>
    <t>MP10-8429</t>
  </si>
  <si>
    <t>Wynne</t>
  </si>
  <si>
    <t>Dawson</t>
  </si>
  <si>
    <t>PP001954;PF006225</t>
  </si>
  <si>
    <t>MP10-8430</t>
  </si>
  <si>
    <t>MP10-8431</t>
  </si>
  <si>
    <t>MP40-8104</t>
  </si>
  <si>
    <t>Yara</t>
  </si>
  <si>
    <t>Mar</t>
  </si>
  <si>
    <t>Botanical Printed Texture Sheer Window Pair</t>
  </si>
  <si>
    <t>2-PK 37x84"</t>
  </si>
  <si>
    <t>PP001814;PF005824</t>
  </si>
  <si>
    <t>40507822-000-000</t>
  </si>
  <si>
    <t>3/17/2023</t>
  </si>
  <si>
    <t>II95C-0002</t>
  </si>
  <si>
    <t>Yellow Sierra</t>
  </si>
  <si>
    <t>Gel Coat Printed Canvas 3 Piece Set</t>
  </si>
  <si>
    <t>PF001847</t>
  </si>
  <si>
    <t>17219222-000-000</t>
  </si>
  <si>
    <t>ID10-818</t>
  </si>
  <si>
    <t>Zana</t>
  </si>
  <si>
    <t>Jade</t>
  </si>
  <si>
    <t>Elisa</t>
  </si>
  <si>
    <t>PF001678</t>
  </si>
  <si>
    <t>18525644-000-000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</si>
  <si>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</si>
  <si>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</si>
  <si>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</si>
  <si>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</si>
  <si>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</si>
  <si>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</si>
  <si>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</si>
  <si>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</si>
  <si>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</si>
  <si>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</si>
  <si>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</si>
  <si>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PET66-0036UPC</t>
  </si>
  <si>
    <t>Zippered Pouch</t>
  </si>
  <si>
    <t>Waste Bag Holder</t>
  </si>
  <si>
    <t>11/28/2019</t>
  </si>
  <si>
    <t>43976073-000-000</t>
  </si>
  <si>
    <t>FB153-1182</t>
  </si>
  <si>
    <t>Zirconia</t>
  </si>
  <si>
    <t>Faceted Blue Glass Table Lamp</t>
  </si>
  <si>
    <t>NRTPORT,OLLIIX</t>
  </si>
  <si>
    <t>43888694-000-002</t>
  </si>
  <si>
    <t>FB153-1184</t>
  </si>
  <si>
    <t>Faceted Brown Glass Table Lamp</t>
  </si>
  <si>
    <t>43888694-000-000</t>
  </si>
  <si>
    <t>ID12-1705</t>
  </si>
  <si>
    <t>Zoey</t>
  </si>
  <si>
    <t>Liv</t>
  </si>
  <si>
    <t>Metallic Triangle Print Duvet Cover Set</t>
  </si>
  <si>
    <t>PP000812;PF004132</t>
  </si>
  <si>
    <t>5/13/2019</t>
  </si>
  <si>
    <t>29118994-000-006</t>
  </si>
  <si>
    <t>BR54-4697</t>
  </si>
  <si>
    <t>Zuri</t>
  </si>
  <si>
    <t>Marselle</t>
  </si>
  <si>
    <t>Oversized Faux Fur Heated Throw</t>
  </si>
  <si>
    <t>Black Texture</t>
  </si>
  <si>
    <t>PP000539;PF006353</t>
  </si>
  <si>
    <t>MP50-7192</t>
  </si>
  <si>
    <t>Oversized Faux Fur Throw</t>
  </si>
  <si>
    <t>PP000539;PF005112</t>
  </si>
  <si>
    <t>8/17/2020</t>
  </si>
  <si>
    <t>AMAZON,AMAZONDS,BIGLOTSDS,BLK01,CSNSTORES,FINGERHUTDS,KOHLDSN,MACY02,OLLIIX,TGTDVS</t>
  </si>
  <si>
    <t>17690761-000-007</t>
  </si>
  <si>
    <t>8/20/2020</t>
  </si>
  <si>
    <t>BR54-2784</t>
  </si>
  <si>
    <t>Faux Fur Heated Wrap with Built-in Controller</t>
  </si>
  <si>
    <t>7/15/2021</t>
  </si>
  <si>
    <t>CSNSTORES,JCPENNEY01,KIRKLANDDS,MACY02,TGTDVS,ZOLA</t>
  </si>
  <si>
    <t>38580937-000-000</t>
  </si>
  <si>
    <t>MP50-2919</t>
  </si>
  <si>
    <t>Faux Fur Oversized Bed Throw</t>
  </si>
  <si>
    <t>96x80"</t>
  </si>
  <si>
    <t>PF002117;PP000539</t>
  </si>
  <si>
    <t>AMAZONDS,ASHFURNDS,BLK01,FINGERHUTDS,JCPENNEY01,KOHLDSN,MACY02,TGTDVS</t>
  </si>
  <si>
    <t>18791834-000-001</t>
  </si>
  <si>
    <t>6/9/2016</t>
  </si>
  <si>
    <t>BR54-4699</t>
  </si>
  <si>
    <t>Brown Texture</t>
  </si>
  <si>
    <t>BR54-2781</t>
  </si>
  <si>
    <t>AMAZON,CSNSTORES,HDDS,JCPENNEY01,KOHLDSN,TGTDVS</t>
  </si>
  <si>
    <t>38580937-000-003</t>
  </si>
  <si>
    <t>MP30-2831</t>
  </si>
  <si>
    <t>PF002118;PP000539</t>
  </si>
  <si>
    <t>AMAZON,AMAZONDS,ASHFURNDS,CSNSTORES,FINGERHUTDS,JCPENNEY01,KIRKLANDDS,KOHLDSN,MACY02,OLLIIX,TGTDVS</t>
  </si>
  <si>
    <t>17690757-000-002</t>
  </si>
  <si>
    <t>MP50-2920</t>
  </si>
  <si>
    <t>AMAZON,ASHFURNDS,BIGLOTSDS,FINGERHUTDS,JCPENNEY01,KOHLDSN,MACY02,TGTDVS,ZOLA</t>
  </si>
  <si>
    <t>18791834-000-002</t>
  </si>
  <si>
    <t>BR54-4182</t>
  </si>
  <si>
    <t>Grey Leopard</t>
  </si>
  <si>
    <t>PP000539;PF006060</t>
  </si>
  <si>
    <t>24157350-000-009</t>
  </si>
  <si>
    <t>BR54-4698</t>
  </si>
  <si>
    <t>Grey Texture</t>
  </si>
  <si>
    <t>BR54-4696</t>
  </si>
  <si>
    <t>Ivory Texture</t>
  </si>
  <si>
    <t>BR54-0860</t>
  </si>
  <si>
    <t>PP000539;PF004297</t>
  </si>
  <si>
    <t>AMAZON,BLK01,FINGERHUTDS,KOHLDSN,MACY02,OLLIIX,TGTDVS,WALMARTDS</t>
  </si>
  <si>
    <t>24157350-000-003</t>
  </si>
  <si>
    <t>BR54-2782</t>
  </si>
  <si>
    <t>Snow Leopard</t>
  </si>
  <si>
    <t>HDDS,JCPENNEY01,MACY02,OLLIIX,TGTDVS</t>
  </si>
  <si>
    <t>38580937-000-001</t>
  </si>
  <si>
    <t>8/14/2021</t>
  </si>
  <si>
    <t>BR54-2783</t>
  </si>
  <si>
    <t>HDDS,KOHLDSN,MACY02,OLLIIX,TGTDVS</t>
  </si>
  <si>
    <t>38580937-000-002</t>
  </si>
  <si>
    <t>MP50-1911</t>
  </si>
  <si>
    <t>PF002116;PP000539</t>
  </si>
  <si>
    <t>AMAZON,AMAZONDS,ASHFURNDS,BIGLOTSDS,DESINC,FINGERHUTDS,JCPENNEY01,KIRKLANDDS,KOHLDSN,MACY02,OLLIIX,TGTDVS,WALMARTDS,ZOLA</t>
  </si>
  <si>
    <t>17690761-000-000</t>
  </si>
  <si>
    <t>10/14/2015</t>
  </si>
  <si>
    <t>MP50-2918</t>
  </si>
  <si>
    <t>AMAZONDS,ASHFURNDS,CSNSTORES,MACY02,OLLIIX,TGTDVS,WALMARTDS</t>
  </si>
  <si>
    <t>18791834-000-000</t>
  </si>
  <si>
    <t>6/30/2016</t>
  </si>
  <si>
    <t>MP50-7191</t>
  </si>
  <si>
    <t>PP000539;PF005111</t>
  </si>
  <si>
    <t>AMAZON,BLK01,HDDS,KIRKLANDDS,KOHLDSN,MACY02,OLLIIX,TGTDVS</t>
  </si>
  <si>
    <t>17690761-000-009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</si>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</sst>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L302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  <c r="GL3" s="1" t="s">
        <v>18</v>
      </c>
      <c r="GM3" s="1" t="s">
        <v>18</v>
      </c>
      <c r="GN3" s="1" t="s">
        <v>18</v>
      </c>
      <c r="GO3" s="1" t="s">
        <v>18</v>
      </c>
      <c r="GP3" s="1" t="s">
        <v>18</v>
      </c>
      <c r="GQ3" s="1" t="s">
        <v>18</v>
      </c>
      <c r="GR3" s="1" t="s">
        <v>18</v>
      </c>
      <c r="GS3" s="1" t="s">
        <v>18</v>
      </c>
      <c r="GT3" s="1" t="s">
        <v>18</v>
      </c>
      <c r="GU3" s="1" t="s">
        <v>18</v>
      </c>
      <c r="GV3" s="1" t="s">
        <v>18</v>
      </c>
      <c r="GW3" s="1" t="s">
        <v>18</v>
      </c>
      <c r="GX3" s="1" t="s">
        <v>18</v>
      </c>
      <c r="GY3" s="1" t="s">
        <v>18</v>
      </c>
      <c r="GZ3" s="1" t="s">
        <v>18</v>
      </c>
      <c r="HA3" s="1" t="s">
        <v>18</v>
      </c>
      <c r="HB3" s="1" t="s">
        <v>18</v>
      </c>
      <c r="HC3" s="1" t="s">
        <v>18</v>
      </c>
      <c r="HD3" s="1" t="s">
        <v>18</v>
      </c>
      <c r="HE3" s="1" t="s">
        <v>18</v>
      </c>
      <c r="HF3" s="1" t="s">
        <v>18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  <c r="GL4" s="1" t="s">
        <v>18</v>
      </c>
      <c r="GM4" s="1" t="s">
        <v>18</v>
      </c>
      <c r="GN4" s="1" t="s">
        <v>18</v>
      </c>
      <c r="GO4" s="1" t="s">
        <v>18</v>
      </c>
      <c r="GP4" s="1" t="s">
        <v>18</v>
      </c>
      <c r="GQ4" s="1" t="s">
        <v>18</v>
      </c>
      <c r="GR4" s="1" t="s">
        <v>18</v>
      </c>
      <c r="GS4" s="1" t="s">
        <v>18</v>
      </c>
      <c r="GT4" s="1" t="s">
        <v>18</v>
      </c>
      <c r="GU4" s="1" t="s">
        <v>18</v>
      </c>
      <c r="GV4" s="1" t="s">
        <v>18</v>
      </c>
      <c r="GW4" s="1" t="s">
        <v>18</v>
      </c>
      <c r="GX4" s="1" t="s">
        <v>18</v>
      </c>
      <c r="GY4" s="1" t="s">
        <v>18</v>
      </c>
      <c r="GZ4" s="1" t="s">
        <v>18</v>
      </c>
      <c r="HA4" s="1" t="s">
        <v>18</v>
      </c>
      <c r="HB4" s="1" t="s">
        <v>18</v>
      </c>
      <c r="HC4" s="1" t="s">
        <v>18</v>
      </c>
      <c r="HD4" s="1" t="s">
        <v>18</v>
      </c>
      <c r="HE4" s="1" t="s">
        <v>18</v>
      </c>
      <c r="HF4" s="1" t="s">
        <v>18</v>
      </c>
      <c r="HG4" s="1" t="s">
        <v>19</v>
      </c>
      <c r="HH4" s="1" t="s">
        <v>19</v>
      </c>
      <c r="HI4" s="1" t="s">
        <v>19</v>
      </c>
      <c r="HJ4" s="1" t="s">
        <v>19</v>
      </c>
      <c r="HK4" s="1" t="s">
        <v>19</v>
      </c>
      <c r="HL4" s="1" t="s">
        <v>19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62</v>
      </c>
      <c r="F5" s="1" t="s">
        <v>63</v>
      </c>
      <c r="G5" s="1" t="s">
        <v>64</v>
      </c>
      <c r="H5" s="1" t="s">
        <v>65</v>
      </c>
      <c r="I5" s="1" t="s">
        <v>66</v>
      </c>
      <c r="J5" s="1" t="s">
        <v>67</v>
      </c>
      <c r="K5" s="1" t="s">
        <v>68</v>
      </c>
      <c r="L5" s="1" t="s">
        <v>69</v>
      </c>
      <c r="M5" s="1" t="s">
        <v>70</v>
      </c>
      <c r="N5" s="1" t="s">
        <v>71</v>
      </c>
      <c r="O5" s="1" t="s">
        <v>72</v>
      </c>
      <c r="P5" s="1" t="s">
        <v>73</v>
      </c>
      <c r="Q5" s="1" t="s">
        <v>74</v>
      </c>
      <c r="R5" s="1" t="s">
        <v>75</v>
      </c>
      <c r="S5" s="1" t="s">
        <v>76</v>
      </c>
      <c r="T5" s="1" t="s">
        <v>77</v>
      </c>
      <c r="U5" s="1" t="s">
        <v>78</v>
      </c>
      <c r="V5" s="1" t="s">
        <v>79</v>
      </c>
      <c r="W5" s="1" t="s">
        <v>80</v>
      </c>
      <c r="X5" s="1" t="s">
        <v>81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82</v>
      </c>
      <c r="AG5" s="1" t="s">
        <v>83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84</v>
      </c>
      <c r="AQ5" s="1" t="s">
        <v>85</v>
      </c>
      <c r="AR5" s="1" t="s">
        <v>84</v>
      </c>
      <c r="AS5" s="1" t="s">
        <v>85</v>
      </c>
      <c r="AT5" s="1" t="s">
        <v>38</v>
      </c>
      <c r="AU5" s="1" t="s">
        <v>39</v>
      </c>
      <c r="AV5" s="1" t="s">
        <v>86</v>
      </c>
      <c r="AW5" s="1" t="s">
        <v>87</v>
      </c>
      <c r="AX5" s="1" t="s">
        <v>86</v>
      </c>
      <c r="AY5" s="1" t="s">
        <v>87</v>
      </c>
      <c r="AZ5" s="1" t="s">
        <v>40</v>
      </c>
      <c r="BA5" s="1" t="s">
        <v>41</v>
      </c>
      <c r="BB5" s="1" t="s">
        <v>42</v>
      </c>
      <c r="BC5" s="1" t="s">
        <v>88</v>
      </c>
      <c r="BD5" s="1" t="s">
        <v>89</v>
      </c>
      <c r="BE5" s="1" t="s">
        <v>88</v>
      </c>
      <c r="BF5" s="1" t="s">
        <v>89</v>
      </c>
      <c r="BG5" s="1" t="s">
        <v>43</v>
      </c>
      <c r="BH5" s="1" t="s">
        <v>44</v>
      </c>
      <c r="BI5" s="1" t="s">
        <v>45</v>
      </c>
      <c r="BJ5" s="1" t="s">
        <v>84</v>
      </c>
      <c r="BK5" s="1" t="s">
        <v>85</v>
      </c>
      <c r="BL5" s="1" t="s">
        <v>90</v>
      </c>
      <c r="BM5" s="1" t="s">
        <v>84</v>
      </c>
      <c r="BN5" s="1" t="s">
        <v>85</v>
      </c>
      <c r="BO5" s="1" t="s">
        <v>91</v>
      </c>
      <c r="BP5" s="1" t="s">
        <v>92</v>
      </c>
      <c r="BQ5" s="1" t="s">
        <v>91</v>
      </c>
      <c r="BR5" s="1" t="s">
        <v>92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110</v>
      </c>
      <c r="CW5" s="1" t="s">
        <v>111</v>
      </c>
      <c r="CX5" s="1" t="s">
        <v>112</v>
      </c>
      <c r="CY5" s="1" t="s">
        <v>113</v>
      </c>
      <c r="CZ5" s="1" t="s">
        <v>114</v>
      </c>
      <c r="DA5" s="1" t="s">
        <v>5</v>
      </c>
      <c r="DB5" s="1" t="s">
        <v>115</v>
      </c>
      <c r="DC5" s="1" t="s">
        <v>116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122</v>
      </c>
      <c r="DJ5" s="1" t="s">
        <v>123</v>
      </c>
      <c r="DK5" s="1" t="s">
        <v>124</v>
      </c>
      <c r="DL5" s="1" t="s">
        <v>125</v>
      </c>
      <c r="DM5" s="1" t="s">
        <v>126</v>
      </c>
      <c r="DN5" s="1" t="s">
        <v>127</v>
      </c>
      <c r="DO5" s="1" t="s">
        <v>128</v>
      </c>
      <c r="DP5" s="1" t="s">
        <v>129</v>
      </c>
      <c r="DQ5" s="1" t="s">
        <v>130</v>
      </c>
      <c r="DR5" s="1" t="s">
        <v>131</v>
      </c>
      <c r="DS5" s="1" t="s">
        <v>132</v>
      </c>
      <c r="DT5" s="1" t="s">
        <v>133</v>
      </c>
      <c r="DU5" s="1" t="s">
        <v>134</v>
      </c>
      <c r="DV5" s="1" t="s">
        <v>135</v>
      </c>
      <c r="DW5" s="1" t="s">
        <v>136</v>
      </c>
      <c r="DX5" s="1" t="s">
        <v>137</v>
      </c>
      <c r="DY5" s="1" t="s">
        <v>138</v>
      </c>
      <c r="DZ5" s="1" t="s">
        <v>139</v>
      </c>
      <c r="EA5" s="1" t="s">
        <v>140</v>
      </c>
      <c r="EB5" s="1" t="s">
        <v>141</v>
      </c>
      <c r="EC5" s="1" t="s">
        <v>142</v>
      </c>
      <c r="ED5" s="1" t="s">
        <v>143</v>
      </c>
      <c r="EE5" s="1" t="s">
        <v>144</v>
      </c>
      <c r="EF5" s="1" t="s">
        <v>145</v>
      </c>
      <c r="EG5" s="1" t="s">
        <v>146</v>
      </c>
      <c r="EH5" s="1" t="s">
        <v>147</v>
      </c>
      <c r="EI5" s="1" t="s">
        <v>148</v>
      </c>
      <c r="EJ5" s="1" t="s">
        <v>149</v>
      </c>
      <c r="EK5" s="1" t="s">
        <v>150</v>
      </c>
      <c r="EL5" s="1" t="s">
        <v>151</v>
      </c>
      <c r="EM5" s="1" t="s">
        <v>152</v>
      </c>
      <c r="EN5" s="1" t="s">
        <v>153</v>
      </c>
      <c r="EO5" s="1" t="s">
        <v>154</v>
      </c>
      <c r="EP5" s="1" t="s">
        <v>155</v>
      </c>
      <c r="EQ5" s="1" t="s">
        <v>156</v>
      </c>
      <c r="ER5" s="1" t="s">
        <v>157</v>
      </c>
      <c r="ES5" s="1" t="s">
        <v>158</v>
      </c>
      <c r="ET5" s="1" t="s">
        <v>159</v>
      </c>
      <c r="EU5" s="1" t="s">
        <v>160</v>
      </c>
      <c r="EV5" s="1" t="s">
        <v>161</v>
      </c>
      <c r="EW5" s="1" t="s">
        <v>162</v>
      </c>
      <c r="EX5" s="1" t="s">
        <v>163</v>
      </c>
      <c r="EY5" s="1" t="s">
        <v>164</v>
      </c>
      <c r="EZ5" s="1" t="s">
        <v>165</v>
      </c>
      <c r="FA5" s="1" t="s">
        <v>166</v>
      </c>
      <c r="FB5" s="1" t="s">
        <v>167</v>
      </c>
      <c r="FC5" s="1" t="s">
        <v>168</v>
      </c>
      <c r="FD5" s="1" t="s">
        <v>169</v>
      </c>
      <c r="FE5" s="1" t="s">
        <v>170</v>
      </c>
      <c r="FF5" s="1" t="s">
        <v>171</v>
      </c>
      <c r="FG5" s="1" t="s">
        <v>172</v>
      </c>
      <c r="FH5" s="1" t="s">
        <v>173</v>
      </c>
      <c r="FI5" s="1" t="s">
        <v>174</v>
      </c>
      <c r="FJ5" s="1" t="s">
        <v>175</v>
      </c>
      <c r="FK5" s="1" t="s">
        <v>176</v>
      </c>
      <c r="FL5" s="1" t="s">
        <v>177</v>
      </c>
      <c r="FM5" s="1" t="s">
        <v>178</v>
      </c>
      <c r="FN5" s="1" t="s">
        <v>179</v>
      </c>
      <c r="FO5" s="1" t="s">
        <v>180</v>
      </c>
      <c r="FP5" s="1" t="s">
        <v>181</v>
      </c>
      <c r="FQ5" s="1" t="s">
        <v>182</v>
      </c>
      <c r="FR5" s="1" t="s">
        <v>183</v>
      </c>
      <c r="FS5" s="1" t="s">
        <v>184</v>
      </c>
      <c r="FT5" s="1" t="s">
        <v>185</v>
      </c>
      <c r="FU5" s="1" t="s">
        <v>186</v>
      </c>
      <c r="FV5" s="1" t="s">
        <v>187</v>
      </c>
      <c r="FW5" s="1" t="s">
        <v>188</v>
      </c>
      <c r="FX5" s="1" t="s">
        <v>189</v>
      </c>
      <c r="FY5" s="1" t="s">
        <v>190</v>
      </c>
      <c r="FZ5" s="1" t="s">
        <v>191</v>
      </c>
      <c r="GA5" s="1" t="s">
        <v>192</v>
      </c>
      <c r="GB5" s="1" t="s">
        <v>193</v>
      </c>
      <c r="GC5" s="1" t="s">
        <v>194</v>
      </c>
      <c r="GD5" s="1" t="s">
        <v>195</v>
      </c>
      <c r="GE5" s="1" t="s">
        <v>196</v>
      </c>
      <c r="GF5" s="1" t="s">
        <v>197</v>
      </c>
      <c r="GG5" s="1" t="s">
        <v>198</v>
      </c>
      <c r="GH5" s="1" t="s">
        <v>199</v>
      </c>
      <c r="GI5" s="1" t="s">
        <v>200</v>
      </c>
      <c r="GJ5" s="1" t="s">
        <v>201</v>
      </c>
      <c r="GK5" s="1" t="s">
        <v>202</v>
      </c>
      <c r="GL5" s="1" t="s">
        <v>203</v>
      </c>
      <c r="GM5" s="1" t="s">
        <v>204</v>
      </c>
      <c r="GN5" s="1" t="s">
        <v>205</v>
      </c>
      <c r="GO5" s="1" t="s">
        <v>206</v>
      </c>
      <c r="GP5" s="1" t="s">
        <v>207</v>
      </c>
      <c r="GQ5" s="1" t="s">
        <v>208</v>
      </c>
      <c r="GR5" s="1" t="s">
        <v>209</v>
      </c>
      <c r="GS5" s="1" t="s">
        <v>210</v>
      </c>
      <c r="GT5" s="1" t="s">
        <v>211</v>
      </c>
      <c r="GU5" s="1" t="s">
        <v>212</v>
      </c>
      <c r="GV5" s="1" t="s">
        <v>213</v>
      </c>
      <c r="GW5" s="1" t="s">
        <v>214</v>
      </c>
      <c r="GX5" s="1" t="s">
        <v>215</v>
      </c>
      <c r="GY5" s="1" t="s">
        <v>216</v>
      </c>
      <c r="GZ5" s="1" t="s">
        <v>217</v>
      </c>
      <c r="HA5" s="1" t="s">
        <v>218</v>
      </c>
      <c r="HB5" s="1" t="s">
        <v>219</v>
      </c>
      <c r="HC5" s="1" t="s">
        <v>220</v>
      </c>
      <c r="HD5" s="1" t="s">
        <v>221</v>
      </c>
      <c r="HE5" s="1" t="s">
        <v>222</v>
      </c>
      <c r="HF5" s="1" t="s">
        <v>223</v>
      </c>
      <c r="HG5" s="1" t="s">
        <v>124</v>
      </c>
      <c r="HH5" s="1" t="s">
        <v>224</v>
      </c>
      <c r="HI5" s="1" t="s">
        <v>134</v>
      </c>
      <c r="HJ5" s="1" t="s">
        <v>144</v>
      </c>
      <c r="HK5" s="1" t="s">
        <v>165</v>
      </c>
      <c r="HL5" s="1" t="s">
        <v>184</v>
      </c>
    </row>
    <row r="6">
      <c r="A6" s="2" t="s">
        <v>225</v>
      </c>
      <c r="B6" s="2" t="s">
        <v>226</v>
      </c>
      <c r="C6" s="2" t="s">
        <v>227</v>
      </c>
      <c r="D6" s="2" t="s">
        <v>228</v>
      </c>
      <c r="E6" s="2" t="s">
        <v>229</v>
      </c>
      <c r="F6" s="2" t="s">
        <v>230</v>
      </c>
      <c r="G6" s="2" t="s">
        <v>231</v>
      </c>
      <c r="H6" s="2" t="s">
        <v>231</v>
      </c>
      <c r="I6" s="2" t="s">
        <v>232</v>
      </c>
      <c r="J6" s="2" t="s">
        <v>233</v>
      </c>
      <c r="K6" s="2" t="s">
        <v>234</v>
      </c>
      <c r="L6" s="3">
        <v>69.99</v>
      </c>
      <c r="M6" s="3">
        <v>73.49</v>
      </c>
      <c r="N6" s="3"/>
      <c r="O6" s="2" t="s">
        <v>235</v>
      </c>
      <c r="P6" s="2" t="s">
        <v>236</v>
      </c>
      <c r="Q6" s="2" t="s">
        <v>237</v>
      </c>
      <c r="R6" s="2" t="s">
        <v>238</v>
      </c>
      <c r="S6" s="2" t="s">
        <v>231</v>
      </c>
      <c r="T6" s="2" t="s">
        <v>231</v>
      </c>
      <c r="U6" s="2" t="s">
        <v>231</v>
      </c>
      <c r="V6" s="2" t="s">
        <v>239</v>
      </c>
      <c r="W6" s="2" t="s">
        <v>231</v>
      </c>
      <c r="X6" s="2" t="s">
        <v>231</v>
      </c>
      <c r="Y6" s="2" t="s">
        <v>240</v>
      </c>
      <c r="Z6" s="4"/>
      <c r="AA6" s="4">
        <f>=ROUNDDOWN({0},0)</f>
      </c>
      <c r="AB6" s="5"/>
      <c r="AC6" s="2" t="s">
        <v>231</v>
      </c>
      <c r="AD6" s="4"/>
      <c r="AE6" s="4"/>
      <c r="AF6" s="6"/>
      <c r="AG6" s="6"/>
      <c r="AH6" s="7">
        <v>0</v>
      </c>
      <c r="AI6" s="4"/>
      <c r="AJ6" s="4">
        <f>=ROUNDDOWN({0},0)</f>
      </c>
      <c r="AK6" s="5"/>
      <c r="AL6" s="2" t="s">
        <v>231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 t="s">
        <v>231</v>
      </c>
      <c r="AW6" s="8" t="s">
        <v>231</v>
      </c>
      <c r="AX6" s="4" t="s">
        <v>231</v>
      </c>
      <c r="AY6" s="8" t="s">
        <v>231</v>
      </c>
      <c r="AZ6" s="7" t="s">
        <v>231</v>
      </c>
      <c r="BA6" s="7" t="s">
        <v>231</v>
      </c>
      <c r="BB6" s="7" t="s">
        <v>231</v>
      </c>
      <c r="BC6" s="4" t="s">
        <v>231</v>
      </c>
      <c r="BD6" s="8" t="s">
        <v>231</v>
      </c>
      <c r="BE6" s="4" t="s">
        <v>231</v>
      </c>
      <c r="BF6" s="8" t="s">
        <v>231</v>
      </c>
      <c r="BG6" s="7" t="s">
        <v>231</v>
      </c>
      <c r="BH6" s="7" t="s">
        <v>231</v>
      </c>
      <c r="BI6" s="7"/>
      <c r="BJ6" s="4"/>
      <c r="BK6" s="8"/>
      <c r="BL6" s="2" t="s">
        <v>231</v>
      </c>
      <c r="BM6" s="7"/>
      <c r="BN6" s="7"/>
      <c r="BO6" s="4"/>
      <c r="BP6" s="8"/>
      <c r="BQ6" s="4"/>
      <c r="BR6" s="8"/>
      <c r="BS6" s="7"/>
      <c r="BT6" s="7"/>
      <c r="BU6" s="2" t="s">
        <v>241</v>
      </c>
      <c r="BV6" s="2" t="s">
        <v>231</v>
      </c>
      <c r="BW6" s="2" t="s">
        <v>231</v>
      </c>
      <c r="BX6" s="2" t="s">
        <v>231</v>
      </c>
      <c r="BY6" s="2" t="s">
        <v>242</v>
      </c>
      <c r="BZ6" s="2" t="s">
        <v>243</v>
      </c>
      <c r="CA6" s="2" t="s">
        <v>231</v>
      </c>
      <c r="CB6" s="2" t="s">
        <v>231</v>
      </c>
      <c r="CC6" s="2" t="s">
        <v>244</v>
      </c>
      <c r="CD6" s="2" t="s">
        <v>231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</row>
    <row r="7">
      <c r="A7" s="2" t="s">
        <v>245</v>
      </c>
      <c r="B7" s="2" t="s">
        <v>226</v>
      </c>
      <c r="C7" s="2" t="s">
        <v>227</v>
      </c>
      <c r="D7" s="2" t="s">
        <v>228</v>
      </c>
      <c r="E7" s="2" t="s">
        <v>229</v>
      </c>
      <c r="F7" s="2" t="s">
        <v>230</v>
      </c>
      <c r="G7" s="2" t="s">
        <v>231</v>
      </c>
      <c r="H7" s="2" t="s">
        <v>231</v>
      </c>
      <c r="I7" s="2" t="s">
        <v>232</v>
      </c>
      <c r="J7" s="2" t="s">
        <v>233</v>
      </c>
      <c r="K7" s="2" t="s">
        <v>234</v>
      </c>
      <c r="L7" s="3">
        <v>54.99</v>
      </c>
      <c r="M7" s="3">
        <v>57.74</v>
      </c>
      <c r="N7" s="3"/>
      <c r="O7" s="2" t="s">
        <v>235</v>
      </c>
      <c r="P7" s="2" t="s">
        <v>236</v>
      </c>
      <c r="Q7" s="2" t="s">
        <v>237</v>
      </c>
      <c r="R7" s="2" t="s">
        <v>238</v>
      </c>
      <c r="S7" s="2" t="s">
        <v>231</v>
      </c>
      <c r="T7" s="2" t="s">
        <v>231</v>
      </c>
      <c r="U7" s="2" t="s">
        <v>231</v>
      </c>
      <c r="V7" s="2" t="s">
        <v>239</v>
      </c>
      <c r="W7" s="2" t="s">
        <v>231</v>
      </c>
      <c r="X7" s="2" t="s">
        <v>231</v>
      </c>
      <c r="Y7" s="2" t="s">
        <v>240</v>
      </c>
      <c r="Z7" s="4"/>
      <c r="AA7" s="4">
        <f>=ROUNDDOWN({0},0)</f>
      </c>
      <c r="AB7" s="5"/>
      <c r="AC7" s="2" t="s">
        <v>231</v>
      </c>
      <c r="AD7" s="4"/>
      <c r="AE7" s="4"/>
      <c r="AF7" s="6"/>
      <c r="AG7" s="6"/>
      <c r="AH7" s="7">
        <v>0</v>
      </c>
      <c r="AI7" s="4"/>
      <c r="AJ7" s="4">
        <f>=ROUNDDOWN({0},0)</f>
      </c>
      <c r="AK7" s="5"/>
      <c r="AL7" s="2" t="s">
        <v>231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231</v>
      </c>
      <c r="AW7" s="8" t="s">
        <v>231</v>
      </c>
      <c r="AX7" s="4" t="s">
        <v>231</v>
      </c>
      <c r="AY7" s="8" t="s">
        <v>231</v>
      </c>
      <c r="AZ7" s="7" t="s">
        <v>231</v>
      </c>
      <c r="BA7" s="7" t="s">
        <v>231</v>
      </c>
      <c r="BB7" s="7" t="s">
        <v>231</v>
      </c>
      <c r="BC7" s="4" t="s">
        <v>231</v>
      </c>
      <c r="BD7" s="8" t="s">
        <v>231</v>
      </c>
      <c r="BE7" s="4" t="s">
        <v>231</v>
      </c>
      <c r="BF7" s="8" t="s">
        <v>231</v>
      </c>
      <c r="BG7" s="7" t="s">
        <v>231</v>
      </c>
      <c r="BH7" s="7" t="s">
        <v>231</v>
      </c>
      <c r="BI7" s="7"/>
      <c r="BJ7" s="4"/>
      <c r="BK7" s="8"/>
      <c r="BL7" s="2" t="s">
        <v>231</v>
      </c>
      <c r="BM7" s="7"/>
      <c r="BN7" s="7"/>
      <c r="BO7" s="4"/>
      <c r="BP7" s="8"/>
      <c r="BQ7" s="4"/>
      <c r="BR7" s="8"/>
      <c r="BS7" s="7"/>
      <c r="BT7" s="7"/>
      <c r="BU7" s="2" t="s">
        <v>241</v>
      </c>
      <c r="BV7" s="2" t="s">
        <v>231</v>
      </c>
      <c r="BW7" s="2" t="s">
        <v>231</v>
      </c>
      <c r="BX7" s="2" t="s">
        <v>231</v>
      </c>
      <c r="BY7" s="2" t="s">
        <v>242</v>
      </c>
      <c r="BZ7" s="2" t="s">
        <v>243</v>
      </c>
      <c r="CA7" s="2" t="s">
        <v>231</v>
      </c>
      <c r="CB7" s="2" t="s">
        <v>231</v>
      </c>
      <c r="CC7" s="2" t="s">
        <v>244</v>
      </c>
      <c r="CD7" s="2" t="s">
        <v>231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</row>
    <row r="8">
      <c r="A8" s="2" t="s">
        <v>246</v>
      </c>
      <c r="B8" s="2" t="s">
        <v>226</v>
      </c>
      <c r="C8" s="2" t="s">
        <v>227</v>
      </c>
      <c r="D8" s="2" t="s">
        <v>228</v>
      </c>
      <c r="E8" s="2" t="s">
        <v>229</v>
      </c>
      <c r="F8" s="2" t="s">
        <v>230</v>
      </c>
      <c r="G8" s="2" t="s">
        <v>231</v>
      </c>
      <c r="H8" s="2" t="s">
        <v>231</v>
      </c>
      <c r="I8" s="2" t="s">
        <v>232</v>
      </c>
      <c r="J8" s="2" t="s">
        <v>247</v>
      </c>
      <c r="K8" s="2" t="s">
        <v>234</v>
      </c>
      <c r="L8" s="3">
        <v>99.99</v>
      </c>
      <c r="M8" s="3">
        <v>104.99</v>
      </c>
      <c r="N8" s="3"/>
      <c r="O8" s="2" t="s">
        <v>235</v>
      </c>
      <c r="P8" s="2" t="s">
        <v>236</v>
      </c>
      <c r="Q8" s="2" t="s">
        <v>237</v>
      </c>
      <c r="R8" s="2" t="s">
        <v>238</v>
      </c>
      <c r="S8" s="2" t="s">
        <v>231</v>
      </c>
      <c r="T8" s="2" t="s">
        <v>231</v>
      </c>
      <c r="U8" s="2" t="s">
        <v>231</v>
      </c>
      <c r="V8" s="2" t="s">
        <v>239</v>
      </c>
      <c r="W8" s="2" t="s">
        <v>231</v>
      </c>
      <c r="X8" s="2" t="s">
        <v>231</v>
      </c>
      <c r="Y8" s="2" t="s">
        <v>240</v>
      </c>
      <c r="Z8" s="4"/>
      <c r="AA8" s="4">
        <f>=ROUNDDOWN({0},0)</f>
      </c>
      <c r="AB8" s="5"/>
      <c r="AC8" s="2" t="s">
        <v>231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231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231</v>
      </c>
      <c r="AW8" s="8" t="s">
        <v>231</v>
      </c>
      <c r="AX8" s="4" t="s">
        <v>231</v>
      </c>
      <c r="AY8" s="8" t="s">
        <v>231</v>
      </c>
      <c r="AZ8" s="7" t="s">
        <v>231</v>
      </c>
      <c r="BA8" s="7" t="s">
        <v>231</v>
      </c>
      <c r="BB8" s="7"/>
      <c r="BC8" s="4" t="s">
        <v>231</v>
      </c>
      <c r="BD8" s="8" t="s">
        <v>231</v>
      </c>
      <c r="BE8" s="4" t="s">
        <v>231</v>
      </c>
      <c r="BF8" s="8" t="s">
        <v>231</v>
      </c>
      <c r="BG8" s="7" t="s">
        <v>231</v>
      </c>
      <c r="BH8" s="7" t="s">
        <v>231</v>
      </c>
      <c r="BI8" s="7"/>
      <c r="BJ8" s="4"/>
      <c r="BK8" s="8"/>
      <c r="BL8" s="2" t="s">
        <v>231</v>
      </c>
      <c r="BM8" s="7"/>
      <c r="BN8" s="7"/>
      <c r="BO8" s="4"/>
      <c r="BP8" s="8"/>
      <c r="BQ8" s="4"/>
      <c r="BR8" s="8"/>
      <c r="BS8" s="7"/>
      <c r="BT8" s="7"/>
      <c r="BU8" s="2" t="s">
        <v>241</v>
      </c>
      <c r="BV8" s="2" t="s">
        <v>231</v>
      </c>
      <c r="BW8" s="2" t="s">
        <v>231</v>
      </c>
      <c r="BX8" s="2" t="s">
        <v>231</v>
      </c>
      <c r="BY8" s="2" t="s">
        <v>242</v>
      </c>
      <c r="BZ8" s="2" t="s">
        <v>243</v>
      </c>
      <c r="CA8" s="2" t="s">
        <v>231</v>
      </c>
      <c r="CB8" s="2" t="s">
        <v>231</v>
      </c>
      <c r="CC8" s="2" t="s">
        <v>244</v>
      </c>
      <c r="CD8" s="2" t="s">
        <v>231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</row>
    <row r="9">
      <c r="A9" s="2" t="s">
        <v>248</v>
      </c>
      <c r="B9" s="2" t="s">
        <v>226</v>
      </c>
      <c r="C9" s="2" t="s">
        <v>227</v>
      </c>
      <c r="D9" s="2" t="s">
        <v>228</v>
      </c>
      <c r="E9" s="2" t="s">
        <v>229</v>
      </c>
      <c r="F9" s="2" t="s">
        <v>230</v>
      </c>
      <c r="G9" s="2" t="s">
        <v>231</v>
      </c>
      <c r="H9" s="2" t="s">
        <v>231</v>
      </c>
      <c r="I9" s="2" t="s">
        <v>232</v>
      </c>
      <c r="J9" s="2" t="s">
        <v>249</v>
      </c>
      <c r="K9" s="2" t="s">
        <v>234</v>
      </c>
      <c r="L9" s="3">
        <v>104.99</v>
      </c>
      <c r="M9" s="3">
        <v>110.24</v>
      </c>
      <c r="N9" s="3"/>
      <c r="O9" s="2" t="s">
        <v>250</v>
      </c>
      <c r="P9" s="2" t="s">
        <v>236</v>
      </c>
      <c r="Q9" s="2" t="s">
        <v>237</v>
      </c>
      <c r="R9" s="2" t="s">
        <v>238</v>
      </c>
      <c r="S9" s="2" t="s">
        <v>231</v>
      </c>
      <c r="T9" s="2" t="s">
        <v>231</v>
      </c>
      <c r="U9" s="2" t="s">
        <v>231</v>
      </c>
      <c r="V9" s="2" t="s">
        <v>239</v>
      </c>
      <c r="W9" s="2" t="s">
        <v>231</v>
      </c>
      <c r="X9" s="2" t="s">
        <v>231</v>
      </c>
      <c r="Y9" s="2" t="s">
        <v>240</v>
      </c>
      <c r="Z9" s="4"/>
      <c r="AA9" s="4">
        <f>=ROUNDDOWN({0},0)</f>
      </c>
      <c r="AB9" s="5"/>
      <c r="AC9" s="2" t="s">
        <v>231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231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231</v>
      </c>
      <c r="AW9" s="8" t="s">
        <v>231</v>
      </c>
      <c r="AX9" s="4" t="s">
        <v>231</v>
      </c>
      <c r="AY9" s="8" t="s">
        <v>231</v>
      </c>
      <c r="AZ9" s="7" t="s">
        <v>231</v>
      </c>
      <c r="BA9" s="7" t="s">
        <v>231</v>
      </c>
      <c r="BB9" s="7"/>
      <c r="BC9" s="4" t="s">
        <v>231</v>
      </c>
      <c r="BD9" s="8" t="s">
        <v>231</v>
      </c>
      <c r="BE9" s="4" t="s">
        <v>231</v>
      </c>
      <c r="BF9" s="8" t="s">
        <v>231</v>
      </c>
      <c r="BG9" s="7" t="s">
        <v>231</v>
      </c>
      <c r="BH9" s="7" t="s">
        <v>231</v>
      </c>
      <c r="BI9" s="7"/>
      <c r="BJ9" s="4"/>
      <c r="BK9" s="8"/>
      <c r="BL9" s="2" t="s">
        <v>231</v>
      </c>
      <c r="BM9" s="7"/>
      <c r="BN9" s="7"/>
      <c r="BO9" s="4"/>
      <c r="BP9" s="8"/>
      <c r="BQ9" s="4"/>
      <c r="BR9" s="8"/>
      <c r="BS9" s="7"/>
      <c r="BT9" s="7"/>
      <c r="BU9" s="2" t="s">
        <v>241</v>
      </c>
      <c r="BV9" s="2" t="s">
        <v>231</v>
      </c>
      <c r="BW9" s="2" t="s">
        <v>231</v>
      </c>
      <c r="BX9" s="2" t="s">
        <v>231</v>
      </c>
      <c r="BY9" s="2" t="s">
        <v>242</v>
      </c>
      <c r="BZ9" s="2" t="s">
        <v>243</v>
      </c>
      <c r="CA9" s="2" t="s">
        <v>231</v>
      </c>
      <c r="CB9" s="2" t="s">
        <v>231</v>
      </c>
      <c r="CC9" s="2" t="s">
        <v>244</v>
      </c>
      <c r="CD9" s="2" t="s">
        <v>231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</row>
    <row r="10">
      <c r="A10" s="2" t="s">
        <v>251</v>
      </c>
      <c r="B10" s="2" t="s">
        <v>226</v>
      </c>
      <c r="C10" s="2" t="s">
        <v>227</v>
      </c>
      <c r="D10" s="2" t="s">
        <v>228</v>
      </c>
      <c r="E10" s="2" t="s">
        <v>229</v>
      </c>
      <c r="F10" s="2" t="s">
        <v>230</v>
      </c>
      <c r="G10" s="2" t="s">
        <v>231</v>
      </c>
      <c r="H10" s="2" t="s">
        <v>231</v>
      </c>
      <c r="I10" s="2" t="s">
        <v>232</v>
      </c>
      <c r="J10" s="2" t="s">
        <v>252</v>
      </c>
      <c r="K10" s="2" t="s">
        <v>253</v>
      </c>
      <c r="L10" s="3">
        <v>44.99</v>
      </c>
      <c r="M10" s="3">
        <v>47.24</v>
      </c>
      <c r="N10" s="3"/>
      <c r="O10" s="2" t="s">
        <v>250</v>
      </c>
      <c r="P10" s="2" t="s">
        <v>236</v>
      </c>
      <c r="Q10" s="2" t="s">
        <v>237</v>
      </c>
      <c r="R10" s="2" t="s">
        <v>238</v>
      </c>
      <c r="S10" s="2" t="s">
        <v>231</v>
      </c>
      <c r="T10" s="2" t="s">
        <v>231</v>
      </c>
      <c r="U10" s="2" t="s">
        <v>231</v>
      </c>
      <c r="V10" s="2" t="s">
        <v>239</v>
      </c>
      <c r="W10" s="2" t="s">
        <v>231</v>
      </c>
      <c r="X10" s="2" t="s">
        <v>231</v>
      </c>
      <c r="Y10" s="2" t="s">
        <v>240</v>
      </c>
      <c r="Z10" s="4"/>
      <c r="AA10" s="4">
        <f>=ROUNDDOWN({0},0)</f>
      </c>
      <c r="AB10" s="5"/>
      <c r="AC10" s="2" t="s">
        <v>231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231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231</v>
      </c>
      <c r="BD10" s="8" t="s">
        <v>231</v>
      </c>
      <c r="BE10" s="4" t="s">
        <v>231</v>
      </c>
      <c r="BF10" s="8" t="s">
        <v>231</v>
      </c>
      <c r="BG10" s="7" t="s">
        <v>231</v>
      </c>
      <c r="BH10" s="7" t="s">
        <v>231</v>
      </c>
      <c r="BI10" s="7"/>
      <c r="BJ10" s="4"/>
      <c r="BK10" s="8"/>
      <c r="BL10" s="2" t="s">
        <v>231</v>
      </c>
      <c r="BM10" s="7"/>
      <c r="BN10" s="7"/>
      <c r="BO10" s="4"/>
      <c r="BP10" s="8"/>
      <c r="BQ10" s="4"/>
      <c r="BR10" s="8"/>
      <c r="BS10" s="7"/>
      <c r="BT10" s="7"/>
      <c r="BU10" s="2" t="s">
        <v>241</v>
      </c>
      <c r="BV10" s="2" t="s">
        <v>231</v>
      </c>
      <c r="BW10" s="2" t="s">
        <v>231</v>
      </c>
      <c r="BX10" s="2" t="s">
        <v>231</v>
      </c>
      <c r="BY10" s="2" t="s">
        <v>242</v>
      </c>
      <c r="BZ10" s="2" t="s">
        <v>243</v>
      </c>
      <c r="CA10" s="2" t="s">
        <v>231</v>
      </c>
      <c r="CB10" s="2" t="s">
        <v>231</v>
      </c>
      <c r="CC10" s="2" t="s">
        <v>244</v>
      </c>
      <c r="CD10" s="2" t="s">
        <v>231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</row>
    <row r="11">
      <c r="A11" s="2" t="s">
        <v>254</v>
      </c>
      <c r="B11" s="2" t="s">
        <v>226</v>
      </c>
      <c r="C11" s="2" t="s">
        <v>227</v>
      </c>
      <c r="D11" s="2" t="s">
        <v>228</v>
      </c>
      <c r="E11" s="2" t="s">
        <v>229</v>
      </c>
      <c r="F11" s="2" t="s">
        <v>230</v>
      </c>
      <c r="G11" s="2" t="s">
        <v>231</v>
      </c>
      <c r="H11" s="2" t="s">
        <v>231</v>
      </c>
      <c r="I11" s="2" t="s">
        <v>232</v>
      </c>
      <c r="J11" s="2" t="s">
        <v>252</v>
      </c>
      <c r="K11" s="2" t="s">
        <v>255</v>
      </c>
      <c r="L11" s="3">
        <v>44.99</v>
      </c>
      <c r="M11" s="3">
        <v>47.24</v>
      </c>
      <c r="N11" s="3"/>
      <c r="O11" s="2" t="s">
        <v>250</v>
      </c>
      <c r="P11" s="2" t="s">
        <v>236</v>
      </c>
      <c r="Q11" s="2" t="s">
        <v>237</v>
      </c>
      <c r="R11" s="2" t="s">
        <v>238</v>
      </c>
      <c r="S11" s="2" t="s">
        <v>231</v>
      </c>
      <c r="T11" s="2" t="s">
        <v>231</v>
      </c>
      <c r="U11" s="2" t="s">
        <v>231</v>
      </c>
      <c r="V11" s="2" t="s">
        <v>239</v>
      </c>
      <c r="W11" s="2" t="s">
        <v>231</v>
      </c>
      <c r="X11" s="2" t="s">
        <v>231</v>
      </c>
      <c r="Y11" s="2" t="s">
        <v>240</v>
      </c>
      <c r="Z11" s="4"/>
      <c r="AA11" s="4">
        <f>=ROUNDDOWN({0},0)</f>
      </c>
      <c r="AB11" s="5"/>
      <c r="AC11" s="2" t="s">
        <v>231</v>
      </c>
      <c r="AD11" s="4"/>
      <c r="AE11" s="4"/>
      <c r="AF11" s="6"/>
      <c r="AG11" s="6"/>
      <c r="AH11" s="7">
        <v>0</v>
      </c>
      <c r="AI11" s="4"/>
      <c r="AJ11" s="4">
        <f>=ROUNDDOWN({0},0)</f>
      </c>
      <c r="AK11" s="5"/>
      <c r="AL11" s="2" t="s">
        <v>231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231</v>
      </c>
      <c r="AW11" s="8" t="s">
        <v>231</v>
      </c>
      <c r="AX11" s="4" t="s">
        <v>231</v>
      </c>
      <c r="AY11" s="8" t="s">
        <v>231</v>
      </c>
      <c r="AZ11" s="7" t="s">
        <v>231</v>
      </c>
      <c r="BA11" s="7" t="s">
        <v>231</v>
      </c>
      <c r="BB11" s="7"/>
      <c r="BC11" s="4" t="s">
        <v>231</v>
      </c>
      <c r="BD11" s="8" t="s">
        <v>231</v>
      </c>
      <c r="BE11" s="4" t="s">
        <v>231</v>
      </c>
      <c r="BF11" s="8" t="s">
        <v>231</v>
      </c>
      <c r="BG11" s="7" t="s">
        <v>231</v>
      </c>
      <c r="BH11" s="7" t="s">
        <v>231</v>
      </c>
      <c r="BI11" s="7"/>
      <c r="BJ11" s="4"/>
      <c r="BK11" s="8"/>
      <c r="BL11" s="2" t="s">
        <v>231</v>
      </c>
      <c r="BM11" s="7"/>
      <c r="BN11" s="7"/>
      <c r="BO11" s="4"/>
      <c r="BP11" s="8"/>
      <c r="BQ11" s="4"/>
      <c r="BR11" s="8"/>
      <c r="BS11" s="7"/>
      <c r="BT11" s="7"/>
      <c r="BU11" s="2" t="s">
        <v>241</v>
      </c>
      <c r="BV11" s="2" t="s">
        <v>231</v>
      </c>
      <c r="BW11" s="2" t="s">
        <v>231</v>
      </c>
      <c r="BX11" s="2" t="s">
        <v>231</v>
      </c>
      <c r="BY11" s="2" t="s">
        <v>242</v>
      </c>
      <c r="BZ11" s="2" t="s">
        <v>243</v>
      </c>
      <c r="CA11" s="2" t="s">
        <v>231</v>
      </c>
      <c r="CB11" s="2" t="s">
        <v>231</v>
      </c>
      <c r="CC11" s="2" t="s">
        <v>244</v>
      </c>
      <c r="CD11" s="2" t="s">
        <v>231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</row>
    <row r="12">
      <c r="A12" s="2" t="s">
        <v>256</v>
      </c>
      <c r="B12" s="2" t="s">
        <v>226</v>
      </c>
      <c r="C12" s="2" t="s">
        <v>227</v>
      </c>
      <c r="D12" s="2" t="s">
        <v>228</v>
      </c>
      <c r="E12" s="2" t="s">
        <v>229</v>
      </c>
      <c r="F12" s="2" t="s">
        <v>230</v>
      </c>
      <c r="G12" s="2" t="s">
        <v>231</v>
      </c>
      <c r="H12" s="2" t="s">
        <v>231</v>
      </c>
      <c r="I12" s="2" t="s">
        <v>232</v>
      </c>
      <c r="J12" s="2" t="s">
        <v>233</v>
      </c>
      <c r="K12" s="2" t="s">
        <v>255</v>
      </c>
      <c r="L12" s="3">
        <v>54.99</v>
      </c>
      <c r="M12" s="3">
        <v>57.74</v>
      </c>
      <c r="N12" s="3"/>
      <c r="O12" s="2" t="s">
        <v>235</v>
      </c>
      <c r="P12" s="2" t="s">
        <v>236</v>
      </c>
      <c r="Q12" s="2" t="s">
        <v>237</v>
      </c>
      <c r="R12" s="2" t="s">
        <v>238</v>
      </c>
      <c r="S12" s="2" t="s">
        <v>231</v>
      </c>
      <c r="T12" s="2" t="s">
        <v>231</v>
      </c>
      <c r="U12" s="2" t="s">
        <v>231</v>
      </c>
      <c r="V12" s="2" t="s">
        <v>239</v>
      </c>
      <c r="W12" s="2" t="s">
        <v>231</v>
      </c>
      <c r="X12" s="2" t="s">
        <v>231</v>
      </c>
      <c r="Y12" s="2" t="s">
        <v>240</v>
      </c>
      <c r="Z12" s="4"/>
      <c r="AA12" s="4">
        <f>=ROUNDDOWN({0},0)</f>
      </c>
      <c r="AB12" s="5"/>
      <c r="AC12" s="2" t="s">
        <v>231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231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231</v>
      </c>
      <c r="AW12" s="8" t="s">
        <v>231</v>
      </c>
      <c r="AX12" s="4" t="s">
        <v>231</v>
      </c>
      <c r="AY12" s="8" t="s">
        <v>231</v>
      </c>
      <c r="AZ12" s="7" t="s">
        <v>231</v>
      </c>
      <c r="BA12" s="7" t="s">
        <v>231</v>
      </c>
      <c r="BB12" s="7"/>
      <c r="BC12" s="4" t="s">
        <v>231</v>
      </c>
      <c r="BD12" s="8" t="s">
        <v>231</v>
      </c>
      <c r="BE12" s="4" t="s">
        <v>231</v>
      </c>
      <c r="BF12" s="8" t="s">
        <v>231</v>
      </c>
      <c r="BG12" s="7" t="s">
        <v>231</v>
      </c>
      <c r="BH12" s="7" t="s">
        <v>231</v>
      </c>
      <c r="BI12" s="7"/>
      <c r="BJ12" s="4"/>
      <c r="BK12" s="8"/>
      <c r="BL12" s="2" t="s">
        <v>231</v>
      </c>
      <c r="BM12" s="7"/>
      <c r="BN12" s="7"/>
      <c r="BO12" s="4"/>
      <c r="BP12" s="8"/>
      <c r="BQ12" s="4"/>
      <c r="BR12" s="8"/>
      <c r="BS12" s="7"/>
      <c r="BT12" s="7"/>
      <c r="BU12" s="2" t="s">
        <v>241</v>
      </c>
      <c r="BV12" s="2" t="s">
        <v>231</v>
      </c>
      <c r="BW12" s="2" t="s">
        <v>231</v>
      </c>
      <c r="BX12" s="2" t="s">
        <v>231</v>
      </c>
      <c r="BY12" s="2" t="s">
        <v>242</v>
      </c>
      <c r="BZ12" s="2" t="s">
        <v>243</v>
      </c>
      <c r="CA12" s="2" t="s">
        <v>231</v>
      </c>
      <c r="CB12" s="2" t="s">
        <v>231</v>
      </c>
      <c r="CC12" s="2" t="s">
        <v>244</v>
      </c>
      <c r="CD12" s="2" t="s">
        <v>231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</row>
    <row r="13">
      <c r="A13" s="2" t="s">
        <v>257</v>
      </c>
      <c r="B13" s="2" t="s">
        <v>226</v>
      </c>
      <c r="C13" s="2" t="s">
        <v>227</v>
      </c>
      <c r="D13" s="2" t="s">
        <v>228</v>
      </c>
      <c r="E13" s="2" t="s">
        <v>229</v>
      </c>
      <c r="F13" s="2" t="s">
        <v>230</v>
      </c>
      <c r="G13" s="2" t="s">
        <v>231</v>
      </c>
      <c r="H13" s="2" t="s">
        <v>231</v>
      </c>
      <c r="I13" s="2" t="s">
        <v>232</v>
      </c>
      <c r="J13" s="2" t="s">
        <v>258</v>
      </c>
      <c r="K13" s="2" t="s">
        <v>255</v>
      </c>
      <c r="L13" s="3">
        <v>69.99</v>
      </c>
      <c r="M13" s="3">
        <v>73.49</v>
      </c>
      <c r="N13" s="3"/>
      <c r="O13" s="2" t="s">
        <v>235</v>
      </c>
      <c r="P13" s="2" t="s">
        <v>236</v>
      </c>
      <c r="Q13" s="2" t="s">
        <v>237</v>
      </c>
      <c r="R13" s="2" t="s">
        <v>238</v>
      </c>
      <c r="S13" s="2" t="s">
        <v>231</v>
      </c>
      <c r="T13" s="2" t="s">
        <v>231</v>
      </c>
      <c r="U13" s="2" t="s">
        <v>231</v>
      </c>
      <c r="V13" s="2" t="s">
        <v>239</v>
      </c>
      <c r="W13" s="2" t="s">
        <v>231</v>
      </c>
      <c r="X13" s="2" t="s">
        <v>231</v>
      </c>
      <c r="Y13" s="2" t="s">
        <v>240</v>
      </c>
      <c r="Z13" s="4"/>
      <c r="AA13" s="4">
        <f>=ROUNDDOWN({0},0)</f>
      </c>
      <c r="AB13" s="5"/>
      <c r="AC13" s="2" t="s">
        <v>231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231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231</v>
      </c>
      <c r="AW13" s="8" t="s">
        <v>231</v>
      </c>
      <c r="AX13" s="4" t="s">
        <v>231</v>
      </c>
      <c r="AY13" s="8" t="s">
        <v>231</v>
      </c>
      <c r="AZ13" s="7" t="s">
        <v>231</v>
      </c>
      <c r="BA13" s="7" t="s">
        <v>231</v>
      </c>
      <c r="BB13" s="7"/>
      <c r="BC13" s="4" t="s">
        <v>231</v>
      </c>
      <c r="BD13" s="8" t="s">
        <v>231</v>
      </c>
      <c r="BE13" s="4" t="s">
        <v>231</v>
      </c>
      <c r="BF13" s="8" t="s">
        <v>231</v>
      </c>
      <c r="BG13" s="7" t="s">
        <v>231</v>
      </c>
      <c r="BH13" s="7" t="s">
        <v>231</v>
      </c>
      <c r="BI13" s="7"/>
      <c r="BJ13" s="4"/>
      <c r="BK13" s="8"/>
      <c r="BL13" s="2" t="s">
        <v>231</v>
      </c>
      <c r="BM13" s="7"/>
      <c r="BN13" s="7"/>
      <c r="BO13" s="4"/>
      <c r="BP13" s="8"/>
      <c r="BQ13" s="4"/>
      <c r="BR13" s="8"/>
      <c r="BS13" s="7"/>
      <c r="BT13" s="7"/>
      <c r="BU13" s="2" t="s">
        <v>241</v>
      </c>
      <c r="BV13" s="2" t="s">
        <v>231</v>
      </c>
      <c r="BW13" s="2" t="s">
        <v>231</v>
      </c>
      <c r="BX13" s="2" t="s">
        <v>231</v>
      </c>
      <c r="BY13" s="2" t="s">
        <v>242</v>
      </c>
      <c r="BZ13" s="2" t="s">
        <v>243</v>
      </c>
      <c r="CA13" s="2" t="s">
        <v>231</v>
      </c>
      <c r="CB13" s="2" t="s">
        <v>231</v>
      </c>
      <c r="CC13" s="2" t="s">
        <v>244</v>
      </c>
      <c r="CD13" s="2" t="s">
        <v>231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</row>
    <row r="14">
      <c r="A14" s="2" t="s">
        <v>259</v>
      </c>
      <c r="B14" s="2" t="s">
        <v>226</v>
      </c>
      <c r="C14" s="2" t="s">
        <v>227</v>
      </c>
      <c r="D14" s="2" t="s">
        <v>228</v>
      </c>
      <c r="E14" s="2" t="s">
        <v>229</v>
      </c>
      <c r="F14" s="2" t="s">
        <v>230</v>
      </c>
      <c r="G14" s="2" t="s">
        <v>231</v>
      </c>
      <c r="H14" s="2" t="s">
        <v>231</v>
      </c>
      <c r="I14" s="2" t="s">
        <v>232</v>
      </c>
      <c r="J14" s="2" t="s">
        <v>247</v>
      </c>
      <c r="K14" s="2" t="s">
        <v>255</v>
      </c>
      <c r="L14" s="3">
        <v>99.99</v>
      </c>
      <c r="M14" s="3">
        <v>104.99</v>
      </c>
      <c r="N14" s="3"/>
      <c r="O14" s="2" t="s">
        <v>250</v>
      </c>
      <c r="P14" s="2" t="s">
        <v>236</v>
      </c>
      <c r="Q14" s="2" t="s">
        <v>237</v>
      </c>
      <c r="R14" s="2" t="s">
        <v>238</v>
      </c>
      <c r="S14" s="2" t="s">
        <v>231</v>
      </c>
      <c r="T14" s="2" t="s">
        <v>231</v>
      </c>
      <c r="U14" s="2" t="s">
        <v>231</v>
      </c>
      <c r="V14" s="2" t="s">
        <v>239</v>
      </c>
      <c r="W14" s="2" t="s">
        <v>231</v>
      </c>
      <c r="X14" s="2" t="s">
        <v>231</v>
      </c>
      <c r="Y14" s="2" t="s">
        <v>240</v>
      </c>
      <c r="Z14" s="4"/>
      <c r="AA14" s="4">
        <f>=ROUNDDOWN({0},0)</f>
      </c>
      <c r="AB14" s="5"/>
      <c r="AC14" s="2" t="s">
        <v>231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231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231</v>
      </c>
      <c r="AW14" s="8" t="s">
        <v>231</v>
      </c>
      <c r="AX14" s="4" t="s">
        <v>231</v>
      </c>
      <c r="AY14" s="8" t="s">
        <v>231</v>
      </c>
      <c r="AZ14" s="7" t="s">
        <v>231</v>
      </c>
      <c r="BA14" s="7" t="s">
        <v>231</v>
      </c>
      <c r="BB14" s="7"/>
      <c r="BC14" s="4" t="s">
        <v>231</v>
      </c>
      <c r="BD14" s="8" t="s">
        <v>231</v>
      </c>
      <c r="BE14" s="4" t="s">
        <v>231</v>
      </c>
      <c r="BF14" s="8" t="s">
        <v>231</v>
      </c>
      <c r="BG14" s="7" t="s">
        <v>231</v>
      </c>
      <c r="BH14" s="7" t="s">
        <v>231</v>
      </c>
      <c r="BI14" s="7"/>
      <c r="BJ14" s="4"/>
      <c r="BK14" s="8"/>
      <c r="BL14" s="2" t="s">
        <v>231</v>
      </c>
      <c r="BM14" s="7"/>
      <c r="BN14" s="7"/>
      <c r="BO14" s="4"/>
      <c r="BP14" s="8"/>
      <c r="BQ14" s="4"/>
      <c r="BR14" s="8"/>
      <c r="BS14" s="7"/>
      <c r="BT14" s="7"/>
      <c r="BU14" s="2" t="s">
        <v>241</v>
      </c>
      <c r="BV14" s="2" t="s">
        <v>231</v>
      </c>
      <c r="BW14" s="2" t="s">
        <v>231</v>
      </c>
      <c r="BX14" s="2" t="s">
        <v>231</v>
      </c>
      <c r="BY14" s="2" t="s">
        <v>242</v>
      </c>
      <c r="BZ14" s="2" t="s">
        <v>243</v>
      </c>
      <c r="CA14" s="2" t="s">
        <v>231</v>
      </c>
      <c r="CB14" s="2" t="s">
        <v>231</v>
      </c>
      <c r="CC14" s="2" t="s">
        <v>244</v>
      </c>
      <c r="CD14" s="2" t="s">
        <v>231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</row>
    <row r="15">
      <c r="A15" s="2" t="s">
        <v>260</v>
      </c>
      <c r="B15" s="2" t="s">
        <v>226</v>
      </c>
      <c r="C15" s="2" t="s">
        <v>227</v>
      </c>
      <c r="D15" s="2" t="s">
        <v>228</v>
      </c>
      <c r="E15" s="2" t="s">
        <v>229</v>
      </c>
      <c r="F15" s="2" t="s">
        <v>230</v>
      </c>
      <c r="G15" s="2" t="s">
        <v>231</v>
      </c>
      <c r="H15" s="2" t="s">
        <v>231</v>
      </c>
      <c r="I15" s="2" t="s">
        <v>232</v>
      </c>
      <c r="J15" s="2" t="s">
        <v>249</v>
      </c>
      <c r="K15" s="2" t="s">
        <v>255</v>
      </c>
      <c r="L15" s="3">
        <v>104.99</v>
      </c>
      <c r="M15" s="3">
        <v>110.24</v>
      </c>
      <c r="N15" s="3"/>
      <c r="O15" s="2" t="s">
        <v>250</v>
      </c>
      <c r="P15" s="2" t="s">
        <v>236</v>
      </c>
      <c r="Q15" s="2" t="s">
        <v>237</v>
      </c>
      <c r="R15" s="2" t="s">
        <v>238</v>
      </c>
      <c r="S15" s="2" t="s">
        <v>231</v>
      </c>
      <c r="T15" s="2" t="s">
        <v>231</v>
      </c>
      <c r="U15" s="2" t="s">
        <v>231</v>
      </c>
      <c r="V15" s="2" t="s">
        <v>239</v>
      </c>
      <c r="W15" s="2" t="s">
        <v>231</v>
      </c>
      <c r="X15" s="2" t="s">
        <v>231</v>
      </c>
      <c r="Y15" s="2" t="s">
        <v>240</v>
      </c>
      <c r="Z15" s="4"/>
      <c r="AA15" s="4">
        <f>=ROUNDDOWN({0},0)</f>
      </c>
      <c r="AB15" s="5"/>
      <c r="AC15" s="2" t="s">
        <v>231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231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231</v>
      </c>
      <c r="AW15" s="8" t="s">
        <v>231</v>
      </c>
      <c r="AX15" s="4" t="s">
        <v>231</v>
      </c>
      <c r="AY15" s="8" t="s">
        <v>231</v>
      </c>
      <c r="AZ15" s="7" t="s">
        <v>231</v>
      </c>
      <c r="BA15" s="7" t="s">
        <v>231</v>
      </c>
      <c r="BB15" s="7"/>
      <c r="BC15" s="4" t="s">
        <v>231</v>
      </c>
      <c r="BD15" s="8" t="s">
        <v>231</v>
      </c>
      <c r="BE15" s="4" t="s">
        <v>231</v>
      </c>
      <c r="BF15" s="8" t="s">
        <v>231</v>
      </c>
      <c r="BG15" s="7" t="s">
        <v>231</v>
      </c>
      <c r="BH15" s="7" t="s">
        <v>231</v>
      </c>
      <c r="BI15" s="7"/>
      <c r="BJ15" s="4"/>
      <c r="BK15" s="8"/>
      <c r="BL15" s="2" t="s">
        <v>231</v>
      </c>
      <c r="BM15" s="7"/>
      <c r="BN15" s="7"/>
      <c r="BO15" s="4"/>
      <c r="BP15" s="8"/>
      <c r="BQ15" s="4"/>
      <c r="BR15" s="8"/>
      <c r="BS15" s="7"/>
      <c r="BT15" s="7"/>
      <c r="BU15" s="2" t="s">
        <v>241</v>
      </c>
      <c r="BV15" s="2" t="s">
        <v>231</v>
      </c>
      <c r="BW15" s="2" t="s">
        <v>231</v>
      </c>
      <c r="BX15" s="2" t="s">
        <v>231</v>
      </c>
      <c r="BY15" s="2" t="s">
        <v>242</v>
      </c>
      <c r="BZ15" s="2" t="s">
        <v>243</v>
      </c>
      <c r="CA15" s="2" t="s">
        <v>231</v>
      </c>
      <c r="CB15" s="2" t="s">
        <v>231</v>
      </c>
      <c r="CC15" s="2" t="s">
        <v>244</v>
      </c>
      <c r="CD15" s="2" t="s">
        <v>231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</row>
    <row r="16">
      <c r="A16" s="2" t="s">
        <v>261</v>
      </c>
      <c r="B16" s="2" t="s">
        <v>262</v>
      </c>
      <c r="C16" s="2" t="s">
        <v>263</v>
      </c>
      <c r="D16" s="2" t="s">
        <v>264</v>
      </c>
      <c r="E16" s="2" t="s">
        <v>265</v>
      </c>
      <c r="F16" s="2" t="s">
        <v>266</v>
      </c>
      <c r="G16" s="2" t="s">
        <v>266</v>
      </c>
      <c r="H16" s="2" t="s">
        <v>266</v>
      </c>
      <c r="I16" s="2" t="s">
        <v>267</v>
      </c>
      <c r="J16" s="2" t="s">
        <v>268</v>
      </c>
      <c r="K16" s="2" t="s">
        <v>269</v>
      </c>
      <c r="L16" s="3">
        <v>27.6</v>
      </c>
      <c r="M16" s="3">
        <v>28.98</v>
      </c>
      <c r="N16" s="3">
        <v>59.99</v>
      </c>
      <c r="O16" s="2" t="s">
        <v>243</v>
      </c>
      <c r="P16" s="2" t="s">
        <v>270</v>
      </c>
      <c r="Q16" s="2" t="s">
        <v>237</v>
      </c>
      <c r="R16" s="2" t="s">
        <v>231</v>
      </c>
      <c r="S16" s="2" t="s">
        <v>271</v>
      </c>
      <c r="T16" s="2" t="s">
        <v>272</v>
      </c>
      <c r="U16" s="2" t="s">
        <v>231</v>
      </c>
      <c r="V16" s="2" t="s">
        <v>239</v>
      </c>
      <c r="W16" s="2" t="s">
        <v>273</v>
      </c>
      <c r="X16" s="2" t="s">
        <v>231</v>
      </c>
      <c r="Y16" s="2" t="s">
        <v>274</v>
      </c>
      <c r="Z16" s="4">
        <v>1096</v>
      </c>
      <c r="AA16" s="4">
        <f>=ROUNDDOWN(91.3333333333333,0)</f>
      </c>
      <c r="AB16" s="5"/>
      <c r="AC16" s="2" t="s">
        <v>231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231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231</v>
      </c>
      <c r="AW16" s="8" t="s">
        <v>231</v>
      </c>
      <c r="AX16" s="4" t="s">
        <v>231</v>
      </c>
      <c r="AY16" s="8" t="s">
        <v>231</v>
      </c>
      <c r="AZ16" s="7" t="s">
        <v>231</v>
      </c>
      <c r="BA16" s="7" t="s">
        <v>231</v>
      </c>
      <c r="BB16" s="7"/>
      <c r="BC16" s="4" t="s">
        <v>231</v>
      </c>
      <c r="BD16" s="8" t="s">
        <v>231</v>
      </c>
      <c r="BE16" s="4" t="s">
        <v>231</v>
      </c>
      <c r="BF16" s="8" t="s">
        <v>231</v>
      </c>
      <c r="BG16" s="7" t="s">
        <v>231</v>
      </c>
      <c r="BH16" s="7" t="s">
        <v>231</v>
      </c>
      <c r="BI16" s="7"/>
      <c r="BJ16" s="4">
        <v>28</v>
      </c>
      <c r="BK16" s="8">
        <v>763.51</v>
      </c>
      <c r="BL16" s="2" t="s">
        <v>275</v>
      </c>
      <c r="BM16" s="7"/>
      <c r="BN16" s="7"/>
      <c r="BO16" s="4"/>
      <c r="BP16" s="8"/>
      <c r="BQ16" s="4"/>
      <c r="BR16" s="8"/>
      <c r="BS16" s="7"/>
      <c r="BT16" s="7"/>
      <c r="BU16" s="2" t="s">
        <v>276</v>
      </c>
      <c r="BV16" s="2" t="s">
        <v>231</v>
      </c>
      <c r="BW16" s="2" t="s">
        <v>231</v>
      </c>
      <c r="BX16" s="2" t="s">
        <v>231</v>
      </c>
      <c r="BY16" s="2" t="s">
        <v>277</v>
      </c>
      <c r="BZ16" s="2" t="s">
        <v>243</v>
      </c>
      <c r="CA16" s="2" t="s">
        <v>278</v>
      </c>
      <c r="CB16" s="2" t="s">
        <v>279</v>
      </c>
      <c r="CC16" s="2" t="s">
        <v>244</v>
      </c>
      <c r="CD16" s="2" t="s">
        <v>231</v>
      </c>
      <c r="CE16" s="4">
        <v>1096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</row>
    <row r="17">
      <c r="A17" s="2" t="s">
        <v>280</v>
      </c>
      <c r="B17" s="2" t="s">
        <v>262</v>
      </c>
      <c r="C17" s="2" t="s">
        <v>263</v>
      </c>
      <c r="D17" s="2" t="s">
        <v>264</v>
      </c>
      <c r="E17" s="2" t="s">
        <v>265</v>
      </c>
      <c r="F17" s="2" t="s">
        <v>266</v>
      </c>
      <c r="G17" s="2" t="s">
        <v>266</v>
      </c>
      <c r="H17" s="2" t="s">
        <v>266</v>
      </c>
      <c r="I17" s="2" t="s">
        <v>267</v>
      </c>
      <c r="J17" s="2" t="s">
        <v>281</v>
      </c>
      <c r="K17" s="2" t="s">
        <v>269</v>
      </c>
      <c r="L17" s="3">
        <v>32.2</v>
      </c>
      <c r="M17" s="3">
        <v>33.81</v>
      </c>
      <c r="N17" s="3">
        <v>69.99</v>
      </c>
      <c r="O17" s="2" t="s">
        <v>243</v>
      </c>
      <c r="P17" s="2" t="s">
        <v>270</v>
      </c>
      <c r="Q17" s="2" t="s">
        <v>237</v>
      </c>
      <c r="R17" s="2" t="s">
        <v>231</v>
      </c>
      <c r="S17" s="2" t="s">
        <v>271</v>
      </c>
      <c r="T17" s="2" t="s">
        <v>272</v>
      </c>
      <c r="U17" s="2" t="s">
        <v>231</v>
      </c>
      <c r="V17" s="2" t="s">
        <v>239</v>
      </c>
      <c r="W17" s="2" t="s">
        <v>273</v>
      </c>
      <c r="X17" s="2" t="s">
        <v>231</v>
      </c>
      <c r="Y17" s="2" t="s">
        <v>274</v>
      </c>
      <c r="Z17" s="4">
        <v>296</v>
      </c>
      <c r="AA17" s="4">
        <f>=ROUNDDOWN(49.3333333333333,0)</f>
      </c>
      <c r="AB17" s="5">
        <v>6</v>
      </c>
      <c r="AC17" s="2" t="s">
        <v>231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231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231</v>
      </c>
      <c r="AW17" s="8" t="s">
        <v>231</v>
      </c>
      <c r="AX17" s="4" t="s">
        <v>231</v>
      </c>
      <c r="AY17" s="8" t="s">
        <v>231</v>
      </c>
      <c r="AZ17" s="7" t="s">
        <v>231</v>
      </c>
      <c r="BA17" s="7" t="s">
        <v>231</v>
      </c>
      <c r="BB17" s="7"/>
      <c r="BC17" s="4" t="s">
        <v>231</v>
      </c>
      <c r="BD17" s="8" t="s">
        <v>231</v>
      </c>
      <c r="BE17" s="4" t="s">
        <v>231</v>
      </c>
      <c r="BF17" s="8" t="s">
        <v>231</v>
      </c>
      <c r="BG17" s="7" t="s">
        <v>231</v>
      </c>
      <c r="BH17" s="7" t="s">
        <v>231</v>
      </c>
      <c r="BI17" s="7"/>
      <c r="BJ17" s="4">
        <v>12</v>
      </c>
      <c r="BK17" s="8">
        <v>422.49</v>
      </c>
      <c r="BL17" s="2" t="s">
        <v>282</v>
      </c>
      <c r="BM17" s="7"/>
      <c r="BN17" s="7"/>
      <c r="BO17" s="4"/>
      <c r="BP17" s="8"/>
      <c r="BQ17" s="4"/>
      <c r="BR17" s="8"/>
      <c r="BS17" s="7"/>
      <c r="BT17" s="7"/>
      <c r="BU17" s="2" t="s">
        <v>283</v>
      </c>
      <c r="BV17" s="2" t="s">
        <v>231</v>
      </c>
      <c r="BW17" s="2" t="s">
        <v>231</v>
      </c>
      <c r="BX17" s="2" t="s">
        <v>231</v>
      </c>
      <c r="BY17" s="2" t="s">
        <v>277</v>
      </c>
      <c r="BZ17" s="2" t="s">
        <v>243</v>
      </c>
      <c r="CA17" s="2" t="s">
        <v>284</v>
      </c>
      <c r="CB17" s="2" t="s">
        <v>285</v>
      </c>
      <c r="CC17" s="2" t="s">
        <v>244</v>
      </c>
      <c r="CD17" s="2" t="s">
        <v>231</v>
      </c>
      <c r="CE17" s="4">
        <v>296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</row>
    <row r="18">
      <c r="A18" s="2" t="s">
        <v>286</v>
      </c>
      <c r="B18" s="2" t="s">
        <v>287</v>
      </c>
      <c r="C18" s="2" t="s">
        <v>288</v>
      </c>
      <c r="D18" s="2" t="s">
        <v>289</v>
      </c>
      <c r="E18" s="2" t="s">
        <v>290</v>
      </c>
      <c r="F18" s="2" t="s">
        <v>291</v>
      </c>
      <c r="G18" s="2" t="s">
        <v>291</v>
      </c>
      <c r="H18" s="2" t="s">
        <v>291</v>
      </c>
      <c r="I18" s="2" t="s">
        <v>292</v>
      </c>
      <c r="J18" s="2" t="s">
        <v>293</v>
      </c>
      <c r="K18" s="2" t="s">
        <v>294</v>
      </c>
      <c r="L18" s="3">
        <v>41.4</v>
      </c>
      <c r="M18" s="3">
        <v>43.47</v>
      </c>
      <c r="N18" s="3">
        <v>89.99</v>
      </c>
      <c r="O18" s="2" t="s">
        <v>243</v>
      </c>
      <c r="P18" s="2" t="s">
        <v>295</v>
      </c>
      <c r="Q18" s="2" t="s">
        <v>237</v>
      </c>
      <c r="R18" s="2" t="s">
        <v>231</v>
      </c>
      <c r="S18" s="2" t="s">
        <v>296</v>
      </c>
      <c r="T18" s="2" t="s">
        <v>297</v>
      </c>
      <c r="U18" s="2" t="s">
        <v>298</v>
      </c>
      <c r="V18" s="2" t="s">
        <v>239</v>
      </c>
      <c r="W18" s="2" t="s">
        <v>273</v>
      </c>
      <c r="X18" s="2" t="s">
        <v>299</v>
      </c>
      <c r="Y18" s="2" t="s">
        <v>231</v>
      </c>
      <c r="Z18" s="4"/>
      <c r="AA18" s="4">
        <f>=ROUNDDOWN({0},0)</f>
      </c>
      <c r="AB18" s="5"/>
      <c r="AC18" s="2" t="s">
        <v>300</v>
      </c>
      <c r="AD18" s="4">
        <v>390</v>
      </c>
      <c r="AE18" s="4">
        <v>390</v>
      </c>
      <c r="AF18" s="6">
        <v>69</v>
      </c>
      <c r="AG18" s="6"/>
      <c r="AH18" s="7">
        <v>0</v>
      </c>
      <c r="AI18" s="4"/>
      <c r="AJ18" s="4">
        <f>=ROUNDDOWN({0},0)</f>
      </c>
      <c r="AK18" s="5"/>
      <c r="AL18" s="2" t="s">
        <v>231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231</v>
      </c>
      <c r="AW18" s="8" t="s">
        <v>231</v>
      </c>
      <c r="AX18" s="4" t="s">
        <v>231</v>
      </c>
      <c r="AY18" s="8" t="s">
        <v>231</v>
      </c>
      <c r="AZ18" s="7" t="s">
        <v>231</v>
      </c>
      <c r="BA18" s="7" t="s">
        <v>231</v>
      </c>
      <c r="BB18" s="7"/>
      <c r="BC18" s="4" t="s">
        <v>231</v>
      </c>
      <c r="BD18" s="8" t="s">
        <v>231</v>
      </c>
      <c r="BE18" s="4" t="s">
        <v>231</v>
      </c>
      <c r="BF18" s="8" t="s">
        <v>231</v>
      </c>
      <c r="BG18" s="7" t="s">
        <v>231</v>
      </c>
      <c r="BH18" s="7" t="s">
        <v>231</v>
      </c>
      <c r="BI18" s="7"/>
      <c r="BJ18" s="4"/>
      <c r="BK18" s="8"/>
      <c r="BL18" s="2" t="s">
        <v>231</v>
      </c>
      <c r="BM18" s="7"/>
      <c r="BN18" s="7"/>
      <c r="BO18" s="4"/>
      <c r="BP18" s="8"/>
      <c r="BQ18" s="4"/>
      <c r="BR18" s="8"/>
      <c r="BS18" s="7"/>
      <c r="BT18" s="7"/>
      <c r="BU18" s="2" t="s">
        <v>241</v>
      </c>
      <c r="BV18" s="2" t="s">
        <v>231</v>
      </c>
      <c r="BW18" s="2" t="s">
        <v>231</v>
      </c>
      <c r="BX18" s="2" t="s">
        <v>241</v>
      </c>
      <c r="BY18" s="2" t="s">
        <v>242</v>
      </c>
      <c r="BZ18" s="2" t="s">
        <v>243</v>
      </c>
      <c r="CA18" s="2" t="s">
        <v>231</v>
      </c>
      <c r="CB18" s="2" t="s">
        <v>231</v>
      </c>
      <c r="CC18" s="2" t="s">
        <v>244</v>
      </c>
      <c r="CD18" s="2" t="s">
        <v>231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>
        <v>390</v>
      </c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</row>
    <row r="19">
      <c r="A19" s="2" t="s">
        <v>301</v>
      </c>
      <c r="B19" s="2" t="s">
        <v>287</v>
      </c>
      <c r="C19" s="2" t="s">
        <v>288</v>
      </c>
      <c r="D19" s="2" t="s">
        <v>289</v>
      </c>
      <c r="E19" s="2" t="s">
        <v>290</v>
      </c>
      <c r="F19" s="2" t="s">
        <v>291</v>
      </c>
      <c r="G19" s="2" t="s">
        <v>291</v>
      </c>
      <c r="H19" s="2" t="s">
        <v>291</v>
      </c>
      <c r="I19" s="2" t="s">
        <v>292</v>
      </c>
      <c r="J19" s="2" t="s">
        <v>302</v>
      </c>
      <c r="K19" s="2" t="s">
        <v>294</v>
      </c>
      <c r="L19" s="3">
        <v>46</v>
      </c>
      <c r="M19" s="3">
        <v>48.3</v>
      </c>
      <c r="N19" s="3">
        <v>99.99</v>
      </c>
      <c r="O19" s="2" t="s">
        <v>243</v>
      </c>
      <c r="P19" s="2" t="s">
        <v>295</v>
      </c>
      <c r="Q19" s="2" t="s">
        <v>237</v>
      </c>
      <c r="R19" s="2" t="s">
        <v>231</v>
      </c>
      <c r="S19" s="2" t="s">
        <v>296</v>
      </c>
      <c r="T19" s="2" t="s">
        <v>297</v>
      </c>
      <c r="U19" s="2" t="s">
        <v>298</v>
      </c>
      <c r="V19" s="2" t="s">
        <v>239</v>
      </c>
      <c r="W19" s="2" t="s">
        <v>273</v>
      </c>
      <c r="X19" s="2" t="s">
        <v>299</v>
      </c>
      <c r="Y19" s="2" t="s">
        <v>231</v>
      </c>
      <c r="Z19" s="4"/>
      <c r="AA19" s="4">
        <f>=ROUNDDOWN({0},0)</f>
      </c>
      <c r="AB19" s="5"/>
      <c r="AC19" s="2" t="s">
        <v>300</v>
      </c>
      <c r="AD19" s="4">
        <v>380</v>
      </c>
      <c r="AE19" s="4">
        <v>380</v>
      </c>
      <c r="AF19" s="6">
        <v>69</v>
      </c>
      <c r="AG19" s="6"/>
      <c r="AH19" s="7">
        <v>0</v>
      </c>
      <c r="AI19" s="4"/>
      <c r="AJ19" s="4">
        <f>=ROUNDDOWN({0},0)</f>
      </c>
      <c r="AK19" s="5"/>
      <c r="AL19" s="2" t="s">
        <v>231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231</v>
      </c>
      <c r="AW19" s="8" t="s">
        <v>231</v>
      </c>
      <c r="AX19" s="4" t="s">
        <v>231</v>
      </c>
      <c r="AY19" s="8" t="s">
        <v>231</v>
      </c>
      <c r="AZ19" s="7" t="s">
        <v>231</v>
      </c>
      <c r="BA19" s="7" t="s">
        <v>231</v>
      </c>
      <c r="BB19" s="7"/>
      <c r="BC19" s="4" t="s">
        <v>231</v>
      </c>
      <c r="BD19" s="8" t="s">
        <v>231</v>
      </c>
      <c r="BE19" s="4" t="s">
        <v>231</v>
      </c>
      <c r="BF19" s="8" t="s">
        <v>231</v>
      </c>
      <c r="BG19" s="7" t="s">
        <v>231</v>
      </c>
      <c r="BH19" s="7" t="s">
        <v>231</v>
      </c>
      <c r="BI19" s="7"/>
      <c r="BJ19" s="4"/>
      <c r="BK19" s="8"/>
      <c r="BL19" s="2" t="s">
        <v>231</v>
      </c>
      <c r="BM19" s="7"/>
      <c r="BN19" s="7"/>
      <c r="BO19" s="4"/>
      <c r="BP19" s="8"/>
      <c r="BQ19" s="4"/>
      <c r="BR19" s="8"/>
      <c r="BS19" s="7"/>
      <c r="BT19" s="7"/>
      <c r="BU19" s="2" t="s">
        <v>241</v>
      </c>
      <c r="BV19" s="2" t="s">
        <v>231</v>
      </c>
      <c r="BW19" s="2" t="s">
        <v>231</v>
      </c>
      <c r="BX19" s="2" t="s">
        <v>241</v>
      </c>
      <c r="BY19" s="2" t="s">
        <v>242</v>
      </c>
      <c r="BZ19" s="2" t="s">
        <v>243</v>
      </c>
      <c r="CA19" s="2" t="s">
        <v>231</v>
      </c>
      <c r="CB19" s="2" t="s">
        <v>231</v>
      </c>
      <c r="CC19" s="2" t="s">
        <v>244</v>
      </c>
      <c r="CD19" s="2" t="s">
        <v>231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>
        <v>380</v>
      </c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</row>
    <row r="20">
      <c r="A20" s="2" t="s">
        <v>303</v>
      </c>
      <c r="B20" s="2" t="s">
        <v>287</v>
      </c>
      <c r="C20" s="2" t="s">
        <v>288</v>
      </c>
      <c r="D20" s="2" t="s">
        <v>289</v>
      </c>
      <c r="E20" s="2" t="s">
        <v>290</v>
      </c>
      <c r="F20" s="2" t="s">
        <v>291</v>
      </c>
      <c r="G20" s="2" t="s">
        <v>291</v>
      </c>
      <c r="H20" s="2" t="s">
        <v>291</v>
      </c>
      <c r="I20" s="2" t="s">
        <v>292</v>
      </c>
      <c r="J20" s="2" t="s">
        <v>304</v>
      </c>
      <c r="K20" s="2" t="s">
        <v>294</v>
      </c>
      <c r="L20" s="3">
        <v>46</v>
      </c>
      <c r="M20" s="3">
        <v>48.3</v>
      </c>
      <c r="N20" s="3">
        <v>99.99</v>
      </c>
      <c r="O20" s="2" t="s">
        <v>243</v>
      </c>
      <c r="P20" s="2" t="s">
        <v>295</v>
      </c>
      <c r="Q20" s="2" t="s">
        <v>237</v>
      </c>
      <c r="R20" s="2" t="s">
        <v>231</v>
      </c>
      <c r="S20" s="2" t="s">
        <v>296</v>
      </c>
      <c r="T20" s="2" t="s">
        <v>297</v>
      </c>
      <c r="U20" s="2" t="s">
        <v>298</v>
      </c>
      <c r="V20" s="2" t="s">
        <v>239</v>
      </c>
      <c r="W20" s="2" t="s">
        <v>273</v>
      </c>
      <c r="X20" s="2" t="s">
        <v>299</v>
      </c>
      <c r="Y20" s="2" t="s">
        <v>231</v>
      </c>
      <c r="Z20" s="4"/>
      <c r="AA20" s="4">
        <f>=ROUNDDOWN({0},0)</f>
      </c>
      <c r="AB20" s="5"/>
      <c r="AC20" s="2" t="s">
        <v>300</v>
      </c>
      <c r="AD20" s="4">
        <v>150</v>
      </c>
      <c r="AE20" s="4">
        <v>150</v>
      </c>
      <c r="AF20" s="6">
        <v>69</v>
      </c>
      <c r="AG20" s="6"/>
      <c r="AH20" s="7">
        <v>0</v>
      </c>
      <c r="AI20" s="4"/>
      <c r="AJ20" s="4">
        <f>=ROUNDDOWN({0},0)</f>
      </c>
      <c r="AK20" s="5"/>
      <c r="AL20" s="2" t="s">
        <v>231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231</v>
      </c>
      <c r="AW20" s="8" t="s">
        <v>231</v>
      </c>
      <c r="AX20" s="4" t="s">
        <v>231</v>
      </c>
      <c r="AY20" s="8" t="s">
        <v>231</v>
      </c>
      <c r="AZ20" s="7" t="s">
        <v>231</v>
      </c>
      <c r="BA20" s="7" t="s">
        <v>231</v>
      </c>
      <c r="BB20" s="7"/>
      <c r="BC20" s="4" t="s">
        <v>231</v>
      </c>
      <c r="BD20" s="8" t="s">
        <v>231</v>
      </c>
      <c r="BE20" s="4" t="s">
        <v>231</v>
      </c>
      <c r="BF20" s="8" t="s">
        <v>231</v>
      </c>
      <c r="BG20" s="7" t="s">
        <v>231</v>
      </c>
      <c r="BH20" s="7" t="s">
        <v>231</v>
      </c>
      <c r="BI20" s="7"/>
      <c r="BJ20" s="4"/>
      <c r="BK20" s="8"/>
      <c r="BL20" s="2" t="s">
        <v>231</v>
      </c>
      <c r="BM20" s="7"/>
      <c r="BN20" s="7"/>
      <c r="BO20" s="4"/>
      <c r="BP20" s="8"/>
      <c r="BQ20" s="4"/>
      <c r="BR20" s="8"/>
      <c r="BS20" s="7"/>
      <c r="BT20" s="7"/>
      <c r="BU20" s="2" t="s">
        <v>241</v>
      </c>
      <c r="BV20" s="2" t="s">
        <v>231</v>
      </c>
      <c r="BW20" s="2" t="s">
        <v>231</v>
      </c>
      <c r="BX20" s="2" t="s">
        <v>241</v>
      </c>
      <c r="BY20" s="2" t="s">
        <v>242</v>
      </c>
      <c r="BZ20" s="2" t="s">
        <v>243</v>
      </c>
      <c r="CA20" s="2" t="s">
        <v>231</v>
      </c>
      <c r="CB20" s="2" t="s">
        <v>231</v>
      </c>
      <c r="CC20" s="2" t="s">
        <v>244</v>
      </c>
      <c r="CD20" s="2" t="s">
        <v>231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>
        <v>150</v>
      </c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</row>
    <row r="21">
      <c r="A21" s="2" t="s">
        <v>305</v>
      </c>
      <c r="B21" s="2" t="s">
        <v>287</v>
      </c>
      <c r="C21" s="2" t="s">
        <v>288</v>
      </c>
      <c r="D21" s="2" t="s">
        <v>289</v>
      </c>
      <c r="E21" s="2" t="s">
        <v>290</v>
      </c>
      <c r="F21" s="2" t="s">
        <v>291</v>
      </c>
      <c r="G21" s="2" t="s">
        <v>291</v>
      </c>
      <c r="H21" s="2" t="s">
        <v>291</v>
      </c>
      <c r="I21" s="2" t="s">
        <v>292</v>
      </c>
      <c r="J21" s="2" t="s">
        <v>304</v>
      </c>
      <c r="K21" s="2" t="s">
        <v>306</v>
      </c>
      <c r="L21" s="3">
        <v>46</v>
      </c>
      <c r="M21" s="3">
        <v>48.3</v>
      </c>
      <c r="N21" s="3">
        <v>99.99</v>
      </c>
      <c r="O21" s="2" t="s">
        <v>243</v>
      </c>
      <c r="P21" s="2" t="s">
        <v>270</v>
      </c>
      <c r="Q21" s="2" t="s">
        <v>237</v>
      </c>
      <c r="R21" s="2" t="s">
        <v>231</v>
      </c>
      <c r="S21" s="2" t="s">
        <v>307</v>
      </c>
      <c r="T21" s="2" t="s">
        <v>297</v>
      </c>
      <c r="U21" s="2" t="s">
        <v>298</v>
      </c>
      <c r="V21" s="2" t="s">
        <v>239</v>
      </c>
      <c r="W21" s="2" t="s">
        <v>273</v>
      </c>
      <c r="X21" s="2" t="s">
        <v>299</v>
      </c>
      <c r="Y21" s="2" t="s">
        <v>308</v>
      </c>
      <c r="Z21" s="4">
        <v>176</v>
      </c>
      <c r="AA21" s="4">
        <f>=ROUNDDOWN(22,0)</f>
      </c>
      <c r="AB21" s="5">
        <v>8</v>
      </c>
      <c r="AC21" s="2" t="s">
        <v>309</v>
      </c>
      <c r="AD21" s="4">
        <v>60</v>
      </c>
      <c r="AE21" s="4">
        <v>90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231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/>
      <c r="AW21" s="8"/>
      <c r="AX21" s="4"/>
      <c r="AY21" s="8"/>
      <c r="AZ21" s="7"/>
      <c r="BA21" s="7"/>
      <c r="BB21" s="7"/>
      <c r="BC21" s="4" t="s">
        <v>231</v>
      </c>
      <c r="BD21" s="8" t="s">
        <v>231</v>
      </c>
      <c r="BE21" s="4" t="s">
        <v>231</v>
      </c>
      <c r="BF21" s="8" t="s">
        <v>231</v>
      </c>
      <c r="BG21" s="7" t="s">
        <v>231</v>
      </c>
      <c r="BH21" s="7" t="s">
        <v>231</v>
      </c>
      <c r="BI21" s="7"/>
      <c r="BJ21" s="4">
        <v>42</v>
      </c>
      <c r="BK21" s="8">
        <v>2078.47</v>
      </c>
      <c r="BL21" s="2" t="s">
        <v>310</v>
      </c>
      <c r="BM21" s="7"/>
      <c r="BN21" s="7"/>
      <c r="BO21" s="4"/>
      <c r="BP21" s="8"/>
      <c r="BQ21" s="4"/>
      <c r="BR21" s="8"/>
      <c r="BS21" s="7"/>
      <c r="BT21" s="7"/>
      <c r="BU21" s="2" t="s">
        <v>311</v>
      </c>
      <c r="BV21" s="2" t="s">
        <v>231</v>
      </c>
      <c r="BW21" s="2" t="s">
        <v>231</v>
      </c>
      <c r="BX21" s="2" t="s">
        <v>312</v>
      </c>
      <c r="BY21" s="2" t="s">
        <v>277</v>
      </c>
      <c r="BZ21" s="2" t="s">
        <v>243</v>
      </c>
      <c r="CA21" s="2" t="s">
        <v>313</v>
      </c>
      <c r="CB21" s="2" t="s">
        <v>314</v>
      </c>
      <c r="CC21" s="2" t="s">
        <v>244</v>
      </c>
      <c r="CD21" s="2" t="s">
        <v>231</v>
      </c>
      <c r="CE21" s="4">
        <v>176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>
        <v>60</v>
      </c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>
        <v>30</v>
      </c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</row>
    <row r="22">
      <c r="A22" s="2" t="s">
        <v>315</v>
      </c>
      <c r="B22" s="2" t="s">
        <v>262</v>
      </c>
      <c r="C22" s="2" t="s">
        <v>263</v>
      </c>
      <c r="D22" s="2" t="s">
        <v>264</v>
      </c>
      <c r="E22" s="2" t="s">
        <v>265</v>
      </c>
      <c r="F22" s="2" t="s">
        <v>316</v>
      </c>
      <c r="G22" s="2" t="s">
        <v>316</v>
      </c>
      <c r="H22" s="2" t="s">
        <v>316</v>
      </c>
      <c r="I22" s="2" t="s">
        <v>317</v>
      </c>
      <c r="J22" s="2" t="s">
        <v>318</v>
      </c>
      <c r="K22" s="2" t="s">
        <v>319</v>
      </c>
      <c r="L22" s="3">
        <v>58.29</v>
      </c>
      <c r="M22" s="3">
        <v>61.2</v>
      </c>
      <c r="N22" s="3">
        <v>109.99</v>
      </c>
      <c r="O22" s="2" t="s">
        <v>243</v>
      </c>
      <c r="P22" s="2" t="s">
        <v>270</v>
      </c>
      <c r="Q22" s="2" t="s">
        <v>237</v>
      </c>
      <c r="R22" s="2" t="s">
        <v>231</v>
      </c>
      <c r="S22" s="2" t="s">
        <v>320</v>
      </c>
      <c r="T22" s="2" t="s">
        <v>272</v>
      </c>
      <c r="U22" s="2" t="s">
        <v>231</v>
      </c>
      <c r="V22" s="2" t="s">
        <v>239</v>
      </c>
      <c r="W22" s="2" t="s">
        <v>273</v>
      </c>
      <c r="X22" s="2" t="s">
        <v>231</v>
      </c>
      <c r="Y22" s="2" t="s">
        <v>274</v>
      </c>
      <c r="Z22" s="4">
        <v>234</v>
      </c>
      <c r="AA22" s="4">
        <f>=ROUNDDOWN(46.8,0)</f>
      </c>
      <c r="AB22" s="5">
        <v>5</v>
      </c>
      <c r="AC22" s="2" t="s">
        <v>321</v>
      </c>
      <c r="AD22" s="4">
        <v>50</v>
      </c>
      <c r="AE22" s="4">
        <v>50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231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231</v>
      </c>
      <c r="AW22" s="8" t="s">
        <v>231</v>
      </c>
      <c r="AX22" s="4" t="s">
        <v>231</v>
      </c>
      <c r="AY22" s="8" t="s">
        <v>231</v>
      </c>
      <c r="AZ22" s="7" t="s">
        <v>231</v>
      </c>
      <c r="BA22" s="7" t="s">
        <v>231</v>
      </c>
      <c r="BB22" s="7"/>
      <c r="BC22" s="4" t="s">
        <v>231</v>
      </c>
      <c r="BD22" s="8" t="s">
        <v>231</v>
      </c>
      <c r="BE22" s="4" t="s">
        <v>231</v>
      </c>
      <c r="BF22" s="8" t="s">
        <v>231</v>
      </c>
      <c r="BG22" s="7" t="s">
        <v>231</v>
      </c>
      <c r="BH22" s="7" t="s">
        <v>231</v>
      </c>
      <c r="BI22" s="7"/>
      <c r="BJ22" s="4">
        <v>5</v>
      </c>
      <c r="BK22" s="8">
        <v>296.58</v>
      </c>
      <c r="BL22" s="2" t="s">
        <v>322</v>
      </c>
      <c r="BM22" s="7"/>
      <c r="BN22" s="7"/>
      <c r="BO22" s="4"/>
      <c r="BP22" s="8"/>
      <c r="BQ22" s="4"/>
      <c r="BR22" s="8"/>
      <c r="BS22" s="7"/>
      <c r="BT22" s="7"/>
      <c r="BU22" s="2" t="s">
        <v>323</v>
      </c>
      <c r="BV22" s="2" t="s">
        <v>231</v>
      </c>
      <c r="BW22" s="2" t="s">
        <v>231</v>
      </c>
      <c r="BX22" s="2" t="s">
        <v>231</v>
      </c>
      <c r="BY22" s="2" t="s">
        <v>277</v>
      </c>
      <c r="BZ22" s="2" t="s">
        <v>243</v>
      </c>
      <c r="CA22" s="2" t="s">
        <v>284</v>
      </c>
      <c r="CB22" s="2" t="s">
        <v>324</v>
      </c>
      <c r="CC22" s="2" t="s">
        <v>244</v>
      </c>
      <c r="CD22" s="2" t="s">
        <v>231</v>
      </c>
      <c r="CE22" s="4">
        <v>234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>
        <v>50</v>
      </c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</row>
    <row r="23">
      <c r="A23" s="2" t="s">
        <v>325</v>
      </c>
      <c r="B23" s="2" t="s">
        <v>262</v>
      </c>
      <c r="C23" s="2" t="s">
        <v>263</v>
      </c>
      <c r="D23" s="2" t="s">
        <v>264</v>
      </c>
      <c r="E23" s="2" t="s">
        <v>265</v>
      </c>
      <c r="F23" s="2" t="s">
        <v>316</v>
      </c>
      <c r="G23" s="2" t="s">
        <v>316</v>
      </c>
      <c r="H23" s="2" t="s">
        <v>316</v>
      </c>
      <c r="I23" s="2" t="s">
        <v>326</v>
      </c>
      <c r="J23" s="2" t="s">
        <v>268</v>
      </c>
      <c r="K23" s="2" t="s">
        <v>319</v>
      </c>
      <c r="L23" s="3">
        <v>58.29</v>
      </c>
      <c r="M23" s="3">
        <v>61.2</v>
      </c>
      <c r="N23" s="3">
        <v>109.99</v>
      </c>
      <c r="O23" s="2" t="s">
        <v>243</v>
      </c>
      <c r="P23" s="2" t="s">
        <v>270</v>
      </c>
      <c r="Q23" s="2" t="s">
        <v>237</v>
      </c>
      <c r="R23" s="2" t="s">
        <v>231</v>
      </c>
      <c r="S23" s="2" t="s">
        <v>320</v>
      </c>
      <c r="T23" s="2" t="s">
        <v>231</v>
      </c>
      <c r="U23" s="2" t="s">
        <v>327</v>
      </c>
      <c r="V23" s="2" t="s">
        <v>239</v>
      </c>
      <c r="W23" s="2" t="s">
        <v>273</v>
      </c>
      <c r="X23" s="2" t="s">
        <v>231</v>
      </c>
      <c r="Y23" s="2" t="s">
        <v>328</v>
      </c>
      <c r="Z23" s="4">
        <v>569</v>
      </c>
      <c r="AA23" s="4">
        <f>=ROUNDDOWN(142.25,0)</f>
      </c>
      <c r="AB23" s="5">
        <v>4</v>
      </c>
      <c r="AC23" s="2" t="s">
        <v>231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231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231</v>
      </c>
      <c r="AW23" s="8" t="s">
        <v>231</v>
      </c>
      <c r="AX23" s="4" t="s">
        <v>231</v>
      </c>
      <c r="AY23" s="8" t="s">
        <v>231</v>
      </c>
      <c r="AZ23" s="7" t="s">
        <v>231</v>
      </c>
      <c r="BA23" s="7" t="s">
        <v>231</v>
      </c>
      <c r="BB23" s="7"/>
      <c r="BC23" s="4" t="s">
        <v>231</v>
      </c>
      <c r="BD23" s="8" t="s">
        <v>231</v>
      </c>
      <c r="BE23" s="4" t="s">
        <v>231</v>
      </c>
      <c r="BF23" s="8" t="s">
        <v>231</v>
      </c>
      <c r="BG23" s="7" t="s">
        <v>231</v>
      </c>
      <c r="BH23" s="7" t="s">
        <v>231</v>
      </c>
      <c r="BI23" s="7"/>
      <c r="BJ23" s="4">
        <v>6</v>
      </c>
      <c r="BK23" s="8">
        <v>371.61</v>
      </c>
      <c r="BL23" s="2" t="s">
        <v>329</v>
      </c>
      <c r="BM23" s="7"/>
      <c r="BN23" s="7"/>
      <c r="BO23" s="4"/>
      <c r="BP23" s="8"/>
      <c r="BQ23" s="4"/>
      <c r="BR23" s="8"/>
      <c r="BS23" s="7"/>
      <c r="BT23" s="7"/>
      <c r="BU23" s="2" t="s">
        <v>330</v>
      </c>
      <c r="BV23" s="2" t="s">
        <v>231</v>
      </c>
      <c r="BW23" s="2" t="s">
        <v>231</v>
      </c>
      <c r="BX23" s="2" t="s">
        <v>231</v>
      </c>
      <c r="BY23" s="2" t="s">
        <v>277</v>
      </c>
      <c r="BZ23" s="2" t="s">
        <v>243</v>
      </c>
      <c r="CA23" s="2" t="s">
        <v>331</v>
      </c>
      <c r="CB23" s="2" t="s">
        <v>332</v>
      </c>
      <c r="CC23" s="2" t="s">
        <v>244</v>
      </c>
      <c r="CD23" s="2" t="s">
        <v>231</v>
      </c>
      <c r="CE23" s="4">
        <v>569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</row>
    <row r="24">
      <c r="A24" s="2" t="s">
        <v>333</v>
      </c>
      <c r="B24" s="2" t="s">
        <v>262</v>
      </c>
      <c r="C24" s="2" t="s">
        <v>263</v>
      </c>
      <c r="D24" s="2" t="s">
        <v>264</v>
      </c>
      <c r="E24" s="2" t="s">
        <v>265</v>
      </c>
      <c r="F24" s="2" t="s">
        <v>316</v>
      </c>
      <c r="G24" s="2" t="s">
        <v>316</v>
      </c>
      <c r="H24" s="2" t="s">
        <v>316</v>
      </c>
      <c r="I24" s="2" t="s">
        <v>317</v>
      </c>
      <c r="J24" s="2" t="s">
        <v>281</v>
      </c>
      <c r="K24" s="2" t="s">
        <v>319</v>
      </c>
      <c r="L24" s="3">
        <v>74.19</v>
      </c>
      <c r="M24" s="3">
        <v>77.9</v>
      </c>
      <c r="N24" s="3">
        <v>139.99</v>
      </c>
      <c r="O24" s="2" t="s">
        <v>243</v>
      </c>
      <c r="P24" s="2" t="s">
        <v>270</v>
      </c>
      <c r="Q24" s="2" t="s">
        <v>237</v>
      </c>
      <c r="R24" s="2" t="s">
        <v>231</v>
      </c>
      <c r="S24" s="2" t="s">
        <v>320</v>
      </c>
      <c r="T24" s="2" t="s">
        <v>272</v>
      </c>
      <c r="U24" s="2" t="s">
        <v>231</v>
      </c>
      <c r="V24" s="2" t="s">
        <v>239</v>
      </c>
      <c r="W24" s="2" t="s">
        <v>273</v>
      </c>
      <c r="X24" s="2" t="s">
        <v>231</v>
      </c>
      <c r="Y24" s="2" t="s">
        <v>274</v>
      </c>
      <c r="Z24" s="4">
        <v>278</v>
      </c>
      <c r="AA24" s="4">
        <f>=ROUNDDOWN(55.6,0)</f>
      </c>
      <c r="AB24" s="5">
        <v>5</v>
      </c>
      <c r="AC24" s="2" t="s">
        <v>231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231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231</v>
      </c>
      <c r="AW24" s="8" t="s">
        <v>231</v>
      </c>
      <c r="AX24" s="4" t="s">
        <v>231</v>
      </c>
      <c r="AY24" s="8" t="s">
        <v>231</v>
      </c>
      <c r="AZ24" s="7" t="s">
        <v>231</v>
      </c>
      <c r="BA24" s="7" t="s">
        <v>231</v>
      </c>
      <c r="BB24" s="7"/>
      <c r="BC24" s="4" t="s">
        <v>231</v>
      </c>
      <c r="BD24" s="8" t="s">
        <v>231</v>
      </c>
      <c r="BE24" s="4" t="s">
        <v>231</v>
      </c>
      <c r="BF24" s="8" t="s">
        <v>231</v>
      </c>
      <c r="BG24" s="7" t="s">
        <v>231</v>
      </c>
      <c r="BH24" s="7" t="s">
        <v>231</v>
      </c>
      <c r="BI24" s="7"/>
      <c r="BJ24" s="4">
        <v>3</v>
      </c>
      <c r="BK24" s="8">
        <v>232.16</v>
      </c>
      <c r="BL24" s="2" t="s">
        <v>334</v>
      </c>
      <c r="BM24" s="7"/>
      <c r="BN24" s="7"/>
      <c r="BO24" s="4"/>
      <c r="BP24" s="8"/>
      <c r="BQ24" s="4"/>
      <c r="BR24" s="8"/>
      <c r="BS24" s="7"/>
      <c r="BT24" s="7"/>
      <c r="BU24" s="2" t="s">
        <v>335</v>
      </c>
      <c r="BV24" s="2" t="s">
        <v>231</v>
      </c>
      <c r="BW24" s="2" t="s">
        <v>231</v>
      </c>
      <c r="BX24" s="2" t="s">
        <v>231</v>
      </c>
      <c r="BY24" s="2" t="s">
        <v>277</v>
      </c>
      <c r="BZ24" s="2" t="s">
        <v>243</v>
      </c>
      <c r="CA24" s="2" t="s">
        <v>284</v>
      </c>
      <c r="CB24" s="2" t="s">
        <v>336</v>
      </c>
      <c r="CC24" s="2" t="s">
        <v>244</v>
      </c>
      <c r="CD24" s="2" t="s">
        <v>231</v>
      </c>
      <c r="CE24" s="4">
        <v>278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</row>
    <row r="25">
      <c r="A25" s="2" t="s">
        <v>337</v>
      </c>
      <c r="B25" s="2" t="s">
        <v>262</v>
      </c>
      <c r="C25" s="2" t="s">
        <v>263</v>
      </c>
      <c r="D25" s="2" t="s">
        <v>264</v>
      </c>
      <c r="E25" s="2" t="s">
        <v>265</v>
      </c>
      <c r="F25" s="2" t="s">
        <v>338</v>
      </c>
      <c r="G25" s="2" t="s">
        <v>339</v>
      </c>
      <c r="H25" s="2" t="s">
        <v>338</v>
      </c>
      <c r="I25" s="2" t="s">
        <v>340</v>
      </c>
      <c r="J25" s="2" t="s">
        <v>268</v>
      </c>
      <c r="K25" s="2" t="s">
        <v>319</v>
      </c>
      <c r="L25" s="3">
        <v>63.59</v>
      </c>
      <c r="M25" s="3">
        <v>66.77</v>
      </c>
      <c r="N25" s="3">
        <v>119.99</v>
      </c>
      <c r="O25" s="2" t="s">
        <v>243</v>
      </c>
      <c r="P25" s="2" t="s">
        <v>341</v>
      </c>
      <c r="Q25" s="2" t="s">
        <v>237</v>
      </c>
      <c r="R25" s="2" t="s">
        <v>231</v>
      </c>
      <c r="S25" s="2" t="s">
        <v>342</v>
      </c>
      <c r="T25" s="2" t="s">
        <v>272</v>
      </c>
      <c r="U25" s="2" t="s">
        <v>231</v>
      </c>
      <c r="V25" s="2" t="s">
        <v>239</v>
      </c>
      <c r="W25" s="2" t="s">
        <v>273</v>
      </c>
      <c r="X25" s="2" t="s">
        <v>231</v>
      </c>
      <c r="Y25" s="2" t="s">
        <v>343</v>
      </c>
      <c r="Z25" s="4">
        <v>361</v>
      </c>
      <c r="AA25" s="4">
        <f>=ROUNDDOWN(180.5,0)</f>
      </c>
      <c r="AB25" s="5">
        <v>2</v>
      </c>
      <c r="AC25" s="2" t="s">
        <v>231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231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231</v>
      </c>
      <c r="AW25" s="8" t="s">
        <v>231</v>
      </c>
      <c r="AX25" s="4" t="s">
        <v>231</v>
      </c>
      <c r="AY25" s="8" t="s">
        <v>231</v>
      </c>
      <c r="AZ25" s="7" t="s">
        <v>231</v>
      </c>
      <c r="BA25" s="7" t="s">
        <v>231</v>
      </c>
      <c r="BB25" s="7"/>
      <c r="BC25" s="4" t="s">
        <v>231</v>
      </c>
      <c r="BD25" s="8" t="s">
        <v>231</v>
      </c>
      <c r="BE25" s="4" t="s">
        <v>231</v>
      </c>
      <c r="BF25" s="8" t="s">
        <v>231</v>
      </c>
      <c r="BG25" s="7" t="s">
        <v>231</v>
      </c>
      <c r="BH25" s="7" t="s">
        <v>231</v>
      </c>
      <c r="BI25" s="7"/>
      <c r="BJ25" s="4">
        <v>13</v>
      </c>
      <c r="BK25" s="8">
        <v>704.43</v>
      </c>
      <c r="BL25" s="2" t="s">
        <v>344</v>
      </c>
      <c r="BM25" s="7"/>
      <c r="BN25" s="7"/>
      <c r="BO25" s="4"/>
      <c r="BP25" s="8"/>
      <c r="BQ25" s="4"/>
      <c r="BR25" s="8"/>
      <c r="BS25" s="7"/>
      <c r="BT25" s="7"/>
      <c r="BU25" s="2" t="s">
        <v>345</v>
      </c>
      <c r="BV25" s="2" t="s">
        <v>231</v>
      </c>
      <c r="BW25" s="2" t="s">
        <v>231</v>
      </c>
      <c r="BX25" s="2" t="s">
        <v>231</v>
      </c>
      <c r="BY25" s="2" t="s">
        <v>277</v>
      </c>
      <c r="BZ25" s="2" t="s">
        <v>243</v>
      </c>
      <c r="CA25" s="2" t="s">
        <v>346</v>
      </c>
      <c r="CB25" s="2" t="s">
        <v>347</v>
      </c>
      <c r="CC25" s="2" t="s">
        <v>244</v>
      </c>
      <c r="CD25" s="2" t="s">
        <v>231</v>
      </c>
      <c r="CE25" s="4">
        <v>361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</row>
    <row r="26">
      <c r="A26" s="2" t="s">
        <v>348</v>
      </c>
      <c r="B26" s="2" t="s">
        <v>262</v>
      </c>
      <c r="C26" s="2" t="s">
        <v>263</v>
      </c>
      <c r="D26" s="2" t="s">
        <v>264</v>
      </c>
      <c r="E26" s="2" t="s">
        <v>265</v>
      </c>
      <c r="F26" s="2" t="s">
        <v>338</v>
      </c>
      <c r="G26" s="2" t="s">
        <v>339</v>
      </c>
      <c r="H26" s="2" t="s">
        <v>338</v>
      </c>
      <c r="I26" s="2" t="s">
        <v>340</v>
      </c>
      <c r="J26" s="2" t="s">
        <v>293</v>
      </c>
      <c r="K26" s="2" t="s">
        <v>319</v>
      </c>
      <c r="L26" s="3">
        <v>90.09</v>
      </c>
      <c r="M26" s="3">
        <v>94.59</v>
      </c>
      <c r="N26" s="3">
        <v>169.99</v>
      </c>
      <c r="O26" s="2" t="s">
        <v>243</v>
      </c>
      <c r="P26" s="2" t="s">
        <v>341</v>
      </c>
      <c r="Q26" s="2" t="s">
        <v>237</v>
      </c>
      <c r="R26" s="2" t="s">
        <v>231</v>
      </c>
      <c r="S26" s="2" t="s">
        <v>342</v>
      </c>
      <c r="T26" s="2" t="s">
        <v>272</v>
      </c>
      <c r="U26" s="2" t="s">
        <v>231</v>
      </c>
      <c r="V26" s="2" t="s">
        <v>239</v>
      </c>
      <c r="W26" s="2" t="s">
        <v>273</v>
      </c>
      <c r="X26" s="2" t="s">
        <v>231</v>
      </c>
      <c r="Y26" s="2" t="s">
        <v>274</v>
      </c>
      <c r="Z26" s="4">
        <v>145</v>
      </c>
      <c r="AA26" s="4">
        <f>=ROUNDDOWN(14.5,0)</f>
      </c>
      <c r="AB26" s="5">
        <v>10</v>
      </c>
      <c r="AC26" s="2" t="s">
        <v>231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231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231</v>
      </c>
      <c r="AW26" s="8" t="s">
        <v>231</v>
      </c>
      <c r="AX26" s="4" t="s">
        <v>231</v>
      </c>
      <c r="AY26" s="8" t="s">
        <v>231</v>
      </c>
      <c r="AZ26" s="7" t="s">
        <v>231</v>
      </c>
      <c r="BA26" s="7" t="s">
        <v>231</v>
      </c>
      <c r="BB26" s="7"/>
      <c r="BC26" s="4" t="s">
        <v>231</v>
      </c>
      <c r="BD26" s="8" t="s">
        <v>231</v>
      </c>
      <c r="BE26" s="4" t="s">
        <v>231</v>
      </c>
      <c r="BF26" s="8" t="s">
        <v>231</v>
      </c>
      <c r="BG26" s="7" t="s">
        <v>231</v>
      </c>
      <c r="BH26" s="7" t="s">
        <v>231</v>
      </c>
      <c r="BI26" s="7"/>
      <c r="BJ26" s="4">
        <v>16</v>
      </c>
      <c r="BK26" s="8">
        <v>1355.76</v>
      </c>
      <c r="BL26" s="2" t="s">
        <v>349</v>
      </c>
      <c r="BM26" s="7"/>
      <c r="BN26" s="7"/>
      <c r="BO26" s="4"/>
      <c r="BP26" s="8"/>
      <c r="BQ26" s="4"/>
      <c r="BR26" s="8"/>
      <c r="BS26" s="7"/>
      <c r="BT26" s="7"/>
      <c r="BU26" s="2" t="s">
        <v>350</v>
      </c>
      <c r="BV26" s="2" t="s">
        <v>231</v>
      </c>
      <c r="BW26" s="2" t="s">
        <v>231</v>
      </c>
      <c r="BX26" s="2" t="s">
        <v>231</v>
      </c>
      <c r="BY26" s="2" t="s">
        <v>277</v>
      </c>
      <c r="BZ26" s="2" t="s">
        <v>243</v>
      </c>
      <c r="CA26" s="2" t="s">
        <v>346</v>
      </c>
      <c r="CB26" s="2" t="s">
        <v>351</v>
      </c>
      <c r="CC26" s="2" t="s">
        <v>244</v>
      </c>
      <c r="CD26" s="2" t="s">
        <v>231</v>
      </c>
      <c r="CE26" s="4">
        <v>145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</row>
    <row r="27">
      <c r="A27" s="2" t="s">
        <v>352</v>
      </c>
      <c r="B27" s="2" t="s">
        <v>262</v>
      </c>
      <c r="C27" s="2" t="s">
        <v>263</v>
      </c>
      <c r="D27" s="2" t="s">
        <v>264</v>
      </c>
      <c r="E27" s="2" t="s">
        <v>265</v>
      </c>
      <c r="F27" s="2" t="s">
        <v>338</v>
      </c>
      <c r="G27" s="2" t="s">
        <v>339</v>
      </c>
      <c r="H27" s="2" t="s">
        <v>338</v>
      </c>
      <c r="I27" s="2" t="s">
        <v>340</v>
      </c>
      <c r="J27" s="2" t="s">
        <v>302</v>
      </c>
      <c r="K27" s="2" t="s">
        <v>319</v>
      </c>
      <c r="L27" s="3">
        <v>111.29</v>
      </c>
      <c r="M27" s="3">
        <v>116.85</v>
      </c>
      <c r="N27" s="3">
        <v>209.99</v>
      </c>
      <c r="O27" s="2" t="s">
        <v>243</v>
      </c>
      <c r="P27" s="2" t="s">
        <v>341</v>
      </c>
      <c r="Q27" s="2" t="s">
        <v>237</v>
      </c>
      <c r="R27" s="2" t="s">
        <v>231</v>
      </c>
      <c r="S27" s="2" t="s">
        <v>342</v>
      </c>
      <c r="T27" s="2" t="s">
        <v>272</v>
      </c>
      <c r="U27" s="2" t="s">
        <v>231</v>
      </c>
      <c r="V27" s="2" t="s">
        <v>239</v>
      </c>
      <c r="W27" s="2" t="s">
        <v>273</v>
      </c>
      <c r="X27" s="2" t="s">
        <v>231</v>
      </c>
      <c r="Y27" s="2" t="s">
        <v>274</v>
      </c>
      <c r="Z27" s="4">
        <v>74</v>
      </c>
      <c r="AA27" s="4">
        <f>=ROUNDDOWN(37,0)</f>
      </c>
      <c r="AB27" s="5">
        <v>2</v>
      </c>
      <c r="AC27" s="2" t="s">
        <v>231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231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231</v>
      </c>
      <c r="AW27" s="8" t="s">
        <v>231</v>
      </c>
      <c r="AX27" s="4" t="s">
        <v>231</v>
      </c>
      <c r="AY27" s="8" t="s">
        <v>231</v>
      </c>
      <c r="AZ27" s="7" t="s">
        <v>231</v>
      </c>
      <c r="BA27" s="7" t="s">
        <v>231</v>
      </c>
      <c r="BB27" s="7"/>
      <c r="BC27" s="4" t="s">
        <v>231</v>
      </c>
      <c r="BD27" s="8" t="s">
        <v>231</v>
      </c>
      <c r="BE27" s="4" t="s">
        <v>231</v>
      </c>
      <c r="BF27" s="8" t="s">
        <v>231</v>
      </c>
      <c r="BG27" s="7" t="s">
        <v>231</v>
      </c>
      <c r="BH27" s="7" t="s">
        <v>231</v>
      </c>
      <c r="BI27" s="7"/>
      <c r="BJ27" s="4">
        <v>13</v>
      </c>
      <c r="BK27" s="8">
        <v>1229.56</v>
      </c>
      <c r="BL27" s="2" t="s">
        <v>353</v>
      </c>
      <c r="BM27" s="7"/>
      <c r="BN27" s="7"/>
      <c r="BO27" s="4"/>
      <c r="BP27" s="8"/>
      <c r="BQ27" s="4"/>
      <c r="BR27" s="8"/>
      <c r="BS27" s="7"/>
      <c r="BT27" s="7"/>
      <c r="BU27" s="2" t="s">
        <v>354</v>
      </c>
      <c r="BV27" s="2" t="s">
        <v>231</v>
      </c>
      <c r="BW27" s="2" t="s">
        <v>231</v>
      </c>
      <c r="BX27" s="2" t="s">
        <v>231</v>
      </c>
      <c r="BY27" s="2" t="s">
        <v>277</v>
      </c>
      <c r="BZ27" s="2" t="s">
        <v>243</v>
      </c>
      <c r="CA27" s="2" t="s">
        <v>346</v>
      </c>
      <c r="CB27" s="2" t="s">
        <v>355</v>
      </c>
      <c r="CC27" s="2" t="s">
        <v>244</v>
      </c>
      <c r="CD27" s="2" t="s">
        <v>231</v>
      </c>
      <c r="CE27" s="4">
        <v>74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</row>
    <row r="28">
      <c r="A28" s="2" t="s">
        <v>356</v>
      </c>
      <c r="B28" s="2" t="s">
        <v>287</v>
      </c>
      <c r="C28" s="2" t="s">
        <v>357</v>
      </c>
      <c r="D28" s="2" t="s">
        <v>289</v>
      </c>
      <c r="E28" s="2" t="s">
        <v>290</v>
      </c>
      <c r="F28" s="2" t="s">
        <v>358</v>
      </c>
      <c r="G28" s="2" t="s">
        <v>358</v>
      </c>
      <c r="H28" s="2" t="s">
        <v>358</v>
      </c>
      <c r="I28" s="2" t="s">
        <v>359</v>
      </c>
      <c r="J28" s="2" t="s">
        <v>281</v>
      </c>
      <c r="K28" s="2" t="s">
        <v>360</v>
      </c>
      <c r="L28" s="3">
        <v>23.75</v>
      </c>
      <c r="M28" s="3">
        <v>24.94</v>
      </c>
      <c r="N28" s="3">
        <v>49.99</v>
      </c>
      <c r="O28" s="2" t="s">
        <v>243</v>
      </c>
      <c r="P28" s="2" t="s">
        <v>236</v>
      </c>
      <c r="Q28" s="2" t="s">
        <v>237</v>
      </c>
      <c r="R28" s="2" t="s">
        <v>231</v>
      </c>
      <c r="S28" s="2" t="s">
        <v>361</v>
      </c>
      <c r="T28" s="2" t="s">
        <v>362</v>
      </c>
      <c r="U28" s="2" t="s">
        <v>298</v>
      </c>
      <c r="V28" s="2" t="s">
        <v>363</v>
      </c>
      <c r="W28" s="2" t="s">
        <v>363</v>
      </c>
      <c r="X28" s="2" t="s">
        <v>273</v>
      </c>
      <c r="Y28" s="2" t="s">
        <v>364</v>
      </c>
      <c r="Z28" s="4">
        <v>126</v>
      </c>
      <c r="AA28" s="4">
        <f>=ROUNDDOWN(420,0)</f>
      </c>
      <c r="AB28" s="5">
        <v>0.3</v>
      </c>
      <c r="AC28" s="2" t="s">
        <v>231</v>
      </c>
      <c r="AD28" s="4"/>
      <c r="AE28" s="4"/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231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231</v>
      </c>
      <c r="AW28" s="8" t="s">
        <v>231</v>
      </c>
      <c r="AX28" s="4" t="s">
        <v>231</v>
      </c>
      <c r="AY28" s="8" t="s">
        <v>231</v>
      </c>
      <c r="AZ28" s="7" t="s">
        <v>231</v>
      </c>
      <c r="BA28" s="7" t="s">
        <v>231</v>
      </c>
      <c r="BB28" s="7"/>
      <c r="BC28" s="4" t="s">
        <v>231</v>
      </c>
      <c r="BD28" s="8" t="s">
        <v>231</v>
      </c>
      <c r="BE28" s="4" t="s">
        <v>231</v>
      </c>
      <c r="BF28" s="8" t="s">
        <v>231</v>
      </c>
      <c r="BG28" s="7" t="s">
        <v>231</v>
      </c>
      <c r="BH28" s="7" t="s">
        <v>231</v>
      </c>
      <c r="BI28" s="7"/>
      <c r="BJ28" s="4">
        <v>3</v>
      </c>
      <c r="BK28" s="8">
        <v>79.18</v>
      </c>
      <c r="BL28" s="2" t="s">
        <v>365</v>
      </c>
      <c r="BM28" s="7"/>
      <c r="BN28" s="7"/>
      <c r="BO28" s="4"/>
      <c r="BP28" s="8"/>
      <c r="BQ28" s="4"/>
      <c r="BR28" s="8"/>
      <c r="BS28" s="7"/>
      <c r="BT28" s="7"/>
      <c r="BU28" s="2" t="s">
        <v>366</v>
      </c>
      <c r="BV28" s="2" t="s">
        <v>231</v>
      </c>
      <c r="BW28" s="2" t="s">
        <v>231</v>
      </c>
      <c r="BX28" s="2" t="s">
        <v>241</v>
      </c>
      <c r="BY28" s="2" t="s">
        <v>277</v>
      </c>
      <c r="BZ28" s="2" t="s">
        <v>243</v>
      </c>
      <c r="CA28" s="2" t="s">
        <v>367</v>
      </c>
      <c r="CB28" s="2" t="s">
        <v>231</v>
      </c>
      <c r="CC28" s="2" t="s">
        <v>244</v>
      </c>
      <c r="CD28" s="2" t="s">
        <v>231</v>
      </c>
      <c r="CE28" s="4">
        <v>126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</row>
    <row r="29">
      <c r="A29" s="2" t="s">
        <v>368</v>
      </c>
      <c r="B29" s="2" t="s">
        <v>287</v>
      </c>
      <c r="C29" s="2" t="s">
        <v>357</v>
      </c>
      <c r="D29" s="2" t="s">
        <v>289</v>
      </c>
      <c r="E29" s="2" t="s">
        <v>290</v>
      </c>
      <c r="F29" s="2" t="s">
        <v>358</v>
      </c>
      <c r="G29" s="2" t="s">
        <v>358</v>
      </c>
      <c r="H29" s="2" t="s">
        <v>358</v>
      </c>
      <c r="I29" s="2" t="s">
        <v>359</v>
      </c>
      <c r="J29" s="2" t="s">
        <v>293</v>
      </c>
      <c r="K29" s="2" t="s">
        <v>360</v>
      </c>
      <c r="L29" s="3">
        <v>25</v>
      </c>
      <c r="M29" s="3">
        <v>26.25</v>
      </c>
      <c r="N29" s="3">
        <v>54.99</v>
      </c>
      <c r="O29" s="2" t="s">
        <v>243</v>
      </c>
      <c r="P29" s="2" t="s">
        <v>236</v>
      </c>
      <c r="Q29" s="2" t="s">
        <v>237</v>
      </c>
      <c r="R29" s="2" t="s">
        <v>231</v>
      </c>
      <c r="S29" s="2" t="s">
        <v>361</v>
      </c>
      <c r="T29" s="2" t="s">
        <v>362</v>
      </c>
      <c r="U29" s="2" t="s">
        <v>298</v>
      </c>
      <c r="V29" s="2" t="s">
        <v>363</v>
      </c>
      <c r="W29" s="2" t="s">
        <v>363</v>
      </c>
      <c r="X29" s="2" t="s">
        <v>273</v>
      </c>
      <c r="Y29" s="2" t="s">
        <v>364</v>
      </c>
      <c r="Z29" s="4">
        <v>284</v>
      </c>
      <c r="AA29" s="4">
        <f>=ROUNDDOWN(76.7567567567568,0)</f>
      </c>
      <c r="AB29" s="5">
        <v>3.7</v>
      </c>
      <c r="AC29" s="2" t="s">
        <v>231</v>
      </c>
      <c r="AD29" s="4"/>
      <c r="AE29" s="4"/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231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231</v>
      </c>
      <c r="AW29" s="8" t="s">
        <v>231</v>
      </c>
      <c r="AX29" s="4" t="s">
        <v>231</v>
      </c>
      <c r="AY29" s="8" t="s">
        <v>231</v>
      </c>
      <c r="AZ29" s="7" t="s">
        <v>231</v>
      </c>
      <c r="BA29" s="7" t="s">
        <v>231</v>
      </c>
      <c r="BB29" s="7"/>
      <c r="BC29" s="4" t="s">
        <v>231</v>
      </c>
      <c r="BD29" s="8" t="s">
        <v>231</v>
      </c>
      <c r="BE29" s="4" t="s">
        <v>231</v>
      </c>
      <c r="BF29" s="8" t="s">
        <v>231</v>
      </c>
      <c r="BG29" s="7" t="s">
        <v>231</v>
      </c>
      <c r="BH29" s="7" t="s">
        <v>231</v>
      </c>
      <c r="BI29" s="7"/>
      <c r="BJ29" s="4">
        <v>6</v>
      </c>
      <c r="BK29" s="8">
        <v>168.53</v>
      </c>
      <c r="BL29" s="2" t="s">
        <v>369</v>
      </c>
      <c r="BM29" s="7"/>
      <c r="BN29" s="7"/>
      <c r="BO29" s="4"/>
      <c r="BP29" s="8"/>
      <c r="BQ29" s="4"/>
      <c r="BR29" s="8"/>
      <c r="BS29" s="7"/>
      <c r="BT29" s="7"/>
      <c r="BU29" s="2" t="s">
        <v>370</v>
      </c>
      <c r="BV29" s="2" t="s">
        <v>231</v>
      </c>
      <c r="BW29" s="2" t="s">
        <v>231</v>
      </c>
      <c r="BX29" s="2" t="s">
        <v>241</v>
      </c>
      <c r="BY29" s="2" t="s">
        <v>277</v>
      </c>
      <c r="BZ29" s="2" t="s">
        <v>243</v>
      </c>
      <c r="CA29" s="2" t="s">
        <v>367</v>
      </c>
      <c r="CB29" s="2" t="s">
        <v>231</v>
      </c>
      <c r="CC29" s="2" t="s">
        <v>244</v>
      </c>
      <c r="CD29" s="2" t="s">
        <v>231</v>
      </c>
      <c r="CE29" s="4">
        <v>284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</row>
    <row r="30">
      <c r="A30" s="2" t="s">
        <v>371</v>
      </c>
      <c r="B30" s="2" t="s">
        <v>287</v>
      </c>
      <c r="C30" s="2" t="s">
        <v>357</v>
      </c>
      <c r="D30" s="2" t="s">
        <v>289</v>
      </c>
      <c r="E30" s="2" t="s">
        <v>290</v>
      </c>
      <c r="F30" s="2" t="s">
        <v>358</v>
      </c>
      <c r="G30" s="2" t="s">
        <v>358</v>
      </c>
      <c r="H30" s="2" t="s">
        <v>358</v>
      </c>
      <c r="I30" s="2" t="s">
        <v>359</v>
      </c>
      <c r="J30" s="2" t="s">
        <v>281</v>
      </c>
      <c r="K30" s="2" t="s">
        <v>372</v>
      </c>
      <c r="L30" s="3">
        <v>23.75</v>
      </c>
      <c r="M30" s="3">
        <v>24.94</v>
      </c>
      <c r="N30" s="3">
        <v>49.99</v>
      </c>
      <c r="O30" s="2" t="s">
        <v>243</v>
      </c>
      <c r="P30" s="2" t="s">
        <v>236</v>
      </c>
      <c r="Q30" s="2" t="s">
        <v>237</v>
      </c>
      <c r="R30" s="2" t="s">
        <v>231</v>
      </c>
      <c r="S30" s="2" t="s">
        <v>373</v>
      </c>
      <c r="T30" s="2" t="s">
        <v>362</v>
      </c>
      <c r="U30" s="2" t="s">
        <v>298</v>
      </c>
      <c r="V30" s="2" t="s">
        <v>363</v>
      </c>
      <c r="W30" s="2" t="s">
        <v>363</v>
      </c>
      <c r="X30" s="2" t="s">
        <v>273</v>
      </c>
      <c r="Y30" s="2" t="s">
        <v>364</v>
      </c>
      <c r="Z30" s="4">
        <v>129</v>
      </c>
      <c r="AA30" s="4">
        <f>=ROUNDDOWN(645,0)</f>
      </c>
      <c r="AB30" s="5">
        <v>0.2</v>
      </c>
      <c r="AC30" s="2" t="s">
        <v>231</v>
      </c>
      <c r="AD30" s="4"/>
      <c r="AE30" s="4"/>
      <c r="AF30" s="6">
        <v>70</v>
      </c>
      <c r="AG30" s="6"/>
      <c r="AH30" s="7">
        <v>1</v>
      </c>
      <c r="AI30" s="4"/>
      <c r="AJ30" s="4">
        <f>=ROUNDDOWN({0},0)</f>
      </c>
      <c r="AK30" s="5"/>
      <c r="AL30" s="2" t="s">
        <v>231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231</v>
      </c>
      <c r="AW30" s="8" t="s">
        <v>231</v>
      </c>
      <c r="AX30" s="4" t="s">
        <v>231</v>
      </c>
      <c r="AY30" s="8" t="s">
        <v>231</v>
      </c>
      <c r="AZ30" s="7" t="s">
        <v>231</v>
      </c>
      <c r="BA30" s="7" t="s">
        <v>231</v>
      </c>
      <c r="BB30" s="7"/>
      <c r="BC30" s="4" t="s">
        <v>231</v>
      </c>
      <c r="BD30" s="8" t="s">
        <v>231</v>
      </c>
      <c r="BE30" s="4" t="s">
        <v>231</v>
      </c>
      <c r="BF30" s="8" t="s">
        <v>231</v>
      </c>
      <c r="BG30" s="7" t="s">
        <v>231</v>
      </c>
      <c r="BH30" s="7" t="s">
        <v>231</v>
      </c>
      <c r="BI30" s="7"/>
      <c r="BJ30" s="4">
        <v>2</v>
      </c>
      <c r="BK30" s="8">
        <v>54.24</v>
      </c>
      <c r="BL30" s="2" t="s">
        <v>374</v>
      </c>
      <c r="BM30" s="7"/>
      <c r="BN30" s="7"/>
      <c r="BO30" s="4"/>
      <c r="BP30" s="8"/>
      <c r="BQ30" s="4"/>
      <c r="BR30" s="8"/>
      <c r="BS30" s="7"/>
      <c r="BT30" s="7"/>
      <c r="BU30" s="2" t="s">
        <v>375</v>
      </c>
      <c r="BV30" s="2" t="s">
        <v>231</v>
      </c>
      <c r="BW30" s="2" t="s">
        <v>231</v>
      </c>
      <c r="BX30" s="2" t="s">
        <v>241</v>
      </c>
      <c r="BY30" s="2" t="s">
        <v>277</v>
      </c>
      <c r="BZ30" s="2" t="s">
        <v>243</v>
      </c>
      <c r="CA30" s="2" t="s">
        <v>367</v>
      </c>
      <c r="CB30" s="2" t="s">
        <v>231</v>
      </c>
      <c r="CC30" s="2" t="s">
        <v>244</v>
      </c>
      <c r="CD30" s="2" t="s">
        <v>231</v>
      </c>
      <c r="CE30" s="4">
        <v>129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</row>
    <row r="31">
      <c r="A31" s="2" t="s">
        <v>376</v>
      </c>
      <c r="B31" s="2" t="s">
        <v>287</v>
      </c>
      <c r="C31" s="2" t="s">
        <v>357</v>
      </c>
      <c r="D31" s="2" t="s">
        <v>289</v>
      </c>
      <c r="E31" s="2" t="s">
        <v>290</v>
      </c>
      <c r="F31" s="2" t="s">
        <v>358</v>
      </c>
      <c r="G31" s="2" t="s">
        <v>358</v>
      </c>
      <c r="H31" s="2" t="s">
        <v>358</v>
      </c>
      <c r="I31" s="2" t="s">
        <v>359</v>
      </c>
      <c r="J31" s="2" t="s">
        <v>293</v>
      </c>
      <c r="K31" s="2" t="s">
        <v>372</v>
      </c>
      <c r="L31" s="3">
        <v>25</v>
      </c>
      <c r="M31" s="3">
        <v>26.25</v>
      </c>
      <c r="N31" s="3">
        <v>54.99</v>
      </c>
      <c r="O31" s="2" t="s">
        <v>243</v>
      </c>
      <c r="P31" s="2" t="s">
        <v>236</v>
      </c>
      <c r="Q31" s="2" t="s">
        <v>237</v>
      </c>
      <c r="R31" s="2" t="s">
        <v>231</v>
      </c>
      <c r="S31" s="2" t="s">
        <v>373</v>
      </c>
      <c r="T31" s="2" t="s">
        <v>362</v>
      </c>
      <c r="U31" s="2" t="s">
        <v>298</v>
      </c>
      <c r="V31" s="2" t="s">
        <v>363</v>
      </c>
      <c r="W31" s="2" t="s">
        <v>363</v>
      </c>
      <c r="X31" s="2" t="s">
        <v>273</v>
      </c>
      <c r="Y31" s="2" t="s">
        <v>364</v>
      </c>
      <c r="Z31" s="4">
        <v>287</v>
      </c>
      <c r="AA31" s="4">
        <f>=ROUNDDOWN(287,0)</f>
      </c>
      <c r="AB31" s="5">
        <v>1</v>
      </c>
      <c r="AC31" s="2" t="s">
        <v>231</v>
      </c>
      <c r="AD31" s="4"/>
      <c r="AE31" s="4"/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231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231</v>
      </c>
      <c r="AW31" s="8" t="s">
        <v>231</v>
      </c>
      <c r="AX31" s="4" t="s">
        <v>231</v>
      </c>
      <c r="AY31" s="8" t="s">
        <v>231</v>
      </c>
      <c r="AZ31" s="7" t="s">
        <v>231</v>
      </c>
      <c r="BA31" s="7" t="s">
        <v>231</v>
      </c>
      <c r="BB31" s="7"/>
      <c r="BC31" s="4" t="s">
        <v>231</v>
      </c>
      <c r="BD31" s="8" t="s">
        <v>231</v>
      </c>
      <c r="BE31" s="4" t="s">
        <v>231</v>
      </c>
      <c r="BF31" s="8" t="s">
        <v>231</v>
      </c>
      <c r="BG31" s="7" t="s">
        <v>231</v>
      </c>
      <c r="BH31" s="7" t="s">
        <v>231</v>
      </c>
      <c r="BI31" s="7"/>
      <c r="BJ31" s="4"/>
      <c r="BK31" s="8"/>
      <c r="BL31" s="2" t="s">
        <v>231</v>
      </c>
      <c r="BM31" s="7"/>
      <c r="BN31" s="7"/>
      <c r="BO31" s="4"/>
      <c r="BP31" s="8"/>
      <c r="BQ31" s="4"/>
      <c r="BR31" s="8"/>
      <c r="BS31" s="7"/>
      <c r="BT31" s="7"/>
      <c r="BU31" s="2" t="s">
        <v>377</v>
      </c>
      <c r="BV31" s="2" t="s">
        <v>231</v>
      </c>
      <c r="BW31" s="2" t="s">
        <v>231</v>
      </c>
      <c r="BX31" s="2" t="s">
        <v>241</v>
      </c>
      <c r="BY31" s="2" t="s">
        <v>277</v>
      </c>
      <c r="BZ31" s="2" t="s">
        <v>243</v>
      </c>
      <c r="CA31" s="2" t="s">
        <v>367</v>
      </c>
      <c r="CB31" s="2" t="s">
        <v>231</v>
      </c>
      <c r="CC31" s="2" t="s">
        <v>244</v>
      </c>
      <c r="CD31" s="2" t="s">
        <v>231</v>
      </c>
      <c r="CE31" s="4">
        <v>287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</row>
    <row r="32">
      <c r="A32" s="2" t="s">
        <v>378</v>
      </c>
      <c r="B32" s="2" t="s">
        <v>287</v>
      </c>
      <c r="C32" s="2" t="s">
        <v>357</v>
      </c>
      <c r="D32" s="2" t="s">
        <v>289</v>
      </c>
      <c r="E32" s="2" t="s">
        <v>290</v>
      </c>
      <c r="F32" s="2" t="s">
        <v>358</v>
      </c>
      <c r="G32" s="2" t="s">
        <v>358</v>
      </c>
      <c r="H32" s="2" t="s">
        <v>358</v>
      </c>
      <c r="I32" s="2" t="s">
        <v>359</v>
      </c>
      <c r="J32" s="2" t="s">
        <v>302</v>
      </c>
      <c r="K32" s="2" t="s">
        <v>379</v>
      </c>
      <c r="L32" s="3">
        <v>28.5</v>
      </c>
      <c r="M32" s="3">
        <v>29.93</v>
      </c>
      <c r="N32" s="3">
        <v>59.99</v>
      </c>
      <c r="O32" s="2" t="s">
        <v>243</v>
      </c>
      <c r="P32" s="2" t="s">
        <v>270</v>
      </c>
      <c r="Q32" s="2" t="s">
        <v>237</v>
      </c>
      <c r="R32" s="2" t="s">
        <v>231</v>
      </c>
      <c r="S32" s="2" t="s">
        <v>380</v>
      </c>
      <c r="T32" s="2" t="s">
        <v>362</v>
      </c>
      <c r="U32" s="2" t="s">
        <v>298</v>
      </c>
      <c r="V32" s="2" t="s">
        <v>381</v>
      </c>
      <c r="W32" s="2" t="s">
        <v>273</v>
      </c>
      <c r="X32" s="2" t="s">
        <v>231</v>
      </c>
      <c r="Y32" s="2" t="s">
        <v>382</v>
      </c>
      <c r="Z32" s="4">
        <v>121</v>
      </c>
      <c r="AA32" s="4">
        <f>=ROUNDDOWN(30.25,0)</f>
      </c>
      <c r="AB32" s="5">
        <v>4</v>
      </c>
      <c r="AC32" s="2" t="s">
        <v>383</v>
      </c>
      <c r="AD32" s="4">
        <v>60</v>
      </c>
      <c r="AE32" s="4">
        <v>60</v>
      </c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231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/>
      <c r="AW32" s="8"/>
      <c r="AX32" s="4"/>
      <c r="AY32" s="8"/>
      <c r="AZ32" s="7"/>
      <c r="BA32" s="7"/>
      <c r="BB32" s="7"/>
      <c r="BC32" s="4" t="s">
        <v>231</v>
      </c>
      <c r="BD32" s="8" t="s">
        <v>231</v>
      </c>
      <c r="BE32" s="4" t="s">
        <v>231</v>
      </c>
      <c r="BF32" s="8" t="s">
        <v>231</v>
      </c>
      <c r="BG32" s="7" t="s">
        <v>231</v>
      </c>
      <c r="BH32" s="7" t="s">
        <v>231</v>
      </c>
      <c r="BI32" s="7"/>
      <c r="BJ32" s="4">
        <v>17</v>
      </c>
      <c r="BK32" s="8">
        <v>549.84</v>
      </c>
      <c r="BL32" s="2" t="s">
        <v>384</v>
      </c>
      <c r="BM32" s="7"/>
      <c r="BN32" s="7"/>
      <c r="BO32" s="4"/>
      <c r="BP32" s="8"/>
      <c r="BQ32" s="4"/>
      <c r="BR32" s="8"/>
      <c r="BS32" s="7"/>
      <c r="BT32" s="7"/>
      <c r="BU32" s="2" t="s">
        <v>385</v>
      </c>
      <c r="BV32" s="2" t="s">
        <v>231</v>
      </c>
      <c r="BW32" s="2" t="s">
        <v>231</v>
      </c>
      <c r="BX32" s="2" t="s">
        <v>231</v>
      </c>
      <c r="BY32" s="2" t="s">
        <v>277</v>
      </c>
      <c r="BZ32" s="2" t="s">
        <v>243</v>
      </c>
      <c r="CA32" s="2" t="s">
        <v>386</v>
      </c>
      <c r="CB32" s="2" t="s">
        <v>387</v>
      </c>
      <c r="CC32" s="2" t="s">
        <v>244</v>
      </c>
      <c r="CD32" s="2" t="s">
        <v>231</v>
      </c>
      <c r="CE32" s="4">
        <v>121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>
        <v>60</v>
      </c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</row>
    <row r="33">
      <c r="A33" s="2" t="s">
        <v>388</v>
      </c>
      <c r="B33" s="2" t="s">
        <v>287</v>
      </c>
      <c r="C33" s="2" t="s">
        <v>357</v>
      </c>
      <c r="D33" s="2" t="s">
        <v>289</v>
      </c>
      <c r="E33" s="2" t="s">
        <v>290</v>
      </c>
      <c r="F33" s="2" t="s">
        <v>358</v>
      </c>
      <c r="G33" s="2" t="s">
        <v>358</v>
      </c>
      <c r="H33" s="2" t="s">
        <v>358</v>
      </c>
      <c r="I33" s="2" t="s">
        <v>359</v>
      </c>
      <c r="J33" s="2" t="s">
        <v>281</v>
      </c>
      <c r="K33" s="2" t="s">
        <v>389</v>
      </c>
      <c r="L33" s="3">
        <v>23.75</v>
      </c>
      <c r="M33" s="3">
        <v>24.94</v>
      </c>
      <c r="N33" s="3">
        <v>49.99</v>
      </c>
      <c r="O33" s="2" t="s">
        <v>243</v>
      </c>
      <c r="P33" s="2" t="s">
        <v>270</v>
      </c>
      <c r="Q33" s="2" t="s">
        <v>237</v>
      </c>
      <c r="R33" s="2" t="s">
        <v>231</v>
      </c>
      <c r="S33" s="2" t="s">
        <v>390</v>
      </c>
      <c r="T33" s="2" t="s">
        <v>362</v>
      </c>
      <c r="U33" s="2" t="s">
        <v>298</v>
      </c>
      <c r="V33" s="2" t="s">
        <v>391</v>
      </c>
      <c r="W33" s="2" t="s">
        <v>273</v>
      </c>
      <c r="X33" s="2" t="s">
        <v>231</v>
      </c>
      <c r="Y33" s="2" t="s">
        <v>382</v>
      </c>
      <c r="Z33" s="4">
        <v>12</v>
      </c>
      <c r="AA33" s="4">
        <f>=ROUNDDOWN(2.4,0)</f>
      </c>
      <c r="AB33" s="5">
        <v>5</v>
      </c>
      <c r="AC33" s="2" t="s">
        <v>392</v>
      </c>
      <c r="AD33" s="4">
        <v>113</v>
      </c>
      <c r="AE33" s="4">
        <v>113</v>
      </c>
      <c r="AF33" s="6">
        <v>70</v>
      </c>
      <c r="AG33" s="6"/>
      <c r="AH33" s="7">
        <v>0.9677</v>
      </c>
      <c r="AI33" s="4"/>
      <c r="AJ33" s="4">
        <f>=ROUNDDOWN({0},0)</f>
      </c>
      <c r="AK33" s="5"/>
      <c r="AL33" s="2" t="s">
        <v>231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 t="s">
        <v>231</v>
      </c>
      <c r="BD33" s="8" t="s">
        <v>231</v>
      </c>
      <c r="BE33" s="4" t="s">
        <v>231</v>
      </c>
      <c r="BF33" s="8" t="s">
        <v>231</v>
      </c>
      <c r="BG33" s="7" t="s">
        <v>231</v>
      </c>
      <c r="BH33" s="7" t="s">
        <v>231</v>
      </c>
      <c r="BI33" s="7"/>
      <c r="BJ33" s="4">
        <v>17</v>
      </c>
      <c r="BK33" s="8">
        <v>445.81</v>
      </c>
      <c r="BL33" s="2" t="s">
        <v>393</v>
      </c>
      <c r="BM33" s="7"/>
      <c r="BN33" s="7"/>
      <c r="BO33" s="4"/>
      <c r="BP33" s="8"/>
      <c r="BQ33" s="4"/>
      <c r="BR33" s="8"/>
      <c r="BS33" s="7"/>
      <c r="BT33" s="7"/>
      <c r="BU33" s="2" t="s">
        <v>394</v>
      </c>
      <c r="BV33" s="2" t="s">
        <v>231</v>
      </c>
      <c r="BW33" s="2" t="s">
        <v>231</v>
      </c>
      <c r="BX33" s="2" t="s">
        <v>231</v>
      </c>
      <c r="BY33" s="2" t="s">
        <v>277</v>
      </c>
      <c r="BZ33" s="2" t="s">
        <v>243</v>
      </c>
      <c r="CA33" s="2" t="s">
        <v>386</v>
      </c>
      <c r="CB33" s="2" t="s">
        <v>395</v>
      </c>
      <c r="CC33" s="2" t="s">
        <v>244</v>
      </c>
      <c r="CD33" s="2" t="s">
        <v>231</v>
      </c>
      <c r="CE33" s="4">
        <v>12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>
        <v>113</v>
      </c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</row>
    <row r="34">
      <c r="A34" s="2" t="s">
        <v>396</v>
      </c>
      <c r="B34" s="2" t="s">
        <v>287</v>
      </c>
      <c r="C34" s="2" t="s">
        <v>357</v>
      </c>
      <c r="D34" s="2" t="s">
        <v>289</v>
      </c>
      <c r="E34" s="2" t="s">
        <v>290</v>
      </c>
      <c r="F34" s="2" t="s">
        <v>358</v>
      </c>
      <c r="G34" s="2" t="s">
        <v>358</v>
      </c>
      <c r="H34" s="2" t="s">
        <v>358</v>
      </c>
      <c r="I34" s="2" t="s">
        <v>359</v>
      </c>
      <c r="J34" s="2" t="s">
        <v>281</v>
      </c>
      <c r="K34" s="2" t="s">
        <v>397</v>
      </c>
      <c r="L34" s="3">
        <v>23.75</v>
      </c>
      <c r="M34" s="3">
        <v>24.94</v>
      </c>
      <c r="N34" s="3">
        <v>49.99</v>
      </c>
      <c r="O34" s="2" t="s">
        <v>243</v>
      </c>
      <c r="P34" s="2" t="s">
        <v>270</v>
      </c>
      <c r="Q34" s="2" t="s">
        <v>237</v>
      </c>
      <c r="R34" s="2" t="s">
        <v>231</v>
      </c>
      <c r="S34" s="2" t="s">
        <v>398</v>
      </c>
      <c r="T34" s="2" t="s">
        <v>362</v>
      </c>
      <c r="U34" s="2" t="s">
        <v>298</v>
      </c>
      <c r="V34" s="2" t="s">
        <v>381</v>
      </c>
      <c r="W34" s="2" t="s">
        <v>273</v>
      </c>
      <c r="X34" s="2" t="s">
        <v>231</v>
      </c>
      <c r="Y34" s="2" t="s">
        <v>382</v>
      </c>
      <c r="Z34" s="4">
        <v>47</v>
      </c>
      <c r="AA34" s="4">
        <f>=ROUNDDOWN(23.5,0)</f>
      </c>
      <c r="AB34" s="5">
        <v>2</v>
      </c>
      <c r="AC34" s="2" t="s">
        <v>392</v>
      </c>
      <c r="AD34" s="4">
        <v>61</v>
      </c>
      <c r="AE34" s="4">
        <v>61</v>
      </c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231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231</v>
      </c>
      <c r="AW34" s="8" t="s">
        <v>231</v>
      </c>
      <c r="AX34" s="4" t="s">
        <v>231</v>
      </c>
      <c r="AY34" s="8" t="s">
        <v>231</v>
      </c>
      <c r="AZ34" s="7" t="s">
        <v>231</v>
      </c>
      <c r="BA34" s="7" t="s">
        <v>231</v>
      </c>
      <c r="BB34" s="7"/>
      <c r="BC34" s="4" t="s">
        <v>231</v>
      </c>
      <c r="BD34" s="8" t="s">
        <v>231</v>
      </c>
      <c r="BE34" s="4" t="s">
        <v>231</v>
      </c>
      <c r="BF34" s="8" t="s">
        <v>231</v>
      </c>
      <c r="BG34" s="7" t="s">
        <v>231</v>
      </c>
      <c r="BH34" s="7" t="s">
        <v>231</v>
      </c>
      <c r="BI34" s="7"/>
      <c r="BJ34" s="4">
        <v>14</v>
      </c>
      <c r="BK34" s="8">
        <v>359.05</v>
      </c>
      <c r="BL34" s="2" t="s">
        <v>399</v>
      </c>
      <c r="BM34" s="7"/>
      <c r="BN34" s="7"/>
      <c r="BO34" s="4"/>
      <c r="BP34" s="8"/>
      <c r="BQ34" s="4"/>
      <c r="BR34" s="8"/>
      <c r="BS34" s="7"/>
      <c r="BT34" s="7"/>
      <c r="BU34" s="2" t="s">
        <v>400</v>
      </c>
      <c r="BV34" s="2" t="s">
        <v>231</v>
      </c>
      <c r="BW34" s="2" t="s">
        <v>231</v>
      </c>
      <c r="BX34" s="2" t="s">
        <v>231</v>
      </c>
      <c r="BY34" s="2" t="s">
        <v>277</v>
      </c>
      <c r="BZ34" s="2" t="s">
        <v>243</v>
      </c>
      <c r="CA34" s="2" t="s">
        <v>386</v>
      </c>
      <c r="CB34" s="2" t="s">
        <v>231</v>
      </c>
      <c r="CC34" s="2" t="s">
        <v>244</v>
      </c>
      <c r="CD34" s="2" t="s">
        <v>231</v>
      </c>
      <c r="CE34" s="4">
        <v>47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>
        <v>61</v>
      </c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</row>
    <row r="35">
      <c r="A35" s="2" t="s">
        <v>401</v>
      </c>
      <c r="B35" s="2" t="s">
        <v>287</v>
      </c>
      <c r="C35" s="2" t="s">
        <v>357</v>
      </c>
      <c r="D35" s="2" t="s">
        <v>289</v>
      </c>
      <c r="E35" s="2" t="s">
        <v>290</v>
      </c>
      <c r="F35" s="2" t="s">
        <v>358</v>
      </c>
      <c r="G35" s="2" t="s">
        <v>358</v>
      </c>
      <c r="H35" s="2" t="s">
        <v>358</v>
      </c>
      <c r="I35" s="2" t="s">
        <v>359</v>
      </c>
      <c r="J35" s="2" t="s">
        <v>302</v>
      </c>
      <c r="K35" s="2" t="s">
        <v>397</v>
      </c>
      <c r="L35" s="3">
        <v>28.5</v>
      </c>
      <c r="M35" s="3">
        <v>29.93</v>
      </c>
      <c r="N35" s="3">
        <v>59.99</v>
      </c>
      <c r="O35" s="2" t="s">
        <v>243</v>
      </c>
      <c r="P35" s="2" t="s">
        <v>270</v>
      </c>
      <c r="Q35" s="2" t="s">
        <v>237</v>
      </c>
      <c r="R35" s="2" t="s">
        <v>231</v>
      </c>
      <c r="S35" s="2" t="s">
        <v>398</v>
      </c>
      <c r="T35" s="2" t="s">
        <v>362</v>
      </c>
      <c r="U35" s="2" t="s">
        <v>298</v>
      </c>
      <c r="V35" s="2" t="s">
        <v>381</v>
      </c>
      <c r="W35" s="2" t="s">
        <v>273</v>
      </c>
      <c r="X35" s="2" t="s">
        <v>231</v>
      </c>
      <c r="Y35" s="2" t="s">
        <v>382</v>
      </c>
      <c r="Z35" s="4">
        <v>95</v>
      </c>
      <c r="AA35" s="4">
        <f>=ROUNDDOWN(19,0)</f>
      </c>
      <c r="AB35" s="5">
        <v>5</v>
      </c>
      <c r="AC35" s="2" t="s">
        <v>392</v>
      </c>
      <c r="AD35" s="4">
        <v>98</v>
      </c>
      <c r="AE35" s="4">
        <v>98</v>
      </c>
      <c r="AF35" s="6">
        <v>70</v>
      </c>
      <c r="AG35" s="6"/>
      <c r="AH35" s="7">
        <v>0.9677</v>
      </c>
      <c r="AI35" s="4"/>
      <c r="AJ35" s="4">
        <f>=ROUNDDOWN({0},0)</f>
      </c>
      <c r="AK35" s="5"/>
      <c r="AL35" s="2" t="s">
        <v>231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231</v>
      </c>
      <c r="AW35" s="8" t="s">
        <v>231</v>
      </c>
      <c r="AX35" s="4" t="s">
        <v>231</v>
      </c>
      <c r="AY35" s="8" t="s">
        <v>231</v>
      </c>
      <c r="AZ35" s="7" t="s">
        <v>231</v>
      </c>
      <c r="BA35" s="7" t="s">
        <v>231</v>
      </c>
      <c r="BB35" s="7"/>
      <c r="BC35" s="4" t="s">
        <v>231</v>
      </c>
      <c r="BD35" s="8" t="s">
        <v>231</v>
      </c>
      <c r="BE35" s="4" t="s">
        <v>231</v>
      </c>
      <c r="BF35" s="8" t="s">
        <v>231</v>
      </c>
      <c r="BG35" s="7" t="s">
        <v>231</v>
      </c>
      <c r="BH35" s="7" t="s">
        <v>231</v>
      </c>
      <c r="BI35" s="7"/>
      <c r="BJ35" s="4">
        <v>12</v>
      </c>
      <c r="BK35" s="8">
        <v>379.78</v>
      </c>
      <c r="BL35" s="2" t="s">
        <v>384</v>
      </c>
      <c r="BM35" s="7"/>
      <c r="BN35" s="7"/>
      <c r="BO35" s="4"/>
      <c r="BP35" s="8"/>
      <c r="BQ35" s="4"/>
      <c r="BR35" s="8"/>
      <c r="BS35" s="7"/>
      <c r="BT35" s="7"/>
      <c r="BU35" s="2" t="s">
        <v>402</v>
      </c>
      <c r="BV35" s="2" t="s">
        <v>231</v>
      </c>
      <c r="BW35" s="2" t="s">
        <v>231</v>
      </c>
      <c r="BX35" s="2" t="s">
        <v>231</v>
      </c>
      <c r="BY35" s="2" t="s">
        <v>277</v>
      </c>
      <c r="BZ35" s="2" t="s">
        <v>243</v>
      </c>
      <c r="CA35" s="2" t="s">
        <v>386</v>
      </c>
      <c r="CB35" s="2" t="s">
        <v>395</v>
      </c>
      <c r="CC35" s="2" t="s">
        <v>244</v>
      </c>
      <c r="CD35" s="2" t="s">
        <v>231</v>
      </c>
      <c r="CE35" s="4">
        <v>95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>
        <v>98</v>
      </c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</row>
    <row r="36">
      <c r="A36" s="2" t="s">
        <v>403</v>
      </c>
      <c r="B36" s="2" t="s">
        <v>262</v>
      </c>
      <c r="C36" s="2" t="s">
        <v>263</v>
      </c>
      <c r="D36" s="2" t="s">
        <v>264</v>
      </c>
      <c r="E36" s="2" t="s">
        <v>265</v>
      </c>
      <c r="F36" s="2" t="s">
        <v>404</v>
      </c>
      <c r="G36" s="2" t="s">
        <v>404</v>
      </c>
      <c r="H36" s="2" t="s">
        <v>404</v>
      </c>
      <c r="I36" s="2" t="s">
        <v>340</v>
      </c>
      <c r="J36" s="2" t="s">
        <v>318</v>
      </c>
      <c r="K36" s="2" t="s">
        <v>269</v>
      </c>
      <c r="L36" s="3">
        <v>41.4</v>
      </c>
      <c r="M36" s="3">
        <v>43.47</v>
      </c>
      <c r="N36" s="3">
        <v>89.99</v>
      </c>
      <c r="O36" s="2" t="s">
        <v>243</v>
      </c>
      <c r="P36" s="2" t="s">
        <v>270</v>
      </c>
      <c r="Q36" s="2" t="s">
        <v>237</v>
      </c>
      <c r="R36" s="2" t="s">
        <v>231</v>
      </c>
      <c r="S36" s="2" t="s">
        <v>405</v>
      </c>
      <c r="T36" s="2" t="s">
        <v>272</v>
      </c>
      <c r="U36" s="2" t="s">
        <v>231</v>
      </c>
      <c r="V36" s="2" t="s">
        <v>239</v>
      </c>
      <c r="W36" s="2" t="s">
        <v>273</v>
      </c>
      <c r="X36" s="2" t="s">
        <v>231</v>
      </c>
      <c r="Y36" s="2" t="s">
        <v>274</v>
      </c>
      <c r="Z36" s="4">
        <v>213</v>
      </c>
      <c r="AA36" s="4">
        <f>=ROUNDDOWN(15.2142857142857,0)</f>
      </c>
      <c r="AB36" s="5">
        <v>14</v>
      </c>
      <c r="AC36" s="2" t="s">
        <v>406</v>
      </c>
      <c r="AD36" s="4">
        <v>190</v>
      </c>
      <c r="AE36" s="4">
        <v>420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231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231</v>
      </c>
      <c r="AW36" s="8" t="s">
        <v>231</v>
      </c>
      <c r="AX36" s="4" t="s">
        <v>231</v>
      </c>
      <c r="AY36" s="8" t="s">
        <v>231</v>
      </c>
      <c r="AZ36" s="7" t="s">
        <v>231</v>
      </c>
      <c r="BA36" s="7" t="s">
        <v>231</v>
      </c>
      <c r="BB36" s="7"/>
      <c r="BC36" s="4" t="s">
        <v>231</v>
      </c>
      <c r="BD36" s="8" t="s">
        <v>231</v>
      </c>
      <c r="BE36" s="4" t="s">
        <v>231</v>
      </c>
      <c r="BF36" s="8" t="s">
        <v>231</v>
      </c>
      <c r="BG36" s="7" t="s">
        <v>231</v>
      </c>
      <c r="BH36" s="7" t="s">
        <v>231</v>
      </c>
      <c r="BI36" s="7"/>
      <c r="BJ36" s="4">
        <v>44</v>
      </c>
      <c r="BK36" s="8">
        <v>1975.2</v>
      </c>
      <c r="BL36" s="2" t="s">
        <v>407</v>
      </c>
      <c r="BM36" s="7"/>
      <c r="BN36" s="7"/>
      <c r="BO36" s="4"/>
      <c r="BP36" s="8"/>
      <c r="BQ36" s="4"/>
      <c r="BR36" s="8"/>
      <c r="BS36" s="7"/>
      <c r="BT36" s="7"/>
      <c r="BU36" s="2" t="s">
        <v>408</v>
      </c>
      <c r="BV36" s="2" t="s">
        <v>231</v>
      </c>
      <c r="BW36" s="2" t="s">
        <v>231</v>
      </c>
      <c r="BX36" s="2" t="s">
        <v>231</v>
      </c>
      <c r="BY36" s="2" t="s">
        <v>277</v>
      </c>
      <c r="BZ36" s="2" t="s">
        <v>243</v>
      </c>
      <c r="CA36" s="2" t="s">
        <v>409</v>
      </c>
      <c r="CB36" s="2" t="s">
        <v>410</v>
      </c>
      <c r="CC36" s="2" t="s">
        <v>244</v>
      </c>
      <c r="CD36" s="2" t="s">
        <v>231</v>
      </c>
      <c r="CE36" s="4">
        <v>213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>
        <v>190</v>
      </c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>
        <v>230</v>
      </c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</row>
    <row r="37">
      <c r="A37" s="2" t="s">
        <v>411</v>
      </c>
      <c r="B37" s="2" t="s">
        <v>262</v>
      </c>
      <c r="C37" s="2" t="s">
        <v>263</v>
      </c>
      <c r="D37" s="2" t="s">
        <v>264</v>
      </c>
      <c r="E37" s="2" t="s">
        <v>265</v>
      </c>
      <c r="F37" s="2" t="s">
        <v>404</v>
      </c>
      <c r="G37" s="2" t="s">
        <v>404</v>
      </c>
      <c r="H37" s="2" t="s">
        <v>404</v>
      </c>
      <c r="I37" s="2" t="s">
        <v>340</v>
      </c>
      <c r="J37" s="2" t="s">
        <v>293</v>
      </c>
      <c r="K37" s="2" t="s">
        <v>269</v>
      </c>
      <c r="L37" s="3">
        <v>62.1</v>
      </c>
      <c r="M37" s="3">
        <v>65.2</v>
      </c>
      <c r="N37" s="3">
        <v>134.99</v>
      </c>
      <c r="O37" s="2" t="s">
        <v>243</v>
      </c>
      <c r="P37" s="2" t="s">
        <v>270</v>
      </c>
      <c r="Q37" s="2" t="s">
        <v>237</v>
      </c>
      <c r="R37" s="2" t="s">
        <v>231</v>
      </c>
      <c r="S37" s="2" t="s">
        <v>405</v>
      </c>
      <c r="T37" s="2" t="s">
        <v>272</v>
      </c>
      <c r="U37" s="2" t="s">
        <v>231</v>
      </c>
      <c r="V37" s="2" t="s">
        <v>239</v>
      </c>
      <c r="W37" s="2" t="s">
        <v>273</v>
      </c>
      <c r="X37" s="2" t="s">
        <v>231</v>
      </c>
      <c r="Y37" s="2" t="s">
        <v>274</v>
      </c>
      <c r="Z37" s="4">
        <v>392</v>
      </c>
      <c r="AA37" s="4">
        <f>=ROUNDDOWN(17.8181818181818,0)</f>
      </c>
      <c r="AB37" s="5">
        <v>22</v>
      </c>
      <c r="AC37" s="2" t="s">
        <v>406</v>
      </c>
      <c r="AD37" s="4">
        <v>90</v>
      </c>
      <c r="AE37" s="4">
        <v>320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231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231</v>
      </c>
      <c r="AW37" s="8" t="s">
        <v>231</v>
      </c>
      <c r="AX37" s="4" t="s">
        <v>231</v>
      </c>
      <c r="AY37" s="8" t="s">
        <v>231</v>
      </c>
      <c r="AZ37" s="7" t="s">
        <v>231</v>
      </c>
      <c r="BA37" s="7" t="s">
        <v>231</v>
      </c>
      <c r="BB37" s="7"/>
      <c r="BC37" s="4" t="s">
        <v>231</v>
      </c>
      <c r="BD37" s="8" t="s">
        <v>231</v>
      </c>
      <c r="BE37" s="4" t="s">
        <v>231</v>
      </c>
      <c r="BF37" s="8" t="s">
        <v>231</v>
      </c>
      <c r="BG37" s="7" t="s">
        <v>231</v>
      </c>
      <c r="BH37" s="7" t="s">
        <v>231</v>
      </c>
      <c r="BI37" s="7"/>
      <c r="BJ37" s="4">
        <v>78</v>
      </c>
      <c r="BK37" s="8">
        <v>5362.77</v>
      </c>
      <c r="BL37" s="2" t="s">
        <v>412</v>
      </c>
      <c r="BM37" s="7"/>
      <c r="BN37" s="7"/>
      <c r="BO37" s="4"/>
      <c r="BP37" s="8"/>
      <c r="BQ37" s="4"/>
      <c r="BR37" s="8"/>
      <c r="BS37" s="7"/>
      <c r="BT37" s="7"/>
      <c r="BU37" s="2" t="s">
        <v>413</v>
      </c>
      <c r="BV37" s="2" t="s">
        <v>231</v>
      </c>
      <c r="BW37" s="2" t="s">
        <v>231</v>
      </c>
      <c r="BX37" s="2" t="s">
        <v>231</v>
      </c>
      <c r="BY37" s="2" t="s">
        <v>277</v>
      </c>
      <c r="BZ37" s="2" t="s">
        <v>243</v>
      </c>
      <c r="CA37" s="2" t="s">
        <v>409</v>
      </c>
      <c r="CB37" s="2" t="s">
        <v>414</v>
      </c>
      <c r="CC37" s="2" t="s">
        <v>244</v>
      </c>
      <c r="CD37" s="2" t="s">
        <v>231</v>
      </c>
      <c r="CE37" s="4">
        <v>392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>
        <v>90</v>
      </c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>
        <v>230</v>
      </c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</row>
    <row r="38">
      <c r="A38" s="2" t="s">
        <v>415</v>
      </c>
      <c r="B38" s="2" t="s">
        <v>262</v>
      </c>
      <c r="C38" s="2" t="s">
        <v>263</v>
      </c>
      <c r="D38" s="2" t="s">
        <v>264</v>
      </c>
      <c r="E38" s="2" t="s">
        <v>265</v>
      </c>
      <c r="F38" s="2" t="s">
        <v>404</v>
      </c>
      <c r="G38" s="2" t="s">
        <v>404</v>
      </c>
      <c r="H38" s="2" t="s">
        <v>404</v>
      </c>
      <c r="I38" s="2" t="s">
        <v>340</v>
      </c>
      <c r="J38" s="2" t="s">
        <v>304</v>
      </c>
      <c r="K38" s="2" t="s">
        <v>269</v>
      </c>
      <c r="L38" s="3">
        <v>76.8</v>
      </c>
      <c r="M38" s="3">
        <v>80.64</v>
      </c>
      <c r="N38" s="3">
        <v>159.99</v>
      </c>
      <c r="O38" s="2" t="s">
        <v>243</v>
      </c>
      <c r="P38" s="2" t="s">
        <v>270</v>
      </c>
      <c r="Q38" s="2" t="s">
        <v>237</v>
      </c>
      <c r="R38" s="2" t="s">
        <v>231</v>
      </c>
      <c r="S38" s="2" t="s">
        <v>405</v>
      </c>
      <c r="T38" s="2" t="s">
        <v>272</v>
      </c>
      <c r="U38" s="2" t="s">
        <v>231</v>
      </c>
      <c r="V38" s="2" t="s">
        <v>239</v>
      </c>
      <c r="W38" s="2" t="s">
        <v>273</v>
      </c>
      <c r="X38" s="2" t="s">
        <v>231</v>
      </c>
      <c r="Y38" s="2" t="s">
        <v>274</v>
      </c>
      <c r="Z38" s="4">
        <v>197</v>
      </c>
      <c r="AA38" s="4">
        <f>=ROUNDDOWN(49.25,0)</f>
      </c>
      <c r="AB38" s="5">
        <v>4</v>
      </c>
      <c r="AC38" s="2" t="s">
        <v>231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231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231</v>
      </c>
      <c r="AW38" s="8" t="s">
        <v>231</v>
      </c>
      <c r="AX38" s="4" t="s">
        <v>231</v>
      </c>
      <c r="AY38" s="8" t="s">
        <v>231</v>
      </c>
      <c r="AZ38" s="7" t="s">
        <v>231</v>
      </c>
      <c r="BA38" s="7" t="s">
        <v>231</v>
      </c>
      <c r="BB38" s="7"/>
      <c r="BC38" s="4" t="s">
        <v>231</v>
      </c>
      <c r="BD38" s="8" t="s">
        <v>231</v>
      </c>
      <c r="BE38" s="4" t="s">
        <v>231</v>
      </c>
      <c r="BF38" s="8" t="s">
        <v>231</v>
      </c>
      <c r="BG38" s="7" t="s">
        <v>231</v>
      </c>
      <c r="BH38" s="7" t="s">
        <v>231</v>
      </c>
      <c r="BI38" s="7"/>
      <c r="BJ38" s="4">
        <v>2</v>
      </c>
      <c r="BK38" s="8">
        <v>183.53</v>
      </c>
      <c r="BL38" s="2" t="s">
        <v>416</v>
      </c>
      <c r="BM38" s="7"/>
      <c r="BN38" s="7"/>
      <c r="BO38" s="4"/>
      <c r="BP38" s="8"/>
      <c r="BQ38" s="4"/>
      <c r="BR38" s="8"/>
      <c r="BS38" s="7"/>
      <c r="BT38" s="7"/>
      <c r="BU38" s="2" t="s">
        <v>417</v>
      </c>
      <c r="BV38" s="2" t="s">
        <v>231</v>
      </c>
      <c r="BW38" s="2" t="s">
        <v>231</v>
      </c>
      <c r="BX38" s="2" t="s">
        <v>231</v>
      </c>
      <c r="BY38" s="2" t="s">
        <v>277</v>
      </c>
      <c r="BZ38" s="2" t="s">
        <v>243</v>
      </c>
      <c r="CA38" s="2" t="s">
        <v>409</v>
      </c>
      <c r="CB38" s="2" t="s">
        <v>418</v>
      </c>
      <c r="CC38" s="2" t="s">
        <v>244</v>
      </c>
      <c r="CD38" s="2" t="s">
        <v>231</v>
      </c>
      <c r="CE38" s="4">
        <v>197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</row>
    <row r="39">
      <c r="A39" s="2" t="s">
        <v>419</v>
      </c>
      <c r="B39" s="2" t="s">
        <v>262</v>
      </c>
      <c r="C39" s="2" t="s">
        <v>263</v>
      </c>
      <c r="D39" s="2" t="s">
        <v>264</v>
      </c>
      <c r="E39" s="2" t="s">
        <v>265</v>
      </c>
      <c r="F39" s="2" t="s">
        <v>420</v>
      </c>
      <c r="G39" s="2" t="s">
        <v>421</v>
      </c>
      <c r="H39" s="2" t="s">
        <v>420</v>
      </c>
      <c r="I39" s="2" t="s">
        <v>422</v>
      </c>
      <c r="J39" s="2" t="s">
        <v>318</v>
      </c>
      <c r="K39" s="2" t="s">
        <v>319</v>
      </c>
      <c r="L39" s="3">
        <v>79.49</v>
      </c>
      <c r="M39" s="3">
        <v>83.46</v>
      </c>
      <c r="N39" s="3">
        <v>149.99</v>
      </c>
      <c r="O39" s="2" t="s">
        <v>243</v>
      </c>
      <c r="P39" s="2" t="s">
        <v>270</v>
      </c>
      <c r="Q39" s="2" t="s">
        <v>237</v>
      </c>
      <c r="R39" s="2" t="s">
        <v>231</v>
      </c>
      <c r="S39" s="2" t="s">
        <v>423</v>
      </c>
      <c r="T39" s="2" t="s">
        <v>272</v>
      </c>
      <c r="U39" s="2" t="s">
        <v>231</v>
      </c>
      <c r="V39" s="2" t="s">
        <v>239</v>
      </c>
      <c r="W39" s="2" t="s">
        <v>273</v>
      </c>
      <c r="X39" s="2" t="s">
        <v>231</v>
      </c>
      <c r="Y39" s="2" t="s">
        <v>274</v>
      </c>
      <c r="Z39" s="4">
        <v>246</v>
      </c>
      <c r="AA39" s="4">
        <f>=ROUNDDOWN(49.2,0)</f>
      </c>
      <c r="AB39" s="5">
        <v>5</v>
      </c>
      <c r="AC39" s="2" t="s">
        <v>231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231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231</v>
      </c>
      <c r="AW39" s="8" t="s">
        <v>231</v>
      </c>
      <c r="AX39" s="4" t="s">
        <v>231</v>
      </c>
      <c r="AY39" s="8" t="s">
        <v>231</v>
      </c>
      <c r="AZ39" s="7" t="s">
        <v>231</v>
      </c>
      <c r="BA39" s="7" t="s">
        <v>231</v>
      </c>
      <c r="BB39" s="7"/>
      <c r="BC39" s="4" t="s">
        <v>231</v>
      </c>
      <c r="BD39" s="8" t="s">
        <v>231</v>
      </c>
      <c r="BE39" s="4" t="s">
        <v>231</v>
      </c>
      <c r="BF39" s="8" t="s">
        <v>231</v>
      </c>
      <c r="BG39" s="7" t="s">
        <v>231</v>
      </c>
      <c r="BH39" s="7" t="s">
        <v>231</v>
      </c>
      <c r="BI39" s="7"/>
      <c r="BJ39" s="4">
        <v>12</v>
      </c>
      <c r="BK39" s="8">
        <v>878.76</v>
      </c>
      <c r="BL39" s="2" t="s">
        <v>424</v>
      </c>
      <c r="BM39" s="7"/>
      <c r="BN39" s="7"/>
      <c r="BO39" s="4"/>
      <c r="BP39" s="8"/>
      <c r="BQ39" s="4"/>
      <c r="BR39" s="8"/>
      <c r="BS39" s="7"/>
      <c r="BT39" s="7"/>
      <c r="BU39" s="2" t="s">
        <v>425</v>
      </c>
      <c r="BV39" s="2" t="s">
        <v>231</v>
      </c>
      <c r="BW39" s="2" t="s">
        <v>231</v>
      </c>
      <c r="BX39" s="2" t="s">
        <v>231</v>
      </c>
      <c r="BY39" s="2" t="s">
        <v>277</v>
      </c>
      <c r="BZ39" s="2" t="s">
        <v>243</v>
      </c>
      <c r="CA39" s="2" t="s">
        <v>346</v>
      </c>
      <c r="CB39" s="2" t="s">
        <v>426</v>
      </c>
      <c r="CC39" s="2" t="s">
        <v>244</v>
      </c>
      <c r="CD39" s="2" t="s">
        <v>231</v>
      </c>
      <c r="CE39" s="4">
        <v>246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</row>
    <row r="40">
      <c r="A40" s="2" t="s">
        <v>427</v>
      </c>
      <c r="B40" s="2" t="s">
        <v>262</v>
      </c>
      <c r="C40" s="2" t="s">
        <v>263</v>
      </c>
      <c r="D40" s="2" t="s">
        <v>264</v>
      </c>
      <c r="E40" s="2" t="s">
        <v>265</v>
      </c>
      <c r="F40" s="2" t="s">
        <v>420</v>
      </c>
      <c r="G40" s="2" t="s">
        <v>421</v>
      </c>
      <c r="H40" s="2" t="s">
        <v>420</v>
      </c>
      <c r="I40" s="2" t="s">
        <v>422</v>
      </c>
      <c r="J40" s="2" t="s">
        <v>281</v>
      </c>
      <c r="K40" s="2" t="s">
        <v>319</v>
      </c>
      <c r="L40" s="3">
        <v>100.69</v>
      </c>
      <c r="M40" s="3">
        <v>105.72</v>
      </c>
      <c r="N40" s="3">
        <v>189.99</v>
      </c>
      <c r="O40" s="2" t="s">
        <v>243</v>
      </c>
      <c r="P40" s="2" t="s">
        <v>270</v>
      </c>
      <c r="Q40" s="2" t="s">
        <v>237</v>
      </c>
      <c r="R40" s="2" t="s">
        <v>231</v>
      </c>
      <c r="S40" s="2" t="s">
        <v>423</v>
      </c>
      <c r="T40" s="2" t="s">
        <v>272</v>
      </c>
      <c r="U40" s="2" t="s">
        <v>231</v>
      </c>
      <c r="V40" s="2" t="s">
        <v>239</v>
      </c>
      <c r="W40" s="2" t="s">
        <v>273</v>
      </c>
      <c r="X40" s="2" t="s">
        <v>231</v>
      </c>
      <c r="Y40" s="2" t="s">
        <v>274</v>
      </c>
      <c r="Z40" s="4">
        <v>213</v>
      </c>
      <c r="AA40" s="4">
        <f>=ROUNDDOWN(53.25,0)</f>
      </c>
      <c r="AB40" s="5">
        <v>4</v>
      </c>
      <c r="AC40" s="2" t="s">
        <v>321</v>
      </c>
      <c r="AD40" s="4">
        <v>100</v>
      </c>
      <c r="AE40" s="4">
        <v>100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231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231</v>
      </c>
      <c r="AW40" s="8" t="s">
        <v>231</v>
      </c>
      <c r="AX40" s="4" t="s">
        <v>231</v>
      </c>
      <c r="AY40" s="8" t="s">
        <v>231</v>
      </c>
      <c r="AZ40" s="7" t="s">
        <v>231</v>
      </c>
      <c r="BA40" s="7" t="s">
        <v>231</v>
      </c>
      <c r="BB40" s="7"/>
      <c r="BC40" s="4" t="s">
        <v>231</v>
      </c>
      <c r="BD40" s="8" t="s">
        <v>231</v>
      </c>
      <c r="BE40" s="4" t="s">
        <v>231</v>
      </c>
      <c r="BF40" s="8" t="s">
        <v>231</v>
      </c>
      <c r="BG40" s="7" t="s">
        <v>231</v>
      </c>
      <c r="BH40" s="7" t="s">
        <v>231</v>
      </c>
      <c r="BI40" s="7"/>
      <c r="BJ40" s="4">
        <v>5</v>
      </c>
      <c r="BK40" s="8">
        <v>500.58</v>
      </c>
      <c r="BL40" s="2" t="s">
        <v>428</v>
      </c>
      <c r="BM40" s="7"/>
      <c r="BN40" s="7"/>
      <c r="BO40" s="4"/>
      <c r="BP40" s="8"/>
      <c r="BQ40" s="4"/>
      <c r="BR40" s="8"/>
      <c r="BS40" s="7"/>
      <c r="BT40" s="7"/>
      <c r="BU40" s="2" t="s">
        <v>429</v>
      </c>
      <c r="BV40" s="2" t="s">
        <v>231</v>
      </c>
      <c r="BW40" s="2" t="s">
        <v>231</v>
      </c>
      <c r="BX40" s="2" t="s">
        <v>231</v>
      </c>
      <c r="BY40" s="2" t="s">
        <v>277</v>
      </c>
      <c r="BZ40" s="2" t="s">
        <v>243</v>
      </c>
      <c r="CA40" s="2" t="s">
        <v>346</v>
      </c>
      <c r="CB40" s="2" t="s">
        <v>430</v>
      </c>
      <c r="CC40" s="2" t="s">
        <v>244</v>
      </c>
      <c r="CD40" s="2" t="s">
        <v>231</v>
      </c>
      <c r="CE40" s="4">
        <v>213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>
        <v>100</v>
      </c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</row>
    <row r="41">
      <c r="A41" s="2" t="s">
        <v>431</v>
      </c>
      <c r="B41" s="2" t="s">
        <v>262</v>
      </c>
      <c r="C41" s="2" t="s">
        <v>263</v>
      </c>
      <c r="D41" s="2" t="s">
        <v>264</v>
      </c>
      <c r="E41" s="2" t="s">
        <v>265</v>
      </c>
      <c r="F41" s="2" t="s">
        <v>420</v>
      </c>
      <c r="G41" s="2" t="s">
        <v>421</v>
      </c>
      <c r="H41" s="2" t="s">
        <v>420</v>
      </c>
      <c r="I41" s="2" t="s">
        <v>422</v>
      </c>
      <c r="J41" s="2" t="s">
        <v>293</v>
      </c>
      <c r="K41" s="2" t="s">
        <v>319</v>
      </c>
      <c r="L41" s="3">
        <v>111.29</v>
      </c>
      <c r="M41" s="3">
        <v>116.85</v>
      </c>
      <c r="N41" s="3">
        <v>209.99</v>
      </c>
      <c r="O41" s="2" t="s">
        <v>243</v>
      </c>
      <c r="P41" s="2" t="s">
        <v>270</v>
      </c>
      <c r="Q41" s="2" t="s">
        <v>237</v>
      </c>
      <c r="R41" s="2" t="s">
        <v>231</v>
      </c>
      <c r="S41" s="2" t="s">
        <v>423</v>
      </c>
      <c r="T41" s="2" t="s">
        <v>272</v>
      </c>
      <c r="U41" s="2" t="s">
        <v>231</v>
      </c>
      <c r="V41" s="2" t="s">
        <v>239</v>
      </c>
      <c r="W41" s="2" t="s">
        <v>273</v>
      </c>
      <c r="X41" s="2" t="s">
        <v>231</v>
      </c>
      <c r="Y41" s="2" t="s">
        <v>274</v>
      </c>
      <c r="Z41" s="4">
        <v>262</v>
      </c>
      <c r="AA41" s="4">
        <f>=ROUNDDOWN(32.75,0)</f>
      </c>
      <c r="AB41" s="5">
        <v>8</v>
      </c>
      <c r="AC41" s="2" t="s">
        <v>231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231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231</v>
      </c>
      <c r="AW41" s="8" t="s">
        <v>231</v>
      </c>
      <c r="AX41" s="4" t="s">
        <v>231</v>
      </c>
      <c r="AY41" s="8" t="s">
        <v>231</v>
      </c>
      <c r="AZ41" s="7" t="s">
        <v>231</v>
      </c>
      <c r="BA41" s="7" t="s">
        <v>231</v>
      </c>
      <c r="BB41" s="7"/>
      <c r="BC41" s="4" t="s">
        <v>231</v>
      </c>
      <c r="BD41" s="8" t="s">
        <v>231</v>
      </c>
      <c r="BE41" s="4" t="s">
        <v>231</v>
      </c>
      <c r="BF41" s="8" t="s">
        <v>231</v>
      </c>
      <c r="BG41" s="7" t="s">
        <v>231</v>
      </c>
      <c r="BH41" s="7" t="s">
        <v>231</v>
      </c>
      <c r="BI41" s="7"/>
      <c r="BJ41" s="4">
        <v>23</v>
      </c>
      <c r="BK41" s="8">
        <v>2604.62</v>
      </c>
      <c r="BL41" s="2" t="s">
        <v>432</v>
      </c>
      <c r="BM41" s="7"/>
      <c r="BN41" s="7"/>
      <c r="BO41" s="4"/>
      <c r="BP41" s="8"/>
      <c r="BQ41" s="4"/>
      <c r="BR41" s="8"/>
      <c r="BS41" s="7"/>
      <c r="BT41" s="7"/>
      <c r="BU41" s="2" t="s">
        <v>433</v>
      </c>
      <c r="BV41" s="2" t="s">
        <v>231</v>
      </c>
      <c r="BW41" s="2" t="s">
        <v>231</v>
      </c>
      <c r="BX41" s="2" t="s">
        <v>231</v>
      </c>
      <c r="BY41" s="2" t="s">
        <v>277</v>
      </c>
      <c r="BZ41" s="2" t="s">
        <v>243</v>
      </c>
      <c r="CA41" s="2" t="s">
        <v>346</v>
      </c>
      <c r="CB41" s="2" t="s">
        <v>434</v>
      </c>
      <c r="CC41" s="2" t="s">
        <v>244</v>
      </c>
      <c r="CD41" s="2" t="s">
        <v>231</v>
      </c>
      <c r="CE41" s="4">
        <v>262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</row>
    <row r="42">
      <c r="A42" s="2" t="s">
        <v>435</v>
      </c>
      <c r="B42" s="2" t="s">
        <v>262</v>
      </c>
      <c r="C42" s="2" t="s">
        <v>263</v>
      </c>
      <c r="D42" s="2" t="s">
        <v>264</v>
      </c>
      <c r="E42" s="2" t="s">
        <v>265</v>
      </c>
      <c r="F42" s="2" t="s">
        <v>420</v>
      </c>
      <c r="G42" s="2" t="s">
        <v>421</v>
      </c>
      <c r="H42" s="2" t="s">
        <v>420</v>
      </c>
      <c r="I42" s="2" t="s">
        <v>422</v>
      </c>
      <c r="J42" s="2" t="s">
        <v>302</v>
      </c>
      <c r="K42" s="2" t="s">
        <v>319</v>
      </c>
      <c r="L42" s="3">
        <v>137.79</v>
      </c>
      <c r="M42" s="3">
        <v>144.68</v>
      </c>
      <c r="N42" s="3">
        <v>259.99</v>
      </c>
      <c r="O42" s="2" t="s">
        <v>243</v>
      </c>
      <c r="P42" s="2" t="s">
        <v>270</v>
      </c>
      <c r="Q42" s="2" t="s">
        <v>237</v>
      </c>
      <c r="R42" s="2" t="s">
        <v>231</v>
      </c>
      <c r="S42" s="2" t="s">
        <v>423</v>
      </c>
      <c r="T42" s="2" t="s">
        <v>272</v>
      </c>
      <c r="U42" s="2" t="s">
        <v>231</v>
      </c>
      <c r="V42" s="2" t="s">
        <v>239</v>
      </c>
      <c r="W42" s="2" t="s">
        <v>273</v>
      </c>
      <c r="X42" s="2" t="s">
        <v>231</v>
      </c>
      <c r="Y42" s="2" t="s">
        <v>274</v>
      </c>
      <c r="Z42" s="4">
        <v>225</v>
      </c>
      <c r="AA42" s="4">
        <f>=ROUNDDOWN(56.25,0)</f>
      </c>
      <c r="AB42" s="5">
        <v>4</v>
      </c>
      <c r="AC42" s="2" t="s">
        <v>231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231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231</v>
      </c>
      <c r="AW42" s="8" t="s">
        <v>231</v>
      </c>
      <c r="AX42" s="4" t="s">
        <v>231</v>
      </c>
      <c r="AY42" s="8" t="s">
        <v>231</v>
      </c>
      <c r="AZ42" s="7" t="s">
        <v>231</v>
      </c>
      <c r="BA42" s="7" t="s">
        <v>231</v>
      </c>
      <c r="BB42" s="7"/>
      <c r="BC42" s="4" t="s">
        <v>231</v>
      </c>
      <c r="BD42" s="8" t="s">
        <v>231</v>
      </c>
      <c r="BE42" s="4" t="s">
        <v>231</v>
      </c>
      <c r="BF42" s="8" t="s">
        <v>231</v>
      </c>
      <c r="BG42" s="7" t="s">
        <v>231</v>
      </c>
      <c r="BH42" s="7" t="s">
        <v>231</v>
      </c>
      <c r="BI42" s="7"/>
      <c r="BJ42" s="4">
        <v>5</v>
      </c>
      <c r="BK42" s="8">
        <v>715.99</v>
      </c>
      <c r="BL42" s="2" t="s">
        <v>436</v>
      </c>
      <c r="BM42" s="7"/>
      <c r="BN42" s="7"/>
      <c r="BO42" s="4"/>
      <c r="BP42" s="8"/>
      <c r="BQ42" s="4"/>
      <c r="BR42" s="8"/>
      <c r="BS42" s="7"/>
      <c r="BT42" s="7"/>
      <c r="BU42" s="2" t="s">
        <v>437</v>
      </c>
      <c r="BV42" s="2" t="s">
        <v>231</v>
      </c>
      <c r="BW42" s="2" t="s">
        <v>231</v>
      </c>
      <c r="BX42" s="2" t="s">
        <v>231</v>
      </c>
      <c r="BY42" s="2" t="s">
        <v>277</v>
      </c>
      <c r="BZ42" s="2" t="s">
        <v>243</v>
      </c>
      <c r="CA42" s="2" t="s">
        <v>346</v>
      </c>
      <c r="CB42" s="2" t="s">
        <v>434</v>
      </c>
      <c r="CC42" s="2" t="s">
        <v>244</v>
      </c>
      <c r="CD42" s="2" t="s">
        <v>231</v>
      </c>
      <c r="CE42" s="4">
        <v>225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</row>
    <row r="43">
      <c r="A43" s="2" t="s">
        <v>438</v>
      </c>
      <c r="B43" s="2" t="s">
        <v>287</v>
      </c>
      <c r="C43" s="2" t="s">
        <v>288</v>
      </c>
      <c r="D43" s="2" t="s">
        <v>289</v>
      </c>
      <c r="E43" s="2" t="s">
        <v>290</v>
      </c>
      <c r="F43" s="2" t="s">
        <v>439</v>
      </c>
      <c r="G43" s="2" t="s">
        <v>439</v>
      </c>
      <c r="H43" s="2" t="s">
        <v>439</v>
      </c>
      <c r="I43" s="2" t="s">
        <v>440</v>
      </c>
      <c r="J43" s="2" t="s">
        <v>293</v>
      </c>
      <c r="K43" s="2" t="s">
        <v>253</v>
      </c>
      <c r="L43" s="3">
        <v>28.5</v>
      </c>
      <c r="M43" s="3">
        <v>29.93</v>
      </c>
      <c r="N43" s="3">
        <v>59.99</v>
      </c>
      <c r="O43" s="2" t="s">
        <v>243</v>
      </c>
      <c r="P43" s="2" t="s">
        <v>270</v>
      </c>
      <c r="Q43" s="2" t="s">
        <v>237</v>
      </c>
      <c r="R43" s="2" t="s">
        <v>231</v>
      </c>
      <c r="S43" s="2" t="s">
        <v>441</v>
      </c>
      <c r="T43" s="2" t="s">
        <v>362</v>
      </c>
      <c r="U43" s="2" t="s">
        <v>298</v>
      </c>
      <c r="V43" s="2" t="s">
        <v>239</v>
      </c>
      <c r="W43" s="2" t="s">
        <v>273</v>
      </c>
      <c r="X43" s="2" t="s">
        <v>231</v>
      </c>
      <c r="Y43" s="2" t="s">
        <v>442</v>
      </c>
      <c r="Z43" s="4">
        <v>198</v>
      </c>
      <c r="AA43" s="4">
        <f>=ROUNDDOWN(16.5,0)</f>
      </c>
      <c r="AB43" s="5">
        <v>12</v>
      </c>
      <c r="AC43" s="2" t="s">
        <v>231</v>
      </c>
      <c r="AD43" s="4"/>
      <c r="AE43" s="4"/>
      <c r="AF43" s="6">
        <v>69</v>
      </c>
      <c r="AG43" s="6"/>
      <c r="AH43" s="7">
        <v>1</v>
      </c>
      <c r="AI43" s="4"/>
      <c r="AJ43" s="4">
        <f>=ROUNDDOWN({0},0)</f>
      </c>
      <c r="AK43" s="5"/>
      <c r="AL43" s="2" t="s">
        <v>231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231</v>
      </c>
      <c r="AW43" s="8" t="s">
        <v>231</v>
      </c>
      <c r="AX43" s="4" t="s">
        <v>231</v>
      </c>
      <c r="AY43" s="8" t="s">
        <v>231</v>
      </c>
      <c r="AZ43" s="7" t="s">
        <v>231</v>
      </c>
      <c r="BA43" s="7" t="s">
        <v>231</v>
      </c>
      <c r="BB43" s="7"/>
      <c r="BC43" s="4" t="s">
        <v>231</v>
      </c>
      <c r="BD43" s="8" t="s">
        <v>231</v>
      </c>
      <c r="BE43" s="4" t="s">
        <v>231</v>
      </c>
      <c r="BF43" s="8" t="s">
        <v>231</v>
      </c>
      <c r="BG43" s="7" t="s">
        <v>231</v>
      </c>
      <c r="BH43" s="7" t="s">
        <v>231</v>
      </c>
      <c r="BI43" s="7"/>
      <c r="BJ43" s="4">
        <v>48</v>
      </c>
      <c r="BK43" s="8">
        <v>1563.68</v>
      </c>
      <c r="BL43" s="2" t="s">
        <v>443</v>
      </c>
      <c r="BM43" s="7"/>
      <c r="BN43" s="7"/>
      <c r="BO43" s="4"/>
      <c r="BP43" s="8"/>
      <c r="BQ43" s="4"/>
      <c r="BR43" s="8"/>
      <c r="BS43" s="7"/>
      <c r="BT43" s="7"/>
      <c r="BU43" s="2" t="s">
        <v>444</v>
      </c>
      <c r="BV43" s="2" t="s">
        <v>231</v>
      </c>
      <c r="BW43" s="2" t="s">
        <v>231</v>
      </c>
      <c r="BX43" s="2" t="s">
        <v>241</v>
      </c>
      <c r="BY43" s="2" t="s">
        <v>277</v>
      </c>
      <c r="BZ43" s="2" t="s">
        <v>243</v>
      </c>
      <c r="CA43" s="2" t="s">
        <v>445</v>
      </c>
      <c r="CB43" s="2" t="s">
        <v>446</v>
      </c>
      <c r="CC43" s="2" t="s">
        <v>244</v>
      </c>
      <c r="CD43" s="2" t="s">
        <v>231</v>
      </c>
      <c r="CE43" s="4">
        <v>198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</row>
    <row r="44">
      <c r="A44" s="2" t="s">
        <v>447</v>
      </c>
      <c r="B44" s="2" t="s">
        <v>287</v>
      </c>
      <c r="C44" s="2" t="s">
        <v>288</v>
      </c>
      <c r="D44" s="2" t="s">
        <v>289</v>
      </c>
      <c r="E44" s="2" t="s">
        <v>290</v>
      </c>
      <c r="F44" s="2" t="s">
        <v>439</v>
      </c>
      <c r="G44" s="2" t="s">
        <v>439</v>
      </c>
      <c r="H44" s="2" t="s">
        <v>439</v>
      </c>
      <c r="I44" s="2" t="s">
        <v>440</v>
      </c>
      <c r="J44" s="2" t="s">
        <v>302</v>
      </c>
      <c r="K44" s="2" t="s">
        <v>253</v>
      </c>
      <c r="L44" s="3">
        <v>33</v>
      </c>
      <c r="M44" s="3">
        <v>34.65</v>
      </c>
      <c r="N44" s="3">
        <v>69.99</v>
      </c>
      <c r="O44" s="2" t="s">
        <v>243</v>
      </c>
      <c r="P44" s="2" t="s">
        <v>270</v>
      </c>
      <c r="Q44" s="2" t="s">
        <v>237</v>
      </c>
      <c r="R44" s="2" t="s">
        <v>231</v>
      </c>
      <c r="S44" s="2" t="s">
        <v>441</v>
      </c>
      <c r="T44" s="2" t="s">
        <v>362</v>
      </c>
      <c r="U44" s="2" t="s">
        <v>298</v>
      </c>
      <c r="V44" s="2" t="s">
        <v>239</v>
      </c>
      <c r="W44" s="2" t="s">
        <v>273</v>
      </c>
      <c r="X44" s="2" t="s">
        <v>231</v>
      </c>
      <c r="Y44" s="2" t="s">
        <v>442</v>
      </c>
      <c r="Z44" s="4">
        <v>217</v>
      </c>
      <c r="AA44" s="4">
        <f>=ROUNDDOWN(21.7,0)</f>
      </c>
      <c r="AB44" s="5">
        <v>10</v>
      </c>
      <c r="AC44" s="2" t="s">
        <v>231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231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231</v>
      </c>
      <c r="AW44" s="8" t="s">
        <v>231</v>
      </c>
      <c r="AX44" s="4" t="s">
        <v>231</v>
      </c>
      <c r="AY44" s="8" t="s">
        <v>231</v>
      </c>
      <c r="AZ44" s="7" t="s">
        <v>231</v>
      </c>
      <c r="BA44" s="7" t="s">
        <v>231</v>
      </c>
      <c r="BB44" s="7"/>
      <c r="BC44" s="4" t="s">
        <v>231</v>
      </c>
      <c r="BD44" s="8" t="s">
        <v>231</v>
      </c>
      <c r="BE44" s="4" t="s">
        <v>231</v>
      </c>
      <c r="BF44" s="8" t="s">
        <v>231</v>
      </c>
      <c r="BG44" s="7" t="s">
        <v>231</v>
      </c>
      <c r="BH44" s="7" t="s">
        <v>231</v>
      </c>
      <c r="BI44" s="7"/>
      <c r="BJ44" s="4">
        <v>37</v>
      </c>
      <c r="BK44" s="8">
        <v>1373.96</v>
      </c>
      <c r="BL44" s="2" t="s">
        <v>448</v>
      </c>
      <c r="BM44" s="7"/>
      <c r="BN44" s="7"/>
      <c r="BO44" s="4"/>
      <c r="BP44" s="8"/>
      <c r="BQ44" s="4"/>
      <c r="BR44" s="8"/>
      <c r="BS44" s="7"/>
      <c r="BT44" s="7"/>
      <c r="BU44" s="2" t="s">
        <v>449</v>
      </c>
      <c r="BV44" s="2" t="s">
        <v>231</v>
      </c>
      <c r="BW44" s="2" t="s">
        <v>231</v>
      </c>
      <c r="BX44" s="2" t="s">
        <v>241</v>
      </c>
      <c r="BY44" s="2" t="s">
        <v>277</v>
      </c>
      <c r="BZ44" s="2" t="s">
        <v>243</v>
      </c>
      <c r="CA44" s="2" t="s">
        <v>445</v>
      </c>
      <c r="CB44" s="2" t="s">
        <v>450</v>
      </c>
      <c r="CC44" s="2" t="s">
        <v>244</v>
      </c>
      <c r="CD44" s="2" t="s">
        <v>231</v>
      </c>
      <c r="CE44" s="4">
        <v>217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</row>
    <row r="45">
      <c r="A45" s="2" t="s">
        <v>451</v>
      </c>
      <c r="B45" s="2" t="s">
        <v>287</v>
      </c>
      <c r="C45" s="2" t="s">
        <v>288</v>
      </c>
      <c r="D45" s="2" t="s">
        <v>289</v>
      </c>
      <c r="E45" s="2" t="s">
        <v>290</v>
      </c>
      <c r="F45" s="2" t="s">
        <v>439</v>
      </c>
      <c r="G45" s="2" t="s">
        <v>439</v>
      </c>
      <c r="H45" s="2" t="s">
        <v>439</v>
      </c>
      <c r="I45" s="2" t="s">
        <v>440</v>
      </c>
      <c r="J45" s="2" t="s">
        <v>302</v>
      </c>
      <c r="K45" s="2" t="s">
        <v>452</v>
      </c>
      <c r="L45" s="3">
        <v>33</v>
      </c>
      <c r="M45" s="3">
        <v>34.65</v>
      </c>
      <c r="N45" s="3">
        <v>69.99</v>
      </c>
      <c r="O45" s="2" t="s">
        <v>243</v>
      </c>
      <c r="P45" s="2" t="s">
        <v>270</v>
      </c>
      <c r="Q45" s="2" t="s">
        <v>237</v>
      </c>
      <c r="R45" s="2" t="s">
        <v>231</v>
      </c>
      <c r="S45" s="2" t="s">
        <v>453</v>
      </c>
      <c r="T45" s="2" t="s">
        <v>362</v>
      </c>
      <c r="U45" s="2" t="s">
        <v>298</v>
      </c>
      <c r="V45" s="2" t="s">
        <v>239</v>
      </c>
      <c r="W45" s="2" t="s">
        <v>273</v>
      </c>
      <c r="X45" s="2" t="s">
        <v>231</v>
      </c>
      <c r="Y45" s="2" t="s">
        <v>442</v>
      </c>
      <c r="Z45" s="4">
        <v>244</v>
      </c>
      <c r="AA45" s="4">
        <f>=ROUNDDOWN(34.8571428571429,0)</f>
      </c>
      <c r="AB45" s="5">
        <v>7</v>
      </c>
      <c r="AC45" s="2" t="s">
        <v>231</v>
      </c>
      <c r="AD45" s="4"/>
      <c r="AE45" s="4"/>
      <c r="AF45" s="6">
        <v>69</v>
      </c>
      <c r="AG45" s="6"/>
      <c r="AH45" s="7">
        <v>1</v>
      </c>
      <c r="AI45" s="4"/>
      <c r="AJ45" s="4">
        <f>=ROUNDDOWN({0},0)</f>
      </c>
      <c r="AK45" s="5"/>
      <c r="AL45" s="2" t="s">
        <v>231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 t="s">
        <v>231</v>
      </c>
      <c r="BD45" s="8" t="s">
        <v>231</v>
      </c>
      <c r="BE45" s="4" t="s">
        <v>231</v>
      </c>
      <c r="BF45" s="8" t="s">
        <v>231</v>
      </c>
      <c r="BG45" s="7" t="s">
        <v>231</v>
      </c>
      <c r="BH45" s="7" t="s">
        <v>231</v>
      </c>
      <c r="BI45" s="7"/>
      <c r="BJ45" s="4">
        <v>13</v>
      </c>
      <c r="BK45" s="8">
        <v>499.43</v>
      </c>
      <c r="BL45" s="2" t="s">
        <v>454</v>
      </c>
      <c r="BM45" s="7"/>
      <c r="BN45" s="7"/>
      <c r="BO45" s="4"/>
      <c r="BP45" s="8"/>
      <c r="BQ45" s="4"/>
      <c r="BR45" s="8"/>
      <c r="BS45" s="7"/>
      <c r="BT45" s="7"/>
      <c r="BU45" s="2" t="s">
        <v>455</v>
      </c>
      <c r="BV45" s="2" t="s">
        <v>231</v>
      </c>
      <c r="BW45" s="2" t="s">
        <v>231</v>
      </c>
      <c r="BX45" s="2" t="s">
        <v>241</v>
      </c>
      <c r="BY45" s="2" t="s">
        <v>277</v>
      </c>
      <c r="BZ45" s="2" t="s">
        <v>243</v>
      </c>
      <c r="CA45" s="2" t="s">
        <v>445</v>
      </c>
      <c r="CB45" s="2" t="s">
        <v>456</v>
      </c>
      <c r="CC45" s="2" t="s">
        <v>244</v>
      </c>
      <c r="CD45" s="2" t="s">
        <v>231</v>
      </c>
      <c r="CE45" s="4">
        <v>244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</row>
    <row r="46">
      <c r="A46" s="2" t="s">
        <v>457</v>
      </c>
      <c r="B46" s="2" t="s">
        <v>287</v>
      </c>
      <c r="C46" s="2" t="s">
        <v>263</v>
      </c>
      <c r="D46" s="2" t="s">
        <v>458</v>
      </c>
      <c r="E46" s="2" t="s">
        <v>459</v>
      </c>
      <c r="F46" s="2" t="s">
        <v>460</v>
      </c>
      <c r="G46" s="2" t="s">
        <v>231</v>
      </c>
      <c r="H46" s="2" t="s">
        <v>231</v>
      </c>
      <c r="I46" s="2" t="s">
        <v>461</v>
      </c>
      <c r="J46" s="2" t="s">
        <v>462</v>
      </c>
      <c r="K46" s="2" t="s">
        <v>463</v>
      </c>
      <c r="L46" s="3">
        <v>11.07</v>
      </c>
      <c r="M46" s="3">
        <v>11.62</v>
      </c>
      <c r="N46" s="3">
        <v>26.99</v>
      </c>
      <c r="O46" s="2" t="s">
        <v>250</v>
      </c>
      <c r="P46" s="2" t="s">
        <v>341</v>
      </c>
      <c r="Q46" s="2" t="s">
        <v>237</v>
      </c>
      <c r="R46" s="2" t="s">
        <v>231</v>
      </c>
      <c r="S46" s="2" t="s">
        <v>464</v>
      </c>
      <c r="T46" s="2" t="s">
        <v>362</v>
      </c>
      <c r="U46" s="2" t="s">
        <v>231</v>
      </c>
      <c r="V46" s="2" t="s">
        <v>239</v>
      </c>
      <c r="W46" s="2" t="s">
        <v>273</v>
      </c>
      <c r="X46" s="2" t="s">
        <v>231</v>
      </c>
      <c r="Y46" s="2" t="s">
        <v>274</v>
      </c>
      <c r="Z46" s="4"/>
      <c r="AA46" s="4">
        <f>=ROUNDDOWN({0},0)</f>
      </c>
      <c r="AB46" s="5">
        <v>0.5</v>
      </c>
      <c r="AC46" s="2" t="s">
        <v>231</v>
      </c>
      <c r="AD46" s="4"/>
      <c r="AE46" s="4"/>
      <c r="AF46" s="6">
        <v>69</v>
      </c>
      <c r="AG46" s="6"/>
      <c r="AH46" s="7">
        <v>0</v>
      </c>
      <c r="AI46" s="4"/>
      <c r="AJ46" s="4">
        <f>=ROUNDDOWN({0},0)</f>
      </c>
      <c r="AK46" s="5"/>
      <c r="AL46" s="2" t="s">
        <v>231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/>
      <c r="BD46" s="8"/>
      <c r="BE46" s="4"/>
      <c r="BF46" s="8"/>
      <c r="BG46" s="7"/>
      <c r="BH46" s="7"/>
      <c r="BI46" s="7"/>
      <c r="BJ46" s="4"/>
      <c r="BK46" s="8"/>
      <c r="BL46" s="2" t="s">
        <v>465</v>
      </c>
      <c r="BM46" s="7"/>
      <c r="BN46" s="7"/>
      <c r="BO46" s="4"/>
      <c r="BP46" s="8"/>
      <c r="BQ46" s="4"/>
      <c r="BR46" s="8"/>
      <c r="BS46" s="7"/>
      <c r="BT46" s="7"/>
      <c r="BU46" s="2" t="s">
        <v>466</v>
      </c>
      <c r="BV46" s="2" t="s">
        <v>231</v>
      </c>
      <c r="BW46" s="2" t="s">
        <v>231</v>
      </c>
      <c r="BX46" s="2" t="s">
        <v>231</v>
      </c>
      <c r="BY46" s="2" t="s">
        <v>277</v>
      </c>
      <c r="BZ46" s="2" t="s">
        <v>243</v>
      </c>
      <c r="CA46" s="2" t="s">
        <v>284</v>
      </c>
      <c r="CB46" s="2" t="s">
        <v>467</v>
      </c>
      <c r="CC46" s="2" t="s">
        <v>244</v>
      </c>
      <c r="CD46" s="2" t="s">
        <v>231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</row>
    <row r="47">
      <c r="A47" s="2" t="s">
        <v>468</v>
      </c>
      <c r="B47" s="2" t="s">
        <v>287</v>
      </c>
      <c r="C47" s="2" t="s">
        <v>288</v>
      </c>
      <c r="D47" s="2" t="s">
        <v>289</v>
      </c>
      <c r="E47" s="2" t="s">
        <v>290</v>
      </c>
      <c r="F47" s="2" t="s">
        <v>469</v>
      </c>
      <c r="G47" s="2" t="s">
        <v>469</v>
      </c>
      <c r="H47" s="2" t="s">
        <v>469</v>
      </c>
      <c r="I47" s="2" t="s">
        <v>470</v>
      </c>
      <c r="J47" s="2" t="s">
        <v>318</v>
      </c>
      <c r="K47" s="2" t="s">
        <v>269</v>
      </c>
      <c r="L47" s="3">
        <v>13.44</v>
      </c>
      <c r="M47" s="3">
        <v>14.11</v>
      </c>
      <c r="N47" s="3">
        <v>27.99</v>
      </c>
      <c r="O47" s="2" t="s">
        <v>243</v>
      </c>
      <c r="P47" s="2" t="s">
        <v>270</v>
      </c>
      <c r="Q47" s="2" t="s">
        <v>237</v>
      </c>
      <c r="R47" s="2" t="s">
        <v>231</v>
      </c>
      <c r="S47" s="2" t="s">
        <v>471</v>
      </c>
      <c r="T47" s="2" t="s">
        <v>472</v>
      </c>
      <c r="U47" s="2" t="s">
        <v>231</v>
      </c>
      <c r="V47" s="2" t="s">
        <v>239</v>
      </c>
      <c r="W47" s="2" t="s">
        <v>273</v>
      </c>
      <c r="X47" s="2" t="s">
        <v>231</v>
      </c>
      <c r="Y47" s="2" t="s">
        <v>274</v>
      </c>
      <c r="Z47" s="4">
        <v>162</v>
      </c>
      <c r="AA47" s="4">
        <f>=ROUNDDOWN(32.4,0)</f>
      </c>
      <c r="AB47" s="5">
        <v>5</v>
      </c>
      <c r="AC47" s="2" t="s">
        <v>231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231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231</v>
      </c>
      <c r="AW47" s="8" t="s">
        <v>231</v>
      </c>
      <c r="AX47" s="4" t="s">
        <v>231</v>
      </c>
      <c r="AY47" s="8" t="s">
        <v>231</v>
      </c>
      <c r="AZ47" s="7" t="s">
        <v>231</v>
      </c>
      <c r="BA47" s="7" t="s">
        <v>231</v>
      </c>
      <c r="BB47" s="7"/>
      <c r="BC47" s="4" t="s">
        <v>231</v>
      </c>
      <c r="BD47" s="8" t="s">
        <v>231</v>
      </c>
      <c r="BE47" s="4" t="s">
        <v>231</v>
      </c>
      <c r="BF47" s="8" t="s">
        <v>231</v>
      </c>
      <c r="BG47" s="7" t="s">
        <v>231</v>
      </c>
      <c r="BH47" s="7" t="s">
        <v>231</v>
      </c>
      <c r="BI47" s="7"/>
      <c r="BJ47" s="4">
        <v>25</v>
      </c>
      <c r="BK47" s="8">
        <v>358.12</v>
      </c>
      <c r="BL47" s="2" t="s">
        <v>473</v>
      </c>
      <c r="BM47" s="7"/>
      <c r="BN47" s="7"/>
      <c r="BO47" s="4"/>
      <c r="BP47" s="8"/>
      <c r="BQ47" s="4"/>
      <c r="BR47" s="8"/>
      <c r="BS47" s="7"/>
      <c r="BT47" s="7"/>
      <c r="BU47" s="2" t="s">
        <v>474</v>
      </c>
      <c r="BV47" s="2" t="s">
        <v>231</v>
      </c>
      <c r="BW47" s="2" t="s">
        <v>231</v>
      </c>
      <c r="BX47" s="2" t="s">
        <v>231</v>
      </c>
      <c r="BY47" s="2" t="s">
        <v>277</v>
      </c>
      <c r="BZ47" s="2" t="s">
        <v>243</v>
      </c>
      <c r="CA47" s="2" t="s">
        <v>284</v>
      </c>
      <c r="CB47" s="2" t="s">
        <v>475</v>
      </c>
      <c r="CC47" s="2" t="s">
        <v>244</v>
      </c>
      <c r="CD47" s="2" t="s">
        <v>231</v>
      </c>
      <c r="CE47" s="4">
        <v>162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</row>
    <row r="48">
      <c r="A48" s="2" t="s">
        <v>476</v>
      </c>
      <c r="B48" s="2" t="s">
        <v>287</v>
      </c>
      <c r="C48" s="2" t="s">
        <v>288</v>
      </c>
      <c r="D48" s="2" t="s">
        <v>289</v>
      </c>
      <c r="E48" s="2" t="s">
        <v>290</v>
      </c>
      <c r="F48" s="2" t="s">
        <v>469</v>
      </c>
      <c r="G48" s="2" t="s">
        <v>469</v>
      </c>
      <c r="H48" s="2" t="s">
        <v>469</v>
      </c>
      <c r="I48" s="2" t="s">
        <v>470</v>
      </c>
      <c r="J48" s="2" t="s">
        <v>268</v>
      </c>
      <c r="K48" s="2" t="s">
        <v>269</v>
      </c>
      <c r="L48" s="3">
        <v>15.19</v>
      </c>
      <c r="M48" s="3">
        <v>15.95</v>
      </c>
      <c r="N48" s="3">
        <v>30.99</v>
      </c>
      <c r="O48" s="2" t="s">
        <v>243</v>
      </c>
      <c r="P48" s="2" t="s">
        <v>270</v>
      </c>
      <c r="Q48" s="2" t="s">
        <v>237</v>
      </c>
      <c r="R48" s="2" t="s">
        <v>231</v>
      </c>
      <c r="S48" s="2" t="s">
        <v>471</v>
      </c>
      <c r="T48" s="2" t="s">
        <v>472</v>
      </c>
      <c r="U48" s="2" t="s">
        <v>231</v>
      </c>
      <c r="V48" s="2" t="s">
        <v>239</v>
      </c>
      <c r="W48" s="2" t="s">
        <v>273</v>
      </c>
      <c r="X48" s="2" t="s">
        <v>231</v>
      </c>
      <c r="Y48" s="2" t="s">
        <v>274</v>
      </c>
      <c r="Z48" s="4">
        <v>259</v>
      </c>
      <c r="AA48" s="4">
        <f>=ROUNDDOWN(287.777777777778,0)</f>
      </c>
      <c r="AB48" s="5">
        <v>0.9</v>
      </c>
      <c r="AC48" s="2" t="s">
        <v>477</v>
      </c>
      <c r="AD48" s="4">
        <v>70</v>
      </c>
      <c r="AE48" s="4">
        <v>225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231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231</v>
      </c>
      <c r="AW48" s="8" t="s">
        <v>231</v>
      </c>
      <c r="AX48" s="4" t="s">
        <v>231</v>
      </c>
      <c r="AY48" s="8" t="s">
        <v>231</v>
      </c>
      <c r="AZ48" s="7" t="s">
        <v>231</v>
      </c>
      <c r="BA48" s="7" t="s">
        <v>231</v>
      </c>
      <c r="BB48" s="7"/>
      <c r="BC48" s="4" t="s">
        <v>231</v>
      </c>
      <c r="BD48" s="8" t="s">
        <v>231</v>
      </c>
      <c r="BE48" s="4" t="s">
        <v>231</v>
      </c>
      <c r="BF48" s="8" t="s">
        <v>231</v>
      </c>
      <c r="BG48" s="7" t="s">
        <v>231</v>
      </c>
      <c r="BH48" s="7" t="s">
        <v>231</v>
      </c>
      <c r="BI48" s="7"/>
      <c r="BJ48" s="4">
        <v>7</v>
      </c>
      <c r="BK48" s="8">
        <v>108.62</v>
      </c>
      <c r="BL48" s="2" t="s">
        <v>478</v>
      </c>
      <c r="BM48" s="7"/>
      <c r="BN48" s="7"/>
      <c r="BO48" s="4"/>
      <c r="BP48" s="8"/>
      <c r="BQ48" s="4"/>
      <c r="BR48" s="8"/>
      <c r="BS48" s="7"/>
      <c r="BT48" s="7"/>
      <c r="BU48" s="2" t="s">
        <v>479</v>
      </c>
      <c r="BV48" s="2" t="s">
        <v>231</v>
      </c>
      <c r="BW48" s="2" t="s">
        <v>231</v>
      </c>
      <c r="BX48" s="2" t="s">
        <v>231</v>
      </c>
      <c r="BY48" s="2" t="s">
        <v>277</v>
      </c>
      <c r="BZ48" s="2" t="s">
        <v>243</v>
      </c>
      <c r="CA48" s="2" t="s">
        <v>284</v>
      </c>
      <c r="CB48" s="2" t="s">
        <v>480</v>
      </c>
      <c r="CC48" s="2" t="s">
        <v>244</v>
      </c>
      <c r="CD48" s="2" t="s">
        <v>231</v>
      </c>
      <c r="CE48" s="4">
        <v>259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>
        <v>70</v>
      </c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>
        <v>155</v>
      </c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</row>
    <row r="49">
      <c r="A49" s="2" t="s">
        <v>481</v>
      </c>
      <c r="B49" s="2" t="s">
        <v>287</v>
      </c>
      <c r="C49" s="2" t="s">
        <v>288</v>
      </c>
      <c r="D49" s="2" t="s">
        <v>289</v>
      </c>
      <c r="E49" s="2" t="s">
        <v>290</v>
      </c>
      <c r="F49" s="2" t="s">
        <v>469</v>
      </c>
      <c r="G49" s="2" t="s">
        <v>469</v>
      </c>
      <c r="H49" s="2" t="s">
        <v>469</v>
      </c>
      <c r="I49" s="2" t="s">
        <v>470</v>
      </c>
      <c r="J49" s="2" t="s">
        <v>304</v>
      </c>
      <c r="K49" s="2" t="s">
        <v>269</v>
      </c>
      <c r="L49" s="3">
        <v>21.5</v>
      </c>
      <c r="M49" s="3">
        <v>22.58</v>
      </c>
      <c r="N49" s="3">
        <v>42.99</v>
      </c>
      <c r="O49" s="2" t="s">
        <v>243</v>
      </c>
      <c r="P49" s="2" t="s">
        <v>270</v>
      </c>
      <c r="Q49" s="2" t="s">
        <v>237</v>
      </c>
      <c r="R49" s="2" t="s">
        <v>231</v>
      </c>
      <c r="S49" s="2" t="s">
        <v>471</v>
      </c>
      <c r="T49" s="2" t="s">
        <v>472</v>
      </c>
      <c r="U49" s="2" t="s">
        <v>231</v>
      </c>
      <c r="V49" s="2" t="s">
        <v>239</v>
      </c>
      <c r="W49" s="2" t="s">
        <v>273</v>
      </c>
      <c r="X49" s="2" t="s">
        <v>231</v>
      </c>
      <c r="Y49" s="2" t="s">
        <v>274</v>
      </c>
      <c r="Z49" s="4">
        <v>122</v>
      </c>
      <c r="AA49" s="4">
        <f>=ROUNDDOWN(24.4,0)</f>
      </c>
      <c r="AB49" s="5">
        <v>5</v>
      </c>
      <c r="AC49" s="2" t="s">
        <v>477</v>
      </c>
      <c r="AD49" s="4">
        <v>40</v>
      </c>
      <c r="AE49" s="4">
        <v>79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231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231</v>
      </c>
      <c r="AW49" s="8" t="s">
        <v>231</v>
      </c>
      <c r="AX49" s="4" t="s">
        <v>231</v>
      </c>
      <c r="AY49" s="8" t="s">
        <v>231</v>
      </c>
      <c r="AZ49" s="7" t="s">
        <v>231</v>
      </c>
      <c r="BA49" s="7" t="s">
        <v>231</v>
      </c>
      <c r="BB49" s="7"/>
      <c r="BC49" s="4" t="s">
        <v>231</v>
      </c>
      <c r="BD49" s="8" t="s">
        <v>231</v>
      </c>
      <c r="BE49" s="4" t="s">
        <v>231</v>
      </c>
      <c r="BF49" s="8" t="s">
        <v>231</v>
      </c>
      <c r="BG49" s="7" t="s">
        <v>231</v>
      </c>
      <c r="BH49" s="7" t="s">
        <v>231</v>
      </c>
      <c r="BI49" s="7"/>
      <c r="BJ49" s="4">
        <v>14</v>
      </c>
      <c r="BK49" s="8">
        <v>315.03</v>
      </c>
      <c r="BL49" s="2" t="s">
        <v>482</v>
      </c>
      <c r="BM49" s="7"/>
      <c r="BN49" s="7"/>
      <c r="BO49" s="4"/>
      <c r="BP49" s="8"/>
      <c r="BQ49" s="4"/>
      <c r="BR49" s="8"/>
      <c r="BS49" s="7"/>
      <c r="BT49" s="7"/>
      <c r="BU49" s="2" t="s">
        <v>483</v>
      </c>
      <c r="BV49" s="2" t="s">
        <v>231</v>
      </c>
      <c r="BW49" s="2" t="s">
        <v>231</v>
      </c>
      <c r="BX49" s="2" t="s">
        <v>231</v>
      </c>
      <c r="BY49" s="2" t="s">
        <v>277</v>
      </c>
      <c r="BZ49" s="2" t="s">
        <v>243</v>
      </c>
      <c r="CA49" s="2" t="s">
        <v>284</v>
      </c>
      <c r="CB49" s="2" t="s">
        <v>484</v>
      </c>
      <c r="CC49" s="2" t="s">
        <v>244</v>
      </c>
      <c r="CD49" s="2" t="s">
        <v>231</v>
      </c>
      <c r="CE49" s="4">
        <v>122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>
        <v>40</v>
      </c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>
        <v>39</v>
      </c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</row>
    <row r="50">
      <c r="A50" s="2" t="s">
        <v>485</v>
      </c>
      <c r="B50" s="2" t="s">
        <v>287</v>
      </c>
      <c r="C50" s="2" t="s">
        <v>288</v>
      </c>
      <c r="D50" s="2" t="s">
        <v>289</v>
      </c>
      <c r="E50" s="2" t="s">
        <v>290</v>
      </c>
      <c r="F50" s="2" t="s">
        <v>469</v>
      </c>
      <c r="G50" s="2" t="s">
        <v>469</v>
      </c>
      <c r="H50" s="2" t="s">
        <v>469</v>
      </c>
      <c r="I50" s="2" t="s">
        <v>470</v>
      </c>
      <c r="J50" s="2" t="s">
        <v>318</v>
      </c>
      <c r="K50" s="2" t="s">
        <v>486</v>
      </c>
      <c r="L50" s="3">
        <v>13.44</v>
      </c>
      <c r="M50" s="3">
        <v>14.11</v>
      </c>
      <c r="N50" s="3">
        <v>27.99</v>
      </c>
      <c r="O50" s="2" t="s">
        <v>243</v>
      </c>
      <c r="P50" s="2" t="s">
        <v>270</v>
      </c>
      <c r="Q50" s="2" t="s">
        <v>237</v>
      </c>
      <c r="R50" s="2" t="s">
        <v>231</v>
      </c>
      <c r="S50" s="2" t="s">
        <v>487</v>
      </c>
      <c r="T50" s="2" t="s">
        <v>472</v>
      </c>
      <c r="U50" s="2" t="s">
        <v>231</v>
      </c>
      <c r="V50" s="2" t="s">
        <v>239</v>
      </c>
      <c r="W50" s="2" t="s">
        <v>273</v>
      </c>
      <c r="X50" s="2" t="s">
        <v>231</v>
      </c>
      <c r="Y50" s="2" t="s">
        <v>488</v>
      </c>
      <c r="Z50" s="4">
        <v>173</v>
      </c>
      <c r="AA50" s="4">
        <f>=ROUNDDOWN(34.6,0)</f>
      </c>
      <c r="AB50" s="5">
        <v>5</v>
      </c>
      <c r="AC50" s="2" t="s">
        <v>477</v>
      </c>
      <c r="AD50" s="4">
        <v>30</v>
      </c>
      <c r="AE50" s="4">
        <v>30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231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231</v>
      </c>
      <c r="AW50" s="8" t="s">
        <v>231</v>
      </c>
      <c r="AX50" s="4" t="s">
        <v>231</v>
      </c>
      <c r="AY50" s="8" t="s">
        <v>231</v>
      </c>
      <c r="AZ50" s="7" t="s">
        <v>231</v>
      </c>
      <c r="BA50" s="7" t="s">
        <v>231</v>
      </c>
      <c r="BB50" s="7"/>
      <c r="BC50" s="4" t="s">
        <v>231</v>
      </c>
      <c r="BD50" s="8" t="s">
        <v>231</v>
      </c>
      <c r="BE50" s="4" t="s">
        <v>231</v>
      </c>
      <c r="BF50" s="8" t="s">
        <v>231</v>
      </c>
      <c r="BG50" s="7" t="s">
        <v>231</v>
      </c>
      <c r="BH50" s="7" t="s">
        <v>231</v>
      </c>
      <c r="BI50" s="7"/>
      <c r="BJ50" s="4">
        <v>13</v>
      </c>
      <c r="BK50" s="8">
        <v>186.11</v>
      </c>
      <c r="BL50" s="2" t="s">
        <v>489</v>
      </c>
      <c r="BM50" s="7"/>
      <c r="BN50" s="7"/>
      <c r="BO50" s="4"/>
      <c r="BP50" s="8"/>
      <c r="BQ50" s="4"/>
      <c r="BR50" s="8"/>
      <c r="BS50" s="7"/>
      <c r="BT50" s="7"/>
      <c r="BU50" s="2" t="s">
        <v>490</v>
      </c>
      <c r="BV50" s="2" t="s">
        <v>231</v>
      </c>
      <c r="BW50" s="2" t="s">
        <v>231</v>
      </c>
      <c r="BX50" s="2" t="s">
        <v>231</v>
      </c>
      <c r="BY50" s="2" t="s">
        <v>277</v>
      </c>
      <c r="BZ50" s="2" t="s">
        <v>243</v>
      </c>
      <c r="CA50" s="2" t="s">
        <v>491</v>
      </c>
      <c r="CB50" s="2" t="s">
        <v>492</v>
      </c>
      <c r="CC50" s="2" t="s">
        <v>244</v>
      </c>
      <c r="CD50" s="2" t="s">
        <v>231</v>
      </c>
      <c r="CE50" s="4">
        <v>173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>
        <v>30</v>
      </c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</row>
    <row r="51">
      <c r="A51" s="2" t="s">
        <v>493</v>
      </c>
      <c r="B51" s="2" t="s">
        <v>287</v>
      </c>
      <c r="C51" s="2" t="s">
        <v>288</v>
      </c>
      <c r="D51" s="2" t="s">
        <v>289</v>
      </c>
      <c r="E51" s="2" t="s">
        <v>290</v>
      </c>
      <c r="F51" s="2" t="s">
        <v>469</v>
      </c>
      <c r="G51" s="2" t="s">
        <v>469</v>
      </c>
      <c r="H51" s="2" t="s">
        <v>469</v>
      </c>
      <c r="I51" s="2" t="s">
        <v>470</v>
      </c>
      <c r="J51" s="2" t="s">
        <v>268</v>
      </c>
      <c r="K51" s="2" t="s">
        <v>486</v>
      </c>
      <c r="L51" s="3">
        <v>15.19</v>
      </c>
      <c r="M51" s="3">
        <v>15.95</v>
      </c>
      <c r="N51" s="3">
        <v>30.99</v>
      </c>
      <c r="O51" s="2" t="s">
        <v>243</v>
      </c>
      <c r="P51" s="2" t="s">
        <v>270</v>
      </c>
      <c r="Q51" s="2" t="s">
        <v>237</v>
      </c>
      <c r="R51" s="2" t="s">
        <v>231</v>
      </c>
      <c r="S51" s="2" t="s">
        <v>487</v>
      </c>
      <c r="T51" s="2" t="s">
        <v>472</v>
      </c>
      <c r="U51" s="2" t="s">
        <v>231</v>
      </c>
      <c r="V51" s="2" t="s">
        <v>239</v>
      </c>
      <c r="W51" s="2" t="s">
        <v>273</v>
      </c>
      <c r="X51" s="2" t="s">
        <v>231</v>
      </c>
      <c r="Y51" s="2" t="s">
        <v>488</v>
      </c>
      <c r="Z51" s="4">
        <v>300</v>
      </c>
      <c r="AA51" s="4">
        <f>=ROUNDDOWN(78.9473684210526,0)</f>
      </c>
      <c r="AB51" s="5">
        <v>3.8</v>
      </c>
      <c r="AC51" s="2" t="s">
        <v>477</v>
      </c>
      <c r="AD51" s="4">
        <v>60</v>
      </c>
      <c r="AE51" s="4">
        <v>130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231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231</v>
      </c>
      <c r="AW51" s="8" t="s">
        <v>231</v>
      </c>
      <c r="AX51" s="4" t="s">
        <v>231</v>
      </c>
      <c r="AY51" s="8" t="s">
        <v>231</v>
      </c>
      <c r="AZ51" s="7" t="s">
        <v>231</v>
      </c>
      <c r="BA51" s="7" t="s">
        <v>231</v>
      </c>
      <c r="BB51" s="7"/>
      <c r="BC51" s="4" t="s">
        <v>231</v>
      </c>
      <c r="BD51" s="8" t="s">
        <v>231</v>
      </c>
      <c r="BE51" s="4" t="s">
        <v>231</v>
      </c>
      <c r="BF51" s="8" t="s">
        <v>231</v>
      </c>
      <c r="BG51" s="7" t="s">
        <v>231</v>
      </c>
      <c r="BH51" s="7" t="s">
        <v>231</v>
      </c>
      <c r="BI51" s="7"/>
      <c r="BJ51" s="4">
        <v>21</v>
      </c>
      <c r="BK51" s="8">
        <v>334.71</v>
      </c>
      <c r="BL51" s="2" t="s">
        <v>494</v>
      </c>
      <c r="BM51" s="7"/>
      <c r="BN51" s="7"/>
      <c r="BO51" s="4"/>
      <c r="BP51" s="8"/>
      <c r="BQ51" s="4"/>
      <c r="BR51" s="8"/>
      <c r="BS51" s="7"/>
      <c r="BT51" s="7"/>
      <c r="BU51" s="2" t="s">
        <v>495</v>
      </c>
      <c r="BV51" s="2" t="s">
        <v>231</v>
      </c>
      <c r="BW51" s="2" t="s">
        <v>231</v>
      </c>
      <c r="BX51" s="2" t="s">
        <v>231</v>
      </c>
      <c r="BY51" s="2" t="s">
        <v>277</v>
      </c>
      <c r="BZ51" s="2" t="s">
        <v>243</v>
      </c>
      <c r="CA51" s="2" t="s">
        <v>491</v>
      </c>
      <c r="CB51" s="2" t="s">
        <v>496</v>
      </c>
      <c r="CC51" s="2" t="s">
        <v>244</v>
      </c>
      <c r="CD51" s="2" t="s">
        <v>231</v>
      </c>
      <c r="CE51" s="4">
        <v>300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>
        <v>60</v>
      </c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>
        <v>70</v>
      </c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</row>
    <row r="52">
      <c r="A52" s="2" t="s">
        <v>497</v>
      </c>
      <c r="B52" s="2" t="s">
        <v>287</v>
      </c>
      <c r="C52" s="2" t="s">
        <v>288</v>
      </c>
      <c r="D52" s="2" t="s">
        <v>289</v>
      </c>
      <c r="E52" s="2" t="s">
        <v>290</v>
      </c>
      <c r="F52" s="2" t="s">
        <v>469</v>
      </c>
      <c r="G52" s="2" t="s">
        <v>469</v>
      </c>
      <c r="H52" s="2" t="s">
        <v>469</v>
      </c>
      <c r="I52" s="2" t="s">
        <v>470</v>
      </c>
      <c r="J52" s="2" t="s">
        <v>281</v>
      </c>
      <c r="K52" s="2" t="s">
        <v>486</v>
      </c>
      <c r="L52" s="3">
        <v>16.5</v>
      </c>
      <c r="M52" s="3">
        <v>17.32</v>
      </c>
      <c r="N52" s="3">
        <v>32.99</v>
      </c>
      <c r="O52" s="2" t="s">
        <v>243</v>
      </c>
      <c r="P52" s="2" t="s">
        <v>270</v>
      </c>
      <c r="Q52" s="2" t="s">
        <v>237</v>
      </c>
      <c r="R52" s="2" t="s">
        <v>231</v>
      </c>
      <c r="S52" s="2" t="s">
        <v>487</v>
      </c>
      <c r="T52" s="2" t="s">
        <v>472</v>
      </c>
      <c r="U52" s="2" t="s">
        <v>231</v>
      </c>
      <c r="V52" s="2" t="s">
        <v>239</v>
      </c>
      <c r="W52" s="2" t="s">
        <v>273</v>
      </c>
      <c r="X52" s="2" t="s">
        <v>231</v>
      </c>
      <c r="Y52" s="2" t="s">
        <v>488</v>
      </c>
      <c r="Z52" s="4">
        <v>228</v>
      </c>
      <c r="AA52" s="4">
        <f>=ROUNDDOWN(17.5384615384615,0)</f>
      </c>
      <c r="AB52" s="5">
        <v>13</v>
      </c>
      <c r="AC52" s="2" t="s">
        <v>477</v>
      </c>
      <c r="AD52" s="4">
        <v>60</v>
      </c>
      <c r="AE52" s="4">
        <v>270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231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231</v>
      </c>
      <c r="AW52" s="8" t="s">
        <v>231</v>
      </c>
      <c r="AX52" s="4" t="s">
        <v>231</v>
      </c>
      <c r="AY52" s="8" t="s">
        <v>231</v>
      </c>
      <c r="AZ52" s="7" t="s">
        <v>231</v>
      </c>
      <c r="BA52" s="7" t="s">
        <v>231</v>
      </c>
      <c r="BB52" s="7"/>
      <c r="BC52" s="4" t="s">
        <v>231</v>
      </c>
      <c r="BD52" s="8" t="s">
        <v>231</v>
      </c>
      <c r="BE52" s="4" t="s">
        <v>231</v>
      </c>
      <c r="BF52" s="8" t="s">
        <v>231</v>
      </c>
      <c r="BG52" s="7" t="s">
        <v>231</v>
      </c>
      <c r="BH52" s="7" t="s">
        <v>231</v>
      </c>
      <c r="BI52" s="7"/>
      <c r="BJ52" s="4">
        <v>26</v>
      </c>
      <c r="BK52" s="8">
        <v>455.07</v>
      </c>
      <c r="BL52" s="2" t="s">
        <v>498</v>
      </c>
      <c r="BM52" s="7"/>
      <c r="BN52" s="7"/>
      <c r="BO52" s="4"/>
      <c r="BP52" s="8"/>
      <c r="BQ52" s="4"/>
      <c r="BR52" s="8"/>
      <c r="BS52" s="7"/>
      <c r="BT52" s="7"/>
      <c r="BU52" s="2" t="s">
        <v>499</v>
      </c>
      <c r="BV52" s="2" t="s">
        <v>231</v>
      </c>
      <c r="BW52" s="2" t="s">
        <v>231</v>
      </c>
      <c r="BX52" s="2" t="s">
        <v>231</v>
      </c>
      <c r="BY52" s="2" t="s">
        <v>277</v>
      </c>
      <c r="BZ52" s="2" t="s">
        <v>243</v>
      </c>
      <c r="CA52" s="2" t="s">
        <v>491</v>
      </c>
      <c r="CB52" s="2" t="s">
        <v>500</v>
      </c>
      <c r="CC52" s="2" t="s">
        <v>244</v>
      </c>
      <c r="CD52" s="2" t="s">
        <v>231</v>
      </c>
      <c r="CE52" s="4">
        <v>228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>
        <v>60</v>
      </c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>
        <v>90</v>
      </c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>
        <v>30</v>
      </c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>
        <v>90</v>
      </c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</row>
    <row r="53">
      <c r="A53" s="2" t="s">
        <v>501</v>
      </c>
      <c r="B53" s="2" t="s">
        <v>287</v>
      </c>
      <c r="C53" s="2" t="s">
        <v>288</v>
      </c>
      <c r="D53" s="2" t="s">
        <v>289</v>
      </c>
      <c r="E53" s="2" t="s">
        <v>290</v>
      </c>
      <c r="F53" s="2" t="s">
        <v>469</v>
      </c>
      <c r="G53" s="2" t="s">
        <v>469</v>
      </c>
      <c r="H53" s="2" t="s">
        <v>469</v>
      </c>
      <c r="I53" s="2" t="s">
        <v>470</v>
      </c>
      <c r="J53" s="2" t="s">
        <v>302</v>
      </c>
      <c r="K53" s="2" t="s">
        <v>486</v>
      </c>
      <c r="L53" s="3">
        <v>21.5</v>
      </c>
      <c r="M53" s="3">
        <v>22.58</v>
      </c>
      <c r="N53" s="3">
        <v>42.99</v>
      </c>
      <c r="O53" s="2" t="s">
        <v>243</v>
      </c>
      <c r="P53" s="2" t="s">
        <v>270</v>
      </c>
      <c r="Q53" s="2" t="s">
        <v>237</v>
      </c>
      <c r="R53" s="2" t="s">
        <v>231</v>
      </c>
      <c r="S53" s="2" t="s">
        <v>487</v>
      </c>
      <c r="T53" s="2" t="s">
        <v>472</v>
      </c>
      <c r="U53" s="2" t="s">
        <v>231</v>
      </c>
      <c r="V53" s="2" t="s">
        <v>239</v>
      </c>
      <c r="W53" s="2" t="s">
        <v>273</v>
      </c>
      <c r="X53" s="2" t="s">
        <v>231</v>
      </c>
      <c r="Y53" s="2" t="s">
        <v>488</v>
      </c>
      <c r="Z53" s="4">
        <v>253</v>
      </c>
      <c r="AA53" s="4">
        <f>=ROUNDDOWN(16.8666666666667,0)</f>
      </c>
      <c r="AB53" s="5">
        <v>15</v>
      </c>
      <c r="AC53" s="2" t="s">
        <v>477</v>
      </c>
      <c r="AD53" s="4">
        <v>60</v>
      </c>
      <c r="AE53" s="4">
        <v>260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231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231</v>
      </c>
      <c r="AW53" s="8" t="s">
        <v>231</v>
      </c>
      <c r="AX53" s="4" t="s">
        <v>231</v>
      </c>
      <c r="AY53" s="8" t="s">
        <v>231</v>
      </c>
      <c r="AZ53" s="7" t="s">
        <v>231</v>
      </c>
      <c r="BA53" s="7" t="s">
        <v>231</v>
      </c>
      <c r="BB53" s="7"/>
      <c r="BC53" s="4" t="s">
        <v>231</v>
      </c>
      <c r="BD53" s="8" t="s">
        <v>231</v>
      </c>
      <c r="BE53" s="4" t="s">
        <v>231</v>
      </c>
      <c r="BF53" s="8" t="s">
        <v>231</v>
      </c>
      <c r="BG53" s="7" t="s">
        <v>231</v>
      </c>
      <c r="BH53" s="7" t="s">
        <v>231</v>
      </c>
      <c r="BI53" s="7"/>
      <c r="BJ53" s="4">
        <v>42</v>
      </c>
      <c r="BK53" s="8">
        <v>989.83</v>
      </c>
      <c r="BL53" s="2" t="s">
        <v>502</v>
      </c>
      <c r="BM53" s="7"/>
      <c r="BN53" s="7"/>
      <c r="BO53" s="4"/>
      <c r="BP53" s="8"/>
      <c r="BQ53" s="4"/>
      <c r="BR53" s="8"/>
      <c r="BS53" s="7"/>
      <c r="BT53" s="7"/>
      <c r="BU53" s="2" t="s">
        <v>503</v>
      </c>
      <c r="BV53" s="2" t="s">
        <v>231</v>
      </c>
      <c r="BW53" s="2" t="s">
        <v>231</v>
      </c>
      <c r="BX53" s="2" t="s">
        <v>231</v>
      </c>
      <c r="BY53" s="2" t="s">
        <v>277</v>
      </c>
      <c r="BZ53" s="2" t="s">
        <v>243</v>
      </c>
      <c r="CA53" s="2" t="s">
        <v>491</v>
      </c>
      <c r="CB53" s="2" t="s">
        <v>504</v>
      </c>
      <c r="CC53" s="2" t="s">
        <v>244</v>
      </c>
      <c r="CD53" s="2" t="s">
        <v>231</v>
      </c>
      <c r="CE53" s="4">
        <v>253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>
        <v>60</v>
      </c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>
        <v>110</v>
      </c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>
        <v>30</v>
      </c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>
        <v>60</v>
      </c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</row>
    <row r="54">
      <c r="A54" s="2" t="s">
        <v>505</v>
      </c>
      <c r="B54" s="2" t="s">
        <v>287</v>
      </c>
      <c r="C54" s="2" t="s">
        <v>288</v>
      </c>
      <c r="D54" s="2" t="s">
        <v>289</v>
      </c>
      <c r="E54" s="2" t="s">
        <v>290</v>
      </c>
      <c r="F54" s="2" t="s">
        <v>469</v>
      </c>
      <c r="G54" s="2" t="s">
        <v>469</v>
      </c>
      <c r="H54" s="2" t="s">
        <v>469</v>
      </c>
      <c r="I54" s="2" t="s">
        <v>470</v>
      </c>
      <c r="J54" s="2" t="s">
        <v>268</v>
      </c>
      <c r="K54" s="2" t="s">
        <v>253</v>
      </c>
      <c r="L54" s="3">
        <v>15.19</v>
      </c>
      <c r="M54" s="3">
        <v>15.95</v>
      </c>
      <c r="N54" s="3">
        <v>30.99</v>
      </c>
      <c r="O54" s="2" t="s">
        <v>243</v>
      </c>
      <c r="P54" s="2" t="s">
        <v>270</v>
      </c>
      <c r="Q54" s="2" t="s">
        <v>237</v>
      </c>
      <c r="R54" s="2" t="s">
        <v>231</v>
      </c>
      <c r="S54" s="2" t="s">
        <v>506</v>
      </c>
      <c r="T54" s="2" t="s">
        <v>472</v>
      </c>
      <c r="U54" s="2" t="s">
        <v>231</v>
      </c>
      <c r="V54" s="2" t="s">
        <v>239</v>
      </c>
      <c r="W54" s="2" t="s">
        <v>273</v>
      </c>
      <c r="X54" s="2" t="s">
        <v>231</v>
      </c>
      <c r="Y54" s="2" t="s">
        <v>274</v>
      </c>
      <c r="Z54" s="4">
        <v>337</v>
      </c>
      <c r="AA54" s="4">
        <f>=ROUNDDOWN(48.1428571428571,0)</f>
      </c>
      <c r="AB54" s="5">
        <v>7</v>
      </c>
      <c r="AC54" s="2" t="s">
        <v>477</v>
      </c>
      <c r="AD54" s="4">
        <v>45</v>
      </c>
      <c r="AE54" s="4">
        <v>378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231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231</v>
      </c>
      <c r="AW54" s="8" t="s">
        <v>231</v>
      </c>
      <c r="AX54" s="4" t="s">
        <v>231</v>
      </c>
      <c r="AY54" s="8" t="s">
        <v>231</v>
      </c>
      <c r="AZ54" s="7" t="s">
        <v>231</v>
      </c>
      <c r="BA54" s="7" t="s">
        <v>231</v>
      </c>
      <c r="BB54" s="7"/>
      <c r="BC54" s="4" t="s">
        <v>231</v>
      </c>
      <c r="BD54" s="8" t="s">
        <v>231</v>
      </c>
      <c r="BE54" s="4" t="s">
        <v>231</v>
      </c>
      <c r="BF54" s="8" t="s">
        <v>231</v>
      </c>
      <c r="BG54" s="7" t="s">
        <v>231</v>
      </c>
      <c r="BH54" s="7" t="s">
        <v>231</v>
      </c>
      <c r="BI54" s="7"/>
      <c r="BJ54" s="4">
        <v>22</v>
      </c>
      <c r="BK54" s="8">
        <v>331.15</v>
      </c>
      <c r="BL54" s="2" t="s">
        <v>507</v>
      </c>
      <c r="BM54" s="7"/>
      <c r="BN54" s="7"/>
      <c r="BO54" s="4"/>
      <c r="BP54" s="8"/>
      <c r="BQ54" s="4"/>
      <c r="BR54" s="8"/>
      <c r="BS54" s="7"/>
      <c r="BT54" s="7"/>
      <c r="BU54" s="2" t="s">
        <v>508</v>
      </c>
      <c r="BV54" s="2" t="s">
        <v>231</v>
      </c>
      <c r="BW54" s="2" t="s">
        <v>231</v>
      </c>
      <c r="BX54" s="2" t="s">
        <v>231</v>
      </c>
      <c r="BY54" s="2" t="s">
        <v>277</v>
      </c>
      <c r="BZ54" s="2" t="s">
        <v>243</v>
      </c>
      <c r="CA54" s="2" t="s">
        <v>284</v>
      </c>
      <c r="CB54" s="2" t="s">
        <v>509</v>
      </c>
      <c r="CC54" s="2" t="s">
        <v>244</v>
      </c>
      <c r="CD54" s="2" t="s">
        <v>231</v>
      </c>
      <c r="CE54" s="4">
        <v>337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>
        <v>45</v>
      </c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>
        <v>153</v>
      </c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>
        <v>100</v>
      </c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>
        <v>80</v>
      </c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</row>
    <row r="55">
      <c r="A55" s="2" t="s">
        <v>510</v>
      </c>
      <c r="B55" s="2" t="s">
        <v>287</v>
      </c>
      <c r="C55" s="2" t="s">
        <v>288</v>
      </c>
      <c r="D55" s="2" t="s">
        <v>289</v>
      </c>
      <c r="E55" s="2" t="s">
        <v>290</v>
      </c>
      <c r="F55" s="2" t="s">
        <v>469</v>
      </c>
      <c r="G55" s="2" t="s">
        <v>469</v>
      </c>
      <c r="H55" s="2" t="s">
        <v>469</v>
      </c>
      <c r="I55" s="2" t="s">
        <v>470</v>
      </c>
      <c r="J55" s="2" t="s">
        <v>281</v>
      </c>
      <c r="K55" s="2" t="s">
        <v>253</v>
      </c>
      <c r="L55" s="3">
        <v>16.5</v>
      </c>
      <c r="M55" s="3">
        <v>17.32</v>
      </c>
      <c r="N55" s="3">
        <v>32.99</v>
      </c>
      <c r="O55" s="2" t="s">
        <v>243</v>
      </c>
      <c r="P55" s="2" t="s">
        <v>270</v>
      </c>
      <c r="Q55" s="2" t="s">
        <v>237</v>
      </c>
      <c r="R55" s="2" t="s">
        <v>231</v>
      </c>
      <c r="S55" s="2" t="s">
        <v>506</v>
      </c>
      <c r="T55" s="2" t="s">
        <v>472</v>
      </c>
      <c r="U55" s="2" t="s">
        <v>231</v>
      </c>
      <c r="V55" s="2" t="s">
        <v>239</v>
      </c>
      <c r="W55" s="2" t="s">
        <v>273</v>
      </c>
      <c r="X55" s="2" t="s">
        <v>231</v>
      </c>
      <c r="Y55" s="2" t="s">
        <v>274</v>
      </c>
      <c r="Z55" s="4">
        <v>109</v>
      </c>
      <c r="AA55" s="4">
        <f>=ROUNDDOWN(12.1111111111111,0)</f>
      </c>
      <c r="AB55" s="5">
        <v>9</v>
      </c>
      <c r="AC55" s="2" t="s">
        <v>477</v>
      </c>
      <c r="AD55" s="4">
        <v>45</v>
      </c>
      <c r="AE55" s="4">
        <v>235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231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231</v>
      </c>
      <c r="AW55" s="8" t="s">
        <v>231</v>
      </c>
      <c r="AX55" s="4" t="s">
        <v>231</v>
      </c>
      <c r="AY55" s="8" t="s">
        <v>231</v>
      </c>
      <c r="AZ55" s="7" t="s">
        <v>231</v>
      </c>
      <c r="BA55" s="7" t="s">
        <v>231</v>
      </c>
      <c r="BB55" s="7"/>
      <c r="BC55" s="4" t="s">
        <v>231</v>
      </c>
      <c r="BD55" s="8" t="s">
        <v>231</v>
      </c>
      <c r="BE55" s="4" t="s">
        <v>231</v>
      </c>
      <c r="BF55" s="8" t="s">
        <v>231</v>
      </c>
      <c r="BG55" s="7" t="s">
        <v>231</v>
      </c>
      <c r="BH55" s="7" t="s">
        <v>231</v>
      </c>
      <c r="BI55" s="7"/>
      <c r="BJ55" s="4">
        <v>18</v>
      </c>
      <c r="BK55" s="8">
        <v>329.67</v>
      </c>
      <c r="BL55" s="2" t="s">
        <v>511</v>
      </c>
      <c r="BM55" s="7"/>
      <c r="BN55" s="7"/>
      <c r="BO55" s="4"/>
      <c r="BP55" s="8"/>
      <c r="BQ55" s="4"/>
      <c r="BR55" s="8"/>
      <c r="BS55" s="7"/>
      <c r="BT55" s="7"/>
      <c r="BU55" s="2" t="s">
        <v>512</v>
      </c>
      <c r="BV55" s="2" t="s">
        <v>231</v>
      </c>
      <c r="BW55" s="2" t="s">
        <v>231</v>
      </c>
      <c r="BX55" s="2" t="s">
        <v>231</v>
      </c>
      <c r="BY55" s="2" t="s">
        <v>277</v>
      </c>
      <c r="BZ55" s="2" t="s">
        <v>243</v>
      </c>
      <c r="CA55" s="2" t="s">
        <v>284</v>
      </c>
      <c r="CB55" s="2" t="s">
        <v>513</v>
      </c>
      <c r="CC55" s="2" t="s">
        <v>244</v>
      </c>
      <c r="CD55" s="2" t="s">
        <v>231</v>
      </c>
      <c r="CE55" s="4">
        <v>109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>
        <v>45</v>
      </c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>
        <v>100</v>
      </c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>
        <v>30</v>
      </c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>
        <v>60</v>
      </c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</row>
    <row r="56">
      <c r="A56" s="2" t="s">
        <v>514</v>
      </c>
      <c r="B56" s="2" t="s">
        <v>287</v>
      </c>
      <c r="C56" s="2" t="s">
        <v>288</v>
      </c>
      <c r="D56" s="2" t="s">
        <v>289</v>
      </c>
      <c r="E56" s="2" t="s">
        <v>290</v>
      </c>
      <c r="F56" s="2" t="s">
        <v>469</v>
      </c>
      <c r="G56" s="2" t="s">
        <v>469</v>
      </c>
      <c r="H56" s="2" t="s">
        <v>469</v>
      </c>
      <c r="I56" s="2" t="s">
        <v>470</v>
      </c>
      <c r="J56" s="2" t="s">
        <v>293</v>
      </c>
      <c r="K56" s="2" t="s">
        <v>253</v>
      </c>
      <c r="L56" s="3">
        <v>19</v>
      </c>
      <c r="M56" s="3">
        <v>19.95</v>
      </c>
      <c r="N56" s="3">
        <v>37.99</v>
      </c>
      <c r="O56" s="2" t="s">
        <v>243</v>
      </c>
      <c r="P56" s="2" t="s">
        <v>270</v>
      </c>
      <c r="Q56" s="2" t="s">
        <v>237</v>
      </c>
      <c r="R56" s="2" t="s">
        <v>231</v>
      </c>
      <c r="S56" s="2" t="s">
        <v>506</v>
      </c>
      <c r="T56" s="2" t="s">
        <v>472</v>
      </c>
      <c r="U56" s="2" t="s">
        <v>231</v>
      </c>
      <c r="V56" s="2" t="s">
        <v>239</v>
      </c>
      <c r="W56" s="2" t="s">
        <v>273</v>
      </c>
      <c r="X56" s="2" t="s">
        <v>231</v>
      </c>
      <c r="Y56" s="2" t="s">
        <v>274</v>
      </c>
      <c r="Z56" s="4">
        <v>394</v>
      </c>
      <c r="AA56" s="4">
        <f>=ROUNDDOWN(20.8465608465608,0)</f>
      </c>
      <c r="AB56" s="5">
        <v>18.9</v>
      </c>
      <c r="AC56" s="2" t="s">
        <v>321</v>
      </c>
      <c r="AD56" s="4">
        <v>130</v>
      </c>
      <c r="AE56" s="4">
        <v>510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231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231</v>
      </c>
      <c r="AW56" s="8" t="s">
        <v>231</v>
      </c>
      <c r="AX56" s="4" t="s">
        <v>231</v>
      </c>
      <c r="AY56" s="8" t="s">
        <v>231</v>
      </c>
      <c r="AZ56" s="7" t="s">
        <v>231</v>
      </c>
      <c r="BA56" s="7" t="s">
        <v>231</v>
      </c>
      <c r="BB56" s="7"/>
      <c r="BC56" s="4" t="s">
        <v>231</v>
      </c>
      <c r="BD56" s="8" t="s">
        <v>231</v>
      </c>
      <c r="BE56" s="4" t="s">
        <v>231</v>
      </c>
      <c r="BF56" s="8" t="s">
        <v>231</v>
      </c>
      <c r="BG56" s="7" t="s">
        <v>231</v>
      </c>
      <c r="BH56" s="7" t="s">
        <v>231</v>
      </c>
      <c r="BI56" s="7"/>
      <c r="BJ56" s="4">
        <v>77</v>
      </c>
      <c r="BK56" s="8">
        <v>1544.83</v>
      </c>
      <c r="BL56" s="2" t="s">
        <v>515</v>
      </c>
      <c r="BM56" s="7"/>
      <c r="BN56" s="7"/>
      <c r="BO56" s="4"/>
      <c r="BP56" s="8"/>
      <c r="BQ56" s="4"/>
      <c r="BR56" s="8"/>
      <c r="BS56" s="7"/>
      <c r="BT56" s="7"/>
      <c r="BU56" s="2" t="s">
        <v>516</v>
      </c>
      <c r="BV56" s="2" t="s">
        <v>231</v>
      </c>
      <c r="BW56" s="2" t="s">
        <v>231</v>
      </c>
      <c r="BX56" s="2" t="s">
        <v>231</v>
      </c>
      <c r="BY56" s="2" t="s">
        <v>277</v>
      </c>
      <c r="BZ56" s="2" t="s">
        <v>243</v>
      </c>
      <c r="CA56" s="2" t="s">
        <v>284</v>
      </c>
      <c r="CB56" s="2" t="s">
        <v>517</v>
      </c>
      <c r="CC56" s="2" t="s">
        <v>244</v>
      </c>
      <c r="CD56" s="2" t="s">
        <v>231</v>
      </c>
      <c r="CE56" s="4">
        <v>394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>
        <v>130</v>
      </c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>
        <v>180</v>
      </c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>
        <v>200</v>
      </c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</row>
    <row r="57">
      <c r="A57" s="2" t="s">
        <v>518</v>
      </c>
      <c r="B57" s="2" t="s">
        <v>287</v>
      </c>
      <c r="C57" s="2" t="s">
        <v>288</v>
      </c>
      <c r="D57" s="2" t="s">
        <v>289</v>
      </c>
      <c r="E57" s="2" t="s">
        <v>290</v>
      </c>
      <c r="F57" s="2" t="s">
        <v>469</v>
      </c>
      <c r="G57" s="2" t="s">
        <v>469</v>
      </c>
      <c r="H57" s="2" t="s">
        <v>469</v>
      </c>
      <c r="I57" s="2" t="s">
        <v>470</v>
      </c>
      <c r="J57" s="2" t="s">
        <v>302</v>
      </c>
      <c r="K57" s="2" t="s">
        <v>253</v>
      </c>
      <c r="L57" s="3">
        <v>21.5</v>
      </c>
      <c r="M57" s="3">
        <v>22.58</v>
      </c>
      <c r="N57" s="3">
        <v>42.99</v>
      </c>
      <c r="O57" s="2" t="s">
        <v>243</v>
      </c>
      <c r="P57" s="2" t="s">
        <v>270</v>
      </c>
      <c r="Q57" s="2" t="s">
        <v>237</v>
      </c>
      <c r="R57" s="2" t="s">
        <v>231</v>
      </c>
      <c r="S57" s="2" t="s">
        <v>506</v>
      </c>
      <c r="T57" s="2" t="s">
        <v>472</v>
      </c>
      <c r="U57" s="2" t="s">
        <v>231</v>
      </c>
      <c r="V57" s="2" t="s">
        <v>239</v>
      </c>
      <c r="W57" s="2" t="s">
        <v>273</v>
      </c>
      <c r="X57" s="2" t="s">
        <v>231</v>
      </c>
      <c r="Y57" s="2" t="s">
        <v>274</v>
      </c>
      <c r="Z57" s="4">
        <v>280</v>
      </c>
      <c r="AA57" s="4">
        <f>=ROUNDDOWN(11.965811965812,0)</f>
      </c>
      <c r="AB57" s="5">
        <v>23.4</v>
      </c>
      <c r="AC57" s="2" t="s">
        <v>321</v>
      </c>
      <c r="AD57" s="4">
        <v>60</v>
      </c>
      <c r="AE57" s="4">
        <v>250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231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231</v>
      </c>
      <c r="AW57" s="8" t="s">
        <v>231</v>
      </c>
      <c r="AX57" s="4" t="s">
        <v>231</v>
      </c>
      <c r="AY57" s="8" t="s">
        <v>231</v>
      </c>
      <c r="AZ57" s="7" t="s">
        <v>231</v>
      </c>
      <c r="BA57" s="7" t="s">
        <v>231</v>
      </c>
      <c r="BB57" s="7"/>
      <c r="BC57" s="4" t="s">
        <v>231</v>
      </c>
      <c r="BD57" s="8" t="s">
        <v>231</v>
      </c>
      <c r="BE57" s="4" t="s">
        <v>231</v>
      </c>
      <c r="BF57" s="8" t="s">
        <v>231</v>
      </c>
      <c r="BG57" s="7" t="s">
        <v>231</v>
      </c>
      <c r="BH57" s="7" t="s">
        <v>231</v>
      </c>
      <c r="BI57" s="7"/>
      <c r="BJ57" s="4">
        <v>71</v>
      </c>
      <c r="BK57" s="8">
        <v>1604.12</v>
      </c>
      <c r="BL57" s="2" t="s">
        <v>519</v>
      </c>
      <c r="BM57" s="7"/>
      <c r="BN57" s="7"/>
      <c r="BO57" s="4"/>
      <c r="BP57" s="8"/>
      <c r="BQ57" s="4"/>
      <c r="BR57" s="8"/>
      <c r="BS57" s="7"/>
      <c r="BT57" s="7"/>
      <c r="BU57" s="2" t="s">
        <v>520</v>
      </c>
      <c r="BV57" s="2" t="s">
        <v>231</v>
      </c>
      <c r="BW57" s="2" t="s">
        <v>231</v>
      </c>
      <c r="BX57" s="2" t="s">
        <v>231</v>
      </c>
      <c r="BY57" s="2" t="s">
        <v>277</v>
      </c>
      <c r="BZ57" s="2" t="s">
        <v>243</v>
      </c>
      <c r="CA57" s="2" t="s">
        <v>284</v>
      </c>
      <c r="CB57" s="2" t="s">
        <v>521</v>
      </c>
      <c r="CC57" s="2" t="s">
        <v>244</v>
      </c>
      <c r="CD57" s="2" t="s">
        <v>231</v>
      </c>
      <c r="CE57" s="4">
        <v>280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>
        <v>60</v>
      </c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>
        <v>70</v>
      </c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>
        <v>120</v>
      </c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</row>
    <row r="58">
      <c r="A58" s="2" t="s">
        <v>522</v>
      </c>
      <c r="B58" s="2" t="s">
        <v>287</v>
      </c>
      <c r="C58" s="2" t="s">
        <v>288</v>
      </c>
      <c r="D58" s="2" t="s">
        <v>289</v>
      </c>
      <c r="E58" s="2" t="s">
        <v>290</v>
      </c>
      <c r="F58" s="2" t="s">
        <v>469</v>
      </c>
      <c r="G58" s="2" t="s">
        <v>469</v>
      </c>
      <c r="H58" s="2" t="s">
        <v>469</v>
      </c>
      <c r="I58" s="2" t="s">
        <v>470</v>
      </c>
      <c r="J58" s="2" t="s">
        <v>304</v>
      </c>
      <c r="K58" s="2" t="s">
        <v>253</v>
      </c>
      <c r="L58" s="3">
        <v>21.5</v>
      </c>
      <c r="M58" s="3">
        <v>22.58</v>
      </c>
      <c r="N58" s="3">
        <v>42.99</v>
      </c>
      <c r="O58" s="2" t="s">
        <v>243</v>
      </c>
      <c r="P58" s="2" t="s">
        <v>270</v>
      </c>
      <c r="Q58" s="2" t="s">
        <v>237</v>
      </c>
      <c r="R58" s="2" t="s">
        <v>231</v>
      </c>
      <c r="S58" s="2" t="s">
        <v>506</v>
      </c>
      <c r="T58" s="2" t="s">
        <v>472</v>
      </c>
      <c r="U58" s="2" t="s">
        <v>231</v>
      </c>
      <c r="V58" s="2" t="s">
        <v>239</v>
      </c>
      <c r="W58" s="2" t="s">
        <v>273</v>
      </c>
      <c r="X58" s="2" t="s">
        <v>231</v>
      </c>
      <c r="Y58" s="2" t="s">
        <v>274</v>
      </c>
      <c r="Z58" s="4">
        <v>91</v>
      </c>
      <c r="AA58" s="4">
        <f>=ROUNDDOWN(13,0)</f>
      </c>
      <c r="AB58" s="5">
        <v>7</v>
      </c>
      <c r="AC58" s="2" t="s">
        <v>477</v>
      </c>
      <c r="AD58" s="4">
        <v>40</v>
      </c>
      <c r="AE58" s="4">
        <v>107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231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231</v>
      </c>
      <c r="AW58" s="8" t="s">
        <v>231</v>
      </c>
      <c r="AX58" s="4" t="s">
        <v>231</v>
      </c>
      <c r="AY58" s="8" t="s">
        <v>231</v>
      </c>
      <c r="AZ58" s="7" t="s">
        <v>231</v>
      </c>
      <c r="BA58" s="7" t="s">
        <v>231</v>
      </c>
      <c r="BB58" s="7"/>
      <c r="BC58" s="4" t="s">
        <v>231</v>
      </c>
      <c r="BD58" s="8" t="s">
        <v>231</v>
      </c>
      <c r="BE58" s="4" t="s">
        <v>231</v>
      </c>
      <c r="BF58" s="8" t="s">
        <v>231</v>
      </c>
      <c r="BG58" s="7" t="s">
        <v>231</v>
      </c>
      <c r="BH58" s="7" t="s">
        <v>231</v>
      </c>
      <c r="BI58" s="7"/>
      <c r="BJ58" s="4">
        <v>15</v>
      </c>
      <c r="BK58" s="8">
        <v>337.23</v>
      </c>
      <c r="BL58" s="2" t="s">
        <v>523</v>
      </c>
      <c r="BM58" s="7"/>
      <c r="BN58" s="7"/>
      <c r="BO58" s="4"/>
      <c r="BP58" s="8"/>
      <c r="BQ58" s="4"/>
      <c r="BR58" s="8"/>
      <c r="BS58" s="7"/>
      <c r="BT58" s="7"/>
      <c r="BU58" s="2" t="s">
        <v>524</v>
      </c>
      <c r="BV58" s="2" t="s">
        <v>231</v>
      </c>
      <c r="BW58" s="2" t="s">
        <v>231</v>
      </c>
      <c r="BX58" s="2" t="s">
        <v>231</v>
      </c>
      <c r="BY58" s="2" t="s">
        <v>277</v>
      </c>
      <c r="BZ58" s="2" t="s">
        <v>243</v>
      </c>
      <c r="CA58" s="2" t="s">
        <v>284</v>
      </c>
      <c r="CB58" s="2" t="s">
        <v>525</v>
      </c>
      <c r="CC58" s="2" t="s">
        <v>244</v>
      </c>
      <c r="CD58" s="2" t="s">
        <v>231</v>
      </c>
      <c r="CE58" s="4">
        <v>91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>
        <v>40</v>
      </c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>
        <v>67</v>
      </c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</row>
    <row r="59">
      <c r="A59" s="2" t="s">
        <v>526</v>
      </c>
      <c r="B59" s="2" t="s">
        <v>287</v>
      </c>
      <c r="C59" s="2" t="s">
        <v>288</v>
      </c>
      <c r="D59" s="2" t="s">
        <v>289</v>
      </c>
      <c r="E59" s="2" t="s">
        <v>290</v>
      </c>
      <c r="F59" s="2" t="s">
        <v>469</v>
      </c>
      <c r="G59" s="2" t="s">
        <v>469</v>
      </c>
      <c r="H59" s="2" t="s">
        <v>469</v>
      </c>
      <c r="I59" s="2" t="s">
        <v>470</v>
      </c>
      <c r="J59" s="2" t="s">
        <v>318</v>
      </c>
      <c r="K59" s="2" t="s">
        <v>306</v>
      </c>
      <c r="L59" s="3">
        <v>13.44</v>
      </c>
      <c r="M59" s="3">
        <v>14.11</v>
      </c>
      <c r="N59" s="3">
        <v>27.99</v>
      </c>
      <c r="O59" s="2" t="s">
        <v>243</v>
      </c>
      <c r="P59" s="2" t="s">
        <v>270</v>
      </c>
      <c r="Q59" s="2" t="s">
        <v>237</v>
      </c>
      <c r="R59" s="2" t="s">
        <v>231</v>
      </c>
      <c r="S59" s="2" t="s">
        <v>527</v>
      </c>
      <c r="T59" s="2" t="s">
        <v>472</v>
      </c>
      <c r="U59" s="2" t="s">
        <v>231</v>
      </c>
      <c r="V59" s="2" t="s">
        <v>239</v>
      </c>
      <c r="W59" s="2" t="s">
        <v>273</v>
      </c>
      <c r="X59" s="2" t="s">
        <v>231</v>
      </c>
      <c r="Y59" s="2" t="s">
        <v>274</v>
      </c>
      <c r="Z59" s="4">
        <v>161</v>
      </c>
      <c r="AA59" s="4">
        <f>=ROUNDDOWN(40.25,0)</f>
      </c>
      <c r="AB59" s="5">
        <v>4</v>
      </c>
      <c r="AC59" s="2" t="s">
        <v>231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231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231</v>
      </c>
      <c r="AW59" s="8" t="s">
        <v>231</v>
      </c>
      <c r="AX59" s="4" t="s">
        <v>231</v>
      </c>
      <c r="AY59" s="8" t="s">
        <v>231</v>
      </c>
      <c r="AZ59" s="7" t="s">
        <v>231</v>
      </c>
      <c r="BA59" s="7" t="s">
        <v>231</v>
      </c>
      <c r="BB59" s="7"/>
      <c r="BC59" s="4" t="s">
        <v>231</v>
      </c>
      <c r="BD59" s="8" t="s">
        <v>231</v>
      </c>
      <c r="BE59" s="4" t="s">
        <v>231</v>
      </c>
      <c r="BF59" s="8" t="s">
        <v>231</v>
      </c>
      <c r="BG59" s="7" t="s">
        <v>231</v>
      </c>
      <c r="BH59" s="7" t="s">
        <v>231</v>
      </c>
      <c r="BI59" s="7"/>
      <c r="BJ59" s="4">
        <v>4</v>
      </c>
      <c r="BK59" s="8">
        <v>58.01</v>
      </c>
      <c r="BL59" s="2" t="s">
        <v>528</v>
      </c>
      <c r="BM59" s="7"/>
      <c r="BN59" s="7"/>
      <c r="BO59" s="4"/>
      <c r="BP59" s="8"/>
      <c r="BQ59" s="4"/>
      <c r="BR59" s="8"/>
      <c r="BS59" s="7"/>
      <c r="BT59" s="7"/>
      <c r="BU59" s="2" t="s">
        <v>529</v>
      </c>
      <c r="BV59" s="2" t="s">
        <v>231</v>
      </c>
      <c r="BW59" s="2" t="s">
        <v>231</v>
      </c>
      <c r="BX59" s="2" t="s">
        <v>231</v>
      </c>
      <c r="BY59" s="2" t="s">
        <v>277</v>
      </c>
      <c r="BZ59" s="2" t="s">
        <v>243</v>
      </c>
      <c r="CA59" s="2" t="s">
        <v>284</v>
      </c>
      <c r="CB59" s="2" t="s">
        <v>530</v>
      </c>
      <c r="CC59" s="2" t="s">
        <v>244</v>
      </c>
      <c r="CD59" s="2" t="s">
        <v>231</v>
      </c>
      <c r="CE59" s="4">
        <v>161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</row>
    <row r="60">
      <c r="A60" s="2" t="s">
        <v>531</v>
      </c>
      <c r="B60" s="2" t="s">
        <v>287</v>
      </c>
      <c r="C60" s="2" t="s">
        <v>288</v>
      </c>
      <c r="D60" s="2" t="s">
        <v>289</v>
      </c>
      <c r="E60" s="2" t="s">
        <v>290</v>
      </c>
      <c r="F60" s="2" t="s">
        <v>469</v>
      </c>
      <c r="G60" s="2" t="s">
        <v>469</v>
      </c>
      <c r="H60" s="2" t="s">
        <v>469</v>
      </c>
      <c r="I60" s="2" t="s">
        <v>470</v>
      </c>
      <c r="J60" s="2" t="s">
        <v>268</v>
      </c>
      <c r="K60" s="2" t="s">
        <v>306</v>
      </c>
      <c r="L60" s="3">
        <v>15.19</v>
      </c>
      <c r="M60" s="3">
        <v>15.95</v>
      </c>
      <c r="N60" s="3">
        <v>30.99</v>
      </c>
      <c r="O60" s="2" t="s">
        <v>243</v>
      </c>
      <c r="P60" s="2" t="s">
        <v>270</v>
      </c>
      <c r="Q60" s="2" t="s">
        <v>237</v>
      </c>
      <c r="R60" s="2" t="s">
        <v>231</v>
      </c>
      <c r="S60" s="2" t="s">
        <v>527</v>
      </c>
      <c r="T60" s="2" t="s">
        <v>472</v>
      </c>
      <c r="U60" s="2" t="s">
        <v>231</v>
      </c>
      <c r="V60" s="2" t="s">
        <v>239</v>
      </c>
      <c r="W60" s="2" t="s">
        <v>273</v>
      </c>
      <c r="X60" s="2" t="s">
        <v>231</v>
      </c>
      <c r="Y60" s="2" t="s">
        <v>274</v>
      </c>
      <c r="Z60" s="4">
        <v>280</v>
      </c>
      <c r="AA60" s="4">
        <f>=ROUNDDOWN(56,0)</f>
      </c>
      <c r="AB60" s="5">
        <v>5</v>
      </c>
      <c r="AC60" s="2" t="s">
        <v>477</v>
      </c>
      <c r="AD60" s="4">
        <v>140</v>
      </c>
      <c r="AE60" s="4">
        <v>270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231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231</v>
      </c>
      <c r="AW60" s="8" t="s">
        <v>231</v>
      </c>
      <c r="AX60" s="4" t="s">
        <v>231</v>
      </c>
      <c r="AY60" s="8" t="s">
        <v>231</v>
      </c>
      <c r="AZ60" s="7" t="s">
        <v>231</v>
      </c>
      <c r="BA60" s="7" t="s">
        <v>231</v>
      </c>
      <c r="BB60" s="7"/>
      <c r="BC60" s="4" t="s">
        <v>231</v>
      </c>
      <c r="BD60" s="8" t="s">
        <v>231</v>
      </c>
      <c r="BE60" s="4" t="s">
        <v>231</v>
      </c>
      <c r="BF60" s="8" t="s">
        <v>231</v>
      </c>
      <c r="BG60" s="7" t="s">
        <v>231</v>
      </c>
      <c r="BH60" s="7" t="s">
        <v>231</v>
      </c>
      <c r="BI60" s="7"/>
      <c r="BJ60" s="4">
        <v>13</v>
      </c>
      <c r="BK60" s="8">
        <v>197.99</v>
      </c>
      <c r="BL60" s="2" t="s">
        <v>532</v>
      </c>
      <c r="BM60" s="7"/>
      <c r="BN60" s="7"/>
      <c r="BO60" s="4"/>
      <c r="BP60" s="8"/>
      <c r="BQ60" s="4"/>
      <c r="BR60" s="8"/>
      <c r="BS60" s="7"/>
      <c r="BT60" s="7"/>
      <c r="BU60" s="2" t="s">
        <v>533</v>
      </c>
      <c r="BV60" s="2" t="s">
        <v>231</v>
      </c>
      <c r="BW60" s="2" t="s">
        <v>231</v>
      </c>
      <c r="BX60" s="2" t="s">
        <v>231</v>
      </c>
      <c r="BY60" s="2" t="s">
        <v>277</v>
      </c>
      <c r="BZ60" s="2" t="s">
        <v>243</v>
      </c>
      <c r="CA60" s="2" t="s">
        <v>284</v>
      </c>
      <c r="CB60" s="2" t="s">
        <v>534</v>
      </c>
      <c r="CC60" s="2" t="s">
        <v>244</v>
      </c>
      <c r="CD60" s="2" t="s">
        <v>231</v>
      </c>
      <c r="CE60" s="4">
        <v>280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>
        <v>140</v>
      </c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>
        <v>130</v>
      </c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</row>
    <row r="61">
      <c r="A61" s="2" t="s">
        <v>535</v>
      </c>
      <c r="B61" s="2" t="s">
        <v>287</v>
      </c>
      <c r="C61" s="2" t="s">
        <v>288</v>
      </c>
      <c r="D61" s="2" t="s">
        <v>289</v>
      </c>
      <c r="E61" s="2" t="s">
        <v>290</v>
      </c>
      <c r="F61" s="2" t="s">
        <v>469</v>
      </c>
      <c r="G61" s="2" t="s">
        <v>469</v>
      </c>
      <c r="H61" s="2" t="s">
        <v>469</v>
      </c>
      <c r="I61" s="2" t="s">
        <v>470</v>
      </c>
      <c r="J61" s="2" t="s">
        <v>281</v>
      </c>
      <c r="K61" s="2" t="s">
        <v>306</v>
      </c>
      <c r="L61" s="3">
        <v>16.5</v>
      </c>
      <c r="M61" s="3">
        <v>17.32</v>
      </c>
      <c r="N61" s="3">
        <v>32.99</v>
      </c>
      <c r="O61" s="2" t="s">
        <v>243</v>
      </c>
      <c r="P61" s="2" t="s">
        <v>270</v>
      </c>
      <c r="Q61" s="2" t="s">
        <v>237</v>
      </c>
      <c r="R61" s="2" t="s">
        <v>231</v>
      </c>
      <c r="S61" s="2" t="s">
        <v>527</v>
      </c>
      <c r="T61" s="2" t="s">
        <v>472</v>
      </c>
      <c r="U61" s="2" t="s">
        <v>231</v>
      </c>
      <c r="V61" s="2" t="s">
        <v>239</v>
      </c>
      <c r="W61" s="2" t="s">
        <v>273</v>
      </c>
      <c r="X61" s="2" t="s">
        <v>231</v>
      </c>
      <c r="Y61" s="2" t="s">
        <v>274</v>
      </c>
      <c r="Z61" s="4">
        <v>77</v>
      </c>
      <c r="AA61" s="4">
        <f>=ROUNDDOWN(12.8333333333333,0)</f>
      </c>
      <c r="AB61" s="5">
        <v>6</v>
      </c>
      <c r="AC61" s="2" t="s">
        <v>321</v>
      </c>
      <c r="AD61" s="4">
        <v>170</v>
      </c>
      <c r="AE61" s="4">
        <v>170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231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231</v>
      </c>
      <c r="AW61" s="8" t="s">
        <v>231</v>
      </c>
      <c r="AX61" s="4" t="s">
        <v>231</v>
      </c>
      <c r="AY61" s="8" t="s">
        <v>231</v>
      </c>
      <c r="AZ61" s="7" t="s">
        <v>231</v>
      </c>
      <c r="BA61" s="7" t="s">
        <v>231</v>
      </c>
      <c r="BB61" s="7"/>
      <c r="BC61" s="4" t="s">
        <v>231</v>
      </c>
      <c r="BD61" s="8" t="s">
        <v>231</v>
      </c>
      <c r="BE61" s="4" t="s">
        <v>231</v>
      </c>
      <c r="BF61" s="8" t="s">
        <v>231</v>
      </c>
      <c r="BG61" s="7" t="s">
        <v>231</v>
      </c>
      <c r="BH61" s="7" t="s">
        <v>231</v>
      </c>
      <c r="BI61" s="7"/>
      <c r="BJ61" s="4">
        <v>13</v>
      </c>
      <c r="BK61" s="8">
        <v>225.5</v>
      </c>
      <c r="BL61" s="2" t="s">
        <v>536</v>
      </c>
      <c r="BM61" s="7"/>
      <c r="BN61" s="7"/>
      <c r="BO61" s="4"/>
      <c r="BP61" s="8"/>
      <c r="BQ61" s="4"/>
      <c r="BR61" s="8"/>
      <c r="BS61" s="7"/>
      <c r="BT61" s="7"/>
      <c r="BU61" s="2" t="s">
        <v>537</v>
      </c>
      <c r="BV61" s="2" t="s">
        <v>231</v>
      </c>
      <c r="BW61" s="2" t="s">
        <v>231</v>
      </c>
      <c r="BX61" s="2" t="s">
        <v>231</v>
      </c>
      <c r="BY61" s="2" t="s">
        <v>277</v>
      </c>
      <c r="BZ61" s="2" t="s">
        <v>243</v>
      </c>
      <c r="CA61" s="2" t="s">
        <v>284</v>
      </c>
      <c r="CB61" s="2" t="s">
        <v>530</v>
      </c>
      <c r="CC61" s="2" t="s">
        <v>244</v>
      </c>
      <c r="CD61" s="2" t="s">
        <v>231</v>
      </c>
      <c r="CE61" s="4">
        <v>77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>
        <v>170</v>
      </c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</row>
    <row r="62">
      <c r="A62" s="2" t="s">
        <v>538</v>
      </c>
      <c r="B62" s="2" t="s">
        <v>287</v>
      </c>
      <c r="C62" s="2" t="s">
        <v>288</v>
      </c>
      <c r="D62" s="2" t="s">
        <v>289</v>
      </c>
      <c r="E62" s="2" t="s">
        <v>290</v>
      </c>
      <c r="F62" s="2" t="s">
        <v>469</v>
      </c>
      <c r="G62" s="2" t="s">
        <v>469</v>
      </c>
      <c r="H62" s="2" t="s">
        <v>469</v>
      </c>
      <c r="I62" s="2" t="s">
        <v>470</v>
      </c>
      <c r="J62" s="2" t="s">
        <v>293</v>
      </c>
      <c r="K62" s="2" t="s">
        <v>306</v>
      </c>
      <c r="L62" s="3">
        <v>19</v>
      </c>
      <c r="M62" s="3">
        <v>19.95</v>
      </c>
      <c r="N62" s="3">
        <v>37.99</v>
      </c>
      <c r="O62" s="2" t="s">
        <v>243</v>
      </c>
      <c r="P62" s="2" t="s">
        <v>270</v>
      </c>
      <c r="Q62" s="2" t="s">
        <v>237</v>
      </c>
      <c r="R62" s="2" t="s">
        <v>231</v>
      </c>
      <c r="S62" s="2" t="s">
        <v>527</v>
      </c>
      <c r="T62" s="2" t="s">
        <v>472</v>
      </c>
      <c r="U62" s="2" t="s">
        <v>231</v>
      </c>
      <c r="V62" s="2" t="s">
        <v>239</v>
      </c>
      <c r="W62" s="2" t="s">
        <v>273</v>
      </c>
      <c r="X62" s="2" t="s">
        <v>231</v>
      </c>
      <c r="Y62" s="2" t="s">
        <v>274</v>
      </c>
      <c r="Z62" s="4">
        <v>398</v>
      </c>
      <c r="AA62" s="4">
        <f>=ROUNDDOWN(32.0967741935484,0)</f>
      </c>
      <c r="AB62" s="5">
        <v>12.4</v>
      </c>
      <c r="AC62" s="2" t="s">
        <v>477</v>
      </c>
      <c r="AD62" s="4">
        <v>50</v>
      </c>
      <c r="AE62" s="4">
        <v>169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231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231</v>
      </c>
      <c r="AW62" s="8" t="s">
        <v>231</v>
      </c>
      <c r="AX62" s="4" t="s">
        <v>231</v>
      </c>
      <c r="AY62" s="8" t="s">
        <v>231</v>
      </c>
      <c r="AZ62" s="7" t="s">
        <v>231</v>
      </c>
      <c r="BA62" s="7" t="s">
        <v>231</v>
      </c>
      <c r="BB62" s="7"/>
      <c r="BC62" s="4" t="s">
        <v>231</v>
      </c>
      <c r="BD62" s="8" t="s">
        <v>231</v>
      </c>
      <c r="BE62" s="4" t="s">
        <v>231</v>
      </c>
      <c r="BF62" s="8" t="s">
        <v>231</v>
      </c>
      <c r="BG62" s="7" t="s">
        <v>231</v>
      </c>
      <c r="BH62" s="7" t="s">
        <v>231</v>
      </c>
      <c r="BI62" s="7"/>
      <c r="BJ62" s="4">
        <v>57</v>
      </c>
      <c r="BK62" s="8">
        <v>1116.71</v>
      </c>
      <c r="BL62" s="2" t="s">
        <v>539</v>
      </c>
      <c r="BM62" s="7"/>
      <c r="BN62" s="7"/>
      <c r="BO62" s="4"/>
      <c r="BP62" s="8"/>
      <c r="BQ62" s="4"/>
      <c r="BR62" s="8"/>
      <c r="BS62" s="7"/>
      <c r="BT62" s="7"/>
      <c r="BU62" s="2" t="s">
        <v>540</v>
      </c>
      <c r="BV62" s="2" t="s">
        <v>231</v>
      </c>
      <c r="BW62" s="2" t="s">
        <v>231</v>
      </c>
      <c r="BX62" s="2" t="s">
        <v>231</v>
      </c>
      <c r="BY62" s="2" t="s">
        <v>277</v>
      </c>
      <c r="BZ62" s="2" t="s">
        <v>243</v>
      </c>
      <c r="CA62" s="2" t="s">
        <v>284</v>
      </c>
      <c r="CB62" s="2" t="s">
        <v>541</v>
      </c>
      <c r="CC62" s="2" t="s">
        <v>244</v>
      </c>
      <c r="CD62" s="2" t="s">
        <v>231</v>
      </c>
      <c r="CE62" s="4">
        <v>398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>
        <v>50</v>
      </c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>
        <v>119</v>
      </c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</row>
    <row r="63">
      <c r="A63" s="2" t="s">
        <v>542</v>
      </c>
      <c r="B63" s="2" t="s">
        <v>287</v>
      </c>
      <c r="C63" s="2" t="s">
        <v>288</v>
      </c>
      <c r="D63" s="2" t="s">
        <v>289</v>
      </c>
      <c r="E63" s="2" t="s">
        <v>290</v>
      </c>
      <c r="F63" s="2" t="s">
        <v>469</v>
      </c>
      <c r="G63" s="2" t="s">
        <v>469</v>
      </c>
      <c r="H63" s="2" t="s">
        <v>469</v>
      </c>
      <c r="I63" s="2" t="s">
        <v>470</v>
      </c>
      <c r="J63" s="2" t="s">
        <v>304</v>
      </c>
      <c r="K63" s="2" t="s">
        <v>306</v>
      </c>
      <c r="L63" s="3">
        <v>21.5</v>
      </c>
      <c r="M63" s="3">
        <v>22.58</v>
      </c>
      <c r="N63" s="3">
        <v>42.99</v>
      </c>
      <c r="O63" s="2" t="s">
        <v>243</v>
      </c>
      <c r="P63" s="2" t="s">
        <v>270</v>
      </c>
      <c r="Q63" s="2" t="s">
        <v>237</v>
      </c>
      <c r="R63" s="2" t="s">
        <v>231</v>
      </c>
      <c r="S63" s="2" t="s">
        <v>527</v>
      </c>
      <c r="T63" s="2" t="s">
        <v>472</v>
      </c>
      <c r="U63" s="2" t="s">
        <v>231</v>
      </c>
      <c r="V63" s="2" t="s">
        <v>239</v>
      </c>
      <c r="W63" s="2" t="s">
        <v>273</v>
      </c>
      <c r="X63" s="2" t="s">
        <v>231</v>
      </c>
      <c r="Y63" s="2" t="s">
        <v>274</v>
      </c>
      <c r="Z63" s="4">
        <v>30</v>
      </c>
      <c r="AA63" s="4">
        <f>=ROUNDDOWN(6,0)</f>
      </c>
      <c r="AB63" s="5">
        <v>5</v>
      </c>
      <c r="AC63" s="2" t="s">
        <v>477</v>
      </c>
      <c r="AD63" s="4">
        <v>65</v>
      </c>
      <c r="AE63" s="4">
        <v>104</v>
      </c>
      <c r="AF63" s="6">
        <v>65</v>
      </c>
      <c r="AG63" s="6"/>
      <c r="AH63" s="7">
        <v>0.2903</v>
      </c>
      <c r="AI63" s="4"/>
      <c r="AJ63" s="4">
        <f>=ROUNDDOWN({0},0)</f>
      </c>
      <c r="AK63" s="5"/>
      <c r="AL63" s="2" t="s">
        <v>231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231</v>
      </c>
      <c r="AW63" s="8" t="s">
        <v>231</v>
      </c>
      <c r="AX63" s="4" t="s">
        <v>231</v>
      </c>
      <c r="AY63" s="8" t="s">
        <v>231</v>
      </c>
      <c r="AZ63" s="7" t="s">
        <v>231</v>
      </c>
      <c r="BA63" s="7" t="s">
        <v>231</v>
      </c>
      <c r="BB63" s="7"/>
      <c r="BC63" s="4" t="s">
        <v>231</v>
      </c>
      <c r="BD63" s="8" t="s">
        <v>231</v>
      </c>
      <c r="BE63" s="4" t="s">
        <v>231</v>
      </c>
      <c r="BF63" s="8" t="s">
        <v>231</v>
      </c>
      <c r="BG63" s="7" t="s">
        <v>231</v>
      </c>
      <c r="BH63" s="7" t="s">
        <v>231</v>
      </c>
      <c r="BI63" s="7"/>
      <c r="BJ63" s="4">
        <v>4</v>
      </c>
      <c r="BK63" s="8">
        <v>90.46</v>
      </c>
      <c r="BL63" s="2" t="s">
        <v>543</v>
      </c>
      <c r="BM63" s="7"/>
      <c r="BN63" s="7"/>
      <c r="BO63" s="4"/>
      <c r="BP63" s="8"/>
      <c r="BQ63" s="4"/>
      <c r="BR63" s="8"/>
      <c r="BS63" s="7"/>
      <c r="BT63" s="7"/>
      <c r="BU63" s="2" t="s">
        <v>544</v>
      </c>
      <c r="BV63" s="2" t="s">
        <v>231</v>
      </c>
      <c r="BW63" s="2" t="s">
        <v>231</v>
      </c>
      <c r="BX63" s="2" t="s">
        <v>231</v>
      </c>
      <c r="BY63" s="2" t="s">
        <v>277</v>
      </c>
      <c r="BZ63" s="2" t="s">
        <v>243</v>
      </c>
      <c r="CA63" s="2" t="s">
        <v>284</v>
      </c>
      <c r="CB63" s="2" t="s">
        <v>545</v>
      </c>
      <c r="CC63" s="2" t="s">
        <v>244</v>
      </c>
      <c r="CD63" s="2" t="s">
        <v>231</v>
      </c>
      <c r="CE63" s="4">
        <v>30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>
        <v>65</v>
      </c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>
        <v>39</v>
      </c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</row>
    <row r="64">
      <c r="A64" s="2" t="s">
        <v>546</v>
      </c>
      <c r="B64" s="2" t="s">
        <v>287</v>
      </c>
      <c r="C64" s="2" t="s">
        <v>288</v>
      </c>
      <c r="D64" s="2" t="s">
        <v>289</v>
      </c>
      <c r="E64" s="2" t="s">
        <v>290</v>
      </c>
      <c r="F64" s="2" t="s">
        <v>469</v>
      </c>
      <c r="G64" s="2" t="s">
        <v>469</v>
      </c>
      <c r="H64" s="2" t="s">
        <v>469</v>
      </c>
      <c r="I64" s="2" t="s">
        <v>470</v>
      </c>
      <c r="J64" s="2" t="s">
        <v>281</v>
      </c>
      <c r="K64" s="2" t="s">
        <v>547</v>
      </c>
      <c r="L64" s="3">
        <v>16.5</v>
      </c>
      <c r="M64" s="3">
        <v>17.32</v>
      </c>
      <c r="N64" s="3">
        <v>32.99</v>
      </c>
      <c r="O64" s="2" t="s">
        <v>243</v>
      </c>
      <c r="P64" s="2" t="s">
        <v>270</v>
      </c>
      <c r="Q64" s="2" t="s">
        <v>237</v>
      </c>
      <c r="R64" s="2" t="s">
        <v>231</v>
      </c>
      <c r="S64" s="2" t="s">
        <v>548</v>
      </c>
      <c r="T64" s="2" t="s">
        <v>472</v>
      </c>
      <c r="U64" s="2" t="s">
        <v>231</v>
      </c>
      <c r="V64" s="2" t="s">
        <v>239</v>
      </c>
      <c r="W64" s="2" t="s">
        <v>273</v>
      </c>
      <c r="X64" s="2" t="s">
        <v>231</v>
      </c>
      <c r="Y64" s="2" t="s">
        <v>274</v>
      </c>
      <c r="Z64" s="4">
        <v>60</v>
      </c>
      <c r="AA64" s="4">
        <f>=ROUNDDOWN(15,0)</f>
      </c>
      <c r="AB64" s="5">
        <v>4</v>
      </c>
      <c r="AC64" s="2" t="s">
        <v>477</v>
      </c>
      <c r="AD64" s="4">
        <v>20</v>
      </c>
      <c r="AE64" s="4">
        <v>80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231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231</v>
      </c>
      <c r="AW64" s="8" t="s">
        <v>231</v>
      </c>
      <c r="AX64" s="4" t="s">
        <v>231</v>
      </c>
      <c r="AY64" s="8" t="s">
        <v>231</v>
      </c>
      <c r="AZ64" s="7" t="s">
        <v>231</v>
      </c>
      <c r="BA64" s="7" t="s">
        <v>231</v>
      </c>
      <c r="BB64" s="7"/>
      <c r="BC64" s="4" t="s">
        <v>231</v>
      </c>
      <c r="BD64" s="8" t="s">
        <v>231</v>
      </c>
      <c r="BE64" s="4" t="s">
        <v>231</v>
      </c>
      <c r="BF64" s="8" t="s">
        <v>231</v>
      </c>
      <c r="BG64" s="7" t="s">
        <v>231</v>
      </c>
      <c r="BH64" s="7" t="s">
        <v>231</v>
      </c>
      <c r="BI64" s="7"/>
      <c r="BJ64" s="4">
        <v>12</v>
      </c>
      <c r="BK64" s="8">
        <v>208.94</v>
      </c>
      <c r="BL64" s="2" t="s">
        <v>549</v>
      </c>
      <c r="BM64" s="7"/>
      <c r="BN64" s="7"/>
      <c r="BO64" s="4"/>
      <c r="BP64" s="8"/>
      <c r="BQ64" s="4"/>
      <c r="BR64" s="8"/>
      <c r="BS64" s="7"/>
      <c r="BT64" s="7"/>
      <c r="BU64" s="2" t="s">
        <v>550</v>
      </c>
      <c r="BV64" s="2" t="s">
        <v>231</v>
      </c>
      <c r="BW64" s="2" t="s">
        <v>231</v>
      </c>
      <c r="BX64" s="2" t="s">
        <v>231</v>
      </c>
      <c r="BY64" s="2" t="s">
        <v>277</v>
      </c>
      <c r="BZ64" s="2" t="s">
        <v>243</v>
      </c>
      <c r="CA64" s="2" t="s">
        <v>284</v>
      </c>
      <c r="CB64" s="2" t="s">
        <v>551</v>
      </c>
      <c r="CC64" s="2" t="s">
        <v>244</v>
      </c>
      <c r="CD64" s="2" t="s">
        <v>231</v>
      </c>
      <c r="CE64" s="4">
        <v>60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>
        <v>20</v>
      </c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>
        <v>20</v>
      </c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>
        <v>40</v>
      </c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</row>
    <row r="65">
      <c r="A65" s="2" t="s">
        <v>552</v>
      </c>
      <c r="B65" s="2" t="s">
        <v>287</v>
      </c>
      <c r="C65" s="2" t="s">
        <v>288</v>
      </c>
      <c r="D65" s="2" t="s">
        <v>289</v>
      </c>
      <c r="E65" s="2" t="s">
        <v>290</v>
      </c>
      <c r="F65" s="2" t="s">
        <v>469</v>
      </c>
      <c r="G65" s="2" t="s">
        <v>469</v>
      </c>
      <c r="H65" s="2" t="s">
        <v>469</v>
      </c>
      <c r="I65" s="2" t="s">
        <v>470</v>
      </c>
      <c r="J65" s="2" t="s">
        <v>304</v>
      </c>
      <c r="K65" s="2" t="s">
        <v>547</v>
      </c>
      <c r="L65" s="3">
        <v>21.5</v>
      </c>
      <c r="M65" s="3">
        <v>22.58</v>
      </c>
      <c r="N65" s="3">
        <v>42.99</v>
      </c>
      <c r="O65" s="2" t="s">
        <v>243</v>
      </c>
      <c r="P65" s="2" t="s">
        <v>270</v>
      </c>
      <c r="Q65" s="2" t="s">
        <v>237</v>
      </c>
      <c r="R65" s="2" t="s">
        <v>231</v>
      </c>
      <c r="S65" s="2" t="s">
        <v>548</v>
      </c>
      <c r="T65" s="2" t="s">
        <v>472</v>
      </c>
      <c r="U65" s="2" t="s">
        <v>231</v>
      </c>
      <c r="V65" s="2" t="s">
        <v>239</v>
      </c>
      <c r="W65" s="2" t="s">
        <v>273</v>
      </c>
      <c r="X65" s="2" t="s">
        <v>231</v>
      </c>
      <c r="Y65" s="2" t="s">
        <v>274</v>
      </c>
      <c r="Z65" s="4">
        <v>38</v>
      </c>
      <c r="AA65" s="4">
        <f>=ROUNDDOWN(9.5,0)</f>
      </c>
      <c r="AB65" s="5">
        <v>4</v>
      </c>
      <c r="AC65" s="2" t="s">
        <v>477</v>
      </c>
      <c r="AD65" s="4">
        <v>55</v>
      </c>
      <c r="AE65" s="4">
        <v>105</v>
      </c>
      <c r="AF65" s="6">
        <v>65</v>
      </c>
      <c r="AG65" s="6"/>
      <c r="AH65" s="7">
        <v>0.3226</v>
      </c>
      <c r="AI65" s="4"/>
      <c r="AJ65" s="4">
        <f>=ROUNDDOWN({0},0)</f>
      </c>
      <c r="AK65" s="5"/>
      <c r="AL65" s="2" t="s">
        <v>231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231</v>
      </c>
      <c r="AW65" s="8" t="s">
        <v>231</v>
      </c>
      <c r="AX65" s="4" t="s">
        <v>231</v>
      </c>
      <c r="AY65" s="8" t="s">
        <v>231</v>
      </c>
      <c r="AZ65" s="7" t="s">
        <v>231</v>
      </c>
      <c r="BA65" s="7" t="s">
        <v>231</v>
      </c>
      <c r="BB65" s="7"/>
      <c r="BC65" s="4" t="s">
        <v>231</v>
      </c>
      <c r="BD65" s="8" t="s">
        <v>231</v>
      </c>
      <c r="BE65" s="4" t="s">
        <v>231</v>
      </c>
      <c r="BF65" s="8" t="s">
        <v>231</v>
      </c>
      <c r="BG65" s="7" t="s">
        <v>231</v>
      </c>
      <c r="BH65" s="7" t="s">
        <v>231</v>
      </c>
      <c r="BI65" s="7"/>
      <c r="BJ65" s="4">
        <v>6</v>
      </c>
      <c r="BK65" s="8">
        <v>125.19</v>
      </c>
      <c r="BL65" s="2" t="s">
        <v>553</v>
      </c>
      <c r="BM65" s="7"/>
      <c r="BN65" s="7"/>
      <c r="BO65" s="4"/>
      <c r="BP65" s="8"/>
      <c r="BQ65" s="4"/>
      <c r="BR65" s="8"/>
      <c r="BS65" s="7"/>
      <c r="BT65" s="7"/>
      <c r="BU65" s="2" t="s">
        <v>554</v>
      </c>
      <c r="BV65" s="2" t="s">
        <v>231</v>
      </c>
      <c r="BW65" s="2" t="s">
        <v>231</v>
      </c>
      <c r="BX65" s="2" t="s">
        <v>231</v>
      </c>
      <c r="BY65" s="2" t="s">
        <v>277</v>
      </c>
      <c r="BZ65" s="2" t="s">
        <v>243</v>
      </c>
      <c r="CA65" s="2" t="s">
        <v>284</v>
      </c>
      <c r="CB65" s="2" t="s">
        <v>475</v>
      </c>
      <c r="CC65" s="2" t="s">
        <v>244</v>
      </c>
      <c r="CD65" s="2" t="s">
        <v>231</v>
      </c>
      <c r="CE65" s="4">
        <v>38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>
        <v>55</v>
      </c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>
        <v>30</v>
      </c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>
        <v>20</v>
      </c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</row>
    <row r="66">
      <c r="A66" s="2" t="s">
        <v>555</v>
      </c>
      <c r="B66" s="2" t="s">
        <v>287</v>
      </c>
      <c r="C66" s="2" t="s">
        <v>288</v>
      </c>
      <c r="D66" s="2" t="s">
        <v>289</v>
      </c>
      <c r="E66" s="2" t="s">
        <v>290</v>
      </c>
      <c r="F66" s="2" t="s">
        <v>469</v>
      </c>
      <c r="G66" s="2" t="s">
        <v>469</v>
      </c>
      <c r="H66" s="2" t="s">
        <v>469</v>
      </c>
      <c r="I66" s="2" t="s">
        <v>470</v>
      </c>
      <c r="J66" s="2" t="s">
        <v>318</v>
      </c>
      <c r="K66" s="2" t="s">
        <v>556</v>
      </c>
      <c r="L66" s="3">
        <v>13.44</v>
      </c>
      <c r="M66" s="3">
        <v>14.11</v>
      </c>
      <c r="N66" s="3">
        <v>27.99</v>
      </c>
      <c r="O66" s="2" t="s">
        <v>243</v>
      </c>
      <c r="P66" s="2" t="s">
        <v>270</v>
      </c>
      <c r="Q66" s="2" t="s">
        <v>237</v>
      </c>
      <c r="R66" s="2" t="s">
        <v>231</v>
      </c>
      <c r="S66" s="2" t="s">
        <v>557</v>
      </c>
      <c r="T66" s="2" t="s">
        <v>472</v>
      </c>
      <c r="U66" s="2" t="s">
        <v>231</v>
      </c>
      <c r="V66" s="2" t="s">
        <v>239</v>
      </c>
      <c r="W66" s="2" t="s">
        <v>273</v>
      </c>
      <c r="X66" s="2" t="s">
        <v>231</v>
      </c>
      <c r="Y66" s="2" t="s">
        <v>274</v>
      </c>
      <c r="Z66" s="4">
        <v>198</v>
      </c>
      <c r="AA66" s="4">
        <f>=ROUNDDOWN(28.2857142857143,0)</f>
      </c>
      <c r="AB66" s="5">
        <v>7</v>
      </c>
      <c r="AC66" s="2" t="s">
        <v>558</v>
      </c>
      <c r="AD66" s="4">
        <v>40</v>
      </c>
      <c r="AE66" s="4">
        <v>40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231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231</v>
      </c>
      <c r="AW66" s="8" t="s">
        <v>231</v>
      </c>
      <c r="AX66" s="4" t="s">
        <v>231</v>
      </c>
      <c r="AY66" s="8" t="s">
        <v>231</v>
      </c>
      <c r="AZ66" s="7" t="s">
        <v>231</v>
      </c>
      <c r="BA66" s="7" t="s">
        <v>231</v>
      </c>
      <c r="BB66" s="7"/>
      <c r="BC66" s="4" t="s">
        <v>231</v>
      </c>
      <c r="BD66" s="8" t="s">
        <v>231</v>
      </c>
      <c r="BE66" s="4" t="s">
        <v>231</v>
      </c>
      <c r="BF66" s="8" t="s">
        <v>231</v>
      </c>
      <c r="BG66" s="7" t="s">
        <v>231</v>
      </c>
      <c r="BH66" s="7" t="s">
        <v>231</v>
      </c>
      <c r="BI66" s="7"/>
      <c r="BJ66" s="4">
        <v>25</v>
      </c>
      <c r="BK66" s="8">
        <v>364.86</v>
      </c>
      <c r="BL66" s="2" t="s">
        <v>559</v>
      </c>
      <c r="BM66" s="7"/>
      <c r="BN66" s="7"/>
      <c r="BO66" s="4"/>
      <c r="BP66" s="8"/>
      <c r="BQ66" s="4"/>
      <c r="BR66" s="8"/>
      <c r="BS66" s="7"/>
      <c r="BT66" s="7"/>
      <c r="BU66" s="2" t="s">
        <v>560</v>
      </c>
      <c r="BV66" s="2" t="s">
        <v>231</v>
      </c>
      <c r="BW66" s="2" t="s">
        <v>231</v>
      </c>
      <c r="BX66" s="2" t="s">
        <v>231</v>
      </c>
      <c r="BY66" s="2" t="s">
        <v>277</v>
      </c>
      <c r="BZ66" s="2" t="s">
        <v>243</v>
      </c>
      <c r="CA66" s="2" t="s">
        <v>284</v>
      </c>
      <c r="CB66" s="2" t="s">
        <v>561</v>
      </c>
      <c r="CC66" s="2" t="s">
        <v>244</v>
      </c>
      <c r="CD66" s="2" t="s">
        <v>231</v>
      </c>
      <c r="CE66" s="4">
        <v>198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>
        <v>40</v>
      </c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</row>
    <row r="67">
      <c r="A67" s="2" t="s">
        <v>562</v>
      </c>
      <c r="B67" s="2" t="s">
        <v>287</v>
      </c>
      <c r="C67" s="2" t="s">
        <v>288</v>
      </c>
      <c r="D67" s="2" t="s">
        <v>289</v>
      </c>
      <c r="E67" s="2" t="s">
        <v>290</v>
      </c>
      <c r="F67" s="2" t="s">
        <v>469</v>
      </c>
      <c r="G67" s="2" t="s">
        <v>469</v>
      </c>
      <c r="H67" s="2" t="s">
        <v>469</v>
      </c>
      <c r="I67" s="2" t="s">
        <v>470</v>
      </c>
      <c r="J67" s="2" t="s">
        <v>281</v>
      </c>
      <c r="K67" s="2" t="s">
        <v>556</v>
      </c>
      <c r="L67" s="3">
        <v>16.5</v>
      </c>
      <c r="M67" s="3">
        <v>17.32</v>
      </c>
      <c r="N67" s="3">
        <v>32.99</v>
      </c>
      <c r="O67" s="2" t="s">
        <v>243</v>
      </c>
      <c r="P67" s="2" t="s">
        <v>270</v>
      </c>
      <c r="Q67" s="2" t="s">
        <v>237</v>
      </c>
      <c r="R67" s="2" t="s">
        <v>231</v>
      </c>
      <c r="S67" s="2" t="s">
        <v>557</v>
      </c>
      <c r="T67" s="2" t="s">
        <v>472</v>
      </c>
      <c r="U67" s="2" t="s">
        <v>231</v>
      </c>
      <c r="V67" s="2" t="s">
        <v>239</v>
      </c>
      <c r="W67" s="2" t="s">
        <v>273</v>
      </c>
      <c r="X67" s="2" t="s">
        <v>231</v>
      </c>
      <c r="Y67" s="2" t="s">
        <v>274</v>
      </c>
      <c r="Z67" s="4">
        <v>85</v>
      </c>
      <c r="AA67" s="4">
        <f>=ROUNDDOWN(10.2409638554217,0)</f>
      </c>
      <c r="AB67" s="5">
        <v>8.3</v>
      </c>
      <c r="AC67" s="2" t="s">
        <v>477</v>
      </c>
      <c r="AD67" s="4">
        <v>20</v>
      </c>
      <c r="AE67" s="4">
        <v>340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231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231</v>
      </c>
      <c r="AW67" s="8" t="s">
        <v>231</v>
      </c>
      <c r="AX67" s="4" t="s">
        <v>231</v>
      </c>
      <c r="AY67" s="8" t="s">
        <v>231</v>
      </c>
      <c r="AZ67" s="7" t="s">
        <v>231</v>
      </c>
      <c r="BA67" s="7" t="s">
        <v>231</v>
      </c>
      <c r="BB67" s="7"/>
      <c r="BC67" s="4" t="s">
        <v>231</v>
      </c>
      <c r="BD67" s="8" t="s">
        <v>231</v>
      </c>
      <c r="BE67" s="4" t="s">
        <v>231</v>
      </c>
      <c r="BF67" s="8" t="s">
        <v>231</v>
      </c>
      <c r="BG67" s="7" t="s">
        <v>231</v>
      </c>
      <c r="BH67" s="7" t="s">
        <v>231</v>
      </c>
      <c r="BI67" s="7"/>
      <c r="BJ67" s="4">
        <v>25</v>
      </c>
      <c r="BK67" s="8">
        <v>448.89</v>
      </c>
      <c r="BL67" s="2" t="s">
        <v>563</v>
      </c>
      <c r="BM67" s="7"/>
      <c r="BN67" s="7"/>
      <c r="BO67" s="4"/>
      <c r="BP67" s="8"/>
      <c r="BQ67" s="4"/>
      <c r="BR67" s="8"/>
      <c r="BS67" s="7"/>
      <c r="BT67" s="7"/>
      <c r="BU67" s="2" t="s">
        <v>564</v>
      </c>
      <c r="BV67" s="2" t="s">
        <v>231</v>
      </c>
      <c r="BW67" s="2" t="s">
        <v>231</v>
      </c>
      <c r="BX67" s="2" t="s">
        <v>231</v>
      </c>
      <c r="BY67" s="2" t="s">
        <v>277</v>
      </c>
      <c r="BZ67" s="2" t="s">
        <v>243</v>
      </c>
      <c r="CA67" s="2" t="s">
        <v>284</v>
      </c>
      <c r="CB67" s="2" t="s">
        <v>565</v>
      </c>
      <c r="CC67" s="2" t="s">
        <v>244</v>
      </c>
      <c r="CD67" s="2" t="s">
        <v>231</v>
      </c>
      <c r="CE67" s="4">
        <v>85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>
        <v>20</v>
      </c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>
        <v>100</v>
      </c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>
        <v>120</v>
      </c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>
        <v>100</v>
      </c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</row>
    <row r="68">
      <c r="A68" s="2" t="s">
        <v>566</v>
      </c>
      <c r="B68" s="2" t="s">
        <v>287</v>
      </c>
      <c r="C68" s="2" t="s">
        <v>288</v>
      </c>
      <c r="D68" s="2" t="s">
        <v>289</v>
      </c>
      <c r="E68" s="2" t="s">
        <v>290</v>
      </c>
      <c r="F68" s="2" t="s">
        <v>469</v>
      </c>
      <c r="G68" s="2" t="s">
        <v>469</v>
      </c>
      <c r="H68" s="2" t="s">
        <v>469</v>
      </c>
      <c r="I68" s="2" t="s">
        <v>470</v>
      </c>
      <c r="J68" s="2" t="s">
        <v>302</v>
      </c>
      <c r="K68" s="2" t="s">
        <v>556</v>
      </c>
      <c r="L68" s="3">
        <v>21.5</v>
      </c>
      <c r="M68" s="3">
        <v>22.58</v>
      </c>
      <c r="N68" s="3">
        <v>42.99</v>
      </c>
      <c r="O68" s="2" t="s">
        <v>243</v>
      </c>
      <c r="P68" s="2" t="s">
        <v>270</v>
      </c>
      <c r="Q68" s="2" t="s">
        <v>237</v>
      </c>
      <c r="R68" s="2" t="s">
        <v>231</v>
      </c>
      <c r="S68" s="2" t="s">
        <v>557</v>
      </c>
      <c r="T68" s="2" t="s">
        <v>472</v>
      </c>
      <c r="U68" s="2" t="s">
        <v>231</v>
      </c>
      <c r="V68" s="2" t="s">
        <v>239</v>
      </c>
      <c r="W68" s="2" t="s">
        <v>273</v>
      </c>
      <c r="X68" s="2" t="s">
        <v>231</v>
      </c>
      <c r="Y68" s="2" t="s">
        <v>274</v>
      </c>
      <c r="Z68" s="4">
        <v>156</v>
      </c>
      <c r="AA68" s="4">
        <f>=ROUNDDOWN(7.95918367346939,0)</f>
      </c>
      <c r="AB68" s="5">
        <v>19.6</v>
      </c>
      <c r="AC68" s="2" t="s">
        <v>477</v>
      </c>
      <c r="AD68" s="4">
        <v>50</v>
      </c>
      <c r="AE68" s="4">
        <v>478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231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231</v>
      </c>
      <c r="AW68" s="8" t="s">
        <v>231</v>
      </c>
      <c r="AX68" s="4" t="s">
        <v>231</v>
      </c>
      <c r="AY68" s="8" t="s">
        <v>231</v>
      </c>
      <c r="AZ68" s="7" t="s">
        <v>231</v>
      </c>
      <c r="BA68" s="7" t="s">
        <v>231</v>
      </c>
      <c r="BB68" s="7"/>
      <c r="BC68" s="4" t="s">
        <v>231</v>
      </c>
      <c r="BD68" s="8" t="s">
        <v>231</v>
      </c>
      <c r="BE68" s="4" t="s">
        <v>231</v>
      </c>
      <c r="BF68" s="8" t="s">
        <v>231</v>
      </c>
      <c r="BG68" s="7" t="s">
        <v>231</v>
      </c>
      <c r="BH68" s="7" t="s">
        <v>231</v>
      </c>
      <c r="BI68" s="7"/>
      <c r="BJ68" s="4">
        <v>68</v>
      </c>
      <c r="BK68" s="8">
        <v>1528.71</v>
      </c>
      <c r="BL68" s="2" t="s">
        <v>567</v>
      </c>
      <c r="BM68" s="7"/>
      <c r="BN68" s="7"/>
      <c r="BO68" s="4"/>
      <c r="BP68" s="8"/>
      <c r="BQ68" s="4"/>
      <c r="BR68" s="8"/>
      <c r="BS68" s="7"/>
      <c r="BT68" s="7"/>
      <c r="BU68" s="2" t="s">
        <v>568</v>
      </c>
      <c r="BV68" s="2" t="s">
        <v>231</v>
      </c>
      <c r="BW68" s="2" t="s">
        <v>231</v>
      </c>
      <c r="BX68" s="2" t="s">
        <v>231</v>
      </c>
      <c r="BY68" s="2" t="s">
        <v>277</v>
      </c>
      <c r="BZ68" s="2" t="s">
        <v>243</v>
      </c>
      <c r="CA68" s="2" t="s">
        <v>284</v>
      </c>
      <c r="CB68" s="2" t="s">
        <v>521</v>
      </c>
      <c r="CC68" s="2" t="s">
        <v>244</v>
      </c>
      <c r="CD68" s="2" t="s">
        <v>231</v>
      </c>
      <c r="CE68" s="4">
        <v>156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>
        <v>50</v>
      </c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>
        <v>168</v>
      </c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>
        <v>120</v>
      </c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>
        <v>140</v>
      </c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</row>
    <row r="69">
      <c r="A69" s="2" t="s">
        <v>569</v>
      </c>
      <c r="B69" s="2" t="s">
        <v>287</v>
      </c>
      <c r="C69" s="2" t="s">
        <v>288</v>
      </c>
      <c r="D69" s="2" t="s">
        <v>289</v>
      </c>
      <c r="E69" s="2" t="s">
        <v>290</v>
      </c>
      <c r="F69" s="2" t="s">
        <v>469</v>
      </c>
      <c r="G69" s="2" t="s">
        <v>469</v>
      </c>
      <c r="H69" s="2" t="s">
        <v>469</v>
      </c>
      <c r="I69" s="2" t="s">
        <v>470</v>
      </c>
      <c r="J69" s="2" t="s">
        <v>304</v>
      </c>
      <c r="K69" s="2" t="s">
        <v>556</v>
      </c>
      <c r="L69" s="3">
        <v>21.5</v>
      </c>
      <c r="M69" s="3">
        <v>22.58</v>
      </c>
      <c r="N69" s="3">
        <v>42.99</v>
      </c>
      <c r="O69" s="2" t="s">
        <v>243</v>
      </c>
      <c r="P69" s="2" t="s">
        <v>270</v>
      </c>
      <c r="Q69" s="2" t="s">
        <v>237</v>
      </c>
      <c r="R69" s="2" t="s">
        <v>231</v>
      </c>
      <c r="S69" s="2" t="s">
        <v>557</v>
      </c>
      <c r="T69" s="2" t="s">
        <v>472</v>
      </c>
      <c r="U69" s="2" t="s">
        <v>231</v>
      </c>
      <c r="V69" s="2" t="s">
        <v>239</v>
      </c>
      <c r="W69" s="2" t="s">
        <v>273</v>
      </c>
      <c r="X69" s="2" t="s">
        <v>231</v>
      </c>
      <c r="Y69" s="2" t="s">
        <v>274</v>
      </c>
      <c r="Z69" s="4">
        <v>34</v>
      </c>
      <c r="AA69" s="4">
        <f>=ROUNDDOWN(5.76271186440678,0)</f>
      </c>
      <c r="AB69" s="5">
        <v>5.9</v>
      </c>
      <c r="AC69" s="2" t="s">
        <v>477</v>
      </c>
      <c r="AD69" s="4">
        <v>50</v>
      </c>
      <c r="AE69" s="4">
        <v>118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231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231</v>
      </c>
      <c r="AW69" s="8" t="s">
        <v>231</v>
      </c>
      <c r="AX69" s="4" t="s">
        <v>231</v>
      </c>
      <c r="AY69" s="8" t="s">
        <v>231</v>
      </c>
      <c r="AZ69" s="7" t="s">
        <v>231</v>
      </c>
      <c r="BA69" s="7" t="s">
        <v>231</v>
      </c>
      <c r="BB69" s="7"/>
      <c r="BC69" s="4" t="s">
        <v>231</v>
      </c>
      <c r="BD69" s="8" t="s">
        <v>231</v>
      </c>
      <c r="BE69" s="4" t="s">
        <v>231</v>
      </c>
      <c r="BF69" s="8" t="s">
        <v>231</v>
      </c>
      <c r="BG69" s="7" t="s">
        <v>231</v>
      </c>
      <c r="BH69" s="7" t="s">
        <v>231</v>
      </c>
      <c r="BI69" s="7"/>
      <c r="BJ69" s="4">
        <v>29</v>
      </c>
      <c r="BK69" s="8">
        <v>711.46</v>
      </c>
      <c r="BL69" s="2" t="s">
        <v>570</v>
      </c>
      <c r="BM69" s="7"/>
      <c r="BN69" s="7"/>
      <c r="BO69" s="4"/>
      <c r="BP69" s="8"/>
      <c r="BQ69" s="4"/>
      <c r="BR69" s="8"/>
      <c r="BS69" s="7"/>
      <c r="BT69" s="7"/>
      <c r="BU69" s="2" t="s">
        <v>571</v>
      </c>
      <c r="BV69" s="2" t="s">
        <v>231</v>
      </c>
      <c r="BW69" s="2" t="s">
        <v>231</v>
      </c>
      <c r="BX69" s="2" t="s">
        <v>231</v>
      </c>
      <c r="BY69" s="2" t="s">
        <v>277</v>
      </c>
      <c r="BZ69" s="2" t="s">
        <v>243</v>
      </c>
      <c r="CA69" s="2" t="s">
        <v>284</v>
      </c>
      <c r="CB69" s="2" t="s">
        <v>513</v>
      </c>
      <c r="CC69" s="2" t="s">
        <v>244</v>
      </c>
      <c r="CD69" s="2" t="s">
        <v>231</v>
      </c>
      <c r="CE69" s="4">
        <v>34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>
        <v>50</v>
      </c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>
        <v>68</v>
      </c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</row>
    <row r="70">
      <c r="A70" s="2" t="s">
        <v>572</v>
      </c>
      <c r="B70" s="2" t="s">
        <v>287</v>
      </c>
      <c r="C70" s="2" t="s">
        <v>288</v>
      </c>
      <c r="D70" s="2" t="s">
        <v>289</v>
      </c>
      <c r="E70" s="2" t="s">
        <v>290</v>
      </c>
      <c r="F70" s="2" t="s">
        <v>469</v>
      </c>
      <c r="G70" s="2" t="s">
        <v>469</v>
      </c>
      <c r="H70" s="2" t="s">
        <v>469</v>
      </c>
      <c r="I70" s="2" t="s">
        <v>470</v>
      </c>
      <c r="J70" s="2" t="s">
        <v>318</v>
      </c>
      <c r="K70" s="2" t="s">
        <v>319</v>
      </c>
      <c r="L70" s="3">
        <v>13.44</v>
      </c>
      <c r="M70" s="3">
        <v>14.11</v>
      </c>
      <c r="N70" s="3">
        <v>27.99</v>
      </c>
      <c r="O70" s="2" t="s">
        <v>243</v>
      </c>
      <c r="P70" s="2" t="s">
        <v>270</v>
      </c>
      <c r="Q70" s="2" t="s">
        <v>237</v>
      </c>
      <c r="R70" s="2" t="s">
        <v>231</v>
      </c>
      <c r="S70" s="2" t="s">
        <v>573</v>
      </c>
      <c r="T70" s="2" t="s">
        <v>472</v>
      </c>
      <c r="U70" s="2" t="s">
        <v>231</v>
      </c>
      <c r="V70" s="2" t="s">
        <v>239</v>
      </c>
      <c r="W70" s="2" t="s">
        <v>273</v>
      </c>
      <c r="X70" s="2" t="s">
        <v>231</v>
      </c>
      <c r="Y70" s="2" t="s">
        <v>274</v>
      </c>
      <c r="Z70" s="4">
        <v>149</v>
      </c>
      <c r="AA70" s="4">
        <f>=ROUNDDOWN(18.625,0)</f>
      </c>
      <c r="AB70" s="5">
        <v>8</v>
      </c>
      <c r="AC70" s="2" t="s">
        <v>477</v>
      </c>
      <c r="AD70" s="4">
        <v>20</v>
      </c>
      <c r="AE70" s="4">
        <v>170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231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231</v>
      </c>
      <c r="AW70" s="8" t="s">
        <v>231</v>
      </c>
      <c r="AX70" s="4" t="s">
        <v>231</v>
      </c>
      <c r="AY70" s="8" t="s">
        <v>231</v>
      </c>
      <c r="AZ70" s="7" t="s">
        <v>231</v>
      </c>
      <c r="BA70" s="7" t="s">
        <v>231</v>
      </c>
      <c r="BB70" s="7"/>
      <c r="BC70" s="4" t="s">
        <v>231</v>
      </c>
      <c r="BD70" s="8" t="s">
        <v>231</v>
      </c>
      <c r="BE70" s="4" t="s">
        <v>231</v>
      </c>
      <c r="BF70" s="8" t="s">
        <v>231</v>
      </c>
      <c r="BG70" s="7" t="s">
        <v>231</v>
      </c>
      <c r="BH70" s="7" t="s">
        <v>231</v>
      </c>
      <c r="BI70" s="7"/>
      <c r="BJ70" s="4">
        <v>15</v>
      </c>
      <c r="BK70" s="8">
        <v>209.99</v>
      </c>
      <c r="BL70" s="2" t="s">
        <v>574</v>
      </c>
      <c r="BM70" s="7"/>
      <c r="BN70" s="7"/>
      <c r="BO70" s="4"/>
      <c r="BP70" s="8"/>
      <c r="BQ70" s="4"/>
      <c r="BR70" s="8"/>
      <c r="BS70" s="7"/>
      <c r="BT70" s="7"/>
      <c r="BU70" s="2" t="s">
        <v>575</v>
      </c>
      <c r="BV70" s="2" t="s">
        <v>231</v>
      </c>
      <c r="BW70" s="2" t="s">
        <v>231</v>
      </c>
      <c r="BX70" s="2" t="s">
        <v>231</v>
      </c>
      <c r="BY70" s="2" t="s">
        <v>277</v>
      </c>
      <c r="BZ70" s="2" t="s">
        <v>243</v>
      </c>
      <c r="CA70" s="2" t="s">
        <v>284</v>
      </c>
      <c r="CB70" s="2" t="s">
        <v>576</v>
      </c>
      <c r="CC70" s="2" t="s">
        <v>244</v>
      </c>
      <c r="CD70" s="2" t="s">
        <v>231</v>
      </c>
      <c r="CE70" s="4">
        <v>148</v>
      </c>
      <c r="CF70" s="4">
        <v>1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>
        <v>20</v>
      </c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>
        <v>60</v>
      </c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>
        <v>30</v>
      </c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>
        <v>60</v>
      </c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</row>
    <row r="71">
      <c r="A71" s="2" t="s">
        <v>577</v>
      </c>
      <c r="B71" s="2" t="s">
        <v>287</v>
      </c>
      <c r="C71" s="2" t="s">
        <v>288</v>
      </c>
      <c r="D71" s="2" t="s">
        <v>289</v>
      </c>
      <c r="E71" s="2" t="s">
        <v>290</v>
      </c>
      <c r="F71" s="2" t="s">
        <v>469</v>
      </c>
      <c r="G71" s="2" t="s">
        <v>469</v>
      </c>
      <c r="H71" s="2" t="s">
        <v>469</v>
      </c>
      <c r="I71" s="2" t="s">
        <v>470</v>
      </c>
      <c r="J71" s="2" t="s">
        <v>268</v>
      </c>
      <c r="K71" s="2" t="s">
        <v>319</v>
      </c>
      <c r="L71" s="3">
        <v>15.19</v>
      </c>
      <c r="M71" s="3">
        <v>15.95</v>
      </c>
      <c r="N71" s="3">
        <v>30.99</v>
      </c>
      <c r="O71" s="2" t="s">
        <v>243</v>
      </c>
      <c r="P71" s="2" t="s">
        <v>270</v>
      </c>
      <c r="Q71" s="2" t="s">
        <v>237</v>
      </c>
      <c r="R71" s="2" t="s">
        <v>231</v>
      </c>
      <c r="S71" s="2" t="s">
        <v>573</v>
      </c>
      <c r="T71" s="2" t="s">
        <v>472</v>
      </c>
      <c r="U71" s="2" t="s">
        <v>231</v>
      </c>
      <c r="V71" s="2" t="s">
        <v>239</v>
      </c>
      <c r="W71" s="2" t="s">
        <v>273</v>
      </c>
      <c r="X71" s="2" t="s">
        <v>231</v>
      </c>
      <c r="Y71" s="2" t="s">
        <v>274</v>
      </c>
      <c r="Z71" s="4">
        <v>191</v>
      </c>
      <c r="AA71" s="4">
        <f>=ROUNDDOWN(38.2,0)</f>
      </c>
      <c r="AB71" s="5">
        <v>5</v>
      </c>
      <c r="AC71" s="2" t="s">
        <v>477</v>
      </c>
      <c r="AD71" s="4">
        <v>110</v>
      </c>
      <c r="AE71" s="4">
        <v>430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231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231</v>
      </c>
      <c r="AW71" s="8" t="s">
        <v>231</v>
      </c>
      <c r="AX71" s="4" t="s">
        <v>231</v>
      </c>
      <c r="AY71" s="8" t="s">
        <v>231</v>
      </c>
      <c r="AZ71" s="7" t="s">
        <v>231</v>
      </c>
      <c r="BA71" s="7" t="s">
        <v>231</v>
      </c>
      <c r="BB71" s="7"/>
      <c r="BC71" s="4" t="s">
        <v>231</v>
      </c>
      <c r="BD71" s="8" t="s">
        <v>231</v>
      </c>
      <c r="BE71" s="4" t="s">
        <v>231</v>
      </c>
      <c r="BF71" s="8" t="s">
        <v>231</v>
      </c>
      <c r="BG71" s="7" t="s">
        <v>231</v>
      </c>
      <c r="BH71" s="7" t="s">
        <v>231</v>
      </c>
      <c r="BI71" s="7"/>
      <c r="BJ71" s="4">
        <v>11</v>
      </c>
      <c r="BK71" s="8">
        <v>165.23</v>
      </c>
      <c r="BL71" s="2" t="s">
        <v>578</v>
      </c>
      <c r="BM71" s="7"/>
      <c r="BN71" s="7"/>
      <c r="BO71" s="4"/>
      <c r="BP71" s="8"/>
      <c r="BQ71" s="4"/>
      <c r="BR71" s="8"/>
      <c r="BS71" s="7"/>
      <c r="BT71" s="7"/>
      <c r="BU71" s="2" t="s">
        <v>579</v>
      </c>
      <c r="BV71" s="2" t="s">
        <v>231</v>
      </c>
      <c r="BW71" s="2" t="s">
        <v>231</v>
      </c>
      <c r="BX71" s="2" t="s">
        <v>231</v>
      </c>
      <c r="BY71" s="2" t="s">
        <v>277</v>
      </c>
      <c r="BZ71" s="2" t="s">
        <v>243</v>
      </c>
      <c r="CA71" s="2" t="s">
        <v>284</v>
      </c>
      <c r="CB71" s="2" t="s">
        <v>580</v>
      </c>
      <c r="CC71" s="2" t="s">
        <v>244</v>
      </c>
      <c r="CD71" s="2" t="s">
        <v>231</v>
      </c>
      <c r="CE71" s="4">
        <v>191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>
        <v>110</v>
      </c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>
        <v>190</v>
      </c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>
        <v>60</v>
      </c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>
        <v>70</v>
      </c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</row>
    <row r="72">
      <c r="A72" s="2" t="s">
        <v>581</v>
      </c>
      <c r="B72" s="2" t="s">
        <v>287</v>
      </c>
      <c r="C72" s="2" t="s">
        <v>288</v>
      </c>
      <c r="D72" s="2" t="s">
        <v>289</v>
      </c>
      <c r="E72" s="2" t="s">
        <v>290</v>
      </c>
      <c r="F72" s="2" t="s">
        <v>469</v>
      </c>
      <c r="G72" s="2" t="s">
        <v>469</v>
      </c>
      <c r="H72" s="2" t="s">
        <v>469</v>
      </c>
      <c r="I72" s="2" t="s">
        <v>470</v>
      </c>
      <c r="J72" s="2" t="s">
        <v>281</v>
      </c>
      <c r="K72" s="2" t="s">
        <v>319</v>
      </c>
      <c r="L72" s="3">
        <v>16.5</v>
      </c>
      <c r="M72" s="3">
        <v>17.32</v>
      </c>
      <c r="N72" s="3">
        <v>32.99</v>
      </c>
      <c r="O72" s="2" t="s">
        <v>243</v>
      </c>
      <c r="P72" s="2" t="s">
        <v>270</v>
      </c>
      <c r="Q72" s="2" t="s">
        <v>237</v>
      </c>
      <c r="R72" s="2" t="s">
        <v>231</v>
      </c>
      <c r="S72" s="2" t="s">
        <v>573</v>
      </c>
      <c r="T72" s="2" t="s">
        <v>472</v>
      </c>
      <c r="U72" s="2" t="s">
        <v>231</v>
      </c>
      <c r="V72" s="2" t="s">
        <v>239</v>
      </c>
      <c r="W72" s="2" t="s">
        <v>273</v>
      </c>
      <c r="X72" s="2" t="s">
        <v>231</v>
      </c>
      <c r="Y72" s="2" t="s">
        <v>274</v>
      </c>
      <c r="Z72" s="4">
        <v>246</v>
      </c>
      <c r="AA72" s="4">
        <f>=ROUNDDOWN(24.6,0)</f>
      </c>
      <c r="AB72" s="5">
        <v>10</v>
      </c>
      <c r="AC72" s="2" t="s">
        <v>582</v>
      </c>
      <c r="AD72" s="4">
        <v>30</v>
      </c>
      <c r="AE72" s="4">
        <v>110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231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231</v>
      </c>
      <c r="AW72" s="8" t="s">
        <v>231</v>
      </c>
      <c r="AX72" s="4" t="s">
        <v>231</v>
      </c>
      <c r="AY72" s="8" t="s">
        <v>231</v>
      </c>
      <c r="AZ72" s="7" t="s">
        <v>231</v>
      </c>
      <c r="BA72" s="7" t="s">
        <v>231</v>
      </c>
      <c r="BB72" s="7"/>
      <c r="BC72" s="4" t="s">
        <v>231</v>
      </c>
      <c r="BD72" s="8" t="s">
        <v>231</v>
      </c>
      <c r="BE72" s="4" t="s">
        <v>231</v>
      </c>
      <c r="BF72" s="8" t="s">
        <v>231</v>
      </c>
      <c r="BG72" s="7" t="s">
        <v>231</v>
      </c>
      <c r="BH72" s="7" t="s">
        <v>231</v>
      </c>
      <c r="BI72" s="7"/>
      <c r="BJ72" s="4">
        <v>31</v>
      </c>
      <c r="BK72" s="8">
        <v>552.47</v>
      </c>
      <c r="BL72" s="2" t="s">
        <v>583</v>
      </c>
      <c r="BM72" s="7"/>
      <c r="BN72" s="7"/>
      <c r="BO72" s="4"/>
      <c r="BP72" s="8"/>
      <c r="BQ72" s="4"/>
      <c r="BR72" s="8"/>
      <c r="BS72" s="7"/>
      <c r="BT72" s="7"/>
      <c r="BU72" s="2" t="s">
        <v>584</v>
      </c>
      <c r="BV72" s="2" t="s">
        <v>231</v>
      </c>
      <c r="BW72" s="2" t="s">
        <v>231</v>
      </c>
      <c r="BX72" s="2" t="s">
        <v>231</v>
      </c>
      <c r="BY72" s="2" t="s">
        <v>277</v>
      </c>
      <c r="BZ72" s="2" t="s">
        <v>243</v>
      </c>
      <c r="CA72" s="2" t="s">
        <v>284</v>
      </c>
      <c r="CB72" s="2" t="s">
        <v>585</v>
      </c>
      <c r="CC72" s="2" t="s">
        <v>244</v>
      </c>
      <c r="CD72" s="2" t="s">
        <v>231</v>
      </c>
      <c r="CE72" s="4">
        <v>246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>
        <v>30</v>
      </c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>
        <v>80</v>
      </c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</row>
    <row r="73">
      <c r="A73" s="2" t="s">
        <v>586</v>
      </c>
      <c r="B73" s="2" t="s">
        <v>287</v>
      </c>
      <c r="C73" s="2" t="s">
        <v>288</v>
      </c>
      <c r="D73" s="2" t="s">
        <v>289</v>
      </c>
      <c r="E73" s="2" t="s">
        <v>290</v>
      </c>
      <c r="F73" s="2" t="s">
        <v>469</v>
      </c>
      <c r="G73" s="2" t="s">
        <v>469</v>
      </c>
      <c r="H73" s="2" t="s">
        <v>469</v>
      </c>
      <c r="I73" s="2" t="s">
        <v>470</v>
      </c>
      <c r="J73" s="2" t="s">
        <v>304</v>
      </c>
      <c r="K73" s="2" t="s">
        <v>319</v>
      </c>
      <c r="L73" s="3">
        <v>21.5</v>
      </c>
      <c r="M73" s="3">
        <v>22.58</v>
      </c>
      <c r="N73" s="3">
        <v>42.99</v>
      </c>
      <c r="O73" s="2" t="s">
        <v>243</v>
      </c>
      <c r="P73" s="2" t="s">
        <v>270</v>
      </c>
      <c r="Q73" s="2" t="s">
        <v>237</v>
      </c>
      <c r="R73" s="2" t="s">
        <v>231</v>
      </c>
      <c r="S73" s="2" t="s">
        <v>573</v>
      </c>
      <c r="T73" s="2" t="s">
        <v>472</v>
      </c>
      <c r="U73" s="2" t="s">
        <v>231</v>
      </c>
      <c r="V73" s="2" t="s">
        <v>239</v>
      </c>
      <c r="W73" s="2" t="s">
        <v>273</v>
      </c>
      <c r="X73" s="2" t="s">
        <v>231</v>
      </c>
      <c r="Y73" s="2" t="s">
        <v>274</v>
      </c>
      <c r="Z73" s="4">
        <v>93</v>
      </c>
      <c r="AA73" s="4">
        <f>=ROUNDDOWN(23.25,0)</f>
      </c>
      <c r="AB73" s="5">
        <v>4</v>
      </c>
      <c r="AC73" s="2" t="s">
        <v>321</v>
      </c>
      <c r="AD73" s="4">
        <v>19</v>
      </c>
      <c r="AE73" s="4">
        <v>39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231</v>
      </c>
      <c r="AW73" s="8" t="s">
        <v>231</v>
      </c>
      <c r="AX73" s="4" t="s">
        <v>231</v>
      </c>
      <c r="AY73" s="8" t="s">
        <v>231</v>
      </c>
      <c r="AZ73" s="7" t="s">
        <v>231</v>
      </c>
      <c r="BA73" s="7" t="s">
        <v>231</v>
      </c>
      <c r="BB73" s="7"/>
      <c r="BC73" s="4" t="s">
        <v>231</v>
      </c>
      <c r="BD73" s="8" t="s">
        <v>231</v>
      </c>
      <c r="BE73" s="4" t="s">
        <v>231</v>
      </c>
      <c r="BF73" s="8" t="s">
        <v>231</v>
      </c>
      <c r="BG73" s="7" t="s">
        <v>231</v>
      </c>
      <c r="BH73" s="7" t="s">
        <v>231</v>
      </c>
      <c r="BI73" s="7"/>
      <c r="BJ73" s="4">
        <v>10</v>
      </c>
      <c r="BK73" s="8">
        <v>215.75</v>
      </c>
      <c r="BL73" s="2" t="s">
        <v>587</v>
      </c>
      <c r="BM73" s="7"/>
      <c r="BN73" s="7"/>
      <c r="BO73" s="4"/>
      <c r="BP73" s="8"/>
      <c r="BQ73" s="4"/>
      <c r="BR73" s="8"/>
      <c r="BS73" s="7"/>
      <c r="BT73" s="7"/>
      <c r="BU73" s="2" t="s">
        <v>588</v>
      </c>
      <c r="BV73" s="2" t="s">
        <v>231</v>
      </c>
      <c r="BW73" s="2" t="s">
        <v>231</v>
      </c>
      <c r="BX73" s="2" t="s">
        <v>231</v>
      </c>
      <c r="BY73" s="2" t="s">
        <v>277</v>
      </c>
      <c r="BZ73" s="2" t="s">
        <v>243</v>
      </c>
      <c r="CA73" s="2" t="s">
        <v>284</v>
      </c>
      <c r="CB73" s="2" t="s">
        <v>589</v>
      </c>
      <c r="CC73" s="2" t="s">
        <v>244</v>
      </c>
      <c r="CD73" s="2" t="s">
        <v>231</v>
      </c>
      <c r="CE73" s="4">
        <v>93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>
        <v>19</v>
      </c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>
        <v>20</v>
      </c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</row>
    <row r="74">
      <c r="A74" s="2" t="s">
        <v>590</v>
      </c>
      <c r="B74" s="2" t="s">
        <v>287</v>
      </c>
      <c r="C74" s="2" t="s">
        <v>591</v>
      </c>
      <c r="D74" s="2" t="s">
        <v>289</v>
      </c>
      <c r="E74" s="2" t="s">
        <v>290</v>
      </c>
      <c r="F74" s="2" t="s">
        <v>592</v>
      </c>
      <c r="G74" s="2" t="s">
        <v>592</v>
      </c>
      <c r="H74" s="2" t="s">
        <v>231</v>
      </c>
      <c r="I74" s="2" t="s">
        <v>593</v>
      </c>
      <c r="J74" s="2" t="s">
        <v>281</v>
      </c>
      <c r="K74" s="2" t="s">
        <v>294</v>
      </c>
      <c r="L74" s="3">
        <v>31.68</v>
      </c>
      <c r="M74" s="3">
        <v>33.26</v>
      </c>
      <c r="N74" s="3">
        <v>64.99</v>
      </c>
      <c r="O74" s="2" t="s">
        <v>243</v>
      </c>
      <c r="P74" s="2" t="s">
        <v>341</v>
      </c>
      <c r="Q74" s="2" t="s">
        <v>237</v>
      </c>
      <c r="R74" s="2" t="s">
        <v>231</v>
      </c>
      <c r="S74" s="2" t="s">
        <v>594</v>
      </c>
      <c r="T74" s="2" t="s">
        <v>595</v>
      </c>
      <c r="U74" s="2" t="s">
        <v>231</v>
      </c>
      <c r="V74" s="2" t="s">
        <v>239</v>
      </c>
      <c r="W74" s="2" t="s">
        <v>273</v>
      </c>
      <c r="X74" s="2" t="s">
        <v>231</v>
      </c>
      <c r="Y74" s="2" t="s">
        <v>274</v>
      </c>
      <c r="Z74" s="4">
        <v>235</v>
      </c>
      <c r="AA74" s="4">
        <f>=ROUNDDOWN(71.2121212121212,0)</f>
      </c>
      <c r="AB74" s="5">
        <v>3.3</v>
      </c>
      <c r="AC74" s="2" t="s">
        <v>231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231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231</v>
      </c>
      <c r="AW74" s="8" t="s">
        <v>231</v>
      </c>
      <c r="AX74" s="4" t="s">
        <v>231</v>
      </c>
      <c r="AY74" s="8" t="s">
        <v>231</v>
      </c>
      <c r="AZ74" s="7" t="s">
        <v>231</v>
      </c>
      <c r="BA74" s="7" t="s">
        <v>231</v>
      </c>
      <c r="BB74" s="7"/>
      <c r="BC74" s="4" t="s">
        <v>231</v>
      </c>
      <c r="BD74" s="8" t="s">
        <v>231</v>
      </c>
      <c r="BE74" s="4" t="s">
        <v>231</v>
      </c>
      <c r="BF74" s="8" t="s">
        <v>231</v>
      </c>
      <c r="BG74" s="7" t="s">
        <v>231</v>
      </c>
      <c r="BH74" s="7" t="s">
        <v>231</v>
      </c>
      <c r="BI74" s="7"/>
      <c r="BJ74" s="4">
        <v>1</v>
      </c>
      <c r="BK74" s="8">
        <v>22.76</v>
      </c>
      <c r="BL74" s="2" t="s">
        <v>365</v>
      </c>
      <c r="BM74" s="7"/>
      <c r="BN74" s="7"/>
      <c r="BO74" s="4"/>
      <c r="BP74" s="8"/>
      <c r="BQ74" s="4"/>
      <c r="BR74" s="8"/>
      <c r="BS74" s="7"/>
      <c r="BT74" s="7"/>
      <c r="BU74" s="2" t="s">
        <v>596</v>
      </c>
      <c r="BV74" s="2" t="s">
        <v>231</v>
      </c>
      <c r="BW74" s="2" t="s">
        <v>231</v>
      </c>
      <c r="BX74" s="2" t="s">
        <v>231</v>
      </c>
      <c r="BY74" s="2" t="s">
        <v>277</v>
      </c>
      <c r="BZ74" s="2" t="s">
        <v>243</v>
      </c>
      <c r="CA74" s="2" t="s">
        <v>284</v>
      </c>
      <c r="CB74" s="2" t="s">
        <v>597</v>
      </c>
      <c r="CC74" s="2" t="s">
        <v>244</v>
      </c>
      <c r="CD74" s="2" t="s">
        <v>231</v>
      </c>
      <c r="CE74" s="4">
        <v>235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</row>
    <row r="75">
      <c r="A75" s="2" t="s">
        <v>598</v>
      </c>
      <c r="B75" s="2" t="s">
        <v>287</v>
      </c>
      <c r="C75" s="2" t="s">
        <v>591</v>
      </c>
      <c r="D75" s="2" t="s">
        <v>289</v>
      </c>
      <c r="E75" s="2" t="s">
        <v>290</v>
      </c>
      <c r="F75" s="2" t="s">
        <v>592</v>
      </c>
      <c r="G75" s="2" t="s">
        <v>592</v>
      </c>
      <c r="H75" s="2" t="s">
        <v>231</v>
      </c>
      <c r="I75" s="2" t="s">
        <v>593</v>
      </c>
      <c r="J75" s="2" t="s">
        <v>293</v>
      </c>
      <c r="K75" s="2" t="s">
        <v>294</v>
      </c>
      <c r="L75" s="3">
        <v>34.32</v>
      </c>
      <c r="M75" s="3">
        <v>36.04</v>
      </c>
      <c r="N75" s="3">
        <v>69.99</v>
      </c>
      <c r="O75" s="2" t="s">
        <v>243</v>
      </c>
      <c r="P75" s="2" t="s">
        <v>341</v>
      </c>
      <c r="Q75" s="2" t="s">
        <v>237</v>
      </c>
      <c r="R75" s="2" t="s">
        <v>231</v>
      </c>
      <c r="S75" s="2" t="s">
        <v>594</v>
      </c>
      <c r="T75" s="2" t="s">
        <v>595</v>
      </c>
      <c r="U75" s="2" t="s">
        <v>231</v>
      </c>
      <c r="V75" s="2" t="s">
        <v>239</v>
      </c>
      <c r="W75" s="2" t="s">
        <v>273</v>
      </c>
      <c r="X75" s="2" t="s">
        <v>231</v>
      </c>
      <c r="Y75" s="2" t="s">
        <v>599</v>
      </c>
      <c r="Z75" s="4">
        <v>399</v>
      </c>
      <c r="AA75" s="4">
        <f>=ROUNDDOWN(117.352941176471,0)</f>
      </c>
      <c r="AB75" s="5">
        <v>3.4</v>
      </c>
      <c r="AC75" s="2" t="s">
        <v>231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231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231</v>
      </c>
      <c r="AW75" s="8" t="s">
        <v>231</v>
      </c>
      <c r="AX75" s="4" t="s">
        <v>231</v>
      </c>
      <c r="AY75" s="8" t="s">
        <v>231</v>
      </c>
      <c r="AZ75" s="7" t="s">
        <v>231</v>
      </c>
      <c r="BA75" s="7" t="s">
        <v>231</v>
      </c>
      <c r="BB75" s="7"/>
      <c r="BC75" s="4" t="s">
        <v>231</v>
      </c>
      <c r="BD75" s="8" t="s">
        <v>231</v>
      </c>
      <c r="BE75" s="4" t="s">
        <v>231</v>
      </c>
      <c r="BF75" s="8" t="s">
        <v>231</v>
      </c>
      <c r="BG75" s="7" t="s">
        <v>231</v>
      </c>
      <c r="BH75" s="7" t="s">
        <v>231</v>
      </c>
      <c r="BI75" s="7"/>
      <c r="BJ75" s="4">
        <v>6</v>
      </c>
      <c r="BK75" s="8">
        <v>182.04</v>
      </c>
      <c r="BL75" s="2" t="s">
        <v>600</v>
      </c>
      <c r="BM75" s="7"/>
      <c r="BN75" s="7"/>
      <c r="BO75" s="4"/>
      <c r="BP75" s="8"/>
      <c r="BQ75" s="4"/>
      <c r="BR75" s="8"/>
      <c r="BS75" s="7"/>
      <c r="BT75" s="7"/>
      <c r="BU75" s="2" t="s">
        <v>601</v>
      </c>
      <c r="BV75" s="2" t="s">
        <v>231</v>
      </c>
      <c r="BW75" s="2" t="s">
        <v>231</v>
      </c>
      <c r="BX75" s="2" t="s">
        <v>231</v>
      </c>
      <c r="BY75" s="2" t="s">
        <v>277</v>
      </c>
      <c r="BZ75" s="2" t="s">
        <v>243</v>
      </c>
      <c r="CA75" s="2" t="s">
        <v>284</v>
      </c>
      <c r="CB75" s="2" t="s">
        <v>602</v>
      </c>
      <c r="CC75" s="2" t="s">
        <v>244</v>
      </c>
      <c r="CD75" s="2" t="s">
        <v>231</v>
      </c>
      <c r="CE75" s="4">
        <v>399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</row>
    <row r="76">
      <c r="A76" s="2" t="s">
        <v>603</v>
      </c>
      <c r="B76" s="2" t="s">
        <v>287</v>
      </c>
      <c r="C76" s="2" t="s">
        <v>591</v>
      </c>
      <c r="D76" s="2" t="s">
        <v>289</v>
      </c>
      <c r="E76" s="2" t="s">
        <v>290</v>
      </c>
      <c r="F76" s="2" t="s">
        <v>592</v>
      </c>
      <c r="G76" s="2" t="s">
        <v>592</v>
      </c>
      <c r="H76" s="2" t="s">
        <v>231</v>
      </c>
      <c r="I76" s="2" t="s">
        <v>593</v>
      </c>
      <c r="J76" s="2" t="s">
        <v>281</v>
      </c>
      <c r="K76" s="2" t="s">
        <v>253</v>
      </c>
      <c r="L76" s="3">
        <v>31.68</v>
      </c>
      <c r="M76" s="3">
        <v>33.26</v>
      </c>
      <c r="N76" s="3">
        <v>64.99</v>
      </c>
      <c r="O76" s="2" t="s">
        <v>235</v>
      </c>
      <c r="P76" s="2" t="s">
        <v>341</v>
      </c>
      <c r="Q76" s="2" t="s">
        <v>237</v>
      </c>
      <c r="R76" s="2" t="s">
        <v>231</v>
      </c>
      <c r="S76" s="2" t="s">
        <v>604</v>
      </c>
      <c r="T76" s="2" t="s">
        <v>595</v>
      </c>
      <c r="U76" s="2" t="s">
        <v>231</v>
      </c>
      <c r="V76" s="2" t="s">
        <v>239</v>
      </c>
      <c r="W76" s="2" t="s">
        <v>273</v>
      </c>
      <c r="X76" s="2" t="s">
        <v>231</v>
      </c>
      <c r="Y76" s="2" t="s">
        <v>274</v>
      </c>
      <c r="Z76" s="4">
        <v>248</v>
      </c>
      <c r="AA76" s="4">
        <f>=ROUNDDOWN(145.882352941176,0)</f>
      </c>
      <c r="AB76" s="5">
        <v>1.7</v>
      </c>
      <c r="AC76" s="2" t="s">
        <v>231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231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231</v>
      </c>
      <c r="AW76" s="8" t="s">
        <v>231</v>
      </c>
      <c r="AX76" s="4" t="s">
        <v>231</v>
      </c>
      <c r="AY76" s="8" t="s">
        <v>231</v>
      </c>
      <c r="AZ76" s="7" t="s">
        <v>231</v>
      </c>
      <c r="BA76" s="7" t="s">
        <v>231</v>
      </c>
      <c r="BB76" s="7"/>
      <c r="BC76" s="4" t="s">
        <v>231</v>
      </c>
      <c r="BD76" s="8" t="s">
        <v>231</v>
      </c>
      <c r="BE76" s="4" t="s">
        <v>231</v>
      </c>
      <c r="BF76" s="8" t="s">
        <v>231</v>
      </c>
      <c r="BG76" s="7" t="s">
        <v>231</v>
      </c>
      <c r="BH76" s="7" t="s">
        <v>231</v>
      </c>
      <c r="BI76" s="7"/>
      <c r="BJ76" s="4">
        <v>1</v>
      </c>
      <c r="BK76" s="8">
        <v>81.99</v>
      </c>
      <c r="BL76" s="2" t="s">
        <v>605</v>
      </c>
      <c r="BM76" s="7"/>
      <c r="BN76" s="7"/>
      <c r="BO76" s="4"/>
      <c r="BP76" s="8"/>
      <c r="BQ76" s="4"/>
      <c r="BR76" s="8"/>
      <c r="BS76" s="7"/>
      <c r="BT76" s="7"/>
      <c r="BU76" s="2" t="s">
        <v>606</v>
      </c>
      <c r="BV76" s="2" t="s">
        <v>231</v>
      </c>
      <c r="BW76" s="2" t="s">
        <v>231</v>
      </c>
      <c r="BX76" s="2" t="s">
        <v>231</v>
      </c>
      <c r="BY76" s="2" t="s">
        <v>277</v>
      </c>
      <c r="BZ76" s="2" t="s">
        <v>243</v>
      </c>
      <c r="CA76" s="2" t="s">
        <v>284</v>
      </c>
      <c r="CB76" s="2" t="s">
        <v>607</v>
      </c>
      <c r="CC76" s="2" t="s">
        <v>244</v>
      </c>
      <c r="CD76" s="2" t="s">
        <v>231</v>
      </c>
      <c r="CE76" s="4">
        <v>248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</row>
    <row r="77">
      <c r="A77" s="2" t="s">
        <v>608</v>
      </c>
      <c r="B77" s="2" t="s">
        <v>287</v>
      </c>
      <c r="C77" s="2" t="s">
        <v>591</v>
      </c>
      <c r="D77" s="2" t="s">
        <v>289</v>
      </c>
      <c r="E77" s="2" t="s">
        <v>290</v>
      </c>
      <c r="F77" s="2" t="s">
        <v>592</v>
      </c>
      <c r="G77" s="2" t="s">
        <v>592</v>
      </c>
      <c r="H77" s="2" t="s">
        <v>231</v>
      </c>
      <c r="I77" s="2" t="s">
        <v>593</v>
      </c>
      <c r="J77" s="2" t="s">
        <v>293</v>
      </c>
      <c r="K77" s="2" t="s">
        <v>253</v>
      </c>
      <c r="L77" s="3">
        <v>34.32</v>
      </c>
      <c r="M77" s="3">
        <v>36.04</v>
      </c>
      <c r="N77" s="3">
        <v>69.99</v>
      </c>
      <c r="O77" s="2" t="s">
        <v>243</v>
      </c>
      <c r="P77" s="2" t="s">
        <v>341</v>
      </c>
      <c r="Q77" s="2" t="s">
        <v>237</v>
      </c>
      <c r="R77" s="2" t="s">
        <v>231</v>
      </c>
      <c r="S77" s="2" t="s">
        <v>604</v>
      </c>
      <c r="T77" s="2" t="s">
        <v>595</v>
      </c>
      <c r="U77" s="2" t="s">
        <v>231</v>
      </c>
      <c r="V77" s="2" t="s">
        <v>239</v>
      </c>
      <c r="W77" s="2" t="s">
        <v>273</v>
      </c>
      <c r="X77" s="2" t="s">
        <v>231</v>
      </c>
      <c r="Y77" s="2" t="s">
        <v>274</v>
      </c>
      <c r="Z77" s="4">
        <v>178</v>
      </c>
      <c r="AA77" s="4">
        <f>=ROUNDDOWN(35.6,0)</f>
      </c>
      <c r="AB77" s="5">
        <v>5</v>
      </c>
      <c r="AC77" s="2" t="s">
        <v>231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231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231</v>
      </c>
      <c r="AW77" s="8" t="s">
        <v>231</v>
      </c>
      <c r="AX77" s="4" t="s">
        <v>231</v>
      </c>
      <c r="AY77" s="8" t="s">
        <v>231</v>
      </c>
      <c r="AZ77" s="7" t="s">
        <v>231</v>
      </c>
      <c r="BA77" s="7" t="s">
        <v>231</v>
      </c>
      <c r="BB77" s="7"/>
      <c r="BC77" s="4" t="s">
        <v>231</v>
      </c>
      <c r="BD77" s="8" t="s">
        <v>231</v>
      </c>
      <c r="BE77" s="4" t="s">
        <v>231</v>
      </c>
      <c r="BF77" s="8" t="s">
        <v>231</v>
      </c>
      <c r="BG77" s="7" t="s">
        <v>231</v>
      </c>
      <c r="BH77" s="7" t="s">
        <v>231</v>
      </c>
      <c r="BI77" s="7"/>
      <c r="BJ77" s="4">
        <v>9</v>
      </c>
      <c r="BK77" s="8">
        <v>263.92</v>
      </c>
      <c r="BL77" s="2" t="s">
        <v>609</v>
      </c>
      <c r="BM77" s="7"/>
      <c r="BN77" s="7"/>
      <c r="BO77" s="4"/>
      <c r="BP77" s="8"/>
      <c r="BQ77" s="4"/>
      <c r="BR77" s="8"/>
      <c r="BS77" s="7"/>
      <c r="BT77" s="7"/>
      <c r="BU77" s="2" t="s">
        <v>610</v>
      </c>
      <c r="BV77" s="2" t="s">
        <v>231</v>
      </c>
      <c r="BW77" s="2" t="s">
        <v>231</v>
      </c>
      <c r="BX77" s="2" t="s">
        <v>231</v>
      </c>
      <c r="BY77" s="2" t="s">
        <v>277</v>
      </c>
      <c r="BZ77" s="2" t="s">
        <v>243</v>
      </c>
      <c r="CA77" s="2" t="s">
        <v>284</v>
      </c>
      <c r="CB77" s="2" t="s">
        <v>611</v>
      </c>
      <c r="CC77" s="2" t="s">
        <v>244</v>
      </c>
      <c r="CD77" s="2" t="s">
        <v>231</v>
      </c>
      <c r="CE77" s="4">
        <v>178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</row>
    <row r="78">
      <c r="A78" s="2" t="s">
        <v>612</v>
      </c>
      <c r="B78" s="2" t="s">
        <v>287</v>
      </c>
      <c r="C78" s="2" t="s">
        <v>591</v>
      </c>
      <c r="D78" s="2" t="s">
        <v>289</v>
      </c>
      <c r="E78" s="2" t="s">
        <v>290</v>
      </c>
      <c r="F78" s="2" t="s">
        <v>592</v>
      </c>
      <c r="G78" s="2" t="s">
        <v>592</v>
      </c>
      <c r="H78" s="2" t="s">
        <v>231</v>
      </c>
      <c r="I78" s="2" t="s">
        <v>593</v>
      </c>
      <c r="J78" s="2" t="s">
        <v>318</v>
      </c>
      <c r="K78" s="2" t="s">
        <v>306</v>
      </c>
      <c r="L78" s="3">
        <v>25.34</v>
      </c>
      <c r="M78" s="3">
        <v>26.61</v>
      </c>
      <c r="N78" s="3">
        <v>52.99</v>
      </c>
      <c r="O78" s="2" t="s">
        <v>243</v>
      </c>
      <c r="P78" s="2" t="s">
        <v>341</v>
      </c>
      <c r="Q78" s="2" t="s">
        <v>237</v>
      </c>
      <c r="R78" s="2" t="s">
        <v>231</v>
      </c>
      <c r="S78" s="2" t="s">
        <v>613</v>
      </c>
      <c r="T78" s="2" t="s">
        <v>595</v>
      </c>
      <c r="U78" s="2" t="s">
        <v>231</v>
      </c>
      <c r="V78" s="2" t="s">
        <v>239</v>
      </c>
      <c r="W78" s="2" t="s">
        <v>273</v>
      </c>
      <c r="X78" s="2" t="s">
        <v>231</v>
      </c>
      <c r="Y78" s="2" t="s">
        <v>614</v>
      </c>
      <c r="Z78" s="4">
        <v>68</v>
      </c>
      <c r="AA78" s="4">
        <f>=ROUNDDOWN(56.6666666666667,0)</f>
      </c>
      <c r="AB78" s="5">
        <v>1.2</v>
      </c>
      <c r="AC78" s="2" t="s">
        <v>231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231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231</v>
      </c>
      <c r="AW78" s="8" t="s">
        <v>231</v>
      </c>
      <c r="AX78" s="4" t="s">
        <v>231</v>
      </c>
      <c r="AY78" s="8" t="s">
        <v>231</v>
      </c>
      <c r="AZ78" s="7" t="s">
        <v>231</v>
      </c>
      <c r="BA78" s="7" t="s">
        <v>231</v>
      </c>
      <c r="BB78" s="7"/>
      <c r="BC78" s="4" t="s">
        <v>231</v>
      </c>
      <c r="BD78" s="8" t="s">
        <v>231</v>
      </c>
      <c r="BE78" s="4" t="s">
        <v>231</v>
      </c>
      <c r="BF78" s="8" t="s">
        <v>231</v>
      </c>
      <c r="BG78" s="7" t="s">
        <v>231</v>
      </c>
      <c r="BH78" s="7" t="s">
        <v>231</v>
      </c>
      <c r="BI78" s="7"/>
      <c r="BJ78" s="4">
        <v>1</v>
      </c>
      <c r="BK78" s="8">
        <v>22.67</v>
      </c>
      <c r="BL78" s="2" t="s">
        <v>615</v>
      </c>
      <c r="BM78" s="7"/>
      <c r="BN78" s="7"/>
      <c r="BO78" s="4"/>
      <c r="BP78" s="8"/>
      <c r="BQ78" s="4"/>
      <c r="BR78" s="8"/>
      <c r="BS78" s="7"/>
      <c r="BT78" s="7"/>
      <c r="BU78" s="2" t="s">
        <v>616</v>
      </c>
      <c r="BV78" s="2" t="s">
        <v>231</v>
      </c>
      <c r="BW78" s="2" t="s">
        <v>231</v>
      </c>
      <c r="BX78" s="2" t="s">
        <v>231</v>
      </c>
      <c r="BY78" s="2" t="s">
        <v>277</v>
      </c>
      <c r="BZ78" s="2" t="s">
        <v>243</v>
      </c>
      <c r="CA78" s="2" t="s">
        <v>284</v>
      </c>
      <c r="CB78" s="2" t="s">
        <v>617</v>
      </c>
      <c r="CC78" s="2" t="s">
        <v>244</v>
      </c>
      <c r="CD78" s="2" t="s">
        <v>231</v>
      </c>
      <c r="CE78" s="4">
        <v>68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</row>
    <row r="79">
      <c r="A79" s="2" t="s">
        <v>618</v>
      </c>
      <c r="B79" s="2" t="s">
        <v>287</v>
      </c>
      <c r="C79" s="2" t="s">
        <v>591</v>
      </c>
      <c r="D79" s="2" t="s">
        <v>289</v>
      </c>
      <c r="E79" s="2" t="s">
        <v>290</v>
      </c>
      <c r="F79" s="2" t="s">
        <v>592</v>
      </c>
      <c r="G79" s="2" t="s">
        <v>592</v>
      </c>
      <c r="H79" s="2" t="s">
        <v>231</v>
      </c>
      <c r="I79" s="2" t="s">
        <v>593</v>
      </c>
      <c r="J79" s="2" t="s">
        <v>281</v>
      </c>
      <c r="K79" s="2" t="s">
        <v>306</v>
      </c>
      <c r="L79" s="3">
        <v>31.68</v>
      </c>
      <c r="M79" s="3">
        <v>33.26</v>
      </c>
      <c r="N79" s="3">
        <v>64.99</v>
      </c>
      <c r="O79" s="2" t="s">
        <v>243</v>
      </c>
      <c r="P79" s="2" t="s">
        <v>341</v>
      </c>
      <c r="Q79" s="2" t="s">
        <v>237</v>
      </c>
      <c r="R79" s="2" t="s">
        <v>231</v>
      </c>
      <c r="S79" s="2" t="s">
        <v>613</v>
      </c>
      <c r="T79" s="2" t="s">
        <v>595</v>
      </c>
      <c r="U79" s="2" t="s">
        <v>231</v>
      </c>
      <c r="V79" s="2" t="s">
        <v>239</v>
      </c>
      <c r="W79" s="2" t="s">
        <v>273</v>
      </c>
      <c r="X79" s="2" t="s">
        <v>231</v>
      </c>
      <c r="Y79" s="2" t="s">
        <v>274</v>
      </c>
      <c r="Z79" s="4">
        <v>58</v>
      </c>
      <c r="AA79" s="4">
        <f>=ROUNDDOWN(12.8888888888889,0)</f>
      </c>
      <c r="AB79" s="5">
        <v>4.5</v>
      </c>
      <c r="AC79" s="2" t="s">
        <v>231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231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231</v>
      </c>
      <c r="AW79" s="8" t="s">
        <v>231</v>
      </c>
      <c r="AX79" s="4" t="s">
        <v>231</v>
      </c>
      <c r="AY79" s="8" t="s">
        <v>231</v>
      </c>
      <c r="AZ79" s="7" t="s">
        <v>231</v>
      </c>
      <c r="BA79" s="7" t="s">
        <v>231</v>
      </c>
      <c r="BB79" s="7"/>
      <c r="BC79" s="4" t="s">
        <v>231</v>
      </c>
      <c r="BD79" s="8" t="s">
        <v>231</v>
      </c>
      <c r="BE79" s="4" t="s">
        <v>231</v>
      </c>
      <c r="BF79" s="8" t="s">
        <v>231</v>
      </c>
      <c r="BG79" s="7" t="s">
        <v>231</v>
      </c>
      <c r="BH79" s="7" t="s">
        <v>231</v>
      </c>
      <c r="BI79" s="7"/>
      <c r="BJ79" s="4">
        <v>3</v>
      </c>
      <c r="BK79" s="8">
        <v>91.34</v>
      </c>
      <c r="BL79" s="2" t="s">
        <v>619</v>
      </c>
      <c r="BM79" s="7"/>
      <c r="BN79" s="7"/>
      <c r="BO79" s="4"/>
      <c r="BP79" s="8"/>
      <c r="BQ79" s="4"/>
      <c r="BR79" s="8"/>
      <c r="BS79" s="7"/>
      <c r="BT79" s="7"/>
      <c r="BU79" s="2" t="s">
        <v>620</v>
      </c>
      <c r="BV79" s="2" t="s">
        <v>231</v>
      </c>
      <c r="BW79" s="2" t="s">
        <v>231</v>
      </c>
      <c r="BX79" s="2" t="s">
        <v>231</v>
      </c>
      <c r="BY79" s="2" t="s">
        <v>277</v>
      </c>
      <c r="BZ79" s="2" t="s">
        <v>243</v>
      </c>
      <c r="CA79" s="2" t="s">
        <v>284</v>
      </c>
      <c r="CB79" s="2" t="s">
        <v>617</v>
      </c>
      <c r="CC79" s="2" t="s">
        <v>244</v>
      </c>
      <c r="CD79" s="2" t="s">
        <v>231</v>
      </c>
      <c r="CE79" s="4">
        <v>58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</row>
    <row r="80">
      <c r="A80" s="2" t="s">
        <v>621</v>
      </c>
      <c r="B80" s="2" t="s">
        <v>287</v>
      </c>
      <c r="C80" s="2" t="s">
        <v>591</v>
      </c>
      <c r="D80" s="2" t="s">
        <v>289</v>
      </c>
      <c r="E80" s="2" t="s">
        <v>290</v>
      </c>
      <c r="F80" s="2" t="s">
        <v>592</v>
      </c>
      <c r="G80" s="2" t="s">
        <v>592</v>
      </c>
      <c r="H80" s="2" t="s">
        <v>231</v>
      </c>
      <c r="I80" s="2" t="s">
        <v>593</v>
      </c>
      <c r="J80" s="2" t="s">
        <v>302</v>
      </c>
      <c r="K80" s="2" t="s">
        <v>622</v>
      </c>
      <c r="L80" s="3">
        <v>37.49</v>
      </c>
      <c r="M80" s="3">
        <v>39.36</v>
      </c>
      <c r="N80" s="3">
        <v>75.99</v>
      </c>
      <c r="O80" s="2" t="s">
        <v>243</v>
      </c>
      <c r="P80" s="2" t="s">
        <v>341</v>
      </c>
      <c r="Q80" s="2" t="s">
        <v>237</v>
      </c>
      <c r="R80" s="2" t="s">
        <v>231</v>
      </c>
      <c r="S80" s="2" t="s">
        <v>623</v>
      </c>
      <c r="T80" s="2" t="s">
        <v>595</v>
      </c>
      <c r="U80" s="2" t="s">
        <v>231</v>
      </c>
      <c r="V80" s="2" t="s">
        <v>239</v>
      </c>
      <c r="W80" s="2" t="s">
        <v>273</v>
      </c>
      <c r="X80" s="2" t="s">
        <v>231</v>
      </c>
      <c r="Y80" s="2" t="s">
        <v>274</v>
      </c>
      <c r="Z80" s="4"/>
      <c r="AA80" s="4">
        <f>=ROUNDDOWN({0},0)</f>
      </c>
      <c r="AB80" s="5">
        <v>3.8</v>
      </c>
      <c r="AC80" s="2" t="s">
        <v>231</v>
      </c>
      <c r="AD80" s="4"/>
      <c r="AE80" s="4"/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231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231</v>
      </c>
      <c r="BD80" s="8" t="s">
        <v>231</v>
      </c>
      <c r="BE80" s="4" t="s">
        <v>231</v>
      </c>
      <c r="BF80" s="8" t="s">
        <v>231</v>
      </c>
      <c r="BG80" s="7" t="s">
        <v>231</v>
      </c>
      <c r="BH80" s="7" t="s">
        <v>231</v>
      </c>
      <c r="BI80" s="7"/>
      <c r="BJ80" s="4"/>
      <c r="BK80" s="8"/>
      <c r="BL80" s="2" t="s">
        <v>624</v>
      </c>
      <c r="BM80" s="7"/>
      <c r="BN80" s="7"/>
      <c r="BO80" s="4"/>
      <c r="BP80" s="8"/>
      <c r="BQ80" s="4"/>
      <c r="BR80" s="8"/>
      <c r="BS80" s="7"/>
      <c r="BT80" s="7"/>
      <c r="BU80" s="2" t="s">
        <v>625</v>
      </c>
      <c r="BV80" s="2" t="s">
        <v>231</v>
      </c>
      <c r="BW80" s="2" t="s">
        <v>231</v>
      </c>
      <c r="BX80" s="2" t="s">
        <v>231</v>
      </c>
      <c r="BY80" s="2" t="s">
        <v>277</v>
      </c>
      <c r="BZ80" s="2" t="s">
        <v>243</v>
      </c>
      <c r="CA80" s="2" t="s">
        <v>284</v>
      </c>
      <c r="CB80" s="2" t="s">
        <v>585</v>
      </c>
      <c r="CC80" s="2" t="s">
        <v>244</v>
      </c>
      <c r="CD80" s="2" t="s">
        <v>231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</row>
    <row r="81">
      <c r="A81" s="2" t="s">
        <v>626</v>
      </c>
      <c r="B81" s="2" t="s">
        <v>287</v>
      </c>
      <c r="C81" s="2" t="s">
        <v>591</v>
      </c>
      <c r="D81" s="2" t="s">
        <v>289</v>
      </c>
      <c r="E81" s="2" t="s">
        <v>290</v>
      </c>
      <c r="F81" s="2" t="s">
        <v>592</v>
      </c>
      <c r="G81" s="2" t="s">
        <v>592</v>
      </c>
      <c r="H81" s="2" t="s">
        <v>231</v>
      </c>
      <c r="I81" s="2" t="s">
        <v>593</v>
      </c>
      <c r="J81" s="2" t="s">
        <v>281</v>
      </c>
      <c r="K81" s="2" t="s">
        <v>255</v>
      </c>
      <c r="L81" s="3">
        <v>31.68</v>
      </c>
      <c r="M81" s="3">
        <v>33.26</v>
      </c>
      <c r="N81" s="3">
        <v>64.99</v>
      </c>
      <c r="O81" s="2" t="s">
        <v>243</v>
      </c>
      <c r="P81" s="2" t="s">
        <v>341</v>
      </c>
      <c r="Q81" s="2" t="s">
        <v>237</v>
      </c>
      <c r="R81" s="2" t="s">
        <v>231</v>
      </c>
      <c r="S81" s="2" t="s">
        <v>627</v>
      </c>
      <c r="T81" s="2" t="s">
        <v>595</v>
      </c>
      <c r="U81" s="2" t="s">
        <v>231</v>
      </c>
      <c r="V81" s="2" t="s">
        <v>239</v>
      </c>
      <c r="W81" s="2" t="s">
        <v>273</v>
      </c>
      <c r="X81" s="2" t="s">
        <v>231</v>
      </c>
      <c r="Y81" s="2" t="s">
        <v>274</v>
      </c>
      <c r="Z81" s="4">
        <v>208</v>
      </c>
      <c r="AA81" s="4">
        <f>=ROUNDDOWN(260,0)</f>
      </c>
      <c r="AB81" s="5">
        <v>0.8</v>
      </c>
      <c r="AC81" s="2" t="s">
        <v>231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231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231</v>
      </c>
      <c r="BD81" s="8" t="s">
        <v>231</v>
      </c>
      <c r="BE81" s="4" t="s">
        <v>231</v>
      </c>
      <c r="BF81" s="8" t="s">
        <v>231</v>
      </c>
      <c r="BG81" s="7" t="s">
        <v>231</v>
      </c>
      <c r="BH81" s="7" t="s">
        <v>231</v>
      </c>
      <c r="BI81" s="7"/>
      <c r="BJ81" s="4">
        <v>1</v>
      </c>
      <c r="BK81" s="8">
        <v>33.81</v>
      </c>
      <c r="BL81" s="2" t="s">
        <v>628</v>
      </c>
      <c r="BM81" s="7"/>
      <c r="BN81" s="7"/>
      <c r="BO81" s="4"/>
      <c r="BP81" s="8"/>
      <c r="BQ81" s="4"/>
      <c r="BR81" s="8"/>
      <c r="BS81" s="7"/>
      <c r="BT81" s="7"/>
      <c r="BU81" s="2" t="s">
        <v>629</v>
      </c>
      <c r="BV81" s="2" t="s">
        <v>231</v>
      </c>
      <c r="BW81" s="2" t="s">
        <v>231</v>
      </c>
      <c r="BX81" s="2" t="s">
        <v>231</v>
      </c>
      <c r="BY81" s="2" t="s">
        <v>277</v>
      </c>
      <c r="BZ81" s="2" t="s">
        <v>243</v>
      </c>
      <c r="CA81" s="2" t="s">
        <v>284</v>
      </c>
      <c r="CB81" s="2" t="s">
        <v>576</v>
      </c>
      <c r="CC81" s="2" t="s">
        <v>244</v>
      </c>
      <c r="CD81" s="2" t="s">
        <v>231</v>
      </c>
      <c r="CE81" s="4">
        <v>208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</row>
    <row r="82">
      <c r="A82" s="2" t="s">
        <v>630</v>
      </c>
      <c r="B82" s="2" t="s">
        <v>287</v>
      </c>
      <c r="C82" s="2" t="s">
        <v>631</v>
      </c>
      <c r="D82" s="2" t="s">
        <v>289</v>
      </c>
      <c r="E82" s="2" t="s">
        <v>290</v>
      </c>
      <c r="F82" s="2" t="s">
        <v>632</v>
      </c>
      <c r="G82" s="2" t="s">
        <v>632</v>
      </c>
      <c r="H82" s="2" t="s">
        <v>632</v>
      </c>
      <c r="I82" s="2" t="s">
        <v>633</v>
      </c>
      <c r="J82" s="2" t="s">
        <v>304</v>
      </c>
      <c r="K82" s="2" t="s">
        <v>253</v>
      </c>
      <c r="L82" s="3">
        <v>39.2</v>
      </c>
      <c r="M82" s="3">
        <v>41.16</v>
      </c>
      <c r="N82" s="3">
        <v>79.99</v>
      </c>
      <c r="O82" s="2" t="s">
        <v>243</v>
      </c>
      <c r="P82" s="2" t="s">
        <v>341</v>
      </c>
      <c r="Q82" s="2" t="s">
        <v>237</v>
      </c>
      <c r="R82" s="2" t="s">
        <v>231</v>
      </c>
      <c r="S82" s="2" t="s">
        <v>634</v>
      </c>
      <c r="T82" s="2" t="s">
        <v>362</v>
      </c>
      <c r="U82" s="2" t="s">
        <v>298</v>
      </c>
      <c r="V82" s="2" t="s">
        <v>239</v>
      </c>
      <c r="W82" s="2" t="s">
        <v>273</v>
      </c>
      <c r="X82" s="2" t="s">
        <v>299</v>
      </c>
      <c r="Y82" s="2" t="s">
        <v>635</v>
      </c>
      <c r="Z82" s="4">
        <v>22</v>
      </c>
      <c r="AA82" s="4">
        <f>=ROUNDDOWN(14.6666666666667,0)</f>
      </c>
      <c r="AB82" s="5">
        <v>1.5</v>
      </c>
      <c r="AC82" s="2" t="s">
        <v>636</v>
      </c>
      <c r="AD82" s="4">
        <v>30</v>
      </c>
      <c r="AE82" s="4">
        <v>30</v>
      </c>
      <c r="AF82" s="6">
        <v>70</v>
      </c>
      <c r="AG82" s="6"/>
      <c r="AH82" s="7">
        <v>1</v>
      </c>
      <c r="AI82" s="4"/>
      <c r="AJ82" s="4">
        <f>=ROUNDDOWN({0},0)</f>
      </c>
      <c r="AK82" s="5"/>
      <c r="AL82" s="2" t="s">
        <v>231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231</v>
      </c>
      <c r="BD82" s="8" t="s">
        <v>231</v>
      </c>
      <c r="BE82" s="4" t="s">
        <v>231</v>
      </c>
      <c r="BF82" s="8" t="s">
        <v>231</v>
      </c>
      <c r="BG82" s="7" t="s">
        <v>231</v>
      </c>
      <c r="BH82" s="7" t="s">
        <v>231</v>
      </c>
      <c r="BI82" s="7"/>
      <c r="BJ82" s="4">
        <v>6</v>
      </c>
      <c r="BK82" s="8">
        <v>253.24</v>
      </c>
      <c r="BL82" s="2" t="s">
        <v>637</v>
      </c>
      <c r="BM82" s="7"/>
      <c r="BN82" s="7"/>
      <c r="BO82" s="4"/>
      <c r="BP82" s="8"/>
      <c r="BQ82" s="4"/>
      <c r="BR82" s="8"/>
      <c r="BS82" s="7"/>
      <c r="BT82" s="7"/>
      <c r="BU82" s="2" t="s">
        <v>638</v>
      </c>
      <c r="BV82" s="2" t="s">
        <v>231</v>
      </c>
      <c r="BW82" s="2" t="s">
        <v>231</v>
      </c>
      <c r="BX82" s="2" t="s">
        <v>231</v>
      </c>
      <c r="BY82" s="2" t="s">
        <v>277</v>
      </c>
      <c r="BZ82" s="2" t="s">
        <v>243</v>
      </c>
      <c r="CA82" s="2" t="s">
        <v>639</v>
      </c>
      <c r="CB82" s="2" t="s">
        <v>640</v>
      </c>
      <c r="CC82" s="2" t="s">
        <v>244</v>
      </c>
      <c r="CD82" s="2" t="s">
        <v>231</v>
      </c>
      <c r="CE82" s="4">
        <v>22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>
        <v>30</v>
      </c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</row>
    <row r="83">
      <c r="A83" s="2" t="s">
        <v>641</v>
      </c>
      <c r="B83" s="2" t="s">
        <v>287</v>
      </c>
      <c r="C83" s="2" t="s">
        <v>631</v>
      </c>
      <c r="D83" s="2" t="s">
        <v>289</v>
      </c>
      <c r="E83" s="2" t="s">
        <v>290</v>
      </c>
      <c r="F83" s="2" t="s">
        <v>632</v>
      </c>
      <c r="G83" s="2" t="s">
        <v>632</v>
      </c>
      <c r="H83" s="2" t="s">
        <v>632</v>
      </c>
      <c r="I83" s="2" t="s">
        <v>633</v>
      </c>
      <c r="J83" s="2" t="s">
        <v>281</v>
      </c>
      <c r="K83" s="2" t="s">
        <v>556</v>
      </c>
      <c r="L83" s="3">
        <v>34.3</v>
      </c>
      <c r="M83" s="3">
        <v>36.02</v>
      </c>
      <c r="N83" s="3">
        <v>69.99</v>
      </c>
      <c r="O83" s="2" t="s">
        <v>243</v>
      </c>
      <c r="P83" s="2" t="s">
        <v>341</v>
      </c>
      <c r="Q83" s="2" t="s">
        <v>237</v>
      </c>
      <c r="R83" s="2" t="s">
        <v>231</v>
      </c>
      <c r="S83" s="2" t="s">
        <v>642</v>
      </c>
      <c r="T83" s="2" t="s">
        <v>362</v>
      </c>
      <c r="U83" s="2" t="s">
        <v>298</v>
      </c>
      <c r="V83" s="2" t="s">
        <v>239</v>
      </c>
      <c r="W83" s="2" t="s">
        <v>273</v>
      </c>
      <c r="X83" s="2" t="s">
        <v>299</v>
      </c>
      <c r="Y83" s="2" t="s">
        <v>635</v>
      </c>
      <c r="Z83" s="4">
        <v>127</v>
      </c>
      <c r="AA83" s="4">
        <f>=ROUNDDOWN(66.8421052631579,0)</f>
      </c>
      <c r="AB83" s="5">
        <v>1.9</v>
      </c>
      <c r="AC83" s="2" t="s">
        <v>636</v>
      </c>
      <c r="AD83" s="4">
        <v>20</v>
      </c>
      <c r="AE83" s="4">
        <v>20</v>
      </c>
      <c r="AF83" s="6">
        <v>70</v>
      </c>
      <c r="AG83" s="6"/>
      <c r="AH83" s="7">
        <v>1</v>
      </c>
      <c r="AI83" s="4"/>
      <c r="AJ83" s="4">
        <f>=ROUNDDOWN({0},0)</f>
      </c>
      <c r="AK83" s="5"/>
      <c r="AL83" s="2" t="s">
        <v>231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231</v>
      </c>
      <c r="AW83" s="8" t="s">
        <v>231</v>
      </c>
      <c r="AX83" s="4" t="s">
        <v>231</v>
      </c>
      <c r="AY83" s="8" t="s">
        <v>231</v>
      </c>
      <c r="AZ83" s="7" t="s">
        <v>231</v>
      </c>
      <c r="BA83" s="7" t="s">
        <v>231</v>
      </c>
      <c r="BB83" s="7"/>
      <c r="BC83" s="4" t="s">
        <v>231</v>
      </c>
      <c r="BD83" s="8" t="s">
        <v>231</v>
      </c>
      <c r="BE83" s="4" t="s">
        <v>231</v>
      </c>
      <c r="BF83" s="8" t="s">
        <v>231</v>
      </c>
      <c r="BG83" s="7" t="s">
        <v>231</v>
      </c>
      <c r="BH83" s="7" t="s">
        <v>231</v>
      </c>
      <c r="BI83" s="7"/>
      <c r="BJ83" s="4">
        <v>9</v>
      </c>
      <c r="BK83" s="8">
        <v>292.3</v>
      </c>
      <c r="BL83" s="2" t="s">
        <v>643</v>
      </c>
      <c r="BM83" s="7"/>
      <c r="BN83" s="7"/>
      <c r="BO83" s="4"/>
      <c r="BP83" s="8"/>
      <c r="BQ83" s="4"/>
      <c r="BR83" s="8"/>
      <c r="BS83" s="7"/>
      <c r="BT83" s="7"/>
      <c r="BU83" s="2" t="s">
        <v>644</v>
      </c>
      <c r="BV83" s="2" t="s">
        <v>231</v>
      </c>
      <c r="BW83" s="2" t="s">
        <v>231</v>
      </c>
      <c r="BX83" s="2" t="s">
        <v>231</v>
      </c>
      <c r="BY83" s="2" t="s">
        <v>277</v>
      </c>
      <c r="BZ83" s="2" t="s">
        <v>243</v>
      </c>
      <c r="CA83" s="2" t="s">
        <v>645</v>
      </c>
      <c r="CB83" s="2" t="s">
        <v>646</v>
      </c>
      <c r="CC83" s="2" t="s">
        <v>244</v>
      </c>
      <c r="CD83" s="2" t="s">
        <v>231</v>
      </c>
      <c r="CE83" s="4">
        <v>127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>
        <v>20</v>
      </c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</row>
    <row r="84">
      <c r="A84" s="2" t="s">
        <v>647</v>
      </c>
      <c r="B84" s="2" t="s">
        <v>287</v>
      </c>
      <c r="C84" s="2" t="s">
        <v>631</v>
      </c>
      <c r="D84" s="2" t="s">
        <v>289</v>
      </c>
      <c r="E84" s="2" t="s">
        <v>290</v>
      </c>
      <c r="F84" s="2" t="s">
        <v>632</v>
      </c>
      <c r="G84" s="2" t="s">
        <v>632</v>
      </c>
      <c r="H84" s="2" t="s">
        <v>632</v>
      </c>
      <c r="I84" s="2" t="s">
        <v>633</v>
      </c>
      <c r="J84" s="2" t="s">
        <v>304</v>
      </c>
      <c r="K84" s="2" t="s">
        <v>556</v>
      </c>
      <c r="L84" s="3">
        <v>39.2</v>
      </c>
      <c r="M84" s="3">
        <v>41.16</v>
      </c>
      <c r="N84" s="3">
        <v>79.99</v>
      </c>
      <c r="O84" s="2" t="s">
        <v>243</v>
      </c>
      <c r="P84" s="2" t="s">
        <v>341</v>
      </c>
      <c r="Q84" s="2" t="s">
        <v>237</v>
      </c>
      <c r="R84" s="2" t="s">
        <v>231</v>
      </c>
      <c r="S84" s="2" t="s">
        <v>642</v>
      </c>
      <c r="T84" s="2" t="s">
        <v>362</v>
      </c>
      <c r="U84" s="2" t="s">
        <v>298</v>
      </c>
      <c r="V84" s="2" t="s">
        <v>239</v>
      </c>
      <c r="W84" s="2" t="s">
        <v>273</v>
      </c>
      <c r="X84" s="2" t="s">
        <v>299</v>
      </c>
      <c r="Y84" s="2" t="s">
        <v>635</v>
      </c>
      <c r="Z84" s="4">
        <v>32</v>
      </c>
      <c r="AA84" s="4">
        <f>=ROUNDDOWN(17.7777777777778,0)</f>
      </c>
      <c r="AB84" s="5">
        <v>1.8</v>
      </c>
      <c r="AC84" s="2" t="s">
        <v>636</v>
      </c>
      <c r="AD84" s="4">
        <v>30</v>
      </c>
      <c r="AE84" s="4">
        <v>30</v>
      </c>
      <c r="AF84" s="6">
        <v>70</v>
      </c>
      <c r="AG84" s="6"/>
      <c r="AH84" s="7">
        <v>1</v>
      </c>
      <c r="AI84" s="4"/>
      <c r="AJ84" s="4">
        <f>=ROUNDDOWN({0},0)</f>
      </c>
      <c r="AK84" s="5"/>
      <c r="AL84" s="2" t="s">
        <v>231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231</v>
      </c>
      <c r="AW84" s="8" t="s">
        <v>231</v>
      </c>
      <c r="AX84" s="4" t="s">
        <v>231</v>
      </c>
      <c r="AY84" s="8" t="s">
        <v>231</v>
      </c>
      <c r="AZ84" s="7" t="s">
        <v>231</v>
      </c>
      <c r="BA84" s="7" t="s">
        <v>231</v>
      </c>
      <c r="BB84" s="7"/>
      <c r="BC84" s="4" t="s">
        <v>231</v>
      </c>
      <c r="BD84" s="8" t="s">
        <v>231</v>
      </c>
      <c r="BE84" s="4" t="s">
        <v>231</v>
      </c>
      <c r="BF84" s="8" t="s">
        <v>231</v>
      </c>
      <c r="BG84" s="7" t="s">
        <v>231</v>
      </c>
      <c r="BH84" s="7" t="s">
        <v>231</v>
      </c>
      <c r="BI84" s="7"/>
      <c r="BJ84" s="4">
        <v>8</v>
      </c>
      <c r="BK84" s="8">
        <v>303.83</v>
      </c>
      <c r="BL84" s="2" t="s">
        <v>648</v>
      </c>
      <c r="BM84" s="7"/>
      <c r="BN84" s="7"/>
      <c r="BO84" s="4"/>
      <c r="BP84" s="8"/>
      <c r="BQ84" s="4"/>
      <c r="BR84" s="8"/>
      <c r="BS84" s="7"/>
      <c r="BT84" s="7"/>
      <c r="BU84" s="2" t="s">
        <v>649</v>
      </c>
      <c r="BV84" s="2" t="s">
        <v>231</v>
      </c>
      <c r="BW84" s="2" t="s">
        <v>231</v>
      </c>
      <c r="BX84" s="2" t="s">
        <v>231</v>
      </c>
      <c r="BY84" s="2" t="s">
        <v>277</v>
      </c>
      <c r="BZ84" s="2" t="s">
        <v>243</v>
      </c>
      <c r="CA84" s="2" t="s">
        <v>650</v>
      </c>
      <c r="CB84" s="2" t="s">
        <v>651</v>
      </c>
      <c r="CC84" s="2" t="s">
        <v>244</v>
      </c>
      <c r="CD84" s="2" t="s">
        <v>231</v>
      </c>
      <c r="CE84" s="4">
        <v>32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>
        <v>30</v>
      </c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</row>
    <row r="85">
      <c r="A85" s="2" t="s">
        <v>652</v>
      </c>
      <c r="B85" s="2" t="s">
        <v>262</v>
      </c>
      <c r="C85" s="2" t="s">
        <v>653</v>
      </c>
      <c r="D85" s="2" t="s">
        <v>654</v>
      </c>
      <c r="E85" s="2" t="s">
        <v>655</v>
      </c>
      <c r="F85" s="2" t="s">
        <v>656</v>
      </c>
      <c r="G85" s="2" t="s">
        <v>656</v>
      </c>
      <c r="H85" s="2" t="s">
        <v>656</v>
      </c>
      <c r="I85" s="2" t="s">
        <v>657</v>
      </c>
      <c r="J85" s="2" t="s">
        <v>658</v>
      </c>
      <c r="K85" s="2" t="s">
        <v>659</v>
      </c>
      <c r="L85" s="3">
        <v>80.95</v>
      </c>
      <c r="M85" s="3">
        <v>85</v>
      </c>
      <c r="N85" s="3">
        <v>169.99</v>
      </c>
      <c r="O85" s="2" t="s">
        <v>243</v>
      </c>
      <c r="P85" s="2" t="s">
        <v>270</v>
      </c>
      <c r="Q85" s="2" t="s">
        <v>237</v>
      </c>
      <c r="R85" s="2" t="s">
        <v>231</v>
      </c>
      <c r="S85" s="2" t="s">
        <v>660</v>
      </c>
      <c r="T85" s="2" t="s">
        <v>362</v>
      </c>
      <c r="U85" s="2" t="s">
        <v>661</v>
      </c>
      <c r="V85" s="2" t="s">
        <v>662</v>
      </c>
      <c r="W85" s="2" t="s">
        <v>299</v>
      </c>
      <c r="X85" s="2" t="s">
        <v>273</v>
      </c>
      <c r="Y85" s="2" t="s">
        <v>663</v>
      </c>
      <c r="Z85" s="4">
        <v>78</v>
      </c>
      <c r="AA85" s="4">
        <f>=ROUNDDOWN(39,0)</f>
      </c>
      <c r="AB85" s="5">
        <v>2</v>
      </c>
      <c r="AC85" s="2" t="s">
        <v>231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231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231</v>
      </c>
      <c r="AW85" s="8" t="s">
        <v>231</v>
      </c>
      <c r="AX85" s="4" t="s">
        <v>231</v>
      </c>
      <c r="AY85" s="8" t="s">
        <v>231</v>
      </c>
      <c r="AZ85" s="7" t="s">
        <v>231</v>
      </c>
      <c r="BA85" s="7" t="s">
        <v>231</v>
      </c>
      <c r="BB85" s="7"/>
      <c r="BC85" s="4" t="s">
        <v>231</v>
      </c>
      <c r="BD85" s="8" t="s">
        <v>231</v>
      </c>
      <c r="BE85" s="4" t="s">
        <v>231</v>
      </c>
      <c r="BF85" s="8" t="s">
        <v>231</v>
      </c>
      <c r="BG85" s="7" t="s">
        <v>231</v>
      </c>
      <c r="BH85" s="7" t="s">
        <v>231</v>
      </c>
      <c r="BI85" s="7"/>
      <c r="BJ85" s="4">
        <v>5</v>
      </c>
      <c r="BK85" s="8">
        <v>399.09</v>
      </c>
      <c r="BL85" s="2" t="s">
        <v>664</v>
      </c>
      <c r="BM85" s="7"/>
      <c r="BN85" s="7"/>
      <c r="BO85" s="4"/>
      <c r="BP85" s="8"/>
      <c r="BQ85" s="4"/>
      <c r="BR85" s="8"/>
      <c r="BS85" s="7"/>
      <c r="BT85" s="7"/>
      <c r="BU85" s="2" t="s">
        <v>665</v>
      </c>
      <c r="BV85" s="2" t="s">
        <v>231</v>
      </c>
      <c r="BW85" s="2" t="s">
        <v>231</v>
      </c>
      <c r="BX85" s="2" t="s">
        <v>231</v>
      </c>
      <c r="BY85" s="2" t="s">
        <v>277</v>
      </c>
      <c r="BZ85" s="2" t="s">
        <v>243</v>
      </c>
      <c r="CA85" s="2" t="s">
        <v>666</v>
      </c>
      <c r="CB85" s="2" t="s">
        <v>667</v>
      </c>
      <c r="CC85" s="2" t="s">
        <v>244</v>
      </c>
      <c r="CD85" s="2" t="s">
        <v>231</v>
      </c>
      <c r="CE85" s="4">
        <v>78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</row>
    <row r="86">
      <c r="A86" s="2" t="s">
        <v>668</v>
      </c>
      <c r="B86" s="2" t="s">
        <v>262</v>
      </c>
      <c r="C86" s="2" t="s">
        <v>653</v>
      </c>
      <c r="D86" s="2" t="s">
        <v>654</v>
      </c>
      <c r="E86" s="2" t="s">
        <v>655</v>
      </c>
      <c r="F86" s="2" t="s">
        <v>656</v>
      </c>
      <c r="G86" s="2" t="s">
        <v>656</v>
      </c>
      <c r="H86" s="2" t="s">
        <v>656</v>
      </c>
      <c r="I86" s="2" t="s">
        <v>657</v>
      </c>
      <c r="J86" s="2" t="s">
        <v>669</v>
      </c>
      <c r="K86" s="2" t="s">
        <v>659</v>
      </c>
      <c r="L86" s="3">
        <v>95.23</v>
      </c>
      <c r="M86" s="3">
        <v>99.99</v>
      </c>
      <c r="N86" s="3">
        <v>199.99</v>
      </c>
      <c r="O86" s="2" t="s">
        <v>243</v>
      </c>
      <c r="P86" s="2" t="s">
        <v>270</v>
      </c>
      <c r="Q86" s="2" t="s">
        <v>237</v>
      </c>
      <c r="R86" s="2" t="s">
        <v>231</v>
      </c>
      <c r="S86" s="2" t="s">
        <v>660</v>
      </c>
      <c r="T86" s="2" t="s">
        <v>362</v>
      </c>
      <c r="U86" s="2" t="s">
        <v>661</v>
      </c>
      <c r="V86" s="2" t="s">
        <v>662</v>
      </c>
      <c r="W86" s="2" t="s">
        <v>299</v>
      </c>
      <c r="X86" s="2" t="s">
        <v>273</v>
      </c>
      <c r="Y86" s="2" t="s">
        <v>663</v>
      </c>
      <c r="Z86" s="4">
        <v>135</v>
      </c>
      <c r="AA86" s="4">
        <f>=ROUNDDOWN(45,0)</f>
      </c>
      <c r="AB86" s="5">
        <v>3</v>
      </c>
      <c r="AC86" s="2" t="s">
        <v>231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231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231</v>
      </c>
      <c r="AW86" s="8" t="s">
        <v>231</v>
      </c>
      <c r="AX86" s="4" t="s">
        <v>231</v>
      </c>
      <c r="AY86" s="8" t="s">
        <v>231</v>
      </c>
      <c r="AZ86" s="7" t="s">
        <v>231</v>
      </c>
      <c r="BA86" s="7" t="s">
        <v>231</v>
      </c>
      <c r="BB86" s="7"/>
      <c r="BC86" s="4" t="s">
        <v>231</v>
      </c>
      <c r="BD86" s="8" t="s">
        <v>231</v>
      </c>
      <c r="BE86" s="4" t="s">
        <v>231</v>
      </c>
      <c r="BF86" s="8" t="s">
        <v>231</v>
      </c>
      <c r="BG86" s="7" t="s">
        <v>231</v>
      </c>
      <c r="BH86" s="7" t="s">
        <v>231</v>
      </c>
      <c r="BI86" s="7"/>
      <c r="BJ86" s="4">
        <v>9</v>
      </c>
      <c r="BK86" s="8">
        <v>906.47</v>
      </c>
      <c r="BL86" s="2" t="s">
        <v>664</v>
      </c>
      <c r="BM86" s="7"/>
      <c r="BN86" s="7"/>
      <c r="BO86" s="4"/>
      <c r="BP86" s="8"/>
      <c r="BQ86" s="4"/>
      <c r="BR86" s="8"/>
      <c r="BS86" s="7"/>
      <c r="BT86" s="7"/>
      <c r="BU86" s="2" t="s">
        <v>670</v>
      </c>
      <c r="BV86" s="2" t="s">
        <v>231</v>
      </c>
      <c r="BW86" s="2" t="s">
        <v>231</v>
      </c>
      <c r="BX86" s="2" t="s">
        <v>231</v>
      </c>
      <c r="BY86" s="2" t="s">
        <v>277</v>
      </c>
      <c r="BZ86" s="2" t="s">
        <v>243</v>
      </c>
      <c r="CA86" s="2" t="s">
        <v>666</v>
      </c>
      <c r="CB86" s="2" t="s">
        <v>671</v>
      </c>
      <c r="CC86" s="2" t="s">
        <v>244</v>
      </c>
      <c r="CD86" s="2" t="s">
        <v>231</v>
      </c>
      <c r="CE86" s="4">
        <v>135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</row>
    <row r="87">
      <c r="A87" s="2" t="s">
        <v>672</v>
      </c>
      <c r="B87" s="2" t="s">
        <v>287</v>
      </c>
      <c r="C87" s="2" t="s">
        <v>288</v>
      </c>
      <c r="D87" s="2" t="s">
        <v>289</v>
      </c>
      <c r="E87" s="2" t="s">
        <v>290</v>
      </c>
      <c r="F87" s="2" t="s">
        <v>673</v>
      </c>
      <c r="G87" s="2" t="s">
        <v>673</v>
      </c>
      <c r="H87" s="2" t="s">
        <v>673</v>
      </c>
      <c r="I87" s="2" t="s">
        <v>674</v>
      </c>
      <c r="J87" s="2" t="s">
        <v>281</v>
      </c>
      <c r="K87" s="2" t="s">
        <v>269</v>
      </c>
      <c r="L87" s="3">
        <v>25.99</v>
      </c>
      <c r="M87" s="3">
        <v>27.29</v>
      </c>
      <c r="N87" s="3">
        <v>57.99</v>
      </c>
      <c r="O87" s="2" t="s">
        <v>243</v>
      </c>
      <c r="P87" s="2" t="s">
        <v>341</v>
      </c>
      <c r="Q87" s="2" t="s">
        <v>237</v>
      </c>
      <c r="R87" s="2" t="s">
        <v>231</v>
      </c>
      <c r="S87" s="2" t="s">
        <v>675</v>
      </c>
      <c r="T87" s="2" t="s">
        <v>297</v>
      </c>
      <c r="U87" s="2" t="s">
        <v>298</v>
      </c>
      <c r="V87" s="2" t="s">
        <v>239</v>
      </c>
      <c r="W87" s="2" t="s">
        <v>273</v>
      </c>
      <c r="X87" s="2" t="s">
        <v>676</v>
      </c>
      <c r="Y87" s="2" t="s">
        <v>677</v>
      </c>
      <c r="Z87" s="4">
        <v>124</v>
      </c>
      <c r="AA87" s="4">
        <f>=ROUNDDOWN(20.6666666666667,0)</f>
      </c>
      <c r="AB87" s="5">
        <v>6</v>
      </c>
      <c r="AC87" s="2" t="s">
        <v>231</v>
      </c>
      <c r="AD87" s="4"/>
      <c r="AE87" s="4"/>
      <c r="AF87" s="6">
        <v>70</v>
      </c>
      <c r="AG87" s="6"/>
      <c r="AH87" s="7">
        <v>1</v>
      </c>
      <c r="AI87" s="4"/>
      <c r="AJ87" s="4">
        <f>=ROUNDDOWN({0},0)</f>
      </c>
      <c r="AK87" s="5"/>
      <c r="AL87" s="2" t="s">
        <v>231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231</v>
      </c>
      <c r="BD87" s="8" t="s">
        <v>231</v>
      </c>
      <c r="BE87" s="4" t="s">
        <v>231</v>
      </c>
      <c r="BF87" s="8" t="s">
        <v>231</v>
      </c>
      <c r="BG87" s="7" t="s">
        <v>231</v>
      </c>
      <c r="BH87" s="7" t="s">
        <v>231</v>
      </c>
      <c r="BI87" s="7"/>
      <c r="BJ87" s="4">
        <v>17</v>
      </c>
      <c r="BK87" s="8">
        <v>477.32</v>
      </c>
      <c r="BL87" s="2" t="s">
        <v>678</v>
      </c>
      <c r="BM87" s="7"/>
      <c r="BN87" s="7"/>
      <c r="BO87" s="4"/>
      <c r="BP87" s="8"/>
      <c r="BQ87" s="4"/>
      <c r="BR87" s="8"/>
      <c r="BS87" s="7"/>
      <c r="BT87" s="7"/>
      <c r="BU87" s="2" t="s">
        <v>679</v>
      </c>
      <c r="BV87" s="2" t="s">
        <v>231</v>
      </c>
      <c r="BW87" s="2" t="s">
        <v>231</v>
      </c>
      <c r="BX87" s="2" t="s">
        <v>231</v>
      </c>
      <c r="BY87" s="2" t="s">
        <v>277</v>
      </c>
      <c r="BZ87" s="2" t="s">
        <v>243</v>
      </c>
      <c r="CA87" s="2" t="s">
        <v>677</v>
      </c>
      <c r="CB87" s="2" t="s">
        <v>680</v>
      </c>
      <c r="CC87" s="2" t="s">
        <v>244</v>
      </c>
      <c r="CD87" s="2" t="s">
        <v>231</v>
      </c>
      <c r="CE87" s="4">
        <v>124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</row>
    <row r="88">
      <c r="A88" s="2" t="s">
        <v>681</v>
      </c>
      <c r="B88" s="2" t="s">
        <v>287</v>
      </c>
      <c r="C88" s="2" t="s">
        <v>288</v>
      </c>
      <c r="D88" s="2" t="s">
        <v>289</v>
      </c>
      <c r="E88" s="2" t="s">
        <v>290</v>
      </c>
      <c r="F88" s="2" t="s">
        <v>673</v>
      </c>
      <c r="G88" s="2" t="s">
        <v>673</v>
      </c>
      <c r="H88" s="2" t="s">
        <v>673</v>
      </c>
      <c r="I88" s="2" t="s">
        <v>674</v>
      </c>
      <c r="J88" s="2" t="s">
        <v>293</v>
      </c>
      <c r="K88" s="2" t="s">
        <v>682</v>
      </c>
      <c r="L88" s="3">
        <v>30.24</v>
      </c>
      <c r="M88" s="3">
        <v>31.75</v>
      </c>
      <c r="N88" s="3">
        <v>62.99</v>
      </c>
      <c r="O88" s="2" t="s">
        <v>243</v>
      </c>
      <c r="P88" s="2" t="s">
        <v>341</v>
      </c>
      <c r="Q88" s="2" t="s">
        <v>237</v>
      </c>
      <c r="R88" s="2" t="s">
        <v>231</v>
      </c>
      <c r="S88" s="2" t="s">
        <v>683</v>
      </c>
      <c r="T88" s="2" t="s">
        <v>297</v>
      </c>
      <c r="U88" s="2" t="s">
        <v>298</v>
      </c>
      <c r="V88" s="2" t="s">
        <v>239</v>
      </c>
      <c r="W88" s="2" t="s">
        <v>273</v>
      </c>
      <c r="X88" s="2" t="s">
        <v>676</v>
      </c>
      <c r="Y88" s="2" t="s">
        <v>677</v>
      </c>
      <c r="Z88" s="4">
        <v>130</v>
      </c>
      <c r="AA88" s="4">
        <f>=ROUNDDOWN(14.4444444444444,0)</f>
      </c>
      <c r="AB88" s="5">
        <v>9</v>
      </c>
      <c r="AC88" s="2" t="s">
        <v>231</v>
      </c>
      <c r="AD88" s="4"/>
      <c r="AE88" s="4"/>
      <c r="AF88" s="6">
        <v>70</v>
      </c>
      <c r="AG88" s="6"/>
      <c r="AH88" s="7">
        <v>1</v>
      </c>
      <c r="AI88" s="4"/>
      <c r="AJ88" s="4">
        <f>=ROUNDDOWN({0},0)</f>
      </c>
      <c r="AK88" s="5"/>
      <c r="AL88" s="2" t="s">
        <v>231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231</v>
      </c>
      <c r="BD88" s="8" t="s">
        <v>231</v>
      </c>
      <c r="BE88" s="4" t="s">
        <v>231</v>
      </c>
      <c r="BF88" s="8" t="s">
        <v>231</v>
      </c>
      <c r="BG88" s="7" t="s">
        <v>231</v>
      </c>
      <c r="BH88" s="7" t="s">
        <v>231</v>
      </c>
      <c r="BI88" s="7"/>
      <c r="BJ88" s="4">
        <v>25</v>
      </c>
      <c r="BK88" s="8">
        <v>826.47</v>
      </c>
      <c r="BL88" s="2" t="s">
        <v>684</v>
      </c>
      <c r="BM88" s="7"/>
      <c r="BN88" s="7"/>
      <c r="BO88" s="4"/>
      <c r="BP88" s="8"/>
      <c r="BQ88" s="4"/>
      <c r="BR88" s="8"/>
      <c r="BS88" s="7"/>
      <c r="BT88" s="7"/>
      <c r="BU88" s="2" t="s">
        <v>685</v>
      </c>
      <c r="BV88" s="2" t="s">
        <v>231</v>
      </c>
      <c r="BW88" s="2" t="s">
        <v>231</v>
      </c>
      <c r="BX88" s="2" t="s">
        <v>231</v>
      </c>
      <c r="BY88" s="2" t="s">
        <v>277</v>
      </c>
      <c r="BZ88" s="2" t="s">
        <v>243</v>
      </c>
      <c r="CA88" s="2" t="s">
        <v>677</v>
      </c>
      <c r="CB88" s="2" t="s">
        <v>686</v>
      </c>
      <c r="CC88" s="2" t="s">
        <v>244</v>
      </c>
      <c r="CD88" s="2" t="s">
        <v>231</v>
      </c>
      <c r="CE88" s="4">
        <v>130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</row>
    <row r="89">
      <c r="A89" s="2" t="s">
        <v>687</v>
      </c>
      <c r="B89" s="2" t="s">
        <v>287</v>
      </c>
      <c r="C89" s="2" t="s">
        <v>631</v>
      </c>
      <c r="D89" s="2" t="s">
        <v>289</v>
      </c>
      <c r="E89" s="2" t="s">
        <v>290</v>
      </c>
      <c r="F89" s="2" t="s">
        <v>688</v>
      </c>
      <c r="G89" s="2" t="s">
        <v>688</v>
      </c>
      <c r="H89" s="2" t="s">
        <v>688</v>
      </c>
      <c r="I89" s="2" t="s">
        <v>689</v>
      </c>
      <c r="J89" s="2" t="s">
        <v>281</v>
      </c>
      <c r="K89" s="2" t="s">
        <v>294</v>
      </c>
      <c r="L89" s="3">
        <v>27.72</v>
      </c>
      <c r="M89" s="3">
        <v>29.11</v>
      </c>
      <c r="N89" s="3">
        <v>59.99</v>
      </c>
      <c r="O89" s="2" t="s">
        <v>243</v>
      </c>
      <c r="P89" s="2" t="s">
        <v>295</v>
      </c>
      <c r="Q89" s="2" t="s">
        <v>237</v>
      </c>
      <c r="R89" s="2" t="s">
        <v>231</v>
      </c>
      <c r="S89" s="2" t="s">
        <v>690</v>
      </c>
      <c r="T89" s="2" t="s">
        <v>297</v>
      </c>
      <c r="U89" s="2" t="s">
        <v>298</v>
      </c>
      <c r="V89" s="2" t="s">
        <v>239</v>
      </c>
      <c r="W89" s="2" t="s">
        <v>273</v>
      </c>
      <c r="X89" s="2" t="s">
        <v>691</v>
      </c>
      <c r="Y89" s="2" t="s">
        <v>231</v>
      </c>
      <c r="Z89" s="4"/>
      <c r="AA89" s="4">
        <f>=ROUNDDOWN({0},0)</f>
      </c>
      <c r="AB89" s="5"/>
      <c r="AC89" s="2" t="s">
        <v>300</v>
      </c>
      <c r="AD89" s="4">
        <v>80</v>
      </c>
      <c r="AE89" s="4">
        <v>80</v>
      </c>
      <c r="AF89" s="6">
        <v>69</v>
      </c>
      <c r="AG89" s="6"/>
      <c r="AH89" s="7">
        <v>0</v>
      </c>
      <c r="AI89" s="4"/>
      <c r="AJ89" s="4">
        <f>=ROUNDDOWN({0},0)</f>
      </c>
      <c r="AK89" s="5"/>
      <c r="AL89" s="2" t="s">
        <v>231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231</v>
      </c>
      <c r="AW89" s="8" t="s">
        <v>231</v>
      </c>
      <c r="AX89" s="4" t="s">
        <v>231</v>
      </c>
      <c r="AY89" s="8" t="s">
        <v>231</v>
      </c>
      <c r="AZ89" s="7" t="s">
        <v>231</v>
      </c>
      <c r="BA89" s="7" t="s">
        <v>231</v>
      </c>
      <c r="BB89" s="7"/>
      <c r="BC89" s="4" t="s">
        <v>231</v>
      </c>
      <c r="BD89" s="8" t="s">
        <v>231</v>
      </c>
      <c r="BE89" s="4" t="s">
        <v>231</v>
      </c>
      <c r="BF89" s="8" t="s">
        <v>231</v>
      </c>
      <c r="BG89" s="7" t="s">
        <v>231</v>
      </c>
      <c r="BH89" s="7" t="s">
        <v>231</v>
      </c>
      <c r="BI89" s="7"/>
      <c r="BJ89" s="4"/>
      <c r="BK89" s="8"/>
      <c r="BL89" s="2" t="s">
        <v>231</v>
      </c>
      <c r="BM89" s="7"/>
      <c r="BN89" s="7"/>
      <c r="BO89" s="4"/>
      <c r="BP89" s="8"/>
      <c r="BQ89" s="4"/>
      <c r="BR89" s="8"/>
      <c r="BS89" s="7"/>
      <c r="BT89" s="7"/>
      <c r="BU89" s="2" t="s">
        <v>241</v>
      </c>
      <c r="BV89" s="2" t="s">
        <v>231</v>
      </c>
      <c r="BW89" s="2" t="s">
        <v>231</v>
      </c>
      <c r="BX89" s="2" t="s">
        <v>312</v>
      </c>
      <c r="BY89" s="2" t="s">
        <v>242</v>
      </c>
      <c r="BZ89" s="2" t="s">
        <v>243</v>
      </c>
      <c r="CA89" s="2" t="s">
        <v>231</v>
      </c>
      <c r="CB89" s="2" t="s">
        <v>231</v>
      </c>
      <c r="CC89" s="2" t="s">
        <v>244</v>
      </c>
      <c r="CD89" s="2" t="s">
        <v>231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>
        <v>80</v>
      </c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</row>
    <row r="90">
      <c r="A90" s="2" t="s">
        <v>692</v>
      </c>
      <c r="B90" s="2" t="s">
        <v>287</v>
      </c>
      <c r="C90" s="2" t="s">
        <v>631</v>
      </c>
      <c r="D90" s="2" t="s">
        <v>289</v>
      </c>
      <c r="E90" s="2" t="s">
        <v>290</v>
      </c>
      <c r="F90" s="2" t="s">
        <v>688</v>
      </c>
      <c r="G90" s="2" t="s">
        <v>688</v>
      </c>
      <c r="H90" s="2" t="s">
        <v>688</v>
      </c>
      <c r="I90" s="2" t="s">
        <v>689</v>
      </c>
      <c r="J90" s="2" t="s">
        <v>293</v>
      </c>
      <c r="K90" s="2" t="s">
        <v>294</v>
      </c>
      <c r="L90" s="3">
        <v>30.71</v>
      </c>
      <c r="M90" s="3">
        <v>32.25</v>
      </c>
      <c r="N90" s="3">
        <v>64.99</v>
      </c>
      <c r="O90" s="2" t="s">
        <v>243</v>
      </c>
      <c r="P90" s="2" t="s">
        <v>295</v>
      </c>
      <c r="Q90" s="2" t="s">
        <v>237</v>
      </c>
      <c r="R90" s="2" t="s">
        <v>231</v>
      </c>
      <c r="S90" s="2" t="s">
        <v>690</v>
      </c>
      <c r="T90" s="2" t="s">
        <v>297</v>
      </c>
      <c r="U90" s="2" t="s">
        <v>298</v>
      </c>
      <c r="V90" s="2" t="s">
        <v>239</v>
      </c>
      <c r="W90" s="2" t="s">
        <v>273</v>
      </c>
      <c r="X90" s="2" t="s">
        <v>691</v>
      </c>
      <c r="Y90" s="2" t="s">
        <v>231</v>
      </c>
      <c r="Z90" s="4"/>
      <c r="AA90" s="4">
        <f>=ROUNDDOWN({0},0)</f>
      </c>
      <c r="AB90" s="5"/>
      <c r="AC90" s="2" t="s">
        <v>300</v>
      </c>
      <c r="AD90" s="4">
        <v>310</v>
      </c>
      <c r="AE90" s="4">
        <v>310</v>
      </c>
      <c r="AF90" s="6">
        <v>69</v>
      </c>
      <c r="AG90" s="6"/>
      <c r="AH90" s="7">
        <v>0</v>
      </c>
      <c r="AI90" s="4"/>
      <c r="AJ90" s="4">
        <f>=ROUNDDOWN({0},0)</f>
      </c>
      <c r="AK90" s="5"/>
      <c r="AL90" s="2" t="s">
        <v>231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231</v>
      </c>
      <c r="AW90" s="8" t="s">
        <v>231</v>
      </c>
      <c r="AX90" s="4" t="s">
        <v>231</v>
      </c>
      <c r="AY90" s="8" t="s">
        <v>231</v>
      </c>
      <c r="AZ90" s="7" t="s">
        <v>231</v>
      </c>
      <c r="BA90" s="7" t="s">
        <v>231</v>
      </c>
      <c r="BB90" s="7"/>
      <c r="BC90" s="4" t="s">
        <v>231</v>
      </c>
      <c r="BD90" s="8" t="s">
        <v>231</v>
      </c>
      <c r="BE90" s="4" t="s">
        <v>231</v>
      </c>
      <c r="BF90" s="8" t="s">
        <v>231</v>
      </c>
      <c r="BG90" s="7" t="s">
        <v>231</v>
      </c>
      <c r="BH90" s="7" t="s">
        <v>231</v>
      </c>
      <c r="BI90" s="7"/>
      <c r="BJ90" s="4"/>
      <c r="BK90" s="8"/>
      <c r="BL90" s="2" t="s">
        <v>231</v>
      </c>
      <c r="BM90" s="7"/>
      <c r="BN90" s="7"/>
      <c r="BO90" s="4"/>
      <c r="BP90" s="8"/>
      <c r="BQ90" s="4"/>
      <c r="BR90" s="8"/>
      <c r="BS90" s="7"/>
      <c r="BT90" s="7"/>
      <c r="BU90" s="2" t="s">
        <v>241</v>
      </c>
      <c r="BV90" s="2" t="s">
        <v>231</v>
      </c>
      <c r="BW90" s="2" t="s">
        <v>231</v>
      </c>
      <c r="BX90" s="2" t="s">
        <v>312</v>
      </c>
      <c r="BY90" s="2" t="s">
        <v>242</v>
      </c>
      <c r="BZ90" s="2" t="s">
        <v>243</v>
      </c>
      <c r="CA90" s="2" t="s">
        <v>231</v>
      </c>
      <c r="CB90" s="2" t="s">
        <v>231</v>
      </c>
      <c r="CC90" s="2" t="s">
        <v>244</v>
      </c>
      <c r="CD90" s="2" t="s">
        <v>231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>
        <v>310</v>
      </c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</row>
    <row r="91">
      <c r="A91" s="2" t="s">
        <v>693</v>
      </c>
      <c r="B91" s="2" t="s">
        <v>287</v>
      </c>
      <c r="C91" s="2" t="s">
        <v>631</v>
      </c>
      <c r="D91" s="2" t="s">
        <v>289</v>
      </c>
      <c r="E91" s="2" t="s">
        <v>290</v>
      </c>
      <c r="F91" s="2" t="s">
        <v>688</v>
      </c>
      <c r="G91" s="2" t="s">
        <v>688</v>
      </c>
      <c r="H91" s="2" t="s">
        <v>688</v>
      </c>
      <c r="I91" s="2" t="s">
        <v>689</v>
      </c>
      <c r="J91" s="2" t="s">
        <v>302</v>
      </c>
      <c r="K91" s="2" t="s">
        <v>294</v>
      </c>
      <c r="L91" s="3">
        <v>33.08</v>
      </c>
      <c r="M91" s="3">
        <v>34.73</v>
      </c>
      <c r="N91" s="3">
        <v>69.99</v>
      </c>
      <c r="O91" s="2" t="s">
        <v>243</v>
      </c>
      <c r="P91" s="2" t="s">
        <v>295</v>
      </c>
      <c r="Q91" s="2" t="s">
        <v>237</v>
      </c>
      <c r="R91" s="2" t="s">
        <v>231</v>
      </c>
      <c r="S91" s="2" t="s">
        <v>690</v>
      </c>
      <c r="T91" s="2" t="s">
        <v>297</v>
      </c>
      <c r="U91" s="2" t="s">
        <v>298</v>
      </c>
      <c r="V91" s="2" t="s">
        <v>239</v>
      </c>
      <c r="W91" s="2" t="s">
        <v>273</v>
      </c>
      <c r="X91" s="2" t="s">
        <v>691</v>
      </c>
      <c r="Y91" s="2" t="s">
        <v>231</v>
      </c>
      <c r="Z91" s="4"/>
      <c r="AA91" s="4">
        <f>=ROUNDDOWN({0},0)</f>
      </c>
      <c r="AB91" s="5"/>
      <c r="AC91" s="2" t="s">
        <v>300</v>
      </c>
      <c r="AD91" s="4">
        <v>240</v>
      </c>
      <c r="AE91" s="4">
        <v>240</v>
      </c>
      <c r="AF91" s="6">
        <v>69</v>
      </c>
      <c r="AG91" s="6"/>
      <c r="AH91" s="7">
        <v>0</v>
      </c>
      <c r="AI91" s="4"/>
      <c r="AJ91" s="4">
        <f>=ROUNDDOWN({0},0)</f>
      </c>
      <c r="AK91" s="5"/>
      <c r="AL91" s="2" t="s">
        <v>231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231</v>
      </c>
      <c r="AW91" s="8" t="s">
        <v>231</v>
      </c>
      <c r="AX91" s="4" t="s">
        <v>231</v>
      </c>
      <c r="AY91" s="8" t="s">
        <v>231</v>
      </c>
      <c r="AZ91" s="7" t="s">
        <v>231</v>
      </c>
      <c r="BA91" s="7" t="s">
        <v>231</v>
      </c>
      <c r="BB91" s="7"/>
      <c r="BC91" s="4" t="s">
        <v>231</v>
      </c>
      <c r="BD91" s="8" t="s">
        <v>231</v>
      </c>
      <c r="BE91" s="4" t="s">
        <v>231</v>
      </c>
      <c r="BF91" s="8" t="s">
        <v>231</v>
      </c>
      <c r="BG91" s="7" t="s">
        <v>231</v>
      </c>
      <c r="BH91" s="7" t="s">
        <v>231</v>
      </c>
      <c r="BI91" s="7"/>
      <c r="BJ91" s="4"/>
      <c r="BK91" s="8"/>
      <c r="BL91" s="2" t="s">
        <v>231</v>
      </c>
      <c r="BM91" s="7"/>
      <c r="BN91" s="7"/>
      <c r="BO91" s="4"/>
      <c r="BP91" s="8"/>
      <c r="BQ91" s="4"/>
      <c r="BR91" s="8"/>
      <c r="BS91" s="7"/>
      <c r="BT91" s="7"/>
      <c r="BU91" s="2" t="s">
        <v>241</v>
      </c>
      <c r="BV91" s="2" t="s">
        <v>231</v>
      </c>
      <c r="BW91" s="2" t="s">
        <v>231</v>
      </c>
      <c r="BX91" s="2" t="s">
        <v>312</v>
      </c>
      <c r="BY91" s="2" t="s">
        <v>242</v>
      </c>
      <c r="BZ91" s="2" t="s">
        <v>243</v>
      </c>
      <c r="CA91" s="2" t="s">
        <v>231</v>
      </c>
      <c r="CB91" s="2" t="s">
        <v>231</v>
      </c>
      <c r="CC91" s="2" t="s">
        <v>244</v>
      </c>
      <c r="CD91" s="2" t="s">
        <v>231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>
        <v>240</v>
      </c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</row>
    <row r="92">
      <c r="A92" s="2" t="s">
        <v>694</v>
      </c>
      <c r="B92" s="2" t="s">
        <v>287</v>
      </c>
      <c r="C92" s="2" t="s">
        <v>631</v>
      </c>
      <c r="D92" s="2" t="s">
        <v>289</v>
      </c>
      <c r="E92" s="2" t="s">
        <v>290</v>
      </c>
      <c r="F92" s="2" t="s">
        <v>688</v>
      </c>
      <c r="G92" s="2" t="s">
        <v>688</v>
      </c>
      <c r="H92" s="2" t="s">
        <v>688</v>
      </c>
      <c r="I92" s="2" t="s">
        <v>689</v>
      </c>
      <c r="J92" s="2" t="s">
        <v>304</v>
      </c>
      <c r="K92" s="2" t="s">
        <v>294</v>
      </c>
      <c r="L92" s="3">
        <v>33.08</v>
      </c>
      <c r="M92" s="3">
        <v>34.73</v>
      </c>
      <c r="N92" s="3">
        <v>69.99</v>
      </c>
      <c r="O92" s="2" t="s">
        <v>243</v>
      </c>
      <c r="P92" s="2" t="s">
        <v>295</v>
      </c>
      <c r="Q92" s="2" t="s">
        <v>237</v>
      </c>
      <c r="R92" s="2" t="s">
        <v>231</v>
      </c>
      <c r="S92" s="2" t="s">
        <v>690</v>
      </c>
      <c r="T92" s="2" t="s">
        <v>297</v>
      </c>
      <c r="U92" s="2" t="s">
        <v>298</v>
      </c>
      <c r="V92" s="2" t="s">
        <v>239</v>
      </c>
      <c r="W92" s="2" t="s">
        <v>273</v>
      </c>
      <c r="X92" s="2" t="s">
        <v>691</v>
      </c>
      <c r="Y92" s="2" t="s">
        <v>231</v>
      </c>
      <c r="Z92" s="4"/>
      <c r="AA92" s="4">
        <f>=ROUNDDOWN({0},0)</f>
      </c>
      <c r="AB92" s="5"/>
      <c r="AC92" s="2" t="s">
        <v>300</v>
      </c>
      <c r="AD92" s="4">
        <v>100</v>
      </c>
      <c r="AE92" s="4">
        <v>100</v>
      </c>
      <c r="AF92" s="6">
        <v>69</v>
      </c>
      <c r="AG92" s="6"/>
      <c r="AH92" s="7">
        <v>0</v>
      </c>
      <c r="AI92" s="4"/>
      <c r="AJ92" s="4">
        <f>=ROUNDDOWN({0},0)</f>
      </c>
      <c r="AK92" s="5"/>
      <c r="AL92" s="2" t="s">
        <v>231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231</v>
      </c>
      <c r="AW92" s="8" t="s">
        <v>231</v>
      </c>
      <c r="AX92" s="4" t="s">
        <v>231</v>
      </c>
      <c r="AY92" s="8" t="s">
        <v>231</v>
      </c>
      <c r="AZ92" s="7" t="s">
        <v>231</v>
      </c>
      <c r="BA92" s="7" t="s">
        <v>231</v>
      </c>
      <c r="BB92" s="7"/>
      <c r="BC92" s="4" t="s">
        <v>231</v>
      </c>
      <c r="BD92" s="8" t="s">
        <v>231</v>
      </c>
      <c r="BE92" s="4" t="s">
        <v>231</v>
      </c>
      <c r="BF92" s="8" t="s">
        <v>231</v>
      </c>
      <c r="BG92" s="7" t="s">
        <v>231</v>
      </c>
      <c r="BH92" s="7" t="s">
        <v>231</v>
      </c>
      <c r="BI92" s="7"/>
      <c r="BJ92" s="4"/>
      <c r="BK92" s="8"/>
      <c r="BL92" s="2" t="s">
        <v>231</v>
      </c>
      <c r="BM92" s="7"/>
      <c r="BN92" s="7"/>
      <c r="BO92" s="4"/>
      <c r="BP92" s="8"/>
      <c r="BQ92" s="4"/>
      <c r="BR92" s="8"/>
      <c r="BS92" s="7"/>
      <c r="BT92" s="7"/>
      <c r="BU92" s="2" t="s">
        <v>241</v>
      </c>
      <c r="BV92" s="2" t="s">
        <v>231</v>
      </c>
      <c r="BW92" s="2" t="s">
        <v>231</v>
      </c>
      <c r="BX92" s="2" t="s">
        <v>312</v>
      </c>
      <c r="BY92" s="2" t="s">
        <v>242</v>
      </c>
      <c r="BZ92" s="2" t="s">
        <v>243</v>
      </c>
      <c r="CA92" s="2" t="s">
        <v>231</v>
      </c>
      <c r="CB92" s="2" t="s">
        <v>231</v>
      </c>
      <c r="CC92" s="2" t="s">
        <v>244</v>
      </c>
      <c r="CD92" s="2" t="s">
        <v>231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>
        <v>100</v>
      </c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</row>
    <row r="93">
      <c r="A93" s="2" t="s">
        <v>695</v>
      </c>
      <c r="B93" s="2" t="s">
        <v>287</v>
      </c>
      <c r="C93" s="2" t="s">
        <v>288</v>
      </c>
      <c r="D93" s="2" t="s">
        <v>289</v>
      </c>
      <c r="E93" s="2" t="s">
        <v>290</v>
      </c>
      <c r="F93" s="2" t="s">
        <v>688</v>
      </c>
      <c r="G93" s="2" t="s">
        <v>688</v>
      </c>
      <c r="H93" s="2" t="s">
        <v>688</v>
      </c>
      <c r="I93" s="2" t="s">
        <v>696</v>
      </c>
      <c r="J93" s="2" t="s">
        <v>697</v>
      </c>
      <c r="K93" s="2" t="s">
        <v>698</v>
      </c>
      <c r="L93" s="3">
        <v>72.03</v>
      </c>
      <c r="M93" s="3">
        <v>75.63</v>
      </c>
      <c r="N93" s="3">
        <v>139.99</v>
      </c>
      <c r="O93" s="2" t="s">
        <v>243</v>
      </c>
      <c r="P93" s="2" t="s">
        <v>270</v>
      </c>
      <c r="Q93" s="2" t="s">
        <v>237</v>
      </c>
      <c r="R93" s="2" t="s">
        <v>231</v>
      </c>
      <c r="S93" s="2" t="s">
        <v>699</v>
      </c>
      <c r="T93" s="2" t="s">
        <v>362</v>
      </c>
      <c r="U93" s="2" t="s">
        <v>700</v>
      </c>
      <c r="V93" s="2" t="s">
        <v>239</v>
      </c>
      <c r="W93" s="2" t="s">
        <v>273</v>
      </c>
      <c r="X93" s="2" t="s">
        <v>691</v>
      </c>
      <c r="Y93" s="2" t="s">
        <v>646</v>
      </c>
      <c r="Z93" s="4">
        <v>96</v>
      </c>
      <c r="AA93" s="4">
        <f>=ROUNDDOWN(24,0)</f>
      </c>
      <c r="AB93" s="5">
        <v>4</v>
      </c>
      <c r="AC93" s="2" t="s">
        <v>701</v>
      </c>
      <c r="AD93" s="4">
        <v>50</v>
      </c>
      <c r="AE93" s="4">
        <v>100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231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 t="s">
        <v>231</v>
      </c>
      <c r="BD93" s="8" t="s">
        <v>231</v>
      </c>
      <c r="BE93" s="4" t="s">
        <v>231</v>
      </c>
      <c r="BF93" s="8" t="s">
        <v>231</v>
      </c>
      <c r="BG93" s="7" t="s">
        <v>231</v>
      </c>
      <c r="BH93" s="7" t="s">
        <v>231</v>
      </c>
      <c r="BI93" s="7"/>
      <c r="BJ93" s="4">
        <v>8</v>
      </c>
      <c r="BK93" s="8">
        <v>626.62</v>
      </c>
      <c r="BL93" s="2" t="s">
        <v>702</v>
      </c>
      <c r="BM93" s="7"/>
      <c r="BN93" s="7"/>
      <c r="BO93" s="4"/>
      <c r="BP93" s="8"/>
      <c r="BQ93" s="4"/>
      <c r="BR93" s="8"/>
      <c r="BS93" s="7"/>
      <c r="BT93" s="7"/>
      <c r="BU93" s="2" t="s">
        <v>703</v>
      </c>
      <c r="BV93" s="2" t="s">
        <v>231</v>
      </c>
      <c r="BW93" s="2" t="s">
        <v>231</v>
      </c>
      <c r="BX93" s="2" t="s">
        <v>231</v>
      </c>
      <c r="BY93" s="2" t="s">
        <v>277</v>
      </c>
      <c r="BZ93" s="2" t="s">
        <v>243</v>
      </c>
      <c r="CA93" s="2" t="s">
        <v>704</v>
      </c>
      <c r="CB93" s="2" t="s">
        <v>705</v>
      </c>
      <c r="CC93" s="2" t="s">
        <v>244</v>
      </c>
      <c r="CD93" s="2" t="s">
        <v>231</v>
      </c>
      <c r="CE93" s="4">
        <v>96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>
        <v>50</v>
      </c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>
        <v>50</v>
      </c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</row>
    <row r="94">
      <c r="A94" s="2" t="s">
        <v>706</v>
      </c>
      <c r="B94" s="2" t="s">
        <v>287</v>
      </c>
      <c r="C94" s="2" t="s">
        <v>631</v>
      </c>
      <c r="D94" s="2" t="s">
        <v>289</v>
      </c>
      <c r="E94" s="2" t="s">
        <v>290</v>
      </c>
      <c r="F94" s="2" t="s">
        <v>688</v>
      </c>
      <c r="G94" s="2" t="s">
        <v>688</v>
      </c>
      <c r="H94" s="2" t="s">
        <v>688</v>
      </c>
      <c r="I94" s="2" t="s">
        <v>689</v>
      </c>
      <c r="J94" s="2" t="s">
        <v>304</v>
      </c>
      <c r="K94" s="2" t="s">
        <v>547</v>
      </c>
      <c r="L94" s="3">
        <v>33.08</v>
      </c>
      <c r="M94" s="3">
        <v>34.73</v>
      </c>
      <c r="N94" s="3">
        <v>69.99</v>
      </c>
      <c r="O94" s="2" t="s">
        <v>243</v>
      </c>
      <c r="P94" s="2" t="s">
        <v>270</v>
      </c>
      <c r="Q94" s="2" t="s">
        <v>237</v>
      </c>
      <c r="R94" s="2" t="s">
        <v>231</v>
      </c>
      <c r="S94" s="2" t="s">
        <v>707</v>
      </c>
      <c r="T94" s="2" t="s">
        <v>297</v>
      </c>
      <c r="U94" s="2" t="s">
        <v>298</v>
      </c>
      <c r="V94" s="2" t="s">
        <v>239</v>
      </c>
      <c r="W94" s="2" t="s">
        <v>273</v>
      </c>
      <c r="X94" s="2" t="s">
        <v>691</v>
      </c>
      <c r="Y94" s="2" t="s">
        <v>708</v>
      </c>
      <c r="Z94" s="4">
        <v>129</v>
      </c>
      <c r="AA94" s="4">
        <f>=ROUNDDOWN(12.1698113207547,0)</f>
      </c>
      <c r="AB94" s="5">
        <v>10.6</v>
      </c>
      <c r="AC94" s="2" t="s">
        <v>309</v>
      </c>
      <c r="AD94" s="4">
        <v>140</v>
      </c>
      <c r="AE94" s="4">
        <v>250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231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 t="s">
        <v>231</v>
      </c>
      <c r="BD94" s="8" t="s">
        <v>231</v>
      </c>
      <c r="BE94" s="4" t="s">
        <v>231</v>
      </c>
      <c r="BF94" s="8" t="s">
        <v>231</v>
      </c>
      <c r="BG94" s="7" t="s">
        <v>231</v>
      </c>
      <c r="BH94" s="7" t="s">
        <v>231</v>
      </c>
      <c r="BI94" s="7"/>
      <c r="BJ94" s="4">
        <v>45</v>
      </c>
      <c r="BK94" s="8">
        <v>1594.08</v>
      </c>
      <c r="BL94" s="2" t="s">
        <v>709</v>
      </c>
      <c r="BM94" s="7"/>
      <c r="BN94" s="7"/>
      <c r="BO94" s="4"/>
      <c r="BP94" s="8"/>
      <c r="BQ94" s="4"/>
      <c r="BR94" s="8"/>
      <c r="BS94" s="7"/>
      <c r="BT94" s="7"/>
      <c r="BU94" s="2" t="s">
        <v>710</v>
      </c>
      <c r="BV94" s="2" t="s">
        <v>231</v>
      </c>
      <c r="BW94" s="2" t="s">
        <v>231</v>
      </c>
      <c r="BX94" s="2" t="s">
        <v>312</v>
      </c>
      <c r="BY94" s="2" t="s">
        <v>277</v>
      </c>
      <c r="BZ94" s="2" t="s">
        <v>243</v>
      </c>
      <c r="CA94" s="2" t="s">
        <v>711</v>
      </c>
      <c r="CB94" s="2" t="s">
        <v>712</v>
      </c>
      <c r="CC94" s="2" t="s">
        <v>244</v>
      </c>
      <c r="CD94" s="2" t="s">
        <v>231</v>
      </c>
      <c r="CE94" s="4">
        <v>129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>
        <v>140</v>
      </c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>
        <v>110</v>
      </c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</row>
    <row r="95">
      <c r="A95" s="2" t="s">
        <v>713</v>
      </c>
      <c r="B95" s="2" t="s">
        <v>287</v>
      </c>
      <c r="C95" s="2" t="s">
        <v>288</v>
      </c>
      <c r="D95" s="2" t="s">
        <v>289</v>
      </c>
      <c r="E95" s="2" t="s">
        <v>290</v>
      </c>
      <c r="F95" s="2" t="s">
        <v>688</v>
      </c>
      <c r="G95" s="2" t="s">
        <v>688</v>
      </c>
      <c r="H95" s="2" t="s">
        <v>688</v>
      </c>
      <c r="I95" s="2" t="s">
        <v>696</v>
      </c>
      <c r="J95" s="2" t="s">
        <v>304</v>
      </c>
      <c r="K95" s="2" t="s">
        <v>714</v>
      </c>
      <c r="L95" s="3">
        <v>63</v>
      </c>
      <c r="M95" s="3">
        <v>66.15</v>
      </c>
      <c r="N95" s="3">
        <v>124.99</v>
      </c>
      <c r="O95" s="2" t="s">
        <v>243</v>
      </c>
      <c r="P95" s="2" t="s">
        <v>270</v>
      </c>
      <c r="Q95" s="2" t="s">
        <v>237</v>
      </c>
      <c r="R95" s="2" t="s">
        <v>231</v>
      </c>
      <c r="S95" s="2" t="s">
        <v>715</v>
      </c>
      <c r="T95" s="2" t="s">
        <v>362</v>
      </c>
      <c r="U95" s="2" t="s">
        <v>298</v>
      </c>
      <c r="V95" s="2" t="s">
        <v>239</v>
      </c>
      <c r="W95" s="2" t="s">
        <v>273</v>
      </c>
      <c r="X95" s="2" t="s">
        <v>676</v>
      </c>
      <c r="Y95" s="2" t="s">
        <v>716</v>
      </c>
      <c r="Z95" s="4">
        <v>42</v>
      </c>
      <c r="AA95" s="4">
        <f>=ROUNDDOWN(21,0)</f>
      </c>
      <c r="AB95" s="5">
        <v>2</v>
      </c>
      <c r="AC95" s="2" t="s">
        <v>717</v>
      </c>
      <c r="AD95" s="4">
        <v>80</v>
      </c>
      <c r="AE95" s="4">
        <v>80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231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231</v>
      </c>
      <c r="BD95" s="8" t="s">
        <v>231</v>
      </c>
      <c r="BE95" s="4" t="s">
        <v>231</v>
      </c>
      <c r="BF95" s="8" t="s">
        <v>231</v>
      </c>
      <c r="BG95" s="7" t="s">
        <v>231</v>
      </c>
      <c r="BH95" s="7" t="s">
        <v>231</v>
      </c>
      <c r="BI95" s="7"/>
      <c r="BJ95" s="4">
        <v>2</v>
      </c>
      <c r="BK95" s="8">
        <v>138.92</v>
      </c>
      <c r="BL95" s="2" t="s">
        <v>718</v>
      </c>
      <c r="BM95" s="7"/>
      <c r="BN95" s="7"/>
      <c r="BO95" s="4"/>
      <c r="BP95" s="8"/>
      <c r="BQ95" s="4"/>
      <c r="BR95" s="8"/>
      <c r="BS95" s="7"/>
      <c r="BT95" s="7"/>
      <c r="BU95" s="2" t="s">
        <v>719</v>
      </c>
      <c r="BV95" s="2" t="s">
        <v>231</v>
      </c>
      <c r="BW95" s="2" t="s">
        <v>231</v>
      </c>
      <c r="BX95" s="2" t="s">
        <v>231</v>
      </c>
      <c r="BY95" s="2" t="s">
        <v>277</v>
      </c>
      <c r="BZ95" s="2" t="s">
        <v>243</v>
      </c>
      <c r="CA95" s="2" t="s">
        <v>720</v>
      </c>
      <c r="CB95" s="2" t="s">
        <v>721</v>
      </c>
      <c r="CC95" s="2" t="s">
        <v>244</v>
      </c>
      <c r="CD95" s="2" t="s">
        <v>231</v>
      </c>
      <c r="CE95" s="4">
        <v>42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>
        <v>80</v>
      </c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</row>
    <row r="96">
      <c r="A96" s="2" t="s">
        <v>722</v>
      </c>
      <c r="B96" s="2" t="s">
        <v>287</v>
      </c>
      <c r="C96" s="2" t="s">
        <v>631</v>
      </c>
      <c r="D96" s="2" t="s">
        <v>289</v>
      </c>
      <c r="E96" s="2" t="s">
        <v>290</v>
      </c>
      <c r="F96" s="2" t="s">
        <v>688</v>
      </c>
      <c r="G96" s="2" t="s">
        <v>688</v>
      </c>
      <c r="H96" s="2" t="s">
        <v>688</v>
      </c>
      <c r="I96" s="2" t="s">
        <v>689</v>
      </c>
      <c r="J96" s="2" t="s">
        <v>281</v>
      </c>
      <c r="K96" s="2" t="s">
        <v>723</v>
      </c>
      <c r="L96" s="3">
        <v>27.72</v>
      </c>
      <c r="M96" s="3">
        <v>29.11</v>
      </c>
      <c r="N96" s="3">
        <v>59.99</v>
      </c>
      <c r="O96" s="2" t="s">
        <v>243</v>
      </c>
      <c r="P96" s="2" t="s">
        <v>270</v>
      </c>
      <c r="Q96" s="2" t="s">
        <v>237</v>
      </c>
      <c r="R96" s="2" t="s">
        <v>231</v>
      </c>
      <c r="S96" s="2" t="s">
        <v>724</v>
      </c>
      <c r="T96" s="2" t="s">
        <v>297</v>
      </c>
      <c r="U96" s="2" t="s">
        <v>298</v>
      </c>
      <c r="V96" s="2" t="s">
        <v>239</v>
      </c>
      <c r="W96" s="2" t="s">
        <v>273</v>
      </c>
      <c r="X96" s="2" t="s">
        <v>691</v>
      </c>
      <c r="Y96" s="2" t="s">
        <v>708</v>
      </c>
      <c r="Z96" s="4">
        <v>88</v>
      </c>
      <c r="AA96" s="4">
        <f>=ROUNDDOWN(10.6024096385542,0)</f>
      </c>
      <c r="AB96" s="5">
        <v>8.3</v>
      </c>
      <c r="AC96" s="2" t="s">
        <v>309</v>
      </c>
      <c r="AD96" s="4">
        <v>70</v>
      </c>
      <c r="AE96" s="4">
        <v>220</v>
      </c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231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231</v>
      </c>
      <c r="AW96" s="8" t="s">
        <v>231</v>
      </c>
      <c r="AX96" s="4" t="s">
        <v>231</v>
      </c>
      <c r="AY96" s="8" t="s">
        <v>231</v>
      </c>
      <c r="AZ96" s="7" t="s">
        <v>231</v>
      </c>
      <c r="BA96" s="7" t="s">
        <v>231</v>
      </c>
      <c r="BB96" s="7"/>
      <c r="BC96" s="4" t="s">
        <v>231</v>
      </c>
      <c r="BD96" s="8" t="s">
        <v>231</v>
      </c>
      <c r="BE96" s="4" t="s">
        <v>231</v>
      </c>
      <c r="BF96" s="8" t="s">
        <v>231</v>
      </c>
      <c r="BG96" s="7" t="s">
        <v>231</v>
      </c>
      <c r="BH96" s="7" t="s">
        <v>231</v>
      </c>
      <c r="BI96" s="7"/>
      <c r="BJ96" s="4">
        <v>34</v>
      </c>
      <c r="BK96" s="8">
        <v>1006.36</v>
      </c>
      <c r="BL96" s="2" t="s">
        <v>725</v>
      </c>
      <c r="BM96" s="7"/>
      <c r="BN96" s="7"/>
      <c r="BO96" s="4"/>
      <c r="BP96" s="8"/>
      <c r="BQ96" s="4"/>
      <c r="BR96" s="8"/>
      <c r="BS96" s="7"/>
      <c r="BT96" s="7"/>
      <c r="BU96" s="2" t="s">
        <v>726</v>
      </c>
      <c r="BV96" s="2" t="s">
        <v>231</v>
      </c>
      <c r="BW96" s="2" t="s">
        <v>231</v>
      </c>
      <c r="BX96" s="2" t="s">
        <v>312</v>
      </c>
      <c r="BY96" s="2" t="s">
        <v>277</v>
      </c>
      <c r="BZ96" s="2" t="s">
        <v>243</v>
      </c>
      <c r="CA96" s="2" t="s">
        <v>727</v>
      </c>
      <c r="CB96" s="2" t="s">
        <v>728</v>
      </c>
      <c r="CC96" s="2" t="s">
        <v>244</v>
      </c>
      <c r="CD96" s="2" t="s">
        <v>231</v>
      </c>
      <c r="CE96" s="4">
        <v>88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>
        <v>70</v>
      </c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>
        <v>150</v>
      </c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</row>
    <row r="97">
      <c r="A97" s="2" t="s">
        <v>729</v>
      </c>
      <c r="B97" s="2" t="s">
        <v>287</v>
      </c>
      <c r="C97" s="2" t="s">
        <v>631</v>
      </c>
      <c r="D97" s="2" t="s">
        <v>289</v>
      </c>
      <c r="E97" s="2" t="s">
        <v>290</v>
      </c>
      <c r="F97" s="2" t="s">
        <v>688</v>
      </c>
      <c r="G97" s="2" t="s">
        <v>688</v>
      </c>
      <c r="H97" s="2" t="s">
        <v>688</v>
      </c>
      <c r="I97" s="2" t="s">
        <v>689</v>
      </c>
      <c r="J97" s="2" t="s">
        <v>304</v>
      </c>
      <c r="K97" s="2" t="s">
        <v>723</v>
      </c>
      <c r="L97" s="3">
        <v>33.08</v>
      </c>
      <c r="M97" s="3">
        <v>34.73</v>
      </c>
      <c r="N97" s="3">
        <v>69.99</v>
      </c>
      <c r="O97" s="2" t="s">
        <v>243</v>
      </c>
      <c r="P97" s="2" t="s">
        <v>270</v>
      </c>
      <c r="Q97" s="2" t="s">
        <v>237</v>
      </c>
      <c r="R97" s="2" t="s">
        <v>231</v>
      </c>
      <c r="S97" s="2" t="s">
        <v>724</v>
      </c>
      <c r="T97" s="2" t="s">
        <v>297</v>
      </c>
      <c r="U97" s="2" t="s">
        <v>298</v>
      </c>
      <c r="V97" s="2" t="s">
        <v>239</v>
      </c>
      <c r="W97" s="2" t="s">
        <v>273</v>
      </c>
      <c r="X97" s="2" t="s">
        <v>691</v>
      </c>
      <c r="Y97" s="2" t="s">
        <v>708</v>
      </c>
      <c r="Z97" s="4">
        <v>9</v>
      </c>
      <c r="AA97" s="4">
        <f>=ROUNDDOWN(1,0)</f>
      </c>
      <c r="AB97" s="5">
        <v>9</v>
      </c>
      <c r="AC97" s="2" t="s">
        <v>730</v>
      </c>
      <c r="AD97" s="4">
        <v>100</v>
      </c>
      <c r="AE97" s="4">
        <v>310</v>
      </c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231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231</v>
      </c>
      <c r="AW97" s="8" t="s">
        <v>231</v>
      </c>
      <c r="AX97" s="4" t="s">
        <v>231</v>
      </c>
      <c r="AY97" s="8" t="s">
        <v>231</v>
      </c>
      <c r="AZ97" s="7" t="s">
        <v>231</v>
      </c>
      <c r="BA97" s="7" t="s">
        <v>231</v>
      </c>
      <c r="BB97" s="7"/>
      <c r="BC97" s="4" t="s">
        <v>231</v>
      </c>
      <c r="BD97" s="8" t="s">
        <v>231</v>
      </c>
      <c r="BE97" s="4" t="s">
        <v>231</v>
      </c>
      <c r="BF97" s="8" t="s">
        <v>231</v>
      </c>
      <c r="BG97" s="7" t="s">
        <v>231</v>
      </c>
      <c r="BH97" s="7" t="s">
        <v>231</v>
      </c>
      <c r="BI97" s="7"/>
      <c r="BJ97" s="4">
        <v>29</v>
      </c>
      <c r="BK97" s="8">
        <v>1031.31</v>
      </c>
      <c r="BL97" s="2" t="s">
        <v>731</v>
      </c>
      <c r="BM97" s="7"/>
      <c r="BN97" s="7"/>
      <c r="BO97" s="4"/>
      <c r="BP97" s="8"/>
      <c r="BQ97" s="4"/>
      <c r="BR97" s="8"/>
      <c r="BS97" s="7"/>
      <c r="BT97" s="7"/>
      <c r="BU97" s="2" t="s">
        <v>732</v>
      </c>
      <c r="BV97" s="2" t="s">
        <v>231</v>
      </c>
      <c r="BW97" s="2" t="s">
        <v>231</v>
      </c>
      <c r="BX97" s="2" t="s">
        <v>312</v>
      </c>
      <c r="BY97" s="2" t="s">
        <v>277</v>
      </c>
      <c r="BZ97" s="2" t="s">
        <v>243</v>
      </c>
      <c r="CA97" s="2" t="s">
        <v>733</v>
      </c>
      <c r="CB97" s="2" t="s">
        <v>734</v>
      </c>
      <c r="CC97" s="2" t="s">
        <v>244</v>
      </c>
      <c r="CD97" s="2" t="s">
        <v>231</v>
      </c>
      <c r="CE97" s="4">
        <v>9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>
        <v>100</v>
      </c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>
        <v>70</v>
      </c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>
        <v>140</v>
      </c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</row>
    <row r="98">
      <c r="A98" s="2" t="s">
        <v>735</v>
      </c>
      <c r="B98" s="2" t="s">
        <v>287</v>
      </c>
      <c r="C98" s="2" t="s">
        <v>631</v>
      </c>
      <c r="D98" s="2" t="s">
        <v>289</v>
      </c>
      <c r="E98" s="2" t="s">
        <v>290</v>
      </c>
      <c r="F98" s="2" t="s">
        <v>736</v>
      </c>
      <c r="G98" s="2" t="s">
        <v>736</v>
      </c>
      <c r="H98" s="2" t="s">
        <v>736</v>
      </c>
      <c r="I98" s="2" t="s">
        <v>737</v>
      </c>
      <c r="J98" s="2" t="s">
        <v>281</v>
      </c>
      <c r="K98" s="2" t="s">
        <v>269</v>
      </c>
      <c r="L98" s="3">
        <v>28.84</v>
      </c>
      <c r="M98" s="3">
        <v>30.28</v>
      </c>
      <c r="N98" s="3">
        <v>59.99</v>
      </c>
      <c r="O98" s="2" t="s">
        <v>243</v>
      </c>
      <c r="P98" s="2" t="s">
        <v>341</v>
      </c>
      <c r="Q98" s="2" t="s">
        <v>237</v>
      </c>
      <c r="R98" s="2" t="s">
        <v>231</v>
      </c>
      <c r="S98" s="2" t="s">
        <v>738</v>
      </c>
      <c r="T98" s="2" t="s">
        <v>297</v>
      </c>
      <c r="U98" s="2" t="s">
        <v>298</v>
      </c>
      <c r="V98" s="2" t="s">
        <v>239</v>
      </c>
      <c r="W98" s="2" t="s">
        <v>273</v>
      </c>
      <c r="X98" s="2" t="s">
        <v>691</v>
      </c>
      <c r="Y98" s="2" t="s">
        <v>739</v>
      </c>
      <c r="Z98" s="4">
        <v>38</v>
      </c>
      <c r="AA98" s="4">
        <f>=ROUNDDOWN(12.6666666666667,0)</f>
      </c>
      <c r="AB98" s="5">
        <v>3</v>
      </c>
      <c r="AC98" s="2" t="s">
        <v>231</v>
      </c>
      <c r="AD98" s="4"/>
      <c r="AE98" s="4"/>
      <c r="AF98" s="6">
        <v>70</v>
      </c>
      <c r="AG98" s="6"/>
      <c r="AH98" s="7">
        <v>1</v>
      </c>
      <c r="AI98" s="4"/>
      <c r="AJ98" s="4">
        <f>=ROUNDDOWN({0},0)</f>
      </c>
      <c r="AK98" s="5"/>
      <c r="AL98" s="2" t="s">
        <v>231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231</v>
      </c>
      <c r="AW98" s="8" t="s">
        <v>231</v>
      </c>
      <c r="AX98" s="4" t="s">
        <v>231</v>
      </c>
      <c r="AY98" s="8" t="s">
        <v>231</v>
      </c>
      <c r="AZ98" s="7" t="s">
        <v>231</v>
      </c>
      <c r="BA98" s="7" t="s">
        <v>231</v>
      </c>
      <c r="BB98" s="7"/>
      <c r="BC98" s="4" t="s">
        <v>231</v>
      </c>
      <c r="BD98" s="8" t="s">
        <v>231</v>
      </c>
      <c r="BE98" s="4" t="s">
        <v>231</v>
      </c>
      <c r="BF98" s="8" t="s">
        <v>231</v>
      </c>
      <c r="BG98" s="7" t="s">
        <v>231</v>
      </c>
      <c r="BH98" s="7" t="s">
        <v>231</v>
      </c>
      <c r="BI98" s="7"/>
      <c r="BJ98" s="4">
        <v>9</v>
      </c>
      <c r="BK98" s="8">
        <v>254.35</v>
      </c>
      <c r="BL98" s="2" t="s">
        <v>532</v>
      </c>
      <c r="BM98" s="7"/>
      <c r="BN98" s="7"/>
      <c r="BO98" s="4"/>
      <c r="BP98" s="8"/>
      <c r="BQ98" s="4"/>
      <c r="BR98" s="8"/>
      <c r="BS98" s="7"/>
      <c r="BT98" s="7"/>
      <c r="BU98" s="2" t="s">
        <v>740</v>
      </c>
      <c r="BV98" s="2" t="s">
        <v>231</v>
      </c>
      <c r="BW98" s="2" t="s">
        <v>231</v>
      </c>
      <c r="BX98" s="2" t="s">
        <v>231</v>
      </c>
      <c r="BY98" s="2" t="s">
        <v>277</v>
      </c>
      <c r="BZ98" s="2" t="s">
        <v>243</v>
      </c>
      <c r="CA98" s="2" t="s">
        <v>739</v>
      </c>
      <c r="CB98" s="2" t="s">
        <v>741</v>
      </c>
      <c r="CC98" s="2" t="s">
        <v>244</v>
      </c>
      <c r="CD98" s="2" t="s">
        <v>231</v>
      </c>
      <c r="CE98" s="4">
        <v>38</v>
      </c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</row>
    <row r="99">
      <c r="A99" s="2" t="s">
        <v>742</v>
      </c>
      <c r="B99" s="2" t="s">
        <v>287</v>
      </c>
      <c r="C99" s="2" t="s">
        <v>631</v>
      </c>
      <c r="D99" s="2" t="s">
        <v>289</v>
      </c>
      <c r="E99" s="2" t="s">
        <v>290</v>
      </c>
      <c r="F99" s="2" t="s">
        <v>736</v>
      </c>
      <c r="G99" s="2" t="s">
        <v>736</v>
      </c>
      <c r="H99" s="2" t="s">
        <v>736</v>
      </c>
      <c r="I99" s="2" t="s">
        <v>737</v>
      </c>
      <c r="J99" s="2" t="s">
        <v>302</v>
      </c>
      <c r="K99" s="2" t="s">
        <v>269</v>
      </c>
      <c r="L99" s="3">
        <v>34.78</v>
      </c>
      <c r="M99" s="3">
        <v>36.52</v>
      </c>
      <c r="N99" s="3">
        <v>72.99</v>
      </c>
      <c r="O99" s="2" t="s">
        <v>243</v>
      </c>
      <c r="P99" s="2" t="s">
        <v>341</v>
      </c>
      <c r="Q99" s="2" t="s">
        <v>237</v>
      </c>
      <c r="R99" s="2" t="s">
        <v>231</v>
      </c>
      <c r="S99" s="2" t="s">
        <v>738</v>
      </c>
      <c r="T99" s="2" t="s">
        <v>297</v>
      </c>
      <c r="U99" s="2" t="s">
        <v>298</v>
      </c>
      <c r="V99" s="2" t="s">
        <v>239</v>
      </c>
      <c r="W99" s="2" t="s">
        <v>273</v>
      </c>
      <c r="X99" s="2" t="s">
        <v>691</v>
      </c>
      <c r="Y99" s="2" t="s">
        <v>739</v>
      </c>
      <c r="Z99" s="4">
        <v>56</v>
      </c>
      <c r="AA99" s="4">
        <f>=ROUNDDOWN(14,0)</f>
      </c>
      <c r="AB99" s="5">
        <v>4</v>
      </c>
      <c r="AC99" s="2" t="s">
        <v>231</v>
      </c>
      <c r="AD99" s="4"/>
      <c r="AE99" s="4"/>
      <c r="AF99" s="6">
        <v>70</v>
      </c>
      <c r="AG99" s="6"/>
      <c r="AH99" s="7">
        <v>1</v>
      </c>
      <c r="AI99" s="4"/>
      <c r="AJ99" s="4">
        <f>=ROUNDDOWN({0},0)</f>
      </c>
      <c r="AK99" s="5"/>
      <c r="AL99" s="2" t="s">
        <v>231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231</v>
      </c>
      <c r="AW99" s="8" t="s">
        <v>231</v>
      </c>
      <c r="AX99" s="4" t="s">
        <v>231</v>
      </c>
      <c r="AY99" s="8" t="s">
        <v>231</v>
      </c>
      <c r="AZ99" s="7" t="s">
        <v>231</v>
      </c>
      <c r="BA99" s="7" t="s">
        <v>231</v>
      </c>
      <c r="BB99" s="7"/>
      <c r="BC99" s="4" t="s">
        <v>231</v>
      </c>
      <c r="BD99" s="8" t="s">
        <v>231</v>
      </c>
      <c r="BE99" s="4" t="s">
        <v>231</v>
      </c>
      <c r="BF99" s="8" t="s">
        <v>231</v>
      </c>
      <c r="BG99" s="7" t="s">
        <v>231</v>
      </c>
      <c r="BH99" s="7" t="s">
        <v>231</v>
      </c>
      <c r="BI99" s="7"/>
      <c r="BJ99" s="4">
        <v>21</v>
      </c>
      <c r="BK99" s="8">
        <v>758.59</v>
      </c>
      <c r="BL99" s="2" t="s">
        <v>743</v>
      </c>
      <c r="BM99" s="7"/>
      <c r="BN99" s="7"/>
      <c r="BO99" s="4"/>
      <c r="BP99" s="8"/>
      <c r="BQ99" s="4"/>
      <c r="BR99" s="8"/>
      <c r="BS99" s="7"/>
      <c r="BT99" s="7"/>
      <c r="BU99" s="2" t="s">
        <v>744</v>
      </c>
      <c r="BV99" s="2" t="s">
        <v>231</v>
      </c>
      <c r="BW99" s="2" t="s">
        <v>231</v>
      </c>
      <c r="BX99" s="2" t="s">
        <v>231</v>
      </c>
      <c r="BY99" s="2" t="s">
        <v>277</v>
      </c>
      <c r="BZ99" s="2" t="s">
        <v>243</v>
      </c>
      <c r="CA99" s="2" t="s">
        <v>739</v>
      </c>
      <c r="CB99" s="2" t="s">
        <v>745</v>
      </c>
      <c r="CC99" s="2" t="s">
        <v>244</v>
      </c>
      <c r="CD99" s="2" t="s">
        <v>231</v>
      </c>
      <c r="CE99" s="4">
        <v>56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</row>
    <row r="100">
      <c r="A100" s="2" t="s">
        <v>746</v>
      </c>
      <c r="B100" s="2" t="s">
        <v>287</v>
      </c>
      <c r="C100" s="2" t="s">
        <v>631</v>
      </c>
      <c r="D100" s="2" t="s">
        <v>289</v>
      </c>
      <c r="E100" s="2" t="s">
        <v>290</v>
      </c>
      <c r="F100" s="2" t="s">
        <v>736</v>
      </c>
      <c r="G100" s="2" t="s">
        <v>736</v>
      </c>
      <c r="H100" s="2" t="s">
        <v>736</v>
      </c>
      <c r="I100" s="2" t="s">
        <v>737</v>
      </c>
      <c r="J100" s="2" t="s">
        <v>304</v>
      </c>
      <c r="K100" s="2" t="s">
        <v>747</v>
      </c>
      <c r="L100" s="3">
        <v>34.78</v>
      </c>
      <c r="M100" s="3">
        <v>36.52</v>
      </c>
      <c r="N100" s="3">
        <v>72.99</v>
      </c>
      <c r="O100" s="2" t="s">
        <v>243</v>
      </c>
      <c r="P100" s="2" t="s">
        <v>341</v>
      </c>
      <c r="Q100" s="2" t="s">
        <v>237</v>
      </c>
      <c r="R100" s="2" t="s">
        <v>231</v>
      </c>
      <c r="S100" s="2" t="s">
        <v>748</v>
      </c>
      <c r="T100" s="2" t="s">
        <v>297</v>
      </c>
      <c r="U100" s="2" t="s">
        <v>298</v>
      </c>
      <c r="V100" s="2" t="s">
        <v>239</v>
      </c>
      <c r="W100" s="2" t="s">
        <v>273</v>
      </c>
      <c r="X100" s="2" t="s">
        <v>691</v>
      </c>
      <c r="Y100" s="2" t="s">
        <v>739</v>
      </c>
      <c r="Z100" s="4">
        <v>2</v>
      </c>
      <c r="AA100" s="4">
        <f>=ROUNDDOWN(0.666666666666667,0)</f>
      </c>
      <c r="AB100" s="5">
        <v>3</v>
      </c>
      <c r="AC100" s="2" t="s">
        <v>231</v>
      </c>
      <c r="AD100" s="4"/>
      <c r="AE100" s="4"/>
      <c r="AF100" s="6">
        <v>70</v>
      </c>
      <c r="AG100" s="6"/>
      <c r="AH100" s="7">
        <v>1</v>
      </c>
      <c r="AI100" s="4"/>
      <c r="AJ100" s="4">
        <f>=ROUNDDOWN({0},0)</f>
      </c>
      <c r="AK100" s="5"/>
      <c r="AL100" s="2" t="s">
        <v>231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231</v>
      </c>
      <c r="BD100" s="8" t="s">
        <v>231</v>
      </c>
      <c r="BE100" s="4" t="s">
        <v>231</v>
      </c>
      <c r="BF100" s="8" t="s">
        <v>231</v>
      </c>
      <c r="BG100" s="7" t="s">
        <v>231</v>
      </c>
      <c r="BH100" s="7" t="s">
        <v>231</v>
      </c>
      <c r="BI100" s="7"/>
      <c r="BJ100" s="4">
        <v>18</v>
      </c>
      <c r="BK100" s="8">
        <v>660.52</v>
      </c>
      <c r="BL100" s="2" t="s">
        <v>749</v>
      </c>
      <c r="BM100" s="7"/>
      <c r="BN100" s="7"/>
      <c r="BO100" s="4"/>
      <c r="BP100" s="8"/>
      <c r="BQ100" s="4"/>
      <c r="BR100" s="8"/>
      <c r="BS100" s="7"/>
      <c r="BT100" s="7"/>
      <c r="BU100" s="2" t="s">
        <v>750</v>
      </c>
      <c r="BV100" s="2" t="s">
        <v>231</v>
      </c>
      <c r="BW100" s="2" t="s">
        <v>231</v>
      </c>
      <c r="BX100" s="2" t="s">
        <v>231</v>
      </c>
      <c r="BY100" s="2" t="s">
        <v>277</v>
      </c>
      <c r="BZ100" s="2" t="s">
        <v>243</v>
      </c>
      <c r="CA100" s="2" t="s">
        <v>739</v>
      </c>
      <c r="CB100" s="2" t="s">
        <v>751</v>
      </c>
      <c r="CC100" s="2" t="s">
        <v>244</v>
      </c>
      <c r="CD100" s="2" t="s">
        <v>231</v>
      </c>
      <c r="CE100" s="4">
        <v>2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</row>
    <row r="101">
      <c r="A101" s="2" t="s">
        <v>752</v>
      </c>
      <c r="B101" s="2" t="s">
        <v>287</v>
      </c>
      <c r="C101" s="2" t="s">
        <v>631</v>
      </c>
      <c r="D101" s="2" t="s">
        <v>289</v>
      </c>
      <c r="E101" s="2" t="s">
        <v>290</v>
      </c>
      <c r="F101" s="2" t="s">
        <v>736</v>
      </c>
      <c r="G101" s="2" t="s">
        <v>736</v>
      </c>
      <c r="H101" s="2" t="s">
        <v>736</v>
      </c>
      <c r="I101" s="2" t="s">
        <v>737</v>
      </c>
      <c r="J101" s="2" t="s">
        <v>281</v>
      </c>
      <c r="K101" s="2" t="s">
        <v>319</v>
      </c>
      <c r="L101" s="3">
        <v>28.84</v>
      </c>
      <c r="M101" s="3">
        <v>30.28</v>
      </c>
      <c r="N101" s="3">
        <v>59.99</v>
      </c>
      <c r="O101" s="2" t="s">
        <v>243</v>
      </c>
      <c r="P101" s="2" t="s">
        <v>341</v>
      </c>
      <c r="Q101" s="2" t="s">
        <v>237</v>
      </c>
      <c r="R101" s="2" t="s">
        <v>231</v>
      </c>
      <c r="S101" s="2" t="s">
        <v>753</v>
      </c>
      <c r="T101" s="2" t="s">
        <v>297</v>
      </c>
      <c r="U101" s="2" t="s">
        <v>298</v>
      </c>
      <c r="V101" s="2" t="s">
        <v>239</v>
      </c>
      <c r="W101" s="2" t="s">
        <v>273</v>
      </c>
      <c r="X101" s="2" t="s">
        <v>691</v>
      </c>
      <c r="Y101" s="2" t="s">
        <v>739</v>
      </c>
      <c r="Z101" s="4">
        <v>72</v>
      </c>
      <c r="AA101" s="4">
        <f>=ROUNDDOWN(14.4,0)</f>
      </c>
      <c r="AB101" s="5">
        <v>5</v>
      </c>
      <c r="AC101" s="2" t="s">
        <v>231</v>
      </c>
      <c r="AD101" s="4"/>
      <c r="AE101" s="4"/>
      <c r="AF101" s="6">
        <v>70</v>
      </c>
      <c r="AG101" s="6"/>
      <c r="AH101" s="7">
        <v>1</v>
      </c>
      <c r="AI101" s="4"/>
      <c r="AJ101" s="4">
        <f>=ROUNDDOWN({0},0)</f>
      </c>
      <c r="AK101" s="5"/>
      <c r="AL101" s="2" t="s">
        <v>231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231</v>
      </c>
      <c r="AW101" s="8" t="s">
        <v>231</v>
      </c>
      <c r="AX101" s="4" t="s">
        <v>231</v>
      </c>
      <c r="AY101" s="8" t="s">
        <v>231</v>
      </c>
      <c r="AZ101" s="7" t="s">
        <v>231</v>
      </c>
      <c r="BA101" s="7" t="s">
        <v>231</v>
      </c>
      <c r="BB101" s="7"/>
      <c r="BC101" s="4" t="s">
        <v>231</v>
      </c>
      <c r="BD101" s="8" t="s">
        <v>231</v>
      </c>
      <c r="BE101" s="4" t="s">
        <v>231</v>
      </c>
      <c r="BF101" s="8" t="s">
        <v>231</v>
      </c>
      <c r="BG101" s="7" t="s">
        <v>231</v>
      </c>
      <c r="BH101" s="7" t="s">
        <v>231</v>
      </c>
      <c r="BI101" s="7"/>
      <c r="BJ101" s="4">
        <v>28</v>
      </c>
      <c r="BK101" s="8">
        <v>750.71</v>
      </c>
      <c r="BL101" s="2" t="s">
        <v>754</v>
      </c>
      <c r="BM101" s="7"/>
      <c r="BN101" s="7"/>
      <c r="BO101" s="4"/>
      <c r="BP101" s="8"/>
      <c r="BQ101" s="4"/>
      <c r="BR101" s="8"/>
      <c r="BS101" s="7"/>
      <c r="BT101" s="7"/>
      <c r="BU101" s="2" t="s">
        <v>755</v>
      </c>
      <c r="BV101" s="2" t="s">
        <v>231</v>
      </c>
      <c r="BW101" s="2" t="s">
        <v>231</v>
      </c>
      <c r="BX101" s="2" t="s">
        <v>231</v>
      </c>
      <c r="BY101" s="2" t="s">
        <v>277</v>
      </c>
      <c r="BZ101" s="2" t="s">
        <v>243</v>
      </c>
      <c r="CA101" s="2" t="s">
        <v>739</v>
      </c>
      <c r="CB101" s="2" t="s">
        <v>756</v>
      </c>
      <c r="CC101" s="2" t="s">
        <v>244</v>
      </c>
      <c r="CD101" s="2" t="s">
        <v>231</v>
      </c>
      <c r="CE101" s="4">
        <v>72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</row>
    <row r="102">
      <c r="A102" s="2" t="s">
        <v>757</v>
      </c>
      <c r="B102" s="2" t="s">
        <v>287</v>
      </c>
      <c r="C102" s="2" t="s">
        <v>631</v>
      </c>
      <c r="D102" s="2" t="s">
        <v>289</v>
      </c>
      <c r="E102" s="2" t="s">
        <v>290</v>
      </c>
      <c r="F102" s="2" t="s">
        <v>736</v>
      </c>
      <c r="G102" s="2" t="s">
        <v>736</v>
      </c>
      <c r="H102" s="2" t="s">
        <v>736</v>
      </c>
      <c r="I102" s="2" t="s">
        <v>737</v>
      </c>
      <c r="J102" s="2" t="s">
        <v>304</v>
      </c>
      <c r="K102" s="2" t="s">
        <v>319</v>
      </c>
      <c r="L102" s="3">
        <v>34.78</v>
      </c>
      <c r="M102" s="3">
        <v>36.52</v>
      </c>
      <c r="N102" s="3">
        <v>72.99</v>
      </c>
      <c r="O102" s="2" t="s">
        <v>243</v>
      </c>
      <c r="P102" s="2" t="s">
        <v>341</v>
      </c>
      <c r="Q102" s="2" t="s">
        <v>237</v>
      </c>
      <c r="R102" s="2" t="s">
        <v>231</v>
      </c>
      <c r="S102" s="2" t="s">
        <v>753</v>
      </c>
      <c r="T102" s="2" t="s">
        <v>297</v>
      </c>
      <c r="U102" s="2" t="s">
        <v>298</v>
      </c>
      <c r="V102" s="2" t="s">
        <v>239</v>
      </c>
      <c r="W102" s="2" t="s">
        <v>273</v>
      </c>
      <c r="X102" s="2" t="s">
        <v>691</v>
      </c>
      <c r="Y102" s="2" t="s">
        <v>739</v>
      </c>
      <c r="Z102" s="4">
        <v>50</v>
      </c>
      <c r="AA102" s="4">
        <f>=ROUNDDOWN(25,0)</f>
      </c>
      <c r="AB102" s="5">
        <v>2</v>
      </c>
      <c r="AC102" s="2" t="s">
        <v>231</v>
      </c>
      <c r="AD102" s="4"/>
      <c r="AE102" s="4"/>
      <c r="AF102" s="6">
        <v>70</v>
      </c>
      <c r="AG102" s="6"/>
      <c r="AH102" s="7">
        <v>1</v>
      </c>
      <c r="AI102" s="4"/>
      <c r="AJ102" s="4">
        <f>=ROUNDDOWN({0},0)</f>
      </c>
      <c r="AK102" s="5"/>
      <c r="AL102" s="2" t="s">
        <v>231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231</v>
      </c>
      <c r="AW102" s="8" t="s">
        <v>231</v>
      </c>
      <c r="AX102" s="4" t="s">
        <v>231</v>
      </c>
      <c r="AY102" s="8" t="s">
        <v>231</v>
      </c>
      <c r="AZ102" s="7" t="s">
        <v>231</v>
      </c>
      <c r="BA102" s="7" t="s">
        <v>231</v>
      </c>
      <c r="BB102" s="7"/>
      <c r="BC102" s="4" t="s">
        <v>231</v>
      </c>
      <c r="BD102" s="8" t="s">
        <v>231</v>
      </c>
      <c r="BE102" s="4" t="s">
        <v>231</v>
      </c>
      <c r="BF102" s="8" t="s">
        <v>231</v>
      </c>
      <c r="BG102" s="7" t="s">
        <v>231</v>
      </c>
      <c r="BH102" s="7" t="s">
        <v>231</v>
      </c>
      <c r="BI102" s="7"/>
      <c r="BJ102" s="4">
        <v>8</v>
      </c>
      <c r="BK102" s="8">
        <v>356.17</v>
      </c>
      <c r="BL102" s="2" t="s">
        <v>758</v>
      </c>
      <c r="BM102" s="7"/>
      <c r="BN102" s="7"/>
      <c r="BO102" s="4"/>
      <c r="BP102" s="8"/>
      <c r="BQ102" s="4"/>
      <c r="BR102" s="8"/>
      <c r="BS102" s="7"/>
      <c r="BT102" s="7"/>
      <c r="BU102" s="2" t="s">
        <v>759</v>
      </c>
      <c r="BV102" s="2" t="s">
        <v>231</v>
      </c>
      <c r="BW102" s="2" t="s">
        <v>231</v>
      </c>
      <c r="BX102" s="2" t="s">
        <v>231</v>
      </c>
      <c r="BY102" s="2" t="s">
        <v>277</v>
      </c>
      <c r="BZ102" s="2" t="s">
        <v>243</v>
      </c>
      <c r="CA102" s="2" t="s">
        <v>739</v>
      </c>
      <c r="CB102" s="2" t="s">
        <v>760</v>
      </c>
      <c r="CC102" s="2" t="s">
        <v>244</v>
      </c>
      <c r="CD102" s="2" t="s">
        <v>231</v>
      </c>
      <c r="CE102" s="4">
        <v>50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</row>
    <row r="103">
      <c r="A103" s="2" t="s">
        <v>761</v>
      </c>
      <c r="B103" s="2" t="s">
        <v>287</v>
      </c>
      <c r="C103" s="2" t="s">
        <v>288</v>
      </c>
      <c r="D103" s="2" t="s">
        <v>289</v>
      </c>
      <c r="E103" s="2" t="s">
        <v>290</v>
      </c>
      <c r="F103" s="2" t="s">
        <v>762</v>
      </c>
      <c r="G103" s="2" t="s">
        <v>762</v>
      </c>
      <c r="H103" s="2" t="s">
        <v>762</v>
      </c>
      <c r="I103" s="2" t="s">
        <v>763</v>
      </c>
      <c r="J103" s="2" t="s">
        <v>304</v>
      </c>
      <c r="K103" s="2" t="s">
        <v>682</v>
      </c>
      <c r="L103" s="3">
        <v>39.84</v>
      </c>
      <c r="M103" s="3">
        <v>41.83</v>
      </c>
      <c r="N103" s="3">
        <v>82.99</v>
      </c>
      <c r="O103" s="2" t="s">
        <v>243</v>
      </c>
      <c r="P103" s="2" t="s">
        <v>270</v>
      </c>
      <c r="Q103" s="2" t="s">
        <v>237</v>
      </c>
      <c r="R103" s="2" t="s">
        <v>231</v>
      </c>
      <c r="S103" s="2" t="s">
        <v>764</v>
      </c>
      <c r="T103" s="2" t="s">
        <v>297</v>
      </c>
      <c r="U103" s="2" t="s">
        <v>765</v>
      </c>
      <c r="V103" s="2" t="s">
        <v>239</v>
      </c>
      <c r="W103" s="2" t="s">
        <v>273</v>
      </c>
      <c r="X103" s="2" t="s">
        <v>299</v>
      </c>
      <c r="Y103" s="2" t="s">
        <v>766</v>
      </c>
      <c r="Z103" s="4">
        <v>71</v>
      </c>
      <c r="AA103" s="4">
        <f>=ROUNDDOWN(17.75,0)</f>
      </c>
      <c r="AB103" s="5">
        <v>4</v>
      </c>
      <c r="AC103" s="2" t="s">
        <v>730</v>
      </c>
      <c r="AD103" s="4">
        <v>30</v>
      </c>
      <c r="AE103" s="4">
        <v>90</v>
      </c>
      <c r="AF103" s="6">
        <v>69</v>
      </c>
      <c r="AG103" s="6"/>
      <c r="AH103" s="7">
        <v>1</v>
      </c>
      <c r="AI103" s="4"/>
      <c r="AJ103" s="4">
        <f>=ROUNDDOWN({0},0)</f>
      </c>
      <c r="AK103" s="5"/>
      <c r="AL103" s="2" t="s">
        <v>231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231</v>
      </c>
      <c r="BD103" s="8" t="s">
        <v>231</v>
      </c>
      <c r="BE103" s="4" t="s">
        <v>231</v>
      </c>
      <c r="BF103" s="8" t="s">
        <v>231</v>
      </c>
      <c r="BG103" s="7" t="s">
        <v>231</v>
      </c>
      <c r="BH103" s="7" t="s">
        <v>231</v>
      </c>
      <c r="BI103" s="7"/>
      <c r="BJ103" s="4">
        <v>10</v>
      </c>
      <c r="BK103" s="8">
        <v>408.39</v>
      </c>
      <c r="BL103" s="2" t="s">
        <v>349</v>
      </c>
      <c r="BM103" s="7"/>
      <c r="BN103" s="7"/>
      <c r="BO103" s="4"/>
      <c r="BP103" s="8"/>
      <c r="BQ103" s="4"/>
      <c r="BR103" s="8"/>
      <c r="BS103" s="7"/>
      <c r="BT103" s="7"/>
      <c r="BU103" s="2" t="s">
        <v>767</v>
      </c>
      <c r="BV103" s="2" t="s">
        <v>231</v>
      </c>
      <c r="BW103" s="2" t="s">
        <v>231</v>
      </c>
      <c r="BX103" s="2" t="s">
        <v>312</v>
      </c>
      <c r="BY103" s="2" t="s">
        <v>277</v>
      </c>
      <c r="BZ103" s="2" t="s">
        <v>243</v>
      </c>
      <c r="CA103" s="2" t="s">
        <v>766</v>
      </c>
      <c r="CB103" s="2" t="s">
        <v>768</v>
      </c>
      <c r="CC103" s="2" t="s">
        <v>244</v>
      </c>
      <c r="CD103" s="2" t="s">
        <v>231</v>
      </c>
      <c r="CE103" s="4">
        <v>71</v>
      </c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>
        <v>30</v>
      </c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>
        <v>30</v>
      </c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>
        <v>30</v>
      </c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</row>
    <row r="104">
      <c r="A104" s="2" t="s">
        <v>769</v>
      </c>
      <c r="B104" s="2" t="s">
        <v>287</v>
      </c>
      <c r="C104" s="2" t="s">
        <v>288</v>
      </c>
      <c r="D104" s="2" t="s">
        <v>289</v>
      </c>
      <c r="E104" s="2" t="s">
        <v>290</v>
      </c>
      <c r="F104" s="2" t="s">
        <v>762</v>
      </c>
      <c r="G104" s="2" t="s">
        <v>762</v>
      </c>
      <c r="H104" s="2" t="s">
        <v>762</v>
      </c>
      <c r="I104" s="2" t="s">
        <v>763</v>
      </c>
      <c r="J104" s="2" t="s">
        <v>304</v>
      </c>
      <c r="K104" s="2" t="s">
        <v>547</v>
      </c>
      <c r="L104" s="3">
        <v>39.84</v>
      </c>
      <c r="M104" s="3">
        <v>41.83</v>
      </c>
      <c r="N104" s="3">
        <v>82.99</v>
      </c>
      <c r="O104" s="2" t="s">
        <v>243</v>
      </c>
      <c r="P104" s="2" t="s">
        <v>270</v>
      </c>
      <c r="Q104" s="2" t="s">
        <v>237</v>
      </c>
      <c r="R104" s="2" t="s">
        <v>231</v>
      </c>
      <c r="S104" s="2" t="s">
        <v>770</v>
      </c>
      <c r="T104" s="2" t="s">
        <v>297</v>
      </c>
      <c r="U104" s="2" t="s">
        <v>765</v>
      </c>
      <c r="V104" s="2" t="s">
        <v>239</v>
      </c>
      <c r="W104" s="2" t="s">
        <v>273</v>
      </c>
      <c r="X104" s="2" t="s">
        <v>231</v>
      </c>
      <c r="Y104" s="2" t="s">
        <v>771</v>
      </c>
      <c r="Z104" s="4">
        <v>16</v>
      </c>
      <c r="AA104" s="4">
        <f>=ROUNDDOWN(1.77777777777778,0)</f>
      </c>
      <c r="AB104" s="5">
        <v>9</v>
      </c>
      <c r="AC104" s="2" t="s">
        <v>772</v>
      </c>
      <c r="AD104" s="4">
        <v>40</v>
      </c>
      <c r="AE104" s="4">
        <v>315</v>
      </c>
      <c r="AF104" s="6">
        <v>69</v>
      </c>
      <c r="AG104" s="6"/>
      <c r="AH104" s="7">
        <v>1</v>
      </c>
      <c r="AI104" s="4"/>
      <c r="AJ104" s="4">
        <f>=ROUNDDOWN({0},0)</f>
      </c>
      <c r="AK104" s="5"/>
      <c r="AL104" s="2" t="s">
        <v>231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231</v>
      </c>
      <c r="BD104" s="8" t="s">
        <v>231</v>
      </c>
      <c r="BE104" s="4" t="s">
        <v>231</v>
      </c>
      <c r="BF104" s="8" t="s">
        <v>231</v>
      </c>
      <c r="BG104" s="7" t="s">
        <v>231</v>
      </c>
      <c r="BH104" s="7" t="s">
        <v>231</v>
      </c>
      <c r="BI104" s="7"/>
      <c r="BJ104" s="4">
        <v>30</v>
      </c>
      <c r="BK104" s="8">
        <v>1295</v>
      </c>
      <c r="BL104" s="2" t="s">
        <v>773</v>
      </c>
      <c r="BM104" s="7"/>
      <c r="BN104" s="7"/>
      <c r="BO104" s="4"/>
      <c r="BP104" s="8"/>
      <c r="BQ104" s="4"/>
      <c r="BR104" s="8"/>
      <c r="BS104" s="7"/>
      <c r="BT104" s="7"/>
      <c r="BU104" s="2" t="s">
        <v>774</v>
      </c>
      <c r="BV104" s="2" t="s">
        <v>231</v>
      </c>
      <c r="BW104" s="2" t="s">
        <v>231</v>
      </c>
      <c r="BX104" s="2" t="s">
        <v>312</v>
      </c>
      <c r="BY104" s="2" t="s">
        <v>277</v>
      </c>
      <c r="BZ104" s="2" t="s">
        <v>243</v>
      </c>
      <c r="CA104" s="2" t="s">
        <v>775</v>
      </c>
      <c r="CB104" s="2" t="s">
        <v>776</v>
      </c>
      <c r="CC104" s="2" t="s">
        <v>244</v>
      </c>
      <c r="CD104" s="2" t="s">
        <v>231</v>
      </c>
      <c r="CE104" s="4">
        <v>16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>
        <v>40</v>
      </c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>
        <v>70</v>
      </c>
      <c r="EA104" s="4"/>
      <c r="EB104" s="4"/>
      <c r="EC104" s="4"/>
      <c r="ED104" s="4"/>
      <c r="EE104" s="4"/>
      <c r="EF104" s="4"/>
      <c r="EG104" s="4">
        <v>45</v>
      </c>
      <c r="EH104" s="4"/>
      <c r="EI104" s="4"/>
      <c r="EJ104" s="4"/>
      <c r="EK104" s="4"/>
      <c r="EL104" s="4"/>
      <c r="EM104" s="4"/>
      <c r="EN104" s="4">
        <v>40</v>
      </c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>
        <v>120</v>
      </c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</row>
    <row r="105">
      <c r="A105" s="2" t="s">
        <v>777</v>
      </c>
      <c r="B105" s="2" t="s">
        <v>287</v>
      </c>
      <c r="C105" s="2" t="s">
        <v>288</v>
      </c>
      <c r="D105" s="2" t="s">
        <v>289</v>
      </c>
      <c r="E105" s="2" t="s">
        <v>290</v>
      </c>
      <c r="F105" s="2" t="s">
        <v>762</v>
      </c>
      <c r="G105" s="2" t="s">
        <v>762</v>
      </c>
      <c r="H105" s="2" t="s">
        <v>762</v>
      </c>
      <c r="I105" s="2" t="s">
        <v>763</v>
      </c>
      <c r="J105" s="2" t="s">
        <v>304</v>
      </c>
      <c r="K105" s="2" t="s">
        <v>778</v>
      </c>
      <c r="L105" s="3">
        <v>39.84</v>
      </c>
      <c r="M105" s="3">
        <v>41.83</v>
      </c>
      <c r="N105" s="3">
        <v>82.99</v>
      </c>
      <c r="O105" s="2" t="s">
        <v>243</v>
      </c>
      <c r="P105" s="2" t="s">
        <v>270</v>
      </c>
      <c r="Q105" s="2" t="s">
        <v>237</v>
      </c>
      <c r="R105" s="2" t="s">
        <v>231</v>
      </c>
      <c r="S105" s="2" t="s">
        <v>779</v>
      </c>
      <c r="T105" s="2" t="s">
        <v>297</v>
      </c>
      <c r="U105" s="2" t="s">
        <v>765</v>
      </c>
      <c r="V105" s="2" t="s">
        <v>239</v>
      </c>
      <c r="W105" s="2" t="s">
        <v>273</v>
      </c>
      <c r="X105" s="2" t="s">
        <v>231</v>
      </c>
      <c r="Y105" s="2" t="s">
        <v>771</v>
      </c>
      <c r="Z105" s="4">
        <v>3</v>
      </c>
      <c r="AA105" s="4">
        <f>=ROUNDDOWN(0.5,0)</f>
      </c>
      <c r="AB105" s="5">
        <v>6</v>
      </c>
      <c r="AC105" s="2" t="s">
        <v>772</v>
      </c>
      <c r="AD105" s="4">
        <v>30</v>
      </c>
      <c r="AE105" s="4">
        <v>200</v>
      </c>
      <c r="AF105" s="6">
        <v>69</v>
      </c>
      <c r="AG105" s="6"/>
      <c r="AH105" s="7">
        <v>0</v>
      </c>
      <c r="AI105" s="4"/>
      <c r="AJ105" s="4">
        <f>=ROUNDDOWN({0},0)</f>
      </c>
      <c r="AK105" s="5"/>
      <c r="AL105" s="2" t="s">
        <v>231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231</v>
      </c>
      <c r="BD105" s="8" t="s">
        <v>231</v>
      </c>
      <c r="BE105" s="4" t="s">
        <v>231</v>
      </c>
      <c r="BF105" s="8" t="s">
        <v>231</v>
      </c>
      <c r="BG105" s="7" t="s">
        <v>231</v>
      </c>
      <c r="BH105" s="7" t="s">
        <v>231</v>
      </c>
      <c r="BI105" s="7"/>
      <c r="BJ105" s="4">
        <v>5</v>
      </c>
      <c r="BK105" s="8">
        <v>218.01</v>
      </c>
      <c r="BL105" s="2" t="s">
        <v>780</v>
      </c>
      <c r="BM105" s="7"/>
      <c r="BN105" s="7"/>
      <c r="BO105" s="4"/>
      <c r="BP105" s="8"/>
      <c r="BQ105" s="4"/>
      <c r="BR105" s="8"/>
      <c r="BS105" s="7"/>
      <c r="BT105" s="7"/>
      <c r="BU105" s="2" t="s">
        <v>781</v>
      </c>
      <c r="BV105" s="2" t="s">
        <v>231</v>
      </c>
      <c r="BW105" s="2" t="s">
        <v>231</v>
      </c>
      <c r="BX105" s="2" t="s">
        <v>312</v>
      </c>
      <c r="BY105" s="2" t="s">
        <v>277</v>
      </c>
      <c r="BZ105" s="2" t="s">
        <v>243</v>
      </c>
      <c r="CA105" s="2" t="s">
        <v>775</v>
      </c>
      <c r="CB105" s="2" t="s">
        <v>782</v>
      </c>
      <c r="CC105" s="2" t="s">
        <v>244</v>
      </c>
      <c r="CD105" s="2" t="s">
        <v>231</v>
      </c>
      <c r="CE105" s="4">
        <v>2</v>
      </c>
      <c r="CF105" s="4">
        <v>1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>
        <v>30</v>
      </c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>
        <v>30</v>
      </c>
      <c r="EH105" s="4"/>
      <c r="EI105" s="4"/>
      <c r="EJ105" s="4"/>
      <c r="EK105" s="4"/>
      <c r="EL105" s="4"/>
      <c r="EM105" s="4"/>
      <c r="EN105" s="4">
        <v>30</v>
      </c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>
        <v>110</v>
      </c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</row>
    <row r="106">
      <c r="A106" s="2" t="s">
        <v>783</v>
      </c>
      <c r="B106" s="2" t="s">
        <v>784</v>
      </c>
      <c r="C106" s="2" t="s">
        <v>653</v>
      </c>
      <c r="D106" s="2" t="s">
        <v>785</v>
      </c>
      <c r="E106" s="2" t="s">
        <v>786</v>
      </c>
      <c r="F106" s="2" t="s">
        <v>787</v>
      </c>
      <c r="G106" s="2" t="s">
        <v>787</v>
      </c>
      <c r="H106" s="2" t="s">
        <v>787</v>
      </c>
      <c r="I106" s="2" t="s">
        <v>788</v>
      </c>
      <c r="J106" s="2" t="s">
        <v>789</v>
      </c>
      <c r="K106" s="2" t="s">
        <v>294</v>
      </c>
      <c r="L106" s="3">
        <v>32.9</v>
      </c>
      <c r="M106" s="3">
        <v>34.55</v>
      </c>
      <c r="N106" s="3">
        <v>69.99</v>
      </c>
      <c r="O106" s="2" t="s">
        <v>243</v>
      </c>
      <c r="P106" s="2" t="s">
        <v>295</v>
      </c>
      <c r="Q106" s="2" t="s">
        <v>237</v>
      </c>
      <c r="R106" s="2" t="s">
        <v>231</v>
      </c>
      <c r="S106" s="2" t="s">
        <v>790</v>
      </c>
      <c r="T106" s="2" t="s">
        <v>362</v>
      </c>
      <c r="U106" s="2" t="s">
        <v>791</v>
      </c>
      <c r="V106" s="2" t="s">
        <v>239</v>
      </c>
      <c r="W106" s="2" t="s">
        <v>792</v>
      </c>
      <c r="X106" s="2" t="s">
        <v>231</v>
      </c>
      <c r="Y106" s="2" t="s">
        <v>793</v>
      </c>
      <c r="Z106" s="4">
        <v>233</v>
      </c>
      <c r="AA106" s="4">
        <f>=ROUNDDOWN({0},0)</f>
      </c>
      <c r="AB106" s="5"/>
      <c r="AC106" s="2" t="s">
        <v>794</v>
      </c>
      <c r="AD106" s="4">
        <v>235</v>
      </c>
      <c r="AE106" s="4">
        <v>235</v>
      </c>
      <c r="AF106" s="6">
        <v>69</v>
      </c>
      <c r="AG106" s="6"/>
      <c r="AH106" s="7">
        <v>1</v>
      </c>
      <c r="AI106" s="4"/>
      <c r="AJ106" s="4">
        <f>=ROUNDDOWN({0},0)</f>
      </c>
      <c r="AK106" s="5"/>
      <c r="AL106" s="2" t="s">
        <v>231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 t="s">
        <v>231</v>
      </c>
      <c r="BD106" s="8" t="s">
        <v>231</v>
      </c>
      <c r="BE106" s="4" t="s">
        <v>231</v>
      </c>
      <c r="BF106" s="8" t="s">
        <v>231</v>
      </c>
      <c r="BG106" s="7" t="s">
        <v>231</v>
      </c>
      <c r="BH106" s="7" t="s">
        <v>231</v>
      </c>
      <c r="BI106" s="7"/>
      <c r="BJ106" s="4"/>
      <c r="BK106" s="8"/>
      <c r="BL106" s="2" t="s">
        <v>231</v>
      </c>
      <c r="BM106" s="7"/>
      <c r="BN106" s="7"/>
      <c r="BO106" s="4"/>
      <c r="BP106" s="8"/>
      <c r="BQ106" s="4"/>
      <c r="BR106" s="8"/>
      <c r="BS106" s="7"/>
      <c r="BT106" s="7"/>
      <c r="BU106" s="2" t="s">
        <v>241</v>
      </c>
      <c r="BV106" s="2" t="s">
        <v>231</v>
      </c>
      <c r="BW106" s="2" t="s">
        <v>231</v>
      </c>
      <c r="BX106" s="2" t="s">
        <v>241</v>
      </c>
      <c r="BY106" s="2" t="s">
        <v>242</v>
      </c>
      <c r="BZ106" s="2" t="s">
        <v>243</v>
      </c>
      <c r="CA106" s="2" t="s">
        <v>231</v>
      </c>
      <c r="CB106" s="2" t="s">
        <v>231</v>
      </c>
      <c r="CC106" s="2" t="s">
        <v>244</v>
      </c>
      <c r="CD106" s="2" t="s">
        <v>231</v>
      </c>
      <c r="CE106" s="4">
        <v>233</v>
      </c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>
        <v>235</v>
      </c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</row>
    <row r="107">
      <c r="A107" s="2" t="s">
        <v>795</v>
      </c>
      <c r="B107" s="2" t="s">
        <v>784</v>
      </c>
      <c r="C107" s="2" t="s">
        <v>653</v>
      </c>
      <c r="D107" s="2" t="s">
        <v>785</v>
      </c>
      <c r="E107" s="2" t="s">
        <v>786</v>
      </c>
      <c r="F107" s="2" t="s">
        <v>787</v>
      </c>
      <c r="G107" s="2" t="s">
        <v>787</v>
      </c>
      <c r="H107" s="2" t="s">
        <v>787</v>
      </c>
      <c r="I107" s="2" t="s">
        <v>788</v>
      </c>
      <c r="J107" s="2" t="s">
        <v>789</v>
      </c>
      <c r="K107" s="2" t="s">
        <v>796</v>
      </c>
      <c r="L107" s="3">
        <v>32.9</v>
      </c>
      <c r="M107" s="3">
        <v>34.55</v>
      </c>
      <c r="N107" s="3">
        <v>69.99</v>
      </c>
      <c r="O107" s="2" t="s">
        <v>243</v>
      </c>
      <c r="P107" s="2" t="s">
        <v>295</v>
      </c>
      <c r="Q107" s="2" t="s">
        <v>237</v>
      </c>
      <c r="R107" s="2" t="s">
        <v>231</v>
      </c>
      <c r="S107" s="2" t="s">
        <v>797</v>
      </c>
      <c r="T107" s="2" t="s">
        <v>362</v>
      </c>
      <c r="U107" s="2" t="s">
        <v>791</v>
      </c>
      <c r="V107" s="2" t="s">
        <v>239</v>
      </c>
      <c r="W107" s="2" t="s">
        <v>792</v>
      </c>
      <c r="X107" s="2" t="s">
        <v>231</v>
      </c>
      <c r="Y107" s="2" t="s">
        <v>793</v>
      </c>
      <c r="Z107" s="4">
        <v>217</v>
      </c>
      <c r="AA107" s="4">
        <f>=ROUNDDOWN({0},0)</f>
      </c>
      <c r="AB107" s="5"/>
      <c r="AC107" s="2" t="s">
        <v>794</v>
      </c>
      <c r="AD107" s="4">
        <v>231</v>
      </c>
      <c r="AE107" s="4">
        <v>231</v>
      </c>
      <c r="AF107" s="6">
        <v>69</v>
      </c>
      <c r="AG107" s="6"/>
      <c r="AH107" s="7">
        <v>1</v>
      </c>
      <c r="AI107" s="4"/>
      <c r="AJ107" s="4">
        <f>=ROUNDDOWN({0},0)</f>
      </c>
      <c r="AK107" s="5"/>
      <c r="AL107" s="2" t="s">
        <v>231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 t="s">
        <v>231</v>
      </c>
      <c r="BD107" s="8" t="s">
        <v>231</v>
      </c>
      <c r="BE107" s="4" t="s">
        <v>231</v>
      </c>
      <c r="BF107" s="8" t="s">
        <v>231</v>
      </c>
      <c r="BG107" s="7" t="s">
        <v>231</v>
      </c>
      <c r="BH107" s="7" t="s">
        <v>231</v>
      </c>
      <c r="BI107" s="7"/>
      <c r="BJ107" s="4"/>
      <c r="BK107" s="8"/>
      <c r="BL107" s="2" t="s">
        <v>231</v>
      </c>
      <c r="BM107" s="7"/>
      <c r="BN107" s="7"/>
      <c r="BO107" s="4"/>
      <c r="BP107" s="8"/>
      <c r="BQ107" s="4"/>
      <c r="BR107" s="8"/>
      <c r="BS107" s="7"/>
      <c r="BT107" s="7"/>
      <c r="BU107" s="2" t="s">
        <v>241</v>
      </c>
      <c r="BV107" s="2" t="s">
        <v>231</v>
      </c>
      <c r="BW107" s="2" t="s">
        <v>231</v>
      </c>
      <c r="BX107" s="2" t="s">
        <v>241</v>
      </c>
      <c r="BY107" s="2" t="s">
        <v>242</v>
      </c>
      <c r="BZ107" s="2" t="s">
        <v>243</v>
      </c>
      <c r="CA107" s="2" t="s">
        <v>231</v>
      </c>
      <c r="CB107" s="2" t="s">
        <v>231</v>
      </c>
      <c r="CC107" s="2" t="s">
        <v>244</v>
      </c>
      <c r="CD107" s="2" t="s">
        <v>231</v>
      </c>
      <c r="CE107" s="4">
        <v>217</v>
      </c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>
        <v>231</v>
      </c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</row>
    <row r="108">
      <c r="A108" s="2" t="s">
        <v>798</v>
      </c>
      <c r="B108" s="2" t="s">
        <v>784</v>
      </c>
      <c r="C108" s="2" t="s">
        <v>653</v>
      </c>
      <c r="D108" s="2" t="s">
        <v>785</v>
      </c>
      <c r="E108" s="2" t="s">
        <v>786</v>
      </c>
      <c r="F108" s="2" t="s">
        <v>787</v>
      </c>
      <c r="G108" s="2" t="s">
        <v>787</v>
      </c>
      <c r="H108" s="2" t="s">
        <v>787</v>
      </c>
      <c r="I108" s="2" t="s">
        <v>788</v>
      </c>
      <c r="J108" s="2" t="s">
        <v>789</v>
      </c>
      <c r="K108" s="2" t="s">
        <v>556</v>
      </c>
      <c r="L108" s="3">
        <v>32.9</v>
      </c>
      <c r="M108" s="3">
        <v>34.55</v>
      </c>
      <c r="N108" s="3">
        <v>69.99</v>
      </c>
      <c r="O108" s="2" t="s">
        <v>243</v>
      </c>
      <c r="P108" s="2" t="s">
        <v>295</v>
      </c>
      <c r="Q108" s="2" t="s">
        <v>237</v>
      </c>
      <c r="R108" s="2" t="s">
        <v>231</v>
      </c>
      <c r="S108" s="2" t="s">
        <v>799</v>
      </c>
      <c r="T108" s="2" t="s">
        <v>362</v>
      </c>
      <c r="U108" s="2" t="s">
        <v>791</v>
      </c>
      <c r="V108" s="2" t="s">
        <v>239</v>
      </c>
      <c r="W108" s="2" t="s">
        <v>792</v>
      </c>
      <c r="X108" s="2" t="s">
        <v>231</v>
      </c>
      <c r="Y108" s="2" t="s">
        <v>793</v>
      </c>
      <c r="Z108" s="4">
        <v>259</v>
      </c>
      <c r="AA108" s="4">
        <f>=ROUNDDOWN({0},0)</f>
      </c>
      <c r="AB108" s="5"/>
      <c r="AC108" s="2" t="s">
        <v>794</v>
      </c>
      <c r="AD108" s="4">
        <v>255</v>
      </c>
      <c r="AE108" s="4">
        <v>255</v>
      </c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231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231</v>
      </c>
      <c r="BD108" s="8" t="s">
        <v>231</v>
      </c>
      <c r="BE108" s="4" t="s">
        <v>231</v>
      </c>
      <c r="BF108" s="8" t="s">
        <v>231</v>
      </c>
      <c r="BG108" s="7" t="s">
        <v>231</v>
      </c>
      <c r="BH108" s="7" t="s">
        <v>231</v>
      </c>
      <c r="BI108" s="7"/>
      <c r="BJ108" s="4"/>
      <c r="BK108" s="8"/>
      <c r="BL108" s="2" t="s">
        <v>231</v>
      </c>
      <c r="BM108" s="7"/>
      <c r="BN108" s="7"/>
      <c r="BO108" s="4"/>
      <c r="BP108" s="8"/>
      <c r="BQ108" s="4"/>
      <c r="BR108" s="8"/>
      <c r="BS108" s="7"/>
      <c r="BT108" s="7"/>
      <c r="BU108" s="2" t="s">
        <v>241</v>
      </c>
      <c r="BV108" s="2" t="s">
        <v>231</v>
      </c>
      <c r="BW108" s="2" t="s">
        <v>231</v>
      </c>
      <c r="BX108" s="2" t="s">
        <v>241</v>
      </c>
      <c r="BY108" s="2" t="s">
        <v>242</v>
      </c>
      <c r="BZ108" s="2" t="s">
        <v>243</v>
      </c>
      <c r="CA108" s="2" t="s">
        <v>231</v>
      </c>
      <c r="CB108" s="2" t="s">
        <v>231</v>
      </c>
      <c r="CC108" s="2" t="s">
        <v>244</v>
      </c>
      <c r="CD108" s="2" t="s">
        <v>231</v>
      </c>
      <c r="CE108" s="4">
        <v>259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>
        <v>255</v>
      </c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</row>
    <row r="109">
      <c r="A109" s="2" t="s">
        <v>800</v>
      </c>
      <c r="B109" s="2" t="s">
        <v>801</v>
      </c>
      <c r="C109" s="2" t="s">
        <v>802</v>
      </c>
      <c r="D109" s="2" t="s">
        <v>803</v>
      </c>
      <c r="E109" s="2" t="s">
        <v>804</v>
      </c>
      <c r="F109" s="2" t="s">
        <v>805</v>
      </c>
      <c r="G109" s="2" t="s">
        <v>805</v>
      </c>
      <c r="H109" s="2" t="s">
        <v>805</v>
      </c>
      <c r="I109" s="2" t="s">
        <v>806</v>
      </c>
      <c r="J109" s="2" t="s">
        <v>807</v>
      </c>
      <c r="K109" s="2" t="s">
        <v>319</v>
      </c>
      <c r="L109" s="3">
        <v>109.35</v>
      </c>
      <c r="M109" s="3">
        <v>114.82</v>
      </c>
      <c r="N109" s="3">
        <v>254.99</v>
      </c>
      <c r="O109" s="2" t="s">
        <v>243</v>
      </c>
      <c r="P109" s="2" t="s">
        <v>341</v>
      </c>
      <c r="Q109" s="2" t="s">
        <v>237</v>
      </c>
      <c r="R109" s="2" t="s">
        <v>231</v>
      </c>
      <c r="S109" s="2" t="s">
        <v>231</v>
      </c>
      <c r="T109" s="2" t="s">
        <v>231</v>
      </c>
      <c r="U109" s="2" t="s">
        <v>327</v>
      </c>
      <c r="V109" s="2" t="s">
        <v>662</v>
      </c>
      <c r="W109" s="2" t="s">
        <v>808</v>
      </c>
      <c r="X109" s="2" t="s">
        <v>231</v>
      </c>
      <c r="Y109" s="2" t="s">
        <v>809</v>
      </c>
      <c r="Z109" s="4">
        <v>59</v>
      </c>
      <c r="AA109" s="4">
        <f>=ROUNDDOWN(65.5555555555556,0)</f>
      </c>
      <c r="AB109" s="5">
        <v>0.9</v>
      </c>
      <c r="AC109" s="2" t="s">
        <v>231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231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>
        <v>4</v>
      </c>
      <c r="BK109" s="8">
        <v>403.06</v>
      </c>
      <c r="BL109" s="2" t="s">
        <v>810</v>
      </c>
      <c r="BM109" s="7"/>
      <c r="BN109" s="7"/>
      <c r="BO109" s="4"/>
      <c r="BP109" s="8"/>
      <c r="BQ109" s="4"/>
      <c r="BR109" s="8"/>
      <c r="BS109" s="7"/>
      <c r="BT109" s="7"/>
      <c r="BU109" s="2" t="s">
        <v>811</v>
      </c>
      <c r="BV109" s="2" t="s">
        <v>231</v>
      </c>
      <c r="BW109" s="2" t="s">
        <v>231</v>
      </c>
      <c r="BX109" s="2" t="s">
        <v>231</v>
      </c>
      <c r="BY109" s="2" t="s">
        <v>277</v>
      </c>
      <c r="BZ109" s="2" t="s">
        <v>243</v>
      </c>
      <c r="CA109" s="2" t="s">
        <v>812</v>
      </c>
      <c r="CB109" s="2" t="s">
        <v>813</v>
      </c>
      <c r="CC109" s="2" t="s">
        <v>244</v>
      </c>
      <c r="CD109" s="2" t="s">
        <v>231</v>
      </c>
      <c r="CE109" s="4"/>
      <c r="CF109" s="4">
        <v>59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</row>
    <row r="110">
      <c r="A110" s="2" t="s">
        <v>814</v>
      </c>
      <c r="B110" s="2" t="s">
        <v>801</v>
      </c>
      <c r="C110" s="2" t="s">
        <v>815</v>
      </c>
      <c r="D110" s="2" t="s">
        <v>803</v>
      </c>
      <c r="E110" s="2" t="s">
        <v>804</v>
      </c>
      <c r="F110" s="2" t="s">
        <v>816</v>
      </c>
      <c r="G110" s="2" t="s">
        <v>816</v>
      </c>
      <c r="H110" s="2" t="s">
        <v>816</v>
      </c>
      <c r="I110" s="2" t="s">
        <v>817</v>
      </c>
      <c r="J110" s="2" t="s">
        <v>807</v>
      </c>
      <c r="K110" s="2" t="s">
        <v>818</v>
      </c>
      <c r="L110" s="3">
        <v>109.44</v>
      </c>
      <c r="M110" s="3">
        <v>114.91</v>
      </c>
      <c r="N110" s="3">
        <v>254.99</v>
      </c>
      <c r="O110" s="2" t="s">
        <v>243</v>
      </c>
      <c r="P110" s="2" t="s">
        <v>341</v>
      </c>
      <c r="Q110" s="2" t="s">
        <v>237</v>
      </c>
      <c r="R110" s="2" t="s">
        <v>231</v>
      </c>
      <c r="S110" s="2" t="s">
        <v>231</v>
      </c>
      <c r="T110" s="2" t="s">
        <v>231</v>
      </c>
      <c r="U110" s="2" t="s">
        <v>327</v>
      </c>
      <c r="V110" s="2" t="s">
        <v>662</v>
      </c>
      <c r="W110" s="2" t="s">
        <v>691</v>
      </c>
      <c r="X110" s="2" t="s">
        <v>808</v>
      </c>
      <c r="Y110" s="2" t="s">
        <v>819</v>
      </c>
      <c r="Z110" s="4">
        <v>93</v>
      </c>
      <c r="AA110" s="4">
        <f>=ROUNDDOWN(93,0)</f>
      </c>
      <c r="AB110" s="5">
        <v>1</v>
      </c>
      <c r="AC110" s="2" t="s">
        <v>231</v>
      </c>
      <c r="AD110" s="4"/>
      <c r="AE110" s="4"/>
      <c r="AF110" s="6">
        <v>63</v>
      </c>
      <c r="AG110" s="6"/>
      <c r="AH110" s="7">
        <v>1</v>
      </c>
      <c r="AI110" s="4"/>
      <c r="AJ110" s="4">
        <f>=ROUNDDOWN({0},0)</f>
      </c>
      <c r="AK110" s="5"/>
      <c r="AL110" s="2" t="s">
        <v>231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231</v>
      </c>
      <c r="BM110" s="7"/>
      <c r="BN110" s="7"/>
      <c r="BO110" s="4"/>
      <c r="BP110" s="8"/>
      <c r="BQ110" s="4"/>
      <c r="BR110" s="8"/>
      <c r="BS110" s="7"/>
      <c r="BT110" s="7"/>
      <c r="BU110" s="2" t="s">
        <v>820</v>
      </c>
      <c r="BV110" s="2" t="s">
        <v>231</v>
      </c>
      <c r="BW110" s="2" t="s">
        <v>231</v>
      </c>
      <c r="BX110" s="2" t="s">
        <v>231</v>
      </c>
      <c r="BY110" s="2" t="s">
        <v>277</v>
      </c>
      <c r="BZ110" s="2" t="s">
        <v>243</v>
      </c>
      <c r="CA110" s="2" t="s">
        <v>821</v>
      </c>
      <c r="CB110" s="2" t="s">
        <v>822</v>
      </c>
      <c r="CC110" s="2" t="s">
        <v>244</v>
      </c>
      <c r="CD110" s="2" t="s">
        <v>231</v>
      </c>
      <c r="CE110" s="4"/>
      <c r="CF110" s="4">
        <v>93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</row>
    <row r="111">
      <c r="A111" s="2" t="s">
        <v>823</v>
      </c>
      <c r="B111" s="2" t="s">
        <v>824</v>
      </c>
      <c r="C111" s="2" t="s">
        <v>825</v>
      </c>
      <c r="D111" s="2" t="s">
        <v>826</v>
      </c>
      <c r="E111" s="2" t="s">
        <v>827</v>
      </c>
      <c r="F111" s="2" t="s">
        <v>828</v>
      </c>
      <c r="G111" s="2" t="s">
        <v>829</v>
      </c>
      <c r="H111" s="2" t="s">
        <v>830</v>
      </c>
      <c r="I111" s="2" t="s">
        <v>831</v>
      </c>
      <c r="J111" s="2" t="s">
        <v>832</v>
      </c>
      <c r="K111" s="2" t="s">
        <v>833</v>
      </c>
      <c r="L111" s="3">
        <v>26.4</v>
      </c>
      <c r="M111" s="3">
        <v>27.72</v>
      </c>
      <c r="N111" s="3">
        <v>54.99</v>
      </c>
      <c r="O111" s="2" t="s">
        <v>243</v>
      </c>
      <c r="P111" s="2" t="s">
        <v>341</v>
      </c>
      <c r="Q111" s="2" t="s">
        <v>237</v>
      </c>
      <c r="R111" s="2" t="s">
        <v>231</v>
      </c>
      <c r="S111" s="2" t="s">
        <v>834</v>
      </c>
      <c r="T111" s="2" t="s">
        <v>472</v>
      </c>
      <c r="U111" s="2" t="s">
        <v>835</v>
      </c>
      <c r="V111" s="2" t="s">
        <v>836</v>
      </c>
      <c r="W111" s="2" t="s">
        <v>691</v>
      </c>
      <c r="X111" s="2" t="s">
        <v>273</v>
      </c>
      <c r="Y111" s="2" t="s">
        <v>837</v>
      </c>
      <c r="Z111" s="4">
        <v>56</v>
      </c>
      <c r="AA111" s="4">
        <f>=ROUNDDOWN(56,0)</f>
      </c>
      <c r="AB111" s="5">
        <v>1</v>
      </c>
      <c r="AC111" s="2" t="s">
        <v>231</v>
      </c>
      <c r="AD111" s="4"/>
      <c r="AE111" s="4"/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231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231</v>
      </c>
      <c r="AW111" s="8" t="s">
        <v>231</v>
      </c>
      <c r="AX111" s="4" t="s">
        <v>231</v>
      </c>
      <c r="AY111" s="8" t="s">
        <v>231</v>
      </c>
      <c r="AZ111" s="7" t="s">
        <v>231</v>
      </c>
      <c r="BA111" s="7" t="s">
        <v>231</v>
      </c>
      <c r="BB111" s="7"/>
      <c r="BC111" s="4" t="s">
        <v>231</v>
      </c>
      <c r="BD111" s="8" t="s">
        <v>231</v>
      </c>
      <c r="BE111" s="4" t="s">
        <v>231</v>
      </c>
      <c r="BF111" s="8" t="s">
        <v>231</v>
      </c>
      <c r="BG111" s="7" t="s">
        <v>231</v>
      </c>
      <c r="BH111" s="7" t="s">
        <v>231</v>
      </c>
      <c r="BI111" s="7"/>
      <c r="BJ111" s="4">
        <v>4</v>
      </c>
      <c r="BK111" s="8">
        <v>114.62</v>
      </c>
      <c r="BL111" s="2" t="s">
        <v>838</v>
      </c>
      <c r="BM111" s="7"/>
      <c r="BN111" s="7"/>
      <c r="BO111" s="4"/>
      <c r="BP111" s="8"/>
      <c r="BQ111" s="4"/>
      <c r="BR111" s="8"/>
      <c r="BS111" s="7"/>
      <c r="BT111" s="7"/>
      <c r="BU111" s="2" t="s">
        <v>839</v>
      </c>
      <c r="BV111" s="2" t="s">
        <v>231</v>
      </c>
      <c r="BW111" s="2" t="s">
        <v>231</v>
      </c>
      <c r="BX111" s="2" t="s">
        <v>231</v>
      </c>
      <c r="BY111" s="2" t="s">
        <v>277</v>
      </c>
      <c r="BZ111" s="2" t="s">
        <v>243</v>
      </c>
      <c r="CA111" s="2" t="s">
        <v>840</v>
      </c>
      <c r="CB111" s="2" t="s">
        <v>841</v>
      </c>
      <c r="CC111" s="2" t="s">
        <v>244</v>
      </c>
      <c r="CD111" s="2" t="s">
        <v>231</v>
      </c>
      <c r="CE111" s="4">
        <v>40</v>
      </c>
      <c r="CF111" s="4"/>
      <c r="CG111" s="4"/>
      <c r="CH111" s="4"/>
      <c r="CI111" s="4">
        <v>16</v>
      </c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</row>
    <row r="112">
      <c r="A112" s="2" t="s">
        <v>842</v>
      </c>
      <c r="B112" s="2" t="s">
        <v>824</v>
      </c>
      <c r="C112" s="2" t="s">
        <v>825</v>
      </c>
      <c r="D112" s="2" t="s">
        <v>826</v>
      </c>
      <c r="E112" s="2" t="s">
        <v>827</v>
      </c>
      <c r="F112" s="2" t="s">
        <v>828</v>
      </c>
      <c r="G112" s="2" t="s">
        <v>829</v>
      </c>
      <c r="H112" s="2" t="s">
        <v>830</v>
      </c>
      <c r="I112" s="2" t="s">
        <v>831</v>
      </c>
      <c r="J112" s="2" t="s">
        <v>658</v>
      </c>
      <c r="K112" s="2" t="s">
        <v>833</v>
      </c>
      <c r="L112" s="3">
        <v>31.85</v>
      </c>
      <c r="M112" s="3">
        <v>33.44</v>
      </c>
      <c r="N112" s="3">
        <v>64.99</v>
      </c>
      <c r="O112" s="2" t="s">
        <v>243</v>
      </c>
      <c r="P112" s="2" t="s">
        <v>341</v>
      </c>
      <c r="Q112" s="2" t="s">
        <v>237</v>
      </c>
      <c r="R112" s="2" t="s">
        <v>231</v>
      </c>
      <c r="S112" s="2" t="s">
        <v>834</v>
      </c>
      <c r="T112" s="2" t="s">
        <v>472</v>
      </c>
      <c r="U112" s="2" t="s">
        <v>298</v>
      </c>
      <c r="V112" s="2" t="s">
        <v>836</v>
      </c>
      <c r="W112" s="2" t="s">
        <v>691</v>
      </c>
      <c r="X112" s="2" t="s">
        <v>273</v>
      </c>
      <c r="Y112" s="2" t="s">
        <v>837</v>
      </c>
      <c r="Z112" s="4">
        <v>68</v>
      </c>
      <c r="AA112" s="4">
        <f>=ROUNDDOWN(27.2,0)</f>
      </c>
      <c r="AB112" s="5">
        <v>2.5</v>
      </c>
      <c r="AC112" s="2" t="s">
        <v>231</v>
      </c>
      <c r="AD112" s="4"/>
      <c r="AE112" s="4"/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231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231</v>
      </c>
      <c r="AW112" s="8" t="s">
        <v>231</v>
      </c>
      <c r="AX112" s="4" t="s">
        <v>231</v>
      </c>
      <c r="AY112" s="8" t="s">
        <v>231</v>
      </c>
      <c r="AZ112" s="7" t="s">
        <v>231</v>
      </c>
      <c r="BA112" s="7" t="s">
        <v>231</v>
      </c>
      <c r="BB112" s="7"/>
      <c r="BC112" s="4" t="s">
        <v>231</v>
      </c>
      <c r="BD112" s="8" t="s">
        <v>231</v>
      </c>
      <c r="BE112" s="4" t="s">
        <v>231</v>
      </c>
      <c r="BF112" s="8" t="s">
        <v>231</v>
      </c>
      <c r="BG112" s="7" t="s">
        <v>231</v>
      </c>
      <c r="BH112" s="7" t="s">
        <v>231</v>
      </c>
      <c r="BI112" s="7"/>
      <c r="BJ112" s="4">
        <v>12</v>
      </c>
      <c r="BK112" s="8">
        <v>385.78</v>
      </c>
      <c r="BL112" s="2" t="s">
        <v>843</v>
      </c>
      <c r="BM112" s="7"/>
      <c r="BN112" s="7"/>
      <c r="BO112" s="4"/>
      <c r="BP112" s="8"/>
      <c r="BQ112" s="4"/>
      <c r="BR112" s="8"/>
      <c r="BS112" s="7"/>
      <c r="BT112" s="7"/>
      <c r="BU112" s="2" t="s">
        <v>844</v>
      </c>
      <c r="BV112" s="2" t="s">
        <v>231</v>
      </c>
      <c r="BW112" s="2" t="s">
        <v>231</v>
      </c>
      <c r="BX112" s="2" t="s">
        <v>231</v>
      </c>
      <c r="BY112" s="2" t="s">
        <v>277</v>
      </c>
      <c r="BZ112" s="2" t="s">
        <v>243</v>
      </c>
      <c r="CA112" s="2" t="s">
        <v>840</v>
      </c>
      <c r="CB112" s="2" t="s">
        <v>845</v>
      </c>
      <c r="CC112" s="2" t="s">
        <v>244</v>
      </c>
      <c r="CD112" s="2" t="s">
        <v>231</v>
      </c>
      <c r="CE112" s="4">
        <v>59</v>
      </c>
      <c r="CF112" s="4"/>
      <c r="CG112" s="4"/>
      <c r="CH112" s="4"/>
      <c r="CI112" s="4">
        <v>9</v>
      </c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</row>
    <row r="113">
      <c r="A113" s="2" t="s">
        <v>846</v>
      </c>
      <c r="B113" s="2" t="s">
        <v>847</v>
      </c>
      <c r="C113" s="2" t="s">
        <v>288</v>
      </c>
      <c r="D113" s="2" t="s">
        <v>848</v>
      </c>
      <c r="E113" s="2" t="s">
        <v>849</v>
      </c>
      <c r="F113" s="2" t="s">
        <v>850</v>
      </c>
      <c r="G113" s="2" t="s">
        <v>850</v>
      </c>
      <c r="H113" s="2" t="s">
        <v>850</v>
      </c>
      <c r="I113" s="2" t="s">
        <v>851</v>
      </c>
      <c r="J113" s="2" t="s">
        <v>807</v>
      </c>
      <c r="K113" s="2" t="s">
        <v>852</v>
      </c>
      <c r="L113" s="3">
        <v>42.43</v>
      </c>
      <c r="M113" s="3">
        <v>44.55</v>
      </c>
      <c r="N113" s="3">
        <v>89.99</v>
      </c>
      <c r="O113" s="2" t="s">
        <v>243</v>
      </c>
      <c r="P113" s="2" t="s">
        <v>270</v>
      </c>
      <c r="Q113" s="2" t="s">
        <v>237</v>
      </c>
      <c r="R113" s="2" t="s">
        <v>231</v>
      </c>
      <c r="S113" s="2" t="s">
        <v>853</v>
      </c>
      <c r="T113" s="2" t="s">
        <v>231</v>
      </c>
      <c r="U113" s="2" t="s">
        <v>327</v>
      </c>
      <c r="V113" s="2" t="s">
        <v>836</v>
      </c>
      <c r="W113" s="2" t="s">
        <v>691</v>
      </c>
      <c r="X113" s="2" t="s">
        <v>231</v>
      </c>
      <c r="Y113" s="2" t="s">
        <v>854</v>
      </c>
      <c r="Z113" s="4">
        <v>181</v>
      </c>
      <c r="AA113" s="4">
        <f>=ROUNDDOWN(22.625,0)</f>
      </c>
      <c r="AB113" s="5">
        <v>8</v>
      </c>
      <c r="AC113" s="2" t="s">
        <v>231</v>
      </c>
      <c r="AD113" s="4"/>
      <c r="AE113" s="4"/>
      <c r="AF113" s="6">
        <v>63</v>
      </c>
      <c r="AG113" s="6"/>
      <c r="AH113" s="7">
        <v>1</v>
      </c>
      <c r="AI113" s="4"/>
      <c r="AJ113" s="4">
        <f>=ROUNDDOWN({0},0)</f>
      </c>
      <c r="AK113" s="5"/>
      <c r="AL113" s="2" t="s">
        <v>231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>
        <v>29</v>
      </c>
      <c r="BK113" s="8">
        <v>1399.19</v>
      </c>
      <c r="BL113" s="2" t="s">
        <v>855</v>
      </c>
      <c r="BM113" s="7"/>
      <c r="BN113" s="7"/>
      <c r="BO113" s="4"/>
      <c r="BP113" s="8"/>
      <c r="BQ113" s="4"/>
      <c r="BR113" s="8"/>
      <c r="BS113" s="7"/>
      <c r="BT113" s="7"/>
      <c r="BU113" s="2" t="s">
        <v>856</v>
      </c>
      <c r="BV113" s="2" t="s">
        <v>231</v>
      </c>
      <c r="BW113" s="2" t="s">
        <v>231</v>
      </c>
      <c r="BX113" s="2" t="s">
        <v>231</v>
      </c>
      <c r="BY113" s="2" t="s">
        <v>277</v>
      </c>
      <c r="BZ113" s="2" t="s">
        <v>243</v>
      </c>
      <c r="CA113" s="2" t="s">
        <v>857</v>
      </c>
      <c r="CB113" s="2" t="s">
        <v>858</v>
      </c>
      <c r="CC113" s="2" t="s">
        <v>244</v>
      </c>
      <c r="CD113" s="2" t="s">
        <v>231</v>
      </c>
      <c r="CE113" s="4"/>
      <c r="CF113" s="4">
        <v>181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</row>
    <row r="114">
      <c r="A114" s="2" t="s">
        <v>859</v>
      </c>
      <c r="B114" s="2" t="s">
        <v>847</v>
      </c>
      <c r="C114" s="2" t="s">
        <v>288</v>
      </c>
      <c r="D114" s="2" t="s">
        <v>848</v>
      </c>
      <c r="E114" s="2" t="s">
        <v>849</v>
      </c>
      <c r="F114" s="2" t="s">
        <v>860</v>
      </c>
      <c r="G114" s="2" t="s">
        <v>860</v>
      </c>
      <c r="H114" s="2" t="s">
        <v>860</v>
      </c>
      <c r="I114" s="2" t="s">
        <v>861</v>
      </c>
      <c r="J114" s="2" t="s">
        <v>807</v>
      </c>
      <c r="K114" s="2" t="s">
        <v>294</v>
      </c>
      <c r="L114" s="3">
        <v>32.38</v>
      </c>
      <c r="M114" s="3">
        <v>34</v>
      </c>
      <c r="N114" s="3">
        <v>67.99</v>
      </c>
      <c r="O114" s="2" t="s">
        <v>243</v>
      </c>
      <c r="P114" s="2" t="s">
        <v>341</v>
      </c>
      <c r="Q114" s="2" t="s">
        <v>237</v>
      </c>
      <c r="R114" s="2" t="s">
        <v>231</v>
      </c>
      <c r="S114" s="2" t="s">
        <v>231</v>
      </c>
      <c r="T114" s="2" t="s">
        <v>231</v>
      </c>
      <c r="U114" s="2" t="s">
        <v>327</v>
      </c>
      <c r="V114" s="2" t="s">
        <v>836</v>
      </c>
      <c r="W114" s="2" t="s">
        <v>792</v>
      </c>
      <c r="X114" s="2" t="s">
        <v>691</v>
      </c>
      <c r="Y114" s="2" t="s">
        <v>862</v>
      </c>
      <c r="Z114" s="4">
        <v>59</v>
      </c>
      <c r="AA114" s="4">
        <f>=ROUNDDOWN(196.666666666667,0)</f>
      </c>
      <c r="AB114" s="5">
        <v>0.3</v>
      </c>
      <c r="AC114" s="2" t="s">
        <v>231</v>
      </c>
      <c r="AD114" s="4"/>
      <c r="AE114" s="4"/>
      <c r="AF114" s="6">
        <v>63</v>
      </c>
      <c r="AG114" s="6"/>
      <c r="AH114" s="7">
        <v>1</v>
      </c>
      <c r="AI114" s="4"/>
      <c r="AJ114" s="4">
        <f>=ROUNDDOWN({0},0)</f>
      </c>
      <c r="AK114" s="5"/>
      <c r="AL114" s="2" t="s">
        <v>231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>
        <v>4</v>
      </c>
      <c r="BK114" s="8">
        <v>156.39</v>
      </c>
      <c r="BL114" s="2" t="s">
        <v>863</v>
      </c>
      <c r="BM114" s="7"/>
      <c r="BN114" s="7"/>
      <c r="BO114" s="4"/>
      <c r="BP114" s="8"/>
      <c r="BQ114" s="4"/>
      <c r="BR114" s="8"/>
      <c r="BS114" s="7"/>
      <c r="BT114" s="7"/>
      <c r="BU114" s="2" t="s">
        <v>864</v>
      </c>
      <c r="BV114" s="2" t="s">
        <v>231</v>
      </c>
      <c r="BW114" s="2" t="s">
        <v>231</v>
      </c>
      <c r="BX114" s="2" t="s">
        <v>231</v>
      </c>
      <c r="BY114" s="2" t="s">
        <v>277</v>
      </c>
      <c r="BZ114" s="2" t="s">
        <v>243</v>
      </c>
      <c r="CA114" s="2" t="s">
        <v>865</v>
      </c>
      <c r="CB114" s="2" t="s">
        <v>231</v>
      </c>
      <c r="CC114" s="2" t="s">
        <v>244</v>
      </c>
      <c r="CD114" s="2" t="s">
        <v>231</v>
      </c>
      <c r="CE114" s="4"/>
      <c r="CF114" s="4">
        <v>59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</row>
    <row r="115">
      <c r="A115" s="2" t="s">
        <v>866</v>
      </c>
      <c r="B115" s="2" t="s">
        <v>847</v>
      </c>
      <c r="C115" s="2" t="s">
        <v>867</v>
      </c>
      <c r="D115" s="2" t="s">
        <v>848</v>
      </c>
      <c r="E115" s="2" t="s">
        <v>849</v>
      </c>
      <c r="F115" s="2" t="s">
        <v>868</v>
      </c>
      <c r="G115" s="2" t="s">
        <v>868</v>
      </c>
      <c r="H115" s="2" t="s">
        <v>868</v>
      </c>
      <c r="I115" s="2" t="s">
        <v>869</v>
      </c>
      <c r="J115" s="2" t="s">
        <v>807</v>
      </c>
      <c r="K115" s="2" t="s">
        <v>870</v>
      </c>
      <c r="L115" s="3">
        <v>15.17</v>
      </c>
      <c r="M115" s="3">
        <v>15.93</v>
      </c>
      <c r="N115" s="3">
        <v>38.24</v>
      </c>
      <c r="O115" s="2" t="s">
        <v>243</v>
      </c>
      <c r="P115" s="2" t="s">
        <v>871</v>
      </c>
      <c r="Q115" s="2" t="s">
        <v>237</v>
      </c>
      <c r="R115" s="2" t="s">
        <v>231</v>
      </c>
      <c r="S115" s="2" t="s">
        <v>872</v>
      </c>
      <c r="T115" s="2" t="s">
        <v>231</v>
      </c>
      <c r="U115" s="2" t="s">
        <v>327</v>
      </c>
      <c r="V115" s="2" t="s">
        <v>873</v>
      </c>
      <c r="W115" s="2" t="s">
        <v>676</v>
      </c>
      <c r="X115" s="2" t="s">
        <v>874</v>
      </c>
      <c r="Y115" s="2" t="s">
        <v>875</v>
      </c>
      <c r="Z115" s="4">
        <v>56</v>
      </c>
      <c r="AA115" s="4">
        <f>=ROUNDDOWN(3.5,0)</f>
      </c>
      <c r="AB115" s="5">
        <v>16</v>
      </c>
      <c r="AC115" s="2" t="s">
        <v>876</v>
      </c>
      <c r="AD115" s="4">
        <v>400</v>
      </c>
      <c r="AE115" s="4">
        <v>400</v>
      </c>
      <c r="AF115" s="6">
        <v>63</v>
      </c>
      <c r="AG115" s="6"/>
      <c r="AH115" s="7">
        <v>0.9355</v>
      </c>
      <c r="AI115" s="4"/>
      <c r="AJ115" s="4">
        <f>=ROUNDDOWN({0},0)</f>
      </c>
      <c r="AK115" s="5"/>
      <c r="AL115" s="2" t="s">
        <v>231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>
        <v>57</v>
      </c>
      <c r="BK115" s="8">
        <v>1076.7</v>
      </c>
      <c r="BL115" s="2" t="s">
        <v>877</v>
      </c>
      <c r="BM115" s="7"/>
      <c r="BN115" s="7"/>
      <c r="BO115" s="4"/>
      <c r="BP115" s="8"/>
      <c r="BQ115" s="4"/>
      <c r="BR115" s="8"/>
      <c r="BS115" s="7"/>
      <c r="BT115" s="7"/>
      <c r="BU115" s="2" t="s">
        <v>878</v>
      </c>
      <c r="BV115" s="2" t="s">
        <v>231</v>
      </c>
      <c r="BW115" s="2" t="s">
        <v>231</v>
      </c>
      <c r="BX115" s="2" t="s">
        <v>231</v>
      </c>
      <c r="BY115" s="2" t="s">
        <v>277</v>
      </c>
      <c r="BZ115" s="2" t="s">
        <v>243</v>
      </c>
      <c r="CA115" s="2" t="s">
        <v>879</v>
      </c>
      <c r="CB115" s="2" t="s">
        <v>880</v>
      </c>
      <c r="CC115" s="2" t="s">
        <v>244</v>
      </c>
      <c r="CD115" s="2" t="s">
        <v>231</v>
      </c>
      <c r="CE115" s="4"/>
      <c r="CF115" s="4">
        <v>56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>
        <v>400</v>
      </c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</row>
    <row r="116">
      <c r="A116" s="2" t="s">
        <v>881</v>
      </c>
      <c r="B116" s="2" t="s">
        <v>847</v>
      </c>
      <c r="C116" s="2" t="s">
        <v>867</v>
      </c>
      <c r="D116" s="2" t="s">
        <v>882</v>
      </c>
      <c r="E116" s="2" t="s">
        <v>849</v>
      </c>
      <c r="F116" s="2" t="s">
        <v>883</v>
      </c>
      <c r="G116" s="2" t="s">
        <v>883</v>
      </c>
      <c r="H116" s="2" t="s">
        <v>883</v>
      </c>
      <c r="I116" s="2" t="s">
        <v>884</v>
      </c>
      <c r="J116" s="2" t="s">
        <v>807</v>
      </c>
      <c r="K116" s="2" t="s">
        <v>870</v>
      </c>
      <c r="L116" s="3">
        <v>15.92</v>
      </c>
      <c r="M116" s="3">
        <v>16.72</v>
      </c>
      <c r="N116" s="3">
        <v>38.24</v>
      </c>
      <c r="O116" s="2" t="s">
        <v>243</v>
      </c>
      <c r="P116" s="2" t="s">
        <v>341</v>
      </c>
      <c r="Q116" s="2" t="s">
        <v>237</v>
      </c>
      <c r="R116" s="2" t="s">
        <v>231</v>
      </c>
      <c r="S116" s="2" t="s">
        <v>885</v>
      </c>
      <c r="T116" s="2" t="s">
        <v>231</v>
      </c>
      <c r="U116" s="2" t="s">
        <v>327</v>
      </c>
      <c r="V116" s="2" t="s">
        <v>873</v>
      </c>
      <c r="W116" s="2" t="s">
        <v>676</v>
      </c>
      <c r="X116" s="2" t="s">
        <v>874</v>
      </c>
      <c r="Y116" s="2" t="s">
        <v>875</v>
      </c>
      <c r="Z116" s="4">
        <v>66</v>
      </c>
      <c r="AA116" s="4">
        <f>=ROUNDDOWN(12,0)</f>
      </c>
      <c r="AB116" s="5">
        <v>5.5</v>
      </c>
      <c r="AC116" s="2" t="s">
        <v>231</v>
      </c>
      <c r="AD116" s="4"/>
      <c r="AE116" s="4"/>
      <c r="AF116" s="6">
        <v>63</v>
      </c>
      <c r="AG116" s="6"/>
      <c r="AH116" s="7">
        <v>1</v>
      </c>
      <c r="AI116" s="4"/>
      <c r="AJ116" s="4">
        <f>=ROUNDDOWN({0},0)</f>
      </c>
      <c r="AK116" s="5"/>
      <c r="AL116" s="2" t="s">
        <v>231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>
        <v>21</v>
      </c>
      <c r="BK116" s="8">
        <v>495.31</v>
      </c>
      <c r="BL116" s="2" t="s">
        <v>886</v>
      </c>
      <c r="BM116" s="7"/>
      <c r="BN116" s="7"/>
      <c r="BO116" s="4"/>
      <c r="BP116" s="8"/>
      <c r="BQ116" s="4"/>
      <c r="BR116" s="8"/>
      <c r="BS116" s="7"/>
      <c r="BT116" s="7"/>
      <c r="BU116" s="2" t="s">
        <v>887</v>
      </c>
      <c r="BV116" s="2" t="s">
        <v>231</v>
      </c>
      <c r="BW116" s="2" t="s">
        <v>231</v>
      </c>
      <c r="BX116" s="2" t="s">
        <v>231</v>
      </c>
      <c r="BY116" s="2" t="s">
        <v>277</v>
      </c>
      <c r="BZ116" s="2" t="s">
        <v>243</v>
      </c>
      <c r="CA116" s="2" t="s">
        <v>879</v>
      </c>
      <c r="CB116" s="2" t="s">
        <v>888</v>
      </c>
      <c r="CC116" s="2" t="s">
        <v>244</v>
      </c>
      <c r="CD116" s="2" t="s">
        <v>231</v>
      </c>
      <c r="CE116" s="4"/>
      <c r="CF116" s="4">
        <v>66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</row>
    <row r="117">
      <c r="A117" s="2" t="s">
        <v>889</v>
      </c>
      <c r="B117" s="2" t="s">
        <v>226</v>
      </c>
      <c r="C117" s="2" t="s">
        <v>288</v>
      </c>
      <c r="D117" s="2" t="s">
        <v>654</v>
      </c>
      <c r="E117" s="2" t="s">
        <v>890</v>
      </c>
      <c r="F117" s="2" t="s">
        <v>891</v>
      </c>
      <c r="G117" s="2" t="s">
        <v>892</v>
      </c>
      <c r="H117" s="2" t="s">
        <v>892</v>
      </c>
      <c r="I117" s="2" t="s">
        <v>893</v>
      </c>
      <c r="J117" s="2" t="s">
        <v>318</v>
      </c>
      <c r="K117" s="2" t="s">
        <v>269</v>
      </c>
      <c r="L117" s="3">
        <v>33.33</v>
      </c>
      <c r="M117" s="3">
        <v>35</v>
      </c>
      <c r="N117" s="3">
        <v>69.99</v>
      </c>
      <c r="O117" s="2" t="s">
        <v>243</v>
      </c>
      <c r="P117" s="2" t="s">
        <v>236</v>
      </c>
      <c r="Q117" s="2" t="s">
        <v>237</v>
      </c>
      <c r="R117" s="2" t="s">
        <v>231</v>
      </c>
      <c r="S117" s="2" t="s">
        <v>894</v>
      </c>
      <c r="T117" s="2" t="s">
        <v>895</v>
      </c>
      <c r="U117" s="2" t="s">
        <v>791</v>
      </c>
      <c r="V117" s="2" t="s">
        <v>391</v>
      </c>
      <c r="W117" s="2" t="s">
        <v>896</v>
      </c>
      <c r="X117" s="2" t="s">
        <v>897</v>
      </c>
      <c r="Y117" s="2" t="s">
        <v>231</v>
      </c>
      <c r="Z117" s="4"/>
      <c r="AA117" s="4">
        <f>=ROUNDDOWN({0},0)</f>
      </c>
      <c r="AB117" s="5"/>
      <c r="AC117" s="2" t="s">
        <v>231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231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231</v>
      </c>
      <c r="AW117" s="8" t="s">
        <v>231</v>
      </c>
      <c r="AX117" s="4" t="s">
        <v>231</v>
      </c>
      <c r="AY117" s="8" t="s">
        <v>231</v>
      </c>
      <c r="AZ117" s="7" t="s">
        <v>231</v>
      </c>
      <c r="BA117" s="7" t="s">
        <v>231</v>
      </c>
      <c r="BB117" s="7"/>
      <c r="BC117" s="4" t="s">
        <v>231</v>
      </c>
      <c r="BD117" s="8" t="s">
        <v>231</v>
      </c>
      <c r="BE117" s="4" t="s">
        <v>231</v>
      </c>
      <c r="BF117" s="8" t="s">
        <v>231</v>
      </c>
      <c r="BG117" s="7" t="s">
        <v>231</v>
      </c>
      <c r="BH117" s="7" t="s">
        <v>231</v>
      </c>
      <c r="BI117" s="7"/>
      <c r="BJ117" s="4"/>
      <c r="BK117" s="8"/>
      <c r="BL117" s="2" t="s">
        <v>231</v>
      </c>
      <c r="BM117" s="7"/>
      <c r="BN117" s="7"/>
      <c r="BO117" s="4"/>
      <c r="BP117" s="8"/>
      <c r="BQ117" s="4"/>
      <c r="BR117" s="8"/>
      <c r="BS117" s="7"/>
      <c r="BT117" s="7"/>
      <c r="BU117" s="2" t="s">
        <v>241</v>
      </c>
      <c r="BV117" s="2" t="s">
        <v>231</v>
      </c>
      <c r="BW117" s="2" t="s">
        <v>231</v>
      </c>
      <c r="BX117" s="2" t="s">
        <v>241</v>
      </c>
      <c r="BY117" s="2" t="s">
        <v>242</v>
      </c>
      <c r="BZ117" s="2" t="s">
        <v>243</v>
      </c>
      <c r="CA117" s="2" t="s">
        <v>231</v>
      </c>
      <c r="CB117" s="2" t="s">
        <v>231</v>
      </c>
      <c r="CC117" s="2" t="s">
        <v>244</v>
      </c>
      <c r="CD117" s="2" t="s">
        <v>231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</row>
    <row r="118">
      <c r="A118" s="2" t="s">
        <v>898</v>
      </c>
      <c r="B118" s="2" t="s">
        <v>226</v>
      </c>
      <c r="C118" s="2" t="s">
        <v>288</v>
      </c>
      <c r="D118" s="2" t="s">
        <v>654</v>
      </c>
      <c r="E118" s="2" t="s">
        <v>890</v>
      </c>
      <c r="F118" s="2" t="s">
        <v>891</v>
      </c>
      <c r="G118" s="2" t="s">
        <v>892</v>
      </c>
      <c r="H118" s="2" t="s">
        <v>892</v>
      </c>
      <c r="I118" s="2" t="s">
        <v>893</v>
      </c>
      <c r="J118" s="2" t="s">
        <v>658</v>
      </c>
      <c r="K118" s="2" t="s">
        <v>269</v>
      </c>
      <c r="L118" s="3">
        <v>40.47</v>
      </c>
      <c r="M118" s="3">
        <v>42.49</v>
      </c>
      <c r="N118" s="3">
        <v>84.99</v>
      </c>
      <c r="O118" s="2" t="s">
        <v>243</v>
      </c>
      <c r="P118" s="2" t="s">
        <v>236</v>
      </c>
      <c r="Q118" s="2" t="s">
        <v>237</v>
      </c>
      <c r="R118" s="2" t="s">
        <v>231</v>
      </c>
      <c r="S118" s="2" t="s">
        <v>894</v>
      </c>
      <c r="T118" s="2" t="s">
        <v>895</v>
      </c>
      <c r="U118" s="2" t="s">
        <v>835</v>
      </c>
      <c r="V118" s="2" t="s">
        <v>391</v>
      </c>
      <c r="W118" s="2" t="s">
        <v>896</v>
      </c>
      <c r="X118" s="2" t="s">
        <v>897</v>
      </c>
      <c r="Y118" s="2" t="s">
        <v>231</v>
      </c>
      <c r="Z118" s="4"/>
      <c r="AA118" s="4">
        <f>=ROUNDDOWN({0},0)</f>
      </c>
      <c r="AB118" s="5"/>
      <c r="AC118" s="2" t="s">
        <v>231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231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231</v>
      </c>
      <c r="AW118" s="8" t="s">
        <v>231</v>
      </c>
      <c r="AX118" s="4" t="s">
        <v>231</v>
      </c>
      <c r="AY118" s="8" t="s">
        <v>231</v>
      </c>
      <c r="AZ118" s="7" t="s">
        <v>231</v>
      </c>
      <c r="BA118" s="7" t="s">
        <v>231</v>
      </c>
      <c r="BB118" s="7"/>
      <c r="BC118" s="4" t="s">
        <v>231</v>
      </c>
      <c r="BD118" s="8" t="s">
        <v>231</v>
      </c>
      <c r="BE118" s="4" t="s">
        <v>231</v>
      </c>
      <c r="BF118" s="8" t="s">
        <v>231</v>
      </c>
      <c r="BG118" s="7" t="s">
        <v>231</v>
      </c>
      <c r="BH118" s="7" t="s">
        <v>231</v>
      </c>
      <c r="BI118" s="7"/>
      <c r="BJ118" s="4"/>
      <c r="BK118" s="8"/>
      <c r="BL118" s="2" t="s">
        <v>231</v>
      </c>
      <c r="BM118" s="7"/>
      <c r="BN118" s="7"/>
      <c r="BO118" s="4"/>
      <c r="BP118" s="8"/>
      <c r="BQ118" s="4"/>
      <c r="BR118" s="8"/>
      <c r="BS118" s="7"/>
      <c r="BT118" s="7"/>
      <c r="BU118" s="2" t="s">
        <v>241</v>
      </c>
      <c r="BV118" s="2" t="s">
        <v>231</v>
      </c>
      <c r="BW118" s="2" t="s">
        <v>231</v>
      </c>
      <c r="BX118" s="2" t="s">
        <v>241</v>
      </c>
      <c r="BY118" s="2" t="s">
        <v>242</v>
      </c>
      <c r="BZ118" s="2" t="s">
        <v>243</v>
      </c>
      <c r="CA118" s="2" t="s">
        <v>231</v>
      </c>
      <c r="CB118" s="2" t="s">
        <v>231</v>
      </c>
      <c r="CC118" s="2" t="s">
        <v>244</v>
      </c>
      <c r="CD118" s="2" t="s">
        <v>231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</row>
    <row r="119">
      <c r="A119" s="2" t="s">
        <v>899</v>
      </c>
      <c r="B119" s="2" t="s">
        <v>226</v>
      </c>
      <c r="C119" s="2" t="s">
        <v>288</v>
      </c>
      <c r="D119" s="2" t="s">
        <v>654</v>
      </c>
      <c r="E119" s="2" t="s">
        <v>890</v>
      </c>
      <c r="F119" s="2" t="s">
        <v>891</v>
      </c>
      <c r="G119" s="2" t="s">
        <v>892</v>
      </c>
      <c r="H119" s="2" t="s">
        <v>892</v>
      </c>
      <c r="I119" s="2" t="s">
        <v>893</v>
      </c>
      <c r="J119" s="2" t="s">
        <v>302</v>
      </c>
      <c r="K119" s="2" t="s">
        <v>269</v>
      </c>
      <c r="L119" s="3">
        <v>45.23</v>
      </c>
      <c r="M119" s="3">
        <v>47.49</v>
      </c>
      <c r="N119" s="3">
        <v>94.99</v>
      </c>
      <c r="O119" s="2" t="s">
        <v>243</v>
      </c>
      <c r="P119" s="2" t="s">
        <v>236</v>
      </c>
      <c r="Q119" s="2" t="s">
        <v>237</v>
      </c>
      <c r="R119" s="2" t="s">
        <v>231</v>
      </c>
      <c r="S119" s="2" t="s">
        <v>894</v>
      </c>
      <c r="T119" s="2" t="s">
        <v>895</v>
      </c>
      <c r="U119" s="2" t="s">
        <v>835</v>
      </c>
      <c r="V119" s="2" t="s">
        <v>391</v>
      </c>
      <c r="W119" s="2" t="s">
        <v>896</v>
      </c>
      <c r="X119" s="2" t="s">
        <v>897</v>
      </c>
      <c r="Y119" s="2" t="s">
        <v>231</v>
      </c>
      <c r="Z119" s="4"/>
      <c r="AA119" s="4">
        <f>=ROUNDDOWN({0},0)</f>
      </c>
      <c r="AB119" s="5"/>
      <c r="AC119" s="2" t="s">
        <v>231</v>
      </c>
      <c r="AD119" s="4"/>
      <c r="AE119" s="4"/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231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231</v>
      </c>
      <c r="AW119" s="8" t="s">
        <v>231</v>
      </c>
      <c r="AX119" s="4" t="s">
        <v>231</v>
      </c>
      <c r="AY119" s="8" t="s">
        <v>231</v>
      </c>
      <c r="AZ119" s="7" t="s">
        <v>231</v>
      </c>
      <c r="BA119" s="7" t="s">
        <v>231</v>
      </c>
      <c r="BB119" s="7"/>
      <c r="BC119" s="4" t="s">
        <v>231</v>
      </c>
      <c r="BD119" s="8" t="s">
        <v>231</v>
      </c>
      <c r="BE119" s="4" t="s">
        <v>231</v>
      </c>
      <c r="BF119" s="8" t="s">
        <v>231</v>
      </c>
      <c r="BG119" s="7" t="s">
        <v>231</v>
      </c>
      <c r="BH119" s="7" t="s">
        <v>231</v>
      </c>
      <c r="BI119" s="7"/>
      <c r="BJ119" s="4"/>
      <c r="BK119" s="8"/>
      <c r="BL119" s="2" t="s">
        <v>231</v>
      </c>
      <c r="BM119" s="7"/>
      <c r="BN119" s="7"/>
      <c r="BO119" s="4"/>
      <c r="BP119" s="8"/>
      <c r="BQ119" s="4"/>
      <c r="BR119" s="8"/>
      <c r="BS119" s="7"/>
      <c r="BT119" s="7"/>
      <c r="BU119" s="2" t="s">
        <v>241</v>
      </c>
      <c r="BV119" s="2" t="s">
        <v>231</v>
      </c>
      <c r="BW119" s="2" t="s">
        <v>231</v>
      </c>
      <c r="BX119" s="2" t="s">
        <v>241</v>
      </c>
      <c r="BY119" s="2" t="s">
        <v>242</v>
      </c>
      <c r="BZ119" s="2" t="s">
        <v>243</v>
      </c>
      <c r="CA119" s="2" t="s">
        <v>231</v>
      </c>
      <c r="CB119" s="2" t="s">
        <v>231</v>
      </c>
      <c r="CC119" s="2" t="s">
        <v>244</v>
      </c>
      <c r="CD119" s="2" t="s">
        <v>231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</row>
    <row r="120">
      <c r="A120" s="2" t="s">
        <v>900</v>
      </c>
      <c r="B120" s="2" t="s">
        <v>226</v>
      </c>
      <c r="C120" s="2" t="s">
        <v>288</v>
      </c>
      <c r="D120" s="2" t="s">
        <v>654</v>
      </c>
      <c r="E120" s="2" t="s">
        <v>890</v>
      </c>
      <c r="F120" s="2" t="s">
        <v>891</v>
      </c>
      <c r="G120" s="2" t="s">
        <v>892</v>
      </c>
      <c r="H120" s="2" t="s">
        <v>892</v>
      </c>
      <c r="I120" s="2" t="s">
        <v>893</v>
      </c>
      <c r="J120" s="2" t="s">
        <v>318</v>
      </c>
      <c r="K120" s="2" t="s">
        <v>901</v>
      </c>
      <c r="L120" s="3">
        <v>33.33</v>
      </c>
      <c r="M120" s="3">
        <v>35</v>
      </c>
      <c r="N120" s="3">
        <v>69.99</v>
      </c>
      <c r="O120" s="2" t="s">
        <v>243</v>
      </c>
      <c r="P120" s="2" t="s">
        <v>236</v>
      </c>
      <c r="Q120" s="2" t="s">
        <v>237</v>
      </c>
      <c r="R120" s="2" t="s">
        <v>231</v>
      </c>
      <c r="S120" s="2" t="s">
        <v>902</v>
      </c>
      <c r="T120" s="2" t="s">
        <v>895</v>
      </c>
      <c r="U120" s="2" t="s">
        <v>791</v>
      </c>
      <c r="V120" s="2" t="s">
        <v>391</v>
      </c>
      <c r="W120" s="2" t="s">
        <v>896</v>
      </c>
      <c r="X120" s="2" t="s">
        <v>897</v>
      </c>
      <c r="Y120" s="2" t="s">
        <v>231</v>
      </c>
      <c r="Z120" s="4"/>
      <c r="AA120" s="4">
        <f>=ROUNDDOWN({0},0)</f>
      </c>
      <c r="AB120" s="5"/>
      <c r="AC120" s="2" t="s">
        <v>231</v>
      </c>
      <c r="AD120" s="4"/>
      <c r="AE120" s="4"/>
      <c r="AF120" s="6">
        <v>65</v>
      </c>
      <c r="AG120" s="6"/>
      <c r="AH120" s="7">
        <v>0</v>
      </c>
      <c r="AI120" s="4"/>
      <c r="AJ120" s="4">
        <f>=ROUNDDOWN({0},0)</f>
      </c>
      <c r="AK120" s="5"/>
      <c r="AL120" s="2" t="s">
        <v>231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231</v>
      </c>
      <c r="AW120" s="8" t="s">
        <v>231</v>
      </c>
      <c r="AX120" s="4" t="s">
        <v>231</v>
      </c>
      <c r="AY120" s="8" t="s">
        <v>231</v>
      </c>
      <c r="AZ120" s="7" t="s">
        <v>231</v>
      </c>
      <c r="BA120" s="7" t="s">
        <v>231</v>
      </c>
      <c r="BB120" s="7"/>
      <c r="BC120" s="4" t="s">
        <v>231</v>
      </c>
      <c r="BD120" s="8" t="s">
        <v>231</v>
      </c>
      <c r="BE120" s="4" t="s">
        <v>231</v>
      </c>
      <c r="BF120" s="8" t="s">
        <v>231</v>
      </c>
      <c r="BG120" s="7" t="s">
        <v>231</v>
      </c>
      <c r="BH120" s="7" t="s">
        <v>231</v>
      </c>
      <c r="BI120" s="7"/>
      <c r="BJ120" s="4"/>
      <c r="BK120" s="8"/>
      <c r="BL120" s="2" t="s">
        <v>231</v>
      </c>
      <c r="BM120" s="7"/>
      <c r="BN120" s="7"/>
      <c r="BO120" s="4"/>
      <c r="BP120" s="8"/>
      <c r="BQ120" s="4"/>
      <c r="BR120" s="8"/>
      <c r="BS120" s="7"/>
      <c r="BT120" s="7"/>
      <c r="BU120" s="2" t="s">
        <v>241</v>
      </c>
      <c r="BV120" s="2" t="s">
        <v>231</v>
      </c>
      <c r="BW120" s="2" t="s">
        <v>231</v>
      </c>
      <c r="BX120" s="2" t="s">
        <v>241</v>
      </c>
      <c r="BY120" s="2" t="s">
        <v>242</v>
      </c>
      <c r="BZ120" s="2" t="s">
        <v>243</v>
      </c>
      <c r="CA120" s="2" t="s">
        <v>231</v>
      </c>
      <c r="CB120" s="2" t="s">
        <v>231</v>
      </c>
      <c r="CC120" s="2" t="s">
        <v>244</v>
      </c>
      <c r="CD120" s="2" t="s">
        <v>231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</row>
    <row r="121">
      <c r="A121" s="2" t="s">
        <v>903</v>
      </c>
      <c r="B121" s="2" t="s">
        <v>226</v>
      </c>
      <c r="C121" s="2" t="s">
        <v>288</v>
      </c>
      <c r="D121" s="2" t="s">
        <v>654</v>
      </c>
      <c r="E121" s="2" t="s">
        <v>890</v>
      </c>
      <c r="F121" s="2" t="s">
        <v>891</v>
      </c>
      <c r="G121" s="2" t="s">
        <v>892</v>
      </c>
      <c r="H121" s="2" t="s">
        <v>892</v>
      </c>
      <c r="I121" s="2" t="s">
        <v>893</v>
      </c>
      <c r="J121" s="2" t="s">
        <v>658</v>
      </c>
      <c r="K121" s="2" t="s">
        <v>901</v>
      </c>
      <c r="L121" s="3">
        <v>40.47</v>
      </c>
      <c r="M121" s="3">
        <v>42.49</v>
      </c>
      <c r="N121" s="3">
        <v>84.99</v>
      </c>
      <c r="O121" s="2" t="s">
        <v>243</v>
      </c>
      <c r="P121" s="2" t="s">
        <v>236</v>
      </c>
      <c r="Q121" s="2" t="s">
        <v>237</v>
      </c>
      <c r="R121" s="2" t="s">
        <v>231</v>
      </c>
      <c r="S121" s="2" t="s">
        <v>902</v>
      </c>
      <c r="T121" s="2" t="s">
        <v>895</v>
      </c>
      <c r="U121" s="2" t="s">
        <v>835</v>
      </c>
      <c r="V121" s="2" t="s">
        <v>391</v>
      </c>
      <c r="W121" s="2" t="s">
        <v>896</v>
      </c>
      <c r="X121" s="2" t="s">
        <v>897</v>
      </c>
      <c r="Y121" s="2" t="s">
        <v>231</v>
      </c>
      <c r="Z121" s="4"/>
      <c r="AA121" s="4">
        <f>=ROUNDDOWN({0},0)</f>
      </c>
      <c r="AB121" s="5"/>
      <c r="AC121" s="2" t="s">
        <v>231</v>
      </c>
      <c r="AD121" s="4"/>
      <c r="AE121" s="4"/>
      <c r="AF121" s="6">
        <v>65</v>
      </c>
      <c r="AG121" s="6"/>
      <c r="AH121" s="7">
        <v>0</v>
      </c>
      <c r="AI121" s="4"/>
      <c r="AJ121" s="4">
        <f>=ROUNDDOWN({0},0)</f>
      </c>
      <c r="AK121" s="5"/>
      <c r="AL121" s="2" t="s">
        <v>231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231</v>
      </c>
      <c r="AW121" s="8" t="s">
        <v>231</v>
      </c>
      <c r="AX121" s="4" t="s">
        <v>231</v>
      </c>
      <c r="AY121" s="8" t="s">
        <v>231</v>
      </c>
      <c r="AZ121" s="7" t="s">
        <v>231</v>
      </c>
      <c r="BA121" s="7" t="s">
        <v>231</v>
      </c>
      <c r="BB121" s="7"/>
      <c r="BC121" s="4" t="s">
        <v>231</v>
      </c>
      <c r="BD121" s="8" t="s">
        <v>231</v>
      </c>
      <c r="BE121" s="4" t="s">
        <v>231</v>
      </c>
      <c r="BF121" s="8" t="s">
        <v>231</v>
      </c>
      <c r="BG121" s="7" t="s">
        <v>231</v>
      </c>
      <c r="BH121" s="7" t="s">
        <v>231</v>
      </c>
      <c r="BI121" s="7"/>
      <c r="BJ121" s="4"/>
      <c r="BK121" s="8"/>
      <c r="BL121" s="2" t="s">
        <v>231</v>
      </c>
      <c r="BM121" s="7"/>
      <c r="BN121" s="7"/>
      <c r="BO121" s="4"/>
      <c r="BP121" s="8"/>
      <c r="BQ121" s="4"/>
      <c r="BR121" s="8"/>
      <c r="BS121" s="7"/>
      <c r="BT121" s="7"/>
      <c r="BU121" s="2" t="s">
        <v>241</v>
      </c>
      <c r="BV121" s="2" t="s">
        <v>231</v>
      </c>
      <c r="BW121" s="2" t="s">
        <v>231</v>
      </c>
      <c r="BX121" s="2" t="s">
        <v>241</v>
      </c>
      <c r="BY121" s="2" t="s">
        <v>242</v>
      </c>
      <c r="BZ121" s="2" t="s">
        <v>243</v>
      </c>
      <c r="CA121" s="2" t="s">
        <v>231</v>
      </c>
      <c r="CB121" s="2" t="s">
        <v>231</v>
      </c>
      <c r="CC121" s="2" t="s">
        <v>244</v>
      </c>
      <c r="CD121" s="2" t="s">
        <v>231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</row>
    <row r="122">
      <c r="A122" s="2" t="s">
        <v>904</v>
      </c>
      <c r="B122" s="2" t="s">
        <v>226</v>
      </c>
      <c r="C122" s="2" t="s">
        <v>288</v>
      </c>
      <c r="D122" s="2" t="s">
        <v>654</v>
      </c>
      <c r="E122" s="2" t="s">
        <v>890</v>
      </c>
      <c r="F122" s="2" t="s">
        <v>891</v>
      </c>
      <c r="G122" s="2" t="s">
        <v>892</v>
      </c>
      <c r="H122" s="2" t="s">
        <v>892</v>
      </c>
      <c r="I122" s="2" t="s">
        <v>893</v>
      </c>
      <c r="J122" s="2" t="s">
        <v>302</v>
      </c>
      <c r="K122" s="2" t="s">
        <v>901</v>
      </c>
      <c r="L122" s="3">
        <v>45.23</v>
      </c>
      <c r="M122" s="3">
        <v>47.49</v>
      </c>
      <c r="N122" s="3">
        <v>94.99</v>
      </c>
      <c r="O122" s="2" t="s">
        <v>243</v>
      </c>
      <c r="P122" s="2" t="s">
        <v>236</v>
      </c>
      <c r="Q122" s="2" t="s">
        <v>237</v>
      </c>
      <c r="R122" s="2" t="s">
        <v>231</v>
      </c>
      <c r="S122" s="2" t="s">
        <v>902</v>
      </c>
      <c r="T122" s="2" t="s">
        <v>895</v>
      </c>
      <c r="U122" s="2" t="s">
        <v>835</v>
      </c>
      <c r="V122" s="2" t="s">
        <v>391</v>
      </c>
      <c r="W122" s="2" t="s">
        <v>896</v>
      </c>
      <c r="X122" s="2" t="s">
        <v>897</v>
      </c>
      <c r="Y122" s="2" t="s">
        <v>231</v>
      </c>
      <c r="Z122" s="4"/>
      <c r="AA122" s="4">
        <f>=ROUNDDOWN({0},0)</f>
      </c>
      <c r="AB122" s="5"/>
      <c r="AC122" s="2" t="s">
        <v>231</v>
      </c>
      <c r="AD122" s="4"/>
      <c r="AE122" s="4"/>
      <c r="AF122" s="6">
        <v>65</v>
      </c>
      <c r="AG122" s="6"/>
      <c r="AH122" s="7">
        <v>0</v>
      </c>
      <c r="AI122" s="4"/>
      <c r="AJ122" s="4">
        <f>=ROUNDDOWN({0},0)</f>
      </c>
      <c r="AK122" s="5"/>
      <c r="AL122" s="2" t="s">
        <v>231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231</v>
      </c>
      <c r="AW122" s="8" t="s">
        <v>231</v>
      </c>
      <c r="AX122" s="4" t="s">
        <v>231</v>
      </c>
      <c r="AY122" s="8" t="s">
        <v>231</v>
      </c>
      <c r="AZ122" s="7" t="s">
        <v>231</v>
      </c>
      <c r="BA122" s="7" t="s">
        <v>231</v>
      </c>
      <c r="BB122" s="7"/>
      <c r="BC122" s="4" t="s">
        <v>231</v>
      </c>
      <c r="BD122" s="8" t="s">
        <v>231</v>
      </c>
      <c r="BE122" s="4" t="s">
        <v>231</v>
      </c>
      <c r="BF122" s="8" t="s">
        <v>231</v>
      </c>
      <c r="BG122" s="7" t="s">
        <v>231</v>
      </c>
      <c r="BH122" s="7" t="s">
        <v>231</v>
      </c>
      <c r="BI122" s="7"/>
      <c r="BJ122" s="4"/>
      <c r="BK122" s="8"/>
      <c r="BL122" s="2" t="s">
        <v>231</v>
      </c>
      <c r="BM122" s="7"/>
      <c r="BN122" s="7"/>
      <c r="BO122" s="4"/>
      <c r="BP122" s="8"/>
      <c r="BQ122" s="4"/>
      <c r="BR122" s="8"/>
      <c r="BS122" s="7"/>
      <c r="BT122" s="7"/>
      <c r="BU122" s="2" t="s">
        <v>241</v>
      </c>
      <c r="BV122" s="2" t="s">
        <v>231</v>
      </c>
      <c r="BW122" s="2" t="s">
        <v>231</v>
      </c>
      <c r="BX122" s="2" t="s">
        <v>241</v>
      </c>
      <c r="BY122" s="2" t="s">
        <v>242</v>
      </c>
      <c r="BZ122" s="2" t="s">
        <v>243</v>
      </c>
      <c r="CA122" s="2" t="s">
        <v>231</v>
      </c>
      <c r="CB122" s="2" t="s">
        <v>231</v>
      </c>
      <c r="CC122" s="2" t="s">
        <v>244</v>
      </c>
      <c r="CD122" s="2" t="s">
        <v>231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</row>
    <row r="123">
      <c r="A123" s="2" t="s">
        <v>905</v>
      </c>
      <c r="B123" s="2" t="s">
        <v>847</v>
      </c>
      <c r="C123" s="2" t="s">
        <v>288</v>
      </c>
      <c r="D123" s="2" t="s">
        <v>906</v>
      </c>
      <c r="E123" s="2" t="s">
        <v>907</v>
      </c>
      <c r="F123" s="2" t="s">
        <v>908</v>
      </c>
      <c r="G123" s="2" t="s">
        <v>908</v>
      </c>
      <c r="H123" s="2" t="s">
        <v>908</v>
      </c>
      <c r="I123" s="2" t="s">
        <v>909</v>
      </c>
      <c r="J123" s="2" t="s">
        <v>910</v>
      </c>
      <c r="K123" s="2" t="s">
        <v>698</v>
      </c>
      <c r="L123" s="3">
        <v>47.62</v>
      </c>
      <c r="M123" s="3">
        <v>50</v>
      </c>
      <c r="N123" s="3">
        <v>99.99</v>
      </c>
      <c r="O123" s="2" t="s">
        <v>243</v>
      </c>
      <c r="P123" s="2" t="s">
        <v>236</v>
      </c>
      <c r="Q123" s="2" t="s">
        <v>237</v>
      </c>
      <c r="R123" s="2" t="s">
        <v>231</v>
      </c>
      <c r="S123" s="2" t="s">
        <v>231</v>
      </c>
      <c r="T123" s="2" t="s">
        <v>231</v>
      </c>
      <c r="U123" s="2" t="s">
        <v>327</v>
      </c>
      <c r="V123" s="2" t="s">
        <v>662</v>
      </c>
      <c r="W123" s="2" t="s">
        <v>299</v>
      </c>
      <c r="X123" s="2" t="s">
        <v>231</v>
      </c>
      <c r="Y123" s="2" t="s">
        <v>231</v>
      </c>
      <c r="Z123" s="4"/>
      <c r="AA123" s="4">
        <f>=ROUNDDOWN({0},0)</f>
      </c>
      <c r="AB123" s="5"/>
      <c r="AC123" s="2" t="s">
        <v>911</v>
      </c>
      <c r="AD123" s="4">
        <v>100</v>
      </c>
      <c r="AE123" s="4">
        <v>100</v>
      </c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231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/>
      <c r="BD123" s="8"/>
      <c r="BE123" s="4"/>
      <c r="BF123" s="8"/>
      <c r="BG123" s="7"/>
      <c r="BH123" s="7"/>
      <c r="BI123" s="7"/>
      <c r="BJ123" s="4"/>
      <c r="BK123" s="8"/>
      <c r="BL123" s="2" t="s">
        <v>231</v>
      </c>
      <c r="BM123" s="7"/>
      <c r="BN123" s="7"/>
      <c r="BO123" s="4"/>
      <c r="BP123" s="8"/>
      <c r="BQ123" s="4"/>
      <c r="BR123" s="8"/>
      <c r="BS123" s="7"/>
      <c r="BT123" s="7"/>
      <c r="BU123" s="2" t="s">
        <v>241</v>
      </c>
      <c r="BV123" s="2" t="s">
        <v>231</v>
      </c>
      <c r="BW123" s="2" t="s">
        <v>231</v>
      </c>
      <c r="BX123" s="2" t="s">
        <v>241</v>
      </c>
      <c r="BY123" s="2" t="s">
        <v>242</v>
      </c>
      <c r="BZ123" s="2" t="s">
        <v>243</v>
      </c>
      <c r="CA123" s="2" t="s">
        <v>231</v>
      </c>
      <c r="CB123" s="2" t="s">
        <v>231</v>
      </c>
      <c r="CC123" s="2" t="s">
        <v>244</v>
      </c>
      <c r="CD123" s="2" t="s">
        <v>231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>
        <v>100</v>
      </c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</row>
    <row r="124">
      <c r="A124" s="2" t="s">
        <v>912</v>
      </c>
      <c r="B124" s="2" t="s">
        <v>784</v>
      </c>
      <c r="C124" s="2" t="s">
        <v>913</v>
      </c>
      <c r="D124" s="2" t="s">
        <v>785</v>
      </c>
      <c r="E124" s="2" t="s">
        <v>786</v>
      </c>
      <c r="F124" s="2" t="s">
        <v>914</v>
      </c>
      <c r="G124" s="2" t="s">
        <v>914</v>
      </c>
      <c r="H124" s="2" t="s">
        <v>914</v>
      </c>
      <c r="I124" s="2" t="s">
        <v>915</v>
      </c>
      <c r="J124" s="2" t="s">
        <v>916</v>
      </c>
      <c r="K124" s="2" t="s">
        <v>253</v>
      </c>
      <c r="L124" s="3">
        <v>14.85</v>
      </c>
      <c r="M124" s="3">
        <v>15.59</v>
      </c>
      <c r="N124" s="3">
        <v>39.99</v>
      </c>
      <c r="O124" s="2" t="s">
        <v>243</v>
      </c>
      <c r="P124" s="2" t="s">
        <v>917</v>
      </c>
      <c r="Q124" s="2" t="s">
        <v>237</v>
      </c>
      <c r="R124" s="2" t="s">
        <v>231</v>
      </c>
      <c r="S124" s="2" t="s">
        <v>231</v>
      </c>
      <c r="T124" s="2" t="s">
        <v>362</v>
      </c>
      <c r="U124" s="2" t="s">
        <v>327</v>
      </c>
      <c r="V124" s="2" t="s">
        <v>239</v>
      </c>
      <c r="W124" s="2" t="s">
        <v>299</v>
      </c>
      <c r="X124" s="2" t="s">
        <v>231</v>
      </c>
      <c r="Y124" s="2" t="s">
        <v>918</v>
      </c>
      <c r="Z124" s="4">
        <v>481</v>
      </c>
      <c r="AA124" s="4">
        <f>=ROUNDDOWN(68.7142857142857,0)</f>
      </c>
      <c r="AB124" s="5">
        <v>7</v>
      </c>
      <c r="AC124" s="2" t="s">
        <v>231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231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231</v>
      </c>
      <c r="AW124" s="8" t="s">
        <v>231</v>
      </c>
      <c r="AX124" s="4" t="s">
        <v>231</v>
      </c>
      <c r="AY124" s="8" t="s">
        <v>231</v>
      </c>
      <c r="AZ124" s="7" t="s">
        <v>231</v>
      </c>
      <c r="BA124" s="7" t="s">
        <v>231</v>
      </c>
      <c r="BB124" s="7"/>
      <c r="BC124" s="4" t="s">
        <v>231</v>
      </c>
      <c r="BD124" s="8" t="s">
        <v>231</v>
      </c>
      <c r="BE124" s="4" t="s">
        <v>231</v>
      </c>
      <c r="BF124" s="8" t="s">
        <v>231</v>
      </c>
      <c r="BG124" s="7" t="s">
        <v>231</v>
      </c>
      <c r="BH124" s="7" t="s">
        <v>231</v>
      </c>
      <c r="BI124" s="7"/>
      <c r="BJ124" s="4">
        <v>17</v>
      </c>
      <c r="BK124" s="8">
        <v>278.76</v>
      </c>
      <c r="BL124" s="2" t="s">
        <v>718</v>
      </c>
      <c r="BM124" s="7"/>
      <c r="BN124" s="7"/>
      <c r="BO124" s="4"/>
      <c r="BP124" s="8"/>
      <c r="BQ124" s="4"/>
      <c r="BR124" s="8"/>
      <c r="BS124" s="7"/>
      <c r="BT124" s="7"/>
      <c r="BU124" s="2" t="s">
        <v>919</v>
      </c>
      <c r="BV124" s="2" t="s">
        <v>231</v>
      </c>
      <c r="BW124" s="2" t="s">
        <v>231</v>
      </c>
      <c r="BX124" s="2" t="s">
        <v>231</v>
      </c>
      <c r="BY124" s="2" t="s">
        <v>277</v>
      </c>
      <c r="BZ124" s="2" t="s">
        <v>243</v>
      </c>
      <c r="CA124" s="2" t="s">
        <v>920</v>
      </c>
      <c r="CB124" s="2" t="s">
        <v>921</v>
      </c>
      <c r="CC124" s="2" t="s">
        <v>244</v>
      </c>
      <c r="CD124" s="2" t="s">
        <v>231</v>
      </c>
      <c r="CE124" s="4">
        <v>481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</row>
    <row r="125">
      <c r="A125" s="2" t="s">
        <v>922</v>
      </c>
      <c r="B125" s="2" t="s">
        <v>784</v>
      </c>
      <c r="C125" s="2" t="s">
        <v>913</v>
      </c>
      <c r="D125" s="2" t="s">
        <v>785</v>
      </c>
      <c r="E125" s="2" t="s">
        <v>786</v>
      </c>
      <c r="F125" s="2" t="s">
        <v>914</v>
      </c>
      <c r="G125" s="2" t="s">
        <v>914</v>
      </c>
      <c r="H125" s="2" t="s">
        <v>914</v>
      </c>
      <c r="I125" s="2" t="s">
        <v>915</v>
      </c>
      <c r="J125" s="2" t="s">
        <v>923</v>
      </c>
      <c r="K125" s="2" t="s">
        <v>253</v>
      </c>
      <c r="L125" s="3">
        <v>9.28</v>
      </c>
      <c r="M125" s="3">
        <v>9.74</v>
      </c>
      <c r="N125" s="3">
        <v>24.99</v>
      </c>
      <c r="O125" s="2" t="s">
        <v>243</v>
      </c>
      <c r="P125" s="2" t="s">
        <v>917</v>
      </c>
      <c r="Q125" s="2" t="s">
        <v>237</v>
      </c>
      <c r="R125" s="2" t="s">
        <v>231</v>
      </c>
      <c r="S125" s="2" t="s">
        <v>231</v>
      </c>
      <c r="T125" s="2" t="s">
        <v>362</v>
      </c>
      <c r="U125" s="2" t="s">
        <v>327</v>
      </c>
      <c r="V125" s="2" t="s">
        <v>239</v>
      </c>
      <c r="W125" s="2" t="s">
        <v>299</v>
      </c>
      <c r="X125" s="2" t="s">
        <v>231</v>
      </c>
      <c r="Y125" s="2" t="s">
        <v>918</v>
      </c>
      <c r="Z125" s="4">
        <v>191</v>
      </c>
      <c r="AA125" s="4">
        <f>=ROUNDDOWN(27.2857142857143,0)</f>
      </c>
      <c r="AB125" s="5">
        <v>7</v>
      </c>
      <c r="AC125" s="2" t="s">
        <v>231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231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231</v>
      </c>
      <c r="AW125" s="8" t="s">
        <v>231</v>
      </c>
      <c r="AX125" s="4" t="s">
        <v>231</v>
      </c>
      <c r="AY125" s="8" t="s">
        <v>231</v>
      </c>
      <c r="AZ125" s="7" t="s">
        <v>231</v>
      </c>
      <c r="BA125" s="7" t="s">
        <v>231</v>
      </c>
      <c r="BB125" s="7"/>
      <c r="BC125" s="4" t="s">
        <v>231</v>
      </c>
      <c r="BD125" s="8" t="s">
        <v>231</v>
      </c>
      <c r="BE125" s="4" t="s">
        <v>231</v>
      </c>
      <c r="BF125" s="8" t="s">
        <v>231</v>
      </c>
      <c r="BG125" s="7" t="s">
        <v>231</v>
      </c>
      <c r="BH125" s="7" t="s">
        <v>231</v>
      </c>
      <c r="BI125" s="7"/>
      <c r="BJ125" s="4">
        <v>10</v>
      </c>
      <c r="BK125" s="8">
        <v>102.59</v>
      </c>
      <c r="BL125" s="2" t="s">
        <v>924</v>
      </c>
      <c r="BM125" s="7"/>
      <c r="BN125" s="7"/>
      <c r="BO125" s="4"/>
      <c r="BP125" s="8"/>
      <c r="BQ125" s="4"/>
      <c r="BR125" s="8"/>
      <c r="BS125" s="7"/>
      <c r="BT125" s="7"/>
      <c r="BU125" s="2" t="s">
        <v>925</v>
      </c>
      <c r="BV125" s="2" t="s">
        <v>231</v>
      </c>
      <c r="BW125" s="2" t="s">
        <v>231</v>
      </c>
      <c r="BX125" s="2" t="s">
        <v>231</v>
      </c>
      <c r="BY125" s="2" t="s">
        <v>277</v>
      </c>
      <c r="BZ125" s="2" t="s">
        <v>243</v>
      </c>
      <c r="CA125" s="2" t="s">
        <v>920</v>
      </c>
      <c r="CB125" s="2" t="s">
        <v>926</v>
      </c>
      <c r="CC125" s="2" t="s">
        <v>244</v>
      </c>
      <c r="CD125" s="2" t="s">
        <v>231</v>
      </c>
      <c r="CE125" s="4">
        <v>191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</row>
    <row r="126">
      <c r="A126" s="2" t="s">
        <v>927</v>
      </c>
      <c r="B126" s="2" t="s">
        <v>784</v>
      </c>
      <c r="C126" s="2" t="s">
        <v>913</v>
      </c>
      <c r="D126" s="2" t="s">
        <v>785</v>
      </c>
      <c r="E126" s="2" t="s">
        <v>786</v>
      </c>
      <c r="F126" s="2" t="s">
        <v>914</v>
      </c>
      <c r="G126" s="2" t="s">
        <v>914</v>
      </c>
      <c r="H126" s="2" t="s">
        <v>914</v>
      </c>
      <c r="I126" s="2" t="s">
        <v>915</v>
      </c>
      <c r="J126" s="2" t="s">
        <v>916</v>
      </c>
      <c r="K126" s="2" t="s">
        <v>306</v>
      </c>
      <c r="L126" s="3">
        <v>14.85</v>
      </c>
      <c r="M126" s="3">
        <v>15.59</v>
      </c>
      <c r="N126" s="3">
        <v>39.99</v>
      </c>
      <c r="O126" s="2" t="s">
        <v>243</v>
      </c>
      <c r="P126" s="2" t="s">
        <v>917</v>
      </c>
      <c r="Q126" s="2" t="s">
        <v>237</v>
      </c>
      <c r="R126" s="2" t="s">
        <v>231</v>
      </c>
      <c r="S126" s="2" t="s">
        <v>231</v>
      </c>
      <c r="T126" s="2" t="s">
        <v>362</v>
      </c>
      <c r="U126" s="2" t="s">
        <v>327</v>
      </c>
      <c r="V126" s="2" t="s">
        <v>239</v>
      </c>
      <c r="W126" s="2" t="s">
        <v>299</v>
      </c>
      <c r="X126" s="2" t="s">
        <v>231</v>
      </c>
      <c r="Y126" s="2" t="s">
        <v>918</v>
      </c>
      <c r="Z126" s="4">
        <v>830</v>
      </c>
      <c r="AA126" s="4">
        <f>=ROUNDDOWN(118.571428571429,0)</f>
      </c>
      <c r="AB126" s="5">
        <v>7</v>
      </c>
      <c r="AC126" s="2" t="s">
        <v>231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231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231</v>
      </c>
      <c r="AW126" s="8" t="s">
        <v>231</v>
      </c>
      <c r="AX126" s="4" t="s">
        <v>231</v>
      </c>
      <c r="AY126" s="8" t="s">
        <v>231</v>
      </c>
      <c r="AZ126" s="7" t="s">
        <v>231</v>
      </c>
      <c r="BA126" s="7" t="s">
        <v>231</v>
      </c>
      <c r="BB126" s="7"/>
      <c r="BC126" s="4" t="s">
        <v>231</v>
      </c>
      <c r="BD126" s="8" t="s">
        <v>231</v>
      </c>
      <c r="BE126" s="4" t="s">
        <v>231</v>
      </c>
      <c r="BF126" s="8" t="s">
        <v>231</v>
      </c>
      <c r="BG126" s="7" t="s">
        <v>231</v>
      </c>
      <c r="BH126" s="7" t="s">
        <v>231</v>
      </c>
      <c r="BI126" s="7"/>
      <c r="BJ126" s="4">
        <v>13</v>
      </c>
      <c r="BK126" s="8">
        <v>215</v>
      </c>
      <c r="BL126" s="2" t="s">
        <v>928</v>
      </c>
      <c r="BM126" s="7"/>
      <c r="BN126" s="7"/>
      <c r="BO126" s="4"/>
      <c r="BP126" s="8"/>
      <c r="BQ126" s="4"/>
      <c r="BR126" s="8"/>
      <c r="BS126" s="7"/>
      <c r="BT126" s="7"/>
      <c r="BU126" s="2" t="s">
        <v>929</v>
      </c>
      <c r="BV126" s="2" t="s">
        <v>231</v>
      </c>
      <c r="BW126" s="2" t="s">
        <v>231</v>
      </c>
      <c r="BX126" s="2" t="s">
        <v>231</v>
      </c>
      <c r="BY126" s="2" t="s">
        <v>277</v>
      </c>
      <c r="BZ126" s="2" t="s">
        <v>243</v>
      </c>
      <c r="CA126" s="2" t="s">
        <v>920</v>
      </c>
      <c r="CB126" s="2" t="s">
        <v>930</v>
      </c>
      <c r="CC126" s="2" t="s">
        <v>244</v>
      </c>
      <c r="CD126" s="2" t="s">
        <v>231</v>
      </c>
      <c r="CE126" s="4">
        <v>830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</row>
    <row r="127">
      <c r="A127" s="2" t="s">
        <v>931</v>
      </c>
      <c r="B127" s="2" t="s">
        <v>784</v>
      </c>
      <c r="C127" s="2" t="s">
        <v>913</v>
      </c>
      <c r="D127" s="2" t="s">
        <v>785</v>
      </c>
      <c r="E127" s="2" t="s">
        <v>786</v>
      </c>
      <c r="F127" s="2" t="s">
        <v>914</v>
      </c>
      <c r="G127" s="2" t="s">
        <v>914</v>
      </c>
      <c r="H127" s="2" t="s">
        <v>914</v>
      </c>
      <c r="I127" s="2" t="s">
        <v>915</v>
      </c>
      <c r="J127" s="2" t="s">
        <v>923</v>
      </c>
      <c r="K127" s="2" t="s">
        <v>306</v>
      </c>
      <c r="L127" s="3">
        <v>9.28</v>
      </c>
      <c r="M127" s="3">
        <v>9.74</v>
      </c>
      <c r="N127" s="3">
        <v>24.99</v>
      </c>
      <c r="O127" s="2" t="s">
        <v>243</v>
      </c>
      <c r="P127" s="2" t="s">
        <v>917</v>
      </c>
      <c r="Q127" s="2" t="s">
        <v>237</v>
      </c>
      <c r="R127" s="2" t="s">
        <v>231</v>
      </c>
      <c r="S127" s="2" t="s">
        <v>231</v>
      </c>
      <c r="T127" s="2" t="s">
        <v>362</v>
      </c>
      <c r="U127" s="2" t="s">
        <v>327</v>
      </c>
      <c r="V127" s="2" t="s">
        <v>239</v>
      </c>
      <c r="W127" s="2" t="s">
        <v>299</v>
      </c>
      <c r="X127" s="2" t="s">
        <v>231</v>
      </c>
      <c r="Y127" s="2" t="s">
        <v>918</v>
      </c>
      <c r="Z127" s="4">
        <v>313</v>
      </c>
      <c r="AA127" s="4">
        <f>=ROUNDDOWN(52.1666666666667,0)</f>
      </c>
      <c r="AB127" s="5">
        <v>6</v>
      </c>
      <c r="AC127" s="2" t="s">
        <v>231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231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231</v>
      </c>
      <c r="AW127" s="8" t="s">
        <v>231</v>
      </c>
      <c r="AX127" s="4" t="s">
        <v>231</v>
      </c>
      <c r="AY127" s="8" t="s">
        <v>231</v>
      </c>
      <c r="AZ127" s="7" t="s">
        <v>231</v>
      </c>
      <c r="BA127" s="7" t="s">
        <v>231</v>
      </c>
      <c r="BB127" s="7"/>
      <c r="BC127" s="4" t="s">
        <v>231</v>
      </c>
      <c r="BD127" s="8" t="s">
        <v>231</v>
      </c>
      <c r="BE127" s="4" t="s">
        <v>231</v>
      </c>
      <c r="BF127" s="8" t="s">
        <v>231</v>
      </c>
      <c r="BG127" s="7" t="s">
        <v>231</v>
      </c>
      <c r="BH127" s="7" t="s">
        <v>231</v>
      </c>
      <c r="BI127" s="7"/>
      <c r="BJ127" s="4">
        <v>10</v>
      </c>
      <c r="BK127" s="8">
        <v>102.3</v>
      </c>
      <c r="BL127" s="2" t="s">
        <v>932</v>
      </c>
      <c r="BM127" s="7"/>
      <c r="BN127" s="7"/>
      <c r="BO127" s="4"/>
      <c r="BP127" s="8"/>
      <c r="BQ127" s="4"/>
      <c r="BR127" s="8"/>
      <c r="BS127" s="7"/>
      <c r="BT127" s="7"/>
      <c r="BU127" s="2" t="s">
        <v>933</v>
      </c>
      <c r="BV127" s="2" t="s">
        <v>231</v>
      </c>
      <c r="BW127" s="2" t="s">
        <v>231</v>
      </c>
      <c r="BX127" s="2" t="s">
        <v>231</v>
      </c>
      <c r="BY127" s="2" t="s">
        <v>277</v>
      </c>
      <c r="BZ127" s="2" t="s">
        <v>243</v>
      </c>
      <c r="CA127" s="2" t="s">
        <v>920</v>
      </c>
      <c r="CB127" s="2" t="s">
        <v>934</v>
      </c>
      <c r="CC127" s="2" t="s">
        <v>244</v>
      </c>
      <c r="CD127" s="2" t="s">
        <v>231</v>
      </c>
      <c r="CE127" s="4">
        <v>313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</row>
    <row r="128">
      <c r="A128" s="2" t="s">
        <v>935</v>
      </c>
      <c r="B128" s="2" t="s">
        <v>784</v>
      </c>
      <c r="C128" s="2" t="s">
        <v>913</v>
      </c>
      <c r="D128" s="2" t="s">
        <v>785</v>
      </c>
      <c r="E128" s="2" t="s">
        <v>786</v>
      </c>
      <c r="F128" s="2" t="s">
        <v>914</v>
      </c>
      <c r="G128" s="2" t="s">
        <v>914</v>
      </c>
      <c r="H128" s="2" t="s">
        <v>914</v>
      </c>
      <c r="I128" s="2" t="s">
        <v>915</v>
      </c>
      <c r="J128" s="2" t="s">
        <v>936</v>
      </c>
      <c r="K128" s="2" t="s">
        <v>306</v>
      </c>
      <c r="L128" s="3">
        <v>3.71</v>
      </c>
      <c r="M128" s="3">
        <v>3.9</v>
      </c>
      <c r="N128" s="3">
        <v>9.99</v>
      </c>
      <c r="O128" s="2" t="s">
        <v>243</v>
      </c>
      <c r="P128" s="2" t="s">
        <v>917</v>
      </c>
      <c r="Q128" s="2" t="s">
        <v>237</v>
      </c>
      <c r="R128" s="2" t="s">
        <v>231</v>
      </c>
      <c r="S128" s="2" t="s">
        <v>231</v>
      </c>
      <c r="T128" s="2" t="s">
        <v>362</v>
      </c>
      <c r="U128" s="2" t="s">
        <v>327</v>
      </c>
      <c r="V128" s="2" t="s">
        <v>239</v>
      </c>
      <c r="W128" s="2" t="s">
        <v>299</v>
      </c>
      <c r="X128" s="2" t="s">
        <v>231</v>
      </c>
      <c r="Y128" s="2" t="s">
        <v>918</v>
      </c>
      <c r="Z128" s="4">
        <v>406</v>
      </c>
      <c r="AA128" s="4">
        <f>=ROUNDDOWN(101.5,0)</f>
      </c>
      <c r="AB128" s="5">
        <v>4</v>
      </c>
      <c r="AC128" s="2" t="s">
        <v>231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231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231</v>
      </c>
      <c r="AW128" s="8" t="s">
        <v>231</v>
      </c>
      <c r="AX128" s="4" t="s">
        <v>231</v>
      </c>
      <c r="AY128" s="8" t="s">
        <v>231</v>
      </c>
      <c r="AZ128" s="7" t="s">
        <v>231</v>
      </c>
      <c r="BA128" s="7" t="s">
        <v>231</v>
      </c>
      <c r="BB128" s="7"/>
      <c r="BC128" s="4" t="s">
        <v>231</v>
      </c>
      <c r="BD128" s="8" t="s">
        <v>231</v>
      </c>
      <c r="BE128" s="4" t="s">
        <v>231</v>
      </c>
      <c r="BF128" s="8" t="s">
        <v>231</v>
      </c>
      <c r="BG128" s="7" t="s">
        <v>231</v>
      </c>
      <c r="BH128" s="7" t="s">
        <v>231</v>
      </c>
      <c r="BI128" s="7"/>
      <c r="BJ128" s="4">
        <v>2</v>
      </c>
      <c r="BK128" s="8">
        <v>8.18</v>
      </c>
      <c r="BL128" s="2" t="s">
        <v>937</v>
      </c>
      <c r="BM128" s="7"/>
      <c r="BN128" s="7"/>
      <c r="BO128" s="4"/>
      <c r="BP128" s="8"/>
      <c r="BQ128" s="4"/>
      <c r="BR128" s="8"/>
      <c r="BS128" s="7"/>
      <c r="BT128" s="7"/>
      <c r="BU128" s="2" t="s">
        <v>938</v>
      </c>
      <c r="BV128" s="2" t="s">
        <v>231</v>
      </c>
      <c r="BW128" s="2" t="s">
        <v>231</v>
      </c>
      <c r="BX128" s="2" t="s">
        <v>231</v>
      </c>
      <c r="BY128" s="2" t="s">
        <v>277</v>
      </c>
      <c r="BZ128" s="2" t="s">
        <v>243</v>
      </c>
      <c r="CA128" s="2" t="s">
        <v>920</v>
      </c>
      <c r="CB128" s="2" t="s">
        <v>231</v>
      </c>
      <c r="CC128" s="2" t="s">
        <v>244</v>
      </c>
      <c r="CD128" s="2" t="s">
        <v>231</v>
      </c>
      <c r="CE128" s="4">
        <v>406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</row>
    <row r="129">
      <c r="A129" s="2" t="s">
        <v>939</v>
      </c>
      <c r="B129" s="2" t="s">
        <v>940</v>
      </c>
      <c r="C129" s="2" t="s">
        <v>913</v>
      </c>
      <c r="D129" s="2" t="s">
        <v>941</v>
      </c>
      <c r="E129" s="2" t="s">
        <v>942</v>
      </c>
      <c r="F129" s="2" t="s">
        <v>914</v>
      </c>
      <c r="G129" s="2" t="s">
        <v>914</v>
      </c>
      <c r="H129" s="2" t="s">
        <v>914</v>
      </c>
      <c r="I129" s="2" t="s">
        <v>943</v>
      </c>
      <c r="J129" s="2" t="s">
        <v>944</v>
      </c>
      <c r="K129" s="2" t="s">
        <v>306</v>
      </c>
      <c r="L129" s="3">
        <v>20.43</v>
      </c>
      <c r="M129" s="3">
        <v>21.45</v>
      </c>
      <c r="N129" s="3">
        <v>55</v>
      </c>
      <c r="O129" s="2" t="s">
        <v>243</v>
      </c>
      <c r="P129" s="2" t="s">
        <v>341</v>
      </c>
      <c r="Q129" s="2" t="s">
        <v>237</v>
      </c>
      <c r="R129" s="2" t="s">
        <v>231</v>
      </c>
      <c r="S129" s="2" t="s">
        <v>231</v>
      </c>
      <c r="T129" s="2" t="s">
        <v>231</v>
      </c>
      <c r="U129" s="2" t="s">
        <v>327</v>
      </c>
      <c r="V129" s="2" t="s">
        <v>239</v>
      </c>
      <c r="W129" s="2" t="s">
        <v>299</v>
      </c>
      <c r="X129" s="2" t="s">
        <v>231</v>
      </c>
      <c r="Y129" s="2" t="s">
        <v>945</v>
      </c>
      <c r="Z129" s="4">
        <v>5</v>
      </c>
      <c r="AA129" s="4">
        <f>=ROUNDDOWN(25,0)</f>
      </c>
      <c r="AB129" s="5">
        <v>0.2</v>
      </c>
      <c r="AC129" s="2" t="s">
        <v>231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231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231</v>
      </c>
      <c r="AW129" s="8" t="s">
        <v>231</v>
      </c>
      <c r="AX129" s="4" t="s">
        <v>231</v>
      </c>
      <c r="AY129" s="8" t="s">
        <v>231</v>
      </c>
      <c r="AZ129" s="7" t="s">
        <v>231</v>
      </c>
      <c r="BA129" s="7" t="s">
        <v>231</v>
      </c>
      <c r="BB129" s="7"/>
      <c r="BC129" s="4" t="s">
        <v>231</v>
      </c>
      <c r="BD129" s="8" t="s">
        <v>231</v>
      </c>
      <c r="BE129" s="4" t="s">
        <v>231</v>
      </c>
      <c r="BF129" s="8" t="s">
        <v>231</v>
      </c>
      <c r="BG129" s="7" t="s">
        <v>231</v>
      </c>
      <c r="BH129" s="7" t="s">
        <v>231</v>
      </c>
      <c r="BI129" s="7"/>
      <c r="BJ129" s="4">
        <v>1</v>
      </c>
      <c r="BK129" s="8">
        <v>22.52</v>
      </c>
      <c r="BL129" s="2" t="s">
        <v>937</v>
      </c>
      <c r="BM129" s="7"/>
      <c r="BN129" s="7"/>
      <c r="BO129" s="4"/>
      <c r="BP129" s="8"/>
      <c r="BQ129" s="4"/>
      <c r="BR129" s="8"/>
      <c r="BS129" s="7"/>
      <c r="BT129" s="7"/>
      <c r="BU129" s="2" t="s">
        <v>946</v>
      </c>
      <c r="BV129" s="2" t="s">
        <v>231</v>
      </c>
      <c r="BW129" s="2" t="s">
        <v>231</v>
      </c>
      <c r="BX129" s="2" t="s">
        <v>231</v>
      </c>
      <c r="BY129" s="2" t="s">
        <v>277</v>
      </c>
      <c r="BZ129" s="2" t="s">
        <v>243</v>
      </c>
      <c r="CA129" s="2" t="s">
        <v>947</v>
      </c>
      <c r="CB129" s="2" t="s">
        <v>948</v>
      </c>
      <c r="CC129" s="2" t="s">
        <v>244</v>
      </c>
      <c r="CD129" s="2" t="s">
        <v>231</v>
      </c>
      <c r="CE129" s="4">
        <v>5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</row>
    <row r="130">
      <c r="A130" s="2" t="s">
        <v>949</v>
      </c>
      <c r="B130" s="2" t="s">
        <v>940</v>
      </c>
      <c r="C130" s="2" t="s">
        <v>913</v>
      </c>
      <c r="D130" s="2" t="s">
        <v>941</v>
      </c>
      <c r="E130" s="2" t="s">
        <v>942</v>
      </c>
      <c r="F130" s="2" t="s">
        <v>914</v>
      </c>
      <c r="G130" s="2" t="s">
        <v>914</v>
      </c>
      <c r="H130" s="2" t="s">
        <v>914</v>
      </c>
      <c r="I130" s="2" t="s">
        <v>943</v>
      </c>
      <c r="J130" s="2" t="s">
        <v>944</v>
      </c>
      <c r="K130" s="2" t="s">
        <v>747</v>
      </c>
      <c r="L130" s="3">
        <v>20.43</v>
      </c>
      <c r="M130" s="3">
        <v>21.45</v>
      </c>
      <c r="N130" s="3">
        <v>55</v>
      </c>
      <c r="O130" s="2" t="s">
        <v>243</v>
      </c>
      <c r="P130" s="2" t="s">
        <v>341</v>
      </c>
      <c r="Q130" s="2" t="s">
        <v>237</v>
      </c>
      <c r="R130" s="2" t="s">
        <v>231</v>
      </c>
      <c r="S130" s="2" t="s">
        <v>231</v>
      </c>
      <c r="T130" s="2" t="s">
        <v>231</v>
      </c>
      <c r="U130" s="2" t="s">
        <v>327</v>
      </c>
      <c r="V130" s="2" t="s">
        <v>239</v>
      </c>
      <c r="W130" s="2" t="s">
        <v>299</v>
      </c>
      <c r="X130" s="2" t="s">
        <v>231</v>
      </c>
      <c r="Y130" s="2" t="s">
        <v>945</v>
      </c>
      <c r="Z130" s="4">
        <v>5</v>
      </c>
      <c r="AA130" s="4">
        <f>=ROUNDDOWN({0},0)</f>
      </c>
      <c r="AB130" s="5"/>
      <c r="AC130" s="2" t="s">
        <v>231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231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231</v>
      </c>
      <c r="BD130" s="8" t="s">
        <v>231</v>
      </c>
      <c r="BE130" s="4" t="s">
        <v>231</v>
      </c>
      <c r="BF130" s="8" t="s">
        <v>231</v>
      </c>
      <c r="BG130" s="7" t="s">
        <v>231</v>
      </c>
      <c r="BH130" s="7" t="s">
        <v>231</v>
      </c>
      <c r="BI130" s="7"/>
      <c r="BJ130" s="4"/>
      <c r="BK130" s="8"/>
      <c r="BL130" s="2" t="s">
        <v>231</v>
      </c>
      <c r="BM130" s="7"/>
      <c r="BN130" s="7"/>
      <c r="BO130" s="4"/>
      <c r="BP130" s="8"/>
      <c r="BQ130" s="4"/>
      <c r="BR130" s="8"/>
      <c r="BS130" s="7"/>
      <c r="BT130" s="7"/>
      <c r="BU130" s="2" t="s">
        <v>950</v>
      </c>
      <c r="BV130" s="2" t="s">
        <v>231</v>
      </c>
      <c r="BW130" s="2" t="s">
        <v>231</v>
      </c>
      <c r="BX130" s="2" t="s">
        <v>231</v>
      </c>
      <c r="BY130" s="2" t="s">
        <v>277</v>
      </c>
      <c r="BZ130" s="2" t="s">
        <v>243</v>
      </c>
      <c r="CA130" s="2" t="s">
        <v>947</v>
      </c>
      <c r="CB130" s="2" t="s">
        <v>951</v>
      </c>
      <c r="CC130" s="2" t="s">
        <v>244</v>
      </c>
      <c r="CD130" s="2" t="s">
        <v>231</v>
      </c>
      <c r="CE130" s="4">
        <v>5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</row>
    <row r="131">
      <c r="A131" s="2" t="s">
        <v>952</v>
      </c>
      <c r="B131" s="2" t="s">
        <v>784</v>
      </c>
      <c r="C131" s="2" t="s">
        <v>913</v>
      </c>
      <c r="D131" s="2" t="s">
        <v>785</v>
      </c>
      <c r="E131" s="2" t="s">
        <v>786</v>
      </c>
      <c r="F131" s="2" t="s">
        <v>914</v>
      </c>
      <c r="G131" s="2" t="s">
        <v>914</v>
      </c>
      <c r="H131" s="2" t="s">
        <v>914</v>
      </c>
      <c r="I131" s="2" t="s">
        <v>915</v>
      </c>
      <c r="J131" s="2" t="s">
        <v>916</v>
      </c>
      <c r="K131" s="2" t="s">
        <v>319</v>
      </c>
      <c r="L131" s="3">
        <v>14.85</v>
      </c>
      <c r="M131" s="3">
        <v>15.59</v>
      </c>
      <c r="N131" s="3">
        <v>39.99</v>
      </c>
      <c r="O131" s="2" t="s">
        <v>243</v>
      </c>
      <c r="P131" s="2" t="s">
        <v>917</v>
      </c>
      <c r="Q131" s="2" t="s">
        <v>237</v>
      </c>
      <c r="R131" s="2" t="s">
        <v>231</v>
      </c>
      <c r="S131" s="2" t="s">
        <v>231</v>
      </c>
      <c r="T131" s="2" t="s">
        <v>362</v>
      </c>
      <c r="U131" s="2" t="s">
        <v>327</v>
      </c>
      <c r="V131" s="2" t="s">
        <v>239</v>
      </c>
      <c r="W131" s="2" t="s">
        <v>299</v>
      </c>
      <c r="X131" s="2" t="s">
        <v>231</v>
      </c>
      <c r="Y131" s="2" t="s">
        <v>918</v>
      </c>
      <c r="Z131" s="4">
        <v>750</v>
      </c>
      <c r="AA131" s="4">
        <f>=ROUNDDOWN(62.5,0)</f>
      </c>
      <c r="AB131" s="5">
        <v>12</v>
      </c>
      <c r="AC131" s="2" t="s">
        <v>231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231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231</v>
      </c>
      <c r="AW131" s="8" t="s">
        <v>231</v>
      </c>
      <c r="AX131" s="4" t="s">
        <v>231</v>
      </c>
      <c r="AY131" s="8" t="s">
        <v>231</v>
      </c>
      <c r="AZ131" s="7" t="s">
        <v>231</v>
      </c>
      <c r="BA131" s="7" t="s">
        <v>231</v>
      </c>
      <c r="BB131" s="7"/>
      <c r="BC131" s="4" t="s">
        <v>231</v>
      </c>
      <c r="BD131" s="8" t="s">
        <v>231</v>
      </c>
      <c r="BE131" s="4" t="s">
        <v>231</v>
      </c>
      <c r="BF131" s="8" t="s">
        <v>231</v>
      </c>
      <c r="BG131" s="7" t="s">
        <v>231</v>
      </c>
      <c r="BH131" s="7" t="s">
        <v>231</v>
      </c>
      <c r="BI131" s="7"/>
      <c r="BJ131" s="4">
        <v>13</v>
      </c>
      <c r="BK131" s="8">
        <v>215.16</v>
      </c>
      <c r="BL131" s="2" t="s">
        <v>953</v>
      </c>
      <c r="BM131" s="7"/>
      <c r="BN131" s="7"/>
      <c r="BO131" s="4"/>
      <c r="BP131" s="8"/>
      <c r="BQ131" s="4"/>
      <c r="BR131" s="8"/>
      <c r="BS131" s="7"/>
      <c r="BT131" s="7"/>
      <c r="BU131" s="2" t="s">
        <v>954</v>
      </c>
      <c r="BV131" s="2" t="s">
        <v>231</v>
      </c>
      <c r="BW131" s="2" t="s">
        <v>231</v>
      </c>
      <c r="BX131" s="2" t="s">
        <v>231</v>
      </c>
      <c r="BY131" s="2" t="s">
        <v>277</v>
      </c>
      <c r="BZ131" s="2" t="s">
        <v>243</v>
      </c>
      <c r="CA131" s="2" t="s">
        <v>920</v>
      </c>
      <c r="CB131" s="2" t="s">
        <v>446</v>
      </c>
      <c r="CC131" s="2" t="s">
        <v>244</v>
      </c>
      <c r="CD131" s="2" t="s">
        <v>231</v>
      </c>
      <c r="CE131" s="4">
        <v>750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</row>
    <row r="132">
      <c r="A132" s="2" t="s">
        <v>955</v>
      </c>
      <c r="B132" s="2" t="s">
        <v>784</v>
      </c>
      <c r="C132" s="2" t="s">
        <v>913</v>
      </c>
      <c r="D132" s="2" t="s">
        <v>785</v>
      </c>
      <c r="E132" s="2" t="s">
        <v>786</v>
      </c>
      <c r="F132" s="2" t="s">
        <v>914</v>
      </c>
      <c r="G132" s="2" t="s">
        <v>914</v>
      </c>
      <c r="H132" s="2" t="s">
        <v>914</v>
      </c>
      <c r="I132" s="2" t="s">
        <v>915</v>
      </c>
      <c r="J132" s="2" t="s">
        <v>923</v>
      </c>
      <c r="K132" s="2" t="s">
        <v>319</v>
      </c>
      <c r="L132" s="3">
        <v>9.28</v>
      </c>
      <c r="M132" s="3">
        <v>9.74</v>
      </c>
      <c r="N132" s="3">
        <v>24.99</v>
      </c>
      <c r="O132" s="2" t="s">
        <v>243</v>
      </c>
      <c r="P132" s="2" t="s">
        <v>917</v>
      </c>
      <c r="Q132" s="2" t="s">
        <v>237</v>
      </c>
      <c r="R132" s="2" t="s">
        <v>231</v>
      </c>
      <c r="S132" s="2" t="s">
        <v>231</v>
      </c>
      <c r="T132" s="2" t="s">
        <v>362</v>
      </c>
      <c r="U132" s="2" t="s">
        <v>327</v>
      </c>
      <c r="V132" s="2" t="s">
        <v>239</v>
      </c>
      <c r="W132" s="2" t="s">
        <v>299</v>
      </c>
      <c r="X132" s="2" t="s">
        <v>231</v>
      </c>
      <c r="Y132" s="2" t="s">
        <v>918</v>
      </c>
      <c r="Z132" s="4">
        <v>405</v>
      </c>
      <c r="AA132" s="4">
        <f>=ROUNDDOWN(57.8571428571429,0)</f>
      </c>
      <c r="AB132" s="5">
        <v>7</v>
      </c>
      <c r="AC132" s="2" t="s">
        <v>231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231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231</v>
      </c>
      <c r="AW132" s="8" t="s">
        <v>231</v>
      </c>
      <c r="AX132" s="4" t="s">
        <v>231</v>
      </c>
      <c r="AY132" s="8" t="s">
        <v>231</v>
      </c>
      <c r="AZ132" s="7" t="s">
        <v>231</v>
      </c>
      <c r="BA132" s="7" t="s">
        <v>231</v>
      </c>
      <c r="BB132" s="7"/>
      <c r="BC132" s="4" t="s">
        <v>231</v>
      </c>
      <c r="BD132" s="8" t="s">
        <v>231</v>
      </c>
      <c r="BE132" s="4" t="s">
        <v>231</v>
      </c>
      <c r="BF132" s="8" t="s">
        <v>231</v>
      </c>
      <c r="BG132" s="7" t="s">
        <v>231</v>
      </c>
      <c r="BH132" s="7" t="s">
        <v>231</v>
      </c>
      <c r="BI132" s="7"/>
      <c r="BJ132" s="4">
        <v>11</v>
      </c>
      <c r="BK132" s="8">
        <v>112.62</v>
      </c>
      <c r="BL132" s="2" t="s">
        <v>956</v>
      </c>
      <c r="BM132" s="7"/>
      <c r="BN132" s="7"/>
      <c r="BO132" s="4"/>
      <c r="BP132" s="8"/>
      <c r="BQ132" s="4"/>
      <c r="BR132" s="8"/>
      <c r="BS132" s="7"/>
      <c r="BT132" s="7"/>
      <c r="BU132" s="2" t="s">
        <v>957</v>
      </c>
      <c r="BV132" s="2" t="s">
        <v>231</v>
      </c>
      <c r="BW132" s="2" t="s">
        <v>231</v>
      </c>
      <c r="BX132" s="2" t="s">
        <v>231</v>
      </c>
      <c r="BY132" s="2" t="s">
        <v>277</v>
      </c>
      <c r="BZ132" s="2" t="s">
        <v>243</v>
      </c>
      <c r="CA132" s="2" t="s">
        <v>920</v>
      </c>
      <c r="CB132" s="2" t="s">
        <v>231</v>
      </c>
      <c r="CC132" s="2" t="s">
        <v>244</v>
      </c>
      <c r="CD132" s="2" t="s">
        <v>231</v>
      </c>
      <c r="CE132" s="4">
        <v>405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</row>
    <row r="133">
      <c r="A133" s="2" t="s">
        <v>958</v>
      </c>
      <c r="B133" s="2" t="s">
        <v>784</v>
      </c>
      <c r="C133" s="2" t="s">
        <v>913</v>
      </c>
      <c r="D133" s="2" t="s">
        <v>785</v>
      </c>
      <c r="E133" s="2" t="s">
        <v>786</v>
      </c>
      <c r="F133" s="2" t="s">
        <v>914</v>
      </c>
      <c r="G133" s="2" t="s">
        <v>914</v>
      </c>
      <c r="H133" s="2" t="s">
        <v>914</v>
      </c>
      <c r="I133" s="2" t="s">
        <v>915</v>
      </c>
      <c r="J133" s="2" t="s">
        <v>936</v>
      </c>
      <c r="K133" s="2" t="s">
        <v>319</v>
      </c>
      <c r="L133" s="3">
        <v>3.71</v>
      </c>
      <c r="M133" s="3">
        <v>3.9</v>
      </c>
      <c r="N133" s="3">
        <v>9.99</v>
      </c>
      <c r="O133" s="2" t="s">
        <v>243</v>
      </c>
      <c r="P133" s="2" t="s">
        <v>917</v>
      </c>
      <c r="Q133" s="2" t="s">
        <v>237</v>
      </c>
      <c r="R133" s="2" t="s">
        <v>231</v>
      </c>
      <c r="S133" s="2" t="s">
        <v>231</v>
      </c>
      <c r="T133" s="2" t="s">
        <v>362</v>
      </c>
      <c r="U133" s="2" t="s">
        <v>327</v>
      </c>
      <c r="V133" s="2" t="s">
        <v>239</v>
      </c>
      <c r="W133" s="2" t="s">
        <v>299</v>
      </c>
      <c r="X133" s="2" t="s">
        <v>231</v>
      </c>
      <c r="Y133" s="2" t="s">
        <v>918</v>
      </c>
      <c r="Z133" s="4">
        <v>14</v>
      </c>
      <c r="AA133" s="4">
        <f>=ROUNDDOWN(1,0)</f>
      </c>
      <c r="AB133" s="5">
        <v>14</v>
      </c>
      <c r="AC133" s="2" t="s">
        <v>231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231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231</v>
      </c>
      <c r="AW133" s="8" t="s">
        <v>231</v>
      </c>
      <c r="AX133" s="4" t="s">
        <v>231</v>
      </c>
      <c r="AY133" s="8" t="s">
        <v>231</v>
      </c>
      <c r="AZ133" s="7" t="s">
        <v>231</v>
      </c>
      <c r="BA133" s="7" t="s">
        <v>231</v>
      </c>
      <c r="BB133" s="7"/>
      <c r="BC133" s="4" t="s">
        <v>231</v>
      </c>
      <c r="BD133" s="8" t="s">
        <v>231</v>
      </c>
      <c r="BE133" s="4" t="s">
        <v>231</v>
      </c>
      <c r="BF133" s="8" t="s">
        <v>231</v>
      </c>
      <c r="BG133" s="7" t="s">
        <v>231</v>
      </c>
      <c r="BH133" s="7" t="s">
        <v>231</v>
      </c>
      <c r="BI133" s="7"/>
      <c r="BJ133" s="4">
        <v>51</v>
      </c>
      <c r="BK133" s="8">
        <v>236.99</v>
      </c>
      <c r="BL133" s="2" t="s">
        <v>718</v>
      </c>
      <c r="BM133" s="7"/>
      <c r="BN133" s="7"/>
      <c r="BO133" s="4"/>
      <c r="BP133" s="8"/>
      <c r="BQ133" s="4"/>
      <c r="BR133" s="8"/>
      <c r="BS133" s="7"/>
      <c r="BT133" s="7"/>
      <c r="BU133" s="2" t="s">
        <v>959</v>
      </c>
      <c r="BV133" s="2" t="s">
        <v>231</v>
      </c>
      <c r="BW133" s="2" t="s">
        <v>231</v>
      </c>
      <c r="BX133" s="2" t="s">
        <v>231</v>
      </c>
      <c r="BY133" s="2" t="s">
        <v>277</v>
      </c>
      <c r="BZ133" s="2" t="s">
        <v>243</v>
      </c>
      <c r="CA133" s="2" t="s">
        <v>920</v>
      </c>
      <c r="CB133" s="2" t="s">
        <v>960</v>
      </c>
      <c r="CC133" s="2" t="s">
        <v>244</v>
      </c>
      <c r="CD133" s="2" t="s">
        <v>231</v>
      </c>
      <c r="CE133" s="4">
        <v>14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</row>
    <row r="134">
      <c r="A134" s="2" t="s">
        <v>961</v>
      </c>
      <c r="B134" s="2" t="s">
        <v>940</v>
      </c>
      <c r="C134" s="2" t="s">
        <v>913</v>
      </c>
      <c r="D134" s="2" t="s">
        <v>941</v>
      </c>
      <c r="E134" s="2" t="s">
        <v>942</v>
      </c>
      <c r="F134" s="2" t="s">
        <v>914</v>
      </c>
      <c r="G134" s="2" t="s">
        <v>914</v>
      </c>
      <c r="H134" s="2" t="s">
        <v>914</v>
      </c>
      <c r="I134" s="2" t="s">
        <v>943</v>
      </c>
      <c r="J134" s="2" t="s">
        <v>944</v>
      </c>
      <c r="K134" s="2" t="s">
        <v>319</v>
      </c>
      <c r="L134" s="3">
        <v>20.43</v>
      </c>
      <c r="M134" s="3">
        <v>21.45</v>
      </c>
      <c r="N134" s="3">
        <v>55</v>
      </c>
      <c r="O134" s="2" t="s">
        <v>243</v>
      </c>
      <c r="P134" s="2" t="s">
        <v>341</v>
      </c>
      <c r="Q134" s="2" t="s">
        <v>237</v>
      </c>
      <c r="R134" s="2" t="s">
        <v>231</v>
      </c>
      <c r="S134" s="2" t="s">
        <v>231</v>
      </c>
      <c r="T134" s="2" t="s">
        <v>231</v>
      </c>
      <c r="U134" s="2" t="s">
        <v>327</v>
      </c>
      <c r="V134" s="2" t="s">
        <v>239</v>
      </c>
      <c r="W134" s="2" t="s">
        <v>299</v>
      </c>
      <c r="X134" s="2" t="s">
        <v>231</v>
      </c>
      <c r="Y134" s="2" t="s">
        <v>945</v>
      </c>
      <c r="Z134" s="4">
        <v>1</v>
      </c>
      <c r="AA134" s="4">
        <f>=ROUNDDOWN({0},0)</f>
      </c>
      <c r="AB134" s="5"/>
      <c r="AC134" s="2" t="s">
        <v>231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231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231</v>
      </c>
      <c r="AW134" s="8" t="s">
        <v>231</v>
      </c>
      <c r="AX134" s="4" t="s">
        <v>231</v>
      </c>
      <c r="AY134" s="8" t="s">
        <v>231</v>
      </c>
      <c r="AZ134" s="7" t="s">
        <v>231</v>
      </c>
      <c r="BA134" s="7" t="s">
        <v>231</v>
      </c>
      <c r="BB134" s="7"/>
      <c r="BC134" s="4" t="s">
        <v>231</v>
      </c>
      <c r="BD134" s="8" t="s">
        <v>231</v>
      </c>
      <c r="BE134" s="4" t="s">
        <v>231</v>
      </c>
      <c r="BF134" s="8" t="s">
        <v>231</v>
      </c>
      <c r="BG134" s="7" t="s">
        <v>231</v>
      </c>
      <c r="BH134" s="7" t="s">
        <v>231</v>
      </c>
      <c r="BI134" s="7"/>
      <c r="BJ134" s="4"/>
      <c r="BK134" s="8"/>
      <c r="BL134" s="2" t="s">
        <v>628</v>
      </c>
      <c r="BM134" s="7"/>
      <c r="BN134" s="7"/>
      <c r="BO134" s="4"/>
      <c r="BP134" s="8"/>
      <c r="BQ134" s="4"/>
      <c r="BR134" s="8"/>
      <c r="BS134" s="7"/>
      <c r="BT134" s="7"/>
      <c r="BU134" s="2" t="s">
        <v>962</v>
      </c>
      <c r="BV134" s="2" t="s">
        <v>231</v>
      </c>
      <c r="BW134" s="2" t="s">
        <v>231</v>
      </c>
      <c r="BX134" s="2" t="s">
        <v>231</v>
      </c>
      <c r="BY134" s="2" t="s">
        <v>277</v>
      </c>
      <c r="BZ134" s="2" t="s">
        <v>243</v>
      </c>
      <c r="CA134" s="2" t="s">
        <v>947</v>
      </c>
      <c r="CB134" s="2" t="s">
        <v>963</v>
      </c>
      <c r="CC134" s="2" t="s">
        <v>244</v>
      </c>
      <c r="CD134" s="2" t="s">
        <v>231</v>
      </c>
      <c r="CE134" s="4">
        <v>1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</row>
    <row r="135">
      <c r="A135" s="2" t="s">
        <v>964</v>
      </c>
      <c r="B135" s="2" t="s">
        <v>226</v>
      </c>
      <c r="C135" s="2" t="s">
        <v>965</v>
      </c>
      <c r="D135" s="2" t="s">
        <v>654</v>
      </c>
      <c r="E135" s="2" t="s">
        <v>890</v>
      </c>
      <c r="F135" s="2" t="s">
        <v>966</v>
      </c>
      <c r="G135" s="2" t="s">
        <v>967</v>
      </c>
      <c r="H135" s="2" t="s">
        <v>967</v>
      </c>
      <c r="I135" s="2" t="s">
        <v>968</v>
      </c>
      <c r="J135" s="2" t="s">
        <v>658</v>
      </c>
      <c r="K135" s="2" t="s">
        <v>306</v>
      </c>
      <c r="L135" s="3">
        <v>49.35</v>
      </c>
      <c r="M135" s="3">
        <v>51.82</v>
      </c>
      <c r="N135" s="3">
        <v>104.99</v>
      </c>
      <c r="O135" s="2" t="s">
        <v>243</v>
      </c>
      <c r="P135" s="2" t="s">
        <v>341</v>
      </c>
      <c r="Q135" s="2" t="s">
        <v>237</v>
      </c>
      <c r="R135" s="2" t="s">
        <v>231</v>
      </c>
      <c r="S135" s="2" t="s">
        <v>969</v>
      </c>
      <c r="T135" s="2" t="s">
        <v>970</v>
      </c>
      <c r="U135" s="2" t="s">
        <v>231</v>
      </c>
      <c r="V135" s="2" t="s">
        <v>239</v>
      </c>
      <c r="W135" s="2" t="s">
        <v>971</v>
      </c>
      <c r="X135" s="2" t="s">
        <v>273</v>
      </c>
      <c r="Y135" s="2" t="s">
        <v>972</v>
      </c>
      <c r="Z135" s="4">
        <v>69</v>
      </c>
      <c r="AA135" s="4">
        <f>=ROUNDDOWN(9.85714285714286,0)</f>
      </c>
      <c r="AB135" s="5">
        <v>7</v>
      </c>
      <c r="AC135" s="2" t="s">
        <v>231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231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231</v>
      </c>
      <c r="AW135" s="8" t="s">
        <v>231</v>
      </c>
      <c r="AX135" s="4" t="s">
        <v>231</v>
      </c>
      <c r="AY135" s="8" t="s">
        <v>231</v>
      </c>
      <c r="AZ135" s="7" t="s">
        <v>231</v>
      </c>
      <c r="BA135" s="7" t="s">
        <v>231</v>
      </c>
      <c r="BB135" s="7"/>
      <c r="BC135" s="4" t="s">
        <v>231</v>
      </c>
      <c r="BD135" s="8" t="s">
        <v>231</v>
      </c>
      <c r="BE135" s="4" t="s">
        <v>231</v>
      </c>
      <c r="BF135" s="8" t="s">
        <v>231</v>
      </c>
      <c r="BG135" s="7" t="s">
        <v>231</v>
      </c>
      <c r="BH135" s="7" t="s">
        <v>231</v>
      </c>
      <c r="BI135" s="7"/>
      <c r="BJ135" s="4">
        <v>3</v>
      </c>
      <c r="BK135" s="8">
        <v>158.43</v>
      </c>
      <c r="BL135" s="2" t="s">
        <v>973</v>
      </c>
      <c r="BM135" s="7"/>
      <c r="BN135" s="7"/>
      <c r="BO135" s="4"/>
      <c r="BP135" s="8"/>
      <c r="BQ135" s="4"/>
      <c r="BR135" s="8"/>
      <c r="BS135" s="7"/>
      <c r="BT135" s="7"/>
      <c r="BU135" s="2" t="s">
        <v>974</v>
      </c>
      <c r="BV135" s="2" t="s">
        <v>231</v>
      </c>
      <c r="BW135" s="2" t="s">
        <v>231</v>
      </c>
      <c r="BX135" s="2" t="s">
        <v>231</v>
      </c>
      <c r="BY135" s="2" t="s">
        <v>277</v>
      </c>
      <c r="BZ135" s="2" t="s">
        <v>243</v>
      </c>
      <c r="CA135" s="2" t="s">
        <v>972</v>
      </c>
      <c r="CB135" s="2" t="s">
        <v>975</v>
      </c>
      <c r="CC135" s="2" t="s">
        <v>244</v>
      </c>
      <c r="CD135" s="2" t="s">
        <v>231</v>
      </c>
      <c r="CE135" s="4">
        <v>42</v>
      </c>
      <c r="CF135" s="4">
        <v>27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</row>
    <row r="136">
      <c r="A136" s="2" t="s">
        <v>976</v>
      </c>
      <c r="B136" s="2" t="s">
        <v>226</v>
      </c>
      <c r="C136" s="2" t="s">
        <v>965</v>
      </c>
      <c r="D136" s="2" t="s">
        <v>654</v>
      </c>
      <c r="E136" s="2" t="s">
        <v>890</v>
      </c>
      <c r="F136" s="2" t="s">
        <v>966</v>
      </c>
      <c r="G136" s="2" t="s">
        <v>967</v>
      </c>
      <c r="H136" s="2" t="s">
        <v>967</v>
      </c>
      <c r="I136" s="2" t="s">
        <v>968</v>
      </c>
      <c r="J136" s="2" t="s">
        <v>302</v>
      </c>
      <c r="K136" s="2" t="s">
        <v>306</v>
      </c>
      <c r="L136" s="3">
        <v>54.05</v>
      </c>
      <c r="M136" s="3">
        <v>56.75</v>
      </c>
      <c r="N136" s="3">
        <v>114.99</v>
      </c>
      <c r="O136" s="2" t="s">
        <v>243</v>
      </c>
      <c r="P136" s="2" t="s">
        <v>341</v>
      </c>
      <c r="Q136" s="2" t="s">
        <v>237</v>
      </c>
      <c r="R136" s="2" t="s">
        <v>231</v>
      </c>
      <c r="S136" s="2" t="s">
        <v>969</v>
      </c>
      <c r="T136" s="2" t="s">
        <v>970</v>
      </c>
      <c r="U136" s="2" t="s">
        <v>231</v>
      </c>
      <c r="V136" s="2" t="s">
        <v>239</v>
      </c>
      <c r="W136" s="2" t="s">
        <v>971</v>
      </c>
      <c r="X136" s="2" t="s">
        <v>273</v>
      </c>
      <c r="Y136" s="2" t="s">
        <v>972</v>
      </c>
      <c r="Z136" s="4">
        <v>107</v>
      </c>
      <c r="AA136" s="4">
        <f>=ROUNDDOWN(35.6666666666667,0)</f>
      </c>
      <c r="AB136" s="5">
        <v>3</v>
      </c>
      <c r="AC136" s="2" t="s">
        <v>231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231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231</v>
      </c>
      <c r="AW136" s="8" t="s">
        <v>231</v>
      </c>
      <c r="AX136" s="4" t="s">
        <v>231</v>
      </c>
      <c r="AY136" s="8" t="s">
        <v>231</v>
      </c>
      <c r="AZ136" s="7" t="s">
        <v>231</v>
      </c>
      <c r="BA136" s="7" t="s">
        <v>231</v>
      </c>
      <c r="BB136" s="7"/>
      <c r="BC136" s="4" t="s">
        <v>231</v>
      </c>
      <c r="BD136" s="8" t="s">
        <v>231</v>
      </c>
      <c r="BE136" s="4" t="s">
        <v>231</v>
      </c>
      <c r="BF136" s="8" t="s">
        <v>231</v>
      </c>
      <c r="BG136" s="7" t="s">
        <v>231</v>
      </c>
      <c r="BH136" s="7" t="s">
        <v>231</v>
      </c>
      <c r="BI136" s="7"/>
      <c r="BJ136" s="4">
        <v>14</v>
      </c>
      <c r="BK136" s="8">
        <v>782.65</v>
      </c>
      <c r="BL136" s="2" t="s">
        <v>977</v>
      </c>
      <c r="BM136" s="7"/>
      <c r="BN136" s="7"/>
      <c r="BO136" s="4"/>
      <c r="BP136" s="8"/>
      <c r="BQ136" s="4"/>
      <c r="BR136" s="8"/>
      <c r="BS136" s="7"/>
      <c r="BT136" s="7"/>
      <c r="BU136" s="2" t="s">
        <v>978</v>
      </c>
      <c r="BV136" s="2" t="s">
        <v>231</v>
      </c>
      <c r="BW136" s="2" t="s">
        <v>231</v>
      </c>
      <c r="BX136" s="2" t="s">
        <v>231</v>
      </c>
      <c r="BY136" s="2" t="s">
        <v>277</v>
      </c>
      <c r="BZ136" s="2" t="s">
        <v>243</v>
      </c>
      <c r="CA136" s="2" t="s">
        <v>972</v>
      </c>
      <c r="CB136" s="2" t="s">
        <v>979</v>
      </c>
      <c r="CC136" s="2" t="s">
        <v>244</v>
      </c>
      <c r="CD136" s="2" t="s">
        <v>231</v>
      </c>
      <c r="CE136" s="4">
        <v>107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</row>
    <row r="137">
      <c r="A137" s="2" t="s">
        <v>980</v>
      </c>
      <c r="B137" s="2" t="s">
        <v>824</v>
      </c>
      <c r="C137" s="2" t="s">
        <v>825</v>
      </c>
      <c r="D137" s="2" t="s">
        <v>654</v>
      </c>
      <c r="E137" s="2" t="s">
        <v>655</v>
      </c>
      <c r="F137" s="2" t="s">
        <v>981</v>
      </c>
      <c r="G137" s="2" t="s">
        <v>982</v>
      </c>
      <c r="H137" s="2" t="s">
        <v>983</v>
      </c>
      <c r="I137" s="2" t="s">
        <v>984</v>
      </c>
      <c r="J137" s="2" t="s">
        <v>832</v>
      </c>
      <c r="K137" s="2" t="s">
        <v>985</v>
      </c>
      <c r="L137" s="3">
        <v>31.5</v>
      </c>
      <c r="M137" s="3">
        <v>33.08</v>
      </c>
      <c r="N137" s="3">
        <v>69.99</v>
      </c>
      <c r="O137" s="2" t="s">
        <v>250</v>
      </c>
      <c r="P137" s="2" t="s">
        <v>341</v>
      </c>
      <c r="Q137" s="2" t="s">
        <v>237</v>
      </c>
      <c r="R137" s="2" t="s">
        <v>231</v>
      </c>
      <c r="S137" s="2" t="s">
        <v>986</v>
      </c>
      <c r="T137" s="2" t="s">
        <v>472</v>
      </c>
      <c r="U137" s="2" t="s">
        <v>298</v>
      </c>
      <c r="V137" s="2" t="s">
        <v>987</v>
      </c>
      <c r="W137" s="2" t="s">
        <v>691</v>
      </c>
      <c r="X137" s="2" t="s">
        <v>273</v>
      </c>
      <c r="Y137" s="2" t="s">
        <v>274</v>
      </c>
      <c r="Z137" s="4">
        <v>7</v>
      </c>
      <c r="AA137" s="4">
        <f>=ROUNDDOWN(3.04347826086957,0)</f>
      </c>
      <c r="AB137" s="5">
        <v>2.3</v>
      </c>
      <c r="AC137" s="2" t="s">
        <v>231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231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231</v>
      </c>
      <c r="AW137" s="8" t="s">
        <v>231</v>
      </c>
      <c r="AX137" s="4" t="s">
        <v>231</v>
      </c>
      <c r="AY137" s="8" t="s">
        <v>231</v>
      </c>
      <c r="AZ137" s="7" t="s">
        <v>231</v>
      </c>
      <c r="BA137" s="7" t="s">
        <v>231</v>
      </c>
      <c r="BB137" s="7"/>
      <c r="BC137" s="4" t="s">
        <v>231</v>
      </c>
      <c r="BD137" s="8" t="s">
        <v>231</v>
      </c>
      <c r="BE137" s="4" t="s">
        <v>231</v>
      </c>
      <c r="BF137" s="8" t="s">
        <v>231</v>
      </c>
      <c r="BG137" s="7" t="s">
        <v>231</v>
      </c>
      <c r="BH137" s="7" t="s">
        <v>231</v>
      </c>
      <c r="BI137" s="7"/>
      <c r="BJ137" s="4">
        <v>10</v>
      </c>
      <c r="BK137" s="8">
        <v>202.04</v>
      </c>
      <c r="BL137" s="2" t="s">
        <v>988</v>
      </c>
      <c r="BM137" s="7"/>
      <c r="BN137" s="7"/>
      <c r="BO137" s="4"/>
      <c r="BP137" s="8"/>
      <c r="BQ137" s="4"/>
      <c r="BR137" s="8"/>
      <c r="BS137" s="7"/>
      <c r="BT137" s="7"/>
      <c r="BU137" s="2" t="s">
        <v>989</v>
      </c>
      <c r="BV137" s="2" t="s">
        <v>231</v>
      </c>
      <c r="BW137" s="2" t="s">
        <v>231</v>
      </c>
      <c r="BX137" s="2" t="s">
        <v>241</v>
      </c>
      <c r="BY137" s="2" t="s">
        <v>277</v>
      </c>
      <c r="BZ137" s="2" t="s">
        <v>243</v>
      </c>
      <c r="CA137" s="2" t="s">
        <v>284</v>
      </c>
      <c r="CB137" s="2" t="s">
        <v>990</v>
      </c>
      <c r="CC137" s="2" t="s">
        <v>244</v>
      </c>
      <c r="CD137" s="2" t="s">
        <v>231</v>
      </c>
      <c r="CE137" s="4"/>
      <c r="CF137" s="4">
        <v>7</v>
      </c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</row>
    <row r="138">
      <c r="A138" s="2" t="s">
        <v>991</v>
      </c>
      <c r="B138" s="2" t="s">
        <v>992</v>
      </c>
      <c r="C138" s="2" t="s">
        <v>825</v>
      </c>
      <c r="D138" s="2" t="s">
        <v>993</v>
      </c>
      <c r="E138" s="2" t="s">
        <v>994</v>
      </c>
      <c r="F138" s="2" t="s">
        <v>981</v>
      </c>
      <c r="G138" s="2" t="s">
        <v>982</v>
      </c>
      <c r="H138" s="2" t="s">
        <v>983</v>
      </c>
      <c r="I138" s="2" t="s">
        <v>995</v>
      </c>
      <c r="J138" s="2" t="s">
        <v>996</v>
      </c>
      <c r="K138" s="2" t="s">
        <v>985</v>
      </c>
      <c r="L138" s="3">
        <v>18</v>
      </c>
      <c r="M138" s="3">
        <v>18.9</v>
      </c>
      <c r="N138" s="3">
        <v>39.99</v>
      </c>
      <c r="O138" s="2" t="s">
        <v>243</v>
      </c>
      <c r="P138" s="2" t="s">
        <v>341</v>
      </c>
      <c r="Q138" s="2" t="s">
        <v>237</v>
      </c>
      <c r="R138" s="2" t="s">
        <v>231</v>
      </c>
      <c r="S138" s="2" t="s">
        <v>997</v>
      </c>
      <c r="T138" s="2" t="s">
        <v>231</v>
      </c>
      <c r="U138" s="2" t="s">
        <v>231</v>
      </c>
      <c r="V138" s="2" t="s">
        <v>987</v>
      </c>
      <c r="W138" s="2" t="s">
        <v>273</v>
      </c>
      <c r="X138" s="2" t="s">
        <v>998</v>
      </c>
      <c r="Y138" s="2" t="s">
        <v>274</v>
      </c>
      <c r="Z138" s="4">
        <v>7518</v>
      </c>
      <c r="AA138" s="4">
        <f>=ROUNDDOWN(501.2,0)</f>
      </c>
      <c r="AB138" s="5">
        <v>15</v>
      </c>
      <c r="AC138" s="2" t="s">
        <v>231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231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231</v>
      </c>
      <c r="AW138" s="8" t="s">
        <v>231</v>
      </c>
      <c r="AX138" s="4" t="s">
        <v>231</v>
      </c>
      <c r="AY138" s="8" t="s">
        <v>231</v>
      </c>
      <c r="AZ138" s="7" t="s">
        <v>231</v>
      </c>
      <c r="BA138" s="7" t="s">
        <v>231</v>
      </c>
      <c r="BB138" s="7"/>
      <c r="BC138" s="4" t="s">
        <v>231</v>
      </c>
      <c r="BD138" s="8" t="s">
        <v>231</v>
      </c>
      <c r="BE138" s="4" t="s">
        <v>231</v>
      </c>
      <c r="BF138" s="8" t="s">
        <v>231</v>
      </c>
      <c r="BG138" s="7" t="s">
        <v>231</v>
      </c>
      <c r="BH138" s="7" t="s">
        <v>231</v>
      </c>
      <c r="BI138" s="7"/>
      <c r="BJ138" s="4">
        <v>48</v>
      </c>
      <c r="BK138" s="8">
        <v>691.79</v>
      </c>
      <c r="BL138" s="2" t="s">
        <v>999</v>
      </c>
      <c r="BM138" s="7"/>
      <c r="BN138" s="7"/>
      <c r="BO138" s="4"/>
      <c r="BP138" s="8"/>
      <c r="BQ138" s="4"/>
      <c r="BR138" s="8"/>
      <c r="BS138" s="7"/>
      <c r="BT138" s="7"/>
      <c r="BU138" s="2" t="s">
        <v>1000</v>
      </c>
      <c r="BV138" s="2" t="s">
        <v>231</v>
      </c>
      <c r="BW138" s="2" t="s">
        <v>231</v>
      </c>
      <c r="BX138" s="2" t="s">
        <v>231</v>
      </c>
      <c r="BY138" s="2" t="s">
        <v>277</v>
      </c>
      <c r="BZ138" s="2" t="s">
        <v>243</v>
      </c>
      <c r="CA138" s="2" t="s">
        <v>1001</v>
      </c>
      <c r="CB138" s="2" t="s">
        <v>1002</v>
      </c>
      <c r="CC138" s="2" t="s">
        <v>244</v>
      </c>
      <c r="CD138" s="2" t="s">
        <v>231</v>
      </c>
      <c r="CE138" s="4">
        <v>7518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</row>
    <row r="139">
      <c r="A139" s="2" t="s">
        <v>1003</v>
      </c>
      <c r="B139" s="2" t="s">
        <v>1004</v>
      </c>
      <c r="C139" s="2" t="s">
        <v>288</v>
      </c>
      <c r="D139" s="2" t="s">
        <v>1005</v>
      </c>
      <c r="E139" s="2" t="s">
        <v>1006</v>
      </c>
      <c r="F139" s="2" t="s">
        <v>1007</v>
      </c>
      <c r="G139" s="2" t="s">
        <v>1008</v>
      </c>
      <c r="H139" s="2" t="s">
        <v>1009</v>
      </c>
      <c r="I139" s="2" t="s">
        <v>1010</v>
      </c>
      <c r="J139" s="2" t="s">
        <v>807</v>
      </c>
      <c r="K139" s="2" t="s">
        <v>1011</v>
      </c>
      <c r="L139" s="3">
        <v>255.3</v>
      </c>
      <c r="M139" s="3">
        <v>268.06</v>
      </c>
      <c r="N139" s="3">
        <v>529</v>
      </c>
      <c r="O139" s="2" t="s">
        <v>235</v>
      </c>
      <c r="P139" s="2" t="s">
        <v>341</v>
      </c>
      <c r="Q139" s="2" t="s">
        <v>237</v>
      </c>
      <c r="R139" s="2" t="s">
        <v>231</v>
      </c>
      <c r="S139" s="2" t="s">
        <v>231</v>
      </c>
      <c r="T139" s="2" t="s">
        <v>231</v>
      </c>
      <c r="U139" s="2" t="s">
        <v>327</v>
      </c>
      <c r="V139" s="2" t="s">
        <v>239</v>
      </c>
      <c r="W139" s="2" t="s">
        <v>691</v>
      </c>
      <c r="X139" s="2" t="s">
        <v>231</v>
      </c>
      <c r="Y139" s="2" t="s">
        <v>1012</v>
      </c>
      <c r="Z139" s="4">
        <v>190</v>
      </c>
      <c r="AA139" s="4">
        <f>=ROUNDDOWN(190,0)</f>
      </c>
      <c r="AB139" s="5">
        <v>1</v>
      </c>
      <c r="AC139" s="2" t="s">
        <v>231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231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/>
      <c r="BD139" s="8"/>
      <c r="BE139" s="4"/>
      <c r="BF139" s="8"/>
      <c r="BG139" s="7"/>
      <c r="BH139" s="7"/>
      <c r="BI139" s="7"/>
      <c r="BJ139" s="4">
        <v>5</v>
      </c>
      <c r="BK139" s="8">
        <v>1269.71</v>
      </c>
      <c r="BL139" s="2" t="s">
        <v>1013</v>
      </c>
      <c r="BM139" s="7"/>
      <c r="BN139" s="7"/>
      <c r="BO139" s="4"/>
      <c r="BP139" s="8"/>
      <c r="BQ139" s="4"/>
      <c r="BR139" s="8"/>
      <c r="BS139" s="7"/>
      <c r="BT139" s="7"/>
      <c r="BU139" s="2" t="s">
        <v>1014</v>
      </c>
      <c r="BV139" s="2" t="s">
        <v>231</v>
      </c>
      <c r="BW139" s="2" t="s">
        <v>231</v>
      </c>
      <c r="BX139" s="2" t="s">
        <v>231</v>
      </c>
      <c r="BY139" s="2" t="s">
        <v>277</v>
      </c>
      <c r="BZ139" s="2" t="s">
        <v>243</v>
      </c>
      <c r="CA139" s="2" t="s">
        <v>1012</v>
      </c>
      <c r="CB139" s="2" t="s">
        <v>1015</v>
      </c>
      <c r="CC139" s="2" t="s">
        <v>244</v>
      </c>
      <c r="CD139" s="2" t="s">
        <v>231</v>
      </c>
      <c r="CE139" s="4"/>
      <c r="CF139" s="4">
        <v>190</v>
      </c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</row>
    <row r="140">
      <c r="A140" s="2" t="s">
        <v>1016</v>
      </c>
      <c r="B140" s="2" t="s">
        <v>824</v>
      </c>
      <c r="C140" s="2" t="s">
        <v>1017</v>
      </c>
      <c r="D140" s="2" t="s">
        <v>654</v>
      </c>
      <c r="E140" s="2" t="s">
        <v>655</v>
      </c>
      <c r="F140" s="2" t="s">
        <v>1018</v>
      </c>
      <c r="G140" s="2" t="s">
        <v>231</v>
      </c>
      <c r="H140" s="2" t="s">
        <v>231</v>
      </c>
      <c r="I140" s="2" t="s">
        <v>984</v>
      </c>
      <c r="J140" s="2" t="s">
        <v>832</v>
      </c>
      <c r="K140" s="2" t="s">
        <v>985</v>
      </c>
      <c r="L140" s="3">
        <v>24.28</v>
      </c>
      <c r="M140" s="3">
        <v>25.49</v>
      </c>
      <c r="N140" s="3">
        <v>39.99</v>
      </c>
      <c r="O140" s="2" t="s">
        <v>243</v>
      </c>
      <c r="P140" s="2" t="s">
        <v>1019</v>
      </c>
      <c r="Q140" s="2" t="s">
        <v>237</v>
      </c>
      <c r="R140" s="2" t="s">
        <v>1020</v>
      </c>
      <c r="S140" s="2" t="s">
        <v>231</v>
      </c>
      <c r="T140" s="2" t="s">
        <v>231</v>
      </c>
      <c r="U140" s="2" t="s">
        <v>835</v>
      </c>
      <c r="V140" s="2" t="s">
        <v>662</v>
      </c>
      <c r="W140" s="2" t="s">
        <v>231</v>
      </c>
      <c r="X140" s="2" t="s">
        <v>231</v>
      </c>
      <c r="Y140" s="2" t="s">
        <v>1021</v>
      </c>
      <c r="Z140" s="4">
        <v>121</v>
      </c>
      <c r="AA140" s="4">
        <f>=ROUNDDOWN(605,0)</f>
      </c>
      <c r="AB140" s="5">
        <v>0.2</v>
      </c>
      <c r="AC140" s="2" t="s">
        <v>231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231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231</v>
      </c>
      <c r="AW140" s="8" t="s">
        <v>231</v>
      </c>
      <c r="AX140" s="4" t="s">
        <v>231</v>
      </c>
      <c r="AY140" s="8" t="s">
        <v>231</v>
      </c>
      <c r="AZ140" s="7" t="s">
        <v>231</v>
      </c>
      <c r="BA140" s="7" t="s">
        <v>231</v>
      </c>
      <c r="BB140" s="7"/>
      <c r="BC140" s="4" t="s">
        <v>231</v>
      </c>
      <c r="BD140" s="8" t="s">
        <v>231</v>
      </c>
      <c r="BE140" s="4" t="s">
        <v>231</v>
      </c>
      <c r="BF140" s="8" t="s">
        <v>231</v>
      </c>
      <c r="BG140" s="7" t="s">
        <v>231</v>
      </c>
      <c r="BH140" s="7" t="s">
        <v>231</v>
      </c>
      <c r="BI140" s="7"/>
      <c r="BJ140" s="4">
        <v>1</v>
      </c>
      <c r="BK140" s="8">
        <v>26.1</v>
      </c>
      <c r="BL140" s="2" t="s">
        <v>1022</v>
      </c>
      <c r="BM140" s="7"/>
      <c r="BN140" s="7"/>
      <c r="BO140" s="4"/>
      <c r="BP140" s="8"/>
      <c r="BQ140" s="4"/>
      <c r="BR140" s="8"/>
      <c r="BS140" s="7"/>
      <c r="BT140" s="7"/>
      <c r="BU140" s="2" t="s">
        <v>1023</v>
      </c>
      <c r="BV140" s="2" t="s">
        <v>231</v>
      </c>
      <c r="BW140" s="2" t="s">
        <v>231</v>
      </c>
      <c r="BX140" s="2" t="s">
        <v>241</v>
      </c>
      <c r="BY140" s="2" t="s">
        <v>277</v>
      </c>
      <c r="BZ140" s="2" t="s">
        <v>243</v>
      </c>
      <c r="CA140" s="2" t="s">
        <v>1024</v>
      </c>
      <c r="CB140" s="2" t="s">
        <v>231</v>
      </c>
      <c r="CC140" s="2" t="s">
        <v>244</v>
      </c>
      <c r="CD140" s="2" t="s">
        <v>231</v>
      </c>
      <c r="CE140" s="4">
        <v>121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</row>
    <row r="141">
      <c r="A141" s="2" t="s">
        <v>1025</v>
      </c>
      <c r="B141" s="2" t="s">
        <v>824</v>
      </c>
      <c r="C141" s="2" t="s">
        <v>1017</v>
      </c>
      <c r="D141" s="2" t="s">
        <v>654</v>
      </c>
      <c r="E141" s="2" t="s">
        <v>655</v>
      </c>
      <c r="F141" s="2" t="s">
        <v>1018</v>
      </c>
      <c r="G141" s="2" t="s">
        <v>1018</v>
      </c>
      <c r="H141" s="2" t="s">
        <v>1018</v>
      </c>
      <c r="I141" s="2" t="s">
        <v>984</v>
      </c>
      <c r="J141" s="2" t="s">
        <v>1026</v>
      </c>
      <c r="K141" s="2" t="s">
        <v>985</v>
      </c>
      <c r="L141" s="3">
        <v>29.56</v>
      </c>
      <c r="M141" s="3">
        <v>31.04</v>
      </c>
      <c r="N141" s="3">
        <v>49.99</v>
      </c>
      <c r="O141" s="2" t="s">
        <v>243</v>
      </c>
      <c r="P141" s="2" t="s">
        <v>1019</v>
      </c>
      <c r="Q141" s="2" t="s">
        <v>237</v>
      </c>
      <c r="R141" s="2" t="s">
        <v>1020</v>
      </c>
      <c r="S141" s="2" t="s">
        <v>231</v>
      </c>
      <c r="T141" s="2" t="s">
        <v>231</v>
      </c>
      <c r="U141" s="2" t="s">
        <v>298</v>
      </c>
      <c r="V141" s="2" t="s">
        <v>662</v>
      </c>
      <c r="W141" s="2" t="s">
        <v>231</v>
      </c>
      <c r="X141" s="2" t="s">
        <v>231</v>
      </c>
      <c r="Y141" s="2" t="s">
        <v>1027</v>
      </c>
      <c r="Z141" s="4">
        <v>390</v>
      </c>
      <c r="AA141" s="4">
        <f>=ROUNDDOWN(390,0)</f>
      </c>
      <c r="AB141" s="5">
        <v>1</v>
      </c>
      <c r="AC141" s="2" t="s">
        <v>231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231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231</v>
      </c>
      <c r="AW141" s="8" t="s">
        <v>231</v>
      </c>
      <c r="AX141" s="4" t="s">
        <v>231</v>
      </c>
      <c r="AY141" s="8" t="s">
        <v>231</v>
      </c>
      <c r="AZ141" s="7" t="s">
        <v>231</v>
      </c>
      <c r="BA141" s="7" t="s">
        <v>231</v>
      </c>
      <c r="BB141" s="7"/>
      <c r="BC141" s="4" t="s">
        <v>231</v>
      </c>
      <c r="BD141" s="8" t="s">
        <v>231</v>
      </c>
      <c r="BE141" s="4" t="s">
        <v>231</v>
      </c>
      <c r="BF141" s="8" t="s">
        <v>231</v>
      </c>
      <c r="BG141" s="7" t="s">
        <v>231</v>
      </c>
      <c r="BH141" s="7" t="s">
        <v>231</v>
      </c>
      <c r="BI141" s="7"/>
      <c r="BJ141" s="4">
        <v>2</v>
      </c>
      <c r="BK141" s="8">
        <v>89.98</v>
      </c>
      <c r="BL141" s="2" t="s">
        <v>1028</v>
      </c>
      <c r="BM141" s="7"/>
      <c r="BN141" s="7"/>
      <c r="BO141" s="4"/>
      <c r="BP141" s="8"/>
      <c r="BQ141" s="4"/>
      <c r="BR141" s="8"/>
      <c r="BS141" s="7"/>
      <c r="BT141" s="7"/>
      <c r="BU141" s="2" t="s">
        <v>1029</v>
      </c>
      <c r="BV141" s="2" t="s">
        <v>231</v>
      </c>
      <c r="BW141" s="2" t="s">
        <v>231</v>
      </c>
      <c r="BX141" s="2" t="s">
        <v>241</v>
      </c>
      <c r="BY141" s="2" t="s">
        <v>277</v>
      </c>
      <c r="BZ141" s="2" t="s">
        <v>243</v>
      </c>
      <c r="CA141" s="2" t="s">
        <v>1024</v>
      </c>
      <c r="CB141" s="2" t="s">
        <v>231</v>
      </c>
      <c r="CC141" s="2" t="s">
        <v>244</v>
      </c>
      <c r="CD141" s="2" t="s">
        <v>231</v>
      </c>
      <c r="CE141" s="4">
        <v>390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</row>
    <row r="142">
      <c r="A142" s="2" t="s">
        <v>1030</v>
      </c>
      <c r="B142" s="2" t="s">
        <v>1004</v>
      </c>
      <c r="C142" s="2" t="s">
        <v>288</v>
      </c>
      <c r="D142" s="2" t="s">
        <v>1031</v>
      </c>
      <c r="E142" s="2" t="s">
        <v>1032</v>
      </c>
      <c r="F142" s="2" t="s">
        <v>1018</v>
      </c>
      <c r="G142" s="2" t="s">
        <v>1033</v>
      </c>
      <c r="H142" s="2" t="s">
        <v>1034</v>
      </c>
      <c r="I142" s="2" t="s">
        <v>1035</v>
      </c>
      <c r="J142" s="2" t="s">
        <v>807</v>
      </c>
      <c r="K142" s="2" t="s">
        <v>1036</v>
      </c>
      <c r="L142" s="3">
        <v>467.46</v>
      </c>
      <c r="M142" s="3">
        <v>490.83</v>
      </c>
      <c r="N142" s="3">
        <v>979</v>
      </c>
      <c r="O142" s="2" t="s">
        <v>243</v>
      </c>
      <c r="P142" s="2" t="s">
        <v>1037</v>
      </c>
      <c r="Q142" s="2" t="s">
        <v>237</v>
      </c>
      <c r="R142" s="2" t="s">
        <v>16</v>
      </c>
      <c r="S142" s="2" t="s">
        <v>1038</v>
      </c>
      <c r="T142" s="2" t="s">
        <v>231</v>
      </c>
      <c r="U142" s="2" t="s">
        <v>791</v>
      </c>
      <c r="V142" s="2" t="s">
        <v>239</v>
      </c>
      <c r="W142" s="2" t="s">
        <v>792</v>
      </c>
      <c r="X142" s="2" t="s">
        <v>231</v>
      </c>
      <c r="Y142" s="2" t="s">
        <v>1039</v>
      </c>
      <c r="Z142" s="4">
        <v>104</v>
      </c>
      <c r="AA142" s="4">
        <f>=ROUNDDOWN({0},0)</f>
      </c>
      <c r="AB142" s="5"/>
      <c r="AC142" s="2" t="s">
        <v>231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231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 t="s">
        <v>231</v>
      </c>
      <c r="BD142" s="8" t="s">
        <v>231</v>
      </c>
      <c r="BE142" s="4" t="s">
        <v>231</v>
      </c>
      <c r="BF142" s="8" t="s">
        <v>231</v>
      </c>
      <c r="BG142" s="7" t="s">
        <v>231</v>
      </c>
      <c r="BH142" s="7" t="s">
        <v>231</v>
      </c>
      <c r="BI142" s="7"/>
      <c r="BJ142" s="4"/>
      <c r="BK142" s="8"/>
      <c r="BL142" s="2" t="s">
        <v>231</v>
      </c>
      <c r="BM142" s="7"/>
      <c r="BN142" s="7"/>
      <c r="BO142" s="4"/>
      <c r="BP142" s="8"/>
      <c r="BQ142" s="4"/>
      <c r="BR142" s="8"/>
      <c r="BS142" s="7"/>
      <c r="BT142" s="7"/>
      <c r="BU142" s="2" t="s">
        <v>1040</v>
      </c>
      <c r="BV142" s="2" t="s">
        <v>231</v>
      </c>
      <c r="BW142" s="2" t="s">
        <v>231</v>
      </c>
      <c r="BX142" s="2" t="s">
        <v>241</v>
      </c>
      <c r="BY142" s="2" t="s">
        <v>277</v>
      </c>
      <c r="BZ142" s="2" t="s">
        <v>243</v>
      </c>
      <c r="CA142" s="2" t="s">
        <v>1041</v>
      </c>
      <c r="CB142" s="2" t="s">
        <v>231</v>
      </c>
      <c r="CC142" s="2" t="s">
        <v>244</v>
      </c>
      <c r="CD142" s="2" t="s">
        <v>231</v>
      </c>
      <c r="CE142" s="4"/>
      <c r="CF142" s="4">
        <v>101</v>
      </c>
      <c r="CG142" s="4"/>
      <c r="CH142" s="4"/>
      <c r="CI142" s="4">
        <v>3</v>
      </c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</row>
    <row r="143">
      <c r="A143" s="2" t="s">
        <v>1042</v>
      </c>
      <c r="B143" s="2" t="s">
        <v>801</v>
      </c>
      <c r="C143" s="2" t="s">
        <v>815</v>
      </c>
      <c r="D143" s="2" t="s">
        <v>1043</v>
      </c>
      <c r="E143" s="2" t="s">
        <v>1044</v>
      </c>
      <c r="F143" s="2" t="s">
        <v>1018</v>
      </c>
      <c r="G143" s="2" t="s">
        <v>1018</v>
      </c>
      <c r="H143" s="2" t="s">
        <v>1018</v>
      </c>
      <c r="I143" s="2" t="s">
        <v>1045</v>
      </c>
      <c r="J143" s="2" t="s">
        <v>807</v>
      </c>
      <c r="K143" s="2" t="s">
        <v>1046</v>
      </c>
      <c r="L143" s="3">
        <v>56.05</v>
      </c>
      <c r="M143" s="3">
        <v>58.85</v>
      </c>
      <c r="N143" s="3">
        <v>117.99</v>
      </c>
      <c r="O143" s="2" t="s">
        <v>243</v>
      </c>
      <c r="P143" s="2" t="s">
        <v>341</v>
      </c>
      <c r="Q143" s="2" t="s">
        <v>237</v>
      </c>
      <c r="R143" s="2" t="s">
        <v>231</v>
      </c>
      <c r="S143" s="2" t="s">
        <v>231</v>
      </c>
      <c r="T143" s="2" t="s">
        <v>231</v>
      </c>
      <c r="U143" s="2" t="s">
        <v>327</v>
      </c>
      <c r="V143" s="2" t="s">
        <v>662</v>
      </c>
      <c r="W143" s="2" t="s">
        <v>691</v>
      </c>
      <c r="X143" s="2" t="s">
        <v>231</v>
      </c>
      <c r="Y143" s="2" t="s">
        <v>1047</v>
      </c>
      <c r="Z143" s="4">
        <v>102</v>
      </c>
      <c r="AA143" s="4">
        <f>=ROUNDDOWN(102,0)</f>
      </c>
      <c r="AB143" s="5">
        <v>1</v>
      </c>
      <c r="AC143" s="2" t="s">
        <v>231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231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231</v>
      </c>
      <c r="BD143" s="8" t="s">
        <v>231</v>
      </c>
      <c r="BE143" s="4" t="s">
        <v>231</v>
      </c>
      <c r="BF143" s="8" t="s">
        <v>231</v>
      </c>
      <c r="BG143" s="7" t="s">
        <v>231</v>
      </c>
      <c r="BH143" s="7" t="s">
        <v>231</v>
      </c>
      <c r="BI143" s="7"/>
      <c r="BJ143" s="4"/>
      <c r="BK143" s="8"/>
      <c r="BL143" s="2" t="s">
        <v>231</v>
      </c>
      <c r="BM143" s="7"/>
      <c r="BN143" s="7"/>
      <c r="BO143" s="4"/>
      <c r="BP143" s="8"/>
      <c r="BQ143" s="4"/>
      <c r="BR143" s="8"/>
      <c r="BS143" s="7"/>
      <c r="BT143" s="7"/>
      <c r="BU143" s="2" t="s">
        <v>1048</v>
      </c>
      <c r="BV143" s="2" t="s">
        <v>231</v>
      </c>
      <c r="BW143" s="2" t="s">
        <v>231</v>
      </c>
      <c r="BX143" s="2" t="s">
        <v>231</v>
      </c>
      <c r="BY143" s="2" t="s">
        <v>277</v>
      </c>
      <c r="BZ143" s="2" t="s">
        <v>243</v>
      </c>
      <c r="CA143" s="2" t="s">
        <v>1049</v>
      </c>
      <c r="CB143" s="2" t="s">
        <v>231</v>
      </c>
      <c r="CC143" s="2" t="s">
        <v>244</v>
      </c>
      <c r="CD143" s="2" t="s">
        <v>231</v>
      </c>
      <c r="CE143" s="4"/>
      <c r="CF143" s="4">
        <v>102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</row>
    <row r="144">
      <c r="A144" s="2" t="s">
        <v>1050</v>
      </c>
      <c r="B144" s="2" t="s">
        <v>824</v>
      </c>
      <c r="C144" s="2" t="s">
        <v>1051</v>
      </c>
      <c r="D144" s="2" t="s">
        <v>654</v>
      </c>
      <c r="E144" s="2" t="s">
        <v>890</v>
      </c>
      <c r="F144" s="2" t="s">
        <v>1052</v>
      </c>
      <c r="G144" s="2" t="s">
        <v>1053</v>
      </c>
      <c r="H144" s="2" t="s">
        <v>1054</v>
      </c>
      <c r="I144" s="2" t="s">
        <v>1055</v>
      </c>
      <c r="J144" s="2" t="s">
        <v>658</v>
      </c>
      <c r="K144" s="2" t="s">
        <v>234</v>
      </c>
      <c r="L144" s="3">
        <v>40.47</v>
      </c>
      <c r="M144" s="3">
        <v>42.49</v>
      </c>
      <c r="N144" s="3">
        <v>84.99</v>
      </c>
      <c r="O144" s="2" t="s">
        <v>243</v>
      </c>
      <c r="P144" s="2" t="s">
        <v>236</v>
      </c>
      <c r="Q144" s="2" t="s">
        <v>237</v>
      </c>
      <c r="R144" s="2" t="s">
        <v>231</v>
      </c>
      <c r="S144" s="2" t="s">
        <v>1056</v>
      </c>
      <c r="T144" s="2" t="s">
        <v>362</v>
      </c>
      <c r="U144" s="2" t="s">
        <v>835</v>
      </c>
      <c r="V144" s="2" t="s">
        <v>381</v>
      </c>
      <c r="W144" s="2" t="s">
        <v>691</v>
      </c>
      <c r="X144" s="2" t="s">
        <v>231</v>
      </c>
      <c r="Y144" s="2" t="s">
        <v>1057</v>
      </c>
      <c r="Z144" s="4">
        <v>282</v>
      </c>
      <c r="AA144" s="4">
        <f>=ROUNDDOWN(176.25,0)</f>
      </c>
      <c r="AB144" s="5">
        <v>1.6</v>
      </c>
      <c r="AC144" s="2" t="s">
        <v>231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231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231</v>
      </c>
      <c r="AW144" s="8" t="s">
        <v>231</v>
      </c>
      <c r="AX144" s="4" t="s">
        <v>231</v>
      </c>
      <c r="AY144" s="8" t="s">
        <v>231</v>
      </c>
      <c r="AZ144" s="7" t="s">
        <v>231</v>
      </c>
      <c r="BA144" s="7" t="s">
        <v>231</v>
      </c>
      <c r="BB144" s="7" t="s">
        <v>231</v>
      </c>
      <c r="BC144" s="4" t="s">
        <v>231</v>
      </c>
      <c r="BD144" s="8" t="s">
        <v>231</v>
      </c>
      <c r="BE144" s="4" t="s">
        <v>231</v>
      </c>
      <c r="BF144" s="8" t="s">
        <v>231</v>
      </c>
      <c r="BG144" s="7" t="s">
        <v>231</v>
      </c>
      <c r="BH144" s="7" t="s">
        <v>231</v>
      </c>
      <c r="BI144" s="7"/>
      <c r="BJ144" s="4">
        <v>7</v>
      </c>
      <c r="BK144" s="8">
        <v>321.23</v>
      </c>
      <c r="BL144" s="2" t="s">
        <v>838</v>
      </c>
      <c r="BM144" s="7"/>
      <c r="BN144" s="7"/>
      <c r="BO144" s="4"/>
      <c r="BP144" s="8"/>
      <c r="BQ144" s="4"/>
      <c r="BR144" s="8"/>
      <c r="BS144" s="7"/>
      <c r="BT144" s="7"/>
      <c r="BU144" s="2" t="s">
        <v>1058</v>
      </c>
      <c r="BV144" s="2" t="s">
        <v>231</v>
      </c>
      <c r="BW144" s="2" t="s">
        <v>231</v>
      </c>
      <c r="BX144" s="2" t="s">
        <v>241</v>
      </c>
      <c r="BY144" s="2" t="s">
        <v>277</v>
      </c>
      <c r="BZ144" s="2" t="s">
        <v>243</v>
      </c>
      <c r="CA144" s="2" t="s">
        <v>367</v>
      </c>
      <c r="CB144" s="2" t="s">
        <v>231</v>
      </c>
      <c r="CC144" s="2" t="s">
        <v>244</v>
      </c>
      <c r="CD144" s="2" t="s">
        <v>231</v>
      </c>
      <c r="CE144" s="4">
        <v>282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</row>
    <row r="145">
      <c r="A145" s="2" t="s">
        <v>1059</v>
      </c>
      <c r="B145" s="2" t="s">
        <v>824</v>
      </c>
      <c r="C145" s="2" t="s">
        <v>1051</v>
      </c>
      <c r="D145" s="2" t="s">
        <v>826</v>
      </c>
      <c r="E145" s="2" t="s">
        <v>1060</v>
      </c>
      <c r="F145" s="2" t="s">
        <v>1052</v>
      </c>
      <c r="G145" s="2" t="s">
        <v>1053</v>
      </c>
      <c r="H145" s="2" t="s">
        <v>1054</v>
      </c>
      <c r="I145" s="2" t="s">
        <v>1061</v>
      </c>
      <c r="J145" s="2" t="s">
        <v>658</v>
      </c>
      <c r="K145" s="2" t="s">
        <v>234</v>
      </c>
      <c r="L145" s="3">
        <v>30.95</v>
      </c>
      <c r="M145" s="3">
        <v>32.5</v>
      </c>
      <c r="N145" s="3">
        <v>64.99</v>
      </c>
      <c r="O145" s="2" t="s">
        <v>243</v>
      </c>
      <c r="P145" s="2" t="s">
        <v>236</v>
      </c>
      <c r="Q145" s="2" t="s">
        <v>237</v>
      </c>
      <c r="R145" s="2" t="s">
        <v>231</v>
      </c>
      <c r="S145" s="2" t="s">
        <v>1056</v>
      </c>
      <c r="T145" s="2" t="s">
        <v>362</v>
      </c>
      <c r="U145" s="2" t="s">
        <v>835</v>
      </c>
      <c r="V145" s="2" t="s">
        <v>381</v>
      </c>
      <c r="W145" s="2" t="s">
        <v>691</v>
      </c>
      <c r="X145" s="2" t="s">
        <v>231</v>
      </c>
      <c r="Y145" s="2" t="s">
        <v>364</v>
      </c>
      <c r="Z145" s="4">
        <v>148</v>
      </c>
      <c r="AA145" s="4">
        <f>=ROUNDDOWN({0},0)</f>
      </c>
      <c r="AB145" s="5"/>
      <c r="AC145" s="2" t="s">
        <v>231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231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231</v>
      </c>
      <c r="AW145" s="8" t="s">
        <v>231</v>
      </c>
      <c r="AX145" s="4" t="s">
        <v>231</v>
      </c>
      <c r="AY145" s="8" t="s">
        <v>231</v>
      </c>
      <c r="AZ145" s="7" t="s">
        <v>231</v>
      </c>
      <c r="BA145" s="7" t="s">
        <v>231</v>
      </c>
      <c r="BB145" s="7" t="s">
        <v>231</v>
      </c>
      <c r="BC145" s="4" t="s">
        <v>231</v>
      </c>
      <c r="BD145" s="8" t="s">
        <v>231</v>
      </c>
      <c r="BE145" s="4" t="s">
        <v>231</v>
      </c>
      <c r="BF145" s="8" t="s">
        <v>231</v>
      </c>
      <c r="BG145" s="7" t="s">
        <v>231</v>
      </c>
      <c r="BH145" s="7" t="s">
        <v>231</v>
      </c>
      <c r="BI145" s="7"/>
      <c r="BJ145" s="4"/>
      <c r="BK145" s="8"/>
      <c r="BL145" s="2" t="s">
        <v>231</v>
      </c>
      <c r="BM145" s="7"/>
      <c r="BN145" s="7"/>
      <c r="BO145" s="4"/>
      <c r="BP145" s="8"/>
      <c r="BQ145" s="4"/>
      <c r="BR145" s="8"/>
      <c r="BS145" s="7"/>
      <c r="BT145" s="7"/>
      <c r="BU145" s="2" t="s">
        <v>1062</v>
      </c>
      <c r="BV145" s="2" t="s">
        <v>231</v>
      </c>
      <c r="BW145" s="2" t="s">
        <v>231</v>
      </c>
      <c r="BX145" s="2" t="s">
        <v>241</v>
      </c>
      <c r="BY145" s="2" t="s">
        <v>277</v>
      </c>
      <c r="BZ145" s="2" t="s">
        <v>243</v>
      </c>
      <c r="CA145" s="2" t="s">
        <v>367</v>
      </c>
      <c r="CB145" s="2" t="s">
        <v>231</v>
      </c>
      <c r="CC145" s="2" t="s">
        <v>244</v>
      </c>
      <c r="CD145" s="2" t="s">
        <v>231</v>
      </c>
      <c r="CE145" s="4">
        <v>148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</row>
    <row r="146">
      <c r="A146" s="2" t="s">
        <v>1063</v>
      </c>
      <c r="B146" s="2" t="s">
        <v>824</v>
      </c>
      <c r="C146" s="2" t="s">
        <v>1051</v>
      </c>
      <c r="D146" s="2" t="s">
        <v>826</v>
      </c>
      <c r="E146" s="2" t="s">
        <v>1060</v>
      </c>
      <c r="F146" s="2" t="s">
        <v>1052</v>
      </c>
      <c r="G146" s="2" t="s">
        <v>1053</v>
      </c>
      <c r="H146" s="2" t="s">
        <v>1054</v>
      </c>
      <c r="I146" s="2" t="s">
        <v>1061</v>
      </c>
      <c r="J146" s="2" t="s">
        <v>669</v>
      </c>
      <c r="K146" s="2" t="s">
        <v>234</v>
      </c>
      <c r="L146" s="3">
        <v>35.71</v>
      </c>
      <c r="M146" s="3">
        <v>37.5</v>
      </c>
      <c r="N146" s="3">
        <v>74.99</v>
      </c>
      <c r="O146" s="2" t="s">
        <v>243</v>
      </c>
      <c r="P146" s="2" t="s">
        <v>236</v>
      </c>
      <c r="Q146" s="2" t="s">
        <v>237</v>
      </c>
      <c r="R146" s="2" t="s">
        <v>231</v>
      </c>
      <c r="S146" s="2" t="s">
        <v>1056</v>
      </c>
      <c r="T146" s="2" t="s">
        <v>362</v>
      </c>
      <c r="U146" s="2" t="s">
        <v>835</v>
      </c>
      <c r="V146" s="2" t="s">
        <v>381</v>
      </c>
      <c r="W146" s="2" t="s">
        <v>691</v>
      </c>
      <c r="X146" s="2" t="s">
        <v>231</v>
      </c>
      <c r="Y146" s="2" t="s">
        <v>364</v>
      </c>
      <c r="Z146" s="4">
        <v>115</v>
      </c>
      <c r="AA146" s="4">
        <f>=ROUNDDOWN(191.666666666667,0)</f>
      </c>
      <c r="AB146" s="5">
        <v>0.6</v>
      </c>
      <c r="AC146" s="2" t="s">
        <v>231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231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231</v>
      </c>
      <c r="AW146" s="8" t="s">
        <v>231</v>
      </c>
      <c r="AX146" s="4" t="s">
        <v>231</v>
      </c>
      <c r="AY146" s="8" t="s">
        <v>231</v>
      </c>
      <c r="AZ146" s="7" t="s">
        <v>231</v>
      </c>
      <c r="BA146" s="7" t="s">
        <v>231</v>
      </c>
      <c r="BB146" s="7"/>
      <c r="BC146" s="4" t="s">
        <v>231</v>
      </c>
      <c r="BD146" s="8" t="s">
        <v>231</v>
      </c>
      <c r="BE146" s="4" t="s">
        <v>231</v>
      </c>
      <c r="BF146" s="8" t="s">
        <v>231</v>
      </c>
      <c r="BG146" s="7" t="s">
        <v>231</v>
      </c>
      <c r="BH146" s="7" t="s">
        <v>231</v>
      </c>
      <c r="BI146" s="7"/>
      <c r="BJ146" s="4">
        <v>2</v>
      </c>
      <c r="BK146" s="8">
        <v>81</v>
      </c>
      <c r="BL146" s="2" t="s">
        <v>465</v>
      </c>
      <c r="BM146" s="7"/>
      <c r="BN146" s="7"/>
      <c r="BO146" s="4"/>
      <c r="BP146" s="8"/>
      <c r="BQ146" s="4"/>
      <c r="BR146" s="8"/>
      <c r="BS146" s="7"/>
      <c r="BT146" s="7"/>
      <c r="BU146" s="2" t="s">
        <v>1064</v>
      </c>
      <c r="BV146" s="2" t="s">
        <v>231</v>
      </c>
      <c r="BW146" s="2" t="s">
        <v>231</v>
      </c>
      <c r="BX146" s="2" t="s">
        <v>241</v>
      </c>
      <c r="BY146" s="2" t="s">
        <v>277</v>
      </c>
      <c r="BZ146" s="2" t="s">
        <v>243</v>
      </c>
      <c r="CA146" s="2" t="s">
        <v>367</v>
      </c>
      <c r="CB146" s="2" t="s">
        <v>231</v>
      </c>
      <c r="CC146" s="2" t="s">
        <v>244</v>
      </c>
      <c r="CD146" s="2" t="s">
        <v>231</v>
      </c>
      <c r="CE146" s="4">
        <v>115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</row>
    <row r="147">
      <c r="A147" s="2" t="s">
        <v>1065</v>
      </c>
      <c r="B147" s="2" t="s">
        <v>784</v>
      </c>
      <c r="C147" s="2" t="s">
        <v>357</v>
      </c>
      <c r="D147" s="2" t="s">
        <v>785</v>
      </c>
      <c r="E147" s="2" t="s">
        <v>786</v>
      </c>
      <c r="F147" s="2" t="s">
        <v>1066</v>
      </c>
      <c r="G147" s="2" t="s">
        <v>1067</v>
      </c>
      <c r="H147" s="2" t="s">
        <v>1068</v>
      </c>
      <c r="I147" s="2" t="s">
        <v>1069</v>
      </c>
      <c r="J147" s="2" t="s">
        <v>1070</v>
      </c>
      <c r="K147" s="2" t="s">
        <v>294</v>
      </c>
      <c r="L147" s="3">
        <v>18.4</v>
      </c>
      <c r="M147" s="3">
        <v>19.32</v>
      </c>
      <c r="N147" s="3">
        <v>39.99</v>
      </c>
      <c r="O147" s="2" t="s">
        <v>243</v>
      </c>
      <c r="P147" s="2" t="s">
        <v>270</v>
      </c>
      <c r="Q147" s="2" t="s">
        <v>237</v>
      </c>
      <c r="R147" s="2" t="s">
        <v>231</v>
      </c>
      <c r="S147" s="2" t="s">
        <v>1071</v>
      </c>
      <c r="T147" s="2" t="s">
        <v>362</v>
      </c>
      <c r="U147" s="2" t="s">
        <v>765</v>
      </c>
      <c r="V147" s="2" t="s">
        <v>239</v>
      </c>
      <c r="W147" s="2" t="s">
        <v>273</v>
      </c>
      <c r="X147" s="2" t="s">
        <v>231</v>
      </c>
      <c r="Y147" s="2" t="s">
        <v>1072</v>
      </c>
      <c r="Z147" s="4">
        <v>531</v>
      </c>
      <c r="AA147" s="4">
        <f>=ROUNDDOWN(22.125,0)</f>
      </c>
      <c r="AB147" s="5">
        <v>24</v>
      </c>
      <c r="AC147" s="2" t="s">
        <v>231</v>
      </c>
      <c r="AD147" s="4"/>
      <c r="AE147" s="4"/>
      <c r="AF147" s="6">
        <v>69</v>
      </c>
      <c r="AG147" s="6"/>
      <c r="AH147" s="7">
        <v>1</v>
      </c>
      <c r="AI147" s="4"/>
      <c r="AJ147" s="4">
        <f>=ROUNDDOWN({0},0)</f>
      </c>
      <c r="AK147" s="5"/>
      <c r="AL147" s="2" t="s">
        <v>231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231</v>
      </c>
      <c r="BD147" s="8" t="s">
        <v>231</v>
      </c>
      <c r="BE147" s="4" t="s">
        <v>231</v>
      </c>
      <c r="BF147" s="8" t="s">
        <v>231</v>
      </c>
      <c r="BG147" s="7" t="s">
        <v>231</v>
      </c>
      <c r="BH147" s="7" t="s">
        <v>231</v>
      </c>
      <c r="BI147" s="7"/>
      <c r="BJ147" s="4">
        <v>110</v>
      </c>
      <c r="BK147" s="8">
        <v>1944.18</v>
      </c>
      <c r="BL147" s="2" t="s">
        <v>1073</v>
      </c>
      <c r="BM147" s="7"/>
      <c r="BN147" s="7"/>
      <c r="BO147" s="4"/>
      <c r="BP147" s="8"/>
      <c r="BQ147" s="4"/>
      <c r="BR147" s="8"/>
      <c r="BS147" s="7"/>
      <c r="BT147" s="7"/>
      <c r="BU147" s="2" t="s">
        <v>1074</v>
      </c>
      <c r="BV147" s="2" t="s">
        <v>231</v>
      </c>
      <c r="BW147" s="2" t="s">
        <v>231</v>
      </c>
      <c r="BX147" s="2" t="s">
        <v>231</v>
      </c>
      <c r="BY147" s="2" t="s">
        <v>277</v>
      </c>
      <c r="BZ147" s="2" t="s">
        <v>243</v>
      </c>
      <c r="CA147" s="2" t="s">
        <v>386</v>
      </c>
      <c r="CB147" s="2" t="s">
        <v>1075</v>
      </c>
      <c r="CC147" s="2" t="s">
        <v>244</v>
      </c>
      <c r="CD147" s="2" t="s">
        <v>231</v>
      </c>
      <c r="CE147" s="4">
        <v>531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</row>
    <row r="148">
      <c r="A148" s="2" t="s">
        <v>1076</v>
      </c>
      <c r="B148" s="2" t="s">
        <v>784</v>
      </c>
      <c r="C148" s="2" t="s">
        <v>357</v>
      </c>
      <c r="D148" s="2" t="s">
        <v>785</v>
      </c>
      <c r="E148" s="2" t="s">
        <v>786</v>
      </c>
      <c r="F148" s="2" t="s">
        <v>1066</v>
      </c>
      <c r="G148" s="2" t="s">
        <v>1067</v>
      </c>
      <c r="H148" s="2" t="s">
        <v>1068</v>
      </c>
      <c r="I148" s="2" t="s">
        <v>1069</v>
      </c>
      <c r="J148" s="2" t="s">
        <v>1070</v>
      </c>
      <c r="K148" s="2" t="s">
        <v>1077</v>
      </c>
      <c r="L148" s="3">
        <v>18.4</v>
      </c>
      <c r="M148" s="3">
        <v>19.32</v>
      </c>
      <c r="N148" s="3">
        <v>39.99</v>
      </c>
      <c r="O148" s="2" t="s">
        <v>243</v>
      </c>
      <c r="P148" s="2" t="s">
        <v>871</v>
      </c>
      <c r="Q148" s="2" t="s">
        <v>237</v>
      </c>
      <c r="R148" s="2" t="s">
        <v>231</v>
      </c>
      <c r="S148" s="2" t="s">
        <v>231</v>
      </c>
      <c r="T148" s="2" t="s">
        <v>231</v>
      </c>
      <c r="U148" s="2" t="s">
        <v>765</v>
      </c>
      <c r="V148" s="2" t="s">
        <v>239</v>
      </c>
      <c r="W148" s="2" t="s">
        <v>273</v>
      </c>
      <c r="X148" s="2" t="s">
        <v>231</v>
      </c>
      <c r="Y148" s="2" t="s">
        <v>1078</v>
      </c>
      <c r="Z148" s="4">
        <v>578</v>
      </c>
      <c r="AA148" s="4">
        <f>=ROUNDDOWN(7.50649350649351,0)</f>
      </c>
      <c r="AB148" s="5">
        <v>77</v>
      </c>
      <c r="AC148" s="2" t="s">
        <v>1079</v>
      </c>
      <c r="AD148" s="4">
        <v>620</v>
      </c>
      <c r="AE148" s="4">
        <v>1246</v>
      </c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231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231</v>
      </c>
      <c r="BD148" s="8" t="s">
        <v>231</v>
      </c>
      <c r="BE148" s="4" t="s">
        <v>231</v>
      </c>
      <c r="BF148" s="8" t="s">
        <v>231</v>
      </c>
      <c r="BG148" s="7" t="s">
        <v>231</v>
      </c>
      <c r="BH148" s="7" t="s">
        <v>231</v>
      </c>
      <c r="BI148" s="7"/>
      <c r="BJ148" s="4">
        <v>372</v>
      </c>
      <c r="BK148" s="8">
        <v>6812.11</v>
      </c>
      <c r="BL148" s="2" t="s">
        <v>1080</v>
      </c>
      <c r="BM148" s="7"/>
      <c r="BN148" s="7"/>
      <c r="BO148" s="4"/>
      <c r="BP148" s="8"/>
      <c r="BQ148" s="4"/>
      <c r="BR148" s="8"/>
      <c r="BS148" s="7"/>
      <c r="BT148" s="7"/>
      <c r="BU148" s="2" t="s">
        <v>1081</v>
      </c>
      <c r="BV148" s="2" t="s">
        <v>231</v>
      </c>
      <c r="BW148" s="2" t="s">
        <v>231</v>
      </c>
      <c r="BX148" s="2" t="s">
        <v>241</v>
      </c>
      <c r="BY148" s="2" t="s">
        <v>277</v>
      </c>
      <c r="BZ148" s="2" t="s">
        <v>243</v>
      </c>
      <c r="CA148" s="2" t="s">
        <v>1082</v>
      </c>
      <c r="CB148" s="2" t="s">
        <v>1083</v>
      </c>
      <c r="CC148" s="2" t="s">
        <v>244</v>
      </c>
      <c r="CD148" s="2" t="s">
        <v>231</v>
      </c>
      <c r="CE148" s="4">
        <v>578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>
        <v>620</v>
      </c>
      <c r="EI148" s="4">
        <v>626</v>
      </c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</row>
    <row r="149">
      <c r="A149" s="2" t="s">
        <v>1084</v>
      </c>
      <c r="B149" s="2" t="s">
        <v>784</v>
      </c>
      <c r="C149" s="2" t="s">
        <v>357</v>
      </c>
      <c r="D149" s="2" t="s">
        <v>785</v>
      </c>
      <c r="E149" s="2" t="s">
        <v>786</v>
      </c>
      <c r="F149" s="2" t="s">
        <v>1066</v>
      </c>
      <c r="G149" s="2" t="s">
        <v>1067</v>
      </c>
      <c r="H149" s="2" t="s">
        <v>1068</v>
      </c>
      <c r="I149" s="2" t="s">
        <v>1069</v>
      </c>
      <c r="J149" s="2" t="s">
        <v>1070</v>
      </c>
      <c r="K149" s="2" t="s">
        <v>1085</v>
      </c>
      <c r="L149" s="3">
        <v>18.4</v>
      </c>
      <c r="M149" s="3">
        <v>19.32</v>
      </c>
      <c r="N149" s="3">
        <v>39.99</v>
      </c>
      <c r="O149" s="2" t="s">
        <v>243</v>
      </c>
      <c r="P149" s="2" t="s">
        <v>270</v>
      </c>
      <c r="Q149" s="2" t="s">
        <v>237</v>
      </c>
      <c r="R149" s="2" t="s">
        <v>231</v>
      </c>
      <c r="S149" s="2" t="s">
        <v>231</v>
      </c>
      <c r="T149" s="2" t="s">
        <v>231</v>
      </c>
      <c r="U149" s="2" t="s">
        <v>765</v>
      </c>
      <c r="V149" s="2" t="s">
        <v>239</v>
      </c>
      <c r="W149" s="2" t="s">
        <v>273</v>
      </c>
      <c r="X149" s="2" t="s">
        <v>231</v>
      </c>
      <c r="Y149" s="2" t="s">
        <v>1078</v>
      </c>
      <c r="Z149" s="4">
        <v>435</v>
      </c>
      <c r="AA149" s="4">
        <f>=ROUNDDOWN(9.25531914893617,0)</f>
      </c>
      <c r="AB149" s="5">
        <v>47</v>
      </c>
      <c r="AC149" s="2" t="s">
        <v>794</v>
      </c>
      <c r="AD149" s="4">
        <v>614</v>
      </c>
      <c r="AE149" s="4">
        <v>614</v>
      </c>
      <c r="AF149" s="6">
        <v>69</v>
      </c>
      <c r="AG149" s="6"/>
      <c r="AH149" s="7">
        <v>1</v>
      </c>
      <c r="AI149" s="4"/>
      <c r="AJ149" s="4">
        <f>=ROUNDDOWN({0},0)</f>
      </c>
      <c r="AK149" s="5"/>
      <c r="AL149" s="2" t="s">
        <v>231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231</v>
      </c>
      <c r="BD149" s="8" t="s">
        <v>231</v>
      </c>
      <c r="BE149" s="4" t="s">
        <v>231</v>
      </c>
      <c r="BF149" s="8" t="s">
        <v>231</v>
      </c>
      <c r="BG149" s="7" t="s">
        <v>231</v>
      </c>
      <c r="BH149" s="7" t="s">
        <v>231</v>
      </c>
      <c r="BI149" s="7"/>
      <c r="BJ149" s="4">
        <v>219</v>
      </c>
      <c r="BK149" s="8">
        <v>3931.39</v>
      </c>
      <c r="BL149" s="2" t="s">
        <v>1086</v>
      </c>
      <c r="BM149" s="7"/>
      <c r="BN149" s="7"/>
      <c r="BO149" s="4"/>
      <c r="BP149" s="8"/>
      <c r="BQ149" s="4"/>
      <c r="BR149" s="8"/>
      <c r="BS149" s="7"/>
      <c r="BT149" s="7"/>
      <c r="BU149" s="2" t="s">
        <v>1087</v>
      </c>
      <c r="BV149" s="2" t="s">
        <v>231</v>
      </c>
      <c r="BW149" s="2" t="s">
        <v>231</v>
      </c>
      <c r="BX149" s="2" t="s">
        <v>241</v>
      </c>
      <c r="BY149" s="2" t="s">
        <v>277</v>
      </c>
      <c r="BZ149" s="2" t="s">
        <v>243</v>
      </c>
      <c r="CA149" s="2" t="s">
        <v>1082</v>
      </c>
      <c r="CB149" s="2" t="s">
        <v>1088</v>
      </c>
      <c r="CC149" s="2" t="s">
        <v>244</v>
      </c>
      <c r="CD149" s="2" t="s">
        <v>231</v>
      </c>
      <c r="CE149" s="4">
        <v>435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>
        <v>614</v>
      </c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</row>
    <row r="150">
      <c r="A150" s="2" t="s">
        <v>1089</v>
      </c>
      <c r="B150" s="2" t="s">
        <v>784</v>
      </c>
      <c r="C150" s="2" t="s">
        <v>357</v>
      </c>
      <c r="D150" s="2" t="s">
        <v>785</v>
      </c>
      <c r="E150" s="2" t="s">
        <v>786</v>
      </c>
      <c r="F150" s="2" t="s">
        <v>1066</v>
      </c>
      <c r="G150" s="2" t="s">
        <v>1067</v>
      </c>
      <c r="H150" s="2" t="s">
        <v>1068</v>
      </c>
      <c r="I150" s="2" t="s">
        <v>1069</v>
      </c>
      <c r="J150" s="2" t="s">
        <v>1070</v>
      </c>
      <c r="K150" s="2" t="s">
        <v>556</v>
      </c>
      <c r="L150" s="3">
        <v>18.4</v>
      </c>
      <c r="M150" s="3">
        <v>19.32</v>
      </c>
      <c r="N150" s="3">
        <v>39.99</v>
      </c>
      <c r="O150" s="2" t="s">
        <v>243</v>
      </c>
      <c r="P150" s="2" t="s">
        <v>270</v>
      </c>
      <c r="Q150" s="2" t="s">
        <v>237</v>
      </c>
      <c r="R150" s="2" t="s">
        <v>231</v>
      </c>
      <c r="S150" s="2" t="s">
        <v>231</v>
      </c>
      <c r="T150" s="2" t="s">
        <v>231</v>
      </c>
      <c r="U150" s="2" t="s">
        <v>765</v>
      </c>
      <c r="V150" s="2" t="s">
        <v>239</v>
      </c>
      <c r="W150" s="2" t="s">
        <v>273</v>
      </c>
      <c r="X150" s="2" t="s">
        <v>231</v>
      </c>
      <c r="Y150" s="2" t="s">
        <v>1078</v>
      </c>
      <c r="Z150" s="4">
        <v>680</v>
      </c>
      <c r="AA150" s="4">
        <f>=ROUNDDOWN(12.1428571428571,0)</f>
      </c>
      <c r="AB150" s="5">
        <v>56</v>
      </c>
      <c r="AC150" s="2" t="s">
        <v>794</v>
      </c>
      <c r="AD150" s="4">
        <v>614</v>
      </c>
      <c r="AE150" s="4">
        <v>614</v>
      </c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231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231</v>
      </c>
      <c r="BD150" s="8" t="s">
        <v>231</v>
      </c>
      <c r="BE150" s="4" t="s">
        <v>231</v>
      </c>
      <c r="BF150" s="8" t="s">
        <v>231</v>
      </c>
      <c r="BG150" s="7" t="s">
        <v>231</v>
      </c>
      <c r="BH150" s="7" t="s">
        <v>231</v>
      </c>
      <c r="BI150" s="7"/>
      <c r="BJ150" s="4">
        <v>235</v>
      </c>
      <c r="BK150" s="8">
        <v>4199.07</v>
      </c>
      <c r="BL150" s="2" t="s">
        <v>1090</v>
      </c>
      <c r="BM150" s="7"/>
      <c r="BN150" s="7"/>
      <c r="BO150" s="4"/>
      <c r="BP150" s="8"/>
      <c r="BQ150" s="4"/>
      <c r="BR150" s="8"/>
      <c r="BS150" s="7"/>
      <c r="BT150" s="7"/>
      <c r="BU150" s="2" t="s">
        <v>1091</v>
      </c>
      <c r="BV150" s="2" t="s">
        <v>231</v>
      </c>
      <c r="BW150" s="2" t="s">
        <v>231</v>
      </c>
      <c r="BX150" s="2" t="s">
        <v>241</v>
      </c>
      <c r="BY150" s="2" t="s">
        <v>277</v>
      </c>
      <c r="BZ150" s="2" t="s">
        <v>243</v>
      </c>
      <c r="CA150" s="2" t="s">
        <v>1082</v>
      </c>
      <c r="CB150" s="2" t="s">
        <v>1092</v>
      </c>
      <c r="CC150" s="2" t="s">
        <v>244</v>
      </c>
      <c r="CD150" s="2" t="s">
        <v>231</v>
      </c>
      <c r="CE150" s="4">
        <v>679</v>
      </c>
      <c r="CF150" s="4"/>
      <c r="CG150" s="4"/>
      <c r="CH150" s="4"/>
      <c r="CI150" s="4"/>
      <c r="CJ150" s="4"/>
      <c r="CK150" s="4"/>
      <c r="CL150" s="4">
        <v>1</v>
      </c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>
        <v>614</v>
      </c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</row>
    <row r="151">
      <c r="A151" s="2" t="s">
        <v>1093</v>
      </c>
      <c r="B151" s="2" t="s">
        <v>784</v>
      </c>
      <c r="C151" s="2" t="s">
        <v>357</v>
      </c>
      <c r="D151" s="2" t="s">
        <v>785</v>
      </c>
      <c r="E151" s="2" t="s">
        <v>786</v>
      </c>
      <c r="F151" s="2" t="s">
        <v>1066</v>
      </c>
      <c r="G151" s="2" t="s">
        <v>1067</v>
      </c>
      <c r="H151" s="2" t="s">
        <v>1068</v>
      </c>
      <c r="I151" s="2" t="s">
        <v>1069</v>
      </c>
      <c r="J151" s="2" t="s">
        <v>1070</v>
      </c>
      <c r="K151" s="2" t="s">
        <v>463</v>
      </c>
      <c r="L151" s="3">
        <v>18.4</v>
      </c>
      <c r="M151" s="3">
        <v>19.32</v>
      </c>
      <c r="N151" s="3">
        <v>39.99</v>
      </c>
      <c r="O151" s="2" t="s">
        <v>243</v>
      </c>
      <c r="P151" s="2" t="s">
        <v>270</v>
      </c>
      <c r="Q151" s="2" t="s">
        <v>237</v>
      </c>
      <c r="R151" s="2" t="s">
        <v>231</v>
      </c>
      <c r="S151" s="2" t="s">
        <v>231</v>
      </c>
      <c r="T151" s="2" t="s">
        <v>231</v>
      </c>
      <c r="U151" s="2" t="s">
        <v>765</v>
      </c>
      <c r="V151" s="2" t="s">
        <v>239</v>
      </c>
      <c r="W151" s="2" t="s">
        <v>273</v>
      </c>
      <c r="X151" s="2" t="s">
        <v>231</v>
      </c>
      <c r="Y151" s="2" t="s">
        <v>1078</v>
      </c>
      <c r="Z151" s="4">
        <v>1385</v>
      </c>
      <c r="AA151" s="4">
        <f>=ROUNDDOWN(26.1320754716981,0)</f>
      </c>
      <c r="AB151" s="5">
        <v>53</v>
      </c>
      <c r="AC151" s="2" t="s">
        <v>231</v>
      </c>
      <c r="AD151" s="4"/>
      <c r="AE151" s="4"/>
      <c r="AF151" s="6">
        <v>69</v>
      </c>
      <c r="AG151" s="6"/>
      <c r="AH151" s="7">
        <v>1</v>
      </c>
      <c r="AI151" s="4"/>
      <c r="AJ151" s="4">
        <f>=ROUNDDOWN({0},0)</f>
      </c>
      <c r="AK151" s="5"/>
      <c r="AL151" s="2" t="s">
        <v>231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231</v>
      </c>
      <c r="BD151" s="8" t="s">
        <v>231</v>
      </c>
      <c r="BE151" s="4" t="s">
        <v>231</v>
      </c>
      <c r="BF151" s="8" t="s">
        <v>231</v>
      </c>
      <c r="BG151" s="7" t="s">
        <v>231</v>
      </c>
      <c r="BH151" s="7" t="s">
        <v>231</v>
      </c>
      <c r="BI151" s="7"/>
      <c r="BJ151" s="4">
        <v>236</v>
      </c>
      <c r="BK151" s="8">
        <v>4279.86</v>
      </c>
      <c r="BL151" s="2" t="s">
        <v>1094</v>
      </c>
      <c r="BM151" s="7"/>
      <c r="BN151" s="7"/>
      <c r="BO151" s="4"/>
      <c r="BP151" s="8"/>
      <c r="BQ151" s="4"/>
      <c r="BR151" s="8"/>
      <c r="BS151" s="7"/>
      <c r="BT151" s="7"/>
      <c r="BU151" s="2" t="s">
        <v>1095</v>
      </c>
      <c r="BV151" s="2" t="s">
        <v>231</v>
      </c>
      <c r="BW151" s="2" t="s">
        <v>231</v>
      </c>
      <c r="BX151" s="2" t="s">
        <v>241</v>
      </c>
      <c r="BY151" s="2" t="s">
        <v>277</v>
      </c>
      <c r="BZ151" s="2" t="s">
        <v>243</v>
      </c>
      <c r="CA151" s="2" t="s">
        <v>1082</v>
      </c>
      <c r="CB151" s="2" t="s">
        <v>1096</v>
      </c>
      <c r="CC151" s="2" t="s">
        <v>244</v>
      </c>
      <c r="CD151" s="2" t="s">
        <v>231</v>
      </c>
      <c r="CE151" s="4">
        <v>1385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</row>
    <row r="152">
      <c r="A152" s="2" t="s">
        <v>1097</v>
      </c>
      <c r="B152" s="2" t="s">
        <v>784</v>
      </c>
      <c r="C152" s="2" t="s">
        <v>357</v>
      </c>
      <c r="D152" s="2" t="s">
        <v>785</v>
      </c>
      <c r="E152" s="2" t="s">
        <v>786</v>
      </c>
      <c r="F152" s="2" t="s">
        <v>1066</v>
      </c>
      <c r="G152" s="2" t="s">
        <v>1067</v>
      </c>
      <c r="H152" s="2" t="s">
        <v>1068</v>
      </c>
      <c r="I152" s="2" t="s">
        <v>1069</v>
      </c>
      <c r="J152" s="2" t="s">
        <v>1070</v>
      </c>
      <c r="K152" s="2" t="s">
        <v>723</v>
      </c>
      <c r="L152" s="3">
        <v>18.4</v>
      </c>
      <c r="M152" s="3">
        <v>19.32</v>
      </c>
      <c r="N152" s="3">
        <v>39.99</v>
      </c>
      <c r="O152" s="2" t="s">
        <v>243</v>
      </c>
      <c r="P152" s="2" t="s">
        <v>270</v>
      </c>
      <c r="Q152" s="2" t="s">
        <v>237</v>
      </c>
      <c r="R152" s="2" t="s">
        <v>231</v>
      </c>
      <c r="S152" s="2" t="s">
        <v>1098</v>
      </c>
      <c r="T152" s="2" t="s">
        <v>362</v>
      </c>
      <c r="U152" s="2" t="s">
        <v>765</v>
      </c>
      <c r="V152" s="2" t="s">
        <v>239</v>
      </c>
      <c r="W152" s="2" t="s">
        <v>273</v>
      </c>
      <c r="X152" s="2" t="s">
        <v>231</v>
      </c>
      <c r="Y152" s="2" t="s">
        <v>1099</v>
      </c>
      <c r="Z152" s="4">
        <v>571</v>
      </c>
      <c r="AA152" s="4">
        <f>=ROUNDDOWN(11.42,0)</f>
      </c>
      <c r="AB152" s="5">
        <v>50</v>
      </c>
      <c r="AC152" s="2" t="s">
        <v>794</v>
      </c>
      <c r="AD152" s="4">
        <v>595</v>
      </c>
      <c r="AE152" s="4">
        <v>595</v>
      </c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231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231</v>
      </c>
      <c r="BD152" s="8" t="s">
        <v>231</v>
      </c>
      <c r="BE152" s="4" t="s">
        <v>231</v>
      </c>
      <c r="BF152" s="8" t="s">
        <v>231</v>
      </c>
      <c r="BG152" s="7" t="s">
        <v>231</v>
      </c>
      <c r="BH152" s="7" t="s">
        <v>231</v>
      </c>
      <c r="BI152" s="7"/>
      <c r="BJ152" s="4">
        <v>224</v>
      </c>
      <c r="BK152" s="8">
        <v>4005.96</v>
      </c>
      <c r="BL152" s="2" t="s">
        <v>1100</v>
      </c>
      <c r="BM152" s="7"/>
      <c r="BN152" s="7"/>
      <c r="BO152" s="4"/>
      <c r="BP152" s="8"/>
      <c r="BQ152" s="4"/>
      <c r="BR152" s="8"/>
      <c r="BS152" s="7"/>
      <c r="BT152" s="7"/>
      <c r="BU152" s="2" t="s">
        <v>1101</v>
      </c>
      <c r="BV152" s="2" t="s">
        <v>231</v>
      </c>
      <c r="BW152" s="2" t="s">
        <v>231</v>
      </c>
      <c r="BX152" s="2" t="s">
        <v>231</v>
      </c>
      <c r="BY152" s="2" t="s">
        <v>277</v>
      </c>
      <c r="BZ152" s="2" t="s">
        <v>243</v>
      </c>
      <c r="CA152" s="2" t="s">
        <v>1102</v>
      </c>
      <c r="CB152" s="2" t="s">
        <v>1103</v>
      </c>
      <c r="CC152" s="2" t="s">
        <v>244</v>
      </c>
      <c r="CD152" s="2" t="s">
        <v>231</v>
      </c>
      <c r="CE152" s="4">
        <v>571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>
        <v>595</v>
      </c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</row>
    <row r="153">
      <c r="A153" s="2" t="s">
        <v>1104</v>
      </c>
      <c r="B153" s="2" t="s">
        <v>784</v>
      </c>
      <c r="C153" s="2" t="s">
        <v>1105</v>
      </c>
      <c r="D153" s="2" t="s">
        <v>785</v>
      </c>
      <c r="E153" s="2" t="s">
        <v>786</v>
      </c>
      <c r="F153" s="2" t="s">
        <v>1106</v>
      </c>
      <c r="G153" s="2" t="s">
        <v>1106</v>
      </c>
      <c r="H153" s="2" t="s">
        <v>1106</v>
      </c>
      <c r="I153" s="2" t="s">
        <v>1107</v>
      </c>
      <c r="J153" s="2" t="s">
        <v>1070</v>
      </c>
      <c r="K153" s="2" t="s">
        <v>319</v>
      </c>
      <c r="L153" s="3">
        <v>22</v>
      </c>
      <c r="M153" s="3">
        <v>23.1</v>
      </c>
      <c r="N153" s="3">
        <v>49.99</v>
      </c>
      <c r="O153" s="2" t="s">
        <v>243</v>
      </c>
      <c r="P153" s="2" t="s">
        <v>270</v>
      </c>
      <c r="Q153" s="2" t="s">
        <v>237</v>
      </c>
      <c r="R153" s="2" t="s">
        <v>231</v>
      </c>
      <c r="S153" s="2" t="s">
        <v>1108</v>
      </c>
      <c r="T153" s="2" t="s">
        <v>362</v>
      </c>
      <c r="U153" s="2" t="s">
        <v>765</v>
      </c>
      <c r="V153" s="2" t="s">
        <v>239</v>
      </c>
      <c r="W153" s="2" t="s">
        <v>273</v>
      </c>
      <c r="X153" s="2" t="s">
        <v>231</v>
      </c>
      <c r="Y153" s="2" t="s">
        <v>1109</v>
      </c>
      <c r="Z153" s="4">
        <v>172</v>
      </c>
      <c r="AA153" s="4">
        <f>=ROUNDDOWN(17.2,0)</f>
      </c>
      <c r="AB153" s="5">
        <v>10</v>
      </c>
      <c r="AC153" s="2" t="s">
        <v>1079</v>
      </c>
      <c r="AD153" s="4">
        <v>100</v>
      </c>
      <c r="AE153" s="4">
        <v>260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231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>
        <v>32</v>
      </c>
      <c r="BK153" s="8">
        <v>767.13</v>
      </c>
      <c r="BL153" s="2" t="s">
        <v>1110</v>
      </c>
      <c r="BM153" s="7"/>
      <c r="BN153" s="7"/>
      <c r="BO153" s="4"/>
      <c r="BP153" s="8"/>
      <c r="BQ153" s="4"/>
      <c r="BR153" s="8"/>
      <c r="BS153" s="7"/>
      <c r="BT153" s="7"/>
      <c r="BU153" s="2" t="s">
        <v>1111</v>
      </c>
      <c r="BV153" s="2" t="s">
        <v>231</v>
      </c>
      <c r="BW153" s="2" t="s">
        <v>231</v>
      </c>
      <c r="BX153" s="2" t="s">
        <v>241</v>
      </c>
      <c r="BY153" s="2" t="s">
        <v>277</v>
      </c>
      <c r="BZ153" s="2" t="s">
        <v>243</v>
      </c>
      <c r="CA153" s="2" t="s">
        <v>1109</v>
      </c>
      <c r="CB153" s="2" t="s">
        <v>1112</v>
      </c>
      <c r="CC153" s="2" t="s">
        <v>244</v>
      </c>
      <c r="CD153" s="2" t="s">
        <v>231</v>
      </c>
      <c r="CE153" s="4">
        <v>172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>
        <v>100</v>
      </c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>
        <v>160</v>
      </c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</row>
    <row r="154">
      <c r="A154" s="2" t="s">
        <v>1113</v>
      </c>
      <c r="B154" s="2" t="s">
        <v>801</v>
      </c>
      <c r="C154" s="2" t="s">
        <v>867</v>
      </c>
      <c r="D154" s="2" t="s">
        <v>1114</v>
      </c>
      <c r="E154" s="2" t="s">
        <v>1115</v>
      </c>
      <c r="F154" s="2" t="s">
        <v>1116</v>
      </c>
      <c r="G154" s="2" t="s">
        <v>1116</v>
      </c>
      <c r="H154" s="2" t="s">
        <v>1116</v>
      </c>
      <c r="I154" s="2" t="s">
        <v>1117</v>
      </c>
      <c r="J154" s="2" t="s">
        <v>807</v>
      </c>
      <c r="K154" s="2" t="s">
        <v>1118</v>
      </c>
      <c r="L154" s="3">
        <v>39.85</v>
      </c>
      <c r="M154" s="3">
        <v>41.84</v>
      </c>
      <c r="N154" s="3">
        <v>79.99</v>
      </c>
      <c r="O154" s="2" t="s">
        <v>243</v>
      </c>
      <c r="P154" s="2" t="s">
        <v>236</v>
      </c>
      <c r="Q154" s="2" t="s">
        <v>237</v>
      </c>
      <c r="R154" s="2" t="s">
        <v>231</v>
      </c>
      <c r="S154" s="2" t="s">
        <v>231</v>
      </c>
      <c r="T154" s="2" t="s">
        <v>231</v>
      </c>
      <c r="U154" s="2" t="s">
        <v>327</v>
      </c>
      <c r="V154" s="2" t="s">
        <v>662</v>
      </c>
      <c r="W154" s="2" t="s">
        <v>676</v>
      </c>
      <c r="X154" s="2" t="s">
        <v>874</v>
      </c>
      <c r="Y154" s="2" t="s">
        <v>1119</v>
      </c>
      <c r="Z154" s="4">
        <v>98</v>
      </c>
      <c r="AA154" s="4">
        <f>=ROUNDDOWN(49,0)</f>
      </c>
      <c r="AB154" s="5">
        <v>2</v>
      </c>
      <c r="AC154" s="2" t="s">
        <v>231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231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>
        <v>1</v>
      </c>
      <c r="BK154" s="8">
        <v>46.86</v>
      </c>
      <c r="BL154" s="2" t="s">
        <v>1120</v>
      </c>
      <c r="BM154" s="7"/>
      <c r="BN154" s="7"/>
      <c r="BO154" s="4"/>
      <c r="BP154" s="8"/>
      <c r="BQ154" s="4"/>
      <c r="BR154" s="8"/>
      <c r="BS154" s="7"/>
      <c r="BT154" s="7"/>
      <c r="BU154" s="2" t="s">
        <v>241</v>
      </c>
      <c r="BV154" s="2" t="s">
        <v>231</v>
      </c>
      <c r="BW154" s="2" t="s">
        <v>231</v>
      </c>
      <c r="BX154" s="2" t="s">
        <v>241</v>
      </c>
      <c r="BY154" s="2" t="s">
        <v>1121</v>
      </c>
      <c r="BZ154" s="2" t="s">
        <v>243</v>
      </c>
      <c r="CA154" s="2" t="s">
        <v>231</v>
      </c>
      <c r="CB154" s="2" t="s">
        <v>231</v>
      </c>
      <c r="CC154" s="2" t="s">
        <v>244</v>
      </c>
      <c r="CD154" s="2" t="s">
        <v>231</v>
      </c>
      <c r="CE154" s="4"/>
      <c r="CF154" s="4">
        <v>98</v>
      </c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</row>
    <row r="155">
      <c r="A155" s="2" t="s">
        <v>1122</v>
      </c>
      <c r="B155" s="2" t="s">
        <v>1004</v>
      </c>
      <c r="C155" s="2" t="s">
        <v>288</v>
      </c>
      <c r="D155" s="2" t="s">
        <v>1031</v>
      </c>
      <c r="E155" s="2" t="s">
        <v>1123</v>
      </c>
      <c r="F155" s="2" t="s">
        <v>1124</v>
      </c>
      <c r="G155" s="2" t="s">
        <v>1125</v>
      </c>
      <c r="H155" s="2" t="s">
        <v>1126</v>
      </c>
      <c r="I155" s="2" t="s">
        <v>1123</v>
      </c>
      <c r="J155" s="2" t="s">
        <v>807</v>
      </c>
      <c r="K155" s="2" t="s">
        <v>269</v>
      </c>
      <c r="L155" s="3">
        <v>282.15</v>
      </c>
      <c r="M155" s="3">
        <v>296.26</v>
      </c>
      <c r="N155" s="3">
        <v>599</v>
      </c>
      <c r="O155" s="2" t="s">
        <v>243</v>
      </c>
      <c r="P155" s="2" t="s">
        <v>270</v>
      </c>
      <c r="Q155" s="2" t="s">
        <v>237</v>
      </c>
      <c r="R155" s="2" t="s">
        <v>231</v>
      </c>
      <c r="S155" s="2" t="s">
        <v>231</v>
      </c>
      <c r="T155" s="2" t="s">
        <v>231</v>
      </c>
      <c r="U155" s="2" t="s">
        <v>327</v>
      </c>
      <c r="V155" s="2" t="s">
        <v>239</v>
      </c>
      <c r="W155" s="2" t="s">
        <v>792</v>
      </c>
      <c r="X155" s="2" t="s">
        <v>676</v>
      </c>
      <c r="Y155" s="2" t="s">
        <v>1127</v>
      </c>
      <c r="Z155" s="4">
        <v>93</v>
      </c>
      <c r="AA155" s="4">
        <f>=ROUNDDOWN(18.6,0)</f>
      </c>
      <c r="AB155" s="5">
        <v>5</v>
      </c>
      <c r="AC155" s="2" t="s">
        <v>1128</v>
      </c>
      <c r="AD155" s="4">
        <v>114</v>
      </c>
      <c r="AE155" s="4">
        <v>114</v>
      </c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231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>
        <v>30</v>
      </c>
      <c r="BK155" s="8">
        <v>7608.51</v>
      </c>
      <c r="BL155" s="2" t="s">
        <v>1129</v>
      </c>
      <c r="BM155" s="7"/>
      <c r="BN155" s="7"/>
      <c r="BO155" s="4"/>
      <c r="BP155" s="8"/>
      <c r="BQ155" s="4"/>
      <c r="BR155" s="8"/>
      <c r="BS155" s="7"/>
      <c r="BT155" s="7"/>
      <c r="BU155" s="2" t="s">
        <v>1130</v>
      </c>
      <c r="BV155" s="2" t="s">
        <v>231</v>
      </c>
      <c r="BW155" s="2" t="s">
        <v>231</v>
      </c>
      <c r="BX155" s="2" t="s">
        <v>231</v>
      </c>
      <c r="BY155" s="2" t="s">
        <v>277</v>
      </c>
      <c r="BZ155" s="2" t="s">
        <v>243</v>
      </c>
      <c r="CA155" s="2" t="s">
        <v>1131</v>
      </c>
      <c r="CB155" s="2" t="s">
        <v>1132</v>
      </c>
      <c r="CC155" s="2" t="s">
        <v>244</v>
      </c>
      <c r="CD155" s="2" t="s">
        <v>231</v>
      </c>
      <c r="CE155" s="4"/>
      <c r="CF155" s="4">
        <v>93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>
        <v>114</v>
      </c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</row>
    <row r="156">
      <c r="A156" s="2" t="s">
        <v>1133</v>
      </c>
      <c r="B156" s="2" t="s">
        <v>801</v>
      </c>
      <c r="C156" s="2" t="s">
        <v>815</v>
      </c>
      <c r="D156" s="2" t="s">
        <v>1114</v>
      </c>
      <c r="E156" s="2" t="s">
        <v>1115</v>
      </c>
      <c r="F156" s="2" t="s">
        <v>1134</v>
      </c>
      <c r="G156" s="2" t="s">
        <v>1134</v>
      </c>
      <c r="H156" s="2" t="s">
        <v>1134</v>
      </c>
      <c r="I156" s="2" t="s">
        <v>1135</v>
      </c>
      <c r="J156" s="2" t="s">
        <v>807</v>
      </c>
      <c r="K156" s="2" t="s">
        <v>1136</v>
      </c>
      <c r="L156" s="3">
        <v>24.5</v>
      </c>
      <c r="M156" s="3">
        <v>25.73</v>
      </c>
      <c r="N156" s="3">
        <v>49.99</v>
      </c>
      <c r="O156" s="2" t="s">
        <v>243</v>
      </c>
      <c r="P156" s="2" t="s">
        <v>236</v>
      </c>
      <c r="Q156" s="2" t="s">
        <v>237</v>
      </c>
      <c r="R156" s="2" t="s">
        <v>231</v>
      </c>
      <c r="S156" s="2" t="s">
        <v>231</v>
      </c>
      <c r="T156" s="2" t="s">
        <v>231</v>
      </c>
      <c r="U156" s="2" t="s">
        <v>327</v>
      </c>
      <c r="V156" s="2" t="s">
        <v>662</v>
      </c>
      <c r="W156" s="2" t="s">
        <v>273</v>
      </c>
      <c r="X156" s="2" t="s">
        <v>691</v>
      </c>
      <c r="Y156" s="2" t="s">
        <v>231</v>
      </c>
      <c r="Z156" s="4"/>
      <c r="AA156" s="4">
        <f>=ROUNDDOWN({0},0)</f>
      </c>
      <c r="AB156" s="5">
        <v>1</v>
      </c>
      <c r="AC156" s="2" t="s">
        <v>1137</v>
      </c>
      <c r="AD156" s="4">
        <v>100</v>
      </c>
      <c r="AE156" s="4">
        <v>100</v>
      </c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231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231</v>
      </c>
      <c r="BM156" s="7"/>
      <c r="BN156" s="7"/>
      <c r="BO156" s="4"/>
      <c r="BP156" s="8"/>
      <c r="BQ156" s="4"/>
      <c r="BR156" s="8"/>
      <c r="BS156" s="7"/>
      <c r="BT156" s="7"/>
      <c r="BU156" s="2" t="s">
        <v>241</v>
      </c>
      <c r="BV156" s="2" t="s">
        <v>231</v>
      </c>
      <c r="BW156" s="2" t="s">
        <v>231</v>
      </c>
      <c r="BX156" s="2" t="s">
        <v>241</v>
      </c>
      <c r="BY156" s="2" t="s">
        <v>242</v>
      </c>
      <c r="BZ156" s="2" t="s">
        <v>243</v>
      </c>
      <c r="CA156" s="2" t="s">
        <v>231</v>
      </c>
      <c r="CB156" s="2" t="s">
        <v>231</v>
      </c>
      <c r="CC156" s="2" t="s">
        <v>244</v>
      </c>
      <c r="CD156" s="2" t="s">
        <v>231</v>
      </c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>
        <v>100</v>
      </c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</row>
    <row r="157">
      <c r="A157" s="2" t="s">
        <v>1138</v>
      </c>
      <c r="B157" s="2" t="s">
        <v>992</v>
      </c>
      <c r="C157" s="2" t="s">
        <v>288</v>
      </c>
      <c r="D157" s="2" t="s">
        <v>1139</v>
      </c>
      <c r="E157" s="2" t="s">
        <v>1140</v>
      </c>
      <c r="F157" s="2" t="s">
        <v>1141</v>
      </c>
      <c r="G157" s="2" t="s">
        <v>1142</v>
      </c>
      <c r="H157" s="2" t="s">
        <v>1143</v>
      </c>
      <c r="I157" s="2" t="s">
        <v>1144</v>
      </c>
      <c r="J157" s="2" t="s">
        <v>1145</v>
      </c>
      <c r="K157" s="2" t="s">
        <v>1146</v>
      </c>
      <c r="L157" s="3">
        <v>15</v>
      </c>
      <c r="M157" s="3">
        <v>15.74</v>
      </c>
      <c r="N157" s="3">
        <v>29.99</v>
      </c>
      <c r="O157" s="2" t="s">
        <v>250</v>
      </c>
      <c r="P157" s="2" t="s">
        <v>341</v>
      </c>
      <c r="Q157" s="2" t="s">
        <v>237</v>
      </c>
      <c r="R157" s="2" t="s">
        <v>231</v>
      </c>
      <c r="S157" s="2" t="s">
        <v>1147</v>
      </c>
      <c r="T157" s="2" t="s">
        <v>231</v>
      </c>
      <c r="U157" s="2" t="s">
        <v>231</v>
      </c>
      <c r="V157" s="2" t="s">
        <v>239</v>
      </c>
      <c r="W157" s="2" t="s">
        <v>691</v>
      </c>
      <c r="X157" s="2" t="s">
        <v>231</v>
      </c>
      <c r="Y157" s="2" t="s">
        <v>274</v>
      </c>
      <c r="Z157" s="4"/>
      <c r="AA157" s="4">
        <f>=ROUNDDOWN({0},0)</f>
      </c>
      <c r="AB157" s="5"/>
      <c r="AC157" s="2" t="s">
        <v>231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231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231</v>
      </c>
      <c r="BM157" s="7"/>
      <c r="BN157" s="7"/>
      <c r="BO157" s="4"/>
      <c r="BP157" s="8"/>
      <c r="BQ157" s="4"/>
      <c r="BR157" s="8"/>
      <c r="BS157" s="7"/>
      <c r="BT157" s="7"/>
      <c r="BU157" s="2" t="s">
        <v>1148</v>
      </c>
      <c r="BV157" s="2" t="s">
        <v>231</v>
      </c>
      <c r="BW157" s="2" t="s">
        <v>231</v>
      </c>
      <c r="BX157" s="2" t="s">
        <v>231</v>
      </c>
      <c r="BY157" s="2" t="s">
        <v>277</v>
      </c>
      <c r="BZ157" s="2" t="s">
        <v>243</v>
      </c>
      <c r="CA157" s="2" t="s">
        <v>284</v>
      </c>
      <c r="CB157" s="2" t="s">
        <v>1149</v>
      </c>
      <c r="CC157" s="2" t="s">
        <v>244</v>
      </c>
      <c r="CD157" s="2" t="s">
        <v>231</v>
      </c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</row>
    <row r="158">
      <c r="A158" s="2" t="s">
        <v>1150</v>
      </c>
      <c r="B158" s="2" t="s">
        <v>824</v>
      </c>
      <c r="C158" s="2" t="s">
        <v>1017</v>
      </c>
      <c r="D158" s="2" t="s">
        <v>654</v>
      </c>
      <c r="E158" s="2" t="s">
        <v>890</v>
      </c>
      <c r="F158" s="2" t="s">
        <v>1151</v>
      </c>
      <c r="G158" s="2" t="s">
        <v>1151</v>
      </c>
      <c r="H158" s="2" t="s">
        <v>1151</v>
      </c>
      <c r="I158" s="2" t="s">
        <v>1152</v>
      </c>
      <c r="J158" s="2" t="s">
        <v>832</v>
      </c>
      <c r="K158" s="2" t="s">
        <v>253</v>
      </c>
      <c r="L158" s="3">
        <v>38.64</v>
      </c>
      <c r="M158" s="3">
        <v>40.57</v>
      </c>
      <c r="N158" s="3">
        <v>64.99</v>
      </c>
      <c r="O158" s="2" t="s">
        <v>243</v>
      </c>
      <c r="P158" s="2" t="s">
        <v>1019</v>
      </c>
      <c r="Q158" s="2" t="s">
        <v>237</v>
      </c>
      <c r="R158" s="2" t="s">
        <v>1020</v>
      </c>
      <c r="S158" s="2" t="s">
        <v>231</v>
      </c>
      <c r="T158" s="2" t="s">
        <v>231</v>
      </c>
      <c r="U158" s="2" t="s">
        <v>835</v>
      </c>
      <c r="V158" s="2" t="s">
        <v>662</v>
      </c>
      <c r="W158" s="2" t="s">
        <v>231</v>
      </c>
      <c r="X158" s="2" t="s">
        <v>231</v>
      </c>
      <c r="Y158" s="2" t="s">
        <v>1153</v>
      </c>
      <c r="Z158" s="4">
        <v>1211</v>
      </c>
      <c r="AA158" s="4">
        <f>=ROUNDDOWN({0},0)</f>
      </c>
      <c r="AB158" s="5"/>
      <c r="AC158" s="2" t="s">
        <v>231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231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231</v>
      </c>
      <c r="BM158" s="7"/>
      <c r="BN158" s="7"/>
      <c r="BO158" s="4"/>
      <c r="BP158" s="8"/>
      <c r="BQ158" s="4"/>
      <c r="BR158" s="8"/>
      <c r="BS158" s="7"/>
      <c r="BT158" s="7"/>
      <c r="BU158" s="2" t="s">
        <v>1154</v>
      </c>
      <c r="BV158" s="2" t="s">
        <v>231</v>
      </c>
      <c r="BW158" s="2" t="s">
        <v>231</v>
      </c>
      <c r="BX158" s="2" t="s">
        <v>241</v>
      </c>
      <c r="BY158" s="2" t="s">
        <v>277</v>
      </c>
      <c r="BZ158" s="2" t="s">
        <v>243</v>
      </c>
      <c r="CA158" s="2" t="s">
        <v>1155</v>
      </c>
      <c r="CB158" s="2" t="s">
        <v>231</v>
      </c>
      <c r="CC158" s="2" t="s">
        <v>244</v>
      </c>
      <c r="CD158" s="2" t="s">
        <v>231</v>
      </c>
      <c r="CE158" s="4">
        <v>1211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</row>
    <row r="159">
      <c r="A159" s="2" t="s">
        <v>1156</v>
      </c>
      <c r="B159" s="2" t="s">
        <v>992</v>
      </c>
      <c r="C159" s="2" t="s">
        <v>825</v>
      </c>
      <c r="D159" s="2" t="s">
        <v>993</v>
      </c>
      <c r="E159" s="2" t="s">
        <v>1157</v>
      </c>
      <c r="F159" s="2" t="s">
        <v>1158</v>
      </c>
      <c r="G159" s="2" t="s">
        <v>1159</v>
      </c>
      <c r="H159" s="2" t="s">
        <v>1160</v>
      </c>
      <c r="I159" s="2" t="s">
        <v>1161</v>
      </c>
      <c r="J159" s="2" t="s">
        <v>1162</v>
      </c>
      <c r="K159" s="2" t="s">
        <v>985</v>
      </c>
      <c r="L159" s="3">
        <v>20</v>
      </c>
      <c r="M159" s="3">
        <v>20.99</v>
      </c>
      <c r="N159" s="3">
        <v>39.99</v>
      </c>
      <c r="O159" s="2" t="s">
        <v>235</v>
      </c>
      <c r="P159" s="2" t="s">
        <v>341</v>
      </c>
      <c r="Q159" s="2" t="s">
        <v>237</v>
      </c>
      <c r="R159" s="2" t="s">
        <v>231</v>
      </c>
      <c r="S159" s="2" t="s">
        <v>1163</v>
      </c>
      <c r="T159" s="2" t="s">
        <v>231</v>
      </c>
      <c r="U159" s="2" t="s">
        <v>231</v>
      </c>
      <c r="V159" s="2" t="s">
        <v>987</v>
      </c>
      <c r="W159" s="2" t="s">
        <v>691</v>
      </c>
      <c r="X159" s="2" t="s">
        <v>231</v>
      </c>
      <c r="Y159" s="2" t="s">
        <v>274</v>
      </c>
      <c r="Z159" s="4">
        <v>231</v>
      </c>
      <c r="AA159" s="4">
        <f>=ROUNDDOWN(67.9411764705882,0)</f>
      </c>
      <c r="AB159" s="5">
        <v>3.4</v>
      </c>
      <c r="AC159" s="2" t="s">
        <v>231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231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231</v>
      </c>
      <c r="BD159" s="8" t="s">
        <v>231</v>
      </c>
      <c r="BE159" s="4" t="s">
        <v>231</v>
      </c>
      <c r="BF159" s="8" t="s">
        <v>231</v>
      </c>
      <c r="BG159" s="7" t="s">
        <v>231</v>
      </c>
      <c r="BH159" s="7" t="s">
        <v>231</v>
      </c>
      <c r="BI159" s="7"/>
      <c r="BJ159" s="4">
        <v>5</v>
      </c>
      <c r="BK159" s="8">
        <v>111.15</v>
      </c>
      <c r="BL159" s="2" t="s">
        <v>1164</v>
      </c>
      <c r="BM159" s="7"/>
      <c r="BN159" s="7"/>
      <c r="BO159" s="4"/>
      <c r="BP159" s="8"/>
      <c r="BQ159" s="4"/>
      <c r="BR159" s="8"/>
      <c r="BS159" s="7"/>
      <c r="BT159" s="7"/>
      <c r="BU159" s="2" t="s">
        <v>1165</v>
      </c>
      <c r="BV159" s="2" t="s">
        <v>231</v>
      </c>
      <c r="BW159" s="2" t="s">
        <v>231</v>
      </c>
      <c r="BX159" s="2" t="s">
        <v>231</v>
      </c>
      <c r="BY159" s="2" t="s">
        <v>277</v>
      </c>
      <c r="BZ159" s="2" t="s">
        <v>243</v>
      </c>
      <c r="CA159" s="2" t="s">
        <v>284</v>
      </c>
      <c r="CB159" s="2" t="s">
        <v>1166</v>
      </c>
      <c r="CC159" s="2" t="s">
        <v>244</v>
      </c>
      <c r="CD159" s="2" t="s">
        <v>231</v>
      </c>
      <c r="CE159" s="4">
        <v>231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</row>
    <row r="160">
      <c r="A160" s="2" t="s">
        <v>1167</v>
      </c>
      <c r="B160" s="2" t="s">
        <v>992</v>
      </c>
      <c r="C160" s="2" t="s">
        <v>825</v>
      </c>
      <c r="D160" s="2" t="s">
        <v>993</v>
      </c>
      <c r="E160" s="2" t="s">
        <v>1157</v>
      </c>
      <c r="F160" s="2" t="s">
        <v>1158</v>
      </c>
      <c r="G160" s="2" t="s">
        <v>1159</v>
      </c>
      <c r="H160" s="2" t="s">
        <v>1160</v>
      </c>
      <c r="I160" s="2" t="s">
        <v>1161</v>
      </c>
      <c r="J160" s="2" t="s">
        <v>1168</v>
      </c>
      <c r="K160" s="2" t="s">
        <v>1169</v>
      </c>
      <c r="L160" s="3">
        <v>18.8</v>
      </c>
      <c r="M160" s="3">
        <v>19.74</v>
      </c>
      <c r="N160" s="3">
        <v>39.99</v>
      </c>
      <c r="O160" s="2" t="s">
        <v>235</v>
      </c>
      <c r="P160" s="2" t="s">
        <v>341</v>
      </c>
      <c r="Q160" s="2" t="s">
        <v>237</v>
      </c>
      <c r="R160" s="2" t="s">
        <v>231</v>
      </c>
      <c r="S160" s="2" t="s">
        <v>1170</v>
      </c>
      <c r="T160" s="2" t="s">
        <v>231</v>
      </c>
      <c r="U160" s="2" t="s">
        <v>231</v>
      </c>
      <c r="V160" s="2" t="s">
        <v>987</v>
      </c>
      <c r="W160" s="2" t="s">
        <v>691</v>
      </c>
      <c r="X160" s="2" t="s">
        <v>231</v>
      </c>
      <c r="Y160" s="2" t="s">
        <v>274</v>
      </c>
      <c r="Z160" s="4">
        <v>1600</v>
      </c>
      <c r="AA160" s="4">
        <f>=ROUNDDOWN(1000,0)</f>
      </c>
      <c r="AB160" s="5">
        <v>1.6</v>
      </c>
      <c r="AC160" s="2" t="s">
        <v>231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231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231</v>
      </c>
      <c r="AW160" s="8" t="s">
        <v>231</v>
      </c>
      <c r="AX160" s="4" t="s">
        <v>231</v>
      </c>
      <c r="AY160" s="8" t="s">
        <v>231</v>
      </c>
      <c r="AZ160" s="7" t="s">
        <v>231</v>
      </c>
      <c r="BA160" s="7" t="s">
        <v>231</v>
      </c>
      <c r="BB160" s="7"/>
      <c r="BC160" s="4" t="s">
        <v>231</v>
      </c>
      <c r="BD160" s="8" t="s">
        <v>231</v>
      </c>
      <c r="BE160" s="4" t="s">
        <v>231</v>
      </c>
      <c r="BF160" s="8" t="s">
        <v>231</v>
      </c>
      <c r="BG160" s="7" t="s">
        <v>231</v>
      </c>
      <c r="BH160" s="7" t="s">
        <v>231</v>
      </c>
      <c r="BI160" s="7"/>
      <c r="BJ160" s="4">
        <v>4</v>
      </c>
      <c r="BK160" s="8">
        <v>80.8</v>
      </c>
      <c r="BL160" s="2" t="s">
        <v>1171</v>
      </c>
      <c r="BM160" s="7"/>
      <c r="BN160" s="7"/>
      <c r="BO160" s="4"/>
      <c r="BP160" s="8"/>
      <c r="BQ160" s="4"/>
      <c r="BR160" s="8"/>
      <c r="BS160" s="7"/>
      <c r="BT160" s="7"/>
      <c r="BU160" s="2" t="s">
        <v>1172</v>
      </c>
      <c r="BV160" s="2" t="s">
        <v>231</v>
      </c>
      <c r="BW160" s="2" t="s">
        <v>231</v>
      </c>
      <c r="BX160" s="2" t="s">
        <v>231</v>
      </c>
      <c r="BY160" s="2" t="s">
        <v>277</v>
      </c>
      <c r="BZ160" s="2" t="s">
        <v>243</v>
      </c>
      <c r="CA160" s="2" t="s">
        <v>284</v>
      </c>
      <c r="CB160" s="2" t="s">
        <v>1173</v>
      </c>
      <c r="CC160" s="2" t="s">
        <v>244</v>
      </c>
      <c r="CD160" s="2" t="s">
        <v>231</v>
      </c>
      <c r="CE160" s="4">
        <v>1600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</row>
    <row r="161">
      <c r="A161" s="2" t="s">
        <v>1174</v>
      </c>
      <c r="B161" s="2" t="s">
        <v>992</v>
      </c>
      <c r="C161" s="2" t="s">
        <v>825</v>
      </c>
      <c r="D161" s="2" t="s">
        <v>993</v>
      </c>
      <c r="E161" s="2" t="s">
        <v>1157</v>
      </c>
      <c r="F161" s="2" t="s">
        <v>1158</v>
      </c>
      <c r="G161" s="2" t="s">
        <v>1159</v>
      </c>
      <c r="H161" s="2" t="s">
        <v>1160</v>
      </c>
      <c r="I161" s="2" t="s">
        <v>1161</v>
      </c>
      <c r="J161" s="2" t="s">
        <v>1162</v>
      </c>
      <c r="K161" s="2" t="s">
        <v>1169</v>
      </c>
      <c r="L161" s="3">
        <v>20</v>
      </c>
      <c r="M161" s="3">
        <v>20.99</v>
      </c>
      <c r="N161" s="3">
        <v>39.99</v>
      </c>
      <c r="O161" s="2" t="s">
        <v>235</v>
      </c>
      <c r="P161" s="2" t="s">
        <v>341</v>
      </c>
      <c r="Q161" s="2" t="s">
        <v>237</v>
      </c>
      <c r="R161" s="2" t="s">
        <v>231</v>
      </c>
      <c r="S161" s="2" t="s">
        <v>1170</v>
      </c>
      <c r="T161" s="2" t="s">
        <v>231</v>
      </c>
      <c r="U161" s="2" t="s">
        <v>231</v>
      </c>
      <c r="V161" s="2" t="s">
        <v>987</v>
      </c>
      <c r="W161" s="2" t="s">
        <v>691</v>
      </c>
      <c r="X161" s="2" t="s">
        <v>231</v>
      </c>
      <c r="Y161" s="2" t="s">
        <v>274</v>
      </c>
      <c r="Z161" s="4">
        <v>1355</v>
      </c>
      <c r="AA161" s="4">
        <f>=ROUNDDOWN(169.375,0)</f>
      </c>
      <c r="AB161" s="5">
        <v>8</v>
      </c>
      <c r="AC161" s="2" t="s">
        <v>231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231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231</v>
      </c>
      <c r="AW161" s="8" t="s">
        <v>231</v>
      </c>
      <c r="AX161" s="4" t="s">
        <v>231</v>
      </c>
      <c r="AY161" s="8" t="s">
        <v>231</v>
      </c>
      <c r="AZ161" s="7" t="s">
        <v>231</v>
      </c>
      <c r="BA161" s="7" t="s">
        <v>231</v>
      </c>
      <c r="BB161" s="7"/>
      <c r="BC161" s="4" t="s">
        <v>231</v>
      </c>
      <c r="BD161" s="8" t="s">
        <v>231</v>
      </c>
      <c r="BE161" s="4" t="s">
        <v>231</v>
      </c>
      <c r="BF161" s="8" t="s">
        <v>231</v>
      </c>
      <c r="BG161" s="7" t="s">
        <v>231</v>
      </c>
      <c r="BH161" s="7" t="s">
        <v>231</v>
      </c>
      <c r="BI161" s="7"/>
      <c r="BJ161" s="4">
        <v>65</v>
      </c>
      <c r="BK161" s="8">
        <v>1515.6</v>
      </c>
      <c r="BL161" s="2" t="s">
        <v>1175</v>
      </c>
      <c r="BM161" s="7"/>
      <c r="BN161" s="7"/>
      <c r="BO161" s="4"/>
      <c r="BP161" s="8"/>
      <c r="BQ161" s="4"/>
      <c r="BR161" s="8"/>
      <c r="BS161" s="7"/>
      <c r="BT161" s="7"/>
      <c r="BU161" s="2" t="s">
        <v>1176</v>
      </c>
      <c r="BV161" s="2" t="s">
        <v>231</v>
      </c>
      <c r="BW161" s="2" t="s">
        <v>231</v>
      </c>
      <c r="BX161" s="2" t="s">
        <v>231</v>
      </c>
      <c r="BY161" s="2" t="s">
        <v>277</v>
      </c>
      <c r="BZ161" s="2" t="s">
        <v>243</v>
      </c>
      <c r="CA161" s="2" t="s">
        <v>284</v>
      </c>
      <c r="CB161" s="2" t="s">
        <v>1177</v>
      </c>
      <c r="CC161" s="2" t="s">
        <v>244</v>
      </c>
      <c r="CD161" s="2" t="s">
        <v>231</v>
      </c>
      <c r="CE161" s="4">
        <v>1355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</row>
    <row r="162">
      <c r="A162" s="2" t="s">
        <v>1178</v>
      </c>
      <c r="B162" s="2" t="s">
        <v>801</v>
      </c>
      <c r="C162" s="2" t="s">
        <v>802</v>
      </c>
      <c r="D162" s="2" t="s">
        <v>803</v>
      </c>
      <c r="E162" s="2" t="s">
        <v>804</v>
      </c>
      <c r="F162" s="2" t="s">
        <v>1179</v>
      </c>
      <c r="G162" s="2" t="s">
        <v>1179</v>
      </c>
      <c r="H162" s="2" t="s">
        <v>1179</v>
      </c>
      <c r="I162" s="2" t="s">
        <v>1180</v>
      </c>
      <c r="J162" s="2" t="s">
        <v>807</v>
      </c>
      <c r="K162" s="2" t="s">
        <v>1181</v>
      </c>
      <c r="L162" s="3">
        <v>113.4</v>
      </c>
      <c r="M162" s="3">
        <v>119.07</v>
      </c>
      <c r="N162" s="3">
        <v>269.99</v>
      </c>
      <c r="O162" s="2" t="s">
        <v>243</v>
      </c>
      <c r="P162" s="2" t="s">
        <v>341</v>
      </c>
      <c r="Q162" s="2" t="s">
        <v>237</v>
      </c>
      <c r="R162" s="2" t="s">
        <v>231</v>
      </c>
      <c r="S162" s="2" t="s">
        <v>231</v>
      </c>
      <c r="T162" s="2" t="s">
        <v>231</v>
      </c>
      <c r="U162" s="2" t="s">
        <v>327</v>
      </c>
      <c r="V162" s="2" t="s">
        <v>662</v>
      </c>
      <c r="W162" s="2" t="s">
        <v>691</v>
      </c>
      <c r="X162" s="2" t="s">
        <v>231</v>
      </c>
      <c r="Y162" s="2" t="s">
        <v>1182</v>
      </c>
      <c r="Z162" s="4">
        <v>92</v>
      </c>
      <c r="AA162" s="4">
        <f>=ROUNDDOWN(920,0)</f>
      </c>
      <c r="AB162" s="5">
        <v>0.1</v>
      </c>
      <c r="AC162" s="2" t="s">
        <v>231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231</v>
      </c>
      <c r="BD162" s="8" t="s">
        <v>231</v>
      </c>
      <c r="BE162" s="4" t="s">
        <v>231</v>
      </c>
      <c r="BF162" s="8" t="s">
        <v>231</v>
      </c>
      <c r="BG162" s="7" t="s">
        <v>231</v>
      </c>
      <c r="BH162" s="7" t="s">
        <v>231</v>
      </c>
      <c r="BI162" s="7"/>
      <c r="BJ162" s="4"/>
      <c r="BK162" s="8"/>
      <c r="BL162" s="2" t="s">
        <v>231</v>
      </c>
      <c r="BM162" s="7"/>
      <c r="BN162" s="7"/>
      <c r="BO162" s="4"/>
      <c r="BP162" s="8"/>
      <c r="BQ162" s="4"/>
      <c r="BR162" s="8"/>
      <c r="BS162" s="7"/>
      <c r="BT162" s="7"/>
      <c r="BU162" s="2" t="s">
        <v>1183</v>
      </c>
      <c r="BV162" s="2" t="s">
        <v>231</v>
      </c>
      <c r="BW162" s="2" t="s">
        <v>231</v>
      </c>
      <c r="BX162" s="2" t="s">
        <v>231</v>
      </c>
      <c r="BY162" s="2" t="s">
        <v>277</v>
      </c>
      <c r="BZ162" s="2" t="s">
        <v>243</v>
      </c>
      <c r="CA162" s="2" t="s">
        <v>1184</v>
      </c>
      <c r="CB162" s="2" t="s">
        <v>231</v>
      </c>
      <c r="CC162" s="2" t="s">
        <v>244</v>
      </c>
      <c r="CD162" s="2" t="s">
        <v>231</v>
      </c>
      <c r="CE162" s="4"/>
      <c r="CF162" s="4">
        <v>92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</row>
    <row r="163">
      <c r="A163" s="2" t="s">
        <v>1185</v>
      </c>
      <c r="B163" s="2" t="s">
        <v>1186</v>
      </c>
      <c r="C163" s="2" t="s">
        <v>357</v>
      </c>
      <c r="D163" s="2" t="s">
        <v>654</v>
      </c>
      <c r="E163" s="2" t="s">
        <v>1187</v>
      </c>
      <c r="F163" s="2" t="s">
        <v>1179</v>
      </c>
      <c r="G163" s="2" t="s">
        <v>1188</v>
      </c>
      <c r="H163" s="2" t="s">
        <v>1189</v>
      </c>
      <c r="I163" s="2" t="s">
        <v>1190</v>
      </c>
      <c r="J163" s="2" t="s">
        <v>318</v>
      </c>
      <c r="K163" s="2" t="s">
        <v>269</v>
      </c>
      <c r="L163" s="3">
        <v>24</v>
      </c>
      <c r="M163" s="3">
        <v>25.2</v>
      </c>
      <c r="N163" s="3">
        <v>49.99</v>
      </c>
      <c r="O163" s="2" t="s">
        <v>243</v>
      </c>
      <c r="P163" s="2" t="s">
        <v>236</v>
      </c>
      <c r="Q163" s="2" t="s">
        <v>237</v>
      </c>
      <c r="R163" s="2" t="s">
        <v>231</v>
      </c>
      <c r="S163" s="2" t="s">
        <v>1191</v>
      </c>
      <c r="T163" s="2" t="s">
        <v>472</v>
      </c>
      <c r="U163" s="2" t="s">
        <v>765</v>
      </c>
      <c r="V163" s="2" t="s">
        <v>1192</v>
      </c>
      <c r="W163" s="2" t="s">
        <v>273</v>
      </c>
      <c r="X163" s="2" t="s">
        <v>691</v>
      </c>
      <c r="Y163" s="2" t="s">
        <v>1193</v>
      </c>
      <c r="Z163" s="4"/>
      <c r="AA163" s="4">
        <f>=ROUNDDOWN({0},0)</f>
      </c>
      <c r="AB163" s="5"/>
      <c r="AC163" s="2" t="s">
        <v>477</v>
      </c>
      <c r="AD163" s="4">
        <v>120</v>
      </c>
      <c r="AE163" s="4">
        <v>390</v>
      </c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231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231</v>
      </c>
      <c r="AW163" s="8" t="s">
        <v>231</v>
      </c>
      <c r="AX163" s="4" t="s">
        <v>231</v>
      </c>
      <c r="AY163" s="8" t="s">
        <v>231</v>
      </c>
      <c r="AZ163" s="7" t="s">
        <v>231</v>
      </c>
      <c r="BA163" s="7" t="s">
        <v>231</v>
      </c>
      <c r="BB163" s="7"/>
      <c r="BC163" s="4" t="s">
        <v>231</v>
      </c>
      <c r="BD163" s="8" t="s">
        <v>231</v>
      </c>
      <c r="BE163" s="4" t="s">
        <v>231</v>
      </c>
      <c r="BF163" s="8" t="s">
        <v>231</v>
      </c>
      <c r="BG163" s="7" t="s">
        <v>231</v>
      </c>
      <c r="BH163" s="7" t="s">
        <v>231</v>
      </c>
      <c r="BI163" s="7"/>
      <c r="BJ163" s="4"/>
      <c r="BK163" s="8"/>
      <c r="BL163" s="2" t="s">
        <v>231</v>
      </c>
      <c r="BM163" s="7"/>
      <c r="BN163" s="7"/>
      <c r="BO163" s="4"/>
      <c r="BP163" s="8"/>
      <c r="BQ163" s="4"/>
      <c r="BR163" s="8"/>
      <c r="BS163" s="7"/>
      <c r="BT163" s="7"/>
      <c r="BU163" s="2" t="s">
        <v>241</v>
      </c>
      <c r="BV163" s="2" t="s">
        <v>231</v>
      </c>
      <c r="BW163" s="2" t="s">
        <v>231</v>
      </c>
      <c r="BX163" s="2" t="s">
        <v>241</v>
      </c>
      <c r="BY163" s="2" t="s">
        <v>242</v>
      </c>
      <c r="BZ163" s="2" t="s">
        <v>243</v>
      </c>
      <c r="CA163" s="2" t="s">
        <v>231</v>
      </c>
      <c r="CB163" s="2" t="s">
        <v>231</v>
      </c>
      <c r="CC163" s="2" t="s">
        <v>244</v>
      </c>
      <c r="CD163" s="2" t="s">
        <v>231</v>
      </c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>
        <v>120</v>
      </c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>
        <v>150</v>
      </c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>
        <v>120</v>
      </c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</row>
    <row r="164">
      <c r="A164" s="2" t="s">
        <v>1194</v>
      </c>
      <c r="B164" s="2" t="s">
        <v>1186</v>
      </c>
      <c r="C164" s="2" t="s">
        <v>357</v>
      </c>
      <c r="D164" s="2" t="s">
        <v>654</v>
      </c>
      <c r="E164" s="2" t="s">
        <v>1187</v>
      </c>
      <c r="F164" s="2" t="s">
        <v>1179</v>
      </c>
      <c r="G164" s="2" t="s">
        <v>1188</v>
      </c>
      <c r="H164" s="2" t="s">
        <v>1189</v>
      </c>
      <c r="I164" s="2" t="s">
        <v>1190</v>
      </c>
      <c r="J164" s="2" t="s">
        <v>268</v>
      </c>
      <c r="K164" s="2" t="s">
        <v>269</v>
      </c>
      <c r="L164" s="3">
        <v>24</v>
      </c>
      <c r="M164" s="3">
        <v>25.2</v>
      </c>
      <c r="N164" s="3">
        <v>49.99</v>
      </c>
      <c r="O164" s="2" t="s">
        <v>243</v>
      </c>
      <c r="P164" s="2" t="s">
        <v>236</v>
      </c>
      <c r="Q164" s="2" t="s">
        <v>237</v>
      </c>
      <c r="R164" s="2" t="s">
        <v>231</v>
      </c>
      <c r="S164" s="2" t="s">
        <v>1191</v>
      </c>
      <c r="T164" s="2" t="s">
        <v>472</v>
      </c>
      <c r="U164" s="2" t="s">
        <v>765</v>
      </c>
      <c r="V164" s="2" t="s">
        <v>1192</v>
      </c>
      <c r="W164" s="2" t="s">
        <v>273</v>
      </c>
      <c r="X164" s="2" t="s">
        <v>691</v>
      </c>
      <c r="Y164" s="2" t="s">
        <v>1193</v>
      </c>
      <c r="Z164" s="4"/>
      <c r="AA164" s="4">
        <f>=ROUNDDOWN({0},0)</f>
      </c>
      <c r="AB164" s="5"/>
      <c r="AC164" s="2" t="s">
        <v>477</v>
      </c>
      <c r="AD164" s="4">
        <v>90</v>
      </c>
      <c r="AE164" s="4">
        <v>300</v>
      </c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231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231</v>
      </c>
      <c r="AW164" s="8" t="s">
        <v>231</v>
      </c>
      <c r="AX164" s="4" t="s">
        <v>231</v>
      </c>
      <c r="AY164" s="8" t="s">
        <v>231</v>
      </c>
      <c r="AZ164" s="7" t="s">
        <v>231</v>
      </c>
      <c r="BA164" s="7" t="s">
        <v>231</v>
      </c>
      <c r="BB164" s="7"/>
      <c r="BC164" s="4" t="s">
        <v>231</v>
      </c>
      <c r="BD164" s="8" t="s">
        <v>231</v>
      </c>
      <c r="BE164" s="4" t="s">
        <v>231</v>
      </c>
      <c r="BF164" s="8" t="s">
        <v>231</v>
      </c>
      <c r="BG164" s="7" t="s">
        <v>231</v>
      </c>
      <c r="BH164" s="7" t="s">
        <v>231</v>
      </c>
      <c r="BI164" s="7"/>
      <c r="BJ164" s="4"/>
      <c r="BK164" s="8"/>
      <c r="BL164" s="2" t="s">
        <v>231</v>
      </c>
      <c r="BM164" s="7"/>
      <c r="BN164" s="7"/>
      <c r="BO164" s="4"/>
      <c r="BP164" s="8"/>
      <c r="BQ164" s="4"/>
      <c r="BR164" s="8"/>
      <c r="BS164" s="7"/>
      <c r="BT164" s="7"/>
      <c r="BU164" s="2" t="s">
        <v>241</v>
      </c>
      <c r="BV164" s="2" t="s">
        <v>231</v>
      </c>
      <c r="BW164" s="2" t="s">
        <v>231</v>
      </c>
      <c r="BX164" s="2" t="s">
        <v>241</v>
      </c>
      <c r="BY164" s="2" t="s">
        <v>242</v>
      </c>
      <c r="BZ164" s="2" t="s">
        <v>243</v>
      </c>
      <c r="CA164" s="2" t="s">
        <v>231</v>
      </c>
      <c r="CB164" s="2" t="s">
        <v>231</v>
      </c>
      <c r="CC164" s="2" t="s">
        <v>244</v>
      </c>
      <c r="CD164" s="2" t="s">
        <v>231</v>
      </c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>
        <v>90</v>
      </c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>
        <v>120</v>
      </c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>
        <v>90</v>
      </c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</row>
    <row r="165">
      <c r="A165" s="2" t="s">
        <v>1195</v>
      </c>
      <c r="B165" s="2" t="s">
        <v>1186</v>
      </c>
      <c r="C165" s="2" t="s">
        <v>357</v>
      </c>
      <c r="D165" s="2" t="s">
        <v>654</v>
      </c>
      <c r="E165" s="2" t="s">
        <v>1187</v>
      </c>
      <c r="F165" s="2" t="s">
        <v>1179</v>
      </c>
      <c r="G165" s="2" t="s">
        <v>1188</v>
      </c>
      <c r="H165" s="2" t="s">
        <v>1189</v>
      </c>
      <c r="I165" s="2" t="s">
        <v>1190</v>
      </c>
      <c r="J165" s="2" t="s">
        <v>281</v>
      </c>
      <c r="K165" s="2" t="s">
        <v>269</v>
      </c>
      <c r="L165" s="3">
        <v>26.4</v>
      </c>
      <c r="M165" s="3">
        <v>27.72</v>
      </c>
      <c r="N165" s="3">
        <v>54.99</v>
      </c>
      <c r="O165" s="2" t="s">
        <v>243</v>
      </c>
      <c r="P165" s="2" t="s">
        <v>236</v>
      </c>
      <c r="Q165" s="2" t="s">
        <v>237</v>
      </c>
      <c r="R165" s="2" t="s">
        <v>231</v>
      </c>
      <c r="S165" s="2" t="s">
        <v>1191</v>
      </c>
      <c r="T165" s="2" t="s">
        <v>472</v>
      </c>
      <c r="U165" s="2" t="s">
        <v>1196</v>
      </c>
      <c r="V165" s="2" t="s">
        <v>1192</v>
      </c>
      <c r="W165" s="2" t="s">
        <v>273</v>
      </c>
      <c r="X165" s="2" t="s">
        <v>691</v>
      </c>
      <c r="Y165" s="2" t="s">
        <v>1193</v>
      </c>
      <c r="Z165" s="4"/>
      <c r="AA165" s="4">
        <f>=ROUNDDOWN({0},0)</f>
      </c>
      <c r="AB165" s="5"/>
      <c r="AC165" s="2" t="s">
        <v>477</v>
      </c>
      <c r="AD165" s="4">
        <v>130</v>
      </c>
      <c r="AE165" s="4">
        <v>410</v>
      </c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231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231</v>
      </c>
      <c r="AW165" s="8" t="s">
        <v>231</v>
      </c>
      <c r="AX165" s="4" t="s">
        <v>231</v>
      </c>
      <c r="AY165" s="8" t="s">
        <v>231</v>
      </c>
      <c r="AZ165" s="7" t="s">
        <v>231</v>
      </c>
      <c r="BA165" s="7" t="s">
        <v>231</v>
      </c>
      <c r="BB165" s="7"/>
      <c r="BC165" s="4" t="s">
        <v>231</v>
      </c>
      <c r="BD165" s="8" t="s">
        <v>231</v>
      </c>
      <c r="BE165" s="4" t="s">
        <v>231</v>
      </c>
      <c r="BF165" s="8" t="s">
        <v>231</v>
      </c>
      <c r="BG165" s="7" t="s">
        <v>231</v>
      </c>
      <c r="BH165" s="7" t="s">
        <v>231</v>
      </c>
      <c r="BI165" s="7"/>
      <c r="BJ165" s="4"/>
      <c r="BK165" s="8"/>
      <c r="BL165" s="2" t="s">
        <v>231</v>
      </c>
      <c r="BM165" s="7"/>
      <c r="BN165" s="7"/>
      <c r="BO165" s="4"/>
      <c r="BP165" s="8"/>
      <c r="BQ165" s="4"/>
      <c r="BR165" s="8"/>
      <c r="BS165" s="7"/>
      <c r="BT165" s="7"/>
      <c r="BU165" s="2" t="s">
        <v>241</v>
      </c>
      <c r="BV165" s="2" t="s">
        <v>231</v>
      </c>
      <c r="BW165" s="2" t="s">
        <v>231</v>
      </c>
      <c r="BX165" s="2" t="s">
        <v>241</v>
      </c>
      <c r="BY165" s="2" t="s">
        <v>242</v>
      </c>
      <c r="BZ165" s="2" t="s">
        <v>243</v>
      </c>
      <c r="CA165" s="2" t="s">
        <v>231</v>
      </c>
      <c r="CB165" s="2" t="s">
        <v>231</v>
      </c>
      <c r="CC165" s="2" t="s">
        <v>244</v>
      </c>
      <c r="CD165" s="2" t="s">
        <v>231</v>
      </c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>
        <v>130</v>
      </c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>
        <v>150</v>
      </c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>
        <v>130</v>
      </c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</row>
    <row r="166">
      <c r="A166" s="2" t="s">
        <v>1197</v>
      </c>
      <c r="B166" s="2" t="s">
        <v>1186</v>
      </c>
      <c r="C166" s="2" t="s">
        <v>357</v>
      </c>
      <c r="D166" s="2" t="s">
        <v>654</v>
      </c>
      <c r="E166" s="2" t="s">
        <v>1187</v>
      </c>
      <c r="F166" s="2" t="s">
        <v>1179</v>
      </c>
      <c r="G166" s="2" t="s">
        <v>1188</v>
      </c>
      <c r="H166" s="2" t="s">
        <v>1189</v>
      </c>
      <c r="I166" s="2" t="s">
        <v>1190</v>
      </c>
      <c r="J166" s="2" t="s">
        <v>293</v>
      </c>
      <c r="K166" s="2" t="s">
        <v>269</v>
      </c>
      <c r="L166" s="3">
        <v>28.8</v>
      </c>
      <c r="M166" s="3">
        <v>30.24</v>
      </c>
      <c r="N166" s="3">
        <v>59.99</v>
      </c>
      <c r="O166" s="2" t="s">
        <v>243</v>
      </c>
      <c r="P166" s="2" t="s">
        <v>236</v>
      </c>
      <c r="Q166" s="2" t="s">
        <v>237</v>
      </c>
      <c r="R166" s="2" t="s">
        <v>231</v>
      </c>
      <c r="S166" s="2" t="s">
        <v>1191</v>
      </c>
      <c r="T166" s="2" t="s">
        <v>472</v>
      </c>
      <c r="U166" s="2" t="s">
        <v>1196</v>
      </c>
      <c r="V166" s="2" t="s">
        <v>1192</v>
      </c>
      <c r="W166" s="2" t="s">
        <v>273</v>
      </c>
      <c r="X166" s="2" t="s">
        <v>691</v>
      </c>
      <c r="Y166" s="2" t="s">
        <v>1193</v>
      </c>
      <c r="Z166" s="4"/>
      <c r="AA166" s="4">
        <f>=ROUNDDOWN({0},0)</f>
      </c>
      <c r="AB166" s="5"/>
      <c r="AC166" s="2" t="s">
        <v>477</v>
      </c>
      <c r="AD166" s="4">
        <v>200</v>
      </c>
      <c r="AE166" s="4">
        <v>620</v>
      </c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231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231</v>
      </c>
      <c r="AW166" s="8" t="s">
        <v>231</v>
      </c>
      <c r="AX166" s="4" t="s">
        <v>231</v>
      </c>
      <c r="AY166" s="8" t="s">
        <v>231</v>
      </c>
      <c r="AZ166" s="7" t="s">
        <v>231</v>
      </c>
      <c r="BA166" s="7" t="s">
        <v>231</v>
      </c>
      <c r="BB166" s="7"/>
      <c r="BC166" s="4" t="s">
        <v>231</v>
      </c>
      <c r="BD166" s="8" t="s">
        <v>231</v>
      </c>
      <c r="BE166" s="4" t="s">
        <v>231</v>
      </c>
      <c r="BF166" s="8" t="s">
        <v>231</v>
      </c>
      <c r="BG166" s="7" t="s">
        <v>231</v>
      </c>
      <c r="BH166" s="7" t="s">
        <v>231</v>
      </c>
      <c r="BI166" s="7"/>
      <c r="BJ166" s="4"/>
      <c r="BK166" s="8"/>
      <c r="BL166" s="2" t="s">
        <v>231</v>
      </c>
      <c r="BM166" s="7"/>
      <c r="BN166" s="7"/>
      <c r="BO166" s="4"/>
      <c r="BP166" s="8"/>
      <c r="BQ166" s="4"/>
      <c r="BR166" s="8"/>
      <c r="BS166" s="7"/>
      <c r="BT166" s="7"/>
      <c r="BU166" s="2" t="s">
        <v>241</v>
      </c>
      <c r="BV166" s="2" t="s">
        <v>231</v>
      </c>
      <c r="BW166" s="2" t="s">
        <v>231</v>
      </c>
      <c r="BX166" s="2" t="s">
        <v>241</v>
      </c>
      <c r="BY166" s="2" t="s">
        <v>242</v>
      </c>
      <c r="BZ166" s="2" t="s">
        <v>243</v>
      </c>
      <c r="CA166" s="2" t="s">
        <v>231</v>
      </c>
      <c r="CB166" s="2" t="s">
        <v>231</v>
      </c>
      <c r="CC166" s="2" t="s">
        <v>244</v>
      </c>
      <c r="CD166" s="2" t="s">
        <v>231</v>
      </c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>
        <v>200</v>
      </c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>
        <v>220</v>
      </c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>
        <v>200</v>
      </c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</row>
    <row r="167">
      <c r="A167" s="2" t="s">
        <v>1198</v>
      </c>
      <c r="B167" s="2" t="s">
        <v>1186</v>
      </c>
      <c r="C167" s="2" t="s">
        <v>357</v>
      </c>
      <c r="D167" s="2" t="s">
        <v>654</v>
      </c>
      <c r="E167" s="2" t="s">
        <v>1187</v>
      </c>
      <c r="F167" s="2" t="s">
        <v>1179</v>
      </c>
      <c r="G167" s="2" t="s">
        <v>1188</v>
      </c>
      <c r="H167" s="2" t="s">
        <v>1189</v>
      </c>
      <c r="I167" s="2" t="s">
        <v>1190</v>
      </c>
      <c r="J167" s="2" t="s">
        <v>302</v>
      </c>
      <c r="K167" s="2" t="s">
        <v>269</v>
      </c>
      <c r="L167" s="3">
        <v>33.6</v>
      </c>
      <c r="M167" s="3">
        <v>35.28</v>
      </c>
      <c r="N167" s="3">
        <v>69.99</v>
      </c>
      <c r="O167" s="2" t="s">
        <v>243</v>
      </c>
      <c r="P167" s="2" t="s">
        <v>236</v>
      </c>
      <c r="Q167" s="2" t="s">
        <v>237</v>
      </c>
      <c r="R167" s="2" t="s">
        <v>231</v>
      </c>
      <c r="S167" s="2" t="s">
        <v>1191</v>
      </c>
      <c r="T167" s="2" t="s">
        <v>472</v>
      </c>
      <c r="U167" s="2" t="s">
        <v>1196</v>
      </c>
      <c r="V167" s="2" t="s">
        <v>1192</v>
      </c>
      <c r="W167" s="2" t="s">
        <v>273</v>
      </c>
      <c r="X167" s="2" t="s">
        <v>691</v>
      </c>
      <c r="Y167" s="2" t="s">
        <v>1193</v>
      </c>
      <c r="Z167" s="4"/>
      <c r="AA167" s="4">
        <f>=ROUNDDOWN({0},0)</f>
      </c>
      <c r="AB167" s="5"/>
      <c r="AC167" s="2" t="s">
        <v>477</v>
      </c>
      <c r="AD167" s="4">
        <v>140</v>
      </c>
      <c r="AE167" s="4">
        <v>440</v>
      </c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231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231</v>
      </c>
      <c r="AW167" s="8" t="s">
        <v>231</v>
      </c>
      <c r="AX167" s="4" t="s">
        <v>231</v>
      </c>
      <c r="AY167" s="8" t="s">
        <v>231</v>
      </c>
      <c r="AZ167" s="7" t="s">
        <v>231</v>
      </c>
      <c r="BA167" s="7" t="s">
        <v>231</v>
      </c>
      <c r="BB167" s="7"/>
      <c r="BC167" s="4" t="s">
        <v>231</v>
      </c>
      <c r="BD167" s="8" t="s">
        <v>231</v>
      </c>
      <c r="BE167" s="4" t="s">
        <v>231</v>
      </c>
      <c r="BF167" s="8" t="s">
        <v>231</v>
      </c>
      <c r="BG167" s="7" t="s">
        <v>231</v>
      </c>
      <c r="BH167" s="7" t="s">
        <v>231</v>
      </c>
      <c r="BI167" s="7"/>
      <c r="BJ167" s="4"/>
      <c r="BK167" s="8"/>
      <c r="BL167" s="2" t="s">
        <v>231</v>
      </c>
      <c r="BM167" s="7"/>
      <c r="BN167" s="7"/>
      <c r="BO167" s="4"/>
      <c r="BP167" s="8"/>
      <c r="BQ167" s="4"/>
      <c r="BR167" s="8"/>
      <c r="BS167" s="7"/>
      <c r="BT167" s="7"/>
      <c r="BU167" s="2" t="s">
        <v>241</v>
      </c>
      <c r="BV167" s="2" t="s">
        <v>231</v>
      </c>
      <c r="BW167" s="2" t="s">
        <v>231</v>
      </c>
      <c r="BX167" s="2" t="s">
        <v>241</v>
      </c>
      <c r="BY167" s="2" t="s">
        <v>242</v>
      </c>
      <c r="BZ167" s="2" t="s">
        <v>243</v>
      </c>
      <c r="CA167" s="2" t="s">
        <v>231</v>
      </c>
      <c r="CB167" s="2" t="s">
        <v>231</v>
      </c>
      <c r="CC167" s="2" t="s">
        <v>244</v>
      </c>
      <c r="CD167" s="2" t="s">
        <v>231</v>
      </c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>
        <v>140</v>
      </c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>
        <v>160</v>
      </c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>
        <v>140</v>
      </c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</row>
    <row r="168">
      <c r="A168" s="2" t="s">
        <v>1199</v>
      </c>
      <c r="B168" s="2" t="s">
        <v>262</v>
      </c>
      <c r="C168" s="2" t="s">
        <v>965</v>
      </c>
      <c r="D168" s="2" t="s">
        <v>654</v>
      </c>
      <c r="E168" s="2" t="s">
        <v>1200</v>
      </c>
      <c r="F168" s="2" t="s">
        <v>1201</v>
      </c>
      <c r="G168" s="2" t="s">
        <v>1201</v>
      </c>
      <c r="H168" s="2" t="s">
        <v>1201</v>
      </c>
      <c r="I168" s="2" t="s">
        <v>1202</v>
      </c>
      <c r="J168" s="2" t="s">
        <v>318</v>
      </c>
      <c r="K168" s="2" t="s">
        <v>319</v>
      </c>
      <c r="L168" s="3">
        <v>55.36</v>
      </c>
      <c r="M168" s="3">
        <v>58.13</v>
      </c>
      <c r="N168" s="3">
        <v>117.99</v>
      </c>
      <c r="O168" s="2" t="s">
        <v>243</v>
      </c>
      <c r="P168" s="2" t="s">
        <v>270</v>
      </c>
      <c r="Q168" s="2" t="s">
        <v>237</v>
      </c>
      <c r="R168" s="2" t="s">
        <v>231</v>
      </c>
      <c r="S168" s="2" t="s">
        <v>1203</v>
      </c>
      <c r="T168" s="2" t="s">
        <v>231</v>
      </c>
      <c r="U168" s="2" t="s">
        <v>231</v>
      </c>
      <c r="V168" s="2" t="s">
        <v>239</v>
      </c>
      <c r="W168" s="2" t="s">
        <v>1204</v>
      </c>
      <c r="X168" s="2" t="s">
        <v>231</v>
      </c>
      <c r="Y168" s="2" t="s">
        <v>1205</v>
      </c>
      <c r="Z168" s="4">
        <v>134</v>
      </c>
      <c r="AA168" s="4">
        <f>=ROUNDDOWN(67,0)</f>
      </c>
      <c r="AB168" s="5">
        <v>2</v>
      </c>
      <c r="AC168" s="2" t="s">
        <v>231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231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>
        <v>2</v>
      </c>
      <c r="BK168" s="8">
        <v>102</v>
      </c>
      <c r="BL168" s="2" t="s">
        <v>1206</v>
      </c>
      <c r="BM168" s="7"/>
      <c r="BN168" s="7"/>
      <c r="BO168" s="4"/>
      <c r="BP168" s="8"/>
      <c r="BQ168" s="4"/>
      <c r="BR168" s="8"/>
      <c r="BS168" s="7"/>
      <c r="BT168" s="7"/>
      <c r="BU168" s="2" t="s">
        <v>1207</v>
      </c>
      <c r="BV168" s="2" t="s">
        <v>231</v>
      </c>
      <c r="BW168" s="2" t="s">
        <v>231</v>
      </c>
      <c r="BX168" s="2" t="s">
        <v>231</v>
      </c>
      <c r="BY168" s="2" t="s">
        <v>277</v>
      </c>
      <c r="BZ168" s="2" t="s">
        <v>243</v>
      </c>
      <c r="CA168" s="2" t="s">
        <v>1208</v>
      </c>
      <c r="CB168" s="2" t="s">
        <v>1209</v>
      </c>
      <c r="CC168" s="2" t="s">
        <v>244</v>
      </c>
      <c r="CD168" s="2" t="s">
        <v>231</v>
      </c>
      <c r="CE168" s="4">
        <v>134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</row>
    <row r="169">
      <c r="A169" s="2" t="s">
        <v>1210</v>
      </c>
      <c r="B169" s="2" t="s">
        <v>262</v>
      </c>
      <c r="C169" s="2" t="s">
        <v>1211</v>
      </c>
      <c r="D169" s="2" t="s">
        <v>654</v>
      </c>
      <c r="E169" s="2" t="s">
        <v>1212</v>
      </c>
      <c r="F169" s="2" t="s">
        <v>1213</v>
      </c>
      <c r="G169" s="2" t="s">
        <v>1213</v>
      </c>
      <c r="H169" s="2" t="s">
        <v>1213</v>
      </c>
      <c r="I169" s="2" t="s">
        <v>1214</v>
      </c>
      <c r="J169" s="2" t="s">
        <v>302</v>
      </c>
      <c r="K169" s="2" t="s">
        <v>319</v>
      </c>
      <c r="L169" s="3">
        <v>34.3</v>
      </c>
      <c r="M169" s="3">
        <v>36.02</v>
      </c>
      <c r="N169" s="3">
        <v>69.99</v>
      </c>
      <c r="O169" s="2" t="s">
        <v>235</v>
      </c>
      <c r="P169" s="2" t="s">
        <v>341</v>
      </c>
      <c r="Q169" s="2" t="s">
        <v>237</v>
      </c>
      <c r="R169" s="2" t="s">
        <v>231</v>
      </c>
      <c r="S169" s="2" t="s">
        <v>1215</v>
      </c>
      <c r="T169" s="2" t="s">
        <v>472</v>
      </c>
      <c r="U169" s="2" t="s">
        <v>231</v>
      </c>
      <c r="V169" s="2" t="s">
        <v>239</v>
      </c>
      <c r="W169" s="2" t="s">
        <v>273</v>
      </c>
      <c r="X169" s="2" t="s">
        <v>691</v>
      </c>
      <c r="Y169" s="2" t="s">
        <v>1216</v>
      </c>
      <c r="Z169" s="4">
        <v>99</v>
      </c>
      <c r="AA169" s="4">
        <f>=ROUNDDOWN(11,0)</f>
      </c>
      <c r="AB169" s="5">
        <v>9</v>
      </c>
      <c r="AC169" s="2" t="s">
        <v>231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231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>
        <v>29</v>
      </c>
      <c r="BK169" s="8">
        <v>1112.42</v>
      </c>
      <c r="BL169" s="2" t="s">
        <v>1217</v>
      </c>
      <c r="BM169" s="7"/>
      <c r="BN169" s="7"/>
      <c r="BO169" s="4"/>
      <c r="BP169" s="8"/>
      <c r="BQ169" s="4"/>
      <c r="BR169" s="8"/>
      <c r="BS169" s="7"/>
      <c r="BT169" s="7"/>
      <c r="BU169" s="2" t="s">
        <v>1218</v>
      </c>
      <c r="BV169" s="2" t="s">
        <v>231</v>
      </c>
      <c r="BW169" s="2" t="s">
        <v>231</v>
      </c>
      <c r="BX169" s="2" t="s">
        <v>231</v>
      </c>
      <c r="BY169" s="2" t="s">
        <v>277</v>
      </c>
      <c r="BZ169" s="2" t="s">
        <v>243</v>
      </c>
      <c r="CA169" s="2" t="s">
        <v>1216</v>
      </c>
      <c r="CB169" s="2" t="s">
        <v>1219</v>
      </c>
      <c r="CC169" s="2" t="s">
        <v>244</v>
      </c>
      <c r="CD169" s="2" t="s">
        <v>231</v>
      </c>
      <c r="CE169" s="4">
        <v>99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</row>
    <row r="170">
      <c r="A170" s="2" t="s">
        <v>1220</v>
      </c>
      <c r="B170" s="2" t="s">
        <v>824</v>
      </c>
      <c r="C170" s="2" t="s">
        <v>1221</v>
      </c>
      <c r="D170" s="2" t="s">
        <v>826</v>
      </c>
      <c r="E170" s="2" t="s">
        <v>827</v>
      </c>
      <c r="F170" s="2" t="s">
        <v>1222</v>
      </c>
      <c r="G170" s="2" t="s">
        <v>1223</v>
      </c>
      <c r="H170" s="2" t="s">
        <v>1224</v>
      </c>
      <c r="I170" s="2" t="s">
        <v>1225</v>
      </c>
      <c r="J170" s="2" t="s">
        <v>268</v>
      </c>
      <c r="K170" s="2" t="s">
        <v>1169</v>
      </c>
      <c r="L170" s="3">
        <v>21.15</v>
      </c>
      <c r="M170" s="3">
        <v>22.21</v>
      </c>
      <c r="N170" s="3">
        <v>44.99</v>
      </c>
      <c r="O170" s="2" t="s">
        <v>243</v>
      </c>
      <c r="P170" s="2" t="s">
        <v>270</v>
      </c>
      <c r="Q170" s="2" t="s">
        <v>237</v>
      </c>
      <c r="R170" s="2" t="s">
        <v>231</v>
      </c>
      <c r="S170" s="2" t="s">
        <v>1226</v>
      </c>
      <c r="T170" s="2" t="s">
        <v>472</v>
      </c>
      <c r="U170" s="2" t="s">
        <v>835</v>
      </c>
      <c r="V170" s="2" t="s">
        <v>1192</v>
      </c>
      <c r="W170" s="2" t="s">
        <v>273</v>
      </c>
      <c r="X170" s="2" t="s">
        <v>792</v>
      </c>
      <c r="Y170" s="2" t="s">
        <v>274</v>
      </c>
      <c r="Z170" s="4">
        <v>147</v>
      </c>
      <c r="AA170" s="4">
        <f>=ROUNDDOWN(29.4,0)</f>
      </c>
      <c r="AB170" s="5">
        <v>5</v>
      </c>
      <c r="AC170" s="2" t="s">
        <v>1227</v>
      </c>
      <c r="AD170" s="4">
        <v>80</v>
      </c>
      <c r="AE170" s="4">
        <v>80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231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>
        <v>5</v>
      </c>
      <c r="BK170" s="8">
        <v>101.09</v>
      </c>
      <c r="BL170" s="2" t="s">
        <v>1228</v>
      </c>
      <c r="BM170" s="7"/>
      <c r="BN170" s="7"/>
      <c r="BO170" s="4"/>
      <c r="BP170" s="8"/>
      <c r="BQ170" s="4"/>
      <c r="BR170" s="8"/>
      <c r="BS170" s="7"/>
      <c r="BT170" s="7"/>
      <c r="BU170" s="2" t="s">
        <v>1229</v>
      </c>
      <c r="BV170" s="2" t="s">
        <v>231</v>
      </c>
      <c r="BW170" s="2" t="s">
        <v>231</v>
      </c>
      <c r="BX170" s="2" t="s">
        <v>231</v>
      </c>
      <c r="BY170" s="2" t="s">
        <v>277</v>
      </c>
      <c r="BZ170" s="2" t="s">
        <v>243</v>
      </c>
      <c r="CA170" s="2" t="s">
        <v>284</v>
      </c>
      <c r="CB170" s="2" t="s">
        <v>1230</v>
      </c>
      <c r="CC170" s="2" t="s">
        <v>244</v>
      </c>
      <c r="CD170" s="2" t="s">
        <v>231</v>
      </c>
      <c r="CE170" s="4">
        <v>147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>
        <v>80</v>
      </c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</row>
    <row r="171">
      <c r="A171" s="2" t="s">
        <v>1231</v>
      </c>
      <c r="B171" s="2" t="s">
        <v>1232</v>
      </c>
      <c r="C171" s="2" t="s">
        <v>1233</v>
      </c>
      <c r="D171" s="2" t="s">
        <v>1234</v>
      </c>
      <c r="E171" s="2" t="s">
        <v>1235</v>
      </c>
      <c r="F171" s="2" t="s">
        <v>1236</v>
      </c>
      <c r="G171" s="2" t="s">
        <v>1236</v>
      </c>
      <c r="H171" s="2" t="s">
        <v>1236</v>
      </c>
      <c r="I171" s="2" t="s">
        <v>1237</v>
      </c>
      <c r="J171" s="2" t="s">
        <v>1238</v>
      </c>
      <c r="K171" s="2" t="s">
        <v>253</v>
      </c>
      <c r="L171" s="3">
        <v>22.49</v>
      </c>
      <c r="M171" s="3">
        <v>23.61</v>
      </c>
      <c r="N171" s="3">
        <v>49.99</v>
      </c>
      <c r="O171" s="2" t="s">
        <v>243</v>
      </c>
      <c r="P171" s="2" t="s">
        <v>236</v>
      </c>
      <c r="Q171" s="2" t="s">
        <v>237</v>
      </c>
      <c r="R171" s="2" t="s">
        <v>231</v>
      </c>
      <c r="S171" s="2" t="s">
        <v>231</v>
      </c>
      <c r="T171" s="2" t="s">
        <v>231</v>
      </c>
      <c r="U171" s="2" t="s">
        <v>327</v>
      </c>
      <c r="V171" s="2" t="s">
        <v>662</v>
      </c>
      <c r="W171" s="2" t="s">
        <v>273</v>
      </c>
      <c r="X171" s="2" t="s">
        <v>231</v>
      </c>
      <c r="Y171" s="2" t="s">
        <v>1239</v>
      </c>
      <c r="Z171" s="4">
        <v>345</v>
      </c>
      <c r="AA171" s="4">
        <f>=ROUNDDOWN(69,0)</f>
      </c>
      <c r="AB171" s="5">
        <v>5</v>
      </c>
      <c r="AC171" s="2" t="s">
        <v>1137</v>
      </c>
      <c r="AD171" s="4">
        <v>141</v>
      </c>
      <c r="AE171" s="4">
        <v>141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231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231</v>
      </c>
      <c r="AW171" s="8" t="s">
        <v>231</v>
      </c>
      <c r="AX171" s="4" t="s">
        <v>231</v>
      </c>
      <c r="AY171" s="8" t="s">
        <v>231</v>
      </c>
      <c r="AZ171" s="7" t="s">
        <v>231</v>
      </c>
      <c r="BA171" s="7" t="s">
        <v>231</v>
      </c>
      <c r="BB171" s="7"/>
      <c r="BC171" s="4" t="s">
        <v>231</v>
      </c>
      <c r="BD171" s="8" t="s">
        <v>231</v>
      </c>
      <c r="BE171" s="4" t="s">
        <v>231</v>
      </c>
      <c r="BF171" s="8" t="s">
        <v>231</v>
      </c>
      <c r="BG171" s="7" t="s">
        <v>231</v>
      </c>
      <c r="BH171" s="7" t="s">
        <v>231</v>
      </c>
      <c r="BI171" s="7"/>
      <c r="BJ171" s="4">
        <v>5</v>
      </c>
      <c r="BK171" s="8">
        <v>110.03</v>
      </c>
      <c r="BL171" s="2" t="s">
        <v>1240</v>
      </c>
      <c r="BM171" s="7"/>
      <c r="BN171" s="7"/>
      <c r="BO171" s="4"/>
      <c r="BP171" s="8"/>
      <c r="BQ171" s="4"/>
      <c r="BR171" s="8"/>
      <c r="BS171" s="7"/>
      <c r="BT171" s="7"/>
      <c r="BU171" s="2" t="s">
        <v>1241</v>
      </c>
      <c r="BV171" s="2" t="s">
        <v>231</v>
      </c>
      <c r="BW171" s="2" t="s">
        <v>231</v>
      </c>
      <c r="BX171" s="2" t="s">
        <v>241</v>
      </c>
      <c r="BY171" s="2" t="s">
        <v>277</v>
      </c>
      <c r="BZ171" s="2" t="s">
        <v>243</v>
      </c>
      <c r="CA171" s="2" t="s">
        <v>1242</v>
      </c>
      <c r="CB171" s="2" t="s">
        <v>231</v>
      </c>
      <c r="CC171" s="2" t="s">
        <v>244</v>
      </c>
      <c r="CD171" s="2" t="s">
        <v>231</v>
      </c>
      <c r="CE171" s="4">
        <v>345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>
        <v>141</v>
      </c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</row>
    <row r="172">
      <c r="A172" s="2" t="s">
        <v>1243</v>
      </c>
      <c r="B172" s="2" t="s">
        <v>1232</v>
      </c>
      <c r="C172" s="2" t="s">
        <v>1233</v>
      </c>
      <c r="D172" s="2" t="s">
        <v>1234</v>
      </c>
      <c r="E172" s="2" t="s">
        <v>1235</v>
      </c>
      <c r="F172" s="2" t="s">
        <v>1236</v>
      </c>
      <c r="G172" s="2" t="s">
        <v>1236</v>
      </c>
      <c r="H172" s="2" t="s">
        <v>1236</v>
      </c>
      <c r="I172" s="2" t="s">
        <v>1244</v>
      </c>
      <c r="J172" s="2" t="s">
        <v>1245</v>
      </c>
      <c r="K172" s="2" t="s">
        <v>253</v>
      </c>
      <c r="L172" s="3">
        <v>26.14</v>
      </c>
      <c r="M172" s="3">
        <v>27.45</v>
      </c>
      <c r="N172" s="3">
        <v>57.99</v>
      </c>
      <c r="O172" s="2" t="s">
        <v>243</v>
      </c>
      <c r="P172" s="2" t="s">
        <v>236</v>
      </c>
      <c r="Q172" s="2" t="s">
        <v>237</v>
      </c>
      <c r="R172" s="2" t="s">
        <v>231</v>
      </c>
      <c r="S172" s="2" t="s">
        <v>231</v>
      </c>
      <c r="T172" s="2" t="s">
        <v>231</v>
      </c>
      <c r="U172" s="2" t="s">
        <v>327</v>
      </c>
      <c r="V172" s="2" t="s">
        <v>662</v>
      </c>
      <c r="W172" s="2" t="s">
        <v>273</v>
      </c>
      <c r="X172" s="2" t="s">
        <v>231</v>
      </c>
      <c r="Y172" s="2" t="s">
        <v>1239</v>
      </c>
      <c r="Z172" s="4">
        <v>1357</v>
      </c>
      <c r="AA172" s="4">
        <f>=ROUNDDOWN(339.25,0)</f>
      </c>
      <c r="AB172" s="5">
        <v>4</v>
      </c>
      <c r="AC172" s="2" t="s">
        <v>231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231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231</v>
      </c>
      <c r="AW172" s="8" t="s">
        <v>231</v>
      </c>
      <c r="AX172" s="4" t="s">
        <v>231</v>
      </c>
      <c r="AY172" s="8" t="s">
        <v>231</v>
      </c>
      <c r="AZ172" s="7" t="s">
        <v>231</v>
      </c>
      <c r="BA172" s="7" t="s">
        <v>231</v>
      </c>
      <c r="BB172" s="7"/>
      <c r="BC172" s="4" t="s">
        <v>231</v>
      </c>
      <c r="BD172" s="8" t="s">
        <v>231</v>
      </c>
      <c r="BE172" s="4" t="s">
        <v>231</v>
      </c>
      <c r="BF172" s="8" t="s">
        <v>231</v>
      </c>
      <c r="BG172" s="7" t="s">
        <v>231</v>
      </c>
      <c r="BH172" s="7" t="s">
        <v>231</v>
      </c>
      <c r="BI172" s="7"/>
      <c r="BJ172" s="4">
        <v>5</v>
      </c>
      <c r="BK172" s="8">
        <v>148.2</v>
      </c>
      <c r="BL172" s="2" t="s">
        <v>465</v>
      </c>
      <c r="BM172" s="7"/>
      <c r="BN172" s="7"/>
      <c r="BO172" s="4"/>
      <c r="BP172" s="8"/>
      <c r="BQ172" s="4"/>
      <c r="BR172" s="8"/>
      <c r="BS172" s="7"/>
      <c r="BT172" s="7"/>
      <c r="BU172" s="2" t="s">
        <v>1246</v>
      </c>
      <c r="BV172" s="2" t="s">
        <v>231</v>
      </c>
      <c r="BW172" s="2" t="s">
        <v>231</v>
      </c>
      <c r="BX172" s="2" t="s">
        <v>241</v>
      </c>
      <c r="BY172" s="2" t="s">
        <v>277</v>
      </c>
      <c r="BZ172" s="2" t="s">
        <v>243</v>
      </c>
      <c r="CA172" s="2" t="s">
        <v>1242</v>
      </c>
      <c r="CB172" s="2" t="s">
        <v>231</v>
      </c>
      <c r="CC172" s="2" t="s">
        <v>244</v>
      </c>
      <c r="CD172" s="2" t="s">
        <v>231</v>
      </c>
      <c r="CE172" s="4">
        <v>1357</v>
      </c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</row>
    <row r="173">
      <c r="A173" s="2" t="s">
        <v>1247</v>
      </c>
      <c r="B173" s="2" t="s">
        <v>1232</v>
      </c>
      <c r="C173" s="2" t="s">
        <v>1233</v>
      </c>
      <c r="D173" s="2" t="s">
        <v>1234</v>
      </c>
      <c r="E173" s="2" t="s">
        <v>1235</v>
      </c>
      <c r="F173" s="2" t="s">
        <v>1236</v>
      </c>
      <c r="G173" s="2" t="s">
        <v>1236</v>
      </c>
      <c r="H173" s="2" t="s">
        <v>1236</v>
      </c>
      <c r="I173" s="2" t="s">
        <v>1248</v>
      </c>
      <c r="J173" s="2" t="s">
        <v>1249</v>
      </c>
      <c r="K173" s="2" t="s">
        <v>253</v>
      </c>
      <c r="L173" s="3">
        <v>34.46</v>
      </c>
      <c r="M173" s="3">
        <v>36.18</v>
      </c>
      <c r="N173" s="3">
        <v>76.99</v>
      </c>
      <c r="O173" s="2" t="s">
        <v>243</v>
      </c>
      <c r="P173" s="2" t="s">
        <v>236</v>
      </c>
      <c r="Q173" s="2" t="s">
        <v>237</v>
      </c>
      <c r="R173" s="2" t="s">
        <v>231</v>
      </c>
      <c r="S173" s="2" t="s">
        <v>231</v>
      </c>
      <c r="T173" s="2" t="s">
        <v>231</v>
      </c>
      <c r="U173" s="2" t="s">
        <v>327</v>
      </c>
      <c r="V173" s="2" t="s">
        <v>662</v>
      </c>
      <c r="W173" s="2" t="s">
        <v>273</v>
      </c>
      <c r="X173" s="2" t="s">
        <v>231</v>
      </c>
      <c r="Y173" s="2" t="s">
        <v>1239</v>
      </c>
      <c r="Z173" s="4">
        <v>580</v>
      </c>
      <c r="AA173" s="4">
        <f>=ROUNDDOWN(96.6666666666667,0)</f>
      </c>
      <c r="AB173" s="5">
        <v>6</v>
      </c>
      <c r="AC173" s="2" t="s">
        <v>231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231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231</v>
      </c>
      <c r="AW173" s="8" t="s">
        <v>231</v>
      </c>
      <c r="AX173" s="4" t="s">
        <v>231</v>
      </c>
      <c r="AY173" s="8" t="s">
        <v>231</v>
      </c>
      <c r="AZ173" s="7" t="s">
        <v>231</v>
      </c>
      <c r="BA173" s="7" t="s">
        <v>231</v>
      </c>
      <c r="BB173" s="7"/>
      <c r="BC173" s="4" t="s">
        <v>231</v>
      </c>
      <c r="BD173" s="8" t="s">
        <v>231</v>
      </c>
      <c r="BE173" s="4" t="s">
        <v>231</v>
      </c>
      <c r="BF173" s="8" t="s">
        <v>231</v>
      </c>
      <c r="BG173" s="7" t="s">
        <v>231</v>
      </c>
      <c r="BH173" s="7" t="s">
        <v>231</v>
      </c>
      <c r="BI173" s="7"/>
      <c r="BJ173" s="4">
        <v>10</v>
      </c>
      <c r="BK173" s="8">
        <v>375.96</v>
      </c>
      <c r="BL173" s="2" t="s">
        <v>1240</v>
      </c>
      <c r="BM173" s="7"/>
      <c r="BN173" s="7"/>
      <c r="BO173" s="4"/>
      <c r="BP173" s="8"/>
      <c r="BQ173" s="4"/>
      <c r="BR173" s="8"/>
      <c r="BS173" s="7"/>
      <c r="BT173" s="7"/>
      <c r="BU173" s="2" t="s">
        <v>1250</v>
      </c>
      <c r="BV173" s="2" t="s">
        <v>231</v>
      </c>
      <c r="BW173" s="2" t="s">
        <v>231</v>
      </c>
      <c r="BX173" s="2" t="s">
        <v>241</v>
      </c>
      <c r="BY173" s="2" t="s">
        <v>277</v>
      </c>
      <c r="BZ173" s="2" t="s">
        <v>243</v>
      </c>
      <c r="CA173" s="2" t="s">
        <v>1242</v>
      </c>
      <c r="CB173" s="2" t="s">
        <v>231</v>
      </c>
      <c r="CC173" s="2" t="s">
        <v>244</v>
      </c>
      <c r="CD173" s="2" t="s">
        <v>231</v>
      </c>
      <c r="CE173" s="4">
        <v>580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</row>
    <row r="174">
      <c r="A174" s="2" t="s">
        <v>1251</v>
      </c>
      <c r="B174" s="2" t="s">
        <v>1232</v>
      </c>
      <c r="C174" s="2" t="s">
        <v>1233</v>
      </c>
      <c r="D174" s="2" t="s">
        <v>1234</v>
      </c>
      <c r="E174" s="2" t="s">
        <v>1235</v>
      </c>
      <c r="F174" s="2" t="s">
        <v>1236</v>
      </c>
      <c r="G174" s="2" t="s">
        <v>1236</v>
      </c>
      <c r="H174" s="2" t="s">
        <v>1236</v>
      </c>
      <c r="I174" s="2" t="s">
        <v>1237</v>
      </c>
      <c r="J174" s="2" t="s">
        <v>1238</v>
      </c>
      <c r="K174" s="2" t="s">
        <v>547</v>
      </c>
      <c r="L174" s="3">
        <v>22.49</v>
      </c>
      <c r="M174" s="3">
        <v>23.61</v>
      </c>
      <c r="N174" s="3">
        <v>49.99</v>
      </c>
      <c r="O174" s="2" t="s">
        <v>243</v>
      </c>
      <c r="P174" s="2" t="s">
        <v>236</v>
      </c>
      <c r="Q174" s="2" t="s">
        <v>237</v>
      </c>
      <c r="R174" s="2" t="s">
        <v>231</v>
      </c>
      <c r="S174" s="2" t="s">
        <v>231</v>
      </c>
      <c r="T174" s="2" t="s">
        <v>231</v>
      </c>
      <c r="U174" s="2" t="s">
        <v>327</v>
      </c>
      <c r="V174" s="2" t="s">
        <v>662</v>
      </c>
      <c r="W174" s="2" t="s">
        <v>273</v>
      </c>
      <c r="X174" s="2" t="s">
        <v>231</v>
      </c>
      <c r="Y174" s="2" t="s">
        <v>1239</v>
      </c>
      <c r="Z174" s="4">
        <v>16</v>
      </c>
      <c r="AA174" s="4">
        <f>=ROUNDDOWN(8,0)</f>
      </c>
      <c r="AB174" s="5">
        <v>2</v>
      </c>
      <c r="AC174" s="2" t="s">
        <v>406</v>
      </c>
      <c r="AD174" s="4">
        <v>88</v>
      </c>
      <c r="AE174" s="4">
        <v>88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231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231</v>
      </c>
      <c r="AW174" s="8" t="s">
        <v>231</v>
      </c>
      <c r="AX174" s="4" t="s">
        <v>231</v>
      </c>
      <c r="AY174" s="8" t="s">
        <v>231</v>
      </c>
      <c r="AZ174" s="7" t="s">
        <v>231</v>
      </c>
      <c r="BA174" s="7" t="s">
        <v>231</v>
      </c>
      <c r="BB174" s="7"/>
      <c r="BC174" s="4" t="s">
        <v>231</v>
      </c>
      <c r="BD174" s="8" t="s">
        <v>231</v>
      </c>
      <c r="BE174" s="4" t="s">
        <v>231</v>
      </c>
      <c r="BF174" s="8" t="s">
        <v>231</v>
      </c>
      <c r="BG174" s="7" t="s">
        <v>231</v>
      </c>
      <c r="BH174" s="7" t="s">
        <v>231</v>
      </c>
      <c r="BI174" s="7"/>
      <c r="BJ174" s="4"/>
      <c r="BK174" s="8"/>
      <c r="BL174" s="2" t="s">
        <v>231</v>
      </c>
      <c r="BM174" s="7"/>
      <c r="BN174" s="7"/>
      <c r="BO174" s="4"/>
      <c r="BP174" s="8"/>
      <c r="BQ174" s="4"/>
      <c r="BR174" s="8"/>
      <c r="BS174" s="7"/>
      <c r="BT174" s="7"/>
      <c r="BU174" s="2" t="s">
        <v>1252</v>
      </c>
      <c r="BV174" s="2" t="s">
        <v>231</v>
      </c>
      <c r="BW174" s="2" t="s">
        <v>231</v>
      </c>
      <c r="BX174" s="2" t="s">
        <v>241</v>
      </c>
      <c r="BY174" s="2" t="s">
        <v>277</v>
      </c>
      <c r="BZ174" s="2" t="s">
        <v>243</v>
      </c>
      <c r="CA174" s="2" t="s">
        <v>1242</v>
      </c>
      <c r="CB174" s="2" t="s">
        <v>231</v>
      </c>
      <c r="CC174" s="2" t="s">
        <v>244</v>
      </c>
      <c r="CD174" s="2" t="s">
        <v>231</v>
      </c>
      <c r="CE174" s="4">
        <v>16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>
        <v>88</v>
      </c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</row>
    <row r="175">
      <c r="A175" s="2" t="s">
        <v>1253</v>
      </c>
      <c r="B175" s="2" t="s">
        <v>1232</v>
      </c>
      <c r="C175" s="2" t="s">
        <v>1233</v>
      </c>
      <c r="D175" s="2" t="s">
        <v>1234</v>
      </c>
      <c r="E175" s="2" t="s">
        <v>1235</v>
      </c>
      <c r="F175" s="2" t="s">
        <v>1236</v>
      </c>
      <c r="G175" s="2" t="s">
        <v>1236</v>
      </c>
      <c r="H175" s="2" t="s">
        <v>1236</v>
      </c>
      <c r="I175" s="2" t="s">
        <v>1244</v>
      </c>
      <c r="J175" s="2" t="s">
        <v>1245</v>
      </c>
      <c r="K175" s="2" t="s">
        <v>547</v>
      </c>
      <c r="L175" s="3">
        <v>26.14</v>
      </c>
      <c r="M175" s="3">
        <v>27.45</v>
      </c>
      <c r="N175" s="3">
        <v>57.99</v>
      </c>
      <c r="O175" s="2" t="s">
        <v>243</v>
      </c>
      <c r="P175" s="2" t="s">
        <v>236</v>
      </c>
      <c r="Q175" s="2" t="s">
        <v>237</v>
      </c>
      <c r="R175" s="2" t="s">
        <v>231</v>
      </c>
      <c r="S175" s="2" t="s">
        <v>231</v>
      </c>
      <c r="T175" s="2" t="s">
        <v>231</v>
      </c>
      <c r="U175" s="2" t="s">
        <v>327</v>
      </c>
      <c r="V175" s="2" t="s">
        <v>662</v>
      </c>
      <c r="W175" s="2" t="s">
        <v>273</v>
      </c>
      <c r="X175" s="2" t="s">
        <v>231</v>
      </c>
      <c r="Y175" s="2" t="s">
        <v>1239</v>
      </c>
      <c r="Z175" s="4">
        <v>282</v>
      </c>
      <c r="AA175" s="4">
        <f>=ROUNDDOWN(56.4,0)</f>
      </c>
      <c r="AB175" s="5">
        <v>5</v>
      </c>
      <c r="AC175" s="2" t="s">
        <v>1137</v>
      </c>
      <c r="AD175" s="4">
        <v>20</v>
      </c>
      <c r="AE175" s="4">
        <v>20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231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231</v>
      </c>
      <c r="AW175" s="8" t="s">
        <v>231</v>
      </c>
      <c r="AX175" s="4" t="s">
        <v>231</v>
      </c>
      <c r="AY175" s="8" t="s">
        <v>231</v>
      </c>
      <c r="AZ175" s="7" t="s">
        <v>231</v>
      </c>
      <c r="BA175" s="7" t="s">
        <v>231</v>
      </c>
      <c r="BB175" s="7"/>
      <c r="BC175" s="4" t="s">
        <v>231</v>
      </c>
      <c r="BD175" s="8" t="s">
        <v>231</v>
      </c>
      <c r="BE175" s="4" t="s">
        <v>231</v>
      </c>
      <c r="BF175" s="8" t="s">
        <v>231</v>
      </c>
      <c r="BG175" s="7" t="s">
        <v>231</v>
      </c>
      <c r="BH175" s="7" t="s">
        <v>231</v>
      </c>
      <c r="BI175" s="7"/>
      <c r="BJ175" s="4">
        <v>2</v>
      </c>
      <c r="BK175" s="8">
        <v>54.9</v>
      </c>
      <c r="BL175" s="2" t="s">
        <v>628</v>
      </c>
      <c r="BM175" s="7"/>
      <c r="BN175" s="7"/>
      <c r="BO175" s="4"/>
      <c r="BP175" s="8"/>
      <c r="BQ175" s="4"/>
      <c r="BR175" s="8"/>
      <c r="BS175" s="7"/>
      <c r="BT175" s="7"/>
      <c r="BU175" s="2" t="s">
        <v>1254</v>
      </c>
      <c r="BV175" s="2" t="s">
        <v>231</v>
      </c>
      <c r="BW175" s="2" t="s">
        <v>231</v>
      </c>
      <c r="BX175" s="2" t="s">
        <v>241</v>
      </c>
      <c r="BY175" s="2" t="s">
        <v>277</v>
      </c>
      <c r="BZ175" s="2" t="s">
        <v>243</v>
      </c>
      <c r="CA175" s="2" t="s">
        <v>1242</v>
      </c>
      <c r="CB175" s="2" t="s">
        <v>231</v>
      </c>
      <c r="CC175" s="2" t="s">
        <v>244</v>
      </c>
      <c r="CD175" s="2" t="s">
        <v>231</v>
      </c>
      <c r="CE175" s="4">
        <v>278</v>
      </c>
      <c r="CF175" s="4"/>
      <c r="CG175" s="4"/>
      <c r="CH175" s="4"/>
      <c r="CI175" s="4"/>
      <c r="CJ175" s="4"/>
      <c r="CK175" s="4"/>
      <c r="CL175" s="4">
        <v>4</v>
      </c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>
        <v>20</v>
      </c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</row>
    <row r="176">
      <c r="A176" s="2" t="s">
        <v>1255</v>
      </c>
      <c r="B176" s="2" t="s">
        <v>1232</v>
      </c>
      <c r="C176" s="2" t="s">
        <v>1233</v>
      </c>
      <c r="D176" s="2" t="s">
        <v>1234</v>
      </c>
      <c r="E176" s="2" t="s">
        <v>1235</v>
      </c>
      <c r="F176" s="2" t="s">
        <v>1236</v>
      </c>
      <c r="G176" s="2" t="s">
        <v>1236</v>
      </c>
      <c r="H176" s="2" t="s">
        <v>1236</v>
      </c>
      <c r="I176" s="2" t="s">
        <v>1248</v>
      </c>
      <c r="J176" s="2" t="s">
        <v>1249</v>
      </c>
      <c r="K176" s="2" t="s">
        <v>547</v>
      </c>
      <c r="L176" s="3">
        <v>34.46</v>
      </c>
      <c r="M176" s="3">
        <v>36.18</v>
      </c>
      <c r="N176" s="3">
        <v>76.99</v>
      </c>
      <c r="O176" s="2" t="s">
        <v>243</v>
      </c>
      <c r="P176" s="2" t="s">
        <v>236</v>
      </c>
      <c r="Q176" s="2" t="s">
        <v>237</v>
      </c>
      <c r="R176" s="2" t="s">
        <v>231</v>
      </c>
      <c r="S176" s="2" t="s">
        <v>231</v>
      </c>
      <c r="T176" s="2" t="s">
        <v>231</v>
      </c>
      <c r="U176" s="2" t="s">
        <v>327</v>
      </c>
      <c r="V176" s="2" t="s">
        <v>662</v>
      </c>
      <c r="W176" s="2" t="s">
        <v>273</v>
      </c>
      <c r="X176" s="2" t="s">
        <v>231</v>
      </c>
      <c r="Y176" s="2" t="s">
        <v>1239</v>
      </c>
      <c r="Z176" s="4">
        <v>70</v>
      </c>
      <c r="AA176" s="4">
        <f>=ROUNDDOWN(35,0)</f>
      </c>
      <c r="AB176" s="5">
        <v>2</v>
      </c>
      <c r="AC176" s="2" t="s">
        <v>1137</v>
      </c>
      <c r="AD176" s="4">
        <v>318</v>
      </c>
      <c r="AE176" s="4">
        <v>318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231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231</v>
      </c>
      <c r="AW176" s="8" t="s">
        <v>231</v>
      </c>
      <c r="AX176" s="4" t="s">
        <v>231</v>
      </c>
      <c r="AY176" s="8" t="s">
        <v>231</v>
      </c>
      <c r="AZ176" s="7" t="s">
        <v>231</v>
      </c>
      <c r="BA176" s="7" t="s">
        <v>231</v>
      </c>
      <c r="BB176" s="7"/>
      <c r="BC176" s="4" t="s">
        <v>231</v>
      </c>
      <c r="BD176" s="8" t="s">
        <v>231</v>
      </c>
      <c r="BE176" s="4" t="s">
        <v>231</v>
      </c>
      <c r="BF176" s="8" t="s">
        <v>231</v>
      </c>
      <c r="BG176" s="7" t="s">
        <v>231</v>
      </c>
      <c r="BH176" s="7" t="s">
        <v>231</v>
      </c>
      <c r="BI176" s="7"/>
      <c r="BJ176" s="4">
        <v>3</v>
      </c>
      <c r="BK176" s="8">
        <v>107.1</v>
      </c>
      <c r="BL176" s="2" t="s">
        <v>1240</v>
      </c>
      <c r="BM176" s="7"/>
      <c r="BN176" s="7"/>
      <c r="BO176" s="4"/>
      <c r="BP176" s="8"/>
      <c r="BQ176" s="4"/>
      <c r="BR176" s="8"/>
      <c r="BS176" s="7"/>
      <c r="BT176" s="7"/>
      <c r="BU176" s="2" t="s">
        <v>1256</v>
      </c>
      <c r="BV176" s="2" t="s">
        <v>231</v>
      </c>
      <c r="BW176" s="2" t="s">
        <v>231</v>
      </c>
      <c r="BX176" s="2" t="s">
        <v>241</v>
      </c>
      <c r="BY176" s="2" t="s">
        <v>277</v>
      </c>
      <c r="BZ176" s="2" t="s">
        <v>243</v>
      </c>
      <c r="CA176" s="2" t="s">
        <v>1242</v>
      </c>
      <c r="CB176" s="2" t="s">
        <v>231</v>
      </c>
      <c r="CC176" s="2" t="s">
        <v>244</v>
      </c>
      <c r="CD176" s="2" t="s">
        <v>231</v>
      </c>
      <c r="CE176" s="4">
        <v>70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>
        <v>318</v>
      </c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</row>
    <row r="177">
      <c r="A177" s="2" t="s">
        <v>1257</v>
      </c>
      <c r="B177" s="2" t="s">
        <v>1232</v>
      </c>
      <c r="C177" s="2" t="s">
        <v>1233</v>
      </c>
      <c r="D177" s="2" t="s">
        <v>1234</v>
      </c>
      <c r="E177" s="2" t="s">
        <v>1235</v>
      </c>
      <c r="F177" s="2" t="s">
        <v>1236</v>
      </c>
      <c r="G177" s="2" t="s">
        <v>1236</v>
      </c>
      <c r="H177" s="2" t="s">
        <v>1236</v>
      </c>
      <c r="I177" s="2" t="s">
        <v>1237</v>
      </c>
      <c r="J177" s="2" t="s">
        <v>1238</v>
      </c>
      <c r="K177" s="2" t="s">
        <v>255</v>
      </c>
      <c r="L177" s="3">
        <v>22.49</v>
      </c>
      <c r="M177" s="3">
        <v>23.61</v>
      </c>
      <c r="N177" s="3">
        <v>49.99</v>
      </c>
      <c r="O177" s="2" t="s">
        <v>243</v>
      </c>
      <c r="P177" s="2" t="s">
        <v>236</v>
      </c>
      <c r="Q177" s="2" t="s">
        <v>237</v>
      </c>
      <c r="R177" s="2" t="s">
        <v>231</v>
      </c>
      <c r="S177" s="2" t="s">
        <v>231</v>
      </c>
      <c r="T177" s="2" t="s">
        <v>231</v>
      </c>
      <c r="U177" s="2" t="s">
        <v>327</v>
      </c>
      <c r="V177" s="2" t="s">
        <v>662</v>
      </c>
      <c r="W177" s="2" t="s">
        <v>273</v>
      </c>
      <c r="X177" s="2" t="s">
        <v>231</v>
      </c>
      <c r="Y177" s="2" t="s">
        <v>1239</v>
      </c>
      <c r="Z177" s="4">
        <v>46</v>
      </c>
      <c r="AA177" s="4">
        <f>=ROUNDDOWN(9.2,0)</f>
      </c>
      <c r="AB177" s="5">
        <v>5</v>
      </c>
      <c r="AC177" s="2" t="s">
        <v>1137</v>
      </c>
      <c r="AD177" s="4">
        <v>138</v>
      </c>
      <c r="AE177" s="4">
        <v>138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231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231</v>
      </c>
      <c r="AW177" s="8" t="s">
        <v>231</v>
      </c>
      <c r="AX177" s="4" t="s">
        <v>231</v>
      </c>
      <c r="AY177" s="8" t="s">
        <v>231</v>
      </c>
      <c r="AZ177" s="7" t="s">
        <v>231</v>
      </c>
      <c r="BA177" s="7" t="s">
        <v>231</v>
      </c>
      <c r="BB177" s="7"/>
      <c r="BC177" s="4" t="s">
        <v>231</v>
      </c>
      <c r="BD177" s="8" t="s">
        <v>231</v>
      </c>
      <c r="BE177" s="4" t="s">
        <v>231</v>
      </c>
      <c r="BF177" s="8" t="s">
        <v>231</v>
      </c>
      <c r="BG177" s="7" t="s">
        <v>231</v>
      </c>
      <c r="BH177" s="7" t="s">
        <v>231</v>
      </c>
      <c r="BI177" s="7"/>
      <c r="BJ177" s="4">
        <v>2</v>
      </c>
      <c r="BK177" s="8">
        <v>49.11</v>
      </c>
      <c r="BL177" s="2" t="s">
        <v>1240</v>
      </c>
      <c r="BM177" s="7"/>
      <c r="BN177" s="7"/>
      <c r="BO177" s="4"/>
      <c r="BP177" s="8"/>
      <c r="BQ177" s="4"/>
      <c r="BR177" s="8"/>
      <c r="BS177" s="7"/>
      <c r="BT177" s="7"/>
      <c r="BU177" s="2" t="s">
        <v>1258</v>
      </c>
      <c r="BV177" s="2" t="s">
        <v>231</v>
      </c>
      <c r="BW177" s="2" t="s">
        <v>231</v>
      </c>
      <c r="BX177" s="2" t="s">
        <v>241</v>
      </c>
      <c r="BY177" s="2" t="s">
        <v>277</v>
      </c>
      <c r="BZ177" s="2" t="s">
        <v>243</v>
      </c>
      <c r="CA177" s="2" t="s">
        <v>1242</v>
      </c>
      <c r="CB177" s="2" t="s">
        <v>231</v>
      </c>
      <c r="CC177" s="2" t="s">
        <v>244</v>
      </c>
      <c r="CD177" s="2" t="s">
        <v>231</v>
      </c>
      <c r="CE177" s="4">
        <v>46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>
        <v>138</v>
      </c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</row>
    <row r="178">
      <c r="A178" s="2" t="s">
        <v>1259</v>
      </c>
      <c r="B178" s="2" t="s">
        <v>1232</v>
      </c>
      <c r="C178" s="2" t="s">
        <v>1233</v>
      </c>
      <c r="D178" s="2" t="s">
        <v>1234</v>
      </c>
      <c r="E178" s="2" t="s">
        <v>1235</v>
      </c>
      <c r="F178" s="2" t="s">
        <v>1236</v>
      </c>
      <c r="G178" s="2" t="s">
        <v>1236</v>
      </c>
      <c r="H178" s="2" t="s">
        <v>1236</v>
      </c>
      <c r="I178" s="2" t="s">
        <v>1244</v>
      </c>
      <c r="J178" s="2" t="s">
        <v>1245</v>
      </c>
      <c r="K178" s="2" t="s">
        <v>255</v>
      </c>
      <c r="L178" s="3">
        <v>26.14</v>
      </c>
      <c r="M178" s="3">
        <v>27.45</v>
      </c>
      <c r="N178" s="3">
        <v>57.99</v>
      </c>
      <c r="O178" s="2" t="s">
        <v>243</v>
      </c>
      <c r="P178" s="2" t="s">
        <v>236</v>
      </c>
      <c r="Q178" s="2" t="s">
        <v>237</v>
      </c>
      <c r="R178" s="2" t="s">
        <v>231</v>
      </c>
      <c r="S178" s="2" t="s">
        <v>231</v>
      </c>
      <c r="T178" s="2" t="s">
        <v>231</v>
      </c>
      <c r="U178" s="2" t="s">
        <v>327</v>
      </c>
      <c r="V178" s="2" t="s">
        <v>662</v>
      </c>
      <c r="W178" s="2" t="s">
        <v>273</v>
      </c>
      <c r="X178" s="2" t="s">
        <v>231</v>
      </c>
      <c r="Y178" s="2" t="s">
        <v>1239</v>
      </c>
      <c r="Z178" s="4">
        <v>281</v>
      </c>
      <c r="AA178" s="4">
        <f>=ROUNDDOWN(93.6666666666667,0)</f>
      </c>
      <c r="AB178" s="5">
        <v>3</v>
      </c>
      <c r="AC178" s="2" t="s">
        <v>231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231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231</v>
      </c>
      <c r="AW178" s="8" t="s">
        <v>231</v>
      </c>
      <c r="AX178" s="4" t="s">
        <v>231</v>
      </c>
      <c r="AY178" s="8" t="s">
        <v>231</v>
      </c>
      <c r="AZ178" s="7" t="s">
        <v>231</v>
      </c>
      <c r="BA178" s="7" t="s">
        <v>231</v>
      </c>
      <c r="BB178" s="7"/>
      <c r="BC178" s="4" t="s">
        <v>231</v>
      </c>
      <c r="BD178" s="8" t="s">
        <v>231</v>
      </c>
      <c r="BE178" s="4" t="s">
        <v>231</v>
      </c>
      <c r="BF178" s="8" t="s">
        <v>231</v>
      </c>
      <c r="BG178" s="7" t="s">
        <v>231</v>
      </c>
      <c r="BH178" s="7" t="s">
        <v>231</v>
      </c>
      <c r="BI178" s="7"/>
      <c r="BJ178" s="4">
        <v>9</v>
      </c>
      <c r="BK178" s="8">
        <v>252.51</v>
      </c>
      <c r="BL178" s="2" t="s">
        <v>1240</v>
      </c>
      <c r="BM178" s="7"/>
      <c r="BN178" s="7"/>
      <c r="BO178" s="4"/>
      <c r="BP178" s="8"/>
      <c r="BQ178" s="4"/>
      <c r="BR178" s="8"/>
      <c r="BS178" s="7"/>
      <c r="BT178" s="7"/>
      <c r="BU178" s="2" t="s">
        <v>1260</v>
      </c>
      <c r="BV178" s="2" t="s">
        <v>231</v>
      </c>
      <c r="BW178" s="2" t="s">
        <v>231</v>
      </c>
      <c r="BX178" s="2" t="s">
        <v>241</v>
      </c>
      <c r="BY178" s="2" t="s">
        <v>277</v>
      </c>
      <c r="BZ178" s="2" t="s">
        <v>243</v>
      </c>
      <c r="CA178" s="2" t="s">
        <v>1242</v>
      </c>
      <c r="CB178" s="2" t="s">
        <v>231</v>
      </c>
      <c r="CC178" s="2" t="s">
        <v>244</v>
      </c>
      <c r="CD178" s="2" t="s">
        <v>231</v>
      </c>
      <c r="CE178" s="4">
        <v>279</v>
      </c>
      <c r="CF178" s="4">
        <v>2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</row>
    <row r="179">
      <c r="A179" s="2" t="s">
        <v>1261</v>
      </c>
      <c r="B179" s="2" t="s">
        <v>1232</v>
      </c>
      <c r="C179" s="2" t="s">
        <v>1233</v>
      </c>
      <c r="D179" s="2" t="s">
        <v>1234</v>
      </c>
      <c r="E179" s="2" t="s">
        <v>1235</v>
      </c>
      <c r="F179" s="2" t="s">
        <v>1236</v>
      </c>
      <c r="G179" s="2" t="s">
        <v>1236</v>
      </c>
      <c r="H179" s="2" t="s">
        <v>1236</v>
      </c>
      <c r="I179" s="2" t="s">
        <v>1248</v>
      </c>
      <c r="J179" s="2" t="s">
        <v>1249</v>
      </c>
      <c r="K179" s="2" t="s">
        <v>255</v>
      </c>
      <c r="L179" s="3">
        <v>34.46</v>
      </c>
      <c r="M179" s="3">
        <v>36.18</v>
      </c>
      <c r="N179" s="3">
        <v>76.99</v>
      </c>
      <c r="O179" s="2" t="s">
        <v>243</v>
      </c>
      <c r="P179" s="2" t="s">
        <v>236</v>
      </c>
      <c r="Q179" s="2" t="s">
        <v>237</v>
      </c>
      <c r="R179" s="2" t="s">
        <v>231</v>
      </c>
      <c r="S179" s="2" t="s">
        <v>231</v>
      </c>
      <c r="T179" s="2" t="s">
        <v>231</v>
      </c>
      <c r="U179" s="2" t="s">
        <v>327</v>
      </c>
      <c r="V179" s="2" t="s">
        <v>662</v>
      </c>
      <c r="W179" s="2" t="s">
        <v>273</v>
      </c>
      <c r="X179" s="2" t="s">
        <v>231</v>
      </c>
      <c r="Y179" s="2" t="s">
        <v>1239</v>
      </c>
      <c r="Z179" s="4">
        <v>60</v>
      </c>
      <c r="AA179" s="4">
        <f>=ROUNDDOWN(20,0)</f>
      </c>
      <c r="AB179" s="5">
        <v>3</v>
      </c>
      <c r="AC179" s="2" t="s">
        <v>406</v>
      </c>
      <c r="AD179" s="4">
        <v>50</v>
      </c>
      <c r="AE179" s="4">
        <v>50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231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231</v>
      </c>
      <c r="AW179" s="8" t="s">
        <v>231</v>
      </c>
      <c r="AX179" s="4" t="s">
        <v>231</v>
      </c>
      <c r="AY179" s="8" t="s">
        <v>231</v>
      </c>
      <c r="AZ179" s="7" t="s">
        <v>231</v>
      </c>
      <c r="BA179" s="7" t="s">
        <v>231</v>
      </c>
      <c r="BB179" s="7"/>
      <c r="BC179" s="4" t="s">
        <v>231</v>
      </c>
      <c r="BD179" s="8" t="s">
        <v>231</v>
      </c>
      <c r="BE179" s="4" t="s">
        <v>231</v>
      </c>
      <c r="BF179" s="8" t="s">
        <v>231</v>
      </c>
      <c r="BG179" s="7" t="s">
        <v>231</v>
      </c>
      <c r="BH179" s="7" t="s">
        <v>231</v>
      </c>
      <c r="BI179" s="7"/>
      <c r="BJ179" s="4">
        <v>3</v>
      </c>
      <c r="BK179" s="8">
        <v>111.44</v>
      </c>
      <c r="BL179" s="2" t="s">
        <v>1240</v>
      </c>
      <c r="BM179" s="7"/>
      <c r="BN179" s="7"/>
      <c r="BO179" s="4"/>
      <c r="BP179" s="8"/>
      <c r="BQ179" s="4"/>
      <c r="BR179" s="8"/>
      <c r="BS179" s="7"/>
      <c r="BT179" s="7"/>
      <c r="BU179" s="2" t="s">
        <v>1262</v>
      </c>
      <c r="BV179" s="2" t="s">
        <v>231</v>
      </c>
      <c r="BW179" s="2" t="s">
        <v>231</v>
      </c>
      <c r="BX179" s="2" t="s">
        <v>241</v>
      </c>
      <c r="BY179" s="2" t="s">
        <v>277</v>
      </c>
      <c r="BZ179" s="2" t="s">
        <v>243</v>
      </c>
      <c r="CA179" s="2" t="s">
        <v>1242</v>
      </c>
      <c r="CB179" s="2" t="s">
        <v>231</v>
      </c>
      <c r="CC179" s="2" t="s">
        <v>244</v>
      </c>
      <c r="CD179" s="2" t="s">
        <v>231</v>
      </c>
      <c r="CE179" s="4">
        <v>60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>
        <v>50</v>
      </c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</row>
    <row r="180">
      <c r="A180" s="2" t="s">
        <v>1263</v>
      </c>
      <c r="B180" s="2" t="s">
        <v>1186</v>
      </c>
      <c r="C180" s="2" t="s">
        <v>815</v>
      </c>
      <c r="D180" s="2" t="s">
        <v>826</v>
      </c>
      <c r="E180" s="2" t="s">
        <v>1060</v>
      </c>
      <c r="F180" s="2" t="s">
        <v>1264</v>
      </c>
      <c r="G180" s="2" t="s">
        <v>1264</v>
      </c>
      <c r="H180" s="2" t="s">
        <v>1264</v>
      </c>
      <c r="I180" s="2" t="s">
        <v>1265</v>
      </c>
      <c r="J180" s="2" t="s">
        <v>669</v>
      </c>
      <c r="K180" s="2" t="s">
        <v>985</v>
      </c>
      <c r="L180" s="3">
        <v>58.5</v>
      </c>
      <c r="M180" s="3">
        <v>61.42</v>
      </c>
      <c r="N180" s="3">
        <v>119.99</v>
      </c>
      <c r="O180" s="2" t="s">
        <v>243</v>
      </c>
      <c r="P180" s="2" t="s">
        <v>270</v>
      </c>
      <c r="Q180" s="2" t="s">
        <v>237</v>
      </c>
      <c r="R180" s="2" t="s">
        <v>231</v>
      </c>
      <c r="S180" s="2" t="s">
        <v>1266</v>
      </c>
      <c r="T180" s="2" t="s">
        <v>362</v>
      </c>
      <c r="U180" s="2" t="s">
        <v>835</v>
      </c>
      <c r="V180" s="2" t="s">
        <v>1267</v>
      </c>
      <c r="W180" s="2" t="s">
        <v>808</v>
      </c>
      <c r="X180" s="2" t="s">
        <v>1268</v>
      </c>
      <c r="Y180" s="2" t="s">
        <v>274</v>
      </c>
      <c r="Z180" s="4">
        <v>161</v>
      </c>
      <c r="AA180" s="4">
        <f>=ROUNDDOWN(32.2,0)</f>
      </c>
      <c r="AB180" s="5">
        <v>5</v>
      </c>
      <c r="AC180" s="2" t="s">
        <v>231</v>
      </c>
      <c r="AD180" s="4"/>
      <c r="AE180" s="4"/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231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231</v>
      </c>
      <c r="BD180" s="8" t="s">
        <v>231</v>
      </c>
      <c r="BE180" s="4" t="s">
        <v>231</v>
      </c>
      <c r="BF180" s="8" t="s">
        <v>231</v>
      </c>
      <c r="BG180" s="7" t="s">
        <v>231</v>
      </c>
      <c r="BH180" s="7" t="s">
        <v>231</v>
      </c>
      <c r="BI180" s="7"/>
      <c r="BJ180" s="4">
        <v>6</v>
      </c>
      <c r="BK180" s="8">
        <v>400.91</v>
      </c>
      <c r="BL180" s="2" t="s">
        <v>1269</v>
      </c>
      <c r="BM180" s="7"/>
      <c r="BN180" s="7"/>
      <c r="BO180" s="4"/>
      <c r="BP180" s="8"/>
      <c r="BQ180" s="4"/>
      <c r="BR180" s="8"/>
      <c r="BS180" s="7"/>
      <c r="BT180" s="7"/>
      <c r="BU180" s="2" t="s">
        <v>1270</v>
      </c>
      <c r="BV180" s="2" t="s">
        <v>231</v>
      </c>
      <c r="BW180" s="2" t="s">
        <v>231</v>
      </c>
      <c r="BX180" s="2" t="s">
        <v>241</v>
      </c>
      <c r="BY180" s="2" t="s">
        <v>277</v>
      </c>
      <c r="BZ180" s="2" t="s">
        <v>243</v>
      </c>
      <c r="CA180" s="2" t="s">
        <v>1271</v>
      </c>
      <c r="CB180" s="2" t="s">
        <v>1272</v>
      </c>
      <c r="CC180" s="2" t="s">
        <v>244</v>
      </c>
      <c r="CD180" s="2" t="s">
        <v>231</v>
      </c>
      <c r="CE180" s="4">
        <v>90</v>
      </c>
      <c r="CF180" s="4">
        <v>42</v>
      </c>
      <c r="CG180" s="4"/>
      <c r="CH180" s="4"/>
      <c r="CI180" s="4">
        <v>29</v>
      </c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</row>
    <row r="181">
      <c r="A181" s="2" t="s">
        <v>1273</v>
      </c>
      <c r="B181" s="2" t="s">
        <v>1186</v>
      </c>
      <c r="C181" s="2" t="s">
        <v>815</v>
      </c>
      <c r="D181" s="2" t="s">
        <v>654</v>
      </c>
      <c r="E181" s="2" t="s">
        <v>655</v>
      </c>
      <c r="F181" s="2" t="s">
        <v>1264</v>
      </c>
      <c r="G181" s="2" t="s">
        <v>1264</v>
      </c>
      <c r="H181" s="2" t="s">
        <v>1264</v>
      </c>
      <c r="I181" s="2" t="s">
        <v>1274</v>
      </c>
      <c r="J181" s="2" t="s">
        <v>658</v>
      </c>
      <c r="K181" s="2" t="s">
        <v>486</v>
      </c>
      <c r="L181" s="3">
        <v>54</v>
      </c>
      <c r="M181" s="3">
        <v>56.7</v>
      </c>
      <c r="N181" s="3">
        <v>109.99</v>
      </c>
      <c r="O181" s="2" t="s">
        <v>243</v>
      </c>
      <c r="P181" s="2" t="s">
        <v>917</v>
      </c>
      <c r="Q181" s="2" t="s">
        <v>237</v>
      </c>
      <c r="R181" s="2" t="s">
        <v>231</v>
      </c>
      <c r="S181" s="2" t="s">
        <v>1275</v>
      </c>
      <c r="T181" s="2" t="s">
        <v>231</v>
      </c>
      <c r="U181" s="2" t="s">
        <v>231</v>
      </c>
      <c r="V181" s="2" t="s">
        <v>1267</v>
      </c>
      <c r="W181" s="2" t="s">
        <v>808</v>
      </c>
      <c r="X181" s="2" t="s">
        <v>1268</v>
      </c>
      <c r="Y181" s="2" t="s">
        <v>1078</v>
      </c>
      <c r="Z181" s="4"/>
      <c r="AA181" s="4">
        <f>=ROUNDDOWN({0},0)</f>
      </c>
      <c r="AB181" s="5">
        <v>4.4</v>
      </c>
      <c r="AC181" s="2" t="s">
        <v>231</v>
      </c>
      <c r="AD181" s="4"/>
      <c r="AE181" s="4"/>
      <c r="AF181" s="6">
        <v>65</v>
      </c>
      <c r="AG181" s="6"/>
      <c r="AH181" s="7">
        <v>0.9032</v>
      </c>
      <c r="AI181" s="4"/>
      <c r="AJ181" s="4">
        <f>=ROUNDDOWN({0},0)</f>
      </c>
      <c r="AK181" s="5"/>
      <c r="AL181" s="2" t="s">
        <v>231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231</v>
      </c>
      <c r="BD181" s="8" t="s">
        <v>231</v>
      </c>
      <c r="BE181" s="4" t="s">
        <v>231</v>
      </c>
      <c r="BF181" s="8" t="s">
        <v>231</v>
      </c>
      <c r="BG181" s="7" t="s">
        <v>231</v>
      </c>
      <c r="BH181" s="7" t="s">
        <v>231</v>
      </c>
      <c r="BI181" s="7"/>
      <c r="BJ181" s="4">
        <v>20</v>
      </c>
      <c r="BK181" s="8">
        <v>1172.26</v>
      </c>
      <c r="BL181" s="2" t="s">
        <v>1276</v>
      </c>
      <c r="BM181" s="7"/>
      <c r="BN181" s="7"/>
      <c r="BO181" s="4"/>
      <c r="BP181" s="8"/>
      <c r="BQ181" s="4"/>
      <c r="BR181" s="8"/>
      <c r="BS181" s="7"/>
      <c r="BT181" s="7"/>
      <c r="BU181" s="2" t="s">
        <v>1277</v>
      </c>
      <c r="BV181" s="2" t="s">
        <v>231</v>
      </c>
      <c r="BW181" s="2" t="s">
        <v>231</v>
      </c>
      <c r="BX181" s="2" t="s">
        <v>231</v>
      </c>
      <c r="BY181" s="2" t="s">
        <v>277</v>
      </c>
      <c r="BZ181" s="2" t="s">
        <v>243</v>
      </c>
      <c r="CA181" s="2" t="s">
        <v>1278</v>
      </c>
      <c r="CB181" s="2" t="s">
        <v>314</v>
      </c>
      <c r="CC181" s="2" t="s">
        <v>244</v>
      </c>
      <c r="CD181" s="2" t="s">
        <v>231</v>
      </c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</row>
    <row r="182">
      <c r="A182" s="2" t="s">
        <v>1279</v>
      </c>
      <c r="B182" s="2" t="s">
        <v>1186</v>
      </c>
      <c r="C182" s="2" t="s">
        <v>815</v>
      </c>
      <c r="D182" s="2" t="s">
        <v>654</v>
      </c>
      <c r="E182" s="2" t="s">
        <v>890</v>
      </c>
      <c r="F182" s="2" t="s">
        <v>1264</v>
      </c>
      <c r="G182" s="2" t="s">
        <v>1264</v>
      </c>
      <c r="H182" s="2" t="s">
        <v>1264</v>
      </c>
      <c r="I182" s="2" t="s">
        <v>1280</v>
      </c>
      <c r="J182" s="2" t="s">
        <v>658</v>
      </c>
      <c r="K182" s="2" t="s">
        <v>1169</v>
      </c>
      <c r="L182" s="3">
        <v>54</v>
      </c>
      <c r="M182" s="3">
        <v>56.7</v>
      </c>
      <c r="N182" s="3">
        <v>109.99</v>
      </c>
      <c r="O182" s="2" t="s">
        <v>243</v>
      </c>
      <c r="P182" s="2" t="s">
        <v>1281</v>
      </c>
      <c r="Q182" s="2" t="s">
        <v>237</v>
      </c>
      <c r="R182" s="2" t="s">
        <v>231</v>
      </c>
      <c r="S182" s="2" t="s">
        <v>1282</v>
      </c>
      <c r="T182" s="2" t="s">
        <v>362</v>
      </c>
      <c r="U182" s="2" t="s">
        <v>835</v>
      </c>
      <c r="V182" s="2" t="s">
        <v>1267</v>
      </c>
      <c r="W182" s="2" t="s">
        <v>808</v>
      </c>
      <c r="X182" s="2" t="s">
        <v>1268</v>
      </c>
      <c r="Y182" s="2" t="s">
        <v>274</v>
      </c>
      <c r="Z182" s="4">
        <v>274</v>
      </c>
      <c r="AA182" s="4">
        <f>=ROUNDDOWN(24.9090909090909,0)</f>
      </c>
      <c r="AB182" s="5">
        <v>11</v>
      </c>
      <c r="AC182" s="2" t="s">
        <v>231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231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231</v>
      </c>
      <c r="AW182" s="8" t="s">
        <v>231</v>
      </c>
      <c r="AX182" s="4" t="s">
        <v>231</v>
      </c>
      <c r="AY182" s="8" t="s">
        <v>231</v>
      </c>
      <c r="AZ182" s="7" t="s">
        <v>231</v>
      </c>
      <c r="BA182" s="7" t="s">
        <v>231</v>
      </c>
      <c r="BB182" s="7" t="s">
        <v>231</v>
      </c>
      <c r="BC182" s="4" t="s">
        <v>231</v>
      </c>
      <c r="BD182" s="8" t="s">
        <v>231</v>
      </c>
      <c r="BE182" s="4" t="s">
        <v>231</v>
      </c>
      <c r="BF182" s="8" t="s">
        <v>231</v>
      </c>
      <c r="BG182" s="7" t="s">
        <v>231</v>
      </c>
      <c r="BH182" s="7" t="s">
        <v>231</v>
      </c>
      <c r="BI182" s="7"/>
      <c r="BJ182" s="4">
        <v>34</v>
      </c>
      <c r="BK182" s="8">
        <v>2158.44</v>
      </c>
      <c r="BL182" s="2" t="s">
        <v>1283</v>
      </c>
      <c r="BM182" s="7"/>
      <c r="BN182" s="7"/>
      <c r="BO182" s="4"/>
      <c r="BP182" s="8"/>
      <c r="BQ182" s="4"/>
      <c r="BR182" s="8"/>
      <c r="BS182" s="7"/>
      <c r="BT182" s="7"/>
      <c r="BU182" s="2" t="s">
        <v>1284</v>
      </c>
      <c r="BV182" s="2" t="s">
        <v>231</v>
      </c>
      <c r="BW182" s="2" t="s">
        <v>231</v>
      </c>
      <c r="BX182" s="2" t="s">
        <v>241</v>
      </c>
      <c r="BY182" s="2" t="s">
        <v>277</v>
      </c>
      <c r="BZ182" s="2" t="s">
        <v>243</v>
      </c>
      <c r="CA182" s="2" t="s">
        <v>1271</v>
      </c>
      <c r="CB182" s="2" t="s">
        <v>1285</v>
      </c>
      <c r="CC182" s="2" t="s">
        <v>244</v>
      </c>
      <c r="CD182" s="2" t="s">
        <v>231</v>
      </c>
      <c r="CE182" s="4">
        <v>214</v>
      </c>
      <c r="CF182" s="4"/>
      <c r="CG182" s="4"/>
      <c r="CH182" s="4"/>
      <c r="CI182" s="4">
        <v>60</v>
      </c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</row>
    <row r="183">
      <c r="A183" s="2" t="s">
        <v>1286</v>
      </c>
      <c r="B183" s="2" t="s">
        <v>1186</v>
      </c>
      <c r="C183" s="2" t="s">
        <v>815</v>
      </c>
      <c r="D183" s="2" t="s">
        <v>826</v>
      </c>
      <c r="E183" s="2" t="s">
        <v>1060</v>
      </c>
      <c r="F183" s="2" t="s">
        <v>1264</v>
      </c>
      <c r="G183" s="2" t="s">
        <v>1264</v>
      </c>
      <c r="H183" s="2" t="s">
        <v>1264</v>
      </c>
      <c r="I183" s="2" t="s">
        <v>1265</v>
      </c>
      <c r="J183" s="2" t="s">
        <v>658</v>
      </c>
      <c r="K183" s="2" t="s">
        <v>1169</v>
      </c>
      <c r="L183" s="3">
        <v>44.1</v>
      </c>
      <c r="M183" s="3">
        <v>46.3</v>
      </c>
      <c r="N183" s="3">
        <v>89.99</v>
      </c>
      <c r="O183" s="2" t="s">
        <v>243</v>
      </c>
      <c r="P183" s="2" t="s">
        <v>270</v>
      </c>
      <c r="Q183" s="2" t="s">
        <v>237</v>
      </c>
      <c r="R183" s="2" t="s">
        <v>231</v>
      </c>
      <c r="S183" s="2" t="s">
        <v>1282</v>
      </c>
      <c r="T183" s="2" t="s">
        <v>362</v>
      </c>
      <c r="U183" s="2" t="s">
        <v>835</v>
      </c>
      <c r="V183" s="2" t="s">
        <v>1267</v>
      </c>
      <c r="W183" s="2" t="s">
        <v>808</v>
      </c>
      <c r="X183" s="2" t="s">
        <v>1268</v>
      </c>
      <c r="Y183" s="2" t="s">
        <v>274</v>
      </c>
      <c r="Z183" s="4">
        <v>218</v>
      </c>
      <c r="AA183" s="4">
        <f>=ROUNDDOWN(43.6,0)</f>
      </c>
      <c r="AB183" s="5">
        <v>5</v>
      </c>
      <c r="AC183" s="2" t="s">
        <v>231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231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231</v>
      </c>
      <c r="AW183" s="8" t="s">
        <v>231</v>
      </c>
      <c r="AX183" s="4" t="s">
        <v>231</v>
      </c>
      <c r="AY183" s="8" t="s">
        <v>231</v>
      </c>
      <c r="AZ183" s="7" t="s">
        <v>231</v>
      </c>
      <c r="BA183" s="7" t="s">
        <v>231</v>
      </c>
      <c r="BB183" s="7" t="s">
        <v>231</v>
      </c>
      <c r="BC183" s="4" t="s">
        <v>231</v>
      </c>
      <c r="BD183" s="8" t="s">
        <v>231</v>
      </c>
      <c r="BE183" s="4" t="s">
        <v>231</v>
      </c>
      <c r="BF183" s="8" t="s">
        <v>231</v>
      </c>
      <c r="BG183" s="7" t="s">
        <v>231</v>
      </c>
      <c r="BH183" s="7" t="s">
        <v>231</v>
      </c>
      <c r="BI183" s="7"/>
      <c r="BJ183" s="4">
        <v>13</v>
      </c>
      <c r="BK183" s="8">
        <v>604.31</v>
      </c>
      <c r="BL183" s="2" t="s">
        <v>1287</v>
      </c>
      <c r="BM183" s="7"/>
      <c r="BN183" s="7"/>
      <c r="BO183" s="4"/>
      <c r="BP183" s="8"/>
      <c r="BQ183" s="4"/>
      <c r="BR183" s="8"/>
      <c r="BS183" s="7"/>
      <c r="BT183" s="7"/>
      <c r="BU183" s="2" t="s">
        <v>1288</v>
      </c>
      <c r="BV183" s="2" t="s">
        <v>231</v>
      </c>
      <c r="BW183" s="2" t="s">
        <v>231</v>
      </c>
      <c r="BX183" s="2" t="s">
        <v>241</v>
      </c>
      <c r="BY183" s="2" t="s">
        <v>277</v>
      </c>
      <c r="BZ183" s="2" t="s">
        <v>243</v>
      </c>
      <c r="CA183" s="2" t="s">
        <v>1271</v>
      </c>
      <c r="CB183" s="2" t="s">
        <v>1289</v>
      </c>
      <c r="CC183" s="2" t="s">
        <v>244</v>
      </c>
      <c r="CD183" s="2" t="s">
        <v>231</v>
      </c>
      <c r="CE183" s="4">
        <v>218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</row>
    <row r="184">
      <c r="A184" s="2" t="s">
        <v>1290</v>
      </c>
      <c r="B184" s="2" t="s">
        <v>1186</v>
      </c>
      <c r="C184" s="2" t="s">
        <v>815</v>
      </c>
      <c r="D184" s="2" t="s">
        <v>826</v>
      </c>
      <c r="E184" s="2" t="s">
        <v>1060</v>
      </c>
      <c r="F184" s="2" t="s">
        <v>1264</v>
      </c>
      <c r="G184" s="2" t="s">
        <v>1264</v>
      </c>
      <c r="H184" s="2" t="s">
        <v>1264</v>
      </c>
      <c r="I184" s="2" t="s">
        <v>1265</v>
      </c>
      <c r="J184" s="2" t="s">
        <v>669</v>
      </c>
      <c r="K184" s="2" t="s">
        <v>1169</v>
      </c>
      <c r="L184" s="3">
        <v>58.5</v>
      </c>
      <c r="M184" s="3">
        <v>61.42</v>
      </c>
      <c r="N184" s="3">
        <v>119.99</v>
      </c>
      <c r="O184" s="2" t="s">
        <v>243</v>
      </c>
      <c r="P184" s="2" t="s">
        <v>270</v>
      </c>
      <c r="Q184" s="2" t="s">
        <v>237</v>
      </c>
      <c r="R184" s="2" t="s">
        <v>231</v>
      </c>
      <c r="S184" s="2" t="s">
        <v>1282</v>
      </c>
      <c r="T184" s="2" t="s">
        <v>362</v>
      </c>
      <c r="U184" s="2" t="s">
        <v>835</v>
      </c>
      <c r="V184" s="2" t="s">
        <v>1267</v>
      </c>
      <c r="W184" s="2" t="s">
        <v>808</v>
      </c>
      <c r="X184" s="2" t="s">
        <v>1268</v>
      </c>
      <c r="Y184" s="2" t="s">
        <v>274</v>
      </c>
      <c r="Z184" s="4">
        <v>166</v>
      </c>
      <c r="AA184" s="4">
        <f>=ROUNDDOWN(75.4545454545455,0)</f>
      </c>
      <c r="AB184" s="5">
        <v>2.2</v>
      </c>
      <c r="AC184" s="2" t="s">
        <v>231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231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231</v>
      </c>
      <c r="AW184" s="8" t="s">
        <v>231</v>
      </c>
      <c r="AX184" s="4" t="s">
        <v>231</v>
      </c>
      <c r="AY184" s="8" t="s">
        <v>231</v>
      </c>
      <c r="AZ184" s="7" t="s">
        <v>231</v>
      </c>
      <c r="BA184" s="7" t="s">
        <v>231</v>
      </c>
      <c r="BB184" s="7"/>
      <c r="BC184" s="4" t="s">
        <v>231</v>
      </c>
      <c r="BD184" s="8" t="s">
        <v>231</v>
      </c>
      <c r="BE184" s="4" t="s">
        <v>231</v>
      </c>
      <c r="BF184" s="8" t="s">
        <v>231</v>
      </c>
      <c r="BG184" s="7" t="s">
        <v>231</v>
      </c>
      <c r="BH184" s="7" t="s">
        <v>231</v>
      </c>
      <c r="BI184" s="7"/>
      <c r="BJ184" s="4">
        <v>9</v>
      </c>
      <c r="BK184" s="8">
        <v>515.43</v>
      </c>
      <c r="BL184" s="2" t="s">
        <v>1291</v>
      </c>
      <c r="BM184" s="7"/>
      <c r="BN184" s="7"/>
      <c r="BO184" s="4"/>
      <c r="BP184" s="8"/>
      <c r="BQ184" s="4"/>
      <c r="BR184" s="8"/>
      <c r="BS184" s="7"/>
      <c r="BT184" s="7"/>
      <c r="BU184" s="2" t="s">
        <v>1292</v>
      </c>
      <c r="BV184" s="2" t="s">
        <v>231</v>
      </c>
      <c r="BW184" s="2" t="s">
        <v>231</v>
      </c>
      <c r="BX184" s="2" t="s">
        <v>241</v>
      </c>
      <c r="BY184" s="2" t="s">
        <v>277</v>
      </c>
      <c r="BZ184" s="2" t="s">
        <v>243</v>
      </c>
      <c r="CA184" s="2" t="s">
        <v>1271</v>
      </c>
      <c r="CB184" s="2" t="s">
        <v>1293</v>
      </c>
      <c r="CC184" s="2" t="s">
        <v>244</v>
      </c>
      <c r="CD184" s="2" t="s">
        <v>231</v>
      </c>
      <c r="CE184" s="4">
        <v>166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</row>
    <row r="185">
      <c r="A185" s="2" t="s">
        <v>1294</v>
      </c>
      <c r="B185" s="2" t="s">
        <v>1004</v>
      </c>
      <c r="C185" s="2" t="s">
        <v>653</v>
      </c>
      <c r="D185" s="2" t="s">
        <v>1295</v>
      </c>
      <c r="E185" s="2" t="s">
        <v>241</v>
      </c>
      <c r="F185" s="2" t="s">
        <v>1296</v>
      </c>
      <c r="G185" s="2" t="s">
        <v>1296</v>
      </c>
      <c r="H185" s="2" t="s">
        <v>1296</v>
      </c>
      <c r="I185" s="2" t="s">
        <v>231</v>
      </c>
      <c r="J185" s="2" t="s">
        <v>1297</v>
      </c>
      <c r="K185" s="2" t="s">
        <v>294</v>
      </c>
      <c r="L185" s="3">
        <v>81.19</v>
      </c>
      <c r="M185" s="3"/>
      <c r="N185" s="3"/>
      <c r="O185" s="2" t="s">
        <v>250</v>
      </c>
      <c r="P185" s="2" t="s">
        <v>231</v>
      </c>
      <c r="Q185" s="2" t="s">
        <v>231</v>
      </c>
      <c r="R185" s="2" t="s">
        <v>231</v>
      </c>
      <c r="S185" s="2" t="s">
        <v>231</v>
      </c>
      <c r="T185" s="2" t="s">
        <v>231</v>
      </c>
      <c r="U185" s="2" t="s">
        <v>231</v>
      </c>
      <c r="V185" s="2" t="s">
        <v>231</v>
      </c>
      <c r="W185" s="2" t="s">
        <v>231</v>
      </c>
      <c r="X185" s="2" t="s">
        <v>231</v>
      </c>
      <c r="Y185" s="2" t="s">
        <v>231</v>
      </c>
      <c r="Z185" s="4"/>
      <c r="AA185" s="4">
        <f>=ROUNDDOWN({0},0)</f>
      </c>
      <c r="AB185" s="5"/>
      <c r="AC185" s="2" t="s">
        <v>231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231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231</v>
      </c>
      <c r="BM185" s="7"/>
      <c r="BN185" s="7"/>
      <c r="BO185" s="4"/>
      <c r="BP185" s="8"/>
      <c r="BQ185" s="4"/>
      <c r="BR185" s="8"/>
      <c r="BS185" s="7"/>
      <c r="BT185" s="7"/>
      <c r="BU185" s="2" t="s">
        <v>231</v>
      </c>
      <c r="BV185" s="2" t="s">
        <v>231</v>
      </c>
      <c r="BW185" s="2" t="s">
        <v>231</v>
      </c>
      <c r="BX185" s="2" t="s">
        <v>231</v>
      </c>
      <c r="BY185" s="2" t="s">
        <v>231</v>
      </c>
      <c r="BZ185" s="2" t="s">
        <v>231</v>
      </c>
      <c r="CA185" s="2" t="s">
        <v>231</v>
      </c>
      <c r="CB185" s="2" t="s">
        <v>231</v>
      </c>
      <c r="CC185" s="2" t="s">
        <v>231</v>
      </c>
      <c r="CD185" s="2" t="s">
        <v>231</v>
      </c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</row>
    <row r="186">
      <c r="A186" s="2" t="s">
        <v>1298</v>
      </c>
      <c r="B186" s="2" t="s">
        <v>226</v>
      </c>
      <c r="C186" s="2" t="s">
        <v>1299</v>
      </c>
      <c r="D186" s="2" t="s">
        <v>654</v>
      </c>
      <c r="E186" s="2" t="s">
        <v>655</v>
      </c>
      <c r="F186" s="2" t="s">
        <v>1300</v>
      </c>
      <c r="G186" s="2" t="s">
        <v>1300</v>
      </c>
      <c r="H186" s="2" t="s">
        <v>1300</v>
      </c>
      <c r="I186" s="2" t="s">
        <v>1301</v>
      </c>
      <c r="J186" s="2" t="s">
        <v>658</v>
      </c>
      <c r="K186" s="2" t="s">
        <v>1302</v>
      </c>
      <c r="L186" s="3">
        <v>56.45</v>
      </c>
      <c r="M186" s="3">
        <v>59.27</v>
      </c>
      <c r="N186" s="3">
        <v>118.99</v>
      </c>
      <c r="O186" s="2" t="s">
        <v>243</v>
      </c>
      <c r="P186" s="2" t="s">
        <v>270</v>
      </c>
      <c r="Q186" s="2" t="s">
        <v>237</v>
      </c>
      <c r="R186" s="2" t="s">
        <v>231</v>
      </c>
      <c r="S186" s="2" t="s">
        <v>1303</v>
      </c>
      <c r="T186" s="2" t="s">
        <v>970</v>
      </c>
      <c r="U186" s="2" t="s">
        <v>298</v>
      </c>
      <c r="V186" s="2" t="s">
        <v>1304</v>
      </c>
      <c r="W186" s="2" t="s">
        <v>897</v>
      </c>
      <c r="X186" s="2" t="s">
        <v>971</v>
      </c>
      <c r="Y186" s="2" t="s">
        <v>979</v>
      </c>
      <c r="Z186" s="4"/>
      <c r="AA186" s="4">
        <f>=ROUNDDOWN({0},0)</f>
      </c>
      <c r="AB186" s="5">
        <v>20</v>
      </c>
      <c r="AC186" s="2" t="s">
        <v>1305</v>
      </c>
      <c r="AD186" s="4">
        <v>240</v>
      </c>
      <c r="AE186" s="4">
        <v>920</v>
      </c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231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231</v>
      </c>
      <c r="AW186" s="8" t="s">
        <v>231</v>
      </c>
      <c r="AX186" s="4" t="s">
        <v>231</v>
      </c>
      <c r="AY186" s="8" t="s">
        <v>231</v>
      </c>
      <c r="AZ186" s="7" t="s">
        <v>231</v>
      </c>
      <c r="BA186" s="7" t="s">
        <v>231</v>
      </c>
      <c r="BB186" s="7"/>
      <c r="BC186" s="4" t="s">
        <v>231</v>
      </c>
      <c r="BD186" s="8" t="s">
        <v>231</v>
      </c>
      <c r="BE186" s="4" t="s">
        <v>231</v>
      </c>
      <c r="BF186" s="8" t="s">
        <v>231</v>
      </c>
      <c r="BG186" s="7" t="s">
        <v>231</v>
      </c>
      <c r="BH186" s="7" t="s">
        <v>231</v>
      </c>
      <c r="BI186" s="7"/>
      <c r="BJ186" s="4"/>
      <c r="BK186" s="8"/>
      <c r="BL186" s="2" t="s">
        <v>1306</v>
      </c>
      <c r="BM186" s="7"/>
      <c r="BN186" s="7"/>
      <c r="BO186" s="4"/>
      <c r="BP186" s="8"/>
      <c r="BQ186" s="4"/>
      <c r="BR186" s="8"/>
      <c r="BS186" s="7"/>
      <c r="BT186" s="7"/>
      <c r="BU186" s="2" t="s">
        <v>1307</v>
      </c>
      <c r="BV186" s="2" t="s">
        <v>231</v>
      </c>
      <c r="BW186" s="2" t="s">
        <v>231</v>
      </c>
      <c r="BX186" s="2" t="s">
        <v>231</v>
      </c>
      <c r="BY186" s="2" t="s">
        <v>277</v>
      </c>
      <c r="BZ186" s="2" t="s">
        <v>243</v>
      </c>
      <c r="CA186" s="2" t="s">
        <v>979</v>
      </c>
      <c r="CB186" s="2" t="s">
        <v>1308</v>
      </c>
      <c r="CC186" s="2" t="s">
        <v>244</v>
      </c>
      <c r="CD186" s="2" t="s">
        <v>231</v>
      </c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>
        <v>240</v>
      </c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>
        <v>310</v>
      </c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>
        <v>370</v>
      </c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</row>
    <row r="187">
      <c r="A187" s="2" t="s">
        <v>1309</v>
      </c>
      <c r="B187" s="2" t="s">
        <v>226</v>
      </c>
      <c r="C187" s="2" t="s">
        <v>1299</v>
      </c>
      <c r="D187" s="2" t="s">
        <v>654</v>
      </c>
      <c r="E187" s="2" t="s">
        <v>655</v>
      </c>
      <c r="F187" s="2" t="s">
        <v>1300</v>
      </c>
      <c r="G187" s="2" t="s">
        <v>1300</v>
      </c>
      <c r="H187" s="2" t="s">
        <v>1300</v>
      </c>
      <c r="I187" s="2" t="s">
        <v>1301</v>
      </c>
      <c r="J187" s="2" t="s">
        <v>302</v>
      </c>
      <c r="K187" s="2" t="s">
        <v>1302</v>
      </c>
      <c r="L187" s="3">
        <v>63.11</v>
      </c>
      <c r="M187" s="3">
        <v>66.27</v>
      </c>
      <c r="N187" s="3">
        <v>132.99</v>
      </c>
      <c r="O187" s="2" t="s">
        <v>243</v>
      </c>
      <c r="P187" s="2" t="s">
        <v>270</v>
      </c>
      <c r="Q187" s="2" t="s">
        <v>237</v>
      </c>
      <c r="R187" s="2" t="s">
        <v>231</v>
      </c>
      <c r="S187" s="2" t="s">
        <v>1303</v>
      </c>
      <c r="T187" s="2" t="s">
        <v>970</v>
      </c>
      <c r="U187" s="2" t="s">
        <v>298</v>
      </c>
      <c r="V187" s="2" t="s">
        <v>1304</v>
      </c>
      <c r="W187" s="2" t="s">
        <v>897</v>
      </c>
      <c r="X187" s="2" t="s">
        <v>971</v>
      </c>
      <c r="Y187" s="2" t="s">
        <v>979</v>
      </c>
      <c r="Z187" s="4"/>
      <c r="AA187" s="4">
        <f>=ROUNDDOWN({0},0)</f>
      </c>
      <c r="AB187" s="5">
        <v>18</v>
      </c>
      <c r="AC187" s="2" t="s">
        <v>1305</v>
      </c>
      <c r="AD187" s="4">
        <v>230</v>
      </c>
      <c r="AE187" s="4">
        <v>920</v>
      </c>
      <c r="AF187" s="6">
        <v>65</v>
      </c>
      <c r="AG187" s="6"/>
      <c r="AH187" s="7">
        <v>0</v>
      </c>
      <c r="AI187" s="4"/>
      <c r="AJ187" s="4">
        <f>=ROUNDDOWN({0},0)</f>
      </c>
      <c r="AK187" s="5"/>
      <c r="AL187" s="2" t="s">
        <v>231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231</v>
      </c>
      <c r="AW187" s="8" t="s">
        <v>231</v>
      </c>
      <c r="AX187" s="4" t="s">
        <v>231</v>
      </c>
      <c r="AY187" s="8" t="s">
        <v>231</v>
      </c>
      <c r="AZ187" s="7" t="s">
        <v>231</v>
      </c>
      <c r="BA187" s="7" t="s">
        <v>231</v>
      </c>
      <c r="BB187" s="7"/>
      <c r="BC187" s="4" t="s">
        <v>231</v>
      </c>
      <c r="BD187" s="8" t="s">
        <v>231</v>
      </c>
      <c r="BE187" s="4" t="s">
        <v>231</v>
      </c>
      <c r="BF187" s="8" t="s">
        <v>231</v>
      </c>
      <c r="BG187" s="7" t="s">
        <v>231</v>
      </c>
      <c r="BH187" s="7" t="s">
        <v>231</v>
      </c>
      <c r="BI187" s="7"/>
      <c r="BJ187" s="4">
        <v>1</v>
      </c>
      <c r="BK187" s="8">
        <v>66.26</v>
      </c>
      <c r="BL187" s="2" t="s">
        <v>1306</v>
      </c>
      <c r="BM187" s="7"/>
      <c r="BN187" s="7"/>
      <c r="BO187" s="4"/>
      <c r="BP187" s="8"/>
      <c r="BQ187" s="4"/>
      <c r="BR187" s="8"/>
      <c r="BS187" s="7"/>
      <c r="BT187" s="7"/>
      <c r="BU187" s="2" t="s">
        <v>1310</v>
      </c>
      <c r="BV187" s="2" t="s">
        <v>231</v>
      </c>
      <c r="BW187" s="2" t="s">
        <v>231</v>
      </c>
      <c r="BX187" s="2" t="s">
        <v>231</v>
      </c>
      <c r="BY187" s="2" t="s">
        <v>277</v>
      </c>
      <c r="BZ187" s="2" t="s">
        <v>243</v>
      </c>
      <c r="CA187" s="2" t="s">
        <v>979</v>
      </c>
      <c r="CB187" s="2" t="s">
        <v>1311</v>
      </c>
      <c r="CC187" s="2" t="s">
        <v>244</v>
      </c>
      <c r="CD187" s="2" t="s">
        <v>231</v>
      </c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>
        <v>230</v>
      </c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>
        <v>310</v>
      </c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>
        <v>380</v>
      </c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</row>
    <row r="188">
      <c r="A188" s="2" t="s">
        <v>1312</v>
      </c>
      <c r="B188" s="2" t="s">
        <v>226</v>
      </c>
      <c r="C188" s="2" t="s">
        <v>1299</v>
      </c>
      <c r="D188" s="2" t="s">
        <v>654</v>
      </c>
      <c r="E188" s="2" t="s">
        <v>655</v>
      </c>
      <c r="F188" s="2" t="s">
        <v>1300</v>
      </c>
      <c r="G188" s="2" t="s">
        <v>1300</v>
      </c>
      <c r="H188" s="2" t="s">
        <v>1300</v>
      </c>
      <c r="I188" s="2" t="s">
        <v>1301</v>
      </c>
      <c r="J188" s="2" t="s">
        <v>658</v>
      </c>
      <c r="K188" s="2" t="s">
        <v>1313</v>
      </c>
      <c r="L188" s="3">
        <v>56.45</v>
      </c>
      <c r="M188" s="3">
        <v>59.27</v>
      </c>
      <c r="N188" s="3">
        <v>118.99</v>
      </c>
      <c r="O188" s="2" t="s">
        <v>243</v>
      </c>
      <c r="P188" s="2" t="s">
        <v>1281</v>
      </c>
      <c r="Q188" s="2" t="s">
        <v>237</v>
      </c>
      <c r="R188" s="2" t="s">
        <v>231</v>
      </c>
      <c r="S188" s="2" t="s">
        <v>1314</v>
      </c>
      <c r="T188" s="2" t="s">
        <v>970</v>
      </c>
      <c r="U188" s="2" t="s">
        <v>298</v>
      </c>
      <c r="V188" s="2" t="s">
        <v>239</v>
      </c>
      <c r="W188" s="2" t="s">
        <v>897</v>
      </c>
      <c r="X188" s="2" t="s">
        <v>971</v>
      </c>
      <c r="Y188" s="2" t="s">
        <v>768</v>
      </c>
      <c r="Z188" s="4">
        <v>2</v>
      </c>
      <c r="AA188" s="4">
        <f>=ROUNDDOWN(0.0714285714285714,0)</f>
      </c>
      <c r="AB188" s="5">
        <v>28</v>
      </c>
      <c r="AC188" s="2" t="s">
        <v>1315</v>
      </c>
      <c r="AD188" s="4">
        <v>270</v>
      </c>
      <c r="AE188" s="4">
        <v>1020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231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231</v>
      </c>
      <c r="AW188" s="8" t="s">
        <v>231</v>
      </c>
      <c r="AX188" s="4" t="s">
        <v>231</v>
      </c>
      <c r="AY188" s="8" t="s">
        <v>231</v>
      </c>
      <c r="AZ188" s="7" t="s">
        <v>231</v>
      </c>
      <c r="BA188" s="7" t="s">
        <v>231</v>
      </c>
      <c r="BB188" s="7"/>
      <c r="BC188" s="4" t="s">
        <v>231</v>
      </c>
      <c r="BD188" s="8" t="s">
        <v>231</v>
      </c>
      <c r="BE188" s="4" t="s">
        <v>231</v>
      </c>
      <c r="BF188" s="8" t="s">
        <v>231</v>
      </c>
      <c r="BG188" s="7" t="s">
        <v>231</v>
      </c>
      <c r="BH188" s="7" t="s">
        <v>231</v>
      </c>
      <c r="BI188" s="7"/>
      <c r="BJ188" s="4"/>
      <c r="BK188" s="8"/>
      <c r="BL188" s="2" t="s">
        <v>231</v>
      </c>
      <c r="BM188" s="7"/>
      <c r="BN188" s="7"/>
      <c r="BO188" s="4"/>
      <c r="BP188" s="8"/>
      <c r="BQ188" s="4"/>
      <c r="BR188" s="8"/>
      <c r="BS188" s="7"/>
      <c r="BT188" s="7"/>
      <c r="BU188" s="2" t="s">
        <v>1316</v>
      </c>
      <c r="BV188" s="2" t="s">
        <v>231</v>
      </c>
      <c r="BW188" s="2" t="s">
        <v>231</v>
      </c>
      <c r="BX188" s="2" t="s">
        <v>231</v>
      </c>
      <c r="BY188" s="2" t="s">
        <v>277</v>
      </c>
      <c r="BZ188" s="2" t="s">
        <v>243</v>
      </c>
      <c r="CA188" s="2" t="s">
        <v>768</v>
      </c>
      <c r="CB188" s="2" t="s">
        <v>879</v>
      </c>
      <c r="CC188" s="2" t="s">
        <v>244</v>
      </c>
      <c r="CD188" s="2" t="s">
        <v>231</v>
      </c>
      <c r="CE188" s="4">
        <v>2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>
        <v>270</v>
      </c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>
        <v>340</v>
      </c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>
        <v>410</v>
      </c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</row>
    <row r="189">
      <c r="A189" s="2" t="s">
        <v>1317</v>
      </c>
      <c r="B189" s="2" t="s">
        <v>226</v>
      </c>
      <c r="C189" s="2" t="s">
        <v>1299</v>
      </c>
      <c r="D189" s="2" t="s">
        <v>654</v>
      </c>
      <c r="E189" s="2" t="s">
        <v>655</v>
      </c>
      <c r="F189" s="2" t="s">
        <v>1300</v>
      </c>
      <c r="G189" s="2" t="s">
        <v>1300</v>
      </c>
      <c r="H189" s="2" t="s">
        <v>1300</v>
      </c>
      <c r="I189" s="2" t="s">
        <v>1301</v>
      </c>
      <c r="J189" s="2" t="s">
        <v>302</v>
      </c>
      <c r="K189" s="2" t="s">
        <v>1313</v>
      </c>
      <c r="L189" s="3">
        <v>63.11</v>
      </c>
      <c r="M189" s="3">
        <v>66.27</v>
      </c>
      <c r="N189" s="3">
        <v>132.99</v>
      </c>
      <c r="O189" s="2" t="s">
        <v>243</v>
      </c>
      <c r="P189" s="2" t="s">
        <v>1281</v>
      </c>
      <c r="Q189" s="2" t="s">
        <v>237</v>
      </c>
      <c r="R189" s="2" t="s">
        <v>231</v>
      </c>
      <c r="S189" s="2" t="s">
        <v>1314</v>
      </c>
      <c r="T189" s="2" t="s">
        <v>970</v>
      </c>
      <c r="U189" s="2" t="s">
        <v>298</v>
      </c>
      <c r="V189" s="2" t="s">
        <v>239</v>
      </c>
      <c r="W189" s="2" t="s">
        <v>897</v>
      </c>
      <c r="X189" s="2" t="s">
        <v>971</v>
      </c>
      <c r="Y189" s="2" t="s">
        <v>1318</v>
      </c>
      <c r="Z189" s="4"/>
      <c r="AA189" s="4">
        <f>=ROUNDDOWN({0},0)</f>
      </c>
      <c r="AB189" s="5">
        <v>25</v>
      </c>
      <c r="AC189" s="2" t="s">
        <v>1315</v>
      </c>
      <c r="AD189" s="4">
        <v>300</v>
      </c>
      <c r="AE189" s="4">
        <v>1230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231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231</v>
      </c>
      <c r="AW189" s="8" t="s">
        <v>231</v>
      </c>
      <c r="AX189" s="4" t="s">
        <v>231</v>
      </c>
      <c r="AY189" s="8" t="s">
        <v>231</v>
      </c>
      <c r="AZ189" s="7" t="s">
        <v>231</v>
      </c>
      <c r="BA189" s="7" t="s">
        <v>231</v>
      </c>
      <c r="BB189" s="7"/>
      <c r="BC189" s="4" t="s">
        <v>231</v>
      </c>
      <c r="BD189" s="8" t="s">
        <v>231</v>
      </c>
      <c r="BE189" s="4" t="s">
        <v>231</v>
      </c>
      <c r="BF189" s="8" t="s">
        <v>231</v>
      </c>
      <c r="BG189" s="7" t="s">
        <v>231</v>
      </c>
      <c r="BH189" s="7" t="s">
        <v>231</v>
      </c>
      <c r="BI189" s="7"/>
      <c r="BJ189" s="4"/>
      <c r="BK189" s="8"/>
      <c r="BL189" s="2" t="s">
        <v>231</v>
      </c>
      <c r="BM189" s="7"/>
      <c r="BN189" s="7"/>
      <c r="BO189" s="4"/>
      <c r="BP189" s="8"/>
      <c r="BQ189" s="4"/>
      <c r="BR189" s="8"/>
      <c r="BS189" s="7"/>
      <c r="BT189" s="7"/>
      <c r="BU189" s="2" t="s">
        <v>1319</v>
      </c>
      <c r="BV189" s="2" t="s">
        <v>231</v>
      </c>
      <c r="BW189" s="2" t="s">
        <v>231</v>
      </c>
      <c r="BX189" s="2" t="s">
        <v>231</v>
      </c>
      <c r="BY189" s="2" t="s">
        <v>277</v>
      </c>
      <c r="BZ189" s="2" t="s">
        <v>243</v>
      </c>
      <c r="CA189" s="2" t="s">
        <v>1318</v>
      </c>
      <c r="CB189" s="2" t="s">
        <v>1320</v>
      </c>
      <c r="CC189" s="2" t="s">
        <v>244</v>
      </c>
      <c r="CD189" s="2" t="s">
        <v>231</v>
      </c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>
        <v>300</v>
      </c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>
        <v>410</v>
      </c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>
        <v>520</v>
      </c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</row>
    <row r="190">
      <c r="A190" s="2" t="s">
        <v>1321</v>
      </c>
      <c r="B190" s="2" t="s">
        <v>226</v>
      </c>
      <c r="C190" s="2" t="s">
        <v>1299</v>
      </c>
      <c r="D190" s="2" t="s">
        <v>654</v>
      </c>
      <c r="E190" s="2" t="s">
        <v>655</v>
      </c>
      <c r="F190" s="2" t="s">
        <v>1300</v>
      </c>
      <c r="G190" s="2" t="s">
        <v>1300</v>
      </c>
      <c r="H190" s="2" t="s">
        <v>1300</v>
      </c>
      <c r="I190" s="2" t="s">
        <v>1301</v>
      </c>
      <c r="J190" s="2" t="s">
        <v>658</v>
      </c>
      <c r="K190" s="2" t="s">
        <v>1322</v>
      </c>
      <c r="L190" s="3">
        <v>56.45</v>
      </c>
      <c r="M190" s="3">
        <v>59.27</v>
      </c>
      <c r="N190" s="3">
        <v>118.99</v>
      </c>
      <c r="O190" s="2" t="s">
        <v>243</v>
      </c>
      <c r="P190" s="2" t="s">
        <v>270</v>
      </c>
      <c r="Q190" s="2" t="s">
        <v>237</v>
      </c>
      <c r="R190" s="2" t="s">
        <v>231</v>
      </c>
      <c r="S190" s="2" t="s">
        <v>1323</v>
      </c>
      <c r="T190" s="2" t="s">
        <v>970</v>
      </c>
      <c r="U190" s="2" t="s">
        <v>298</v>
      </c>
      <c r="V190" s="2" t="s">
        <v>239</v>
      </c>
      <c r="W190" s="2" t="s">
        <v>897</v>
      </c>
      <c r="X190" s="2" t="s">
        <v>231</v>
      </c>
      <c r="Y190" s="2" t="s">
        <v>1324</v>
      </c>
      <c r="Z190" s="4">
        <v>2</v>
      </c>
      <c r="AA190" s="4">
        <f>=ROUNDDOWN(0.0813008130081301,0)</f>
      </c>
      <c r="AB190" s="5">
        <v>24.6</v>
      </c>
      <c r="AC190" s="2" t="s">
        <v>1305</v>
      </c>
      <c r="AD190" s="4">
        <v>230</v>
      </c>
      <c r="AE190" s="4">
        <v>870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231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231</v>
      </c>
      <c r="AW190" s="8" t="s">
        <v>231</v>
      </c>
      <c r="AX190" s="4" t="s">
        <v>231</v>
      </c>
      <c r="AY190" s="8" t="s">
        <v>231</v>
      </c>
      <c r="AZ190" s="7" t="s">
        <v>231</v>
      </c>
      <c r="BA190" s="7" t="s">
        <v>231</v>
      </c>
      <c r="BB190" s="7"/>
      <c r="BC190" s="4" t="s">
        <v>231</v>
      </c>
      <c r="BD190" s="8" t="s">
        <v>231</v>
      </c>
      <c r="BE190" s="4" t="s">
        <v>231</v>
      </c>
      <c r="BF190" s="8" t="s">
        <v>231</v>
      </c>
      <c r="BG190" s="7" t="s">
        <v>231</v>
      </c>
      <c r="BH190" s="7" t="s">
        <v>231</v>
      </c>
      <c r="BI190" s="7"/>
      <c r="BJ190" s="4"/>
      <c r="BK190" s="8"/>
      <c r="BL190" s="2" t="s">
        <v>231</v>
      </c>
      <c r="BM190" s="7"/>
      <c r="BN190" s="7"/>
      <c r="BO190" s="4"/>
      <c r="BP190" s="8"/>
      <c r="BQ190" s="4"/>
      <c r="BR190" s="8"/>
      <c r="BS190" s="7"/>
      <c r="BT190" s="7"/>
      <c r="BU190" s="2" t="s">
        <v>1325</v>
      </c>
      <c r="BV190" s="2" t="s">
        <v>231</v>
      </c>
      <c r="BW190" s="2" t="s">
        <v>231</v>
      </c>
      <c r="BX190" s="2" t="s">
        <v>231</v>
      </c>
      <c r="BY190" s="2" t="s">
        <v>277</v>
      </c>
      <c r="BZ190" s="2" t="s">
        <v>243</v>
      </c>
      <c r="CA190" s="2" t="s">
        <v>1326</v>
      </c>
      <c r="CB190" s="2" t="s">
        <v>1327</v>
      </c>
      <c r="CC190" s="2" t="s">
        <v>244</v>
      </c>
      <c r="CD190" s="2" t="s">
        <v>231</v>
      </c>
      <c r="CE190" s="4">
        <v>2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>
        <v>230</v>
      </c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>
        <v>290</v>
      </c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>
        <v>350</v>
      </c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</row>
    <row r="191">
      <c r="A191" s="2" t="s">
        <v>1328</v>
      </c>
      <c r="B191" s="2" t="s">
        <v>226</v>
      </c>
      <c r="C191" s="2" t="s">
        <v>1299</v>
      </c>
      <c r="D191" s="2" t="s">
        <v>654</v>
      </c>
      <c r="E191" s="2" t="s">
        <v>655</v>
      </c>
      <c r="F191" s="2" t="s">
        <v>1300</v>
      </c>
      <c r="G191" s="2" t="s">
        <v>1300</v>
      </c>
      <c r="H191" s="2" t="s">
        <v>1300</v>
      </c>
      <c r="I191" s="2" t="s">
        <v>1301</v>
      </c>
      <c r="J191" s="2" t="s">
        <v>302</v>
      </c>
      <c r="K191" s="2" t="s">
        <v>1322</v>
      </c>
      <c r="L191" s="3">
        <v>63.11</v>
      </c>
      <c r="M191" s="3">
        <v>66.27</v>
      </c>
      <c r="N191" s="3">
        <v>132.99</v>
      </c>
      <c r="O191" s="2" t="s">
        <v>243</v>
      </c>
      <c r="P191" s="2" t="s">
        <v>270</v>
      </c>
      <c r="Q191" s="2" t="s">
        <v>237</v>
      </c>
      <c r="R191" s="2" t="s">
        <v>231</v>
      </c>
      <c r="S191" s="2" t="s">
        <v>1323</v>
      </c>
      <c r="T191" s="2" t="s">
        <v>970</v>
      </c>
      <c r="U191" s="2" t="s">
        <v>298</v>
      </c>
      <c r="V191" s="2" t="s">
        <v>239</v>
      </c>
      <c r="W191" s="2" t="s">
        <v>897</v>
      </c>
      <c r="X191" s="2" t="s">
        <v>231</v>
      </c>
      <c r="Y191" s="2" t="s">
        <v>1324</v>
      </c>
      <c r="Z191" s="4"/>
      <c r="AA191" s="4">
        <f>=ROUNDDOWN({0},0)</f>
      </c>
      <c r="AB191" s="5">
        <v>21</v>
      </c>
      <c r="AC191" s="2" t="s">
        <v>1305</v>
      </c>
      <c r="AD191" s="4">
        <v>230</v>
      </c>
      <c r="AE191" s="4">
        <v>910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231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231</v>
      </c>
      <c r="AW191" s="8" t="s">
        <v>231</v>
      </c>
      <c r="AX191" s="4" t="s">
        <v>231</v>
      </c>
      <c r="AY191" s="8" t="s">
        <v>231</v>
      </c>
      <c r="AZ191" s="7" t="s">
        <v>231</v>
      </c>
      <c r="BA191" s="7" t="s">
        <v>231</v>
      </c>
      <c r="BB191" s="7"/>
      <c r="BC191" s="4" t="s">
        <v>231</v>
      </c>
      <c r="BD191" s="8" t="s">
        <v>231</v>
      </c>
      <c r="BE191" s="4" t="s">
        <v>231</v>
      </c>
      <c r="BF191" s="8" t="s">
        <v>231</v>
      </c>
      <c r="BG191" s="7" t="s">
        <v>231</v>
      </c>
      <c r="BH191" s="7" t="s">
        <v>231</v>
      </c>
      <c r="BI191" s="7"/>
      <c r="BJ191" s="4"/>
      <c r="BK191" s="8"/>
      <c r="BL191" s="2" t="s">
        <v>231</v>
      </c>
      <c r="BM191" s="7"/>
      <c r="BN191" s="7"/>
      <c r="BO191" s="4"/>
      <c r="BP191" s="8"/>
      <c r="BQ191" s="4"/>
      <c r="BR191" s="8"/>
      <c r="BS191" s="7"/>
      <c r="BT191" s="7"/>
      <c r="BU191" s="2" t="s">
        <v>1329</v>
      </c>
      <c r="BV191" s="2" t="s">
        <v>231</v>
      </c>
      <c r="BW191" s="2" t="s">
        <v>231</v>
      </c>
      <c r="BX191" s="2" t="s">
        <v>231</v>
      </c>
      <c r="BY191" s="2" t="s">
        <v>277</v>
      </c>
      <c r="BZ191" s="2" t="s">
        <v>243</v>
      </c>
      <c r="CA191" s="2" t="s">
        <v>1326</v>
      </c>
      <c r="CB191" s="2" t="s">
        <v>1327</v>
      </c>
      <c r="CC191" s="2" t="s">
        <v>244</v>
      </c>
      <c r="CD191" s="2" t="s">
        <v>231</v>
      </c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>
        <v>230</v>
      </c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>
        <v>300</v>
      </c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>
        <v>380</v>
      </c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</row>
    <row r="192">
      <c r="A192" s="2" t="s">
        <v>1330</v>
      </c>
      <c r="B192" s="2" t="s">
        <v>226</v>
      </c>
      <c r="C192" s="2" t="s">
        <v>1299</v>
      </c>
      <c r="D192" s="2" t="s">
        <v>654</v>
      </c>
      <c r="E192" s="2" t="s">
        <v>655</v>
      </c>
      <c r="F192" s="2" t="s">
        <v>1300</v>
      </c>
      <c r="G192" s="2" t="s">
        <v>1300</v>
      </c>
      <c r="H192" s="2" t="s">
        <v>1300</v>
      </c>
      <c r="I192" s="2" t="s">
        <v>1301</v>
      </c>
      <c r="J192" s="2" t="s">
        <v>658</v>
      </c>
      <c r="K192" s="2" t="s">
        <v>1331</v>
      </c>
      <c r="L192" s="3">
        <v>56.45</v>
      </c>
      <c r="M192" s="3">
        <v>59.27</v>
      </c>
      <c r="N192" s="3">
        <v>118.99</v>
      </c>
      <c r="O192" s="2" t="s">
        <v>243</v>
      </c>
      <c r="P192" s="2" t="s">
        <v>1332</v>
      </c>
      <c r="Q192" s="2" t="s">
        <v>237</v>
      </c>
      <c r="R192" s="2" t="s">
        <v>231</v>
      </c>
      <c r="S192" s="2" t="s">
        <v>1333</v>
      </c>
      <c r="T192" s="2" t="s">
        <v>970</v>
      </c>
      <c r="U192" s="2" t="s">
        <v>298</v>
      </c>
      <c r="V192" s="2" t="s">
        <v>239</v>
      </c>
      <c r="W192" s="2" t="s">
        <v>897</v>
      </c>
      <c r="X192" s="2" t="s">
        <v>971</v>
      </c>
      <c r="Y192" s="2" t="s">
        <v>1334</v>
      </c>
      <c r="Z192" s="4"/>
      <c r="AA192" s="4">
        <f>=ROUNDDOWN({0},0)</f>
      </c>
      <c r="AB192" s="5">
        <v>35</v>
      </c>
      <c r="AC192" s="2" t="s">
        <v>1315</v>
      </c>
      <c r="AD192" s="4">
        <v>420</v>
      </c>
      <c r="AE192" s="4">
        <v>1590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231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231</v>
      </c>
      <c r="BD192" s="8" t="s">
        <v>231</v>
      </c>
      <c r="BE192" s="4" t="s">
        <v>231</v>
      </c>
      <c r="BF192" s="8" t="s">
        <v>231</v>
      </c>
      <c r="BG192" s="7" t="s">
        <v>231</v>
      </c>
      <c r="BH192" s="7" t="s">
        <v>231</v>
      </c>
      <c r="BI192" s="7"/>
      <c r="BJ192" s="4"/>
      <c r="BK192" s="8"/>
      <c r="BL192" s="2" t="s">
        <v>231</v>
      </c>
      <c r="BM192" s="7"/>
      <c r="BN192" s="7"/>
      <c r="BO192" s="4"/>
      <c r="BP192" s="8"/>
      <c r="BQ192" s="4"/>
      <c r="BR192" s="8"/>
      <c r="BS192" s="7"/>
      <c r="BT192" s="7"/>
      <c r="BU192" s="2" t="s">
        <v>1335</v>
      </c>
      <c r="BV192" s="2" t="s">
        <v>231</v>
      </c>
      <c r="BW192" s="2" t="s">
        <v>231</v>
      </c>
      <c r="BX192" s="2" t="s">
        <v>231</v>
      </c>
      <c r="BY192" s="2" t="s">
        <v>277</v>
      </c>
      <c r="BZ192" s="2" t="s">
        <v>243</v>
      </c>
      <c r="CA192" s="2" t="s">
        <v>1336</v>
      </c>
      <c r="CB192" s="2" t="s">
        <v>1337</v>
      </c>
      <c r="CC192" s="2" t="s">
        <v>244</v>
      </c>
      <c r="CD192" s="2" t="s">
        <v>231</v>
      </c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>
        <v>420</v>
      </c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>
        <v>530</v>
      </c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>
        <v>640</v>
      </c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</row>
    <row r="193">
      <c r="A193" s="2" t="s">
        <v>1338</v>
      </c>
      <c r="B193" s="2" t="s">
        <v>226</v>
      </c>
      <c r="C193" s="2" t="s">
        <v>1299</v>
      </c>
      <c r="D193" s="2" t="s">
        <v>654</v>
      </c>
      <c r="E193" s="2" t="s">
        <v>655</v>
      </c>
      <c r="F193" s="2" t="s">
        <v>1300</v>
      </c>
      <c r="G193" s="2" t="s">
        <v>1300</v>
      </c>
      <c r="H193" s="2" t="s">
        <v>1300</v>
      </c>
      <c r="I193" s="2" t="s">
        <v>1301</v>
      </c>
      <c r="J193" s="2" t="s">
        <v>658</v>
      </c>
      <c r="K193" s="2" t="s">
        <v>1339</v>
      </c>
      <c r="L193" s="3">
        <v>56.45</v>
      </c>
      <c r="M193" s="3">
        <v>59.27</v>
      </c>
      <c r="N193" s="3">
        <v>118.99</v>
      </c>
      <c r="O193" s="2" t="s">
        <v>243</v>
      </c>
      <c r="P193" s="2" t="s">
        <v>1281</v>
      </c>
      <c r="Q193" s="2" t="s">
        <v>237</v>
      </c>
      <c r="R193" s="2" t="s">
        <v>231</v>
      </c>
      <c r="S193" s="2" t="s">
        <v>231</v>
      </c>
      <c r="T193" s="2" t="s">
        <v>970</v>
      </c>
      <c r="U193" s="2" t="s">
        <v>298</v>
      </c>
      <c r="V193" s="2" t="s">
        <v>239</v>
      </c>
      <c r="W193" s="2" t="s">
        <v>897</v>
      </c>
      <c r="X193" s="2" t="s">
        <v>971</v>
      </c>
      <c r="Y193" s="2" t="s">
        <v>1340</v>
      </c>
      <c r="Z193" s="4">
        <v>3</v>
      </c>
      <c r="AA193" s="4">
        <f>=ROUNDDOWN(0.0967741935483871,0)</f>
      </c>
      <c r="AB193" s="5">
        <v>31</v>
      </c>
      <c r="AC193" s="2" t="s">
        <v>1305</v>
      </c>
      <c r="AD193" s="4">
        <v>370</v>
      </c>
      <c r="AE193" s="4">
        <v>1420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231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231</v>
      </c>
      <c r="AW193" s="8" t="s">
        <v>231</v>
      </c>
      <c r="AX193" s="4" t="s">
        <v>231</v>
      </c>
      <c r="AY193" s="8" t="s">
        <v>231</v>
      </c>
      <c r="AZ193" s="7" t="s">
        <v>231</v>
      </c>
      <c r="BA193" s="7" t="s">
        <v>231</v>
      </c>
      <c r="BB193" s="7"/>
      <c r="BC193" s="4" t="s">
        <v>231</v>
      </c>
      <c r="BD193" s="8" t="s">
        <v>231</v>
      </c>
      <c r="BE193" s="4" t="s">
        <v>231</v>
      </c>
      <c r="BF193" s="8" t="s">
        <v>231</v>
      </c>
      <c r="BG193" s="7" t="s">
        <v>231</v>
      </c>
      <c r="BH193" s="7" t="s">
        <v>231</v>
      </c>
      <c r="BI193" s="7"/>
      <c r="BJ193" s="4"/>
      <c r="BK193" s="8"/>
      <c r="BL193" s="2" t="s">
        <v>231</v>
      </c>
      <c r="BM193" s="7"/>
      <c r="BN193" s="7"/>
      <c r="BO193" s="4"/>
      <c r="BP193" s="8"/>
      <c r="BQ193" s="4"/>
      <c r="BR193" s="8"/>
      <c r="BS193" s="7"/>
      <c r="BT193" s="7"/>
      <c r="BU193" s="2" t="s">
        <v>1341</v>
      </c>
      <c r="BV193" s="2" t="s">
        <v>231</v>
      </c>
      <c r="BW193" s="2" t="s">
        <v>231</v>
      </c>
      <c r="BX193" s="2" t="s">
        <v>231</v>
      </c>
      <c r="BY193" s="2" t="s">
        <v>277</v>
      </c>
      <c r="BZ193" s="2" t="s">
        <v>243</v>
      </c>
      <c r="CA193" s="2" t="s">
        <v>1342</v>
      </c>
      <c r="CB193" s="2" t="s">
        <v>1343</v>
      </c>
      <c r="CC193" s="2" t="s">
        <v>244</v>
      </c>
      <c r="CD193" s="2" t="s">
        <v>231</v>
      </c>
      <c r="CE193" s="4">
        <v>3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>
        <v>370</v>
      </c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>
        <v>480</v>
      </c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>
        <v>570</v>
      </c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</row>
    <row r="194">
      <c r="A194" s="2" t="s">
        <v>1344</v>
      </c>
      <c r="B194" s="2" t="s">
        <v>226</v>
      </c>
      <c r="C194" s="2" t="s">
        <v>1299</v>
      </c>
      <c r="D194" s="2" t="s">
        <v>654</v>
      </c>
      <c r="E194" s="2" t="s">
        <v>655</v>
      </c>
      <c r="F194" s="2" t="s">
        <v>1300</v>
      </c>
      <c r="G194" s="2" t="s">
        <v>1300</v>
      </c>
      <c r="H194" s="2" t="s">
        <v>1300</v>
      </c>
      <c r="I194" s="2" t="s">
        <v>1301</v>
      </c>
      <c r="J194" s="2" t="s">
        <v>302</v>
      </c>
      <c r="K194" s="2" t="s">
        <v>1339</v>
      </c>
      <c r="L194" s="3">
        <v>63.11</v>
      </c>
      <c r="M194" s="3">
        <v>66.27</v>
      </c>
      <c r="N194" s="3">
        <v>132.99</v>
      </c>
      <c r="O194" s="2" t="s">
        <v>243</v>
      </c>
      <c r="P194" s="2" t="s">
        <v>1281</v>
      </c>
      <c r="Q194" s="2" t="s">
        <v>237</v>
      </c>
      <c r="R194" s="2" t="s">
        <v>231</v>
      </c>
      <c r="S194" s="2" t="s">
        <v>231</v>
      </c>
      <c r="T194" s="2" t="s">
        <v>970</v>
      </c>
      <c r="U194" s="2" t="s">
        <v>298</v>
      </c>
      <c r="V194" s="2" t="s">
        <v>239</v>
      </c>
      <c r="W194" s="2" t="s">
        <v>897</v>
      </c>
      <c r="X194" s="2" t="s">
        <v>971</v>
      </c>
      <c r="Y194" s="2" t="s">
        <v>1340</v>
      </c>
      <c r="Z194" s="4">
        <v>1</v>
      </c>
      <c r="AA194" s="4">
        <f>=ROUNDDOWN(0.0434782608695652,0)</f>
      </c>
      <c r="AB194" s="5">
        <v>23</v>
      </c>
      <c r="AC194" s="2" t="s">
        <v>1305</v>
      </c>
      <c r="AD194" s="4">
        <v>290</v>
      </c>
      <c r="AE194" s="4">
        <v>1160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231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231</v>
      </c>
      <c r="AW194" s="8" t="s">
        <v>231</v>
      </c>
      <c r="AX194" s="4" t="s">
        <v>231</v>
      </c>
      <c r="AY194" s="8" t="s">
        <v>231</v>
      </c>
      <c r="AZ194" s="7" t="s">
        <v>231</v>
      </c>
      <c r="BA194" s="7" t="s">
        <v>231</v>
      </c>
      <c r="BB194" s="7"/>
      <c r="BC194" s="4" t="s">
        <v>231</v>
      </c>
      <c r="BD194" s="8" t="s">
        <v>231</v>
      </c>
      <c r="BE194" s="4" t="s">
        <v>231</v>
      </c>
      <c r="BF194" s="8" t="s">
        <v>231</v>
      </c>
      <c r="BG194" s="7" t="s">
        <v>231</v>
      </c>
      <c r="BH194" s="7" t="s">
        <v>231</v>
      </c>
      <c r="BI194" s="7"/>
      <c r="BJ194" s="4">
        <v>1</v>
      </c>
      <c r="BK194" s="8">
        <v>71.56</v>
      </c>
      <c r="BL194" s="2" t="s">
        <v>1306</v>
      </c>
      <c r="BM194" s="7"/>
      <c r="BN194" s="7"/>
      <c r="BO194" s="4"/>
      <c r="BP194" s="8"/>
      <c r="BQ194" s="4"/>
      <c r="BR194" s="8"/>
      <c r="BS194" s="7"/>
      <c r="BT194" s="7"/>
      <c r="BU194" s="2" t="s">
        <v>1345</v>
      </c>
      <c r="BV194" s="2" t="s">
        <v>231</v>
      </c>
      <c r="BW194" s="2" t="s">
        <v>231</v>
      </c>
      <c r="BX194" s="2" t="s">
        <v>231</v>
      </c>
      <c r="BY194" s="2" t="s">
        <v>277</v>
      </c>
      <c r="BZ194" s="2" t="s">
        <v>243</v>
      </c>
      <c r="CA194" s="2" t="s">
        <v>1342</v>
      </c>
      <c r="CB194" s="2" t="s">
        <v>1346</v>
      </c>
      <c r="CC194" s="2" t="s">
        <v>244</v>
      </c>
      <c r="CD194" s="2" t="s">
        <v>231</v>
      </c>
      <c r="CE194" s="4">
        <v>1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>
        <v>290</v>
      </c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>
        <v>390</v>
      </c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>
        <v>480</v>
      </c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</row>
    <row r="195">
      <c r="A195" s="2" t="s">
        <v>1347</v>
      </c>
      <c r="B195" s="2" t="s">
        <v>226</v>
      </c>
      <c r="C195" s="2" t="s">
        <v>1299</v>
      </c>
      <c r="D195" s="2" t="s">
        <v>654</v>
      </c>
      <c r="E195" s="2" t="s">
        <v>655</v>
      </c>
      <c r="F195" s="2" t="s">
        <v>1300</v>
      </c>
      <c r="G195" s="2" t="s">
        <v>1300</v>
      </c>
      <c r="H195" s="2" t="s">
        <v>1300</v>
      </c>
      <c r="I195" s="2" t="s">
        <v>1301</v>
      </c>
      <c r="J195" s="2" t="s">
        <v>658</v>
      </c>
      <c r="K195" s="2" t="s">
        <v>1348</v>
      </c>
      <c r="L195" s="3">
        <v>56.45</v>
      </c>
      <c r="M195" s="3">
        <v>59.27</v>
      </c>
      <c r="N195" s="3">
        <v>118.99</v>
      </c>
      <c r="O195" s="2" t="s">
        <v>243</v>
      </c>
      <c r="P195" s="2" t="s">
        <v>270</v>
      </c>
      <c r="Q195" s="2" t="s">
        <v>237</v>
      </c>
      <c r="R195" s="2" t="s">
        <v>231</v>
      </c>
      <c r="S195" s="2" t="s">
        <v>1349</v>
      </c>
      <c r="T195" s="2" t="s">
        <v>970</v>
      </c>
      <c r="U195" s="2" t="s">
        <v>298</v>
      </c>
      <c r="V195" s="2" t="s">
        <v>1304</v>
      </c>
      <c r="W195" s="2" t="s">
        <v>897</v>
      </c>
      <c r="X195" s="2" t="s">
        <v>971</v>
      </c>
      <c r="Y195" s="2" t="s">
        <v>979</v>
      </c>
      <c r="Z195" s="4"/>
      <c r="AA195" s="4">
        <f>=ROUNDDOWN({0},0)</f>
      </c>
      <c r="AB195" s="5">
        <v>10</v>
      </c>
      <c r="AC195" s="2" t="s">
        <v>1315</v>
      </c>
      <c r="AD195" s="4">
        <v>120</v>
      </c>
      <c r="AE195" s="4">
        <v>460</v>
      </c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231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231</v>
      </c>
      <c r="AW195" s="8" t="s">
        <v>231</v>
      </c>
      <c r="AX195" s="4" t="s">
        <v>231</v>
      </c>
      <c r="AY195" s="8" t="s">
        <v>231</v>
      </c>
      <c r="AZ195" s="7" t="s">
        <v>231</v>
      </c>
      <c r="BA195" s="7" t="s">
        <v>231</v>
      </c>
      <c r="BB195" s="7"/>
      <c r="BC195" s="4" t="s">
        <v>231</v>
      </c>
      <c r="BD195" s="8" t="s">
        <v>231</v>
      </c>
      <c r="BE195" s="4" t="s">
        <v>231</v>
      </c>
      <c r="BF195" s="8" t="s">
        <v>231</v>
      </c>
      <c r="BG195" s="7" t="s">
        <v>231</v>
      </c>
      <c r="BH195" s="7" t="s">
        <v>231</v>
      </c>
      <c r="BI195" s="7"/>
      <c r="BJ195" s="4"/>
      <c r="BK195" s="8"/>
      <c r="BL195" s="2" t="s">
        <v>231</v>
      </c>
      <c r="BM195" s="7"/>
      <c r="BN195" s="7"/>
      <c r="BO195" s="4"/>
      <c r="BP195" s="8"/>
      <c r="BQ195" s="4"/>
      <c r="BR195" s="8"/>
      <c r="BS195" s="7"/>
      <c r="BT195" s="7"/>
      <c r="BU195" s="2" t="s">
        <v>1350</v>
      </c>
      <c r="BV195" s="2" t="s">
        <v>231</v>
      </c>
      <c r="BW195" s="2" t="s">
        <v>231</v>
      </c>
      <c r="BX195" s="2" t="s">
        <v>231</v>
      </c>
      <c r="BY195" s="2" t="s">
        <v>277</v>
      </c>
      <c r="BZ195" s="2" t="s">
        <v>243</v>
      </c>
      <c r="CA195" s="2" t="s">
        <v>979</v>
      </c>
      <c r="CB195" s="2" t="s">
        <v>1351</v>
      </c>
      <c r="CC195" s="2" t="s">
        <v>244</v>
      </c>
      <c r="CD195" s="2" t="s">
        <v>231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>
        <v>120</v>
      </c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>
        <v>150</v>
      </c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>
        <v>190</v>
      </c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</row>
    <row r="196">
      <c r="A196" s="2" t="s">
        <v>1352</v>
      </c>
      <c r="B196" s="2" t="s">
        <v>226</v>
      </c>
      <c r="C196" s="2" t="s">
        <v>1299</v>
      </c>
      <c r="D196" s="2" t="s">
        <v>654</v>
      </c>
      <c r="E196" s="2" t="s">
        <v>655</v>
      </c>
      <c r="F196" s="2" t="s">
        <v>1300</v>
      </c>
      <c r="G196" s="2" t="s">
        <v>1300</v>
      </c>
      <c r="H196" s="2" t="s">
        <v>1300</v>
      </c>
      <c r="I196" s="2" t="s">
        <v>1301</v>
      </c>
      <c r="J196" s="2" t="s">
        <v>302</v>
      </c>
      <c r="K196" s="2" t="s">
        <v>1348</v>
      </c>
      <c r="L196" s="3">
        <v>63.11</v>
      </c>
      <c r="M196" s="3">
        <v>66.27</v>
      </c>
      <c r="N196" s="3">
        <v>132.99</v>
      </c>
      <c r="O196" s="2" t="s">
        <v>243</v>
      </c>
      <c r="P196" s="2" t="s">
        <v>270</v>
      </c>
      <c r="Q196" s="2" t="s">
        <v>237</v>
      </c>
      <c r="R196" s="2" t="s">
        <v>231</v>
      </c>
      <c r="S196" s="2" t="s">
        <v>1349</v>
      </c>
      <c r="T196" s="2" t="s">
        <v>970</v>
      </c>
      <c r="U196" s="2" t="s">
        <v>298</v>
      </c>
      <c r="V196" s="2" t="s">
        <v>1304</v>
      </c>
      <c r="W196" s="2" t="s">
        <v>897</v>
      </c>
      <c r="X196" s="2" t="s">
        <v>971</v>
      </c>
      <c r="Y196" s="2" t="s">
        <v>979</v>
      </c>
      <c r="Z196" s="4"/>
      <c r="AA196" s="4">
        <f>=ROUNDDOWN({0},0)</f>
      </c>
      <c r="AB196" s="5">
        <v>9</v>
      </c>
      <c r="AC196" s="2" t="s">
        <v>1315</v>
      </c>
      <c r="AD196" s="4">
        <v>100</v>
      </c>
      <c r="AE196" s="4">
        <v>410</v>
      </c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231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231</v>
      </c>
      <c r="AW196" s="8" t="s">
        <v>231</v>
      </c>
      <c r="AX196" s="4" t="s">
        <v>231</v>
      </c>
      <c r="AY196" s="8" t="s">
        <v>231</v>
      </c>
      <c r="AZ196" s="7" t="s">
        <v>231</v>
      </c>
      <c r="BA196" s="7" t="s">
        <v>231</v>
      </c>
      <c r="BB196" s="7"/>
      <c r="BC196" s="4" t="s">
        <v>231</v>
      </c>
      <c r="BD196" s="8" t="s">
        <v>231</v>
      </c>
      <c r="BE196" s="4" t="s">
        <v>231</v>
      </c>
      <c r="BF196" s="8" t="s">
        <v>231</v>
      </c>
      <c r="BG196" s="7" t="s">
        <v>231</v>
      </c>
      <c r="BH196" s="7" t="s">
        <v>231</v>
      </c>
      <c r="BI196" s="7"/>
      <c r="BJ196" s="4"/>
      <c r="BK196" s="8"/>
      <c r="BL196" s="2" t="s">
        <v>231</v>
      </c>
      <c r="BM196" s="7"/>
      <c r="BN196" s="7"/>
      <c r="BO196" s="4"/>
      <c r="BP196" s="8"/>
      <c r="BQ196" s="4"/>
      <c r="BR196" s="8"/>
      <c r="BS196" s="7"/>
      <c r="BT196" s="7"/>
      <c r="BU196" s="2" t="s">
        <v>1353</v>
      </c>
      <c r="BV196" s="2" t="s">
        <v>231</v>
      </c>
      <c r="BW196" s="2" t="s">
        <v>231</v>
      </c>
      <c r="BX196" s="2" t="s">
        <v>231</v>
      </c>
      <c r="BY196" s="2" t="s">
        <v>277</v>
      </c>
      <c r="BZ196" s="2" t="s">
        <v>243</v>
      </c>
      <c r="CA196" s="2" t="s">
        <v>979</v>
      </c>
      <c r="CB196" s="2" t="s">
        <v>1354</v>
      </c>
      <c r="CC196" s="2" t="s">
        <v>244</v>
      </c>
      <c r="CD196" s="2" t="s">
        <v>231</v>
      </c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>
        <v>100</v>
      </c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>
        <v>140</v>
      </c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>
        <v>170</v>
      </c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</row>
    <row r="197">
      <c r="A197" s="2" t="s">
        <v>1355</v>
      </c>
      <c r="B197" s="2" t="s">
        <v>226</v>
      </c>
      <c r="C197" s="2" t="s">
        <v>1299</v>
      </c>
      <c r="D197" s="2" t="s">
        <v>654</v>
      </c>
      <c r="E197" s="2" t="s">
        <v>655</v>
      </c>
      <c r="F197" s="2" t="s">
        <v>1300</v>
      </c>
      <c r="G197" s="2" t="s">
        <v>1300</v>
      </c>
      <c r="H197" s="2" t="s">
        <v>1300</v>
      </c>
      <c r="I197" s="2" t="s">
        <v>1301</v>
      </c>
      <c r="J197" s="2" t="s">
        <v>318</v>
      </c>
      <c r="K197" s="2" t="s">
        <v>1356</v>
      </c>
      <c r="L197" s="3">
        <v>43.9</v>
      </c>
      <c r="M197" s="3">
        <v>46.1</v>
      </c>
      <c r="N197" s="3">
        <v>91.99</v>
      </c>
      <c r="O197" s="2" t="s">
        <v>243</v>
      </c>
      <c r="P197" s="2" t="s">
        <v>341</v>
      </c>
      <c r="Q197" s="2" t="s">
        <v>237</v>
      </c>
      <c r="R197" s="2" t="s">
        <v>231</v>
      </c>
      <c r="S197" s="2" t="s">
        <v>1357</v>
      </c>
      <c r="T197" s="2" t="s">
        <v>970</v>
      </c>
      <c r="U197" s="2" t="s">
        <v>835</v>
      </c>
      <c r="V197" s="2" t="s">
        <v>239</v>
      </c>
      <c r="W197" s="2" t="s">
        <v>897</v>
      </c>
      <c r="X197" s="2" t="s">
        <v>971</v>
      </c>
      <c r="Y197" s="2" t="s">
        <v>1334</v>
      </c>
      <c r="Z197" s="4">
        <v>75</v>
      </c>
      <c r="AA197" s="4">
        <f>=ROUNDDOWN(37.5,0)</f>
      </c>
      <c r="AB197" s="5">
        <v>2</v>
      </c>
      <c r="AC197" s="2" t="s">
        <v>231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231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231</v>
      </c>
      <c r="BD197" s="8" t="s">
        <v>231</v>
      </c>
      <c r="BE197" s="4" t="s">
        <v>231</v>
      </c>
      <c r="BF197" s="8" t="s">
        <v>231</v>
      </c>
      <c r="BG197" s="7" t="s">
        <v>231</v>
      </c>
      <c r="BH197" s="7" t="s">
        <v>231</v>
      </c>
      <c r="BI197" s="7"/>
      <c r="BJ197" s="4"/>
      <c r="BK197" s="8"/>
      <c r="BL197" s="2" t="s">
        <v>1358</v>
      </c>
      <c r="BM197" s="7"/>
      <c r="BN197" s="7"/>
      <c r="BO197" s="4"/>
      <c r="BP197" s="8"/>
      <c r="BQ197" s="4"/>
      <c r="BR197" s="8"/>
      <c r="BS197" s="7"/>
      <c r="BT197" s="7"/>
      <c r="BU197" s="2" t="s">
        <v>1359</v>
      </c>
      <c r="BV197" s="2" t="s">
        <v>231</v>
      </c>
      <c r="BW197" s="2" t="s">
        <v>231</v>
      </c>
      <c r="BX197" s="2" t="s">
        <v>1360</v>
      </c>
      <c r="BY197" s="2" t="s">
        <v>277</v>
      </c>
      <c r="BZ197" s="2" t="s">
        <v>243</v>
      </c>
      <c r="CA197" s="2" t="s">
        <v>1336</v>
      </c>
      <c r="CB197" s="2" t="s">
        <v>1361</v>
      </c>
      <c r="CC197" s="2" t="s">
        <v>244</v>
      </c>
      <c r="CD197" s="2" t="s">
        <v>231</v>
      </c>
      <c r="CE197" s="4">
        <v>75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</row>
    <row r="198">
      <c r="A198" s="2" t="s">
        <v>1362</v>
      </c>
      <c r="B198" s="2" t="s">
        <v>226</v>
      </c>
      <c r="C198" s="2" t="s">
        <v>1299</v>
      </c>
      <c r="D198" s="2" t="s">
        <v>654</v>
      </c>
      <c r="E198" s="2" t="s">
        <v>655</v>
      </c>
      <c r="F198" s="2" t="s">
        <v>1300</v>
      </c>
      <c r="G198" s="2" t="s">
        <v>1300</v>
      </c>
      <c r="H198" s="2" t="s">
        <v>1300</v>
      </c>
      <c r="I198" s="2" t="s">
        <v>1301</v>
      </c>
      <c r="J198" s="2" t="s">
        <v>302</v>
      </c>
      <c r="K198" s="2" t="s">
        <v>1363</v>
      </c>
      <c r="L198" s="3">
        <v>63.11</v>
      </c>
      <c r="M198" s="3">
        <v>66.27</v>
      </c>
      <c r="N198" s="3">
        <v>132.99</v>
      </c>
      <c r="O198" s="2" t="s">
        <v>243</v>
      </c>
      <c r="P198" s="2" t="s">
        <v>270</v>
      </c>
      <c r="Q198" s="2" t="s">
        <v>237</v>
      </c>
      <c r="R198" s="2" t="s">
        <v>231</v>
      </c>
      <c r="S198" s="2" t="s">
        <v>1364</v>
      </c>
      <c r="T198" s="2" t="s">
        <v>970</v>
      </c>
      <c r="U198" s="2" t="s">
        <v>298</v>
      </c>
      <c r="V198" s="2" t="s">
        <v>1304</v>
      </c>
      <c r="W198" s="2" t="s">
        <v>897</v>
      </c>
      <c r="X198" s="2" t="s">
        <v>971</v>
      </c>
      <c r="Y198" s="2" t="s">
        <v>1365</v>
      </c>
      <c r="Z198" s="4"/>
      <c r="AA198" s="4">
        <f>=ROUNDDOWN({0},0)</f>
      </c>
      <c r="AB198" s="5">
        <v>13</v>
      </c>
      <c r="AC198" s="2" t="s">
        <v>1315</v>
      </c>
      <c r="AD198" s="4">
        <v>160</v>
      </c>
      <c r="AE198" s="4">
        <v>640</v>
      </c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231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231</v>
      </c>
      <c r="BD198" s="8" t="s">
        <v>231</v>
      </c>
      <c r="BE198" s="4" t="s">
        <v>231</v>
      </c>
      <c r="BF198" s="8" t="s">
        <v>231</v>
      </c>
      <c r="BG198" s="7" t="s">
        <v>231</v>
      </c>
      <c r="BH198" s="7" t="s">
        <v>231</v>
      </c>
      <c r="BI198" s="7"/>
      <c r="BJ198" s="4"/>
      <c r="BK198" s="8"/>
      <c r="BL198" s="2" t="s">
        <v>609</v>
      </c>
      <c r="BM198" s="7"/>
      <c r="BN198" s="7"/>
      <c r="BO198" s="4"/>
      <c r="BP198" s="8"/>
      <c r="BQ198" s="4"/>
      <c r="BR198" s="8"/>
      <c r="BS198" s="7"/>
      <c r="BT198" s="7"/>
      <c r="BU198" s="2" t="s">
        <v>1366</v>
      </c>
      <c r="BV198" s="2" t="s">
        <v>231</v>
      </c>
      <c r="BW198" s="2" t="s">
        <v>231</v>
      </c>
      <c r="BX198" s="2" t="s">
        <v>231</v>
      </c>
      <c r="BY198" s="2" t="s">
        <v>277</v>
      </c>
      <c r="BZ198" s="2" t="s">
        <v>243</v>
      </c>
      <c r="CA198" s="2" t="s">
        <v>1365</v>
      </c>
      <c r="CB198" s="2" t="s">
        <v>1367</v>
      </c>
      <c r="CC198" s="2" t="s">
        <v>244</v>
      </c>
      <c r="CD198" s="2" t="s">
        <v>231</v>
      </c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>
        <v>160</v>
      </c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>
        <v>210</v>
      </c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>
        <v>270</v>
      </c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</row>
    <row r="199">
      <c r="A199" s="2" t="s">
        <v>1368</v>
      </c>
      <c r="B199" s="2" t="s">
        <v>226</v>
      </c>
      <c r="C199" s="2" t="s">
        <v>1299</v>
      </c>
      <c r="D199" s="2" t="s">
        <v>654</v>
      </c>
      <c r="E199" s="2" t="s">
        <v>655</v>
      </c>
      <c r="F199" s="2" t="s">
        <v>1300</v>
      </c>
      <c r="G199" s="2" t="s">
        <v>1300</v>
      </c>
      <c r="H199" s="2" t="s">
        <v>1300</v>
      </c>
      <c r="I199" s="2" t="s">
        <v>1301</v>
      </c>
      <c r="J199" s="2" t="s">
        <v>318</v>
      </c>
      <c r="K199" s="2" t="s">
        <v>1369</v>
      </c>
      <c r="L199" s="3">
        <v>43.9</v>
      </c>
      <c r="M199" s="3">
        <v>46.1</v>
      </c>
      <c r="N199" s="3">
        <v>91.99</v>
      </c>
      <c r="O199" s="2" t="s">
        <v>243</v>
      </c>
      <c r="P199" s="2" t="s">
        <v>341</v>
      </c>
      <c r="Q199" s="2" t="s">
        <v>237</v>
      </c>
      <c r="R199" s="2" t="s">
        <v>231</v>
      </c>
      <c r="S199" s="2" t="s">
        <v>1370</v>
      </c>
      <c r="T199" s="2" t="s">
        <v>970</v>
      </c>
      <c r="U199" s="2" t="s">
        <v>835</v>
      </c>
      <c r="V199" s="2" t="s">
        <v>1304</v>
      </c>
      <c r="W199" s="2" t="s">
        <v>897</v>
      </c>
      <c r="X199" s="2" t="s">
        <v>971</v>
      </c>
      <c r="Y199" s="2" t="s">
        <v>1371</v>
      </c>
      <c r="Z199" s="4">
        <v>1</v>
      </c>
      <c r="AA199" s="4">
        <f>=ROUNDDOWN(0.25,0)</f>
      </c>
      <c r="AB199" s="5">
        <v>4</v>
      </c>
      <c r="AC199" s="2" t="s">
        <v>231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231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231</v>
      </c>
      <c r="AW199" s="8" t="s">
        <v>231</v>
      </c>
      <c r="AX199" s="4" t="s">
        <v>231</v>
      </c>
      <c r="AY199" s="8" t="s">
        <v>231</v>
      </c>
      <c r="AZ199" s="7" t="s">
        <v>231</v>
      </c>
      <c r="BA199" s="7" t="s">
        <v>231</v>
      </c>
      <c r="BB199" s="7"/>
      <c r="BC199" s="4" t="s">
        <v>231</v>
      </c>
      <c r="BD199" s="8" t="s">
        <v>231</v>
      </c>
      <c r="BE199" s="4" t="s">
        <v>231</v>
      </c>
      <c r="BF199" s="8" t="s">
        <v>231</v>
      </c>
      <c r="BG199" s="7" t="s">
        <v>231</v>
      </c>
      <c r="BH199" s="7" t="s">
        <v>231</v>
      </c>
      <c r="BI199" s="7"/>
      <c r="BJ199" s="4"/>
      <c r="BK199" s="8"/>
      <c r="BL199" s="2" t="s">
        <v>231</v>
      </c>
      <c r="BM199" s="7"/>
      <c r="BN199" s="7"/>
      <c r="BO199" s="4"/>
      <c r="BP199" s="8"/>
      <c r="BQ199" s="4"/>
      <c r="BR199" s="8"/>
      <c r="BS199" s="7"/>
      <c r="BT199" s="7"/>
      <c r="BU199" s="2" t="s">
        <v>1372</v>
      </c>
      <c r="BV199" s="2" t="s">
        <v>231</v>
      </c>
      <c r="BW199" s="2" t="s">
        <v>231</v>
      </c>
      <c r="BX199" s="2" t="s">
        <v>1360</v>
      </c>
      <c r="BY199" s="2" t="s">
        <v>277</v>
      </c>
      <c r="BZ199" s="2" t="s">
        <v>243</v>
      </c>
      <c r="CA199" s="2" t="s">
        <v>1373</v>
      </c>
      <c r="CB199" s="2" t="s">
        <v>1374</v>
      </c>
      <c r="CC199" s="2" t="s">
        <v>244</v>
      </c>
      <c r="CD199" s="2" t="s">
        <v>231</v>
      </c>
      <c r="CE199" s="4">
        <v>1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</row>
    <row r="200">
      <c r="A200" s="2" t="s">
        <v>1375</v>
      </c>
      <c r="B200" s="2" t="s">
        <v>226</v>
      </c>
      <c r="C200" s="2" t="s">
        <v>1299</v>
      </c>
      <c r="D200" s="2" t="s">
        <v>654</v>
      </c>
      <c r="E200" s="2" t="s">
        <v>655</v>
      </c>
      <c r="F200" s="2" t="s">
        <v>1300</v>
      </c>
      <c r="G200" s="2" t="s">
        <v>1300</v>
      </c>
      <c r="H200" s="2" t="s">
        <v>1300</v>
      </c>
      <c r="I200" s="2" t="s">
        <v>1301</v>
      </c>
      <c r="J200" s="2" t="s">
        <v>658</v>
      </c>
      <c r="K200" s="2" t="s">
        <v>1369</v>
      </c>
      <c r="L200" s="3">
        <v>56.45</v>
      </c>
      <c r="M200" s="3">
        <v>59.27</v>
      </c>
      <c r="N200" s="3">
        <v>118.99</v>
      </c>
      <c r="O200" s="2" t="s">
        <v>243</v>
      </c>
      <c r="P200" s="2" t="s">
        <v>270</v>
      </c>
      <c r="Q200" s="2" t="s">
        <v>237</v>
      </c>
      <c r="R200" s="2" t="s">
        <v>231</v>
      </c>
      <c r="S200" s="2" t="s">
        <v>1370</v>
      </c>
      <c r="T200" s="2" t="s">
        <v>970</v>
      </c>
      <c r="U200" s="2" t="s">
        <v>298</v>
      </c>
      <c r="V200" s="2" t="s">
        <v>1304</v>
      </c>
      <c r="W200" s="2" t="s">
        <v>897</v>
      </c>
      <c r="X200" s="2" t="s">
        <v>971</v>
      </c>
      <c r="Y200" s="2" t="s">
        <v>1371</v>
      </c>
      <c r="Z200" s="4"/>
      <c r="AA200" s="4">
        <f>=ROUNDDOWN({0},0)</f>
      </c>
      <c r="AB200" s="5">
        <v>13</v>
      </c>
      <c r="AC200" s="2" t="s">
        <v>1315</v>
      </c>
      <c r="AD200" s="4">
        <v>150</v>
      </c>
      <c r="AE200" s="4">
        <v>560</v>
      </c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231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231</v>
      </c>
      <c r="AW200" s="8" t="s">
        <v>231</v>
      </c>
      <c r="AX200" s="4" t="s">
        <v>231</v>
      </c>
      <c r="AY200" s="8" t="s">
        <v>231</v>
      </c>
      <c r="AZ200" s="7" t="s">
        <v>231</v>
      </c>
      <c r="BA200" s="7" t="s">
        <v>231</v>
      </c>
      <c r="BB200" s="7"/>
      <c r="BC200" s="4" t="s">
        <v>231</v>
      </c>
      <c r="BD200" s="8" t="s">
        <v>231</v>
      </c>
      <c r="BE200" s="4" t="s">
        <v>231</v>
      </c>
      <c r="BF200" s="8" t="s">
        <v>231</v>
      </c>
      <c r="BG200" s="7" t="s">
        <v>231</v>
      </c>
      <c r="BH200" s="7" t="s">
        <v>231</v>
      </c>
      <c r="BI200" s="7"/>
      <c r="BJ200" s="4"/>
      <c r="BK200" s="8"/>
      <c r="BL200" s="2" t="s">
        <v>231</v>
      </c>
      <c r="BM200" s="7"/>
      <c r="BN200" s="7"/>
      <c r="BO200" s="4"/>
      <c r="BP200" s="8"/>
      <c r="BQ200" s="4"/>
      <c r="BR200" s="8"/>
      <c r="BS200" s="7"/>
      <c r="BT200" s="7"/>
      <c r="BU200" s="2" t="s">
        <v>1376</v>
      </c>
      <c r="BV200" s="2" t="s">
        <v>231</v>
      </c>
      <c r="BW200" s="2" t="s">
        <v>231</v>
      </c>
      <c r="BX200" s="2" t="s">
        <v>231</v>
      </c>
      <c r="BY200" s="2" t="s">
        <v>277</v>
      </c>
      <c r="BZ200" s="2" t="s">
        <v>243</v>
      </c>
      <c r="CA200" s="2" t="s">
        <v>1373</v>
      </c>
      <c r="CB200" s="2" t="s">
        <v>1377</v>
      </c>
      <c r="CC200" s="2" t="s">
        <v>244</v>
      </c>
      <c r="CD200" s="2" t="s">
        <v>231</v>
      </c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>
        <v>150</v>
      </c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>
        <v>180</v>
      </c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>
        <v>230</v>
      </c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</row>
    <row r="201">
      <c r="A201" s="2" t="s">
        <v>1378</v>
      </c>
      <c r="B201" s="2" t="s">
        <v>226</v>
      </c>
      <c r="C201" s="2" t="s">
        <v>1299</v>
      </c>
      <c r="D201" s="2" t="s">
        <v>654</v>
      </c>
      <c r="E201" s="2" t="s">
        <v>655</v>
      </c>
      <c r="F201" s="2" t="s">
        <v>1300</v>
      </c>
      <c r="G201" s="2" t="s">
        <v>1300</v>
      </c>
      <c r="H201" s="2" t="s">
        <v>1300</v>
      </c>
      <c r="I201" s="2" t="s">
        <v>1301</v>
      </c>
      <c r="J201" s="2" t="s">
        <v>302</v>
      </c>
      <c r="K201" s="2" t="s">
        <v>1369</v>
      </c>
      <c r="L201" s="3">
        <v>63.11</v>
      </c>
      <c r="M201" s="3">
        <v>66.27</v>
      </c>
      <c r="N201" s="3">
        <v>132.99</v>
      </c>
      <c r="O201" s="2" t="s">
        <v>243</v>
      </c>
      <c r="P201" s="2" t="s">
        <v>270</v>
      </c>
      <c r="Q201" s="2" t="s">
        <v>237</v>
      </c>
      <c r="R201" s="2" t="s">
        <v>231</v>
      </c>
      <c r="S201" s="2" t="s">
        <v>1370</v>
      </c>
      <c r="T201" s="2" t="s">
        <v>970</v>
      </c>
      <c r="U201" s="2" t="s">
        <v>298</v>
      </c>
      <c r="V201" s="2" t="s">
        <v>1304</v>
      </c>
      <c r="W201" s="2" t="s">
        <v>897</v>
      </c>
      <c r="X201" s="2" t="s">
        <v>971</v>
      </c>
      <c r="Y201" s="2" t="s">
        <v>1379</v>
      </c>
      <c r="Z201" s="4">
        <v>1</v>
      </c>
      <c r="AA201" s="4">
        <f>=ROUNDDOWN(0.0833333333333333,0)</f>
      </c>
      <c r="AB201" s="5">
        <v>12</v>
      </c>
      <c r="AC201" s="2" t="s">
        <v>1315</v>
      </c>
      <c r="AD201" s="4">
        <v>140</v>
      </c>
      <c r="AE201" s="4">
        <v>540</v>
      </c>
      <c r="AF201" s="6">
        <v>65</v>
      </c>
      <c r="AG201" s="6"/>
      <c r="AH201" s="7">
        <v>0</v>
      </c>
      <c r="AI201" s="4"/>
      <c r="AJ201" s="4">
        <f>=ROUNDDOWN({0},0)</f>
      </c>
      <c r="AK201" s="5"/>
      <c r="AL201" s="2" t="s">
        <v>231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231</v>
      </c>
      <c r="AW201" s="8" t="s">
        <v>231</v>
      </c>
      <c r="AX201" s="4" t="s">
        <v>231</v>
      </c>
      <c r="AY201" s="8" t="s">
        <v>231</v>
      </c>
      <c r="AZ201" s="7" t="s">
        <v>231</v>
      </c>
      <c r="BA201" s="7" t="s">
        <v>231</v>
      </c>
      <c r="BB201" s="7"/>
      <c r="BC201" s="4" t="s">
        <v>231</v>
      </c>
      <c r="BD201" s="8" t="s">
        <v>231</v>
      </c>
      <c r="BE201" s="4" t="s">
        <v>231</v>
      </c>
      <c r="BF201" s="8" t="s">
        <v>231</v>
      </c>
      <c r="BG201" s="7" t="s">
        <v>231</v>
      </c>
      <c r="BH201" s="7" t="s">
        <v>231</v>
      </c>
      <c r="BI201" s="7"/>
      <c r="BJ201" s="4"/>
      <c r="BK201" s="8"/>
      <c r="BL201" s="2" t="s">
        <v>231</v>
      </c>
      <c r="BM201" s="7"/>
      <c r="BN201" s="7"/>
      <c r="BO201" s="4"/>
      <c r="BP201" s="8"/>
      <c r="BQ201" s="4"/>
      <c r="BR201" s="8"/>
      <c r="BS201" s="7"/>
      <c r="BT201" s="7"/>
      <c r="BU201" s="2" t="s">
        <v>1380</v>
      </c>
      <c r="BV201" s="2" t="s">
        <v>231</v>
      </c>
      <c r="BW201" s="2" t="s">
        <v>231</v>
      </c>
      <c r="BX201" s="2" t="s">
        <v>231</v>
      </c>
      <c r="BY201" s="2" t="s">
        <v>277</v>
      </c>
      <c r="BZ201" s="2" t="s">
        <v>243</v>
      </c>
      <c r="CA201" s="2" t="s">
        <v>1373</v>
      </c>
      <c r="CB201" s="2" t="s">
        <v>1381</v>
      </c>
      <c r="CC201" s="2" t="s">
        <v>244</v>
      </c>
      <c r="CD201" s="2" t="s">
        <v>231</v>
      </c>
      <c r="CE201" s="4">
        <v>1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>
        <v>140</v>
      </c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>
        <v>180</v>
      </c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>
        <v>220</v>
      </c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</row>
    <row r="202">
      <c r="A202" s="2" t="s">
        <v>1382</v>
      </c>
      <c r="B202" s="2" t="s">
        <v>226</v>
      </c>
      <c r="C202" s="2" t="s">
        <v>1299</v>
      </c>
      <c r="D202" s="2" t="s">
        <v>654</v>
      </c>
      <c r="E202" s="2" t="s">
        <v>655</v>
      </c>
      <c r="F202" s="2" t="s">
        <v>1300</v>
      </c>
      <c r="G202" s="2" t="s">
        <v>1300</v>
      </c>
      <c r="H202" s="2" t="s">
        <v>1300</v>
      </c>
      <c r="I202" s="2" t="s">
        <v>1301</v>
      </c>
      <c r="J202" s="2" t="s">
        <v>658</v>
      </c>
      <c r="K202" s="2" t="s">
        <v>1383</v>
      </c>
      <c r="L202" s="3">
        <v>56.45</v>
      </c>
      <c r="M202" s="3">
        <v>59.27</v>
      </c>
      <c r="N202" s="3">
        <v>118.99</v>
      </c>
      <c r="O202" s="2" t="s">
        <v>243</v>
      </c>
      <c r="P202" s="2" t="s">
        <v>270</v>
      </c>
      <c r="Q202" s="2" t="s">
        <v>237</v>
      </c>
      <c r="R202" s="2" t="s">
        <v>231</v>
      </c>
      <c r="S202" s="2" t="s">
        <v>231</v>
      </c>
      <c r="T202" s="2" t="s">
        <v>970</v>
      </c>
      <c r="U202" s="2" t="s">
        <v>298</v>
      </c>
      <c r="V202" s="2" t="s">
        <v>239</v>
      </c>
      <c r="W202" s="2" t="s">
        <v>897</v>
      </c>
      <c r="X202" s="2" t="s">
        <v>971</v>
      </c>
      <c r="Y202" s="2" t="s">
        <v>1340</v>
      </c>
      <c r="Z202" s="4"/>
      <c r="AA202" s="4">
        <f>=ROUNDDOWN({0},0)</f>
      </c>
      <c r="AB202" s="5">
        <v>22</v>
      </c>
      <c r="AC202" s="2" t="s">
        <v>1315</v>
      </c>
      <c r="AD202" s="4">
        <v>240</v>
      </c>
      <c r="AE202" s="4">
        <v>920</v>
      </c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231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231</v>
      </c>
      <c r="AW202" s="8" t="s">
        <v>231</v>
      </c>
      <c r="AX202" s="4" t="s">
        <v>231</v>
      </c>
      <c r="AY202" s="8" t="s">
        <v>231</v>
      </c>
      <c r="AZ202" s="7" t="s">
        <v>231</v>
      </c>
      <c r="BA202" s="7" t="s">
        <v>231</v>
      </c>
      <c r="BB202" s="7"/>
      <c r="BC202" s="4" t="s">
        <v>231</v>
      </c>
      <c r="BD202" s="8" t="s">
        <v>231</v>
      </c>
      <c r="BE202" s="4" t="s">
        <v>231</v>
      </c>
      <c r="BF202" s="8" t="s">
        <v>231</v>
      </c>
      <c r="BG202" s="7" t="s">
        <v>231</v>
      </c>
      <c r="BH202" s="7" t="s">
        <v>231</v>
      </c>
      <c r="BI202" s="7"/>
      <c r="BJ202" s="4"/>
      <c r="BK202" s="8"/>
      <c r="BL202" s="2" t="s">
        <v>231</v>
      </c>
      <c r="BM202" s="7"/>
      <c r="BN202" s="7"/>
      <c r="BO202" s="4"/>
      <c r="BP202" s="8"/>
      <c r="BQ202" s="4"/>
      <c r="BR202" s="8"/>
      <c r="BS202" s="7"/>
      <c r="BT202" s="7"/>
      <c r="BU202" s="2" t="s">
        <v>1384</v>
      </c>
      <c r="BV202" s="2" t="s">
        <v>231</v>
      </c>
      <c r="BW202" s="2" t="s">
        <v>231</v>
      </c>
      <c r="BX202" s="2" t="s">
        <v>231</v>
      </c>
      <c r="BY202" s="2" t="s">
        <v>277</v>
      </c>
      <c r="BZ202" s="2" t="s">
        <v>243</v>
      </c>
      <c r="CA202" s="2" t="s">
        <v>1342</v>
      </c>
      <c r="CB202" s="2" t="s">
        <v>1385</v>
      </c>
      <c r="CC202" s="2" t="s">
        <v>244</v>
      </c>
      <c r="CD202" s="2" t="s">
        <v>231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>
        <v>240</v>
      </c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>
        <v>310</v>
      </c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>
        <v>370</v>
      </c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</row>
    <row r="203">
      <c r="A203" s="2" t="s">
        <v>1386</v>
      </c>
      <c r="B203" s="2" t="s">
        <v>226</v>
      </c>
      <c r="C203" s="2" t="s">
        <v>1299</v>
      </c>
      <c r="D203" s="2" t="s">
        <v>654</v>
      </c>
      <c r="E203" s="2" t="s">
        <v>655</v>
      </c>
      <c r="F203" s="2" t="s">
        <v>1300</v>
      </c>
      <c r="G203" s="2" t="s">
        <v>1300</v>
      </c>
      <c r="H203" s="2" t="s">
        <v>1300</v>
      </c>
      <c r="I203" s="2" t="s">
        <v>1301</v>
      </c>
      <c r="J203" s="2" t="s">
        <v>302</v>
      </c>
      <c r="K203" s="2" t="s">
        <v>1383</v>
      </c>
      <c r="L203" s="3">
        <v>63.11</v>
      </c>
      <c r="M203" s="3">
        <v>66.27</v>
      </c>
      <c r="N203" s="3">
        <v>132.99</v>
      </c>
      <c r="O203" s="2" t="s">
        <v>243</v>
      </c>
      <c r="P203" s="2" t="s">
        <v>270</v>
      </c>
      <c r="Q203" s="2" t="s">
        <v>237</v>
      </c>
      <c r="R203" s="2" t="s">
        <v>231</v>
      </c>
      <c r="S203" s="2" t="s">
        <v>231</v>
      </c>
      <c r="T203" s="2" t="s">
        <v>970</v>
      </c>
      <c r="U203" s="2" t="s">
        <v>298</v>
      </c>
      <c r="V203" s="2" t="s">
        <v>239</v>
      </c>
      <c r="W203" s="2" t="s">
        <v>897</v>
      </c>
      <c r="X203" s="2" t="s">
        <v>971</v>
      </c>
      <c r="Y203" s="2" t="s">
        <v>1340</v>
      </c>
      <c r="Z203" s="4">
        <v>1</v>
      </c>
      <c r="AA203" s="4">
        <f>=ROUNDDOWN(0.037037037037037,0)</f>
      </c>
      <c r="AB203" s="5">
        <v>27</v>
      </c>
      <c r="AC203" s="2" t="s">
        <v>1315</v>
      </c>
      <c r="AD203" s="4">
        <v>330</v>
      </c>
      <c r="AE203" s="4">
        <v>1350</v>
      </c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231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231</v>
      </c>
      <c r="AW203" s="8" t="s">
        <v>231</v>
      </c>
      <c r="AX203" s="4" t="s">
        <v>231</v>
      </c>
      <c r="AY203" s="8" t="s">
        <v>231</v>
      </c>
      <c r="AZ203" s="7" t="s">
        <v>231</v>
      </c>
      <c r="BA203" s="7" t="s">
        <v>231</v>
      </c>
      <c r="BB203" s="7"/>
      <c r="BC203" s="4" t="s">
        <v>231</v>
      </c>
      <c r="BD203" s="8" t="s">
        <v>231</v>
      </c>
      <c r="BE203" s="4" t="s">
        <v>231</v>
      </c>
      <c r="BF203" s="8" t="s">
        <v>231</v>
      </c>
      <c r="BG203" s="7" t="s">
        <v>231</v>
      </c>
      <c r="BH203" s="7" t="s">
        <v>231</v>
      </c>
      <c r="BI203" s="7"/>
      <c r="BJ203" s="4"/>
      <c r="BK203" s="8"/>
      <c r="BL203" s="2" t="s">
        <v>231</v>
      </c>
      <c r="BM203" s="7"/>
      <c r="BN203" s="7"/>
      <c r="BO203" s="4"/>
      <c r="BP203" s="8"/>
      <c r="BQ203" s="4"/>
      <c r="BR203" s="8"/>
      <c r="BS203" s="7"/>
      <c r="BT203" s="7"/>
      <c r="BU203" s="2" t="s">
        <v>1387</v>
      </c>
      <c r="BV203" s="2" t="s">
        <v>231</v>
      </c>
      <c r="BW203" s="2" t="s">
        <v>231</v>
      </c>
      <c r="BX203" s="2" t="s">
        <v>231</v>
      </c>
      <c r="BY203" s="2" t="s">
        <v>277</v>
      </c>
      <c r="BZ203" s="2" t="s">
        <v>243</v>
      </c>
      <c r="CA203" s="2" t="s">
        <v>1342</v>
      </c>
      <c r="CB203" s="2" t="s">
        <v>1346</v>
      </c>
      <c r="CC203" s="2" t="s">
        <v>244</v>
      </c>
      <c r="CD203" s="2" t="s">
        <v>231</v>
      </c>
      <c r="CE203" s="4">
        <v>1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>
        <v>330</v>
      </c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>
        <v>450</v>
      </c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>
        <v>570</v>
      </c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</row>
    <row r="204">
      <c r="A204" s="2" t="s">
        <v>1388</v>
      </c>
      <c r="B204" s="2" t="s">
        <v>1389</v>
      </c>
      <c r="C204" s="2" t="s">
        <v>288</v>
      </c>
      <c r="D204" s="2" t="s">
        <v>1389</v>
      </c>
      <c r="E204" s="2" t="s">
        <v>1389</v>
      </c>
      <c r="F204" s="2" t="s">
        <v>983</v>
      </c>
      <c r="G204" s="2" t="s">
        <v>1390</v>
      </c>
      <c r="H204" s="2" t="s">
        <v>1391</v>
      </c>
      <c r="I204" s="2" t="s">
        <v>1392</v>
      </c>
      <c r="J204" s="2" t="s">
        <v>1393</v>
      </c>
      <c r="K204" s="2" t="s">
        <v>1394</v>
      </c>
      <c r="L204" s="3">
        <v>71.71</v>
      </c>
      <c r="M204" s="3">
        <v>75.3</v>
      </c>
      <c r="N204" s="3">
        <v>159.99</v>
      </c>
      <c r="O204" s="2" t="s">
        <v>243</v>
      </c>
      <c r="P204" s="2" t="s">
        <v>341</v>
      </c>
      <c r="Q204" s="2" t="s">
        <v>237</v>
      </c>
      <c r="R204" s="2" t="s">
        <v>231</v>
      </c>
      <c r="S204" s="2" t="s">
        <v>231</v>
      </c>
      <c r="T204" s="2" t="s">
        <v>231</v>
      </c>
      <c r="U204" s="2" t="s">
        <v>327</v>
      </c>
      <c r="V204" s="2" t="s">
        <v>836</v>
      </c>
      <c r="W204" s="2" t="s">
        <v>691</v>
      </c>
      <c r="X204" s="2" t="s">
        <v>231</v>
      </c>
      <c r="Y204" s="2" t="s">
        <v>1395</v>
      </c>
      <c r="Z204" s="4">
        <v>78</v>
      </c>
      <c r="AA204" s="4">
        <f>=ROUNDDOWN(33.9130434782609,0)</f>
      </c>
      <c r="AB204" s="5">
        <v>2.3</v>
      </c>
      <c r="AC204" s="2" t="s">
        <v>231</v>
      </c>
      <c r="AD204" s="4"/>
      <c r="AE204" s="4"/>
      <c r="AF204" s="6">
        <v>63</v>
      </c>
      <c r="AG204" s="6"/>
      <c r="AH204" s="7">
        <v>1</v>
      </c>
      <c r="AI204" s="4"/>
      <c r="AJ204" s="4">
        <f>=ROUNDDOWN({0},0)</f>
      </c>
      <c r="AK204" s="5"/>
      <c r="AL204" s="2" t="s">
        <v>231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231</v>
      </c>
      <c r="AW204" s="8" t="s">
        <v>231</v>
      </c>
      <c r="AX204" s="4" t="s">
        <v>231</v>
      </c>
      <c r="AY204" s="8" t="s">
        <v>231</v>
      </c>
      <c r="AZ204" s="7" t="s">
        <v>231</v>
      </c>
      <c r="BA204" s="7" t="s">
        <v>231</v>
      </c>
      <c r="BB204" s="7"/>
      <c r="BC204" s="4" t="s">
        <v>231</v>
      </c>
      <c r="BD204" s="8" t="s">
        <v>231</v>
      </c>
      <c r="BE204" s="4" t="s">
        <v>231</v>
      </c>
      <c r="BF204" s="8" t="s">
        <v>231</v>
      </c>
      <c r="BG204" s="7" t="s">
        <v>231</v>
      </c>
      <c r="BH204" s="7" t="s">
        <v>231</v>
      </c>
      <c r="BI204" s="7"/>
      <c r="BJ204" s="4">
        <v>11</v>
      </c>
      <c r="BK204" s="8">
        <v>579.13</v>
      </c>
      <c r="BL204" s="2" t="s">
        <v>1396</v>
      </c>
      <c r="BM204" s="7"/>
      <c r="BN204" s="7"/>
      <c r="BO204" s="4"/>
      <c r="BP204" s="8"/>
      <c r="BQ204" s="4"/>
      <c r="BR204" s="8"/>
      <c r="BS204" s="7"/>
      <c r="BT204" s="7"/>
      <c r="BU204" s="2" t="s">
        <v>1397</v>
      </c>
      <c r="BV204" s="2" t="s">
        <v>231</v>
      </c>
      <c r="BW204" s="2" t="s">
        <v>231</v>
      </c>
      <c r="BX204" s="2" t="s">
        <v>231</v>
      </c>
      <c r="BY204" s="2" t="s">
        <v>277</v>
      </c>
      <c r="BZ204" s="2" t="s">
        <v>243</v>
      </c>
      <c r="CA204" s="2" t="s">
        <v>1398</v>
      </c>
      <c r="CB204" s="2" t="s">
        <v>1399</v>
      </c>
      <c r="CC204" s="2" t="s">
        <v>244</v>
      </c>
      <c r="CD204" s="2" t="s">
        <v>231</v>
      </c>
      <c r="CE204" s="4"/>
      <c r="CF204" s="4">
        <v>78</v>
      </c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</row>
    <row r="205">
      <c r="A205" s="2" t="s">
        <v>1400</v>
      </c>
      <c r="B205" s="2" t="s">
        <v>1389</v>
      </c>
      <c r="C205" s="2" t="s">
        <v>288</v>
      </c>
      <c r="D205" s="2" t="s">
        <v>1389</v>
      </c>
      <c r="E205" s="2" t="s">
        <v>1389</v>
      </c>
      <c r="F205" s="2" t="s">
        <v>983</v>
      </c>
      <c r="G205" s="2" t="s">
        <v>1390</v>
      </c>
      <c r="H205" s="2" t="s">
        <v>1391</v>
      </c>
      <c r="I205" s="2" t="s">
        <v>1392</v>
      </c>
      <c r="J205" s="2" t="s">
        <v>1401</v>
      </c>
      <c r="K205" s="2" t="s">
        <v>1394</v>
      </c>
      <c r="L205" s="3">
        <v>114.18</v>
      </c>
      <c r="M205" s="3">
        <v>119.89</v>
      </c>
      <c r="N205" s="3">
        <v>254.99</v>
      </c>
      <c r="O205" s="2" t="s">
        <v>243</v>
      </c>
      <c r="P205" s="2" t="s">
        <v>341</v>
      </c>
      <c r="Q205" s="2" t="s">
        <v>237</v>
      </c>
      <c r="R205" s="2" t="s">
        <v>231</v>
      </c>
      <c r="S205" s="2" t="s">
        <v>231</v>
      </c>
      <c r="T205" s="2" t="s">
        <v>231</v>
      </c>
      <c r="U205" s="2" t="s">
        <v>327</v>
      </c>
      <c r="V205" s="2" t="s">
        <v>836</v>
      </c>
      <c r="W205" s="2" t="s">
        <v>691</v>
      </c>
      <c r="X205" s="2" t="s">
        <v>231</v>
      </c>
      <c r="Y205" s="2" t="s">
        <v>1395</v>
      </c>
      <c r="Z205" s="4">
        <v>118</v>
      </c>
      <c r="AA205" s="4">
        <f>=ROUNDDOWN(131.111111111111,0)</f>
      </c>
      <c r="AB205" s="5">
        <v>0.9</v>
      </c>
      <c r="AC205" s="2" t="s">
        <v>231</v>
      </c>
      <c r="AD205" s="4"/>
      <c r="AE205" s="4"/>
      <c r="AF205" s="6">
        <v>63</v>
      </c>
      <c r="AG205" s="6"/>
      <c r="AH205" s="7">
        <v>1</v>
      </c>
      <c r="AI205" s="4"/>
      <c r="AJ205" s="4">
        <f>=ROUNDDOWN({0},0)</f>
      </c>
      <c r="AK205" s="5"/>
      <c r="AL205" s="2" t="s">
        <v>231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231</v>
      </c>
      <c r="AW205" s="8" t="s">
        <v>231</v>
      </c>
      <c r="AX205" s="4" t="s">
        <v>231</v>
      </c>
      <c r="AY205" s="8" t="s">
        <v>231</v>
      </c>
      <c r="AZ205" s="7" t="s">
        <v>231</v>
      </c>
      <c r="BA205" s="7" t="s">
        <v>231</v>
      </c>
      <c r="BB205" s="7"/>
      <c r="BC205" s="4" t="s">
        <v>231</v>
      </c>
      <c r="BD205" s="8" t="s">
        <v>231</v>
      </c>
      <c r="BE205" s="4" t="s">
        <v>231</v>
      </c>
      <c r="BF205" s="8" t="s">
        <v>231</v>
      </c>
      <c r="BG205" s="7" t="s">
        <v>231</v>
      </c>
      <c r="BH205" s="7" t="s">
        <v>231</v>
      </c>
      <c r="BI205" s="7"/>
      <c r="BJ205" s="4">
        <v>5</v>
      </c>
      <c r="BK205" s="8">
        <v>978</v>
      </c>
      <c r="BL205" s="2" t="s">
        <v>1402</v>
      </c>
      <c r="BM205" s="7"/>
      <c r="BN205" s="7"/>
      <c r="BO205" s="4"/>
      <c r="BP205" s="8"/>
      <c r="BQ205" s="4"/>
      <c r="BR205" s="8"/>
      <c r="BS205" s="7"/>
      <c r="BT205" s="7"/>
      <c r="BU205" s="2" t="s">
        <v>1403</v>
      </c>
      <c r="BV205" s="2" t="s">
        <v>231</v>
      </c>
      <c r="BW205" s="2" t="s">
        <v>231</v>
      </c>
      <c r="BX205" s="2" t="s">
        <v>231</v>
      </c>
      <c r="BY205" s="2" t="s">
        <v>277</v>
      </c>
      <c r="BZ205" s="2" t="s">
        <v>243</v>
      </c>
      <c r="CA205" s="2" t="s">
        <v>1398</v>
      </c>
      <c r="CB205" s="2" t="s">
        <v>1404</v>
      </c>
      <c r="CC205" s="2" t="s">
        <v>244</v>
      </c>
      <c r="CD205" s="2" t="s">
        <v>231</v>
      </c>
      <c r="CE205" s="4"/>
      <c r="CF205" s="4">
        <v>118</v>
      </c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</row>
    <row r="206">
      <c r="A206" s="2" t="s">
        <v>1405</v>
      </c>
      <c r="B206" s="2" t="s">
        <v>226</v>
      </c>
      <c r="C206" s="2" t="s">
        <v>288</v>
      </c>
      <c r="D206" s="2" t="s">
        <v>654</v>
      </c>
      <c r="E206" s="2" t="s">
        <v>890</v>
      </c>
      <c r="F206" s="2" t="s">
        <v>1406</v>
      </c>
      <c r="G206" s="2" t="s">
        <v>1407</v>
      </c>
      <c r="H206" s="2" t="s">
        <v>1407</v>
      </c>
      <c r="I206" s="2" t="s">
        <v>1408</v>
      </c>
      <c r="J206" s="2" t="s">
        <v>669</v>
      </c>
      <c r="K206" s="2" t="s">
        <v>253</v>
      </c>
      <c r="L206" s="3">
        <v>52</v>
      </c>
      <c r="M206" s="3">
        <v>54.6</v>
      </c>
      <c r="N206" s="3">
        <v>104.99</v>
      </c>
      <c r="O206" s="2" t="s">
        <v>243</v>
      </c>
      <c r="P206" s="2" t="s">
        <v>341</v>
      </c>
      <c r="Q206" s="2" t="s">
        <v>237</v>
      </c>
      <c r="R206" s="2" t="s">
        <v>231</v>
      </c>
      <c r="S206" s="2" t="s">
        <v>1409</v>
      </c>
      <c r="T206" s="2" t="s">
        <v>895</v>
      </c>
      <c r="U206" s="2" t="s">
        <v>835</v>
      </c>
      <c r="V206" s="2" t="s">
        <v>239</v>
      </c>
      <c r="W206" s="2" t="s">
        <v>299</v>
      </c>
      <c r="X206" s="2" t="s">
        <v>273</v>
      </c>
      <c r="Y206" s="2" t="s">
        <v>1410</v>
      </c>
      <c r="Z206" s="4">
        <v>168</v>
      </c>
      <c r="AA206" s="4">
        <f>=ROUNDDOWN(28,0)</f>
      </c>
      <c r="AB206" s="5">
        <v>6</v>
      </c>
      <c r="AC206" s="2" t="s">
        <v>231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231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231</v>
      </c>
      <c r="BD206" s="8" t="s">
        <v>231</v>
      </c>
      <c r="BE206" s="4" t="s">
        <v>231</v>
      </c>
      <c r="BF206" s="8" t="s">
        <v>231</v>
      </c>
      <c r="BG206" s="7" t="s">
        <v>231</v>
      </c>
      <c r="BH206" s="7" t="s">
        <v>231</v>
      </c>
      <c r="BI206" s="7"/>
      <c r="BJ206" s="4">
        <v>2</v>
      </c>
      <c r="BK206" s="8">
        <v>116.3</v>
      </c>
      <c r="BL206" s="2" t="s">
        <v>1358</v>
      </c>
      <c r="BM206" s="7"/>
      <c r="BN206" s="7"/>
      <c r="BO206" s="4"/>
      <c r="BP206" s="8"/>
      <c r="BQ206" s="4"/>
      <c r="BR206" s="8"/>
      <c r="BS206" s="7"/>
      <c r="BT206" s="7"/>
      <c r="BU206" s="2" t="s">
        <v>1411</v>
      </c>
      <c r="BV206" s="2" t="s">
        <v>231</v>
      </c>
      <c r="BW206" s="2" t="s">
        <v>231</v>
      </c>
      <c r="BX206" s="2" t="s">
        <v>1360</v>
      </c>
      <c r="BY206" s="2" t="s">
        <v>277</v>
      </c>
      <c r="BZ206" s="2" t="s">
        <v>243</v>
      </c>
      <c r="CA206" s="2" t="s">
        <v>1412</v>
      </c>
      <c r="CB206" s="2" t="s">
        <v>1413</v>
      </c>
      <c r="CC206" s="2" t="s">
        <v>244</v>
      </c>
      <c r="CD206" s="2" t="s">
        <v>231</v>
      </c>
      <c r="CE206" s="4">
        <v>168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</row>
    <row r="207">
      <c r="A207" s="2" t="s">
        <v>1414</v>
      </c>
      <c r="B207" s="2" t="s">
        <v>226</v>
      </c>
      <c r="C207" s="2" t="s">
        <v>288</v>
      </c>
      <c r="D207" s="2" t="s">
        <v>654</v>
      </c>
      <c r="E207" s="2" t="s">
        <v>890</v>
      </c>
      <c r="F207" s="2" t="s">
        <v>1406</v>
      </c>
      <c r="G207" s="2" t="s">
        <v>1407</v>
      </c>
      <c r="H207" s="2" t="s">
        <v>1407</v>
      </c>
      <c r="I207" s="2" t="s">
        <v>1408</v>
      </c>
      <c r="J207" s="2" t="s">
        <v>669</v>
      </c>
      <c r="K207" s="2" t="s">
        <v>306</v>
      </c>
      <c r="L207" s="3">
        <v>52</v>
      </c>
      <c r="M207" s="3">
        <v>54.6</v>
      </c>
      <c r="N207" s="3">
        <v>104.99</v>
      </c>
      <c r="O207" s="2" t="s">
        <v>243</v>
      </c>
      <c r="P207" s="2" t="s">
        <v>341</v>
      </c>
      <c r="Q207" s="2" t="s">
        <v>237</v>
      </c>
      <c r="R207" s="2" t="s">
        <v>231</v>
      </c>
      <c r="S207" s="2" t="s">
        <v>1415</v>
      </c>
      <c r="T207" s="2" t="s">
        <v>895</v>
      </c>
      <c r="U207" s="2" t="s">
        <v>835</v>
      </c>
      <c r="V207" s="2" t="s">
        <v>239</v>
      </c>
      <c r="W207" s="2" t="s">
        <v>299</v>
      </c>
      <c r="X207" s="2" t="s">
        <v>273</v>
      </c>
      <c r="Y207" s="2" t="s">
        <v>1410</v>
      </c>
      <c r="Z207" s="4">
        <v>139</v>
      </c>
      <c r="AA207" s="4">
        <f>=ROUNDDOWN(23.1666666666667,0)</f>
      </c>
      <c r="AB207" s="5">
        <v>6</v>
      </c>
      <c r="AC207" s="2" t="s">
        <v>231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231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231</v>
      </c>
      <c r="BD207" s="8" t="s">
        <v>231</v>
      </c>
      <c r="BE207" s="4" t="s">
        <v>231</v>
      </c>
      <c r="BF207" s="8" t="s">
        <v>231</v>
      </c>
      <c r="BG207" s="7" t="s">
        <v>231</v>
      </c>
      <c r="BH207" s="7" t="s">
        <v>231</v>
      </c>
      <c r="BI207" s="7"/>
      <c r="BJ207" s="4">
        <v>13</v>
      </c>
      <c r="BK207" s="8">
        <v>711.44</v>
      </c>
      <c r="BL207" s="2" t="s">
        <v>587</v>
      </c>
      <c r="BM207" s="7"/>
      <c r="BN207" s="7"/>
      <c r="BO207" s="4"/>
      <c r="BP207" s="8"/>
      <c r="BQ207" s="4"/>
      <c r="BR207" s="8"/>
      <c r="BS207" s="7"/>
      <c r="BT207" s="7"/>
      <c r="BU207" s="2" t="s">
        <v>1416</v>
      </c>
      <c r="BV207" s="2" t="s">
        <v>231</v>
      </c>
      <c r="BW207" s="2" t="s">
        <v>231</v>
      </c>
      <c r="BX207" s="2" t="s">
        <v>1360</v>
      </c>
      <c r="BY207" s="2" t="s">
        <v>277</v>
      </c>
      <c r="BZ207" s="2" t="s">
        <v>243</v>
      </c>
      <c r="CA207" s="2" t="s">
        <v>1412</v>
      </c>
      <c r="CB207" s="2" t="s">
        <v>1417</v>
      </c>
      <c r="CC207" s="2" t="s">
        <v>244</v>
      </c>
      <c r="CD207" s="2" t="s">
        <v>231</v>
      </c>
      <c r="CE207" s="4">
        <v>139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</row>
    <row r="208">
      <c r="A208" s="2" t="s">
        <v>1418</v>
      </c>
      <c r="B208" s="2" t="s">
        <v>801</v>
      </c>
      <c r="C208" s="2" t="s">
        <v>867</v>
      </c>
      <c r="D208" s="2" t="s">
        <v>803</v>
      </c>
      <c r="E208" s="2" t="s">
        <v>804</v>
      </c>
      <c r="F208" s="2" t="s">
        <v>1419</v>
      </c>
      <c r="G208" s="2" t="s">
        <v>1419</v>
      </c>
      <c r="H208" s="2" t="s">
        <v>1419</v>
      </c>
      <c r="I208" s="2" t="s">
        <v>1420</v>
      </c>
      <c r="J208" s="2" t="s">
        <v>807</v>
      </c>
      <c r="K208" s="2" t="s">
        <v>1421</v>
      </c>
      <c r="L208" s="3">
        <v>142.2</v>
      </c>
      <c r="M208" s="3">
        <v>149.31</v>
      </c>
      <c r="N208" s="3">
        <v>329.99</v>
      </c>
      <c r="O208" s="2" t="s">
        <v>243</v>
      </c>
      <c r="P208" s="2" t="s">
        <v>341</v>
      </c>
      <c r="Q208" s="2" t="s">
        <v>237</v>
      </c>
      <c r="R208" s="2" t="s">
        <v>231</v>
      </c>
      <c r="S208" s="2" t="s">
        <v>231</v>
      </c>
      <c r="T208" s="2" t="s">
        <v>231</v>
      </c>
      <c r="U208" s="2" t="s">
        <v>327</v>
      </c>
      <c r="V208" s="2" t="s">
        <v>662</v>
      </c>
      <c r="W208" s="2" t="s">
        <v>299</v>
      </c>
      <c r="X208" s="2" t="s">
        <v>874</v>
      </c>
      <c r="Y208" s="2" t="s">
        <v>1422</v>
      </c>
      <c r="Z208" s="4">
        <v>93</v>
      </c>
      <c r="AA208" s="4">
        <f>=ROUNDDOWN(93,0)</f>
      </c>
      <c r="AB208" s="5">
        <v>1</v>
      </c>
      <c r="AC208" s="2" t="s">
        <v>231</v>
      </c>
      <c r="AD208" s="4"/>
      <c r="AE208" s="4"/>
      <c r="AF208" s="6">
        <v>63</v>
      </c>
      <c r="AG208" s="6"/>
      <c r="AH208" s="7">
        <v>1</v>
      </c>
      <c r="AI208" s="4"/>
      <c r="AJ208" s="4">
        <f>=ROUNDDOWN({0},0)</f>
      </c>
      <c r="AK208" s="5"/>
      <c r="AL208" s="2" t="s">
        <v>231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231</v>
      </c>
      <c r="BD208" s="8" t="s">
        <v>231</v>
      </c>
      <c r="BE208" s="4" t="s">
        <v>231</v>
      </c>
      <c r="BF208" s="8" t="s">
        <v>231</v>
      </c>
      <c r="BG208" s="7" t="s">
        <v>231</v>
      </c>
      <c r="BH208" s="7" t="s">
        <v>231</v>
      </c>
      <c r="BI208" s="7"/>
      <c r="BJ208" s="4">
        <v>1</v>
      </c>
      <c r="BK208" s="8">
        <v>174.2</v>
      </c>
      <c r="BL208" s="2" t="s">
        <v>1423</v>
      </c>
      <c r="BM208" s="7"/>
      <c r="BN208" s="7"/>
      <c r="BO208" s="4"/>
      <c r="BP208" s="8"/>
      <c r="BQ208" s="4"/>
      <c r="BR208" s="8"/>
      <c r="BS208" s="7"/>
      <c r="BT208" s="7"/>
      <c r="BU208" s="2" t="s">
        <v>1424</v>
      </c>
      <c r="BV208" s="2" t="s">
        <v>231</v>
      </c>
      <c r="BW208" s="2" t="s">
        <v>231</v>
      </c>
      <c r="BX208" s="2" t="s">
        <v>231</v>
      </c>
      <c r="BY208" s="2" t="s">
        <v>277</v>
      </c>
      <c r="BZ208" s="2" t="s">
        <v>243</v>
      </c>
      <c r="CA208" s="2" t="s">
        <v>1425</v>
      </c>
      <c r="CB208" s="2" t="s">
        <v>1426</v>
      </c>
      <c r="CC208" s="2" t="s">
        <v>244</v>
      </c>
      <c r="CD208" s="2" t="s">
        <v>231</v>
      </c>
      <c r="CE208" s="4"/>
      <c r="CF208" s="4">
        <v>93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</row>
    <row r="209">
      <c r="A209" s="2" t="s">
        <v>1427</v>
      </c>
      <c r="B209" s="2" t="s">
        <v>1186</v>
      </c>
      <c r="C209" s="2" t="s">
        <v>288</v>
      </c>
      <c r="D209" s="2" t="s">
        <v>654</v>
      </c>
      <c r="E209" s="2" t="s">
        <v>655</v>
      </c>
      <c r="F209" s="2" t="s">
        <v>1419</v>
      </c>
      <c r="G209" s="2" t="s">
        <v>1428</v>
      </c>
      <c r="H209" s="2" t="s">
        <v>1429</v>
      </c>
      <c r="I209" s="2" t="s">
        <v>1430</v>
      </c>
      <c r="J209" s="2" t="s">
        <v>658</v>
      </c>
      <c r="K209" s="2" t="s">
        <v>253</v>
      </c>
      <c r="L209" s="3">
        <v>41.14</v>
      </c>
      <c r="M209" s="3">
        <v>43.2</v>
      </c>
      <c r="N209" s="3">
        <v>89.99</v>
      </c>
      <c r="O209" s="2" t="s">
        <v>243</v>
      </c>
      <c r="P209" s="2" t="s">
        <v>236</v>
      </c>
      <c r="Q209" s="2" t="s">
        <v>237</v>
      </c>
      <c r="R209" s="2" t="s">
        <v>231</v>
      </c>
      <c r="S209" s="2" t="s">
        <v>1431</v>
      </c>
      <c r="T209" s="2" t="s">
        <v>1432</v>
      </c>
      <c r="U209" s="2" t="s">
        <v>661</v>
      </c>
      <c r="V209" s="2" t="s">
        <v>1433</v>
      </c>
      <c r="W209" s="2" t="s">
        <v>792</v>
      </c>
      <c r="X209" s="2" t="s">
        <v>676</v>
      </c>
      <c r="Y209" s="2" t="s">
        <v>1434</v>
      </c>
      <c r="Z209" s="4">
        <v>322</v>
      </c>
      <c r="AA209" s="4">
        <f>=ROUNDDOWN(18.9411764705882,0)</f>
      </c>
      <c r="AB209" s="5">
        <v>17</v>
      </c>
      <c r="AC209" s="2" t="s">
        <v>231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231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231</v>
      </c>
      <c r="AW209" s="8" t="s">
        <v>231</v>
      </c>
      <c r="AX209" s="4" t="s">
        <v>231</v>
      </c>
      <c r="AY209" s="8" t="s">
        <v>231</v>
      </c>
      <c r="AZ209" s="7" t="s">
        <v>231</v>
      </c>
      <c r="BA209" s="7" t="s">
        <v>231</v>
      </c>
      <c r="BB209" s="7"/>
      <c r="BC209" s="4" t="s">
        <v>231</v>
      </c>
      <c r="BD209" s="8" t="s">
        <v>231</v>
      </c>
      <c r="BE209" s="4" t="s">
        <v>231</v>
      </c>
      <c r="BF209" s="8" t="s">
        <v>231</v>
      </c>
      <c r="BG209" s="7" t="s">
        <v>231</v>
      </c>
      <c r="BH209" s="7" t="s">
        <v>231</v>
      </c>
      <c r="BI209" s="7"/>
      <c r="BJ209" s="4">
        <v>22</v>
      </c>
      <c r="BK209" s="8">
        <v>1026.3</v>
      </c>
      <c r="BL209" s="2" t="s">
        <v>838</v>
      </c>
      <c r="BM209" s="7"/>
      <c r="BN209" s="7"/>
      <c r="BO209" s="4"/>
      <c r="BP209" s="8"/>
      <c r="BQ209" s="4"/>
      <c r="BR209" s="8"/>
      <c r="BS209" s="7"/>
      <c r="BT209" s="7"/>
      <c r="BU209" s="2" t="s">
        <v>1435</v>
      </c>
      <c r="BV209" s="2" t="s">
        <v>231</v>
      </c>
      <c r="BW209" s="2" t="s">
        <v>231</v>
      </c>
      <c r="BX209" s="2" t="s">
        <v>241</v>
      </c>
      <c r="BY209" s="2" t="s">
        <v>277</v>
      </c>
      <c r="BZ209" s="2" t="s">
        <v>243</v>
      </c>
      <c r="CA209" s="2" t="s">
        <v>1436</v>
      </c>
      <c r="CB209" s="2" t="s">
        <v>1437</v>
      </c>
      <c r="CC209" s="2" t="s">
        <v>244</v>
      </c>
      <c r="CD209" s="2" t="s">
        <v>231</v>
      </c>
      <c r="CE209" s="4">
        <v>322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</row>
    <row r="210">
      <c r="A210" s="2" t="s">
        <v>1438</v>
      </c>
      <c r="B210" s="2" t="s">
        <v>992</v>
      </c>
      <c r="C210" s="2" t="s">
        <v>1439</v>
      </c>
      <c r="D210" s="2" t="s">
        <v>993</v>
      </c>
      <c r="E210" s="2" t="s">
        <v>994</v>
      </c>
      <c r="F210" s="2" t="s">
        <v>1419</v>
      </c>
      <c r="G210" s="2" t="s">
        <v>1440</v>
      </c>
      <c r="H210" s="2" t="s">
        <v>1441</v>
      </c>
      <c r="I210" s="2" t="s">
        <v>1442</v>
      </c>
      <c r="J210" s="2" t="s">
        <v>996</v>
      </c>
      <c r="K210" s="2" t="s">
        <v>253</v>
      </c>
      <c r="L210" s="3">
        <v>16.8</v>
      </c>
      <c r="M210" s="3">
        <v>17.64</v>
      </c>
      <c r="N210" s="3">
        <v>39.99</v>
      </c>
      <c r="O210" s="2" t="s">
        <v>243</v>
      </c>
      <c r="P210" s="2" t="s">
        <v>341</v>
      </c>
      <c r="Q210" s="2" t="s">
        <v>237</v>
      </c>
      <c r="R210" s="2" t="s">
        <v>231</v>
      </c>
      <c r="S210" s="2" t="s">
        <v>1443</v>
      </c>
      <c r="T210" s="2" t="s">
        <v>231</v>
      </c>
      <c r="U210" s="2" t="s">
        <v>327</v>
      </c>
      <c r="V210" s="2" t="s">
        <v>1444</v>
      </c>
      <c r="W210" s="2" t="s">
        <v>231</v>
      </c>
      <c r="X210" s="2" t="s">
        <v>998</v>
      </c>
      <c r="Y210" s="2" t="s">
        <v>1127</v>
      </c>
      <c r="Z210" s="4">
        <v>329</v>
      </c>
      <c r="AA210" s="4">
        <f>=ROUNDDOWN(36.5555555555556,0)</f>
      </c>
      <c r="AB210" s="5">
        <v>9</v>
      </c>
      <c r="AC210" s="2" t="s">
        <v>231</v>
      </c>
      <c r="AD210" s="4"/>
      <c r="AE210" s="4"/>
      <c r="AF210" s="6">
        <v>68</v>
      </c>
      <c r="AG210" s="6"/>
      <c r="AH210" s="7">
        <v>1</v>
      </c>
      <c r="AI210" s="4"/>
      <c r="AJ210" s="4">
        <f>=ROUNDDOWN({0},0)</f>
      </c>
      <c r="AK210" s="5"/>
      <c r="AL210" s="2" t="s">
        <v>231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231</v>
      </c>
      <c r="AW210" s="8" t="s">
        <v>231</v>
      </c>
      <c r="AX210" s="4" t="s">
        <v>231</v>
      </c>
      <c r="AY210" s="8" t="s">
        <v>231</v>
      </c>
      <c r="AZ210" s="7" t="s">
        <v>231</v>
      </c>
      <c r="BA210" s="7" t="s">
        <v>231</v>
      </c>
      <c r="BB210" s="7"/>
      <c r="BC210" s="4" t="s">
        <v>231</v>
      </c>
      <c r="BD210" s="8" t="s">
        <v>231</v>
      </c>
      <c r="BE210" s="4" t="s">
        <v>231</v>
      </c>
      <c r="BF210" s="8" t="s">
        <v>231</v>
      </c>
      <c r="BG210" s="7" t="s">
        <v>231</v>
      </c>
      <c r="BH210" s="7" t="s">
        <v>231</v>
      </c>
      <c r="BI210" s="7"/>
      <c r="BJ210" s="4">
        <v>43</v>
      </c>
      <c r="BK210" s="8">
        <v>883.58</v>
      </c>
      <c r="BL210" s="2" t="s">
        <v>1445</v>
      </c>
      <c r="BM210" s="7"/>
      <c r="BN210" s="7"/>
      <c r="BO210" s="4"/>
      <c r="BP210" s="8"/>
      <c r="BQ210" s="4"/>
      <c r="BR210" s="8"/>
      <c r="BS210" s="7"/>
      <c r="BT210" s="7"/>
      <c r="BU210" s="2" t="s">
        <v>1446</v>
      </c>
      <c r="BV210" s="2" t="s">
        <v>231</v>
      </c>
      <c r="BW210" s="2" t="s">
        <v>231</v>
      </c>
      <c r="BX210" s="2" t="s">
        <v>231</v>
      </c>
      <c r="BY210" s="2" t="s">
        <v>277</v>
      </c>
      <c r="BZ210" s="2" t="s">
        <v>243</v>
      </c>
      <c r="CA210" s="2" t="s">
        <v>1447</v>
      </c>
      <c r="CB210" s="2" t="s">
        <v>1448</v>
      </c>
      <c r="CC210" s="2" t="s">
        <v>244</v>
      </c>
      <c r="CD210" s="2" t="s">
        <v>231</v>
      </c>
      <c r="CE210" s="4">
        <v>329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</row>
    <row r="211">
      <c r="A211" s="2" t="s">
        <v>1449</v>
      </c>
      <c r="B211" s="2" t="s">
        <v>992</v>
      </c>
      <c r="C211" s="2" t="s">
        <v>1439</v>
      </c>
      <c r="D211" s="2" t="s">
        <v>993</v>
      </c>
      <c r="E211" s="2" t="s">
        <v>994</v>
      </c>
      <c r="F211" s="2" t="s">
        <v>1419</v>
      </c>
      <c r="G211" s="2" t="s">
        <v>1440</v>
      </c>
      <c r="H211" s="2" t="s">
        <v>1441</v>
      </c>
      <c r="I211" s="2" t="s">
        <v>1442</v>
      </c>
      <c r="J211" s="2" t="s">
        <v>1450</v>
      </c>
      <c r="K211" s="2" t="s">
        <v>255</v>
      </c>
      <c r="L211" s="3">
        <v>21</v>
      </c>
      <c r="M211" s="3">
        <v>22.05</v>
      </c>
      <c r="N211" s="3">
        <v>49.99</v>
      </c>
      <c r="O211" s="2" t="s">
        <v>243</v>
      </c>
      <c r="P211" s="2" t="s">
        <v>341</v>
      </c>
      <c r="Q211" s="2" t="s">
        <v>237</v>
      </c>
      <c r="R211" s="2" t="s">
        <v>231</v>
      </c>
      <c r="S211" s="2" t="s">
        <v>1451</v>
      </c>
      <c r="T211" s="2" t="s">
        <v>231</v>
      </c>
      <c r="U211" s="2" t="s">
        <v>327</v>
      </c>
      <c r="V211" s="2" t="s">
        <v>1444</v>
      </c>
      <c r="W211" s="2" t="s">
        <v>231</v>
      </c>
      <c r="X211" s="2" t="s">
        <v>676</v>
      </c>
      <c r="Y211" s="2" t="s">
        <v>1127</v>
      </c>
      <c r="Z211" s="4">
        <v>120</v>
      </c>
      <c r="AA211" s="4">
        <f>=ROUNDDOWN(24.4897959183673,0)</f>
      </c>
      <c r="AB211" s="5">
        <v>4.9</v>
      </c>
      <c r="AC211" s="2" t="s">
        <v>231</v>
      </c>
      <c r="AD211" s="4"/>
      <c r="AE211" s="4"/>
      <c r="AF211" s="6">
        <v>68</v>
      </c>
      <c r="AG211" s="6"/>
      <c r="AH211" s="7">
        <v>1</v>
      </c>
      <c r="AI211" s="4"/>
      <c r="AJ211" s="4">
        <f>=ROUNDDOWN({0},0)</f>
      </c>
      <c r="AK211" s="5"/>
      <c r="AL211" s="2" t="s">
        <v>231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231</v>
      </c>
      <c r="BD211" s="8" t="s">
        <v>231</v>
      </c>
      <c r="BE211" s="4" t="s">
        <v>231</v>
      </c>
      <c r="BF211" s="8" t="s">
        <v>231</v>
      </c>
      <c r="BG211" s="7" t="s">
        <v>231</v>
      </c>
      <c r="BH211" s="7" t="s">
        <v>231</v>
      </c>
      <c r="BI211" s="7"/>
      <c r="BJ211" s="4">
        <v>18</v>
      </c>
      <c r="BK211" s="8">
        <v>336.09</v>
      </c>
      <c r="BL211" s="2" t="s">
        <v>1452</v>
      </c>
      <c r="BM211" s="7"/>
      <c r="BN211" s="7"/>
      <c r="BO211" s="4"/>
      <c r="BP211" s="8"/>
      <c r="BQ211" s="4"/>
      <c r="BR211" s="8"/>
      <c r="BS211" s="7"/>
      <c r="BT211" s="7"/>
      <c r="BU211" s="2" t="s">
        <v>1453</v>
      </c>
      <c r="BV211" s="2" t="s">
        <v>231</v>
      </c>
      <c r="BW211" s="2" t="s">
        <v>231</v>
      </c>
      <c r="BX211" s="2" t="s">
        <v>231</v>
      </c>
      <c r="BY211" s="2" t="s">
        <v>277</v>
      </c>
      <c r="BZ211" s="2" t="s">
        <v>243</v>
      </c>
      <c r="CA211" s="2" t="s">
        <v>1454</v>
      </c>
      <c r="CB211" s="2" t="s">
        <v>1455</v>
      </c>
      <c r="CC211" s="2" t="s">
        <v>244</v>
      </c>
      <c r="CD211" s="2" t="s">
        <v>231</v>
      </c>
      <c r="CE211" s="4">
        <v>120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</row>
    <row r="212">
      <c r="A212" s="2" t="s">
        <v>1456</v>
      </c>
      <c r="B212" s="2" t="s">
        <v>992</v>
      </c>
      <c r="C212" s="2" t="s">
        <v>1439</v>
      </c>
      <c r="D212" s="2" t="s">
        <v>993</v>
      </c>
      <c r="E212" s="2" t="s">
        <v>994</v>
      </c>
      <c r="F212" s="2" t="s">
        <v>1419</v>
      </c>
      <c r="G212" s="2" t="s">
        <v>1440</v>
      </c>
      <c r="H212" s="2" t="s">
        <v>1441</v>
      </c>
      <c r="I212" s="2" t="s">
        <v>1442</v>
      </c>
      <c r="J212" s="2" t="s">
        <v>1450</v>
      </c>
      <c r="K212" s="2" t="s">
        <v>319</v>
      </c>
      <c r="L212" s="3">
        <v>21</v>
      </c>
      <c r="M212" s="3">
        <v>22.05</v>
      </c>
      <c r="N212" s="3">
        <v>49.99</v>
      </c>
      <c r="O212" s="2" t="s">
        <v>243</v>
      </c>
      <c r="P212" s="2" t="s">
        <v>341</v>
      </c>
      <c r="Q212" s="2" t="s">
        <v>237</v>
      </c>
      <c r="R212" s="2" t="s">
        <v>231</v>
      </c>
      <c r="S212" s="2" t="s">
        <v>1457</v>
      </c>
      <c r="T212" s="2" t="s">
        <v>231</v>
      </c>
      <c r="U212" s="2" t="s">
        <v>327</v>
      </c>
      <c r="V212" s="2" t="s">
        <v>1444</v>
      </c>
      <c r="W212" s="2" t="s">
        <v>231</v>
      </c>
      <c r="X212" s="2" t="s">
        <v>998</v>
      </c>
      <c r="Y212" s="2" t="s">
        <v>1127</v>
      </c>
      <c r="Z212" s="4">
        <v>231</v>
      </c>
      <c r="AA212" s="4">
        <f>=ROUNDDOWN(77,0)</f>
      </c>
      <c r="AB212" s="5">
        <v>3</v>
      </c>
      <c r="AC212" s="2" t="s">
        <v>1458</v>
      </c>
      <c r="AD212" s="4">
        <v>220</v>
      </c>
      <c r="AE212" s="4">
        <v>220</v>
      </c>
      <c r="AF212" s="6">
        <v>68</v>
      </c>
      <c r="AG212" s="6"/>
      <c r="AH212" s="7">
        <v>1</v>
      </c>
      <c r="AI212" s="4"/>
      <c r="AJ212" s="4">
        <f>=ROUNDDOWN({0},0)</f>
      </c>
      <c r="AK212" s="5"/>
      <c r="AL212" s="2" t="s">
        <v>231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 t="s">
        <v>231</v>
      </c>
      <c r="BD212" s="8" t="s">
        <v>231</v>
      </c>
      <c r="BE212" s="4" t="s">
        <v>231</v>
      </c>
      <c r="BF212" s="8" t="s">
        <v>231</v>
      </c>
      <c r="BG212" s="7" t="s">
        <v>231</v>
      </c>
      <c r="BH212" s="7" t="s">
        <v>231</v>
      </c>
      <c r="BI212" s="7"/>
      <c r="BJ212" s="4">
        <v>28</v>
      </c>
      <c r="BK212" s="8">
        <v>506.52</v>
      </c>
      <c r="BL212" s="2" t="s">
        <v>1459</v>
      </c>
      <c r="BM212" s="7"/>
      <c r="BN212" s="7"/>
      <c r="BO212" s="4"/>
      <c r="BP212" s="8"/>
      <c r="BQ212" s="4"/>
      <c r="BR212" s="8"/>
      <c r="BS212" s="7"/>
      <c r="BT212" s="7"/>
      <c r="BU212" s="2" t="s">
        <v>1460</v>
      </c>
      <c r="BV212" s="2" t="s">
        <v>231</v>
      </c>
      <c r="BW212" s="2" t="s">
        <v>231</v>
      </c>
      <c r="BX212" s="2" t="s">
        <v>231</v>
      </c>
      <c r="BY212" s="2" t="s">
        <v>277</v>
      </c>
      <c r="BZ212" s="2" t="s">
        <v>243</v>
      </c>
      <c r="CA212" s="2" t="s">
        <v>1447</v>
      </c>
      <c r="CB212" s="2" t="s">
        <v>1324</v>
      </c>
      <c r="CC212" s="2" t="s">
        <v>244</v>
      </c>
      <c r="CD212" s="2" t="s">
        <v>231</v>
      </c>
      <c r="CE212" s="4">
        <v>231</v>
      </c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>
        <v>220</v>
      </c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</row>
    <row r="213">
      <c r="A213" s="2" t="s">
        <v>1461</v>
      </c>
      <c r="B213" s="2" t="s">
        <v>1186</v>
      </c>
      <c r="C213" s="2" t="s">
        <v>631</v>
      </c>
      <c r="D213" s="2" t="s">
        <v>1462</v>
      </c>
      <c r="E213" s="2" t="s">
        <v>1463</v>
      </c>
      <c r="F213" s="2" t="s">
        <v>1464</v>
      </c>
      <c r="G213" s="2" t="s">
        <v>1464</v>
      </c>
      <c r="H213" s="2" t="s">
        <v>1464</v>
      </c>
      <c r="I213" s="2" t="s">
        <v>1465</v>
      </c>
      <c r="J213" s="2" t="s">
        <v>658</v>
      </c>
      <c r="K213" s="2" t="s">
        <v>253</v>
      </c>
      <c r="L213" s="3">
        <v>28.75</v>
      </c>
      <c r="M213" s="3">
        <v>30.19</v>
      </c>
      <c r="N213" s="3">
        <v>59.99</v>
      </c>
      <c r="O213" s="2" t="s">
        <v>243</v>
      </c>
      <c r="P213" s="2" t="s">
        <v>341</v>
      </c>
      <c r="Q213" s="2" t="s">
        <v>237</v>
      </c>
      <c r="R213" s="2" t="s">
        <v>231</v>
      </c>
      <c r="S213" s="2" t="s">
        <v>1466</v>
      </c>
      <c r="T213" s="2" t="s">
        <v>231</v>
      </c>
      <c r="U213" s="2" t="s">
        <v>835</v>
      </c>
      <c r="V213" s="2" t="s">
        <v>239</v>
      </c>
      <c r="W213" s="2" t="s">
        <v>299</v>
      </c>
      <c r="X213" s="2" t="s">
        <v>792</v>
      </c>
      <c r="Y213" s="2" t="s">
        <v>1467</v>
      </c>
      <c r="Z213" s="4">
        <v>108</v>
      </c>
      <c r="AA213" s="4">
        <f>=ROUNDDOWN(30.8571428571429,0)</f>
      </c>
      <c r="AB213" s="5">
        <v>3.5</v>
      </c>
      <c r="AC213" s="2" t="s">
        <v>231</v>
      </c>
      <c r="AD213" s="4"/>
      <c r="AE213" s="4"/>
      <c r="AF213" s="6"/>
      <c r="AG213" s="6"/>
      <c r="AH213" s="7">
        <v>1</v>
      </c>
      <c r="AI213" s="4"/>
      <c r="AJ213" s="4">
        <f>=ROUNDDOWN({0},0)</f>
      </c>
      <c r="AK213" s="5"/>
      <c r="AL213" s="2" t="s">
        <v>231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231</v>
      </c>
      <c r="BD213" s="8" t="s">
        <v>231</v>
      </c>
      <c r="BE213" s="4" t="s">
        <v>231</v>
      </c>
      <c r="BF213" s="8" t="s">
        <v>231</v>
      </c>
      <c r="BG213" s="7" t="s">
        <v>231</v>
      </c>
      <c r="BH213" s="7" t="s">
        <v>231</v>
      </c>
      <c r="BI213" s="7"/>
      <c r="BJ213" s="4">
        <v>12</v>
      </c>
      <c r="BK213" s="8">
        <v>171.18</v>
      </c>
      <c r="BL213" s="2" t="s">
        <v>1468</v>
      </c>
      <c r="BM213" s="7"/>
      <c r="BN213" s="7"/>
      <c r="BO213" s="4"/>
      <c r="BP213" s="8"/>
      <c r="BQ213" s="4"/>
      <c r="BR213" s="8"/>
      <c r="BS213" s="7"/>
      <c r="BT213" s="7"/>
      <c r="BU213" s="2" t="s">
        <v>1469</v>
      </c>
      <c r="BV213" s="2" t="s">
        <v>231</v>
      </c>
      <c r="BW213" s="2" t="s">
        <v>231</v>
      </c>
      <c r="BX213" s="2" t="s">
        <v>241</v>
      </c>
      <c r="BY213" s="2" t="s">
        <v>277</v>
      </c>
      <c r="BZ213" s="2" t="s">
        <v>243</v>
      </c>
      <c r="CA213" s="2" t="s">
        <v>1470</v>
      </c>
      <c r="CB213" s="2" t="s">
        <v>231</v>
      </c>
      <c r="CC213" s="2" t="s">
        <v>244</v>
      </c>
      <c r="CD213" s="2" t="s">
        <v>231</v>
      </c>
      <c r="CE213" s="4">
        <v>29</v>
      </c>
      <c r="CF213" s="4">
        <v>79</v>
      </c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</row>
    <row r="214">
      <c r="A214" s="2" t="s">
        <v>1471</v>
      </c>
      <c r="B214" s="2" t="s">
        <v>1186</v>
      </c>
      <c r="C214" s="2" t="s">
        <v>631</v>
      </c>
      <c r="D214" s="2" t="s">
        <v>1462</v>
      </c>
      <c r="E214" s="2" t="s">
        <v>1463</v>
      </c>
      <c r="F214" s="2" t="s">
        <v>1464</v>
      </c>
      <c r="G214" s="2" t="s">
        <v>1464</v>
      </c>
      <c r="H214" s="2" t="s">
        <v>1464</v>
      </c>
      <c r="I214" s="2" t="s">
        <v>1465</v>
      </c>
      <c r="J214" s="2" t="s">
        <v>658</v>
      </c>
      <c r="K214" s="2" t="s">
        <v>306</v>
      </c>
      <c r="L214" s="3">
        <v>28.75</v>
      </c>
      <c r="M214" s="3">
        <v>30.19</v>
      </c>
      <c r="N214" s="3">
        <v>59.99</v>
      </c>
      <c r="O214" s="2" t="s">
        <v>243</v>
      </c>
      <c r="P214" s="2" t="s">
        <v>341</v>
      </c>
      <c r="Q214" s="2" t="s">
        <v>237</v>
      </c>
      <c r="R214" s="2" t="s">
        <v>231</v>
      </c>
      <c r="S214" s="2" t="s">
        <v>1472</v>
      </c>
      <c r="T214" s="2" t="s">
        <v>231</v>
      </c>
      <c r="U214" s="2" t="s">
        <v>835</v>
      </c>
      <c r="V214" s="2" t="s">
        <v>239</v>
      </c>
      <c r="W214" s="2" t="s">
        <v>299</v>
      </c>
      <c r="X214" s="2" t="s">
        <v>792</v>
      </c>
      <c r="Y214" s="2" t="s">
        <v>1473</v>
      </c>
      <c r="Z214" s="4">
        <v>212</v>
      </c>
      <c r="AA214" s="4">
        <f>=ROUNDDOWN(66.25,0)</f>
      </c>
      <c r="AB214" s="5">
        <v>3.2</v>
      </c>
      <c r="AC214" s="2" t="s">
        <v>231</v>
      </c>
      <c r="AD214" s="4"/>
      <c r="AE214" s="4"/>
      <c r="AF214" s="6"/>
      <c r="AG214" s="6"/>
      <c r="AH214" s="7">
        <v>1</v>
      </c>
      <c r="AI214" s="4"/>
      <c r="AJ214" s="4">
        <f>=ROUNDDOWN({0},0)</f>
      </c>
      <c r="AK214" s="5"/>
      <c r="AL214" s="2" t="s">
        <v>231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231</v>
      </c>
      <c r="AW214" s="8" t="s">
        <v>231</v>
      </c>
      <c r="AX214" s="4" t="s">
        <v>231</v>
      </c>
      <c r="AY214" s="8" t="s">
        <v>231</v>
      </c>
      <c r="AZ214" s="7" t="s">
        <v>231</v>
      </c>
      <c r="BA214" s="7" t="s">
        <v>231</v>
      </c>
      <c r="BB214" s="7"/>
      <c r="BC214" s="4" t="s">
        <v>231</v>
      </c>
      <c r="BD214" s="8" t="s">
        <v>231</v>
      </c>
      <c r="BE214" s="4" t="s">
        <v>231</v>
      </c>
      <c r="BF214" s="8" t="s">
        <v>231</v>
      </c>
      <c r="BG214" s="7" t="s">
        <v>231</v>
      </c>
      <c r="BH214" s="7" t="s">
        <v>231</v>
      </c>
      <c r="BI214" s="7"/>
      <c r="BJ214" s="4">
        <v>14</v>
      </c>
      <c r="BK214" s="8">
        <v>205.09</v>
      </c>
      <c r="BL214" s="2" t="s">
        <v>1474</v>
      </c>
      <c r="BM214" s="7"/>
      <c r="BN214" s="7"/>
      <c r="BO214" s="4"/>
      <c r="BP214" s="8"/>
      <c r="BQ214" s="4"/>
      <c r="BR214" s="8"/>
      <c r="BS214" s="7"/>
      <c r="BT214" s="7"/>
      <c r="BU214" s="2" t="s">
        <v>1475</v>
      </c>
      <c r="BV214" s="2" t="s">
        <v>231</v>
      </c>
      <c r="BW214" s="2" t="s">
        <v>231</v>
      </c>
      <c r="BX214" s="2" t="s">
        <v>241</v>
      </c>
      <c r="BY214" s="2" t="s">
        <v>277</v>
      </c>
      <c r="BZ214" s="2" t="s">
        <v>243</v>
      </c>
      <c r="CA214" s="2" t="s">
        <v>1470</v>
      </c>
      <c r="CB214" s="2" t="s">
        <v>387</v>
      </c>
      <c r="CC214" s="2" t="s">
        <v>244</v>
      </c>
      <c r="CD214" s="2" t="s">
        <v>231</v>
      </c>
      <c r="CE214" s="4"/>
      <c r="CF214" s="4">
        <v>212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</row>
    <row r="215">
      <c r="A215" s="2" t="s">
        <v>1476</v>
      </c>
      <c r="B215" s="2" t="s">
        <v>1186</v>
      </c>
      <c r="C215" s="2" t="s">
        <v>631</v>
      </c>
      <c r="D215" s="2" t="s">
        <v>1462</v>
      </c>
      <c r="E215" s="2" t="s">
        <v>1463</v>
      </c>
      <c r="F215" s="2" t="s">
        <v>1464</v>
      </c>
      <c r="G215" s="2" t="s">
        <v>1464</v>
      </c>
      <c r="H215" s="2" t="s">
        <v>1464</v>
      </c>
      <c r="I215" s="2" t="s">
        <v>1465</v>
      </c>
      <c r="J215" s="2" t="s">
        <v>669</v>
      </c>
      <c r="K215" s="2" t="s">
        <v>306</v>
      </c>
      <c r="L215" s="3">
        <v>33.33</v>
      </c>
      <c r="M215" s="3">
        <v>35</v>
      </c>
      <c r="N215" s="3">
        <v>69.99</v>
      </c>
      <c r="O215" s="2" t="s">
        <v>243</v>
      </c>
      <c r="P215" s="2" t="s">
        <v>341</v>
      </c>
      <c r="Q215" s="2" t="s">
        <v>237</v>
      </c>
      <c r="R215" s="2" t="s">
        <v>231</v>
      </c>
      <c r="S215" s="2" t="s">
        <v>1472</v>
      </c>
      <c r="T215" s="2" t="s">
        <v>231</v>
      </c>
      <c r="U215" s="2" t="s">
        <v>835</v>
      </c>
      <c r="V215" s="2" t="s">
        <v>239</v>
      </c>
      <c r="W215" s="2" t="s">
        <v>299</v>
      </c>
      <c r="X215" s="2" t="s">
        <v>792</v>
      </c>
      <c r="Y215" s="2" t="s">
        <v>1467</v>
      </c>
      <c r="Z215" s="4">
        <v>42</v>
      </c>
      <c r="AA215" s="4">
        <f>=ROUNDDOWN(8.07692307692308,0)</f>
      </c>
      <c r="AB215" s="5">
        <v>5.2</v>
      </c>
      <c r="AC215" s="2" t="s">
        <v>231</v>
      </c>
      <c r="AD215" s="4"/>
      <c r="AE215" s="4"/>
      <c r="AF215" s="6"/>
      <c r="AG215" s="6"/>
      <c r="AH215" s="7">
        <v>1</v>
      </c>
      <c r="AI215" s="4"/>
      <c r="AJ215" s="4">
        <f>=ROUNDDOWN({0},0)</f>
      </c>
      <c r="AK215" s="5"/>
      <c r="AL215" s="2" t="s">
        <v>231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231</v>
      </c>
      <c r="AW215" s="8" t="s">
        <v>231</v>
      </c>
      <c r="AX215" s="4" t="s">
        <v>231</v>
      </c>
      <c r="AY215" s="8" t="s">
        <v>231</v>
      </c>
      <c r="AZ215" s="7" t="s">
        <v>231</v>
      </c>
      <c r="BA215" s="7" t="s">
        <v>231</v>
      </c>
      <c r="BB215" s="7"/>
      <c r="BC215" s="4" t="s">
        <v>231</v>
      </c>
      <c r="BD215" s="8" t="s">
        <v>231</v>
      </c>
      <c r="BE215" s="4" t="s">
        <v>231</v>
      </c>
      <c r="BF215" s="8" t="s">
        <v>231</v>
      </c>
      <c r="BG215" s="7" t="s">
        <v>231</v>
      </c>
      <c r="BH215" s="7" t="s">
        <v>231</v>
      </c>
      <c r="BI215" s="7"/>
      <c r="BJ215" s="4">
        <v>22</v>
      </c>
      <c r="BK215" s="8">
        <v>376.53</v>
      </c>
      <c r="BL215" s="2" t="s">
        <v>1477</v>
      </c>
      <c r="BM215" s="7"/>
      <c r="BN215" s="7"/>
      <c r="BO215" s="4"/>
      <c r="BP215" s="8"/>
      <c r="BQ215" s="4"/>
      <c r="BR215" s="8"/>
      <c r="BS215" s="7"/>
      <c r="BT215" s="7"/>
      <c r="BU215" s="2" t="s">
        <v>1478</v>
      </c>
      <c r="BV215" s="2" t="s">
        <v>231</v>
      </c>
      <c r="BW215" s="2" t="s">
        <v>231</v>
      </c>
      <c r="BX215" s="2" t="s">
        <v>241</v>
      </c>
      <c r="BY215" s="2" t="s">
        <v>277</v>
      </c>
      <c r="BZ215" s="2" t="s">
        <v>243</v>
      </c>
      <c r="CA215" s="2" t="s">
        <v>1470</v>
      </c>
      <c r="CB215" s="2" t="s">
        <v>231</v>
      </c>
      <c r="CC215" s="2" t="s">
        <v>244</v>
      </c>
      <c r="CD215" s="2" t="s">
        <v>231</v>
      </c>
      <c r="CE215" s="4"/>
      <c r="CF215" s="4">
        <v>42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</row>
    <row r="216">
      <c r="A216" s="2" t="s">
        <v>1479</v>
      </c>
      <c r="B216" s="2" t="s">
        <v>1186</v>
      </c>
      <c r="C216" s="2" t="s">
        <v>288</v>
      </c>
      <c r="D216" s="2" t="s">
        <v>654</v>
      </c>
      <c r="E216" s="2" t="s">
        <v>655</v>
      </c>
      <c r="F216" s="2" t="s">
        <v>1480</v>
      </c>
      <c r="G216" s="2" t="s">
        <v>1481</v>
      </c>
      <c r="H216" s="2" t="s">
        <v>1482</v>
      </c>
      <c r="I216" s="2" t="s">
        <v>1483</v>
      </c>
      <c r="J216" s="2" t="s">
        <v>304</v>
      </c>
      <c r="K216" s="2" t="s">
        <v>269</v>
      </c>
      <c r="L216" s="3">
        <v>71.14</v>
      </c>
      <c r="M216" s="3">
        <v>74.7</v>
      </c>
      <c r="N216" s="3">
        <v>144.99</v>
      </c>
      <c r="O216" s="2" t="s">
        <v>243</v>
      </c>
      <c r="P216" s="2" t="s">
        <v>341</v>
      </c>
      <c r="Q216" s="2" t="s">
        <v>237</v>
      </c>
      <c r="R216" s="2" t="s">
        <v>231</v>
      </c>
      <c r="S216" s="2" t="s">
        <v>1484</v>
      </c>
      <c r="T216" s="2" t="s">
        <v>231</v>
      </c>
      <c r="U216" s="2" t="s">
        <v>700</v>
      </c>
      <c r="V216" s="2" t="s">
        <v>1485</v>
      </c>
      <c r="W216" s="2" t="s">
        <v>792</v>
      </c>
      <c r="X216" s="2" t="s">
        <v>1486</v>
      </c>
      <c r="Y216" s="2" t="s">
        <v>274</v>
      </c>
      <c r="Z216" s="4">
        <v>93</v>
      </c>
      <c r="AA216" s="4">
        <f>=ROUNDDOWN(23.25,0)</f>
      </c>
      <c r="AB216" s="5">
        <v>4</v>
      </c>
      <c r="AC216" s="2" t="s">
        <v>231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231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231</v>
      </c>
      <c r="BD216" s="8" t="s">
        <v>231</v>
      </c>
      <c r="BE216" s="4" t="s">
        <v>231</v>
      </c>
      <c r="BF216" s="8" t="s">
        <v>231</v>
      </c>
      <c r="BG216" s="7" t="s">
        <v>231</v>
      </c>
      <c r="BH216" s="7" t="s">
        <v>231</v>
      </c>
      <c r="BI216" s="7"/>
      <c r="BJ216" s="4">
        <v>8</v>
      </c>
      <c r="BK216" s="8">
        <v>388.01</v>
      </c>
      <c r="BL216" s="2" t="s">
        <v>1487</v>
      </c>
      <c r="BM216" s="7"/>
      <c r="BN216" s="7"/>
      <c r="BO216" s="4"/>
      <c r="BP216" s="8"/>
      <c r="BQ216" s="4"/>
      <c r="BR216" s="8"/>
      <c r="BS216" s="7"/>
      <c r="BT216" s="7"/>
      <c r="BU216" s="2" t="s">
        <v>1488</v>
      </c>
      <c r="BV216" s="2" t="s">
        <v>231</v>
      </c>
      <c r="BW216" s="2" t="s">
        <v>231</v>
      </c>
      <c r="BX216" s="2" t="s">
        <v>231</v>
      </c>
      <c r="BY216" s="2" t="s">
        <v>277</v>
      </c>
      <c r="BZ216" s="2" t="s">
        <v>243</v>
      </c>
      <c r="CA216" s="2" t="s">
        <v>284</v>
      </c>
      <c r="CB216" s="2" t="s">
        <v>1489</v>
      </c>
      <c r="CC216" s="2" t="s">
        <v>244</v>
      </c>
      <c r="CD216" s="2" t="s">
        <v>231</v>
      </c>
      <c r="CE216" s="4">
        <v>93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</row>
    <row r="217">
      <c r="A217" s="2" t="s">
        <v>1490</v>
      </c>
      <c r="B217" s="2" t="s">
        <v>1186</v>
      </c>
      <c r="C217" s="2" t="s">
        <v>288</v>
      </c>
      <c r="D217" s="2" t="s">
        <v>654</v>
      </c>
      <c r="E217" s="2" t="s">
        <v>655</v>
      </c>
      <c r="F217" s="2" t="s">
        <v>1480</v>
      </c>
      <c r="G217" s="2" t="s">
        <v>1481</v>
      </c>
      <c r="H217" s="2" t="s">
        <v>1482</v>
      </c>
      <c r="I217" s="2" t="s">
        <v>1483</v>
      </c>
      <c r="J217" s="2" t="s">
        <v>281</v>
      </c>
      <c r="K217" s="2" t="s">
        <v>1491</v>
      </c>
      <c r="L217" s="3">
        <v>53.99</v>
      </c>
      <c r="M217" s="3">
        <v>56.69</v>
      </c>
      <c r="N217" s="3">
        <v>109.99</v>
      </c>
      <c r="O217" s="2" t="s">
        <v>243</v>
      </c>
      <c r="P217" s="2" t="s">
        <v>341</v>
      </c>
      <c r="Q217" s="2" t="s">
        <v>237</v>
      </c>
      <c r="R217" s="2" t="s">
        <v>231</v>
      </c>
      <c r="S217" s="2" t="s">
        <v>1484</v>
      </c>
      <c r="T217" s="2" t="s">
        <v>231</v>
      </c>
      <c r="U217" s="2" t="s">
        <v>700</v>
      </c>
      <c r="V217" s="2" t="s">
        <v>1485</v>
      </c>
      <c r="W217" s="2" t="s">
        <v>792</v>
      </c>
      <c r="X217" s="2" t="s">
        <v>1486</v>
      </c>
      <c r="Y217" s="2" t="s">
        <v>274</v>
      </c>
      <c r="Z217" s="4">
        <v>271</v>
      </c>
      <c r="AA217" s="4">
        <f>=ROUNDDOWN(38.7142857142857,0)</f>
      </c>
      <c r="AB217" s="5">
        <v>7</v>
      </c>
      <c r="AC217" s="2" t="s">
        <v>231</v>
      </c>
      <c r="AD217" s="4"/>
      <c r="AE217" s="4"/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231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231</v>
      </c>
      <c r="BD217" s="8" t="s">
        <v>231</v>
      </c>
      <c r="BE217" s="4" t="s">
        <v>231</v>
      </c>
      <c r="BF217" s="8" t="s">
        <v>231</v>
      </c>
      <c r="BG217" s="7" t="s">
        <v>231</v>
      </c>
      <c r="BH217" s="7" t="s">
        <v>231</v>
      </c>
      <c r="BI217" s="7"/>
      <c r="BJ217" s="4">
        <v>24</v>
      </c>
      <c r="BK217" s="8">
        <v>779.06</v>
      </c>
      <c r="BL217" s="2" t="s">
        <v>1492</v>
      </c>
      <c r="BM217" s="7"/>
      <c r="BN217" s="7"/>
      <c r="BO217" s="4"/>
      <c r="BP217" s="8"/>
      <c r="BQ217" s="4"/>
      <c r="BR217" s="8"/>
      <c r="BS217" s="7"/>
      <c r="BT217" s="7"/>
      <c r="BU217" s="2" t="s">
        <v>1493</v>
      </c>
      <c r="BV217" s="2" t="s">
        <v>231</v>
      </c>
      <c r="BW217" s="2" t="s">
        <v>231</v>
      </c>
      <c r="BX217" s="2" t="s">
        <v>231</v>
      </c>
      <c r="BY217" s="2" t="s">
        <v>277</v>
      </c>
      <c r="BZ217" s="2" t="s">
        <v>243</v>
      </c>
      <c r="CA217" s="2" t="s">
        <v>284</v>
      </c>
      <c r="CB217" s="2" t="s">
        <v>1494</v>
      </c>
      <c r="CC217" s="2" t="s">
        <v>244</v>
      </c>
      <c r="CD217" s="2" t="s">
        <v>231</v>
      </c>
      <c r="CE217" s="4">
        <v>210</v>
      </c>
      <c r="CF217" s="4"/>
      <c r="CG217" s="4"/>
      <c r="CH217" s="4"/>
      <c r="CI217" s="4">
        <v>61</v>
      </c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</row>
    <row r="218">
      <c r="A218" s="2" t="s">
        <v>1495</v>
      </c>
      <c r="B218" s="2" t="s">
        <v>1186</v>
      </c>
      <c r="C218" s="2" t="s">
        <v>288</v>
      </c>
      <c r="D218" s="2" t="s">
        <v>654</v>
      </c>
      <c r="E218" s="2" t="s">
        <v>655</v>
      </c>
      <c r="F218" s="2" t="s">
        <v>1480</v>
      </c>
      <c r="G218" s="2" t="s">
        <v>1481</v>
      </c>
      <c r="H218" s="2" t="s">
        <v>1482</v>
      </c>
      <c r="I218" s="2" t="s">
        <v>1483</v>
      </c>
      <c r="J218" s="2" t="s">
        <v>304</v>
      </c>
      <c r="K218" s="2" t="s">
        <v>1496</v>
      </c>
      <c r="L218" s="3">
        <v>71.14</v>
      </c>
      <c r="M218" s="3">
        <v>74.7</v>
      </c>
      <c r="N218" s="3">
        <v>144.99</v>
      </c>
      <c r="O218" s="2" t="s">
        <v>243</v>
      </c>
      <c r="P218" s="2" t="s">
        <v>341</v>
      </c>
      <c r="Q218" s="2" t="s">
        <v>237</v>
      </c>
      <c r="R218" s="2" t="s">
        <v>231</v>
      </c>
      <c r="S218" s="2" t="s">
        <v>1497</v>
      </c>
      <c r="T218" s="2" t="s">
        <v>231</v>
      </c>
      <c r="U218" s="2" t="s">
        <v>700</v>
      </c>
      <c r="V218" s="2" t="s">
        <v>1485</v>
      </c>
      <c r="W218" s="2" t="s">
        <v>792</v>
      </c>
      <c r="X218" s="2" t="s">
        <v>1486</v>
      </c>
      <c r="Y218" s="2" t="s">
        <v>274</v>
      </c>
      <c r="Z218" s="4">
        <v>273</v>
      </c>
      <c r="AA218" s="4">
        <f>=ROUNDDOWN(54.6,0)</f>
      </c>
      <c r="AB218" s="5">
        <v>5</v>
      </c>
      <c r="AC218" s="2" t="s">
        <v>231</v>
      </c>
      <c r="AD218" s="4"/>
      <c r="AE218" s="4"/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231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231</v>
      </c>
      <c r="BD218" s="8" t="s">
        <v>231</v>
      </c>
      <c r="BE218" s="4" t="s">
        <v>231</v>
      </c>
      <c r="BF218" s="8" t="s">
        <v>231</v>
      </c>
      <c r="BG218" s="7" t="s">
        <v>231</v>
      </c>
      <c r="BH218" s="7" t="s">
        <v>231</v>
      </c>
      <c r="BI218" s="7"/>
      <c r="BJ218" s="4">
        <v>10</v>
      </c>
      <c r="BK218" s="8">
        <v>529.42</v>
      </c>
      <c r="BL218" s="2" t="s">
        <v>1498</v>
      </c>
      <c r="BM218" s="7"/>
      <c r="BN218" s="7"/>
      <c r="BO218" s="4"/>
      <c r="BP218" s="8"/>
      <c r="BQ218" s="4"/>
      <c r="BR218" s="8"/>
      <c r="BS218" s="7"/>
      <c r="BT218" s="7"/>
      <c r="BU218" s="2" t="s">
        <v>1499</v>
      </c>
      <c r="BV218" s="2" t="s">
        <v>231</v>
      </c>
      <c r="BW218" s="2" t="s">
        <v>231</v>
      </c>
      <c r="BX218" s="2" t="s">
        <v>231</v>
      </c>
      <c r="BY218" s="2" t="s">
        <v>277</v>
      </c>
      <c r="BZ218" s="2" t="s">
        <v>243</v>
      </c>
      <c r="CA218" s="2" t="s">
        <v>284</v>
      </c>
      <c r="CB218" s="2" t="s">
        <v>607</v>
      </c>
      <c r="CC218" s="2" t="s">
        <v>244</v>
      </c>
      <c r="CD218" s="2" t="s">
        <v>231</v>
      </c>
      <c r="CE218" s="4">
        <v>192</v>
      </c>
      <c r="CF218" s="4"/>
      <c r="CG218" s="4"/>
      <c r="CH218" s="4"/>
      <c r="CI218" s="4">
        <v>81</v>
      </c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</row>
    <row r="219">
      <c r="A219" s="2" t="s">
        <v>1500</v>
      </c>
      <c r="B219" s="2" t="s">
        <v>940</v>
      </c>
      <c r="C219" s="2" t="s">
        <v>288</v>
      </c>
      <c r="D219" s="2" t="s">
        <v>941</v>
      </c>
      <c r="E219" s="2" t="s">
        <v>942</v>
      </c>
      <c r="F219" s="2" t="s">
        <v>1480</v>
      </c>
      <c r="G219" s="2" t="s">
        <v>1481</v>
      </c>
      <c r="H219" s="2" t="s">
        <v>1482</v>
      </c>
      <c r="I219" s="2" t="s">
        <v>1501</v>
      </c>
      <c r="J219" s="2" t="s">
        <v>1502</v>
      </c>
      <c r="K219" s="2" t="s">
        <v>255</v>
      </c>
      <c r="L219" s="3">
        <v>20.64</v>
      </c>
      <c r="M219" s="3">
        <v>21.67</v>
      </c>
      <c r="N219" s="3">
        <v>42.99</v>
      </c>
      <c r="O219" s="2" t="s">
        <v>243</v>
      </c>
      <c r="P219" s="2" t="s">
        <v>270</v>
      </c>
      <c r="Q219" s="2" t="s">
        <v>237</v>
      </c>
      <c r="R219" s="2" t="s">
        <v>231</v>
      </c>
      <c r="S219" s="2" t="s">
        <v>1503</v>
      </c>
      <c r="T219" s="2" t="s">
        <v>362</v>
      </c>
      <c r="U219" s="2" t="s">
        <v>327</v>
      </c>
      <c r="V219" s="2" t="s">
        <v>1485</v>
      </c>
      <c r="W219" s="2" t="s">
        <v>792</v>
      </c>
      <c r="X219" s="2" t="s">
        <v>231</v>
      </c>
      <c r="Y219" s="2" t="s">
        <v>1504</v>
      </c>
      <c r="Z219" s="4">
        <v>335</v>
      </c>
      <c r="AA219" s="4">
        <f>=ROUNDDOWN(41.875,0)</f>
      </c>
      <c r="AB219" s="5">
        <v>8</v>
      </c>
      <c r="AC219" s="2" t="s">
        <v>383</v>
      </c>
      <c r="AD219" s="4">
        <v>96</v>
      </c>
      <c r="AE219" s="4">
        <v>96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231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231</v>
      </c>
      <c r="BD219" s="8" t="s">
        <v>231</v>
      </c>
      <c r="BE219" s="4" t="s">
        <v>231</v>
      </c>
      <c r="BF219" s="8" t="s">
        <v>231</v>
      </c>
      <c r="BG219" s="7" t="s">
        <v>231</v>
      </c>
      <c r="BH219" s="7" t="s">
        <v>231</v>
      </c>
      <c r="BI219" s="7"/>
      <c r="BJ219" s="4">
        <v>32</v>
      </c>
      <c r="BK219" s="8">
        <v>733.54</v>
      </c>
      <c r="BL219" s="2" t="s">
        <v>1505</v>
      </c>
      <c r="BM219" s="7"/>
      <c r="BN219" s="7"/>
      <c r="BO219" s="4"/>
      <c r="BP219" s="8"/>
      <c r="BQ219" s="4"/>
      <c r="BR219" s="8"/>
      <c r="BS219" s="7"/>
      <c r="BT219" s="7"/>
      <c r="BU219" s="2" t="s">
        <v>1506</v>
      </c>
      <c r="BV219" s="2" t="s">
        <v>231</v>
      </c>
      <c r="BW219" s="2" t="s">
        <v>231</v>
      </c>
      <c r="BX219" s="2" t="s">
        <v>231</v>
      </c>
      <c r="BY219" s="2" t="s">
        <v>277</v>
      </c>
      <c r="BZ219" s="2" t="s">
        <v>243</v>
      </c>
      <c r="CA219" s="2" t="s">
        <v>1504</v>
      </c>
      <c r="CB219" s="2" t="s">
        <v>1507</v>
      </c>
      <c r="CC219" s="2" t="s">
        <v>244</v>
      </c>
      <c r="CD219" s="2" t="s">
        <v>231</v>
      </c>
      <c r="CE219" s="4">
        <v>335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>
        <v>96</v>
      </c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</row>
    <row r="220">
      <c r="A220" s="2" t="s">
        <v>1508</v>
      </c>
      <c r="B220" s="2" t="s">
        <v>1186</v>
      </c>
      <c r="C220" s="2" t="s">
        <v>288</v>
      </c>
      <c r="D220" s="2" t="s">
        <v>654</v>
      </c>
      <c r="E220" s="2" t="s">
        <v>655</v>
      </c>
      <c r="F220" s="2" t="s">
        <v>1480</v>
      </c>
      <c r="G220" s="2" t="s">
        <v>1481</v>
      </c>
      <c r="H220" s="2" t="s">
        <v>1482</v>
      </c>
      <c r="I220" s="2" t="s">
        <v>1483</v>
      </c>
      <c r="J220" s="2" t="s">
        <v>304</v>
      </c>
      <c r="K220" s="2" t="s">
        <v>778</v>
      </c>
      <c r="L220" s="3">
        <v>71.14</v>
      </c>
      <c r="M220" s="3">
        <v>74.7</v>
      </c>
      <c r="N220" s="3">
        <v>144.99</v>
      </c>
      <c r="O220" s="2" t="s">
        <v>243</v>
      </c>
      <c r="P220" s="2" t="s">
        <v>341</v>
      </c>
      <c r="Q220" s="2" t="s">
        <v>237</v>
      </c>
      <c r="R220" s="2" t="s">
        <v>231</v>
      </c>
      <c r="S220" s="2" t="s">
        <v>1509</v>
      </c>
      <c r="T220" s="2" t="s">
        <v>231</v>
      </c>
      <c r="U220" s="2" t="s">
        <v>700</v>
      </c>
      <c r="V220" s="2" t="s">
        <v>1485</v>
      </c>
      <c r="W220" s="2" t="s">
        <v>792</v>
      </c>
      <c r="X220" s="2" t="s">
        <v>1486</v>
      </c>
      <c r="Y220" s="2" t="s">
        <v>274</v>
      </c>
      <c r="Z220" s="4">
        <v>129</v>
      </c>
      <c r="AA220" s="4">
        <f>=ROUNDDOWN(32.25,0)</f>
      </c>
      <c r="AB220" s="5">
        <v>4</v>
      </c>
      <c r="AC220" s="2" t="s">
        <v>231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231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231</v>
      </c>
      <c r="BD220" s="8" t="s">
        <v>231</v>
      </c>
      <c r="BE220" s="4" t="s">
        <v>231</v>
      </c>
      <c r="BF220" s="8" t="s">
        <v>231</v>
      </c>
      <c r="BG220" s="7" t="s">
        <v>231</v>
      </c>
      <c r="BH220" s="7" t="s">
        <v>231</v>
      </c>
      <c r="BI220" s="7"/>
      <c r="BJ220" s="4">
        <v>16</v>
      </c>
      <c r="BK220" s="8">
        <v>761.37</v>
      </c>
      <c r="BL220" s="2" t="s">
        <v>1510</v>
      </c>
      <c r="BM220" s="7"/>
      <c r="BN220" s="7"/>
      <c r="BO220" s="4"/>
      <c r="BP220" s="8"/>
      <c r="BQ220" s="4"/>
      <c r="BR220" s="8"/>
      <c r="BS220" s="7"/>
      <c r="BT220" s="7"/>
      <c r="BU220" s="2" t="s">
        <v>1511</v>
      </c>
      <c r="BV220" s="2" t="s">
        <v>231</v>
      </c>
      <c r="BW220" s="2" t="s">
        <v>231</v>
      </c>
      <c r="BX220" s="2" t="s">
        <v>231</v>
      </c>
      <c r="BY220" s="2" t="s">
        <v>277</v>
      </c>
      <c r="BZ220" s="2" t="s">
        <v>243</v>
      </c>
      <c r="CA220" s="2" t="s">
        <v>284</v>
      </c>
      <c r="CB220" s="2" t="s">
        <v>541</v>
      </c>
      <c r="CC220" s="2" t="s">
        <v>244</v>
      </c>
      <c r="CD220" s="2" t="s">
        <v>231</v>
      </c>
      <c r="CE220" s="4">
        <v>129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</row>
    <row r="221">
      <c r="A221" s="2" t="s">
        <v>1512</v>
      </c>
      <c r="B221" s="2" t="s">
        <v>1186</v>
      </c>
      <c r="C221" s="2" t="s">
        <v>288</v>
      </c>
      <c r="D221" s="2" t="s">
        <v>654</v>
      </c>
      <c r="E221" s="2" t="s">
        <v>655</v>
      </c>
      <c r="F221" s="2" t="s">
        <v>1480</v>
      </c>
      <c r="G221" s="2" t="s">
        <v>1481</v>
      </c>
      <c r="H221" s="2" t="s">
        <v>1482</v>
      </c>
      <c r="I221" s="2" t="s">
        <v>1483</v>
      </c>
      <c r="J221" s="2" t="s">
        <v>304</v>
      </c>
      <c r="K221" s="2" t="s">
        <v>1513</v>
      </c>
      <c r="L221" s="3">
        <v>71.14</v>
      </c>
      <c r="M221" s="3">
        <v>74.7</v>
      </c>
      <c r="N221" s="3">
        <v>144.99</v>
      </c>
      <c r="O221" s="2" t="s">
        <v>235</v>
      </c>
      <c r="P221" s="2" t="s">
        <v>341</v>
      </c>
      <c r="Q221" s="2" t="s">
        <v>237</v>
      </c>
      <c r="R221" s="2" t="s">
        <v>231</v>
      </c>
      <c r="S221" s="2" t="s">
        <v>1484</v>
      </c>
      <c r="T221" s="2" t="s">
        <v>231</v>
      </c>
      <c r="U221" s="2" t="s">
        <v>700</v>
      </c>
      <c r="V221" s="2" t="s">
        <v>1485</v>
      </c>
      <c r="W221" s="2" t="s">
        <v>792</v>
      </c>
      <c r="X221" s="2" t="s">
        <v>1486</v>
      </c>
      <c r="Y221" s="2" t="s">
        <v>274</v>
      </c>
      <c r="Z221" s="4">
        <v>39</v>
      </c>
      <c r="AA221" s="4">
        <f>=ROUNDDOWN(9.75,0)</f>
      </c>
      <c r="AB221" s="5">
        <v>4</v>
      </c>
      <c r="AC221" s="2" t="s">
        <v>231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231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231</v>
      </c>
      <c r="AW221" s="8" t="s">
        <v>231</v>
      </c>
      <c r="AX221" s="4" t="s">
        <v>231</v>
      </c>
      <c r="AY221" s="8" t="s">
        <v>231</v>
      </c>
      <c r="AZ221" s="7" t="s">
        <v>231</v>
      </c>
      <c r="BA221" s="7" t="s">
        <v>231</v>
      </c>
      <c r="BB221" s="7"/>
      <c r="BC221" s="4" t="s">
        <v>231</v>
      </c>
      <c r="BD221" s="8" t="s">
        <v>231</v>
      </c>
      <c r="BE221" s="4" t="s">
        <v>231</v>
      </c>
      <c r="BF221" s="8" t="s">
        <v>231</v>
      </c>
      <c r="BG221" s="7" t="s">
        <v>231</v>
      </c>
      <c r="BH221" s="7" t="s">
        <v>231</v>
      </c>
      <c r="BI221" s="7"/>
      <c r="BJ221" s="4">
        <v>15</v>
      </c>
      <c r="BK221" s="8">
        <v>947.38</v>
      </c>
      <c r="BL221" s="2" t="s">
        <v>1514</v>
      </c>
      <c r="BM221" s="7"/>
      <c r="BN221" s="7"/>
      <c r="BO221" s="4"/>
      <c r="BP221" s="8"/>
      <c r="BQ221" s="4"/>
      <c r="BR221" s="8"/>
      <c r="BS221" s="7"/>
      <c r="BT221" s="7"/>
      <c r="BU221" s="2" t="s">
        <v>1515</v>
      </c>
      <c r="BV221" s="2" t="s">
        <v>231</v>
      </c>
      <c r="BW221" s="2" t="s">
        <v>231</v>
      </c>
      <c r="BX221" s="2" t="s">
        <v>231</v>
      </c>
      <c r="BY221" s="2" t="s">
        <v>277</v>
      </c>
      <c r="BZ221" s="2" t="s">
        <v>243</v>
      </c>
      <c r="CA221" s="2" t="s">
        <v>284</v>
      </c>
      <c r="CB221" s="2" t="s">
        <v>1516</v>
      </c>
      <c r="CC221" s="2" t="s">
        <v>244</v>
      </c>
      <c r="CD221" s="2" t="s">
        <v>231</v>
      </c>
      <c r="CE221" s="4">
        <v>39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</row>
    <row r="222">
      <c r="A222" s="2" t="s">
        <v>1517</v>
      </c>
      <c r="B222" s="2" t="s">
        <v>992</v>
      </c>
      <c r="C222" s="2" t="s">
        <v>288</v>
      </c>
      <c r="D222" s="2" t="s">
        <v>993</v>
      </c>
      <c r="E222" s="2" t="s">
        <v>994</v>
      </c>
      <c r="F222" s="2" t="s">
        <v>1480</v>
      </c>
      <c r="G222" s="2" t="s">
        <v>1481</v>
      </c>
      <c r="H222" s="2" t="s">
        <v>1482</v>
      </c>
      <c r="I222" s="2" t="s">
        <v>1518</v>
      </c>
      <c r="J222" s="2" t="s">
        <v>996</v>
      </c>
      <c r="K222" s="2" t="s">
        <v>1513</v>
      </c>
      <c r="L222" s="3">
        <v>15.75</v>
      </c>
      <c r="M222" s="3">
        <v>16.54</v>
      </c>
      <c r="N222" s="3">
        <v>34.99</v>
      </c>
      <c r="O222" s="2" t="s">
        <v>243</v>
      </c>
      <c r="P222" s="2" t="s">
        <v>270</v>
      </c>
      <c r="Q222" s="2" t="s">
        <v>237</v>
      </c>
      <c r="R222" s="2" t="s">
        <v>231</v>
      </c>
      <c r="S222" s="2" t="s">
        <v>1519</v>
      </c>
      <c r="T222" s="2" t="s">
        <v>231</v>
      </c>
      <c r="U222" s="2" t="s">
        <v>231</v>
      </c>
      <c r="V222" s="2" t="s">
        <v>1433</v>
      </c>
      <c r="W222" s="2" t="s">
        <v>792</v>
      </c>
      <c r="X222" s="2" t="s">
        <v>1520</v>
      </c>
      <c r="Y222" s="2" t="s">
        <v>274</v>
      </c>
      <c r="Z222" s="4">
        <v>561</v>
      </c>
      <c r="AA222" s="4">
        <f>=ROUNDDOWN(31.1666666666667,0)</f>
      </c>
      <c r="AB222" s="5">
        <v>18</v>
      </c>
      <c r="AC222" s="2" t="s">
        <v>231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231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231</v>
      </c>
      <c r="AW222" s="8" t="s">
        <v>231</v>
      </c>
      <c r="AX222" s="4" t="s">
        <v>231</v>
      </c>
      <c r="AY222" s="8" t="s">
        <v>231</v>
      </c>
      <c r="AZ222" s="7" t="s">
        <v>231</v>
      </c>
      <c r="BA222" s="7" t="s">
        <v>231</v>
      </c>
      <c r="BB222" s="7"/>
      <c r="BC222" s="4" t="s">
        <v>231</v>
      </c>
      <c r="BD222" s="8" t="s">
        <v>231</v>
      </c>
      <c r="BE222" s="4" t="s">
        <v>231</v>
      </c>
      <c r="BF222" s="8" t="s">
        <v>231</v>
      </c>
      <c r="BG222" s="7" t="s">
        <v>231</v>
      </c>
      <c r="BH222" s="7" t="s">
        <v>231</v>
      </c>
      <c r="BI222" s="7"/>
      <c r="BJ222" s="4">
        <v>79</v>
      </c>
      <c r="BK222" s="8">
        <v>1268.93</v>
      </c>
      <c r="BL222" s="2" t="s">
        <v>1521</v>
      </c>
      <c r="BM222" s="7"/>
      <c r="BN222" s="7"/>
      <c r="BO222" s="4"/>
      <c r="BP222" s="8"/>
      <c r="BQ222" s="4"/>
      <c r="BR222" s="8"/>
      <c r="BS222" s="7"/>
      <c r="BT222" s="7"/>
      <c r="BU222" s="2" t="s">
        <v>1522</v>
      </c>
      <c r="BV222" s="2" t="s">
        <v>231</v>
      </c>
      <c r="BW222" s="2" t="s">
        <v>231</v>
      </c>
      <c r="BX222" s="2" t="s">
        <v>231</v>
      </c>
      <c r="BY222" s="2" t="s">
        <v>277</v>
      </c>
      <c r="BZ222" s="2" t="s">
        <v>243</v>
      </c>
      <c r="CA222" s="2" t="s">
        <v>284</v>
      </c>
      <c r="CB222" s="2" t="s">
        <v>1523</v>
      </c>
      <c r="CC222" s="2" t="s">
        <v>244</v>
      </c>
      <c r="CD222" s="2" t="s">
        <v>231</v>
      </c>
      <c r="CE222" s="4">
        <v>561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</row>
    <row r="223">
      <c r="A223" s="2" t="s">
        <v>1524</v>
      </c>
      <c r="B223" s="2" t="s">
        <v>992</v>
      </c>
      <c r="C223" s="2" t="s">
        <v>288</v>
      </c>
      <c r="D223" s="2" t="s">
        <v>1525</v>
      </c>
      <c r="E223" s="2" t="s">
        <v>1526</v>
      </c>
      <c r="F223" s="2" t="s">
        <v>1480</v>
      </c>
      <c r="G223" s="2" t="s">
        <v>1481</v>
      </c>
      <c r="H223" s="2" t="s">
        <v>1482</v>
      </c>
      <c r="I223" s="2" t="s">
        <v>1527</v>
      </c>
      <c r="J223" s="2" t="s">
        <v>1528</v>
      </c>
      <c r="K223" s="2" t="s">
        <v>1513</v>
      </c>
      <c r="L223" s="3">
        <v>10</v>
      </c>
      <c r="M223" s="3">
        <v>10.5</v>
      </c>
      <c r="N223" s="3">
        <v>24.99</v>
      </c>
      <c r="O223" s="2" t="s">
        <v>243</v>
      </c>
      <c r="P223" s="2" t="s">
        <v>270</v>
      </c>
      <c r="Q223" s="2" t="s">
        <v>237</v>
      </c>
      <c r="R223" s="2" t="s">
        <v>231</v>
      </c>
      <c r="S223" s="2" t="s">
        <v>1519</v>
      </c>
      <c r="T223" s="2" t="s">
        <v>231</v>
      </c>
      <c r="U223" s="2" t="s">
        <v>231</v>
      </c>
      <c r="V223" s="2" t="s">
        <v>1433</v>
      </c>
      <c r="W223" s="2" t="s">
        <v>792</v>
      </c>
      <c r="X223" s="2" t="s">
        <v>231</v>
      </c>
      <c r="Y223" s="2" t="s">
        <v>274</v>
      </c>
      <c r="Z223" s="4">
        <v>506</v>
      </c>
      <c r="AA223" s="4">
        <f>=ROUNDDOWN(42.1666666666667,0)</f>
      </c>
      <c r="AB223" s="5">
        <v>12</v>
      </c>
      <c r="AC223" s="2" t="s">
        <v>231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231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231</v>
      </c>
      <c r="AW223" s="8" t="s">
        <v>231</v>
      </c>
      <c r="AX223" s="4" t="s">
        <v>231</v>
      </c>
      <c r="AY223" s="8" t="s">
        <v>231</v>
      </c>
      <c r="AZ223" s="7" t="s">
        <v>231</v>
      </c>
      <c r="BA223" s="7" t="s">
        <v>231</v>
      </c>
      <c r="BB223" s="7"/>
      <c r="BC223" s="4" t="s">
        <v>231</v>
      </c>
      <c r="BD223" s="8" t="s">
        <v>231</v>
      </c>
      <c r="BE223" s="4" t="s">
        <v>231</v>
      </c>
      <c r="BF223" s="8" t="s">
        <v>231</v>
      </c>
      <c r="BG223" s="7" t="s">
        <v>231</v>
      </c>
      <c r="BH223" s="7" t="s">
        <v>231</v>
      </c>
      <c r="BI223" s="7"/>
      <c r="BJ223" s="4">
        <v>28</v>
      </c>
      <c r="BK223" s="8">
        <v>333.7</v>
      </c>
      <c r="BL223" s="2" t="s">
        <v>1529</v>
      </c>
      <c r="BM223" s="7"/>
      <c r="BN223" s="7"/>
      <c r="BO223" s="4"/>
      <c r="BP223" s="8"/>
      <c r="BQ223" s="4"/>
      <c r="BR223" s="8"/>
      <c r="BS223" s="7"/>
      <c r="BT223" s="7"/>
      <c r="BU223" s="2" t="s">
        <v>1530</v>
      </c>
      <c r="BV223" s="2" t="s">
        <v>231</v>
      </c>
      <c r="BW223" s="2" t="s">
        <v>231</v>
      </c>
      <c r="BX223" s="2" t="s">
        <v>231</v>
      </c>
      <c r="BY223" s="2" t="s">
        <v>277</v>
      </c>
      <c r="BZ223" s="2" t="s">
        <v>243</v>
      </c>
      <c r="CA223" s="2" t="s">
        <v>284</v>
      </c>
      <c r="CB223" s="2" t="s">
        <v>1531</v>
      </c>
      <c r="CC223" s="2" t="s">
        <v>244</v>
      </c>
      <c r="CD223" s="2" t="s">
        <v>231</v>
      </c>
      <c r="CE223" s="4">
        <v>506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</row>
    <row r="224">
      <c r="A224" s="2" t="s">
        <v>1532</v>
      </c>
      <c r="B224" s="2" t="s">
        <v>940</v>
      </c>
      <c r="C224" s="2" t="s">
        <v>288</v>
      </c>
      <c r="D224" s="2" t="s">
        <v>1533</v>
      </c>
      <c r="E224" s="2" t="s">
        <v>1534</v>
      </c>
      <c r="F224" s="2" t="s">
        <v>1480</v>
      </c>
      <c r="G224" s="2" t="s">
        <v>1481</v>
      </c>
      <c r="H224" s="2" t="s">
        <v>1482</v>
      </c>
      <c r="I224" s="2" t="s">
        <v>1535</v>
      </c>
      <c r="J224" s="2" t="s">
        <v>1536</v>
      </c>
      <c r="K224" s="2" t="s">
        <v>1513</v>
      </c>
      <c r="L224" s="3">
        <v>13.2</v>
      </c>
      <c r="M224" s="3">
        <v>13.86</v>
      </c>
      <c r="N224" s="3">
        <v>29.99</v>
      </c>
      <c r="O224" s="2" t="s">
        <v>243</v>
      </c>
      <c r="P224" s="2" t="s">
        <v>270</v>
      </c>
      <c r="Q224" s="2" t="s">
        <v>237</v>
      </c>
      <c r="R224" s="2" t="s">
        <v>231</v>
      </c>
      <c r="S224" s="2" t="s">
        <v>1519</v>
      </c>
      <c r="T224" s="2" t="s">
        <v>231</v>
      </c>
      <c r="U224" s="2" t="s">
        <v>231</v>
      </c>
      <c r="V224" s="2" t="s">
        <v>1433</v>
      </c>
      <c r="W224" s="2" t="s">
        <v>792</v>
      </c>
      <c r="X224" s="2" t="s">
        <v>231</v>
      </c>
      <c r="Y224" s="2" t="s">
        <v>274</v>
      </c>
      <c r="Z224" s="4">
        <v>508</v>
      </c>
      <c r="AA224" s="4">
        <f>=ROUNDDOWN(33.8666666666667,0)</f>
      </c>
      <c r="AB224" s="5">
        <v>15</v>
      </c>
      <c r="AC224" s="2" t="s">
        <v>1537</v>
      </c>
      <c r="AD224" s="4">
        <v>100</v>
      </c>
      <c r="AE224" s="4">
        <v>180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231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231</v>
      </c>
      <c r="AW224" s="8" t="s">
        <v>231</v>
      </c>
      <c r="AX224" s="4" t="s">
        <v>231</v>
      </c>
      <c r="AY224" s="8" t="s">
        <v>231</v>
      </c>
      <c r="AZ224" s="7" t="s">
        <v>231</v>
      </c>
      <c r="BA224" s="7" t="s">
        <v>231</v>
      </c>
      <c r="BB224" s="7"/>
      <c r="BC224" s="4" t="s">
        <v>231</v>
      </c>
      <c r="BD224" s="8" t="s">
        <v>231</v>
      </c>
      <c r="BE224" s="4" t="s">
        <v>231</v>
      </c>
      <c r="BF224" s="8" t="s">
        <v>231</v>
      </c>
      <c r="BG224" s="7" t="s">
        <v>231</v>
      </c>
      <c r="BH224" s="7" t="s">
        <v>231</v>
      </c>
      <c r="BI224" s="7"/>
      <c r="BJ224" s="4">
        <v>70</v>
      </c>
      <c r="BK224" s="8">
        <v>1056.51</v>
      </c>
      <c r="BL224" s="2" t="s">
        <v>1538</v>
      </c>
      <c r="BM224" s="7"/>
      <c r="BN224" s="7"/>
      <c r="BO224" s="4"/>
      <c r="BP224" s="8"/>
      <c r="BQ224" s="4"/>
      <c r="BR224" s="8"/>
      <c r="BS224" s="7"/>
      <c r="BT224" s="7"/>
      <c r="BU224" s="2" t="s">
        <v>1539</v>
      </c>
      <c r="BV224" s="2" t="s">
        <v>231</v>
      </c>
      <c r="BW224" s="2" t="s">
        <v>231</v>
      </c>
      <c r="BX224" s="2" t="s">
        <v>231</v>
      </c>
      <c r="BY224" s="2" t="s">
        <v>277</v>
      </c>
      <c r="BZ224" s="2" t="s">
        <v>243</v>
      </c>
      <c r="CA224" s="2" t="s">
        <v>284</v>
      </c>
      <c r="CB224" s="2" t="s">
        <v>1540</v>
      </c>
      <c r="CC224" s="2" t="s">
        <v>244</v>
      </c>
      <c r="CD224" s="2" t="s">
        <v>231</v>
      </c>
      <c r="CE224" s="4">
        <v>508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>
        <v>100</v>
      </c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>
        <v>80</v>
      </c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</row>
    <row r="225">
      <c r="A225" s="2" t="s">
        <v>1541</v>
      </c>
      <c r="B225" s="2" t="s">
        <v>992</v>
      </c>
      <c r="C225" s="2" t="s">
        <v>288</v>
      </c>
      <c r="D225" s="2" t="s">
        <v>1525</v>
      </c>
      <c r="E225" s="2" t="s">
        <v>1526</v>
      </c>
      <c r="F225" s="2" t="s">
        <v>1480</v>
      </c>
      <c r="G225" s="2" t="s">
        <v>1481</v>
      </c>
      <c r="H225" s="2" t="s">
        <v>1482</v>
      </c>
      <c r="I225" s="2" t="s">
        <v>1542</v>
      </c>
      <c r="J225" s="2" t="s">
        <v>1528</v>
      </c>
      <c r="K225" s="2" t="s">
        <v>1169</v>
      </c>
      <c r="L225" s="3">
        <v>10</v>
      </c>
      <c r="M225" s="3">
        <v>10.5</v>
      </c>
      <c r="N225" s="3">
        <v>24.99</v>
      </c>
      <c r="O225" s="2" t="s">
        <v>243</v>
      </c>
      <c r="P225" s="2" t="s">
        <v>341</v>
      </c>
      <c r="Q225" s="2" t="s">
        <v>237</v>
      </c>
      <c r="R225" s="2" t="s">
        <v>231</v>
      </c>
      <c r="S225" s="2" t="s">
        <v>1543</v>
      </c>
      <c r="T225" s="2" t="s">
        <v>231</v>
      </c>
      <c r="U225" s="2" t="s">
        <v>231</v>
      </c>
      <c r="V225" s="2" t="s">
        <v>1433</v>
      </c>
      <c r="W225" s="2" t="s">
        <v>792</v>
      </c>
      <c r="X225" s="2" t="s">
        <v>231</v>
      </c>
      <c r="Y225" s="2" t="s">
        <v>1544</v>
      </c>
      <c r="Z225" s="4">
        <v>234</v>
      </c>
      <c r="AA225" s="4">
        <f>=ROUNDDOWN(20,0)</f>
      </c>
      <c r="AB225" s="5">
        <v>11.7</v>
      </c>
      <c r="AC225" s="2" t="s">
        <v>231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231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231</v>
      </c>
      <c r="BD225" s="8" t="s">
        <v>231</v>
      </c>
      <c r="BE225" s="4" t="s">
        <v>231</v>
      </c>
      <c r="BF225" s="8" t="s">
        <v>231</v>
      </c>
      <c r="BG225" s="7" t="s">
        <v>231</v>
      </c>
      <c r="BH225" s="7" t="s">
        <v>231</v>
      </c>
      <c r="BI225" s="7"/>
      <c r="BJ225" s="4">
        <v>41</v>
      </c>
      <c r="BK225" s="8">
        <v>382.85</v>
      </c>
      <c r="BL225" s="2" t="s">
        <v>1487</v>
      </c>
      <c r="BM225" s="7"/>
      <c r="BN225" s="7"/>
      <c r="BO225" s="4"/>
      <c r="BP225" s="8"/>
      <c r="BQ225" s="4"/>
      <c r="BR225" s="8"/>
      <c r="BS225" s="7"/>
      <c r="BT225" s="7"/>
      <c r="BU225" s="2" t="s">
        <v>1545</v>
      </c>
      <c r="BV225" s="2" t="s">
        <v>231</v>
      </c>
      <c r="BW225" s="2" t="s">
        <v>231</v>
      </c>
      <c r="BX225" s="2" t="s">
        <v>231</v>
      </c>
      <c r="BY225" s="2" t="s">
        <v>277</v>
      </c>
      <c r="BZ225" s="2" t="s">
        <v>243</v>
      </c>
      <c r="CA225" s="2" t="s">
        <v>1546</v>
      </c>
      <c r="CB225" s="2" t="s">
        <v>492</v>
      </c>
      <c r="CC225" s="2" t="s">
        <v>244</v>
      </c>
      <c r="CD225" s="2" t="s">
        <v>231</v>
      </c>
      <c r="CE225" s="4">
        <v>234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</row>
    <row r="226">
      <c r="A226" s="2" t="s">
        <v>1547</v>
      </c>
      <c r="B226" s="2" t="s">
        <v>226</v>
      </c>
      <c r="C226" s="2" t="s">
        <v>1548</v>
      </c>
      <c r="D226" s="2" t="s">
        <v>1549</v>
      </c>
      <c r="E226" s="2" t="s">
        <v>1550</v>
      </c>
      <c r="F226" s="2" t="s">
        <v>1551</v>
      </c>
      <c r="G226" s="2" t="s">
        <v>1552</v>
      </c>
      <c r="H226" s="2" t="s">
        <v>1552</v>
      </c>
      <c r="I226" s="2" t="s">
        <v>1553</v>
      </c>
      <c r="J226" s="2" t="s">
        <v>1554</v>
      </c>
      <c r="K226" s="2" t="s">
        <v>269</v>
      </c>
      <c r="L226" s="3">
        <v>33.33</v>
      </c>
      <c r="M226" s="3">
        <v>35</v>
      </c>
      <c r="N226" s="3">
        <v>69.99</v>
      </c>
      <c r="O226" s="2" t="s">
        <v>243</v>
      </c>
      <c r="P226" s="2" t="s">
        <v>295</v>
      </c>
      <c r="Q226" s="2" t="s">
        <v>237</v>
      </c>
      <c r="R226" s="2" t="s">
        <v>231</v>
      </c>
      <c r="S226" s="2" t="s">
        <v>1555</v>
      </c>
      <c r="T226" s="2" t="s">
        <v>1432</v>
      </c>
      <c r="U226" s="2" t="s">
        <v>327</v>
      </c>
      <c r="V226" s="2" t="s">
        <v>239</v>
      </c>
      <c r="W226" s="2" t="s">
        <v>273</v>
      </c>
      <c r="X226" s="2" t="s">
        <v>231</v>
      </c>
      <c r="Y226" s="2" t="s">
        <v>231</v>
      </c>
      <c r="Z226" s="4"/>
      <c r="AA226" s="4">
        <f>=ROUNDDOWN({0},0)</f>
      </c>
      <c r="AB226" s="5"/>
      <c r="AC226" s="2" t="s">
        <v>1556</v>
      </c>
      <c r="AD226" s="4">
        <v>320</v>
      </c>
      <c r="AE226" s="4">
        <v>320</v>
      </c>
      <c r="AF226" s="6">
        <v>66</v>
      </c>
      <c r="AG226" s="6"/>
      <c r="AH226" s="7">
        <v>0</v>
      </c>
      <c r="AI226" s="4"/>
      <c r="AJ226" s="4">
        <f>=ROUNDDOWN({0},0)</f>
      </c>
      <c r="AK226" s="5"/>
      <c r="AL226" s="2" t="s">
        <v>231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231</v>
      </c>
      <c r="BD226" s="8" t="s">
        <v>231</v>
      </c>
      <c r="BE226" s="4" t="s">
        <v>231</v>
      </c>
      <c r="BF226" s="8" t="s">
        <v>231</v>
      </c>
      <c r="BG226" s="7" t="s">
        <v>231</v>
      </c>
      <c r="BH226" s="7" t="s">
        <v>231</v>
      </c>
      <c r="BI226" s="7"/>
      <c r="BJ226" s="4"/>
      <c r="BK226" s="8"/>
      <c r="BL226" s="2" t="s">
        <v>231</v>
      </c>
      <c r="BM226" s="7"/>
      <c r="BN226" s="7"/>
      <c r="BO226" s="4"/>
      <c r="BP226" s="8"/>
      <c r="BQ226" s="4"/>
      <c r="BR226" s="8"/>
      <c r="BS226" s="7"/>
      <c r="BT226" s="7"/>
      <c r="BU226" s="2" t="s">
        <v>241</v>
      </c>
      <c r="BV226" s="2" t="s">
        <v>231</v>
      </c>
      <c r="BW226" s="2" t="s">
        <v>231</v>
      </c>
      <c r="BX226" s="2" t="s">
        <v>241</v>
      </c>
      <c r="BY226" s="2" t="s">
        <v>242</v>
      </c>
      <c r="BZ226" s="2" t="s">
        <v>243</v>
      </c>
      <c r="CA226" s="2" t="s">
        <v>231</v>
      </c>
      <c r="CB226" s="2" t="s">
        <v>231</v>
      </c>
      <c r="CC226" s="2" t="s">
        <v>244</v>
      </c>
      <c r="CD226" s="2" t="s">
        <v>231</v>
      </c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>
        <v>320</v>
      </c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</row>
    <row r="227">
      <c r="A227" s="2" t="s">
        <v>1557</v>
      </c>
      <c r="B227" s="2" t="s">
        <v>226</v>
      </c>
      <c r="C227" s="2" t="s">
        <v>1548</v>
      </c>
      <c r="D227" s="2" t="s">
        <v>1549</v>
      </c>
      <c r="E227" s="2" t="s">
        <v>1550</v>
      </c>
      <c r="F227" s="2" t="s">
        <v>1551</v>
      </c>
      <c r="G227" s="2" t="s">
        <v>1552</v>
      </c>
      <c r="H227" s="2" t="s">
        <v>1552</v>
      </c>
      <c r="I227" s="2" t="s">
        <v>1553</v>
      </c>
      <c r="J227" s="2" t="s">
        <v>1554</v>
      </c>
      <c r="K227" s="2" t="s">
        <v>1558</v>
      </c>
      <c r="L227" s="3">
        <v>33.33</v>
      </c>
      <c r="M227" s="3">
        <v>35</v>
      </c>
      <c r="N227" s="3">
        <v>69.99</v>
      </c>
      <c r="O227" s="2" t="s">
        <v>243</v>
      </c>
      <c r="P227" s="2" t="s">
        <v>295</v>
      </c>
      <c r="Q227" s="2" t="s">
        <v>237</v>
      </c>
      <c r="R227" s="2" t="s">
        <v>231</v>
      </c>
      <c r="S227" s="2" t="s">
        <v>1559</v>
      </c>
      <c r="T227" s="2" t="s">
        <v>1432</v>
      </c>
      <c r="U227" s="2" t="s">
        <v>327</v>
      </c>
      <c r="V227" s="2" t="s">
        <v>987</v>
      </c>
      <c r="W227" s="2" t="s">
        <v>691</v>
      </c>
      <c r="X227" s="2" t="s">
        <v>231</v>
      </c>
      <c r="Y227" s="2" t="s">
        <v>231</v>
      </c>
      <c r="Z227" s="4"/>
      <c r="AA227" s="4">
        <f>=ROUNDDOWN({0},0)</f>
      </c>
      <c r="AB227" s="5"/>
      <c r="AC227" s="2" t="s">
        <v>1556</v>
      </c>
      <c r="AD227" s="4">
        <v>500</v>
      </c>
      <c r="AE227" s="4">
        <v>500</v>
      </c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231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231</v>
      </c>
      <c r="BD227" s="8" t="s">
        <v>231</v>
      </c>
      <c r="BE227" s="4" t="s">
        <v>231</v>
      </c>
      <c r="BF227" s="8" t="s">
        <v>231</v>
      </c>
      <c r="BG227" s="7" t="s">
        <v>231</v>
      </c>
      <c r="BH227" s="7" t="s">
        <v>231</v>
      </c>
      <c r="BI227" s="7"/>
      <c r="BJ227" s="4"/>
      <c r="BK227" s="8"/>
      <c r="BL227" s="2" t="s">
        <v>231</v>
      </c>
      <c r="BM227" s="7"/>
      <c r="BN227" s="7"/>
      <c r="BO227" s="4"/>
      <c r="BP227" s="8"/>
      <c r="BQ227" s="4"/>
      <c r="BR227" s="8"/>
      <c r="BS227" s="7"/>
      <c r="BT227" s="7"/>
      <c r="BU227" s="2" t="s">
        <v>241</v>
      </c>
      <c r="BV227" s="2" t="s">
        <v>231</v>
      </c>
      <c r="BW227" s="2" t="s">
        <v>231</v>
      </c>
      <c r="BX227" s="2" t="s">
        <v>241</v>
      </c>
      <c r="BY227" s="2" t="s">
        <v>242</v>
      </c>
      <c r="BZ227" s="2" t="s">
        <v>243</v>
      </c>
      <c r="CA227" s="2" t="s">
        <v>231</v>
      </c>
      <c r="CB227" s="2" t="s">
        <v>231</v>
      </c>
      <c r="CC227" s="2" t="s">
        <v>244</v>
      </c>
      <c r="CD227" s="2" t="s">
        <v>231</v>
      </c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>
        <v>500</v>
      </c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</row>
    <row r="228">
      <c r="A228" s="2" t="s">
        <v>1560</v>
      </c>
      <c r="B228" s="2" t="s">
        <v>226</v>
      </c>
      <c r="C228" s="2" t="s">
        <v>1548</v>
      </c>
      <c r="D228" s="2" t="s">
        <v>1549</v>
      </c>
      <c r="E228" s="2" t="s">
        <v>1550</v>
      </c>
      <c r="F228" s="2" t="s">
        <v>1551</v>
      </c>
      <c r="G228" s="2" t="s">
        <v>1552</v>
      </c>
      <c r="H228" s="2" t="s">
        <v>1552</v>
      </c>
      <c r="I228" s="2" t="s">
        <v>1553</v>
      </c>
      <c r="J228" s="2" t="s">
        <v>1554</v>
      </c>
      <c r="K228" s="2" t="s">
        <v>901</v>
      </c>
      <c r="L228" s="3">
        <v>33.33</v>
      </c>
      <c r="M228" s="3">
        <v>35</v>
      </c>
      <c r="N228" s="3">
        <v>69.99</v>
      </c>
      <c r="O228" s="2" t="s">
        <v>243</v>
      </c>
      <c r="P228" s="2" t="s">
        <v>295</v>
      </c>
      <c r="Q228" s="2" t="s">
        <v>237</v>
      </c>
      <c r="R228" s="2" t="s">
        <v>231</v>
      </c>
      <c r="S228" s="2" t="s">
        <v>1561</v>
      </c>
      <c r="T228" s="2" t="s">
        <v>1432</v>
      </c>
      <c r="U228" s="2" t="s">
        <v>327</v>
      </c>
      <c r="V228" s="2" t="s">
        <v>239</v>
      </c>
      <c r="W228" s="2" t="s">
        <v>273</v>
      </c>
      <c r="X228" s="2" t="s">
        <v>231</v>
      </c>
      <c r="Y228" s="2" t="s">
        <v>231</v>
      </c>
      <c r="Z228" s="4"/>
      <c r="AA228" s="4">
        <f>=ROUNDDOWN({0},0)</f>
      </c>
      <c r="AB228" s="5"/>
      <c r="AC228" s="2" t="s">
        <v>1556</v>
      </c>
      <c r="AD228" s="4">
        <v>400</v>
      </c>
      <c r="AE228" s="4">
        <v>400</v>
      </c>
      <c r="AF228" s="6">
        <v>66</v>
      </c>
      <c r="AG228" s="6"/>
      <c r="AH228" s="7">
        <v>0</v>
      </c>
      <c r="AI228" s="4"/>
      <c r="AJ228" s="4">
        <f>=ROUNDDOWN({0},0)</f>
      </c>
      <c r="AK228" s="5"/>
      <c r="AL228" s="2" t="s">
        <v>231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231</v>
      </c>
      <c r="BD228" s="8" t="s">
        <v>231</v>
      </c>
      <c r="BE228" s="4" t="s">
        <v>231</v>
      </c>
      <c r="BF228" s="8" t="s">
        <v>231</v>
      </c>
      <c r="BG228" s="7" t="s">
        <v>231</v>
      </c>
      <c r="BH228" s="7" t="s">
        <v>231</v>
      </c>
      <c r="BI228" s="7"/>
      <c r="BJ228" s="4"/>
      <c r="BK228" s="8"/>
      <c r="BL228" s="2" t="s">
        <v>231</v>
      </c>
      <c r="BM228" s="7"/>
      <c r="BN228" s="7"/>
      <c r="BO228" s="4"/>
      <c r="BP228" s="8"/>
      <c r="BQ228" s="4"/>
      <c r="BR228" s="8"/>
      <c r="BS228" s="7"/>
      <c r="BT228" s="7"/>
      <c r="BU228" s="2" t="s">
        <v>241</v>
      </c>
      <c r="BV228" s="2" t="s">
        <v>231</v>
      </c>
      <c r="BW228" s="2" t="s">
        <v>231</v>
      </c>
      <c r="BX228" s="2" t="s">
        <v>241</v>
      </c>
      <c r="BY228" s="2" t="s">
        <v>242</v>
      </c>
      <c r="BZ228" s="2" t="s">
        <v>243</v>
      </c>
      <c r="CA228" s="2" t="s">
        <v>231</v>
      </c>
      <c r="CB228" s="2" t="s">
        <v>231</v>
      </c>
      <c r="CC228" s="2" t="s">
        <v>244</v>
      </c>
      <c r="CD228" s="2" t="s">
        <v>231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>
        <v>400</v>
      </c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</row>
    <row r="229">
      <c r="A229" s="2" t="s">
        <v>1562</v>
      </c>
      <c r="B229" s="2" t="s">
        <v>226</v>
      </c>
      <c r="C229" s="2" t="s">
        <v>1548</v>
      </c>
      <c r="D229" s="2" t="s">
        <v>1549</v>
      </c>
      <c r="E229" s="2" t="s">
        <v>1550</v>
      </c>
      <c r="F229" s="2" t="s">
        <v>1551</v>
      </c>
      <c r="G229" s="2" t="s">
        <v>1552</v>
      </c>
      <c r="H229" s="2" t="s">
        <v>1552</v>
      </c>
      <c r="I229" s="2" t="s">
        <v>1553</v>
      </c>
      <c r="J229" s="2" t="s">
        <v>1554</v>
      </c>
      <c r="K229" s="2" t="s">
        <v>1563</v>
      </c>
      <c r="L229" s="3">
        <v>33.33</v>
      </c>
      <c r="M229" s="3">
        <v>35</v>
      </c>
      <c r="N229" s="3">
        <v>69.99</v>
      </c>
      <c r="O229" s="2" t="s">
        <v>243</v>
      </c>
      <c r="P229" s="2" t="s">
        <v>295</v>
      </c>
      <c r="Q229" s="2" t="s">
        <v>237</v>
      </c>
      <c r="R229" s="2" t="s">
        <v>231</v>
      </c>
      <c r="S229" s="2" t="s">
        <v>1564</v>
      </c>
      <c r="T229" s="2" t="s">
        <v>1432</v>
      </c>
      <c r="U229" s="2" t="s">
        <v>327</v>
      </c>
      <c r="V229" s="2" t="s">
        <v>987</v>
      </c>
      <c r="W229" s="2" t="s">
        <v>691</v>
      </c>
      <c r="X229" s="2" t="s">
        <v>231</v>
      </c>
      <c r="Y229" s="2" t="s">
        <v>231</v>
      </c>
      <c r="Z229" s="4"/>
      <c r="AA229" s="4">
        <f>=ROUNDDOWN({0},0)</f>
      </c>
      <c r="AB229" s="5"/>
      <c r="AC229" s="2" t="s">
        <v>1556</v>
      </c>
      <c r="AD229" s="4">
        <v>280</v>
      </c>
      <c r="AE229" s="4">
        <v>280</v>
      </c>
      <c r="AF229" s="6">
        <v>66</v>
      </c>
      <c r="AG229" s="6"/>
      <c r="AH229" s="7">
        <v>0</v>
      </c>
      <c r="AI229" s="4"/>
      <c r="AJ229" s="4">
        <f>=ROUNDDOWN({0},0)</f>
      </c>
      <c r="AK229" s="5"/>
      <c r="AL229" s="2" t="s">
        <v>231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231</v>
      </c>
      <c r="BD229" s="8" t="s">
        <v>231</v>
      </c>
      <c r="BE229" s="4" t="s">
        <v>231</v>
      </c>
      <c r="BF229" s="8" t="s">
        <v>231</v>
      </c>
      <c r="BG229" s="7" t="s">
        <v>231</v>
      </c>
      <c r="BH229" s="7" t="s">
        <v>231</v>
      </c>
      <c r="BI229" s="7"/>
      <c r="BJ229" s="4"/>
      <c r="BK229" s="8"/>
      <c r="BL229" s="2" t="s">
        <v>231</v>
      </c>
      <c r="BM229" s="7"/>
      <c r="BN229" s="7"/>
      <c r="BO229" s="4"/>
      <c r="BP229" s="8"/>
      <c r="BQ229" s="4"/>
      <c r="BR229" s="8"/>
      <c r="BS229" s="7"/>
      <c r="BT229" s="7"/>
      <c r="BU229" s="2" t="s">
        <v>241</v>
      </c>
      <c r="BV229" s="2" t="s">
        <v>231</v>
      </c>
      <c r="BW229" s="2" t="s">
        <v>231</v>
      </c>
      <c r="BX229" s="2" t="s">
        <v>241</v>
      </c>
      <c r="BY229" s="2" t="s">
        <v>242</v>
      </c>
      <c r="BZ229" s="2" t="s">
        <v>243</v>
      </c>
      <c r="CA229" s="2" t="s">
        <v>231</v>
      </c>
      <c r="CB229" s="2" t="s">
        <v>231</v>
      </c>
      <c r="CC229" s="2" t="s">
        <v>244</v>
      </c>
      <c r="CD229" s="2" t="s">
        <v>231</v>
      </c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>
        <v>280</v>
      </c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</row>
    <row r="230">
      <c r="A230" s="2" t="s">
        <v>1565</v>
      </c>
      <c r="B230" s="2" t="s">
        <v>226</v>
      </c>
      <c r="C230" s="2" t="s">
        <v>1548</v>
      </c>
      <c r="D230" s="2" t="s">
        <v>1549</v>
      </c>
      <c r="E230" s="2" t="s">
        <v>1550</v>
      </c>
      <c r="F230" s="2" t="s">
        <v>1551</v>
      </c>
      <c r="G230" s="2" t="s">
        <v>1552</v>
      </c>
      <c r="H230" s="2" t="s">
        <v>1552</v>
      </c>
      <c r="I230" s="2" t="s">
        <v>1553</v>
      </c>
      <c r="J230" s="2" t="s">
        <v>1554</v>
      </c>
      <c r="K230" s="2" t="s">
        <v>253</v>
      </c>
      <c r="L230" s="3">
        <v>33.33</v>
      </c>
      <c r="M230" s="3">
        <v>35</v>
      </c>
      <c r="N230" s="3">
        <v>69.99</v>
      </c>
      <c r="O230" s="2" t="s">
        <v>243</v>
      </c>
      <c r="P230" s="2" t="s">
        <v>295</v>
      </c>
      <c r="Q230" s="2" t="s">
        <v>237</v>
      </c>
      <c r="R230" s="2" t="s">
        <v>231</v>
      </c>
      <c r="S230" s="2" t="s">
        <v>1566</v>
      </c>
      <c r="T230" s="2" t="s">
        <v>1432</v>
      </c>
      <c r="U230" s="2" t="s">
        <v>327</v>
      </c>
      <c r="V230" s="2" t="s">
        <v>239</v>
      </c>
      <c r="W230" s="2" t="s">
        <v>273</v>
      </c>
      <c r="X230" s="2" t="s">
        <v>231</v>
      </c>
      <c r="Y230" s="2" t="s">
        <v>231</v>
      </c>
      <c r="Z230" s="4"/>
      <c r="AA230" s="4">
        <f>=ROUNDDOWN({0},0)</f>
      </c>
      <c r="AB230" s="5"/>
      <c r="AC230" s="2" t="s">
        <v>1556</v>
      </c>
      <c r="AD230" s="4">
        <v>400</v>
      </c>
      <c r="AE230" s="4">
        <v>400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231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231</v>
      </c>
      <c r="BD230" s="8" t="s">
        <v>231</v>
      </c>
      <c r="BE230" s="4" t="s">
        <v>231</v>
      </c>
      <c r="BF230" s="8" t="s">
        <v>231</v>
      </c>
      <c r="BG230" s="7" t="s">
        <v>231</v>
      </c>
      <c r="BH230" s="7" t="s">
        <v>231</v>
      </c>
      <c r="BI230" s="7"/>
      <c r="BJ230" s="4"/>
      <c r="BK230" s="8"/>
      <c r="BL230" s="2" t="s">
        <v>231</v>
      </c>
      <c r="BM230" s="7"/>
      <c r="BN230" s="7"/>
      <c r="BO230" s="4"/>
      <c r="BP230" s="8"/>
      <c r="BQ230" s="4"/>
      <c r="BR230" s="8"/>
      <c r="BS230" s="7"/>
      <c r="BT230" s="7"/>
      <c r="BU230" s="2" t="s">
        <v>241</v>
      </c>
      <c r="BV230" s="2" t="s">
        <v>231</v>
      </c>
      <c r="BW230" s="2" t="s">
        <v>231</v>
      </c>
      <c r="BX230" s="2" t="s">
        <v>241</v>
      </c>
      <c r="BY230" s="2" t="s">
        <v>242</v>
      </c>
      <c r="BZ230" s="2" t="s">
        <v>243</v>
      </c>
      <c r="CA230" s="2" t="s">
        <v>231</v>
      </c>
      <c r="CB230" s="2" t="s">
        <v>231</v>
      </c>
      <c r="CC230" s="2" t="s">
        <v>244</v>
      </c>
      <c r="CD230" s="2" t="s">
        <v>231</v>
      </c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>
        <v>400</v>
      </c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</row>
    <row r="231">
      <c r="A231" s="2" t="s">
        <v>1567</v>
      </c>
      <c r="B231" s="2" t="s">
        <v>226</v>
      </c>
      <c r="C231" s="2" t="s">
        <v>1548</v>
      </c>
      <c r="D231" s="2" t="s">
        <v>1549</v>
      </c>
      <c r="E231" s="2" t="s">
        <v>1550</v>
      </c>
      <c r="F231" s="2" t="s">
        <v>1551</v>
      </c>
      <c r="G231" s="2" t="s">
        <v>1552</v>
      </c>
      <c r="H231" s="2" t="s">
        <v>1552</v>
      </c>
      <c r="I231" s="2" t="s">
        <v>1553</v>
      </c>
      <c r="J231" s="2" t="s">
        <v>1554</v>
      </c>
      <c r="K231" s="2" t="s">
        <v>1568</v>
      </c>
      <c r="L231" s="3">
        <v>33.33</v>
      </c>
      <c r="M231" s="3">
        <v>35</v>
      </c>
      <c r="N231" s="3">
        <v>69.99</v>
      </c>
      <c r="O231" s="2" t="s">
        <v>243</v>
      </c>
      <c r="P231" s="2" t="s">
        <v>295</v>
      </c>
      <c r="Q231" s="2" t="s">
        <v>237</v>
      </c>
      <c r="R231" s="2" t="s">
        <v>231</v>
      </c>
      <c r="S231" s="2" t="s">
        <v>1569</v>
      </c>
      <c r="T231" s="2" t="s">
        <v>1432</v>
      </c>
      <c r="U231" s="2" t="s">
        <v>327</v>
      </c>
      <c r="V231" s="2" t="s">
        <v>987</v>
      </c>
      <c r="W231" s="2" t="s">
        <v>691</v>
      </c>
      <c r="X231" s="2" t="s">
        <v>231</v>
      </c>
      <c r="Y231" s="2" t="s">
        <v>231</v>
      </c>
      <c r="Z231" s="4"/>
      <c r="AA231" s="4">
        <f>=ROUNDDOWN({0},0)</f>
      </c>
      <c r="AB231" s="5"/>
      <c r="AC231" s="2" t="s">
        <v>1556</v>
      </c>
      <c r="AD231" s="4">
        <v>360</v>
      </c>
      <c r="AE231" s="4">
        <v>360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231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231</v>
      </c>
      <c r="BD231" s="8" t="s">
        <v>231</v>
      </c>
      <c r="BE231" s="4" t="s">
        <v>231</v>
      </c>
      <c r="BF231" s="8" t="s">
        <v>231</v>
      </c>
      <c r="BG231" s="7" t="s">
        <v>231</v>
      </c>
      <c r="BH231" s="7" t="s">
        <v>231</v>
      </c>
      <c r="BI231" s="7"/>
      <c r="BJ231" s="4"/>
      <c r="BK231" s="8"/>
      <c r="BL231" s="2" t="s">
        <v>231</v>
      </c>
      <c r="BM231" s="7"/>
      <c r="BN231" s="7"/>
      <c r="BO231" s="4"/>
      <c r="BP231" s="8"/>
      <c r="BQ231" s="4"/>
      <c r="BR231" s="8"/>
      <c r="BS231" s="7"/>
      <c r="BT231" s="7"/>
      <c r="BU231" s="2" t="s">
        <v>241</v>
      </c>
      <c r="BV231" s="2" t="s">
        <v>231</v>
      </c>
      <c r="BW231" s="2" t="s">
        <v>231</v>
      </c>
      <c r="BX231" s="2" t="s">
        <v>241</v>
      </c>
      <c r="BY231" s="2" t="s">
        <v>242</v>
      </c>
      <c r="BZ231" s="2" t="s">
        <v>243</v>
      </c>
      <c r="CA231" s="2" t="s">
        <v>231</v>
      </c>
      <c r="CB231" s="2" t="s">
        <v>231</v>
      </c>
      <c r="CC231" s="2" t="s">
        <v>244</v>
      </c>
      <c r="CD231" s="2" t="s">
        <v>231</v>
      </c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>
        <v>360</v>
      </c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</row>
    <row r="232">
      <c r="A232" s="2" t="s">
        <v>1570</v>
      </c>
      <c r="B232" s="2" t="s">
        <v>226</v>
      </c>
      <c r="C232" s="2" t="s">
        <v>1548</v>
      </c>
      <c r="D232" s="2" t="s">
        <v>1549</v>
      </c>
      <c r="E232" s="2" t="s">
        <v>1550</v>
      </c>
      <c r="F232" s="2" t="s">
        <v>1551</v>
      </c>
      <c r="G232" s="2" t="s">
        <v>1552</v>
      </c>
      <c r="H232" s="2" t="s">
        <v>1552</v>
      </c>
      <c r="I232" s="2" t="s">
        <v>1553</v>
      </c>
      <c r="J232" s="2" t="s">
        <v>1554</v>
      </c>
      <c r="K232" s="2" t="s">
        <v>306</v>
      </c>
      <c r="L232" s="3">
        <v>33.33</v>
      </c>
      <c r="M232" s="3">
        <v>35</v>
      </c>
      <c r="N232" s="3">
        <v>69.99</v>
      </c>
      <c r="O232" s="2" t="s">
        <v>243</v>
      </c>
      <c r="P232" s="2" t="s">
        <v>295</v>
      </c>
      <c r="Q232" s="2" t="s">
        <v>237</v>
      </c>
      <c r="R232" s="2" t="s">
        <v>231</v>
      </c>
      <c r="S232" s="2" t="s">
        <v>1571</v>
      </c>
      <c r="T232" s="2" t="s">
        <v>1432</v>
      </c>
      <c r="U232" s="2" t="s">
        <v>327</v>
      </c>
      <c r="V232" s="2" t="s">
        <v>239</v>
      </c>
      <c r="W232" s="2" t="s">
        <v>273</v>
      </c>
      <c r="X232" s="2" t="s">
        <v>231</v>
      </c>
      <c r="Y232" s="2" t="s">
        <v>231</v>
      </c>
      <c r="Z232" s="4"/>
      <c r="AA232" s="4">
        <f>=ROUNDDOWN({0},0)</f>
      </c>
      <c r="AB232" s="5"/>
      <c r="AC232" s="2" t="s">
        <v>1556</v>
      </c>
      <c r="AD232" s="4">
        <v>280</v>
      </c>
      <c r="AE232" s="4">
        <v>280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231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231</v>
      </c>
      <c r="BD232" s="8" t="s">
        <v>231</v>
      </c>
      <c r="BE232" s="4" t="s">
        <v>231</v>
      </c>
      <c r="BF232" s="8" t="s">
        <v>231</v>
      </c>
      <c r="BG232" s="7" t="s">
        <v>231</v>
      </c>
      <c r="BH232" s="7" t="s">
        <v>231</v>
      </c>
      <c r="BI232" s="7"/>
      <c r="BJ232" s="4"/>
      <c r="BK232" s="8"/>
      <c r="BL232" s="2" t="s">
        <v>231</v>
      </c>
      <c r="BM232" s="7"/>
      <c r="BN232" s="7"/>
      <c r="BO232" s="4"/>
      <c r="BP232" s="8"/>
      <c r="BQ232" s="4"/>
      <c r="BR232" s="8"/>
      <c r="BS232" s="7"/>
      <c r="BT232" s="7"/>
      <c r="BU232" s="2" t="s">
        <v>241</v>
      </c>
      <c r="BV232" s="2" t="s">
        <v>231</v>
      </c>
      <c r="BW232" s="2" t="s">
        <v>231</v>
      </c>
      <c r="BX232" s="2" t="s">
        <v>241</v>
      </c>
      <c r="BY232" s="2" t="s">
        <v>242</v>
      </c>
      <c r="BZ232" s="2" t="s">
        <v>243</v>
      </c>
      <c r="CA232" s="2" t="s">
        <v>231</v>
      </c>
      <c r="CB232" s="2" t="s">
        <v>231</v>
      </c>
      <c r="CC232" s="2" t="s">
        <v>244</v>
      </c>
      <c r="CD232" s="2" t="s">
        <v>231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>
        <v>280</v>
      </c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</row>
    <row r="233">
      <c r="A233" s="2" t="s">
        <v>1572</v>
      </c>
      <c r="B233" s="2" t="s">
        <v>992</v>
      </c>
      <c r="C233" s="2" t="s">
        <v>288</v>
      </c>
      <c r="D233" s="2" t="s">
        <v>993</v>
      </c>
      <c r="E233" s="2" t="s">
        <v>994</v>
      </c>
      <c r="F233" s="2" t="s">
        <v>1573</v>
      </c>
      <c r="G233" s="2" t="s">
        <v>1574</v>
      </c>
      <c r="H233" s="2" t="s">
        <v>1575</v>
      </c>
      <c r="I233" s="2" t="s">
        <v>1576</v>
      </c>
      <c r="J233" s="2" t="s">
        <v>996</v>
      </c>
      <c r="K233" s="2" t="s">
        <v>1491</v>
      </c>
      <c r="L233" s="3">
        <v>18.24</v>
      </c>
      <c r="M233" s="3">
        <v>19.15</v>
      </c>
      <c r="N233" s="3">
        <v>37.99</v>
      </c>
      <c r="O233" s="2" t="s">
        <v>243</v>
      </c>
      <c r="P233" s="2" t="s">
        <v>270</v>
      </c>
      <c r="Q233" s="2" t="s">
        <v>237</v>
      </c>
      <c r="R233" s="2" t="s">
        <v>231</v>
      </c>
      <c r="S233" s="2" t="s">
        <v>1577</v>
      </c>
      <c r="T233" s="2" t="s">
        <v>231</v>
      </c>
      <c r="U233" s="2" t="s">
        <v>327</v>
      </c>
      <c r="V233" s="2" t="s">
        <v>1304</v>
      </c>
      <c r="W233" s="2" t="s">
        <v>1578</v>
      </c>
      <c r="X233" s="2" t="s">
        <v>1520</v>
      </c>
      <c r="Y233" s="2" t="s">
        <v>1579</v>
      </c>
      <c r="Z233" s="4">
        <v>321</v>
      </c>
      <c r="AA233" s="4">
        <f>=ROUNDDOWN(12.3461538461538,0)</f>
      </c>
      <c r="AB233" s="5">
        <v>26</v>
      </c>
      <c r="AC233" s="2" t="s">
        <v>1580</v>
      </c>
      <c r="AD233" s="4">
        <v>200</v>
      </c>
      <c r="AE233" s="4">
        <v>460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231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231</v>
      </c>
      <c r="AW233" s="8" t="s">
        <v>231</v>
      </c>
      <c r="AX233" s="4" t="s">
        <v>231</v>
      </c>
      <c r="AY233" s="8" t="s">
        <v>231</v>
      </c>
      <c r="AZ233" s="7" t="s">
        <v>231</v>
      </c>
      <c r="BA233" s="7" t="s">
        <v>231</v>
      </c>
      <c r="BB233" s="7"/>
      <c r="BC233" s="4" t="s">
        <v>231</v>
      </c>
      <c r="BD233" s="8" t="s">
        <v>231</v>
      </c>
      <c r="BE233" s="4" t="s">
        <v>231</v>
      </c>
      <c r="BF233" s="8" t="s">
        <v>231</v>
      </c>
      <c r="BG233" s="7" t="s">
        <v>231</v>
      </c>
      <c r="BH233" s="7" t="s">
        <v>231</v>
      </c>
      <c r="BI233" s="7"/>
      <c r="BJ233" s="4">
        <v>19</v>
      </c>
      <c r="BK233" s="8">
        <v>383.13</v>
      </c>
      <c r="BL233" s="2" t="s">
        <v>1581</v>
      </c>
      <c r="BM233" s="7"/>
      <c r="BN233" s="7"/>
      <c r="BO233" s="4"/>
      <c r="BP233" s="8"/>
      <c r="BQ233" s="4"/>
      <c r="BR233" s="8"/>
      <c r="BS233" s="7"/>
      <c r="BT233" s="7"/>
      <c r="BU233" s="2" t="s">
        <v>1582</v>
      </c>
      <c r="BV233" s="2" t="s">
        <v>231</v>
      </c>
      <c r="BW233" s="2" t="s">
        <v>231</v>
      </c>
      <c r="BX233" s="2" t="s">
        <v>241</v>
      </c>
      <c r="BY233" s="2" t="s">
        <v>277</v>
      </c>
      <c r="BZ233" s="2" t="s">
        <v>243</v>
      </c>
      <c r="CA233" s="2" t="s">
        <v>1583</v>
      </c>
      <c r="CB233" s="2" t="s">
        <v>231</v>
      </c>
      <c r="CC233" s="2" t="s">
        <v>244</v>
      </c>
      <c r="CD233" s="2" t="s">
        <v>231</v>
      </c>
      <c r="CE233" s="4">
        <v>321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>
        <v>200</v>
      </c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>
        <v>260</v>
      </c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</row>
    <row r="234">
      <c r="A234" s="2" t="s">
        <v>1584</v>
      </c>
      <c r="B234" s="2" t="s">
        <v>992</v>
      </c>
      <c r="C234" s="2" t="s">
        <v>288</v>
      </c>
      <c r="D234" s="2" t="s">
        <v>993</v>
      </c>
      <c r="E234" s="2" t="s">
        <v>994</v>
      </c>
      <c r="F234" s="2" t="s">
        <v>1573</v>
      </c>
      <c r="G234" s="2" t="s">
        <v>1574</v>
      </c>
      <c r="H234" s="2" t="s">
        <v>1575</v>
      </c>
      <c r="I234" s="2" t="s">
        <v>1585</v>
      </c>
      <c r="J234" s="2" t="s">
        <v>1586</v>
      </c>
      <c r="K234" s="2" t="s">
        <v>1491</v>
      </c>
      <c r="L234" s="3">
        <v>20.21</v>
      </c>
      <c r="M234" s="3">
        <v>21.22</v>
      </c>
      <c r="N234" s="3">
        <v>42.99</v>
      </c>
      <c r="O234" s="2" t="s">
        <v>243</v>
      </c>
      <c r="P234" s="2" t="s">
        <v>270</v>
      </c>
      <c r="Q234" s="2" t="s">
        <v>237</v>
      </c>
      <c r="R234" s="2" t="s">
        <v>231</v>
      </c>
      <c r="S234" s="2" t="s">
        <v>1577</v>
      </c>
      <c r="T234" s="2" t="s">
        <v>231</v>
      </c>
      <c r="U234" s="2" t="s">
        <v>327</v>
      </c>
      <c r="V234" s="2" t="s">
        <v>1304</v>
      </c>
      <c r="W234" s="2" t="s">
        <v>1578</v>
      </c>
      <c r="X234" s="2" t="s">
        <v>1520</v>
      </c>
      <c r="Y234" s="2" t="s">
        <v>1587</v>
      </c>
      <c r="Z234" s="4">
        <v>1034</v>
      </c>
      <c r="AA234" s="4">
        <f>=ROUNDDOWN(36.9285714285714,0)</f>
      </c>
      <c r="AB234" s="5">
        <v>28</v>
      </c>
      <c r="AC234" s="2" t="s">
        <v>231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231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231</v>
      </c>
      <c r="AW234" s="8" t="s">
        <v>231</v>
      </c>
      <c r="AX234" s="4" t="s">
        <v>231</v>
      </c>
      <c r="AY234" s="8" t="s">
        <v>231</v>
      </c>
      <c r="AZ234" s="7" t="s">
        <v>231</v>
      </c>
      <c r="BA234" s="7" t="s">
        <v>231</v>
      </c>
      <c r="BB234" s="7"/>
      <c r="BC234" s="4" t="s">
        <v>231</v>
      </c>
      <c r="BD234" s="8" t="s">
        <v>231</v>
      </c>
      <c r="BE234" s="4" t="s">
        <v>231</v>
      </c>
      <c r="BF234" s="8" t="s">
        <v>231</v>
      </c>
      <c r="BG234" s="7" t="s">
        <v>231</v>
      </c>
      <c r="BH234" s="7" t="s">
        <v>231</v>
      </c>
      <c r="BI234" s="7"/>
      <c r="BJ234" s="4">
        <v>105</v>
      </c>
      <c r="BK234" s="8">
        <v>2201.21</v>
      </c>
      <c r="BL234" s="2" t="s">
        <v>1588</v>
      </c>
      <c r="BM234" s="7"/>
      <c r="BN234" s="7"/>
      <c r="BO234" s="4"/>
      <c r="BP234" s="8"/>
      <c r="BQ234" s="4"/>
      <c r="BR234" s="8"/>
      <c r="BS234" s="7"/>
      <c r="BT234" s="7"/>
      <c r="BU234" s="2" t="s">
        <v>1589</v>
      </c>
      <c r="BV234" s="2" t="s">
        <v>231</v>
      </c>
      <c r="BW234" s="2" t="s">
        <v>231</v>
      </c>
      <c r="BX234" s="2" t="s">
        <v>241</v>
      </c>
      <c r="BY234" s="2" t="s">
        <v>277</v>
      </c>
      <c r="BZ234" s="2" t="s">
        <v>243</v>
      </c>
      <c r="CA234" s="2" t="s">
        <v>1583</v>
      </c>
      <c r="CB234" s="2" t="s">
        <v>822</v>
      </c>
      <c r="CC234" s="2" t="s">
        <v>244</v>
      </c>
      <c r="CD234" s="2" t="s">
        <v>231</v>
      </c>
      <c r="CE234" s="4">
        <v>1034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</row>
    <row r="235">
      <c r="A235" s="2" t="s">
        <v>1590</v>
      </c>
      <c r="B235" s="2" t="s">
        <v>992</v>
      </c>
      <c r="C235" s="2" t="s">
        <v>288</v>
      </c>
      <c r="D235" s="2" t="s">
        <v>993</v>
      </c>
      <c r="E235" s="2" t="s">
        <v>994</v>
      </c>
      <c r="F235" s="2" t="s">
        <v>1573</v>
      </c>
      <c r="G235" s="2" t="s">
        <v>1574</v>
      </c>
      <c r="H235" s="2" t="s">
        <v>1575</v>
      </c>
      <c r="I235" s="2" t="s">
        <v>1585</v>
      </c>
      <c r="J235" s="2" t="s">
        <v>996</v>
      </c>
      <c r="K235" s="2" t="s">
        <v>253</v>
      </c>
      <c r="L235" s="3">
        <v>17.48</v>
      </c>
      <c r="M235" s="3">
        <v>18.35</v>
      </c>
      <c r="N235" s="3">
        <v>37.99</v>
      </c>
      <c r="O235" s="2" t="s">
        <v>243</v>
      </c>
      <c r="P235" s="2" t="s">
        <v>270</v>
      </c>
      <c r="Q235" s="2" t="s">
        <v>237</v>
      </c>
      <c r="R235" s="2" t="s">
        <v>231</v>
      </c>
      <c r="S235" s="2" t="s">
        <v>1591</v>
      </c>
      <c r="T235" s="2" t="s">
        <v>231</v>
      </c>
      <c r="U235" s="2" t="s">
        <v>327</v>
      </c>
      <c r="V235" s="2" t="s">
        <v>1304</v>
      </c>
      <c r="W235" s="2" t="s">
        <v>1578</v>
      </c>
      <c r="X235" s="2" t="s">
        <v>1520</v>
      </c>
      <c r="Y235" s="2" t="s">
        <v>1587</v>
      </c>
      <c r="Z235" s="4">
        <v>1180</v>
      </c>
      <c r="AA235" s="4">
        <f>=ROUNDDOWN(107.272727272727,0)</f>
      </c>
      <c r="AB235" s="5">
        <v>11</v>
      </c>
      <c r="AC235" s="2" t="s">
        <v>231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231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231</v>
      </c>
      <c r="AW235" s="8" t="s">
        <v>231</v>
      </c>
      <c r="AX235" s="4" t="s">
        <v>231</v>
      </c>
      <c r="AY235" s="8" t="s">
        <v>231</v>
      </c>
      <c r="AZ235" s="7" t="s">
        <v>231</v>
      </c>
      <c r="BA235" s="7" t="s">
        <v>231</v>
      </c>
      <c r="BB235" s="7" t="s">
        <v>231</v>
      </c>
      <c r="BC235" s="4" t="s">
        <v>231</v>
      </c>
      <c r="BD235" s="8" t="s">
        <v>231</v>
      </c>
      <c r="BE235" s="4" t="s">
        <v>231</v>
      </c>
      <c r="BF235" s="8" t="s">
        <v>231</v>
      </c>
      <c r="BG235" s="7" t="s">
        <v>231</v>
      </c>
      <c r="BH235" s="7" t="s">
        <v>231</v>
      </c>
      <c r="BI235" s="7"/>
      <c r="BJ235" s="4">
        <v>52</v>
      </c>
      <c r="BK235" s="8">
        <v>932.24</v>
      </c>
      <c r="BL235" s="2" t="s">
        <v>365</v>
      </c>
      <c r="BM235" s="7"/>
      <c r="BN235" s="7"/>
      <c r="BO235" s="4"/>
      <c r="BP235" s="8"/>
      <c r="BQ235" s="4"/>
      <c r="BR235" s="8"/>
      <c r="BS235" s="7"/>
      <c r="BT235" s="7"/>
      <c r="BU235" s="2" t="s">
        <v>1592</v>
      </c>
      <c r="BV235" s="2" t="s">
        <v>231</v>
      </c>
      <c r="BW235" s="2" t="s">
        <v>231</v>
      </c>
      <c r="BX235" s="2" t="s">
        <v>241</v>
      </c>
      <c r="BY235" s="2" t="s">
        <v>277</v>
      </c>
      <c r="BZ235" s="2" t="s">
        <v>243</v>
      </c>
      <c r="CA235" s="2" t="s">
        <v>1583</v>
      </c>
      <c r="CB235" s="2" t="s">
        <v>1593</v>
      </c>
      <c r="CC235" s="2" t="s">
        <v>244</v>
      </c>
      <c r="CD235" s="2" t="s">
        <v>231</v>
      </c>
      <c r="CE235" s="4">
        <v>1180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</row>
    <row r="236">
      <c r="A236" s="2" t="s">
        <v>1594</v>
      </c>
      <c r="B236" s="2" t="s">
        <v>992</v>
      </c>
      <c r="C236" s="2" t="s">
        <v>288</v>
      </c>
      <c r="D236" s="2" t="s">
        <v>993</v>
      </c>
      <c r="E236" s="2" t="s">
        <v>994</v>
      </c>
      <c r="F236" s="2" t="s">
        <v>1573</v>
      </c>
      <c r="G236" s="2" t="s">
        <v>1574</v>
      </c>
      <c r="H236" s="2" t="s">
        <v>1575</v>
      </c>
      <c r="I236" s="2" t="s">
        <v>1576</v>
      </c>
      <c r="J236" s="2" t="s">
        <v>996</v>
      </c>
      <c r="K236" s="2" t="s">
        <v>253</v>
      </c>
      <c r="L236" s="3">
        <v>18.24</v>
      </c>
      <c r="M236" s="3">
        <v>19.15</v>
      </c>
      <c r="N236" s="3">
        <v>37.99</v>
      </c>
      <c r="O236" s="2" t="s">
        <v>243</v>
      </c>
      <c r="P236" s="2" t="s">
        <v>270</v>
      </c>
      <c r="Q236" s="2" t="s">
        <v>237</v>
      </c>
      <c r="R236" s="2" t="s">
        <v>231</v>
      </c>
      <c r="S236" s="2" t="s">
        <v>1591</v>
      </c>
      <c r="T236" s="2" t="s">
        <v>231</v>
      </c>
      <c r="U236" s="2" t="s">
        <v>327</v>
      </c>
      <c r="V236" s="2" t="s">
        <v>1304</v>
      </c>
      <c r="W236" s="2" t="s">
        <v>1578</v>
      </c>
      <c r="X236" s="2" t="s">
        <v>1520</v>
      </c>
      <c r="Y236" s="2" t="s">
        <v>1579</v>
      </c>
      <c r="Z236" s="4">
        <v>229</v>
      </c>
      <c r="AA236" s="4">
        <f>=ROUNDDOWN(45.8,0)</f>
      </c>
      <c r="AB236" s="5">
        <v>5</v>
      </c>
      <c r="AC236" s="2" t="s">
        <v>231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231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231</v>
      </c>
      <c r="AW236" s="8" t="s">
        <v>231</v>
      </c>
      <c r="AX236" s="4" t="s">
        <v>231</v>
      </c>
      <c r="AY236" s="8" t="s">
        <v>231</v>
      </c>
      <c r="AZ236" s="7" t="s">
        <v>231</v>
      </c>
      <c r="BA236" s="7" t="s">
        <v>231</v>
      </c>
      <c r="BB236" s="7" t="s">
        <v>231</v>
      </c>
      <c r="BC236" s="4" t="s">
        <v>231</v>
      </c>
      <c r="BD236" s="8" t="s">
        <v>231</v>
      </c>
      <c r="BE236" s="4" t="s">
        <v>231</v>
      </c>
      <c r="BF236" s="8" t="s">
        <v>231</v>
      </c>
      <c r="BG236" s="7" t="s">
        <v>231</v>
      </c>
      <c r="BH236" s="7" t="s">
        <v>231</v>
      </c>
      <c r="BI236" s="7"/>
      <c r="BJ236" s="4">
        <v>6</v>
      </c>
      <c r="BK236" s="8">
        <v>91.68</v>
      </c>
      <c r="BL236" s="2" t="s">
        <v>628</v>
      </c>
      <c r="BM236" s="7"/>
      <c r="BN236" s="7"/>
      <c r="BO236" s="4"/>
      <c r="BP236" s="8"/>
      <c r="BQ236" s="4"/>
      <c r="BR236" s="8"/>
      <c r="BS236" s="7"/>
      <c r="BT236" s="7"/>
      <c r="BU236" s="2" t="s">
        <v>1595</v>
      </c>
      <c r="BV236" s="2" t="s">
        <v>231</v>
      </c>
      <c r="BW236" s="2" t="s">
        <v>231</v>
      </c>
      <c r="BX236" s="2" t="s">
        <v>241</v>
      </c>
      <c r="BY236" s="2" t="s">
        <v>277</v>
      </c>
      <c r="BZ236" s="2" t="s">
        <v>243</v>
      </c>
      <c r="CA236" s="2" t="s">
        <v>1583</v>
      </c>
      <c r="CB236" s="2" t="s">
        <v>934</v>
      </c>
      <c r="CC236" s="2" t="s">
        <v>244</v>
      </c>
      <c r="CD236" s="2" t="s">
        <v>231</v>
      </c>
      <c r="CE236" s="4">
        <v>229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</row>
    <row r="237">
      <c r="A237" s="2" t="s">
        <v>1596</v>
      </c>
      <c r="B237" s="2" t="s">
        <v>992</v>
      </c>
      <c r="C237" s="2" t="s">
        <v>288</v>
      </c>
      <c r="D237" s="2" t="s">
        <v>993</v>
      </c>
      <c r="E237" s="2" t="s">
        <v>994</v>
      </c>
      <c r="F237" s="2" t="s">
        <v>1573</v>
      </c>
      <c r="G237" s="2" t="s">
        <v>1574</v>
      </c>
      <c r="H237" s="2" t="s">
        <v>1575</v>
      </c>
      <c r="I237" s="2" t="s">
        <v>1585</v>
      </c>
      <c r="J237" s="2" t="s">
        <v>1586</v>
      </c>
      <c r="K237" s="2" t="s">
        <v>253</v>
      </c>
      <c r="L237" s="3">
        <v>20.21</v>
      </c>
      <c r="M237" s="3">
        <v>21.22</v>
      </c>
      <c r="N237" s="3">
        <v>42.99</v>
      </c>
      <c r="O237" s="2" t="s">
        <v>243</v>
      </c>
      <c r="P237" s="2" t="s">
        <v>270</v>
      </c>
      <c r="Q237" s="2" t="s">
        <v>237</v>
      </c>
      <c r="R237" s="2" t="s">
        <v>231</v>
      </c>
      <c r="S237" s="2" t="s">
        <v>1591</v>
      </c>
      <c r="T237" s="2" t="s">
        <v>231</v>
      </c>
      <c r="U237" s="2" t="s">
        <v>327</v>
      </c>
      <c r="V237" s="2" t="s">
        <v>1304</v>
      </c>
      <c r="W237" s="2" t="s">
        <v>1578</v>
      </c>
      <c r="X237" s="2" t="s">
        <v>1520</v>
      </c>
      <c r="Y237" s="2" t="s">
        <v>1587</v>
      </c>
      <c r="Z237" s="4">
        <v>1098</v>
      </c>
      <c r="AA237" s="4">
        <f>=ROUNDDOWN(109.8,0)</f>
      </c>
      <c r="AB237" s="5">
        <v>10</v>
      </c>
      <c r="AC237" s="2" t="s">
        <v>231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231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231</v>
      </c>
      <c r="AW237" s="8" t="s">
        <v>231</v>
      </c>
      <c r="AX237" s="4" t="s">
        <v>231</v>
      </c>
      <c r="AY237" s="8" t="s">
        <v>231</v>
      </c>
      <c r="AZ237" s="7" t="s">
        <v>231</v>
      </c>
      <c r="BA237" s="7" t="s">
        <v>231</v>
      </c>
      <c r="BB237" s="7"/>
      <c r="BC237" s="4" t="s">
        <v>231</v>
      </c>
      <c r="BD237" s="8" t="s">
        <v>231</v>
      </c>
      <c r="BE237" s="4" t="s">
        <v>231</v>
      </c>
      <c r="BF237" s="8" t="s">
        <v>231</v>
      </c>
      <c r="BG237" s="7" t="s">
        <v>231</v>
      </c>
      <c r="BH237" s="7" t="s">
        <v>231</v>
      </c>
      <c r="BI237" s="7"/>
      <c r="BJ237" s="4">
        <v>48</v>
      </c>
      <c r="BK237" s="8">
        <v>873.31</v>
      </c>
      <c r="BL237" s="2" t="s">
        <v>365</v>
      </c>
      <c r="BM237" s="7"/>
      <c r="BN237" s="7"/>
      <c r="BO237" s="4"/>
      <c r="BP237" s="8"/>
      <c r="BQ237" s="4"/>
      <c r="BR237" s="8"/>
      <c r="BS237" s="7"/>
      <c r="BT237" s="7"/>
      <c r="BU237" s="2" t="s">
        <v>1597</v>
      </c>
      <c r="BV237" s="2" t="s">
        <v>231</v>
      </c>
      <c r="BW237" s="2" t="s">
        <v>231</v>
      </c>
      <c r="BX237" s="2" t="s">
        <v>241</v>
      </c>
      <c r="BY237" s="2" t="s">
        <v>277</v>
      </c>
      <c r="BZ237" s="2" t="s">
        <v>243</v>
      </c>
      <c r="CA237" s="2" t="s">
        <v>1583</v>
      </c>
      <c r="CB237" s="2" t="s">
        <v>1598</v>
      </c>
      <c r="CC237" s="2" t="s">
        <v>244</v>
      </c>
      <c r="CD237" s="2" t="s">
        <v>231</v>
      </c>
      <c r="CE237" s="4">
        <v>1098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</row>
    <row r="238">
      <c r="A238" s="2" t="s">
        <v>1599</v>
      </c>
      <c r="B238" s="2" t="s">
        <v>992</v>
      </c>
      <c r="C238" s="2" t="s">
        <v>288</v>
      </c>
      <c r="D238" s="2" t="s">
        <v>993</v>
      </c>
      <c r="E238" s="2" t="s">
        <v>994</v>
      </c>
      <c r="F238" s="2" t="s">
        <v>1573</v>
      </c>
      <c r="G238" s="2" t="s">
        <v>1574</v>
      </c>
      <c r="H238" s="2" t="s">
        <v>1575</v>
      </c>
      <c r="I238" s="2" t="s">
        <v>1576</v>
      </c>
      <c r="J238" s="2" t="s">
        <v>996</v>
      </c>
      <c r="K238" s="2" t="s">
        <v>1496</v>
      </c>
      <c r="L238" s="3">
        <v>18.24</v>
      </c>
      <c r="M238" s="3">
        <v>19.15</v>
      </c>
      <c r="N238" s="3">
        <v>37.99</v>
      </c>
      <c r="O238" s="2" t="s">
        <v>243</v>
      </c>
      <c r="P238" s="2" t="s">
        <v>270</v>
      </c>
      <c r="Q238" s="2" t="s">
        <v>237</v>
      </c>
      <c r="R238" s="2" t="s">
        <v>231</v>
      </c>
      <c r="S238" s="2" t="s">
        <v>1600</v>
      </c>
      <c r="T238" s="2" t="s">
        <v>231</v>
      </c>
      <c r="U238" s="2" t="s">
        <v>327</v>
      </c>
      <c r="V238" s="2" t="s">
        <v>1304</v>
      </c>
      <c r="W238" s="2" t="s">
        <v>273</v>
      </c>
      <c r="X238" s="2" t="s">
        <v>1520</v>
      </c>
      <c r="Y238" s="2" t="s">
        <v>1601</v>
      </c>
      <c r="Z238" s="4">
        <v>848</v>
      </c>
      <c r="AA238" s="4">
        <f>=ROUNDDOWN(23.5555555555556,0)</f>
      </c>
      <c r="AB238" s="5">
        <v>36</v>
      </c>
      <c r="AC238" s="2" t="s">
        <v>1128</v>
      </c>
      <c r="AD238" s="4">
        <v>220</v>
      </c>
      <c r="AE238" s="4">
        <v>620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231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231</v>
      </c>
      <c r="BD238" s="8" t="s">
        <v>231</v>
      </c>
      <c r="BE238" s="4" t="s">
        <v>231</v>
      </c>
      <c r="BF238" s="8" t="s">
        <v>231</v>
      </c>
      <c r="BG238" s="7" t="s">
        <v>231</v>
      </c>
      <c r="BH238" s="7" t="s">
        <v>231</v>
      </c>
      <c r="BI238" s="7"/>
      <c r="BJ238" s="4">
        <v>157</v>
      </c>
      <c r="BK238" s="8">
        <v>2932.49</v>
      </c>
      <c r="BL238" s="2" t="s">
        <v>1602</v>
      </c>
      <c r="BM238" s="7"/>
      <c r="BN238" s="7"/>
      <c r="BO238" s="4"/>
      <c r="BP238" s="8"/>
      <c r="BQ238" s="4"/>
      <c r="BR238" s="8"/>
      <c r="BS238" s="7"/>
      <c r="BT238" s="7"/>
      <c r="BU238" s="2" t="s">
        <v>1603</v>
      </c>
      <c r="BV238" s="2" t="s">
        <v>231</v>
      </c>
      <c r="BW238" s="2" t="s">
        <v>231</v>
      </c>
      <c r="BX238" s="2" t="s">
        <v>241</v>
      </c>
      <c r="BY238" s="2" t="s">
        <v>277</v>
      </c>
      <c r="BZ238" s="2" t="s">
        <v>243</v>
      </c>
      <c r="CA238" s="2" t="s">
        <v>1604</v>
      </c>
      <c r="CB238" s="2" t="s">
        <v>1605</v>
      </c>
      <c r="CC238" s="2" t="s">
        <v>244</v>
      </c>
      <c r="CD238" s="2" t="s">
        <v>231</v>
      </c>
      <c r="CE238" s="4">
        <v>844</v>
      </c>
      <c r="CF238" s="4"/>
      <c r="CG238" s="4"/>
      <c r="CH238" s="4"/>
      <c r="CI238" s="4"/>
      <c r="CJ238" s="4"/>
      <c r="CK238" s="4"/>
      <c r="CL238" s="4">
        <v>4</v>
      </c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>
        <v>220</v>
      </c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>
        <v>200</v>
      </c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>
        <v>200</v>
      </c>
      <c r="HF238" s="4"/>
      <c r="HG238" s="4"/>
      <c r="HH238" s="4"/>
      <c r="HI238" s="4"/>
      <c r="HJ238" s="4"/>
      <c r="HK238" s="4"/>
      <c r="HL238" s="4"/>
    </row>
    <row r="239">
      <c r="A239" s="2" t="s">
        <v>1606</v>
      </c>
      <c r="B239" s="2" t="s">
        <v>226</v>
      </c>
      <c r="C239" s="2" t="s">
        <v>913</v>
      </c>
      <c r="D239" s="2" t="s">
        <v>228</v>
      </c>
      <c r="E239" s="2" t="s">
        <v>229</v>
      </c>
      <c r="F239" s="2" t="s">
        <v>1607</v>
      </c>
      <c r="G239" s="2" t="s">
        <v>1607</v>
      </c>
      <c r="H239" s="2" t="s">
        <v>1607</v>
      </c>
      <c r="I239" s="2" t="s">
        <v>1608</v>
      </c>
      <c r="J239" s="2" t="s">
        <v>658</v>
      </c>
      <c r="K239" s="2" t="s">
        <v>253</v>
      </c>
      <c r="L239" s="3">
        <v>48.28</v>
      </c>
      <c r="M239" s="3">
        <v>50.69</v>
      </c>
      <c r="N239" s="3">
        <v>129.99</v>
      </c>
      <c r="O239" s="2" t="s">
        <v>243</v>
      </c>
      <c r="P239" s="2" t="s">
        <v>341</v>
      </c>
      <c r="Q239" s="2" t="s">
        <v>237</v>
      </c>
      <c r="R239" s="2" t="s">
        <v>231</v>
      </c>
      <c r="S239" s="2" t="s">
        <v>231</v>
      </c>
      <c r="T239" s="2" t="s">
        <v>362</v>
      </c>
      <c r="U239" s="2" t="s">
        <v>327</v>
      </c>
      <c r="V239" s="2" t="s">
        <v>239</v>
      </c>
      <c r="W239" s="2" t="s">
        <v>691</v>
      </c>
      <c r="X239" s="2" t="s">
        <v>231</v>
      </c>
      <c r="Y239" s="2" t="s">
        <v>1609</v>
      </c>
      <c r="Z239" s="4">
        <v>85</v>
      </c>
      <c r="AA239" s="4">
        <f>=ROUNDDOWN(42.5,0)</f>
      </c>
      <c r="AB239" s="5">
        <v>2</v>
      </c>
      <c r="AC239" s="2" t="s">
        <v>231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231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>
        <v>6</v>
      </c>
      <c r="BK239" s="8">
        <v>328.5</v>
      </c>
      <c r="BL239" s="2" t="s">
        <v>1423</v>
      </c>
      <c r="BM239" s="7"/>
      <c r="BN239" s="7"/>
      <c r="BO239" s="4"/>
      <c r="BP239" s="8"/>
      <c r="BQ239" s="4"/>
      <c r="BR239" s="8"/>
      <c r="BS239" s="7"/>
      <c r="BT239" s="7"/>
      <c r="BU239" s="2" t="s">
        <v>1610</v>
      </c>
      <c r="BV239" s="2" t="s">
        <v>231</v>
      </c>
      <c r="BW239" s="2" t="s">
        <v>231</v>
      </c>
      <c r="BX239" s="2" t="s">
        <v>1360</v>
      </c>
      <c r="BY239" s="2" t="s">
        <v>277</v>
      </c>
      <c r="BZ239" s="2" t="s">
        <v>243</v>
      </c>
      <c r="CA239" s="2" t="s">
        <v>1611</v>
      </c>
      <c r="CB239" s="2" t="s">
        <v>1612</v>
      </c>
      <c r="CC239" s="2" t="s">
        <v>244</v>
      </c>
      <c r="CD239" s="2" t="s">
        <v>231</v>
      </c>
      <c r="CE239" s="4">
        <v>85</v>
      </c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</row>
    <row r="240">
      <c r="A240" s="2" t="s">
        <v>1613</v>
      </c>
      <c r="B240" s="2" t="s">
        <v>1186</v>
      </c>
      <c r="C240" s="2" t="s">
        <v>1614</v>
      </c>
      <c r="D240" s="2" t="s">
        <v>826</v>
      </c>
      <c r="E240" s="2" t="s">
        <v>827</v>
      </c>
      <c r="F240" s="2" t="s">
        <v>1615</v>
      </c>
      <c r="G240" s="2" t="s">
        <v>1615</v>
      </c>
      <c r="H240" s="2" t="s">
        <v>1615</v>
      </c>
      <c r="I240" s="2" t="s">
        <v>1616</v>
      </c>
      <c r="J240" s="2" t="s">
        <v>658</v>
      </c>
      <c r="K240" s="2" t="s">
        <v>682</v>
      </c>
      <c r="L240" s="3">
        <v>68.09</v>
      </c>
      <c r="M240" s="3">
        <v>71.49</v>
      </c>
      <c r="N240" s="3">
        <v>199.99</v>
      </c>
      <c r="O240" s="2" t="s">
        <v>243</v>
      </c>
      <c r="P240" s="2" t="s">
        <v>341</v>
      </c>
      <c r="Q240" s="2" t="s">
        <v>237</v>
      </c>
      <c r="R240" s="2" t="s">
        <v>231</v>
      </c>
      <c r="S240" s="2" t="s">
        <v>231</v>
      </c>
      <c r="T240" s="2" t="s">
        <v>362</v>
      </c>
      <c r="U240" s="2" t="s">
        <v>231</v>
      </c>
      <c r="V240" s="2" t="s">
        <v>239</v>
      </c>
      <c r="W240" s="2" t="s">
        <v>273</v>
      </c>
      <c r="X240" s="2" t="s">
        <v>231</v>
      </c>
      <c r="Y240" s="2" t="s">
        <v>1617</v>
      </c>
      <c r="Z240" s="4">
        <v>136</v>
      </c>
      <c r="AA240" s="4">
        <f>=ROUNDDOWN(68,0)</f>
      </c>
      <c r="AB240" s="5">
        <v>2</v>
      </c>
      <c r="AC240" s="2" t="s">
        <v>231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231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231</v>
      </c>
      <c r="AW240" s="8" t="s">
        <v>231</v>
      </c>
      <c r="AX240" s="4" t="s">
        <v>231</v>
      </c>
      <c r="AY240" s="8" t="s">
        <v>231</v>
      </c>
      <c r="AZ240" s="7" t="s">
        <v>231</v>
      </c>
      <c r="BA240" s="7" t="s">
        <v>231</v>
      </c>
      <c r="BB240" s="7"/>
      <c r="BC240" s="4" t="s">
        <v>231</v>
      </c>
      <c r="BD240" s="8" t="s">
        <v>231</v>
      </c>
      <c r="BE240" s="4" t="s">
        <v>231</v>
      </c>
      <c r="BF240" s="8" t="s">
        <v>231</v>
      </c>
      <c r="BG240" s="7" t="s">
        <v>231</v>
      </c>
      <c r="BH240" s="7" t="s">
        <v>231</v>
      </c>
      <c r="BI240" s="7"/>
      <c r="BJ240" s="4">
        <v>6</v>
      </c>
      <c r="BK240" s="8">
        <v>240.24</v>
      </c>
      <c r="BL240" s="2" t="s">
        <v>1618</v>
      </c>
      <c r="BM240" s="7"/>
      <c r="BN240" s="7"/>
      <c r="BO240" s="4"/>
      <c r="BP240" s="8"/>
      <c r="BQ240" s="4"/>
      <c r="BR240" s="8"/>
      <c r="BS240" s="7"/>
      <c r="BT240" s="7"/>
      <c r="BU240" s="2" t="s">
        <v>1619</v>
      </c>
      <c r="BV240" s="2" t="s">
        <v>231</v>
      </c>
      <c r="BW240" s="2" t="s">
        <v>231</v>
      </c>
      <c r="BX240" s="2" t="s">
        <v>231</v>
      </c>
      <c r="BY240" s="2" t="s">
        <v>277</v>
      </c>
      <c r="BZ240" s="2" t="s">
        <v>243</v>
      </c>
      <c r="CA240" s="2" t="s">
        <v>1620</v>
      </c>
      <c r="CB240" s="2" t="s">
        <v>456</v>
      </c>
      <c r="CC240" s="2" t="s">
        <v>244</v>
      </c>
      <c r="CD240" s="2" t="s">
        <v>231</v>
      </c>
      <c r="CE240" s="4">
        <v>136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</row>
    <row r="241">
      <c r="A241" s="2" t="s">
        <v>1621</v>
      </c>
      <c r="B241" s="2" t="s">
        <v>1186</v>
      </c>
      <c r="C241" s="2" t="s">
        <v>1614</v>
      </c>
      <c r="D241" s="2" t="s">
        <v>826</v>
      </c>
      <c r="E241" s="2" t="s">
        <v>827</v>
      </c>
      <c r="F241" s="2" t="s">
        <v>1615</v>
      </c>
      <c r="G241" s="2" t="s">
        <v>1615</v>
      </c>
      <c r="H241" s="2" t="s">
        <v>1615</v>
      </c>
      <c r="I241" s="2" t="s">
        <v>1616</v>
      </c>
      <c r="J241" s="2" t="s">
        <v>669</v>
      </c>
      <c r="K241" s="2" t="s">
        <v>682</v>
      </c>
      <c r="L241" s="3">
        <v>85.12</v>
      </c>
      <c r="M241" s="3">
        <v>89.38</v>
      </c>
      <c r="N241" s="3">
        <v>249.99</v>
      </c>
      <c r="O241" s="2" t="s">
        <v>243</v>
      </c>
      <c r="P241" s="2" t="s">
        <v>341</v>
      </c>
      <c r="Q241" s="2" t="s">
        <v>237</v>
      </c>
      <c r="R241" s="2" t="s">
        <v>231</v>
      </c>
      <c r="S241" s="2" t="s">
        <v>231</v>
      </c>
      <c r="T241" s="2" t="s">
        <v>362</v>
      </c>
      <c r="U241" s="2" t="s">
        <v>231</v>
      </c>
      <c r="V241" s="2" t="s">
        <v>239</v>
      </c>
      <c r="W241" s="2" t="s">
        <v>273</v>
      </c>
      <c r="X241" s="2" t="s">
        <v>231</v>
      </c>
      <c r="Y241" s="2" t="s">
        <v>1617</v>
      </c>
      <c r="Z241" s="4">
        <v>67</v>
      </c>
      <c r="AA241" s="4">
        <f>=ROUNDDOWN(22.3333333333333,0)</f>
      </c>
      <c r="AB241" s="5">
        <v>3</v>
      </c>
      <c r="AC241" s="2" t="s">
        <v>231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231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231</v>
      </c>
      <c r="AW241" s="8" t="s">
        <v>231</v>
      </c>
      <c r="AX241" s="4" t="s">
        <v>231</v>
      </c>
      <c r="AY241" s="8" t="s">
        <v>231</v>
      </c>
      <c r="AZ241" s="7" t="s">
        <v>231</v>
      </c>
      <c r="BA241" s="7" t="s">
        <v>231</v>
      </c>
      <c r="BB241" s="7"/>
      <c r="BC241" s="4" t="s">
        <v>231</v>
      </c>
      <c r="BD241" s="8" t="s">
        <v>231</v>
      </c>
      <c r="BE241" s="4" t="s">
        <v>231</v>
      </c>
      <c r="BF241" s="8" t="s">
        <v>231</v>
      </c>
      <c r="BG241" s="7" t="s">
        <v>231</v>
      </c>
      <c r="BH241" s="7" t="s">
        <v>231</v>
      </c>
      <c r="BI241" s="7"/>
      <c r="BJ241" s="4">
        <v>16</v>
      </c>
      <c r="BK241" s="8">
        <v>800.8</v>
      </c>
      <c r="BL241" s="2" t="s">
        <v>1618</v>
      </c>
      <c r="BM241" s="7"/>
      <c r="BN241" s="7"/>
      <c r="BO241" s="4"/>
      <c r="BP241" s="8"/>
      <c r="BQ241" s="4"/>
      <c r="BR241" s="8"/>
      <c r="BS241" s="7"/>
      <c r="BT241" s="7"/>
      <c r="BU241" s="2" t="s">
        <v>1622</v>
      </c>
      <c r="BV241" s="2" t="s">
        <v>231</v>
      </c>
      <c r="BW241" s="2" t="s">
        <v>231</v>
      </c>
      <c r="BX241" s="2" t="s">
        <v>231</v>
      </c>
      <c r="BY241" s="2" t="s">
        <v>277</v>
      </c>
      <c r="BZ241" s="2" t="s">
        <v>243</v>
      </c>
      <c r="CA241" s="2" t="s">
        <v>1620</v>
      </c>
      <c r="CB241" s="2" t="s">
        <v>456</v>
      </c>
      <c r="CC241" s="2" t="s">
        <v>244</v>
      </c>
      <c r="CD241" s="2" t="s">
        <v>231</v>
      </c>
      <c r="CE241" s="4">
        <v>67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</row>
    <row r="242">
      <c r="A242" s="2" t="s">
        <v>1623</v>
      </c>
      <c r="B242" s="2" t="s">
        <v>226</v>
      </c>
      <c r="C242" s="2" t="s">
        <v>1299</v>
      </c>
      <c r="D242" s="2" t="s">
        <v>1624</v>
      </c>
      <c r="E242" s="2" t="s">
        <v>1625</v>
      </c>
      <c r="F242" s="2" t="s">
        <v>1626</v>
      </c>
      <c r="G242" s="2" t="s">
        <v>231</v>
      </c>
      <c r="H242" s="2" t="s">
        <v>231</v>
      </c>
      <c r="I242" s="2" t="s">
        <v>1627</v>
      </c>
      <c r="J242" s="2" t="s">
        <v>1628</v>
      </c>
      <c r="K242" s="2" t="s">
        <v>253</v>
      </c>
      <c r="L242" s="3">
        <v>16.1</v>
      </c>
      <c r="M242" s="3">
        <v>16.9</v>
      </c>
      <c r="N242" s="3">
        <v>34.99</v>
      </c>
      <c r="O242" s="2" t="s">
        <v>243</v>
      </c>
      <c r="P242" s="2" t="s">
        <v>341</v>
      </c>
      <c r="Q242" s="2" t="s">
        <v>237</v>
      </c>
      <c r="R242" s="2" t="s">
        <v>231</v>
      </c>
      <c r="S242" s="2" t="s">
        <v>1629</v>
      </c>
      <c r="T242" s="2" t="s">
        <v>1630</v>
      </c>
      <c r="U242" s="2" t="s">
        <v>231</v>
      </c>
      <c r="V242" s="2" t="s">
        <v>987</v>
      </c>
      <c r="W242" s="2" t="s">
        <v>897</v>
      </c>
      <c r="X242" s="2" t="s">
        <v>971</v>
      </c>
      <c r="Y242" s="2" t="s">
        <v>274</v>
      </c>
      <c r="Z242" s="4">
        <v>447</v>
      </c>
      <c r="AA242" s="4">
        <f>=ROUNDDOWN(37.25,0)</f>
      </c>
      <c r="AB242" s="5">
        <v>12</v>
      </c>
      <c r="AC242" s="2" t="s">
        <v>231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231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>
        <v>10</v>
      </c>
      <c r="BK242" s="8">
        <v>171.57</v>
      </c>
      <c r="BL242" s="2" t="s">
        <v>1631</v>
      </c>
      <c r="BM242" s="7"/>
      <c r="BN242" s="7"/>
      <c r="BO242" s="4"/>
      <c r="BP242" s="8"/>
      <c r="BQ242" s="4"/>
      <c r="BR242" s="8"/>
      <c r="BS242" s="7"/>
      <c r="BT242" s="7"/>
      <c r="BU242" s="2" t="s">
        <v>1632</v>
      </c>
      <c r="BV242" s="2" t="s">
        <v>231</v>
      </c>
      <c r="BW242" s="2" t="s">
        <v>231</v>
      </c>
      <c r="BX242" s="2" t="s">
        <v>1360</v>
      </c>
      <c r="BY242" s="2" t="s">
        <v>277</v>
      </c>
      <c r="BZ242" s="2" t="s">
        <v>243</v>
      </c>
      <c r="CA242" s="2" t="s">
        <v>1633</v>
      </c>
      <c r="CB242" s="2" t="s">
        <v>467</v>
      </c>
      <c r="CC242" s="2" t="s">
        <v>244</v>
      </c>
      <c r="CD242" s="2" t="s">
        <v>231</v>
      </c>
      <c r="CE242" s="4">
        <v>447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</row>
    <row r="243">
      <c r="A243" s="2" t="s">
        <v>1634</v>
      </c>
      <c r="B243" s="2" t="s">
        <v>1186</v>
      </c>
      <c r="C243" s="2" t="s">
        <v>288</v>
      </c>
      <c r="D243" s="2" t="s">
        <v>826</v>
      </c>
      <c r="E243" s="2" t="s">
        <v>1060</v>
      </c>
      <c r="F243" s="2" t="s">
        <v>1635</v>
      </c>
      <c r="G243" s="2" t="s">
        <v>1636</v>
      </c>
      <c r="H243" s="2" t="s">
        <v>1637</v>
      </c>
      <c r="I243" s="2" t="s">
        <v>1638</v>
      </c>
      <c r="J243" s="2" t="s">
        <v>669</v>
      </c>
      <c r="K243" s="2" t="s">
        <v>1146</v>
      </c>
      <c r="L243" s="3">
        <v>38.09</v>
      </c>
      <c r="M243" s="3">
        <v>39.99</v>
      </c>
      <c r="N243" s="3">
        <v>79.99</v>
      </c>
      <c r="O243" s="2" t="s">
        <v>243</v>
      </c>
      <c r="P243" s="2" t="s">
        <v>270</v>
      </c>
      <c r="Q243" s="2" t="s">
        <v>237</v>
      </c>
      <c r="R243" s="2" t="s">
        <v>231</v>
      </c>
      <c r="S243" s="2" t="s">
        <v>1639</v>
      </c>
      <c r="T243" s="2" t="s">
        <v>231</v>
      </c>
      <c r="U243" s="2" t="s">
        <v>835</v>
      </c>
      <c r="V243" s="2" t="s">
        <v>239</v>
      </c>
      <c r="W243" s="2" t="s">
        <v>792</v>
      </c>
      <c r="X243" s="2" t="s">
        <v>971</v>
      </c>
      <c r="Y243" s="2" t="s">
        <v>1640</v>
      </c>
      <c r="Z243" s="4">
        <v>129</v>
      </c>
      <c r="AA243" s="4">
        <f>=ROUNDDOWN(11.7272727272727,0)</f>
      </c>
      <c r="AB243" s="5">
        <v>11</v>
      </c>
      <c r="AC243" s="2" t="s">
        <v>1580</v>
      </c>
      <c r="AD243" s="4">
        <v>370</v>
      </c>
      <c r="AE243" s="4">
        <v>370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231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>
        <v>37</v>
      </c>
      <c r="BK243" s="8">
        <v>1311.23</v>
      </c>
      <c r="BL243" s="2" t="s">
        <v>1641</v>
      </c>
      <c r="BM243" s="7"/>
      <c r="BN243" s="7"/>
      <c r="BO243" s="4"/>
      <c r="BP243" s="8"/>
      <c r="BQ243" s="4"/>
      <c r="BR243" s="8"/>
      <c r="BS243" s="7"/>
      <c r="BT243" s="7"/>
      <c r="BU243" s="2" t="s">
        <v>1642</v>
      </c>
      <c r="BV243" s="2" t="s">
        <v>231</v>
      </c>
      <c r="BW243" s="2" t="s">
        <v>231</v>
      </c>
      <c r="BX243" s="2" t="s">
        <v>231</v>
      </c>
      <c r="BY243" s="2" t="s">
        <v>277</v>
      </c>
      <c r="BZ243" s="2" t="s">
        <v>243</v>
      </c>
      <c r="CA243" s="2" t="s">
        <v>1643</v>
      </c>
      <c r="CB243" s="2" t="s">
        <v>1644</v>
      </c>
      <c r="CC243" s="2" t="s">
        <v>244</v>
      </c>
      <c r="CD243" s="2" t="s">
        <v>231</v>
      </c>
      <c r="CE243" s="4">
        <v>129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>
        <v>370</v>
      </c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</row>
    <row r="244">
      <c r="A244" s="2" t="s">
        <v>1645</v>
      </c>
      <c r="B244" s="2" t="s">
        <v>992</v>
      </c>
      <c r="C244" s="2" t="s">
        <v>288</v>
      </c>
      <c r="D244" s="2" t="s">
        <v>993</v>
      </c>
      <c r="E244" s="2" t="s">
        <v>994</v>
      </c>
      <c r="F244" s="2" t="s">
        <v>1646</v>
      </c>
      <c r="G244" s="2" t="s">
        <v>1647</v>
      </c>
      <c r="H244" s="2" t="s">
        <v>1648</v>
      </c>
      <c r="I244" s="2" t="s">
        <v>1649</v>
      </c>
      <c r="J244" s="2" t="s">
        <v>996</v>
      </c>
      <c r="K244" s="2" t="s">
        <v>269</v>
      </c>
      <c r="L244" s="3">
        <v>16.65</v>
      </c>
      <c r="M244" s="3">
        <v>17.48</v>
      </c>
      <c r="N244" s="3">
        <v>36.99</v>
      </c>
      <c r="O244" s="2" t="s">
        <v>243</v>
      </c>
      <c r="P244" s="2" t="s">
        <v>1281</v>
      </c>
      <c r="Q244" s="2" t="s">
        <v>237</v>
      </c>
      <c r="R244" s="2" t="s">
        <v>231</v>
      </c>
      <c r="S244" s="2" t="s">
        <v>1650</v>
      </c>
      <c r="T244" s="2" t="s">
        <v>231</v>
      </c>
      <c r="U244" s="2" t="s">
        <v>231</v>
      </c>
      <c r="V244" s="2" t="s">
        <v>381</v>
      </c>
      <c r="W244" s="2" t="s">
        <v>792</v>
      </c>
      <c r="X244" s="2" t="s">
        <v>1520</v>
      </c>
      <c r="Y244" s="2" t="s">
        <v>274</v>
      </c>
      <c r="Z244" s="4">
        <v>304</v>
      </c>
      <c r="AA244" s="4">
        <f>=ROUNDDOWN(23.3846153846154,0)</f>
      </c>
      <c r="AB244" s="5">
        <v>13</v>
      </c>
      <c r="AC244" s="2" t="s">
        <v>1651</v>
      </c>
      <c r="AD244" s="4">
        <v>156</v>
      </c>
      <c r="AE244" s="4">
        <v>156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231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231</v>
      </c>
      <c r="BD244" s="8" t="s">
        <v>231</v>
      </c>
      <c r="BE244" s="4" t="s">
        <v>231</v>
      </c>
      <c r="BF244" s="8" t="s">
        <v>231</v>
      </c>
      <c r="BG244" s="7" t="s">
        <v>231</v>
      </c>
      <c r="BH244" s="7" t="s">
        <v>231</v>
      </c>
      <c r="BI244" s="7"/>
      <c r="BJ244" s="4">
        <v>74</v>
      </c>
      <c r="BK244" s="8">
        <v>1266.41</v>
      </c>
      <c r="BL244" s="2" t="s">
        <v>1652</v>
      </c>
      <c r="BM244" s="7"/>
      <c r="BN244" s="7"/>
      <c r="BO244" s="4"/>
      <c r="BP244" s="8"/>
      <c r="BQ244" s="4"/>
      <c r="BR244" s="8"/>
      <c r="BS244" s="7"/>
      <c r="BT244" s="7"/>
      <c r="BU244" s="2" t="s">
        <v>1653</v>
      </c>
      <c r="BV244" s="2" t="s">
        <v>231</v>
      </c>
      <c r="BW244" s="2" t="s">
        <v>231</v>
      </c>
      <c r="BX244" s="2" t="s">
        <v>241</v>
      </c>
      <c r="BY244" s="2" t="s">
        <v>277</v>
      </c>
      <c r="BZ244" s="2" t="s">
        <v>243</v>
      </c>
      <c r="CA244" s="2" t="s">
        <v>284</v>
      </c>
      <c r="CB244" s="2" t="s">
        <v>617</v>
      </c>
      <c r="CC244" s="2" t="s">
        <v>244</v>
      </c>
      <c r="CD244" s="2" t="s">
        <v>231</v>
      </c>
      <c r="CE244" s="4">
        <v>304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>
        <v>156</v>
      </c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</row>
    <row r="245">
      <c r="A245" s="2" t="s">
        <v>1654</v>
      </c>
      <c r="B245" s="2" t="s">
        <v>992</v>
      </c>
      <c r="C245" s="2" t="s">
        <v>288</v>
      </c>
      <c r="D245" s="2" t="s">
        <v>993</v>
      </c>
      <c r="E245" s="2" t="s">
        <v>994</v>
      </c>
      <c r="F245" s="2" t="s">
        <v>1646</v>
      </c>
      <c r="G245" s="2" t="s">
        <v>1647</v>
      </c>
      <c r="H245" s="2" t="s">
        <v>1648</v>
      </c>
      <c r="I245" s="2" t="s">
        <v>1649</v>
      </c>
      <c r="J245" s="2" t="s">
        <v>996</v>
      </c>
      <c r="K245" s="2" t="s">
        <v>1655</v>
      </c>
      <c r="L245" s="3">
        <v>16.65</v>
      </c>
      <c r="M245" s="3">
        <v>17.48</v>
      </c>
      <c r="N245" s="3">
        <v>36.99</v>
      </c>
      <c r="O245" s="2" t="s">
        <v>250</v>
      </c>
      <c r="P245" s="2" t="s">
        <v>341</v>
      </c>
      <c r="Q245" s="2" t="s">
        <v>237</v>
      </c>
      <c r="R245" s="2" t="s">
        <v>231</v>
      </c>
      <c r="S245" s="2" t="s">
        <v>1656</v>
      </c>
      <c r="T245" s="2" t="s">
        <v>231</v>
      </c>
      <c r="U245" s="2" t="s">
        <v>231</v>
      </c>
      <c r="V245" s="2" t="s">
        <v>381</v>
      </c>
      <c r="W245" s="2" t="s">
        <v>792</v>
      </c>
      <c r="X245" s="2" t="s">
        <v>231</v>
      </c>
      <c r="Y245" s="2" t="s">
        <v>274</v>
      </c>
      <c r="Z245" s="4">
        <v>1</v>
      </c>
      <c r="AA245" s="4">
        <f>=ROUNDDOWN(0.1,0)</f>
      </c>
      <c r="AB245" s="5">
        <v>10</v>
      </c>
      <c r="AC245" s="2" t="s">
        <v>231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231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231</v>
      </c>
      <c r="AW245" s="8" t="s">
        <v>231</v>
      </c>
      <c r="AX245" s="4" t="s">
        <v>231</v>
      </c>
      <c r="AY245" s="8" t="s">
        <v>231</v>
      </c>
      <c r="AZ245" s="7" t="s">
        <v>231</v>
      </c>
      <c r="BA245" s="7" t="s">
        <v>231</v>
      </c>
      <c r="BB245" s="7"/>
      <c r="BC245" s="4" t="s">
        <v>231</v>
      </c>
      <c r="BD245" s="8" t="s">
        <v>231</v>
      </c>
      <c r="BE245" s="4" t="s">
        <v>231</v>
      </c>
      <c r="BF245" s="8" t="s">
        <v>231</v>
      </c>
      <c r="BG245" s="7" t="s">
        <v>231</v>
      </c>
      <c r="BH245" s="7" t="s">
        <v>231</v>
      </c>
      <c r="BI245" s="7"/>
      <c r="BJ245" s="4">
        <v>16</v>
      </c>
      <c r="BK245" s="8">
        <v>264.88</v>
      </c>
      <c r="BL245" s="2" t="s">
        <v>1657</v>
      </c>
      <c r="BM245" s="7"/>
      <c r="BN245" s="7"/>
      <c r="BO245" s="4"/>
      <c r="BP245" s="8"/>
      <c r="BQ245" s="4"/>
      <c r="BR245" s="8"/>
      <c r="BS245" s="7"/>
      <c r="BT245" s="7"/>
      <c r="BU245" s="2" t="s">
        <v>1658</v>
      </c>
      <c r="BV245" s="2" t="s">
        <v>231</v>
      </c>
      <c r="BW245" s="2" t="s">
        <v>231</v>
      </c>
      <c r="BX245" s="2" t="s">
        <v>241</v>
      </c>
      <c r="BY245" s="2" t="s">
        <v>277</v>
      </c>
      <c r="BZ245" s="2" t="s">
        <v>243</v>
      </c>
      <c r="CA245" s="2" t="s">
        <v>284</v>
      </c>
      <c r="CB245" s="2" t="s">
        <v>617</v>
      </c>
      <c r="CC245" s="2" t="s">
        <v>244</v>
      </c>
      <c r="CD245" s="2" t="s">
        <v>231</v>
      </c>
      <c r="CE245" s="4">
        <v>1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</row>
    <row r="246">
      <c r="A246" s="2" t="s">
        <v>1659</v>
      </c>
      <c r="B246" s="2" t="s">
        <v>992</v>
      </c>
      <c r="C246" s="2" t="s">
        <v>288</v>
      </c>
      <c r="D246" s="2" t="s">
        <v>993</v>
      </c>
      <c r="E246" s="2" t="s">
        <v>994</v>
      </c>
      <c r="F246" s="2" t="s">
        <v>1646</v>
      </c>
      <c r="G246" s="2" t="s">
        <v>1647</v>
      </c>
      <c r="H246" s="2" t="s">
        <v>1648</v>
      </c>
      <c r="I246" s="2" t="s">
        <v>1649</v>
      </c>
      <c r="J246" s="2" t="s">
        <v>1586</v>
      </c>
      <c r="K246" s="2" t="s">
        <v>1655</v>
      </c>
      <c r="L246" s="3">
        <v>19.35</v>
      </c>
      <c r="M246" s="3">
        <v>20.32</v>
      </c>
      <c r="N246" s="3">
        <v>42.99</v>
      </c>
      <c r="O246" s="2" t="s">
        <v>243</v>
      </c>
      <c r="P246" s="2" t="s">
        <v>341</v>
      </c>
      <c r="Q246" s="2" t="s">
        <v>237</v>
      </c>
      <c r="R246" s="2" t="s">
        <v>231</v>
      </c>
      <c r="S246" s="2" t="s">
        <v>1656</v>
      </c>
      <c r="T246" s="2" t="s">
        <v>231</v>
      </c>
      <c r="U246" s="2" t="s">
        <v>231</v>
      </c>
      <c r="V246" s="2" t="s">
        <v>381</v>
      </c>
      <c r="W246" s="2" t="s">
        <v>792</v>
      </c>
      <c r="X246" s="2" t="s">
        <v>231</v>
      </c>
      <c r="Y246" s="2" t="s">
        <v>274</v>
      </c>
      <c r="Z246" s="4">
        <v>18</v>
      </c>
      <c r="AA246" s="4">
        <f>=ROUNDDOWN(3.39622641509434,0)</f>
      </c>
      <c r="AB246" s="5">
        <v>5.3</v>
      </c>
      <c r="AC246" s="2" t="s">
        <v>231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231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231</v>
      </c>
      <c r="AW246" s="8" t="s">
        <v>231</v>
      </c>
      <c r="AX246" s="4" t="s">
        <v>231</v>
      </c>
      <c r="AY246" s="8" t="s">
        <v>231</v>
      </c>
      <c r="AZ246" s="7" t="s">
        <v>231</v>
      </c>
      <c r="BA246" s="7" t="s">
        <v>231</v>
      </c>
      <c r="BB246" s="7"/>
      <c r="BC246" s="4" t="s">
        <v>231</v>
      </c>
      <c r="BD246" s="8" t="s">
        <v>231</v>
      </c>
      <c r="BE246" s="4" t="s">
        <v>231</v>
      </c>
      <c r="BF246" s="8" t="s">
        <v>231</v>
      </c>
      <c r="BG246" s="7" t="s">
        <v>231</v>
      </c>
      <c r="BH246" s="7" t="s">
        <v>231</v>
      </c>
      <c r="BI246" s="7"/>
      <c r="BJ246" s="4">
        <v>10</v>
      </c>
      <c r="BK246" s="8">
        <v>169.02</v>
      </c>
      <c r="BL246" s="2" t="s">
        <v>1660</v>
      </c>
      <c r="BM246" s="7"/>
      <c r="BN246" s="7"/>
      <c r="BO246" s="4"/>
      <c r="BP246" s="8"/>
      <c r="BQ246" s="4"/>
      <c r="BR246" s="8"/>
      <c r="BS246" s="7"/>
      <c r="BT246" s="7"/>
      <c r="BU246" s="2" t="s">
        <v>1661</v>
      </c>
      <c r="BV246" s="2" t="s">
        <v>231</v>
      </c>
      <c r="BW246" s="2" t="s">
        <v>231</v>
      </c>
      <c r="BX246" s="2" t="s">
        <v>231</v>
      </c>
      <c r="BY246" s="2" t="s">
        <v>277</v>
      </c>
      <c r="BZ246" s="2" t="s">
        <v>243</v>
      </c>
      <c r="CA246" s="2" t="s">
        <v>284</v>
      </c>
      <c r="CB246" s="2" t="s">
        <v>617</v>
      </c>
      <c r="CC246" s="2" t="s">
        <v>244</v>
      </c>
      <c r="CD246" s="2" t="s">
        <v>231</v>
      </c>
      <c r="CE246" s="4">
        <v>18</v>
      </c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</row>
    <row r="247">
      <c r="A247" s="2" t="s">
        <v>1662</v>
      </c>
      <c r="B247" s="2" t="s">
        <v>992</v>
      </c>
      <c r="C247" s="2" t="s">
        <v>288</v>
      </c>
      <c r="D247" s="2" t="s">
        <v>993</v>
      </c>
      <c r="E247" s="2" t="s">
        <v>994</v>
      </c>
      <c r="F247" s="2" t="s">
        <v>1646</v>
      </c>
      <c r="G247" s="2" t="s">
        <v>1647</v>
      </c>
      <c r="H247" s="2" t="s">
        <v>1648</v>
      </c>
      <c r="I247" s="2" t="s">
        <v>1649</v>
      </c>
      <c r="J247" s="2" t="s">
        <v>1586</v>
      </c>
      <c r="K247" s="2" t="s">
        <v>255</v>
      </c>
      <c r="L247" s="3">
        <v>19.35</v>
      </c>
      <c r="M247" s="3">
        <v>20.32</v>
      </c>
      <c r="N247" s="3">
        <v>42.99</v>
      </c>
      <c r="O247" s="2" t="s">
        <v>243</v>
      </c>
      <c r="P247" s="2" t="s">
        <v>270</v>
      </c>
      <c r="Q247" s="2" t="s">
        <v>237</v>
      </c>
      <c r="R247" s="2" t="s">
        <v>231</v>
      </c>
      <c r="S247" s="2" t="s">
        <v>1663</v>
      </c>
      <c r="T247" s="2" t="s">
        <v>231</v>
      </c>
      <c r="U247" s="2" t="s">
        <v>231</v>
      </c>
      <c r="V247" s="2" t="s">
        <v>381</v>
      </c>
      <c r="W247" s="2" t="s">
        <v>792</v>
      </c>
      <c r="X247" s="2" t="s">
        <v>1520</v>
      </c>
      <c r="Y247" s="2" t="s">
        <v>274</v>
      </c>
      <c r="Z247" s="4">
        <v>125</v>
      </c>
      <c r="AA247" s="4">
        <f>=ROUNDDOWN(25,0)</f>
      </c>
      <c r="AB247" s="5">
        <v>5</v>
      </c>
      <c r="AC247" s="2" t="s">
        <v>1664</v>
      </c>
      <c r="AD247" s="4">
        <v>44</v>
      </c>
      <c r="AE247" s="4">
        <v>44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231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231</v>
      </c>
      <c r="BD247" s="8" t="s">
        <v>231</v>
      </c>
      <c r="BE247" s="4" t="s">
        <v>231</v>
      </c>
      <c r="BF247" s="8" t="s">
        <v>231</v>
      </c>
      <c r="BG247" s="7" t="s">
        <v>231</v>
      </c>
      <c r="BH247" s="7" t="s">
        <v>231</v>
      </c>
      <c r="BI247" s="7"/>
      <c r="BJ247" s="4">
        <v>23</v>
      </c>
      <c r="BK247" s="8">
        <v>571.82</v>
      </c>
      <c r="BL247" s="2" t="s">
        <v>1665</v>
      </c>
      <c r="BM247" s="7"/>
      <c r="BN247" s="7"/>
      <c r="BO247" s="4"/>
      <c r="BP247" s="8"/>
      <c r="BQ247" s="4"/>
      <c r="BR247" s="8"/>
      <c r="BS247" s="7"/>
      <c r="BT247" s="7"/>
      <c r="BU247" s="2" t="s">
        <v>1666</v>
      </c>
      <c r="BV247" s="2" t="s">
        <v>231</v>
      </c>
      <c r="BW247" s="2" t="s">
        <v>231</v>
      </c>
      <c r="BX247" s="2" t="s">
        <v>241</v>
      </c>
      <c r="BY247" s="2" t="s">
        <v>277</v>
      </c>
      <c r="BZ247" s="2" t="s">
        <v>243</v>
      </c>
      <c r="CA247" s="2" t="s">
        <v>284</v>
      </c>
      <c r="CB247" s="2" t="s">
        <v>1667</v>
      </c>
      <c r="CC247" s="2" t="s">
        <v>244</v>
      </c>
      <c r="CD247" s="2" t="s">
        <v>231</v>
      </c>
      <c r="CE247" s="4">
        <v>125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>
        <v>44</v>
      </c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</row>
    <row r="248">
      <c r="A248" s="2" t="s">
        <v>1668</v>
      </c>
      <c r="B248" s="2" t="s">
        <v>992</v>
      </c>
      <c r="C248" s="2" t="s">
        <v>288</v>
      </c>
      <c r="D248" s="2" t="s">
        <v>993</v>
      </c>
      <c r="E248" s="2" t="s">
        <v>994</v>
      </c>
      <c r="F248" s="2" t="s">
        <v>1646</v>
      </c>
      <c r="G248" s="2" t="s">
        <v>1647</v>
      </c>
      <c r="H248" s="2" t="s">
        <v>1648</v>
      </c>
      <c r="I248" s="2" t="s">
        <v>1649</v>
      </c>
      <c r="J248" s="2" t="s">
        <v>1586</v>
      </c>
      <c r="K248" s="2" t="s">
        <v>319</v>
      </c>
      <c r="L248" s="3">
        <v>19.35</v>
      </c>
      <c r="M248" s="3">
        <v>20.32</v>
      </c>
      <c r="N248" s="3">
        <v>42.99</v>
      </c>
      <c r="O248" s="2" t="s">
        <v>243</v>
      </c>
      <c r="P248" s="2" t="s">
        <v>1281</v>
      </c>
      <c r="Q248" s="2" t="s">
        <v>237</v>
      </c>
      <c r="R248" s="2" t="s">
        <v>231</v>
      </c>
      <c r="S248" s="2" t="s">
        <v>1669</v>
      </c>
      <c r="T248" s="2" t="s">
        <v>231</v>
      </c>
      <c r="U248" s="2" t="s">
        <v>231</v>
      </c>
      <c r="V248" s="2" t="s">
        <v>381</v>
      </c>
      <c r="W248" s="2" t="s">
        <v>792</v>
      </c>
      <c r="X248" s="2" t="s">
        <v>1520</v>
      </c>
      <c r="Y248" s="2" t="s">
        <v>274</v>
      </c>
      <c r="Z248" s="4">
        <v>373</v>
      </c>
      <c r="AA248" s="4">
        <f>=ROUNDDOWN(61.1475409836066,0)</f>
      </c>
      <c r="AB248" s="5">
        <v>6.1</v>
      </c>
      <c r="AC248" s="2" t="s">
        <v>231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231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231</v>
      </c>
      <c r="BD248" s="8" t="s">
        <v>231</v>
      </c>
      <c r="BE248" s="4" t="s">
        <v>231</v>
      </c>
      <c r="BF248" s="8" t="s">
        <v>231</v>
      </c>
      <c r="BG248" s="7" t="s">
        <v>231</v>
      </c>
      <c r="BH248" s="7" t="s">
        <v>231</v>
      </c>
      <c r="BI248" s="7"/>
      <c r="BJ248" s="4">
        <v>27</v>
      </c>
      <c r="BK248" s="8">
        <v>941.04</v>
      </c>
      <c r="BL248" s="2" t="s">
        <v>1670</v>
      </c>
      <c r="BM248" s="7"/>
      <c r="BN248" s="7"/>
      <c r="BO248" s="4"/>
      <c r="BP248" s="8"/>
      <c r="BQ248" s="4"/>
      <c r="BR248" s="8"/>
      <c r="BS248" s="7"/>
      <c r="BT248" s="7"/>
      <c r="BU248" s="2" t="s">
        <v>1671</v>
      </c>
      <c r="BV248" s="2" t="s">
        <v>231</v>
      </c>
      <c r="BW248" s="2" t="s">
        <v>231</v>
      </c>
      <c r="BX248" s="2" t="s">
        <v>241</v>
      </c>
      <c r="BY248" s="2" t="s">
        <v>277</v>
      </c>
      <c r="BZ248" s="2" t="s">
        <v>243</v>
      </c>
      <c r="CA248" s="2" t="s">
        <v>284</v>
      </c>
      <c r="CB248" s="2" t="s">
        <v>467</v>
      </c>
      <c r="CC248" s="2" t="s">
        <v>244</v>
      </c>
      <c r="CD248" s="2" t="s">
        <v>231</v>
      </c>
      <c r="CE248" s="4">
        <v>373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</row>
    <row r="249">
      <c r="A249" s="2" t="s">
        <v>1672</v>
      </c>
      <c r="B249" s="2" t="s">
        <v>226</v>
      </c>
      <c r="C249" s="2" t="s">
        <v>1017</v>
      </c>
      <c r="D249" s="2" t="s">
        <v>1673</v>
      </c>
      <c r="E249" s="2" t="s">
        <v>1673</v>
      </c>
      <c r="F249" s="2" t="s">
        <v>1674</v>
      </c>
      <c r="G249" s="2" t="s">
        <v>231</v>
      </c>
      <c r="H249" s="2" t="s">
        <v>231</v>
      </c>
      <c r="I249" s="2" t="s">
        <v>1675</v>
      </c>
      <c r="J249" s="2" t="s">
        <v>1676</v>
      </c>
      <c r="K249" s="2" t="s">
        <v>1677</v>
      </c>
      <c r="L249" s="3">
        <v>13.86</v>
      </c>
      <c r="M249" s="3">
        <v>14.55</v>
      </c>
      <c r="N249" s="3">
        <v>24.99</v>
      </c>
      <c r="O249" s="2" t="s">
        <v>243</v>
      </c>
      <c r="P249" s="2" t="s">
        <v>1019</v>
      </c>
      <c r="Q249" s="2" t="s">
        <v>237</v>
      </c>
      <c r="R249" s="2" t="s">
        <v>1020</v>
      </c>
      <c r="S249" s="2" t="s">
        <v>231</v>
      </c>
      <c r="T249" s="2" t="s">
        <v>231</v>
      </c>
      <c r="U249" s="2" t="s">
        <v>231</v>
      </c>
      <c r="V249" s="2" t="s">
        <v>239</v>
      </c>
      <c r="W249" s="2" t="s">
        <v>231</v>
      </c>
      <c r="X249" s="2" t="s">
        <v>231</v>
      </c>
      <c r="Y249" s="2" t="s">
        <v>1678</v>
      </c>
      <c r="Z249" s="4">
        <v>140</v>
      </c>
      <c r="AA249" s="4">
        <f>=ROUNDDOWN(5.6,0)</f>
      </c>
      <c r="AB249" s="5">
        <v>25</v>
      </c>
      <c r="AC249" s="2" t="s">
        <v>231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231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/>
      <c r="BD249" s="8"/>
      <c r="BE249" s="4"/>
      <c r="BF249" s="8"/>
      <c r="BG249" s="7"/>
      <c r="BH249" s="7"/>
      <c r="BI249" s="7"/>
      <c r="BJ249" s="4"/>
      <c r="BK249" s="8"/>
      <c r="BL249" s="2" t="s">
        <v>231</v>
      </c>
      <c r="BM249" s="7"/>
      <c r="BN249" s="7"/>
      <c r="BO249" s="4"/>
      <c r="BP249" s="8"/>
      <c r="BQ249" s="4"/>
      <c r="BR249" s="8"/>
      <c r="BS249" s="7"/>
      <c r="BT249" s="7"/>
      <c r="BU249" s="2" t="s">
        <v>1679</v>
      </c>
      <c r="BV249" s="2" t="s">
        <v>231</v>
      </c>
      <c r="BW249" s="2" t="s">
        <v>231</v>
      </c>
      <c r="BX249" s="2" t="s">
        <v>241</v>
      </c>
      <c r="BY249" s="2" t="s">
        <v>277</v>
      </c>
      <c r="BZ249" s="2" t="s">
        <v>243</v>
      </c>
      <c r="CA249" s="2" t="s">
        <v>1680</v>
      </c>
      <c r="CB249" s="2" t="s">
        <v>231</v>
      </c>
      <c r="CC249" s="2" t="s">
        <v>244</v>
      </c>
      <c r="CD249" s="2" t="s">
        <v>231</v>
      </c>
      <c r="CE249" s="4">
        <v>140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</row>
    <row r="250">
      <c r="A250" s="2" t="s">
        <v>1681</v>
      </c>
      <c r="B250" s="2" t="s">
        <v>992</v>
      </c>
      <c r="C250" s="2" t="s">
        <v>815</v>
      </c>
      <c r="D250" s="2" t="s">
        <v>993</v>
      </c>
      <c r="E250" s="2" t="s">
        <v>994</v>
      </c>
      <c r="F250" s="2" t="s">
        <v>1682</v>
      </c>
      <c r="G250" s="2" t="s">
        <v>1682</v>
      </c>
      <c r="H250" s="2" t="s">
        <v>231</v>
      </c>
      <c r="I250" s="2" t="s">
        <v>1683</v>
      </c>
      <c r="J250" s="2" t="s">
        <v>996</v>
      </c>
      <c r="K250" s="2" t="s">
        <v>985</v>
      </c>
      <c r="L250" s="3">
        <v>17</v>
      </c>
      <c r="M250" s="3">
        <v>17.85</v>
      </c>
      <c r="N250" s="3">
        <v>34.99</v>
      </c>
      <c r="O250" s="2" t="s">
        <v>250</v>
      </c>
      <c r="P250" s="2" t="s">
        <v>341</v>
      </c>
      <c r="Q250" s="2" t="s">
        <v>237</v>
      </c>
      <c r="R250" s="2" t="s">
        <v>231</v>
      </c>
      <c r="S250" s="2" t="s">
        <v>1684</v>
      </c>
      <c r="T250" s="2" t="s">
        <v>231</v>
      </c>
      <c r="U250" s="2" t="s">
        <v>231</v>
      </c>
      <c r="V250" s="2" t="s">
        <v>1685</v>
      </c>
      <c r="W250" s="2" t="s">
        <v>691</v>
      </c>
      <c r="X250" s="2" t="s">
        <v>231</v>
      </c>
      <c r="Y250" s="2" t="s">
        <v>274</v>
      </c>
      <c r="Z250" s="4"/>
      <c r="AA250" s="4">
        <f>=ROUNDDOWN({0},0)</f>
      </c>
      <c r="AB250" s="5"/>
      <c r="AC250" s="2" t="s">
        <v>231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231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231</v>
      </c>
      <c r="BM250" s="7"/>
      <c r="BN250" s="7"/>
      <c r="BO250" s="4"/>
      <c r="BP250" s="8"/>
      <c r="BQ250" s="4"/>
      <c r="BR250" s="8"/>
      <c r="BS250" s="7"/>
      <c r="BT250" s="7"/>
      <c r="BU250" s="2" t="s">
        <v>1686</v>
      </c>
      <c r="BV250" s="2" t="s">
        <v>231</v>
      </c>
      <c r="BW250" s="2" t="s">
        <v>231</v>
      </c>
      <c r="BX250" s="2" t="s">
        <v>231</v>
      </c>
      <c r="BY250" s="2" t="s">
        <v>277</v>
      </c>
      <c r="BZ250" s="2" t="s">
        <v>243</v>
      </c>
      <c r="CA250" s="2" t="s">
        <v>284</v>
      </c>
      <c r="CB250" s="2" t="s">
        <v>1687</v>
      </c>
      <c r="CC250" s="2" t="s">
        <v>244</v>
      </c>
      <c r="CD250" s="2" t="s">
        <v>231</v>
      </c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</row>
    <row r="251">
      <c r="A251" s="2" t="s">
        <v>1688</v>
      </c>
      <c r="B251" s="2" t="s">
        <v>1004</v>
      </c>
      <c r="C251" s="2" t="s">
        <v>867</v>
      </c>
      <c r="D251" s="2" t="s">
        <v>1689</v>
      </c>
      <c r="E251" s="2" t="s">
        <v>1690</v>
      </c>
      <c r="F251" s="2" t="s">
        <v>1691</v>
      </c>
      <c r="G251" s="2" t="s">
        <v>1691</v>
      </c>
      <c r="H251" s="2" t="s">
        <v>1691</v>
      </c>
      <c r="I251" s="2" t="s">
        <v>1692</v>
      </c>
      <c r="J251" s="2" t="s">
        <v>807</v>
      </c>
      <c r="K251" s="2" t="s">
        <v>747</v>
      </c>
      <c r="L251" s="3">
        <v>485.1</v>
      </c>
      <c r="M251" s="3">
        <v>509.36</v>
      </c>
      <c r="N251" s="3">
        <v>1019</v>
      </c>
      <c r="O251" s="2" t="s">
        <v>243</v>
      </c>
      <c r="P251" s="2" t="s">
        <v>1037</v>
      </c>
      <c r="Q251" s="2" t="s">
        <v>237</v>
      </c>
      <c r="R251" s="2" t="s">
        <v>16</v>
      </c>
      <c r="S251" s="2" t="s">
        <v>1693</v>
      </c>
      <c r="T251" s="2" t="s">
        <v>231</v>
      </c>
      <c r="U251" s="2" t="s">
        <v>791</v>
      </c>
      <c r="V251" s="2" t="s">
        <v>239</v>
      </c>
      <c r="W251" s="2" t="s">
        <v>299</v>
      </c>
      <c r="X251" s="2" t="s">
        <v>1694</v>
      </c>
      <c r="Y251" s="2" t="s">
        <v>1447</v>
      </c>
      <c r="Z251" s="4">
        <v>59</v>
      </c>
      <c r="AA251" s="4">
        <f>=ROUNDDOWN({0},0)</f>
      </c>
      <c r="AB251" s="5"/>
      <c r="AC251" s="2" t="s">
        <v>1695</v>
      </c>
      <c r="AD251" s="4">
        <v>50</v>
      </c>
      <c r="AE251" s="4">
        <v>115</v>
      </c>
      <c r="AF251" s="6"/>
      <c r="AG251" s="6"/>
      <c r="AH251" s="7">
        <v>1</v>
      </c>
      <c r="AI251" s="4"/>
      <c r="AJ251" s="4">
        <f>=ROUNDDOWN({0},0)</f>
      </c>
      <c r="AK251" s="5"/>
      <c r="AL251" s="2" t="s">
        <v>231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231</v>
      </c>
      <c r="BD251" s="8" t="s">
        <v>231</v>
      </c>
      <c r="BE251" s="4" t="s">
        <v>231</v>
      </c>
      <c r="BF251" s="8" t="s">
        <v>231</v>
      </c>
      <c r="BG251" s="7" t="s">
        <v>231</v>
      </c>
      <c r="BH251" s="7" t="s">
        <v>231</v>
      </c>
      <c r="BI251" s="7"/>
      <c r="BJ251" s="4"/>
      <c r="BK251" s="8"/>
      <c r="BL251" s="2" t="s">
        <v>231</v>
      </c>
      <c r="BM251" s="7"/>
      <c r="BN251" s="7"/>
      <c r="BO251" s="4"/>
      <c r="BP251" s="8"/>
      <c r="BQ251" s="4"/>
      <c r="BR251" s="8"/>
      <c r="BS251" s="7"/>
      <c r="BT251" s="7"/>
      <c r="BU251" s="2" t="s">
        <v>1696</v>
      </c>
      <c r="BV251" s="2" t="s">
        <v>231</v>
      </c>
      <c r="BW251" s="2" t="s">
        <v>231</v>
      </c>
      <c r="BX251" s="2" t="s">
        <v>241</v>
      </c>
      <c r="BY251" s="2" t="s">
        <v>277</v>
      </c>
      <c r="BZ251" s="2" t="s">
        <v>243</v>
      </c>
      <c r="CA251" s="2" t="s">
        <v>1697</v>
      </c>
      <c r="CB251" s="2" t="s">
        <v>1698</v>
      </c>
      <c r="CC251" s="2" t="s">
        <v>244</v>
      </c>
      <c r="CD251" s="2" t="s">
        <v>231</v>
      </c>
      <c r="CE251" s="4"/>
      <c r="CF251" s="4">
        <v>59</v>
      </c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>
        <v>50</v>
      </c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>
        <v>50</v>
      </c>
      <c r="FW251" s="4"/>
      <c r="FX251" s="4"/>
      <c r="FY251" s="4"/>
      <c r="FZ251" s="4"/>
      <c r="GA251" s="4"/>
      <c r="GB251" s="4">
        <v>15</v>
      </c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</row>
    <row r="252">
      <c r="A252" s="2" t="s">
        <v>1699</v>
      </c>
      <c r="B252" s="2" t="s">
        <v>992</v>
      </c>
      <c r="C252" s="2" t="s">
        <v>288</v>
      </c>
      <c r="D252" s="2" t="s">
        <v>993</v>
      </c>
      <c r="E252" s="2" t="s">
        <v>994</v>
      </c>
      <c r="F252" s="2" t="s">
        <v>1691</v>
      </c>
      <c r="G252" s="2" t="s">
        <v>1700</v>
      </c>
      <c r="H252" s="2" t="s">
        <v>1701</v>
      </c>
      <c r="I252" s="2" t="s">
        <v>1702</v>
      </c>
      <c r="J252" s="2" t="s">
        <v>1703</v>
      </c>
      <c r="K252" s="2" t="s">
        <v>319</v>
      </c>
      <c r="L252" s="3">
        <v>13.8</v>
      </c>
      <c r="M252" s="3">
        <v>14.49</v>
      </c>
      <c r="N252" s="3">
        <v>29.99</v>
      </c>
      <c r="O252" s="2" t="s">
        <v>243</v>
      </c>
      <c r="P252" s="2" t="s">
        <v>1281</v>
      </c>
      <c r="Q252" s="2" t="s">
        <v>237</v>
      </c>
      <c r="R252" s="2" t="s">
        <v>231</v>
      </c>
      <c r="S252" s="2" t="s">
        <v>1704</v>
      </c>
      <c r="T252" s="2" t="s">
        <v>231</v>
      </c>
      <c r="U252" s="2" t="s">
        <v>231</v>
      </c>
      <c r="V252" s="2" t="s">
        <v>239</v>
      </c>
      <c r="W252" s="2" t="s">
        <v>971</v>
      </c>
      <c r="X252" s="2" t="s">
        <v>1520</v>
      </c>
      <c r="Y252" s="2" t="s">
        <v>274</v>
      </c>
      <c r="Z252" s="4">
        <v>74</v>
      </c>
      <c r="AA252" s="4">
        <f>=ROUNDDOWN(9.73684210526316,0)</f>
      </c>
      <c r="AB252" s="5">
        <v>7.6</v>
      </c>
      <c r="AC252" s="2" t="s">
        <v>1705</v>
      </c>
      <c r="AD252" s="4">
        <v>100</v>
      </c>
      <c r="AE252" s="4">
        <v>100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231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231</v>
      </c>
      <c r="BD252" s="8" t="s">
        <v>231</v>
      </c>
      <c r="BE252" s="4" t="s">
        <v>231</v>
      </c>
      <c r="BF252" s="8" t="s">
        <v>231</v>
      </c>
      <c r="BG252" s="7" t="s">
        <v>231</v>
      </c>
      <c r="BH252" s="7" t="s">
        <v>231</v>
      </c>
      <c r="BI252" s="7"/>
      <c r="BJ252" s="4">
        <v>22</v>
      </c>
      <c r="BK252" s="8">
        <v>317.19</v>
      </c>
      <c r="BL252" s="2" t="s">
        <v>1706</v>
      </c>
      <c r="BM252" s="7"/>
      <c r="BN252" s="7"/>
      <c r="BO252" s="4"/>
      <c r="BP252" s="8"/>
      <c r="BQ252" s="4"/>
      <c r="BR252" s="8"/>
      <c r="BS252" s="7"/>
      <c r="BT252" s="7"/>
      <c r="BU252" s="2" t="s">
        <v>1707</v>
      </c>
      <c r="BV252" s="2" t="s">
        <v>231</v>
      </c>
      <c r="BW252" s="2" t="s">
        <v>231</v>
      </c>
      <c r="BX252" s="2" t="s">
        <v>241</v>
      </c>
      <c r="BY252" s="2" t="s">
        <v>277</v>
      </c>
      <c r="BZ252" s="2" t="s">
        <v>243</v>
      </c>
      <c r="CA252" s="2" t="s">
        <v>1708</v>
      </c>
      <c r="CB252" s="2" t="s">
        <v>1709</v>
      </c>
      <c r="CC252" s="2" t="s">
        <v>244</v>
      </c>
      <c r="CD252" s="2" t="s">
        <v>231</v>
      </c>
      <c r="CE252" s="4">
        <v>74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>
        <v>100</v>
      </c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</row>
    <row r="253">
      <c r="A253" s="2" t="s">
        <v>1710</v>
      </c>
      <c r="B253" s="2" t="s">
        <v>1004</v>
      </c>
      <c r="C253" s="2" t="s">
        <v>288</v>
      </c>
      <c r="D253" s="2" t="s">
        <v>1689</v>
      </c>
      <c r="E253" s="2" t="s">
        <v>1690</v>
      </c>
      <c r="F253" s="2" t="s">
        <v>1711</v>
      </c>
      <c r="G253" s="2" t="s">
        <v>1712</v>
      </c>
      <c r="H253" s="2" t="s">
        <v>1713</v>
      </c>
      <c r="I253" s="2" t="s">
        <v>1714</v>
      </c>
      <c r="J253" s="2" t="s">
        <v>807</v>
      </c>
      <c r="K253" s="2" t="s">
        <v>901</v>
      </c>
      <c r="L253" s="3">
        <v>187.91</v>
      </c>
      <c r="M253" s="3">
        <v>197.31</v>
      </c>
      <c r="N253" s="3">
        <v>399</v>
      </c>
      <c r="O253" s="2" t="s">
        <v>243</v>
      </c>
      <c r="P253" s="2" t="s">
        <v>341</v>
      </c>
      <c r="Q253" s="2" t="s">
        <v>237</v>
      </c>
      <c r="R253" s="2" t="s">
        <v>231</v>
      </c>
      <c r="S253" s="2" t="s">
        <v>1715</v>
      </c>
      <c r="T253" s="2" t="s">
        <v>231</v>
      </c>
      <c r="U253" s="2" t="s">
        <v>231</v>
      </c>
      <c r="V253" s="2" t="s">
        <v>239</v>
      </c>
      <c r="W253" s="2" t="s">
        <v>676</v>
      </c>
      <c r="X253" s="2" t="s">
        <v>231</v>
      </c>
      <c r="Y253" s="2" t="s">
        <v>1716</v>
      </c>
      <c r="Z253" s="4">
        <v>70</v>
      </c>
      <c r="AA253" s="4">
        <f>=ROUNDDOWN(70,0)</f>
      </c>
      <c r="AB253" s="5">
        <v>1</v>
      </c>
      <c r="AC253" s="2" t="s">
        <v>231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231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>
        <v>1</v>
      </c>
      <c r="BK253" s="8">
        <v>213.09</v>
      </c>
      <c r="BL253" s="2" t="s">
        <v>1717</v>
      </c>
      <c r="BM253" s="7"/>
      <c r="BN253" s="7"/>
      <c r="BO253" s="4"/>
      <c r="BP253" s="8"/>
      <c r="BQ253" s="4"/>
      <c r="BR253" s="8"/>
      <c r="BS253" s="7"/>
      <c r="BT253" s="7"/>
      <c r="BU253" s="2" t="s">
        <v>1718</v>
      </c>
      <c r="BV253" s="2" t="s">
        <v>231</v>
      </c>
      <c r="BW253" s="2" t="s">
        <v>231</v>
      </c>
      <c r="BX253" s="2" t="s">
        <v>241</v>
      </c>
      <c r="BY253" s="2" t="s">
        <v>277</v>
      </c>
      <c r="BZ253" s="2" t="s">
        <v>243</v>
      </c>
      <c r="CA253" s="2" t="s">
        <v>1719</v>
      </c>
      <c r="CB253" s="2" t="s">
        <v>1720</v>
      </c>
      <c r="CC253" s="2" t="s">
        <v>244</v>
      </c>
      <c r="CD253" s="2" t="s">
        <v>231</v>
      </c>
      <c r="CE253" s="4"/>
      <c r="CF253" s="4">
        <v>70</v>
      </c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</row>
    <row r="254">
      <c r="A254" s="2" t="s">
        <v>1721</v>
      </c>
      <c r="B254" s="2" t="s">
        <v>1186</v>
      </c>
      <c r="C254" s="2" t="s">
        <v>631</v>
      </c>
      <c r="D254" s="2" t="s">
        <v>654</v>
      </c>
      <c r="E254" s="2" t="s">
        <v>890</v>
      </c>
      <c r="F254" s="2" t="s">
        <v>1722</v>
      </c>
      <c r="G254" s="2" t="s">
        <v>1722</v>
      </c>
      <c r="H254" s="2" t="s">
        <v>1722</v>
      </c>
      <c r="I254" s="2" t="s">
        <v>1723</v>
      </c>
      <c r="J254" s="2" t="s">
        <v>658</v>
      </c>
      <c r="K254" s="2" t="s">
        <v>234</v>
      </c>
      <c r="L254" s="3">
        <v>45.71</v>
      </c>
      <c r="M254" s="3">
        <v>48</v>
      </c>
      <c r="N254" s="3">
        <v>99.99</v>
      </c>
      <c r="O254" s="2" t="s">
        <v>243</v>
      </c>
      <c r="P254" s="2" t="s">
        <v>341</v>
      </c>
      <c r="Q254" s="2" t="s">
        <v>237</v>
      </c>
      <c r="R254" s="2" t="s">
        <v>231</v>
      </c>
      <c r="S254" s="2" t="s">
        <v>1724</v>
      </c>
      <c r="T254" s="2" t="s">
        <v>231</v>
      </c>
      <c r="U254" s="2" t="s">
        <v>835</v>
      </c>
      <c r="V254" s="2" t="s">
        <v>391</v>
      </c>
      <c r="W254" s="2" t="s">
        <v>273</v>
      </c>
      <c r="X254" s="2" t="s">
        <v>231</v>
      </c>
      <c r="Y254" s="2" t="s">
        <v>1640</v>
      </c>
      <c r="Z254" s="4">
        <v>140</v>
      </c>
      <c r="AA254" s="4">
        <f>=ROUNDDOWN(28,0)</f>
      </c>
      <c r="AB254" s="5">
        <v>5</v>
      </c>
      <c r="AC254" s="2" t="s">
        <v>231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231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231</v>
      </c>
      <c r="BD254" s="8" t="s">
        <v>231</v>
      </c>
      <c r="BE254" s="4" t="s">
        <v>231</v>
      </c>
      <c r="BF254" s="8" t="s">
        <v>231</v>
      </c>
      <c r="BG254" s="7" t="s">
        <v>231</v>
      </c>
      <c r="BH254" s="7" t="s">
        <v>231</v>
      </c>
      <c r="BI254" s="7"/>
      <c r="BJ254" s="4">
        <v>62</v>
      </c>
      <c r="BK254" s="8">
        <v>1812.24</v>
      </c>
      <c r="BL254" s="2" t="s">
        <v>1725</v>
      </c>
      <c r="BM254" s="7"/>
      <c r="BN254" s="7"/>
      <c r="BO254" s="4"/>
      <c r="BP254" s="8"/>
      <c r="BQ254" s="4"/>
      <c r="BR254" s="8"/>
      <c r="BS254" s="7"/>
      <c r="BT254" s="7"/>
      <c r="BU254" s="2" t="s">
        <v>1726</v>
      </c>
      <c r="BV254" s="2" t="s">
        <v>231</v>
      </c>
      <c r="BW254" s="2" t="s">
        <v>231</v>
      </c>
      <c r="BX254" s="2" t="s">
        <v>231</v>
      </c>
      <c r="BY254" s="2" t="s">
        <v>277</v>
      </c>
      <c r="BZ254" s="2" t="s">
        <v>243</v>
      </c>
      <c r="CA254" s="2" t="s">
        <v>1643</v>
      </c>
      <c r="CB254" s="2" t="s">
        <v>1727</v>
      </c>
      <c r="CC254" s="2" t="s">
        <v>244</v>
      </c>
      <c r="CD254" s="2" t="s">
        <v>231</v>
      </c>
      <c r="CE254" s="4">
        <v>140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</row>
    <row r="255">
      <c r="A255" s="2" t="s">
        <v>1728</v>
      </c>
      <c r="B255" s="2" t="s">
        <v>1186</v>
      </c>
      <c r="C255" s="2" t="s">
        <v>631</v>
      </c>
      <c r="D255" s="2" t="s">
        <v>826</v>
      </c>
      <c r="E255" s="2" t="s">
        <v>1060</v>
      </c>
      <c r="F255" s="2" t="s">
        <v>1722</v>
      </c>
      <c r="G255" s="2" t="s">
        <v>1722</v>
      </c>
      <c r="H255" s="2" t="s">
        <v>1722</v>
      </c>
      <c r="I255" s="2" t="s">
        <v>1729</v>
      </c>
      <c r="J255" s="2" t="s">
        <v>658</v>
      </c>
      <c r="K255" s="2" t="s">
        <v>306</v>
      </c>
      <c r="L255" s="3">
        <v>32</v>
      </c>
      <c r="M255" s="3">
        <v>33.6</v>
      </c>
      <c r="N255" s="3">
        <v>69.99</v>
      </c>
      <c r="O255" s="2" t="s">
        <v>243</v>
      </c>
      <c r="P255" s="2" t="s">
        <v>341</v>
      </c>
      <c r="Q255" s="2" t="s">
        <v>237</v>
      </c>
      <c r="R255" s="2" t="s">
        <v>231</v>
      </c>
      <c r="S255" s="2" t="s">
        <v>1730</v>
      </c>
      <c r="T255" s="2" t="s">
        <v>231</v>
      </c>
      <c r="U255" s="2" t="s">
        <v>835</v>
      </c>
      <c r="V255" s="2" t="s">
        <v>391</v>
      </c>
      <c r="W255" s="2" t="s">
        <v>273</v>
      </c>
      <c r="X255" s="2" t="s">
        <v>231</v>
      </c>
      <c r="Y255" s="2" t="s">
        <v>1640</v>
      </c>
      <c r="Z255" s="4">
        <v>81</v>
      </c>
      <c r="AA255" s="4">
        <f>=ROUNDDOWN(16.2,0)</f>
      </c>
      <c r="AB255" s="5">
        <v>5</v>
      </c>
      <c r="AC255" s="2" t="s">
        <v>477</v>
      </c>
      <c r="AD255" s="4">
        <v>60</v>
      </c>
      <c r="AE255" s="4">
        <v>60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231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231</v>
      </c>
      <c r="AW255" s="8" t="s">
        <v>231</v>
      </c>
      <c r="AX255" s="4" t="s">
        <v>231</v>
      </c>
      <c r="AY255" s="8" t="s">
        <v>231</v>
      </c>
      <c r="AZ255" s="7" t="s">
        <v>231</v>
      </c>
      <c r="BA255" s="7" t="s">
        <v>231</v>
      </c>
      <c r="BB255" s="7"/>
      <c r="BC255" s="4" t="s">
        <v>231</v>
      </c>
      <c r="BD255" s="8" t="s">
        <v>231</v>
      </c>
      <c r="BE255" s="4" t="s">
        <v>231</v>
      </c>
      <c r="BF255" s="8" t="s">
        <v>231</v>
      </c>
      <c r="BG255" s="7" t="s">
        <v>231</v>
      </c>
      <c r="BH255" s="7" t="s">
        <v>231</v>
      </c>
      <c r="BI255" s="7"/>
      <c r="BJ255" s="4">
        <v>56</v>
      </c>
      <c r="BK255" s="8">
        <v>1112.16</v>
      </c>
      <c r="BL255" s="2" t="s">
        <v>1731</v>
      </c>
      <c r="BM255" s="7"/>
      <c r="BN255" s="7"/>
      <c r="BO255" s="4"/>
      <c r="BP255" s="8"/>
      <c r="BQ255" s="4"/>
      <c r="BR255" s="8"/>
      <c r="BS255" s="7"/>
      <c r="BT255" s="7"/>
      <c r="BU255" s="2" t="s">
        <v>1732</v>
      </c>
      <c r="BV255" s="2" t="s">
        <v>231</v>
      </c>
      <c r="BW255" s="2" t="s">
        <v>231</v>
      </c>
      <c r="BX255" s="2" t="s">
        <v>231</v>
      </c>
      <c r="BY255" s="2" t="s">
        <v>277</v>
      </c>
      <c r="BZ255" s="2" t="s">
        <v>243</v>
      </c>
      <c r="CA255" s="2" t="s">
        <v>1643</v>
      </c>
      <c r="CB255" s="2" t="s">
        <v>1733</v>
      </c>
      <c r="CC255" s="2" t="s">
        <v>244</v>
      </c>
      <c r="CD255" s="2" t="s">
        <v>231</v>
      </c>
      <c r="CE255" s="4">
        <v>81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>
        <v>60</v>
      </c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</row>
    <row r="256">
      <c r="A256" s="2" t="s">
        <v>1734</v>
      </c>
      <c r="B256" s="2" t="s">
        <v>1186</v>
      </c>
      <c r="C256" s="2" t="s">
        <v>631</v>
      </c>
      <c r="D256" s="2" t="s">
        <v>654</v>
      </c>
      <c r="E256" s="2" t="s">
        <v>890</v>
      </c>
      <c r="F256" s="2" t="s">
        <v>1722</v>
      </c>
      <c r="G256" s="2" t="s">
        <v>1722</v>
      </c>
      <c r="H256" s="2" t="s">
        <v>1722</v>
      </c>
      <c r="I256" s="2" t="s">
        <v>1723</v>
      </c>
      <c r="J256" s="2" t="s">
        <v>669</v>
      </c>
      <c r="K256" s="2" t="s">
        <v>306</v>
      </c>
      <c r="L256" s="3">
        <v>50.28</v>
      </c>
      <c r="M256" s="3">
        <v>52.79</v>
      </c>
      <c r="N256" s="3">
        <v>109.99</v>
      </c>
      <c r="O256" s="2" t="s">
        <v>243</v>
      </c>
      <c r="P256" s="2" t="s">
        <v>341</v>
      </c>
      <c r="Q256" s="2" t="s">
        <v>237</v>
      </c>
      <c r="R256" s="2" t="s">
        <v>231</v>
      </c>
      <c r="S256" s="2" t="s">
        <v>1730</v>
      </c>
      <c r="T256" s="2" t="s">
        <v>231</v>
      </c>
      <c r="U256" s="2" t="s">
        <v>835</v>
      </c>
      <c r="V256" s="2" t="s">
        <v>391</v>
      </c>
      <c r="W256" s="2" t="s">
        <v>273</v>
      </c>
      <c r="X256" s="2" t="s">
        <v>231</v>
      </c>
      <c r="Y256" s="2" t="s">
        <v>1640</v>
      </c>
      <c r="Z256" s="4">
        <v>162</v>
      </c>
      <c r="AA256" s="4">
        <f>=ROUNDDOWN(16.2,0)</f>
      </c>
      <c r="AB256" s="5">
        <v>10</v>
      </c>
      <c r="AC256" s="2" t="s">
        <v>477</v>
      </c>
      <c r="AD256" s="4">
        <v>150</v>
      </c>
      <c r="AE256" s="4">
        <v>150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231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231</v>
      </c>
      <c r="AW256" s="8" t="s">
        <v>231</v>
      </c>
      <c r="AX256" s="4" t="s">
        <v>231</v>
      </c>
      <c r="AY256" s="8" t="s">
        <v>231</v>
      </c>
      <c r="AZ256" s="7" t="s">
        <v>231</v>
      </c>
      <c r="BA256" s="7" t="s">
        <v>231</v>
      </c>
      <c r="BB256" s="7" t="s">
        <v>231</v>
      </c>
      <c r="BC256" s="4" t="s">
        <v>231</v>
      </c>
      <c r="BD256" s="8" t="s">
        <v>231</v>
      </c>
      <c r="BE256" s="4" t="s">
        <v>231</v>
      </c>
      <c r="BF256" s="8" t="s">
        <v>231</v>
      </c>
      <c r="BG256" s="7" t="s">
        <v>231</v>
      </c>
      <c r="BH256" s="7" t="s">
        <v>231</v>
      </c>
      <c r="BI256" s="7"/>
      <c r="BJ256" s="4">
        <v>82</v>
      </c>
      <c r="BK256" s="8">
        <v>3009.92</v>
      </c>
      <c r="BL256" s="2" t="s">
        <v>1735</v>
      </c>
      <c r="BM256" s="7"/>
      <c r="BN256" s="7"/>
      <c r="BO256" s="4"/>
      <c r="BP256" s="8"/>
      <c r="BQ256" s="4"/>
      <c r="BR256" s="8"/>
      <c r="BS256" s="7"/>
      <c r="BT256" s="7"/>
      <c r="BU256" s="2" t="s">
        <v>1736</v>
      </c>
      <c r="BV256" s="2" t="s">
        <v>231</v>
      </c>
      <c r="BW256" s="2" t="s">
        <v>231</v>
      </c>
      <c r="BX256" s="2" t="s">
        <v>231</v>
      </c>
      <c r="BY256" s="2" t="s">
        <v>277</v>
      </c>
      <c r="BZ256" s="2" t="s">
        <v>243</v>
      </c>
      <c r="CA256" s="2" t="s">
        <v>1643</v>
      </c>
      <c r="CB256" s="2" t="s">
        <v>1737</v>
      </c>
      <c r="CC256" s="2" t="s">
        <v>244</v>
      </c>
      <c r="CD256" s="2" t="s">
        <v>231</v>
      </c>
      <c r="CE256" s="4">
        <v>162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>
        <v>150</v>
      </c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</row>
    <row r="257">
      <c r="A257" s="2" t="s">
        <v>1738</v>
      </c>
      <c r="B257" s="2" t="s">
        <v>1186</v>
      </c>
      <c r="C257" s="2" t="s">
        <v>631</v>
      </c>
      <c r="D257" s="2" t="s">
        <v>826</v>
      </c>
      <c r="E257" s="2" t="s">
        <v>1060</v>
      </c>
      <c r="F257" s="2" t="s">
        <v>1722</v>
      </c>
      <c r="G257" s="2" t="s">
        <v>1722</v>
      </c>
      <c r="H257" s="2" t="s">
        <v>1722</v>
      </c>
      <c r="I257" s="2" t="s">
        <v>1729</v>
      </c>
      <c r="J257" s="2" t="s">
        <v>669</v>
      </c>
      <c r="K257" s="2" t="s">
        <v>306</v>
      </c>
      <c r="L257" s="3">
        <v>36.57</v>
      </c>
      <c r="M257" s="3">
        <v>38.4</v>
      </c>
      <c r="N257" s="3">
        <v>79.99</v>
      </c>
      <c r="O257" s="2" t="s">
        <v>243</v>
      </c>
      <c r="P257" s="2" t="s">
        <v>341</v>
      </c>
      <c r="Q257" s="2" t="s">
        <v>237</v>
      </c>
      <c r="R257" s="2" t="s">
        <v>231</v>
      </c>
      <c r="S257" s="2" t="s">
        <v>1730</v>
      </c>
      <c r="T257" s="2" t="s">
        <v>231</v>
      </c>
      <c r="U257" s="2" t="s">
        <v>835</v>
      </c>
      <c r="V257" s="2" t="s">
        <v>391</v>
      </c>
      <c r="W257" s="2" t="s">
        <v>273</v>
      </c>
      <c r="X257" s="2" t="s">
        <v>231</v>
      </c>
      <c r="Y257" s="2" t="s">
        <v>1640</v>
      </c>
      <c r="Z257" s="4">
        <v>92</v>
      </c>
      <c r="AA257" s="4">
        <f>=ROUNDDOWN(15.3333333333333,0)</f>
      </c>
      <c r="AB257" s="5">
        <v>6</v>
      </c>
      <c r="AC257" s="2" t="s">
        <v>477</v>
      </c>
      <c r="AD257" s="4">
        <v>100</v>
      </c>
      <c r="AE257" s="4">
        <v>100</v>
      </c>
      <c r="AF257" s="6">
        <v>65</v>
      </c>
      <c r="AG257" s="6"/>
      <c r="AH257" s="7">
        <v>0.7097</v>
      </c>
      <c r="AI257" s="4"/>
      <c r="AJ257" s="4">
        <f>=ROUNDDOWN({0},0)</f>
      </c>
      <c r="AK257" s="5"/>
      <c r="AL257" s="2" t="s">
        <v>231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231</v>
      </c>
      <c r="AW257" s="8" t="s">
        <v>231</v>
      </c>
      <c r="AX257" s="4" t="s">
        <v>231</v>
      </c>
      <c r="AY257" s="8" t="s">
        <v>231</v>
      </c>
      <c r="AZ257" s="7" t="s">
        <v>231</v>
      </c>
      <c r="BA257" s="7" t="s">
        <v>231</v>
      </c>
      <c r="BB257" s="7" t="s">
        <v>231</v>
      </c>
      <c r="BC257" s="4" t="s">
        <v>231</v>
      </c>
      <c r="BD257" s="8" t="s">
        <v>231</v>
      </c>
      <c r="BE257" s="4" t="s">
        <v>231</v>
      </c>
      <c r="BF257" s="8" t="s">
        <v>231</v>
      </c>
      <c r="BG257" s="7" t="s">
        <v>231</v>
      </c>
      <c r="BH257" s="7" t="s">
        <v>231</v>
      </c>
      <c r="BI257" s="7"/>
      <c r="BJ257" s="4">
        <v>22</v>
      </c>
      <c r="BK257" s="8">
        <v>609.14</v>
      </c>
      <c r="BL257" s="2" t="s">
        <v>1731</v>
      </c>
      <c r="BM257" s="7"/>
      <c r="BN257" s="7"/>
      <c r="BO257" s="4"/>
      <c r="BP257" s="8"/>
      <c r="BQ257" s="4"/>
      <c r="BR257" s="8"/>
      <c r="BS257" s="7"/>
      <c r="BT257" s="7"/>
      <c r="BU257" s="2" t="s">
        <v>1739</v>
      </c>
      <c r="BV257" s="2" t="s">
        <v>231</v>
      </c>
      <c r="BW257" s="2" t="s">
        <v>231</v>
      </c>
      <c r="BX257" s="2" t="s">
        <v>231</v>
      </c>
      <c r="BY257" s="2" t="s">
        <v>277</v>
      </c>
      <c r="BZ257" s="2" t="s">
        <v>243</v>
      </c>
      <c r="CA257" s="2" t="s">
        <v>1643</v>
      </c>
      <c r="CB257" s="2" t="s">
        <v>1740</v>
      </c>
      <c r="CC257" s="2" t="s">
        <v>244</v>
      </c>
      <c r="CD257" s="2" t="s">
        <v>231</v>
      </c>
      <c r="CE257" s="4">
        <v>92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>
        <v>100</v>
      </c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</row>
    <row r="258">
      <c r="A258" s="2" t="s">
        <v>1741</v>
      </c>
      <c r="B258" s="2" t="s">
        <v>801</v>
      </c>
      <c r="C258" s="2" t="s">
        <v>815</v>
      </c>
      <c r="D258" s="2" t="s">
        <v>1114</v>
      </c>
      <c r="E258" s="2" t="s">
        <v>1115</v>
      </c>
      <c r="F258" s="2" t="s">
        <v>1742</v>
      </c>
      <c r="G258" s="2" t="s">
        <v>1743</v>
      </c>
      <c r="H258" s="2" t="s">
        <v>1742</v>
      </c>
      <c r="I258" s="2" t="s">
        <v>1744</v>
      </c>
      <c r="J258" s="2" t="s">
        <v>807</v>
      </c>
      <c r="K258" s="2" t="s">
        <v>269</v>
      </c>
      <c r="L258" s="3">
        <v>53</v>
      </c>
      <c r="M258" s="3">
        <v>55.65</v>
      </c>
      <c r="N258" s="3">
        <v>109.99</v>
      </c>
      <c r="O258" s="2" t="s">
        <v>243</v>
      </c>
      <c r="P258" s="2" t="s">
        <v>236</v>
      </c>
      <c r="Q258" s="2" t="s">
        <v>237</v>
      </c>
      <c r="R258" s="2" t="s">
        <v>231</v>
      </c>
      <c r="S258" s="2" t="s">
        <v>231</v>
      </c>
      <c r="T258" s="2" t="s">
        <v>231</v>
      </c>
      <c r="U258" s="2" t="s">
        <v>327</v>
      </c>
      <c r="V258" s="2" t="s">
        <v>662</v>
      </c>
      <c r="W258" s="2" t="s">
        <v>1745</v>
      </c>
      <c r="X258" s="2" t="s">
        <v>691</v>
      </c>
      <c r="Y258" s="2" t="s">
        <v>231</v>
      </c>
      <c r="Z258" s="4"/>
      <c r="AA258" s="4">
        <f>=ROUNDDOWN({0},0)</f>
      </c>
      <c r="AB258" s="5"/>
      <c r="AC258" s="2" t="s">
        <v>1137</v>
      </c>
      <c r="AD258" s="4">
        <v>100</v>
      </c>
      <c r="AE258" s="4">
        <v>100</v>
      </c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231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231</v>
      </c>
      <c r="BM258" s="7"/>
      <c r="BN258" s="7"/>
      <c r="BO258" s="4"/>
      <c r="BP258" s="8"/>
      <c r="BQ258" s="4"/>
      <c r="BR258" s="8"/>
      <c r="BS258" s="7"/>
      <c r="BT258" s="7"/>
      <c r="BU258" s="2" t="s">
        <v>241</v>
      </c>
      <c r="BV258" s="2" t="s">
        <v>231</v>
      </c>
      <c r="BW258" s="2" t="s">
        <v>231</v>
      </c>
      <c r="BX258" s="2" t="s">
        <v>241</v>
      </c>
      <c r="BY258" s="2" t="s">
        <v>242</v>
      </c>
      <c r="BZ258" s="2" t="s">
        <v>243</v>
      </c>
      <c r="CA258" s="2" t="s">
        <v>231</v>
      </c>
      <c r="CB258" s="2" t="s">
        <v>231</v>
      </c>
      <c r="CC258" s="2" t="s">
        <v>244</v>
      </c>
      <c r="CD258" s="2" t="s">
        <v>231</v>
      </c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>
        <v>100</v>
      </c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</row>
    <row r="259">
      <c r="A259" s="2" t="s">
        <v>1746</v>
      </c>
      <c r="B259" s="2" t="s">
        <v>940</v>
      </c>
      <c r="C259" s="2" t="s">
        <v>288</v>
      </c>
      <c r="D259" s="2" t="s">
        <v>1533</v>
      </c>
      <c r="E259" s="2" t="s">
        <v>1534</v>
      </c>
      <c r="F259" s="2" t="s">
        <v>1747</v>
      </c>
      <c r="G259" s="2" t="s">
        <v>1748</v>
      </c>
      <c r="H259" s="2" t="s">
        <v>1749</v>
      </c>
      <c r="I259" s="2" t="s">
        <v>1750</v>
      </c>
      <c r="J259" s="2" t="s">
        <v>1536</v>
      </c>
      <c r="K259" s="2" t="s">
        <v>985</v>
      </c>
      <c r="L259" s="3">
        <v>13.07</v>
      </c>
      <c r="M259" s="3">
        <v>13.72</v>
      </c>
      <c r="N259" s="3">
        <v>27.99</v>
      </c>
      <c r="O259" s="2" t="s">
        <v>243</v>
      </c>
      <c r="P259" s="2" t="s">
        <v>295</v>
      </c>
      <c r="Q259" s="2" t="s">
        <v>237</v>
      </c>
      <c r="R259" s="2" t="s">
        <v>231</v>
      </c>
      <c r="S259" s="2" t="s">
        <v>1751</v>
      </c>
      <c r="T259" s="2" t="s">
        <v>231</v>
      </c>
      <c r="U259" s="2" t="s">
        <v>327</v>
      </c>
      <c r="V259" s="2" t="s">
        <v>1752</v>
      </c>
      <c r="W259" s="2" t="s">
        <v>691</v>
      </c>
      <c r="X259" s="2" t="s">
        <v>273</v>
      </c>
      <c r="Y259" s="2" t="s">
        <v>1753</v>
      </c>
      <c r="Z259" s="4">
        <v>300</v>
      </c>
      <c r="AA259" s="4">
        <f>=ROUNDDOWN({0},0)</f>
      </c>
      <c r="AB259" s="5"/>
      <c r="AC259" s="2" t="s">
        <v>1754</v>
      </c>
      <c r="AD259" s="4">
        <v>300</v>
      </c>
      <c r="AE259" s="4">
        <v>300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231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231</v>
      </c>
      <c r="BM259" s="7"/>
      <c r="BN259" s="7"/>
      <c r="BO259" s="4"/>
      <c r="BP259" s="8"/>
      <c r="BQ259" s="4"/>
      <c r="BR259" s="8"/>
      <c r="BS259" s="7"/>
      <c r="BT259" s="7"/>
      <c r="BU259" s="2" t="s">
        <v>241</v>
      </c>
      <c r="BV259" s="2" t="s">
        <v>231</v>
      </c>
      <c r="BW259" s="2" t="s">
        <v>231</v>
      </c>
      <c r="BX259" s="2" t="s">
        <v>241</v>
      </c>
      <c r="BY259" s="2" t="s">
        <v>242</v>
      </c>
      <c r="BZ259" s="2" t="s">
        <v>243</v>
      </c>
      <c r="CA259" s="2" t="s">
        <v>231</v>
      </c>
      <c r="CB259" s="2" t="s">
        <v>231</v>
      </c>
      <c r="CC259" s="2" t="s">
        <v>244</v>
      </c>
      <c r="CD259" s="2" t="s">
        <v>231</v>
      </c>
      <c r="CE259" s="4">
        <v>300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>
        <v>300</v>
      </c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</row>
    <row r="260">
      <c r="A260" s="2" t="s">
        <v>1755</v>
      </c>
      <c r="B260" s="2" t="s">
        <v>1004</v>
      </c>
      <c r="C260" s="2" t="s">
        <v>288</v>
      </c>
      <c r="D260" s="2" t="s">
        <v>1031</v>
      </c>
      <c r="E260" s="2" t="s">
        <v>1123</v>
      </c>
      <c r="F260" s="2" t="s">
        <v>1756</v>
      </c>
      <c r="G260" s="2" t="s">
        <v>1757</v>
      </c>
      <c r="H260" s="2" t="s">
        <v>1758</v>
      </c>
      <c r="I260" s="2" t="s">
        <v>1759</v>
      </c>
      <c r="J260" s="2" t="s">
        <v>807</v>
      </c>
      <c r="K260" s="2" t="s">
        <v>1136</v>
      </c>
      <c r="L260" s="3">
        <v>220</v>
      </c>
      <c r="M260" s="3">
        <v>231</v>
      </c>
      <c r="N260" s="3">
        <v>459.99</v>
      </c>
      <c r="O260" s="2" t="s">
        <v>250</v>
      </c>
      <c r="P260" s="2" t="s">
        <v>341</v>
      </c>
      <c r="Q260" s="2" t="s">
        <v>237</v>
      </c>
      <c r="R260" s="2" t="s">
        <v>231</v>
      </c>
      <c r="S260" s="2" t="s">
        <v>1760</v>
      </c>
      <c r="T260" s="2" t="s">
        <v>231</v>
      </c>
      <c r="U260" s="2" t="s">
        <v>231</v>
      </c>
      <c r="V260" s="2" t="s">
        <v>1685</v>
      </c>
      <c r="W260" s="2" t="s">
        <v>676</v>
      </c>
      <c r="X260" s="2" t="s">
        <v>231</v>
      </c>
      <c r="Y260" s="2" t="s">
        <v>274</v>
      </c>
      <c r="Z260" s="4"/>
      <c r="AA260" s="4">
        <f>=ROUNDDOWN({0},0)</f>
      </c>
      <c r="AB260" s="5"/>
      <c r="AC260" s="2" t="s">
        <v>231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231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231</v>
      </c>
      <c r="BM260" s="7"/>
      <c r="BN260" s="7"/>
      <c r="BO260" s="4"/>
      <c r="BP260" s="8"/>
      <c r="BQ260" s="4"/>
      <c r="BR260" s="8"/>
      <c r="BS260" s="7"/>
      <c r="BT260" s="7"/>
      <c r="BU260" s="2" t="s">
        <v>1761</v>
      </c>
      <c r="BV260" s="2" t="s">
        <v>231</v>
      </c>
      <c r="BW260" s="2" t="s">
        <v>231</v>
      </c>
      <c r="BX260" s="2" t="s">
        <v>231</v>
      </c>
      <c r="BY260" s="2" t="s">
        <v>277</v>
      </c>
      <c r="BZ260" s="2" t="s">
        <v>243</v>
      </c>
      <c r="CA260" s="2" t="s">
        <v>1762</v>
      </c>
      <c r="CB260" s="2" t="s">
        <v>1763</v>
      </c>
      <c r="CC260" s="2" t="s">
        <v>244</v>
      </c>
      <c r="CD260" s="2" t="s">
        <v>231</v>
      </c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</row>
    <row r="261">
      <c r="A261" s="2" t="s">
        <v>1764</v>
      </c>
      <c r="B261" s="2" t="s">
        <v>1004</v>
      </c>
      <c r="C261" s="2" t="s">
        <v>288</v>
      </c>
      <c r="D261" s="2" t="s">
        <v>1031</v>
      </c>
      <c r="E261" s="2" t="s">
        <v>1032</v>
      </c>
      <c r="F261" s="2" t="s">
        <v>1765</v>
      </c>
      <c r="G261" s="2" t="s">
        <v>1766</v>
      </c>
      <c r="H261" s="2" t="s">
        <v>1767</v>
      </c>
      <c r="I261" s="2" t="s">
        <v>1768</v>
      </c>
      <c r="J261" s="2" t="s">
        <v>807</v>
      </c>
      <c r="K261" s="2" t="s">
        <v>901</v>
      </c>
      <c r="L261" s="3">
        <v>234</v>
      </c>
      <c r="M261" s="3">
        <v>245.7</v>
      </c>
      <c r="N261" s="3">
        <v>499</v>
      </c>
      <c r="O261" s="2" t="s">
        <v>243</v>
      </c>
      <c r="P261" s="2" t="s">
        <v>341</v>
      </c>
      <c r="Q261" s="2" t="s">
        <v>237</v>
      </c>
      <c r="R261" s="2" t="s">
        <v>231</v>
      </c>
      <c r="S261" s="2" t="s">
        <v>231</v>
      </c>
      <c r="T261" s="2" t="s">
        <v>231</v>
      </c>
      <c r="U261" s="2" t="s">
        <v>327</v>
      </c>
      <c r="V261" s="2" t="s">
        <v>662</v>
      </c>
      <c r="W261" s="2" t="s">
        <v>676</v>
      </c>
      <c r="X261" s="2" t="s">
        <v>792</v>
      </c>
      <c r="Y261" s="2" t="s">
        <v>1769</v>
      </c>
      <c r="Z261" s="4">
        <v>89</v>
      </c>
      <c r="AA261" s="4">
        <f>=ROUNDDOWN(22.25,0)</f>
      </c>
      <c r="AB261" s="5">
        <v>4</v>
      </c>
      <c r="AC261" s="2" t="s">
        <v>231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231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>
        <v>22</v>
      </c>
      <c r="BK261" s="8">
        <v>5779.94</v>
      </c>
      <c r="BL261" s="2" t="s">
        <v>1770</v>
      </c>
      <c r="BM261" s="7"/>
      <c r="BN261" s="7"/>
      <c r="BO261" s="4"/>
      <c r="BP261" s="8"/>
      <c r="BQ261" s="4"/>
      <c r="BR261" s="8"/>
      <c r="BS261" s="7"/>
      <c r="BT261" s="7"/>
      <c r="BU261" s="2" t="s">
        <v>1771</v>
      </c>
      <c r="BV261" s="2" t="s">
        <v>231</v>
      </c>
      <c r="BW261" s="2" t="s">
        <v>231</v>
      </c>
      <c r="BX261" s="2" t="s">
        <v>231</v>
      </c>
      <c r="BY261" s="2" t="s">
        <v>277</v>
      </c>
      <c r="BZ261" s="2" t="s">
        <v>243</v>
      </c>
      <c r="CA261" s="2" t="s">
        <v>1769</v>
      </c>
      <c r="CB261" s="2" t="s">
        <v>1772</v>
      </c>
      <c r="CC261" s="2" t="s">
        <v>244</v>
      </c>
      <c r="CD261" s="2" t="s">
        <v>231</v>
      </c>
      <c r="CE261" s="4"/>
      <c r="CF261" s="4">
        <v>89</v>
      </c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</row>
    <row r="262">
      <c r="A262" s="2" t="s">
        <v>1773</v>
      </c>
      <c r="B262" s="2" t="s">
        <v>226</v>
      </c>
      <c r="C262" s="2" t="s">
        <v>288</v>
      </c>
      <c r="D262" s="2" t="s">
        <v>654</v>
      </c>
      <c r="E262" s="2" t="s">
        <v>890</v>
      </c>
      <c r="F262" s="2" t="s">
        <v>1774</v>
      </c>
      <c r="G262" s="2" t="s">
        <v>1775</v>
      </c>
      <c r="H262" s="2" t="s">
        <v>1775</v>
      </c>
      <c r="I262" s="2" t="s">
        <v>1776</v>
      </c>
      <c r="J262" s="2" t="s">
        <v>318</v>
      </c>
      <c r="K262" s="2" t="s">
        <v>253</v>
      </c>
      <c r="L262" s="3">
        <v>32.9</v>
      </c>
      <c r="M262" s="3">
        <v>34.54</v>
      </c>
      <c r="N262" s="3">
        <v>69.99</v>
      </c>
      <c r="O262" s="2" t="s">
        <v>243</v>
      </c>
      <c r="P262" s="2" t="s">
        <v>341</v>
      </c>
      <c r="Q262" s="2" t="s">
        <v>237</v>
      </c>
      <c r="R262" s="2" t="s">
        <v>231</v>
      </c>
      <c r="S262" s="2" t="s">
        <v>1777</v>
      </c>
      <c r="T262" s="2" t="s">
        <v>895</v>
      </c>
      <c r="U262" s="2" t="s">
        <v>231</v>
      </c>
      <c r="V262" s="2" t="s">
        <v>987</v>
      </c>
      <c r="W262" s="2" t="s">
        <v>273</v>
      </c>
      <c r="X262" s="2" t="s">
        <v>299</v>
      </c>
      <c r="Y262" s="2" t="s">
        <v>274</v>
      </c>
      <c r="Z262" s="4">
        <v>12</v>
      </c>
      <c r="AA262" s="4">
        <f>=ROUNDDOWN(1.71428571428571,0)</f>
      </c>
      <c r="AB262" s="5">
        <v>7</v>
      </c>
      <c r="AC262" s="2" t="s">
        <v>231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231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231</v>
      </c>
      <c r="AW262" s="8" t="s">
        <v>231</v>
      </c>
      <c r="AX262" s="4" t="s">
        <v>231</v>
      </c>
      <c r="AY262" s="8" t="s">
        <v>231</v>
      </c>
      <c r="AZ262" s="7" t="s">
        <v>231</v>
      </c>
      <c r="BA262" s="7" t="s">
        <v>231</v>
      </c>
      <c r="BB262" s="7"/>
      <c r="BC262" s="4" t="s">
        <v>231</v>
      </c>
      <c r="BD262" s="8" t="s">
        <v>231</v>
      </c>
      <c r="BE262" s="4" t="s">
        <v>231</v>
      </c>
      <c r="BF262" s="8" t="s">
        <v>231</v>
      </c>
      <c r="BG262" s="7" t="s">
        <v>231</v>
      </c>
      <c r="BH262" s="7" t="s">
        <v>231</v>
      </c>
      <c r="BI262" s="7"/>
      <c r="BJ262" s="4">
        <v>3</v>
      </c>
      <c r="BK262" s="8">
        <v>97.65</v>
      </c>
      <c r="BL262" s="2" t="s">
        <v>465</v>
      </c>
      <c r="BM262" s="7"/>
      <c r="BN262" s="7"/>
      <c r="BO262" s="4"/>
      <c r="BP262" s="8"/>
      <c r="BQ262" s="4"/>
      <c r="BR262" s="8"/>
      <c r="BS262" s="7"/>
      <c r="BT262" s="7"/>
      <c r="BU262" s="2" t="s">
        <v>1778</v>
      </c>
      <c r="BV262" s="2" t="s">
        <v>231</v>
      </c>
      <c r="BW262" s="2" t="s">
        <v>231</v>
      </c>
      <c r="BX262" s="2" t="s">
        <v>1360</v>
      </c>
      <c r="BY262" s="2" t="s">
        <v>277</v>
      </c>
      <c r="BZ262" s="2" t="s">
        <v>243</v>
      </c>
      <c r="CA262" s="2" t="s">
        <v>1779</v>
      </c>
      <c r="CB262" s="2" t="s">
        <v>1780</v>
      </c>
      <c r="CC262" s="2" t="s">
        <v>244</v>
      </c>
      <c r="CD262" s="2" t="s">
        <v>231</v>
      </c>
      <c r="CE262" s="4">
        <v>12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</row>
    <row r="263">
      <c r="A263" s="2" t="s">
        <v>1781</v>
      </c>
      <c r="B263" s="2" t="s">
        <v>226</v>
      </c>
      <c r="C263" s="2" t="s">
        <v>288</v>
      </c>
      <c r="D263" s="2" t="s">
        <v>654</v>
      </c>
      <c r="E263" s="2" t="s">
        <v>890</v>
      </c>
      <c r="F263" s="2" t="s">
        <v>1774</v>
      </c>
      <c r="G263" s="2" t="s">
        <v>1775</v>
      </c>
      <c r="H263" s="2" t="s">
        <v>1775</v>
      </c>
      <c r="I263" s="2" t="s">
        <v>1776</v>
      </c>
      <c r="J263" s="2" t="s">
        <v>658</v>
      </c>
      <c r="K263" s="2" t="s">
        <v>253</v>
      </c>
      <c r="L263" s="3">
        <v>50</v>
      </c>
      <c r="M263" s="3">
        <v>52.5</v>
      </c>
      <c r="N263" s="3">
        <v>99.99</v>
      </c>
      <c r="O263" s="2" t="s">
        <v>243</v>
      </c>
      <c r="P263" s="2" t="s">
        <v>270</v>
      </c>
      <c r="Q263" s="2" t="s">
        <v>237</v>
      </c>
      <c r="R263" s="2" t="s">
        <v>231</v>
      </c>
      <c r="S263" s="2" t="s">
        <v>1777</v>
      </c>
      <c r="T263" s="2" t="s">
        <v>895</v>
      </c>
      <c r="U263" s="2" t="s">
        <v>231</v>
      </c>
      <c r="V263" s="2" t="s">
        <v>987</v>
      </c>
      <c r="W263" s="2" t="s">
        <v>273</v>
      </c>
      <c r="X263" s="2" t="s">
        <v>299</v>
      </c>
      <c r="Y263" s="2" t="s">
        <v>274</v>
      </c>
      <c r="Z263" s="4"/>
      <c r="AA263" s="4">
        <f>=ROUNDDOWN({0},0)</f>
      </c>
      <c r="AB263" s="5">
        <v>15</v>
      </c>
      <c r="AC263" s="2" t="s">
        <v>701</v>
      </c>
      <c r="AD263" s="4">
        <v>190</v>
      </c>
      <c r="AE263" s="4">
        <v>900</v>
      </c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231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231</v>
      </c>
      <c r="AW263" s="8" t="s">
        <v>231</v>
      </c>
      <c r="AX263" s="4" t="s">
        <v>231</v>
      </c>
      <c r="AY263" s="8" t="s">
        <v>231</v>
      </c>
      <c r="AZ263" s="7" t="s">
        <v>231</v>
      </c>
      <c r="BA263" s="7" t="s">
        <v>231</v>
      </c>
      <c r="BB263" s="7"/>
      <c r="BC263" s="4" t="s">
        <v>231</v>
      </c>
      <c r="BD263" s="8" t="s">
        <v>231</v>
      </c>
      <c r="BE263" s="4" t="s">
        <v>231</v>
      </c>
      <c r="BF263" s="8" t="s">
        <v>231</v>
      </c>
      <c r="BG263" s="7" t="s">
        <v>231</v>
      </c>
      <c r="BH263" s="7" t="s">
        <v>231</v>
      </c>
      <c r="BI263" s="7"/>
      <c r="BJ263" s="4"/>
      <c r="BK263" s="8"/>
      <c r="BL263" s="2" t="s">
        <v>231</v>
      </c>
      <c r="BM263" s="7"/>
      <c r="BN263" s="7"/>
      <c r="BO263" s="4"/>
      <c r="BP263" s="8"/>
      <c r="BQ263" s="4"/>
      <c r="BR263" s="8"/>
      <c r="BS263" s="7"/>
      <c r="BT263" s="7"/>
      <c r="BU263" s="2" t="s">
        <v>1782</v>
      </c>
      <c r="BV263" s="2" t="s">
        <v>231</v>
      </c>
      <c r="BW263" s="2" t="s">
        <v>231</v>
      </c>
      <c r="BX263" s="2" t="s">
        <v>231</v>
      </c>
      <c r="BY263" s="2" t="s">
        <v>277</v>
      </c>
      <c r="BZ263" s="2" t="s">
        <v>243</v>
      </c>
      <c r="CA263" s="2" t="s">
        <v>1779</v>
      </c>
      <c r="CB263" s="2" t="s">
        <v>1667</v>
      </c>
      <c r="CC263" s="2" t="s">
        <v>244</v>
      </c>
      <c r="CD263" s="2" t="s">
        <v>231</v>
      </c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>
        <v>190</v>
      </c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>
        <v>220</v>
      </c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>
        <v>490</v>
      </c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</row>
    <row r="264">
      <c r="A264" s="2" t="s">
        <v>1783</v>
      </c>
      <c r="B264" s="2" t="s">
        <v>1186</v>
      </c>
      <c r="C264" s="2" t="s">
        <v>1017</v>
      </c>
      <c r="D264" s="2" t="s">
        <v>654</v>
      </c>
      <c r="E264" s="2" t="s">
        <v>655</v>
      </c>
      <c r="F264" s="2" t="s">
        <v>1784</v>
      </c>
      <c r="G264" s="2" t="s">
        <v>1785</v>
      </c>
      <c r="H264" s="2" t="s">
        <v>1786</v>
      </c>
      <c r="I264" s="2" t="s">
        <v>1787</v>
      </c>
      <c r="J264" s="2" t="s">
        <v>832</v>
      </c>
      <c r="K264" s="2" t="s">
        <v>234</v>
      </c>
      <c r="L264" s="3">
        <v>19.04</v>
      </c>
      <c r="M264" s="3">
        <v>19.99</v>
      </c>
      <c r="N264" s="3">
        <v>39.99</v>
      </c>
      <c r="O264" s="2" t="s">
        <v>243</v>
      </c>
      <c r="P264" s="2" t="s">
        <v>341</v>
      </c>
      <c r="Q264" s="2" t="s">
        <v>237</v>
      </c>
      <c r="R264" s="2" t="s">
        <v>231</v>
      </c>
      <c r="S264" s="2" t="s">
        <v>1788</v>
      </c>
      <c r="T264" s="2" t="s">
        <v>472</v>
      </c>
      <c r="U264" s="2" t="s">
        <v>791</v>
      </c>
      <c r="V264" s="2" t="s">
        <v>1192</v>
      </c>
      <c r="W264" s="2" t="s">
        <v>896</v>
      </c>
      <c r="X264" s="2" t="s">
        <v>691</v>
      </c>
      <c r="Y264" s="2" t="s">
        <v>1789</v>
      </c>
      <c r="Z264" s="4">
        <v>194</v>
      </c>
      <c r="AA264" s="4">
        <f>=ROUNDDOWN(194,0)</f>
      </c>
      <c r="AB264" s="5">
        <v>1</v>
      </c>
      <c r="AC264" s="2" t="s">
        <v>231</v>
      </c>
      <c r="AD264" s="4"/>
      <c r="AE264" s="4"/>
      <c r="AF264" s="6">
        <v>63</v>
      </c>
      <c r="AG264" s="6">
        <v>46</v>
      </c>
      <c r="AH264" s="7">
        <v>1</v>
      </c>
      <c r="AI264" s="4"/>
      <c r="AJ264" s="4">
        <f>=ROUNDDOWN({0},0)</f>
      </c>
      <c r="AK264" s="5"/>
      <c r="AL264" s="2" t="s">
        <v>231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231</v>
      </c>
      <c r="BD264" s="8" t="s">
        <v>231</v>
      </c>
      <c r="BE264" s="4" t="s">
        <v>231</v>
      </c>
      <c r="BF264" s="8" t="s">
        <v>231</v>
      </c>
      <c r="BG264" s="7" t="s">
        <v>231</v>
      </c>
      <c r="BH264" s="7" t="s">
        <v>231</v>
      </c>
      <c r="BI264" s="7"/>
      <c r="BJ264" s="4">
        <v>1</v>
      </c>
      <c r="BK264" s="8">
        <v>42.99</v>
      </c>
      <c r="BL264" s="2" t="s">
        <v>1028</v>
      </c>
      <c r="BM264" s="7"/>
      <c r="BN264" s="7"/>
      <c r="BO264" s="4"/>
      <c r="BP264" s="8"/>
      <c r="BQ264" s="4"/>
      <c r="BR264" s="8"/>
      <c r="BS264" s="7"/>
      <c r="BT264" s="7"/>
      <c r="BU264" s="2" t="s">
        <v>1790</v>
      </c>
      <c r="BV264" s="2" t="s">
        <v>231</v>
      </c>
      <c r="BW264" s="2" t="s">
        <v>231</v>
      </c>
      <c r="BX264" s="2" t="s">
        <v>241</v>
      </c>
      <c r="BY264" s="2" t="s">
        <v>277</v>
      </c>
      <c r="BZ264" s="2" t="s">
        <v>243</v>
      </c>
      <c r="CA264" s="2" t="s">
        <v>1791</v>
      </c>
      <c r="CB264" s="2" t="s">
        <v>231</v>
      </c>
      <c r="CC264" s="2" t="s">
        <v>244</v>
      </c>
      <c r="CD264" s="2" t="s">
        <v>231</v>
      </c>
      <c r="CE264" s="4">
        <v>107</v>
      </c>
      <c r="CF264" s="4"/>
      <c r="CG264" s="4"/>
      <c r="CH264" s="4"/>
      <c r="CI264" s="4">
        <v>87</v>
      </c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</row>
    <row r="265">
      <c r="A265" s="2" t="s">
        <v>1792</v>
      </c>
      <c r="B265" s="2" t="s">
        <v>801</v>
      </c>
      <c r="C265" s="2" t="s">
        <v>815</v>
      </c>
      <c r="D265" s="2" t="s">
        <v>1043</v>
      </c>
      <c r="E265" s="2" t="s">
        <v>1044</v>
      </c>
      <c r="F265" s="2" t="s">
        <v>1784</v>
      </c>
      <c r="G265" s="2" t="s">
        <v>1784</v>
      </c>
      <c r="H265" s="2" t="s">
        <v>1784</v>
      </c>
      <c r="I265" s="2" t="s">
        <v>1793</v>
      </c>
      <c r="J265" s="2" t="s">
        <v>807</v>
      </c>
      <c r="K265" s="2" t="s">
        <v>1496</v>
      </c>
      <c r="L265" s="3">
        <v>67</v>
      </c>
      <c r="M265" s="3">
        <v>70.35</v>
      </c>
      <c r="N265" s="3">
        <v>139.99</v>
      </c>
      <c r="O265" s="2" t="s">
        <v>243</v>
      </c>
      <c r="P265" s="2" t="s">
        <v>341</v>
      </c>
      <c r="Q265" s="2" t="s">
        <v>237</v>
      </c>
      <c r="R265" s="2" t="s">
        <v>231</v>
      </c>
      <c r="S265" s="2" t="s">
        <v>231</v>
      </c>
      <c r="T265" s="2" t="s">
        <v>231</v>
      </c>
      <c r="U265" s="2" t="s">
        <v>327</v>
      </c>
      <c r="V265" s="2" t="s">
        <v>662</v>
      </c>
      <c r="W265" s="2" t="s">
        <v>691</v>
      </c>
      <c r="X265" s="2" t="s">
        <v>1794</v>
      </c>
      <c r="Y265" s="2" t="s">
        <v>1617</v>
      </c>
      <c r="Z265" s="4">
        <v>60</v>
      </c>
      <c r="AA265" s="4">
        <f>=ROUNDDOWN(60,0)</f>
      </c>
      <c r="AB265" s="5">
        <v>1</v>
      </c>
      <c r="AC265" s="2" t="s">
        <v>231</v>
      </c>
      <c r="AD265" s="4"/>
      <c r="AE265" s="4"/>
      <c r="AF265" s="6">
        <v>63</v>
      </c>
      <c r="AG265" s="6"/>
      <c r="AH265" s="7">
        <v>1</v>
      </c>
      <c r="AI265" s="4"/>
      <c r="AJ265" s="4">
        <f>=ROUNDDOWN({0},0)</f>
      </c>
      <c r="AK265" s="5"/>
      <c r="AL265" s="2" t="s">
        <v>231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231</v>
      </c>
      <c r="BD265" s="8" t="s">
        <v>231</v>
      </c>
      <c r="BE265" s="4" t="s">
        <v>231</v>
      </c>
      <c r="BF265" s="8" t="s">
        <v>231</v>
      </c>
      <c r="BG265" s="7" t="s">
        <v>231</v>
      </c>
      <c r="BH265" s="7" t="s">
        <v>231</v>
      </c>
      <c r="BI265" s="7"/>
      <c r="BJ265" s="4">
        <v>1</v>
      </c>
      <c r="BK265" s="8">
        <v>70.35</v>
      </c>
      <c r="BL265" s="2" t="s">
        <v>1795</v>
      </c>
      <c r="BM265" s="7"/>
      <c r="BN265" s="7"/>
      <c r="BO265" s="4"/>
      <c r="BP265" s="8"/>
      <c r="BQ265" s="4"/>
      <c r="BR265" s="8"/>
      <c r="BS265" s="7"/>
      <c r="BT265" s="7"/>
      <c r="BU265" s="2" t="s">
        <v>1796</v>
      </c>
      <c r="BV265" s="2" t="s">
        <v>231</v>
      </c>
      <c r="BW265" s="2" t="s">
        <v>231</v>
      </c>
      <c r="BX265" s="2" t="s">
        <v>231</v>
      </c>
      <c r="BY265" s="2" t="s">
        <v>277</v>
      </c>
      <c r="BZ265" s="2" t="s">
        <v>243</v>
      </c>
      <c r="CA265" s="2" t="s">
        <v>1797</v>
      </c>
      <c r="CB265" s="2" t="s">
        <v>1798</v>
      </c>
      <c r="CC265" s="2" t="s">
        <v>244</v>
      </c>
      <c r="CD265" s="2" t="s">
        <v>231</v>
      </c>
      <c r="CE265" s="4"/>
      <c r="CF265" s="4">
        <v>60</v>
      </c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</row>
    <row r="266">
      <c r="A266" s="2" t="s">
        <v>1799</v>
      </c>
      <c r="B266" s="2" t="s">
        <v>1186</v>
      </c>
      <c r="C266" s="2" t="s">
        <v>1017</v>
      </c>
      <c r="D266" s="2" t="s">
        <v>654</v>
      </c>
      <c r="E266" s="2" t="s">
        <v>655</v>
      </c>
      <c r="F266" s="2" t="s">
        <v>1784</v>
      </c>
      <c r="G266" s="2" t="s">
        <v>1785</v>
      </c>
      <c r="H266" s="2" t="s">
        <v>1786</v>
      </c>
      <c r="I266" s="2" t="s">
        <v>1787</v>
      </c>
      <c r="J266" s="2" t="s">
        <v>832</v>
      </c>
      <c r="K266" s="2" t="s">
        <v>1800</v>
      </c>
      <c r="L266" s="3">
        <v>19.04</v>
      </c>
      <c r="M266" s="3">
        <v>19.99</v>
      </c>
      <c r="N266" s="3">
        <v>39.99</v>
      </c>
      <c r="O266" s="2" t="s">
        <v>243</v>
      </c>
      <c r="P266" s="2" t="s">
        <v>341</v>
      </c>
      <c r="Q266" s="2" t="s">
        <v>237</v>
      </c>
      <c r="R266" s="2" t="s">
        <v>231</v>
      </c>
      <c r="S266" s="2" t="s">
        <v>1801</v>
      </c>
      <c r="T266" s="2" t="s">
        <v>472</v>
      </c>
      <c r="U266" s="2" t="s">
        <v>791</v>
      </c>
      <c r="V266" s="2" t="s">
        <v>1192</v>
      </c>
      <c r="W266" s="2" t="s">
        <v>896</v>
      </c>
      <c r="X266" s="2" t="s">
        <v>691</v>
      </c>
      <c r="Y266" s="2" t="s">
        <v>1789</v>
      </c>
      <c r="Z266" s="4">
        <v>311</v>
      </c>
      <c r="AA266" s="4">
        <f>=ROUNDDOWN(77.75,0)</f>
      </c>
      <c r="AB266" s="5">
        <v>4</v>
      </c>
      <c r="AC266" s="2" t="s">
        <v>383</v>
      </c>
      <c r="AD266" s="4">
        <v>300</v>
      </c>
      <c r="AE266" s="4">
        <v>300</v>
      </c>
      <c r="AF266" s="6">
        <v>63</v>
      </c>
      <c r="AG266" s="6">
        <v>46</v>
      </c>
      <c r="AH266" s="7">
        <v>1</v>
      </c>
      <c r="AI266" s="4"/>
      <c r="AJ266" s="4">
        <f>=ROUNDDOWN({0},0)</f>
      </c>
      <c r="AK266" s="5"/>
      <c r="AL266" s="2" t="s">
        <v>231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231</v>
      </c>
      <c r="BD266" s="8" t="s">
        <v>231</v>
      </c>
      <c r="BE266" s="4" t="s">
        <v>231</v>
      </c>
      <c r="BF266" s="8" t="s">
        <v>231</v>
      </c>
      <c r="BG266" s="7" t="s">
        <v>231</v>
      </c>
      <c r="BH266" s="7" t="s">
        <v>231</v>
      </c>
      <c r="BI266" s="7"/>
      <c r="BJ266" s="4">
        <v>10</v>
      </c>
      <c r="BK266" s="8">
        <v>336.77</v>
      </c>
      <c r="BL266" s="2" t="s">
        <v>1802</v>
      </c>
      <c r="BM266" s="7"/>
      <c r="BN266" s="7"/>
      <c r="BO266" s="4"/>
      <c r="BP266" s="8"/>
      <c r="BQ266" s="4"/>
      <c r="BR266" s="8"/>
      <c r="BS266" s="7"/>
      <c r="BT266" s="7"/>
      <c r="BU266" s="2" t="s">
        <v>1803</v>
      </c>
      <c r="BV266" s="2" t="s">
        <v>231</v>
      </c>
      <c r="BW266" s="2" t="s">
        <v>231</v>
      </c>
      <c r="BX266" s="2" t="s">
        <v>241</v>
      </c>
      <c r="BY266" s="2" t="s">
        <v>277</v>
      </c>
      <c r="BZ266" s="2" t="s">
        <v>243</v>
      </c>
      <c r="CA266" s="2" t="s">
        <v>1791</v>
      </c>
      <c r="CB266" s="2" t="s">
        <v>231</v>
      </c>
      <c r="CC266" s="2" t="s">
        <v>244</v>
      </c>
      <c r="CD266" s="2" t="s">
        <v>231</v>
      </c>
      <c r="CE266" s="4">
        <v>184</v>
      </c>
      <c r="CF266" s="4"/>
      <c r="CG266" s="4"/>
      <c r="CH266" s="4"/>
      <c r="CI266" s="4">
        <v>127</v>
      </c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>
        <v>300</v>
      </c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</row>
    <row r="267">
      <c r="A267" s="2" t="s">
        <v>1804</v>
      </c>
      <c r="B267" s="2" t="s">
        <v>1004</v>
      </c>
      <c r="C267" s="2" t="s">
        <v>288</v>
      </c>
      <c r="D267" s="2" t="s">
        <v>1689</v>
      </c>
      <c r="E267" s="2" t="s">
        <v>1690</v>
      </c>
      <c r="F267" s="2" t="s">
        <v>1805</v>
      </c>
      <c r="G267" s="2" t="s">
        <v>1806</v>
      </c>
      <c r="H267" s="2" t="s">
        <v>1784</v>
      </c>
      <c r="I267" s="2" t="s">
        <v>1807</v>
      </c>
      <c r="J267" s="2" t="s">
        <v>807</v>
      </c>
      <c r="K267" s="2" t="s">
        <v>1808</v>
      </c>
      <c r="L267" s="3">
        <v>182.75</v>
      </c>
      <c r="M267" s="3">
        <v>191.89</v>
      </c>
      <c r="N267" s="3">
        <v>379</v>
      </c>
      <c r="O267" s="2" t="s">
        <v>243</v>
      </c>
      <c r="P267" s="2" t="s">
        <v>270</v>
      </c>
      <c r="Q267" s="2" t="s">
        <v>237</v>
      </c>
      <c r="R267" s="2" t="s">
        <v>231</v>
      </c>
      <c r="S267" s="2" t="s">
        <v>231</v>
      </c>
      <c r="T267" s="2" t="s">
        <v>231</v>
      </c>
      <c r="U267" s="2" t="s">
        <v>231</v>
      </c>
      <c r="V267" s="2" t="s">
        <v>239</v>
      </c>
      <c r="W267" s="2" t="s">
        <v>792</v>
      </c>
      <c r="X267" s="2" t="s">
        <v>231</v>
      </c>
      <c r="Y267" s="2" t="s">
        <v>1809</v>
      </c>
      <c r="Z267" s="4">
        <v>45</v>
      </c>
      <c r="AA267" s="4">
        <f>=ROUNDDOWN(11.25,0)</f>
      </c>
      <c r="AB267" s="5">
        <v>4</v>
      </c>
      <c r="AC267" s="2" t="s">
        <v>1137</v>
      </c>
      <c r="AD267" s="4">
        <v>84</v>
      </c>
      <c r="AE267" s="4">
        <v>180</v>
      </c>
      <c r="AF267" s="6">
        <v>74</v>
      </c>
      <c r="AG267" s="6"/>
      <c r="AH267" s="7">
        <v>1</v>
      </c>
      <c r="AI267" s="4"/>
      <c r="AJ267" s="4">
        <f>=ROUNDDOWN({0},0)</f>
      </c>
      <c r="AK267" s="5"/>
      <c r="AL267" s="2" t="s">
        <v>231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>
        <v>13</v>
      </c>
      <c r="BK267" s="8">
        <v>2260.73</v>
      </c>
      <c r="BL267" s="2" t="s">
        <v>1810</v>
      </c>
      <c r="BM267" s="7"/>
      <c r="BN267" s="7"/>
      <c r="BO267" s="4"/>
      <c r="BP267" s="8"/>
      <c r="BQ267" s="4"/>
      <c r="BR267" s="8"/>
      <c r="BS267" s="7"/>
      <c r="BT267" s="7"/>
      <c r="BU267" s="2" t="s">
        <v>1811</v>
      </c>
      <c r="BV267" s="2" t="s">
        <v>231</v>
      </c>
      <c r="BW267" s="2" t="s">
        <v>231</v>
      </c>
      <c r="BX267" s="2" t="s">
        <v>1812</v>
      </c>
      <c r="BY267" s="2" t="s">
        <v>277</v>
      </c>
      <c r="BZ267" s="2" t="s">
        <v>243</v>
      </c>
      <c r="CA267" s="2" t="s">
        <v>1813</v>
      </c>
      <c r="CB267" s="2" t="s">
        <v>1814</v>
      </c>
      <c r="CC267" s="2" t="s">
        <v>244</v>
      </c>
      <c r="CD267" s="2" t="s">
        <v>231</v>
      </c>
      <c r="CE267" s="4"/>
      <c r="CF267" s="4">
        <v>45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>
        <v>84</v>
      </c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>
        <v>16</v>
      </c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>
        <v>80</v>
      </c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</row>
    <row r="268">
      <c r="A268" s="2" t="s">
        <v>1815</v>
      </c>
      <c r="B268" s="2" t="s">
        <v>1186</v>
      </c>
      <c r="C268" s="2" t="s">
        <v>1816</v>
      </c>
      <c r="D268" s="2" t="s">
        <v>654</v>
      </c>
      <c r="E268" s="2" t="s">
        <v>890</v>
      </c>
      <c r="F268" s="2" t="s">
        <v>1817</v>
      </c>
      <c r="G268" s="2" t="s">
        <v>1817</v>
      </c>
      <c r="H268" s="2" t="s">
        <v>1817</v>
      </c>
      <c r="I268" s="2" t="s">
        <v>1818</v>
      </c>
      <c r="J268" s="2" t="s">
        <v>658</v>
      </c>
      <c r="K268" s="2" t="s">
        <v>682</v>
      </c>
      <c r="L268" s="3">
        <v>102.14</v>
      </c>
      <c r="M268" s="3">
        <v>107.25</v>
      </c>
      <c r="N268" s="3">
        <v>299.99</v>
      </c>
      <c r="O268" s="2" t="s">
        <v>243</v>
      </c>
      <c r="P268" s="2" t="s">
        <v>236</v>
      </c>
      <c r="Q268" s="2" t="s">
        <v>237</v>
      </c>
      <c r="R268" s="2" t="s">
        <v>231</v>
      </c>
      <c r="S268" s="2" t="s">
        <v>1819</v>
      </c>
      <c r="T268" s="2" t="s">
        <v>231</v>
      </c>
      <c r="U268" s="2" t="s">
        <v>835</v>
      </c>
      <c r="V268" s="2" t="s">
        <v>836</v>
      </c>
      <c r="W268" s="2" t="s">
        <v>691</v>
      </c>
      <c r="X268" s="2" t="s">
        <v>273</v>
      </c>
      <c r="Y268" s="2" t="s">
        <v>231</v>
      </c>
      <c r="Z268" s="4"/>
      <c r="AA268" s="4">
        <f>=ROUNDDOWN({0},0)</f>
      </c>
      <c r="AB268" s="5"/>
      <c r="AC268" s="2" t="s">
        <v>717</v>
      </c>
      <c r="AD268" s="4">
        <v>130</v>
      </c>
      <c r="AE268" s="4">
        <v>260</v>
      </c>
      <c r="AF268" s="6">
        <v>69</v>
      </c>
      <c r="AG268" s="6"/>
      <c r="AH268" s="7">
        <v>0</v>
      </c>
      <c r="AI268" s="4"/>
      <c r="AJ268" s="4">
        <f>=ROUNDDOWN({0},0)</f>
      </c>
      <c r="AK268" s="5"/>
      <c r="AL268" s="2" t="s">
        <v>231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231</v>
      </c>
      <c r="AW268" s="8" t="s">
        <v>231</v>
      </c>
      <c r="AX268" s="4" t="s">
        <v>231</v>
      </c>
      <c r="AY268" s="8" t="s">
        <v>231</v>
      </c>
      <c r="AZ268" s="7" t="s">
        <v>231</v>
      </c>
      <c r="BA268" s="7" t="s">
        <v>231</v>
      </c>
      <c r="BB268" s="7"/>
      <c r="BC268" s="4" t="s">
        <v>231</v>
      </c>
      <c r="BD268" s="8" t="s">
        <v>231</v>
      </c>
      <c r="BE268" s="4" t="s">
        <v>231</v>
      </c>
      <c r="BF268" s="8" t="s">
        <v>231</v>
      </c>
      <c r="BG268" s="7" t="s">
        <v>231</v>
      </c>
      <c r="BH268" s="7" t="s">
        <v>231</v>
      </c>
      <c r="BI268" s="7"/>
      <c r="BJ268" s="4"/>
      <c r="BK268" s="8"/>
      <c r="BL268" s="2" t="s">
        <v>231</v>
      </c>
      <c r="BM268" s="7"/>
      <c r="BN268" s="7"/>
      <c r="BO268" s="4"/>
      <c r="BP268" s="8"/>
      <c r="BQ268" s="4"/>
      <c r="BR268" s="8"/>
      <c r="BS268" s="7"/>
      <c r="BT268" s="7"/>
      <c r="BU268" s="2" t="s">
        <v>241</v>
      </c>
      <c r="BV268" s="2" t="s">
        <v>231</v>
      </c>
      <c r="BW268" s="2" t="s">
        <v>231</v>
      </c>
      <c r="BX268" s="2" t="s">
        <v>241</v>
      </c>
      <c r="BY268" s="2" t="s">
        <v>1820</v>
      </c>
      <c r="BZ268" s="2" t="s">
        <v>243</v>
      </c>
      <c r="CA268" s="2" t="s">
        <v>231</v>
      </c>
      <c r="CB268" s="2" t="s">
        <v>231</v>
      </c>
      <c r="CC268" s="2" t="s">
        <v>244</v>
      </c>
      <c r="CD268" s="2" t="s">
        <v>231</v>
      </c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>
        <v>130</v>
      </c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>
        <v>130</v>
      </c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</row>
    <row r="269">
      <c r="A269" s="2" t="s">
        <v>1821</v>
      </c>
      <c r="B269" s="2" t="s">
        <v>1186</v>
      </c>
      <c r="C269" s="2" t="s">
        <v>1816</v>
      </c>
      <c r="D269" s="2" t="s">
        <v>654</v>
      </c>
      <c r="E269" s="2" t="s">
        <v>890</v>
      </c>
      <c r="F269" s="2" t="s">
        <v>1817</v>
      </c>
      <c r="G269" s="2" t="s">
        <v>1817</v>
      </c>
      <c r="H269" s="2" t="s">
        <v>1817</v>
      </c>
      <c r="I269" s="2" t="s">
        <v>1818</v>
      </c>
      <c r="J269" s="2" t="s">
        <v>669</v>
      </c>
      <c r="K269" s="2" t="s">
        <v>682</v>
      </c>
      <c r="L269" s="3">
        <v>119.16</v>
      </c>
      <c r="M269" s="3">
        <v>125.12</v>
      </c>
      <c r="N269" s="3">
        <v>349.99</v>
      </c>
      <c r="O269" s="2" t="s">
        <v>243</v>
      </c>
      <c r="P269" s="2" t="s">
        <v>236</v>
      </c>
      <c r="Q269" s="2" t="s">
        <v>237</v>
      </c>
      <c r="R269" s="2" t="s">
        <v>231</v>
      </c>
      <c r="S269" s="2" t="s">
        <v>1819</v>
      </c>
      <c r="T269" s="2" t="s">
        <v>231</v>
      </c>
      <c r="U269" s="2" t="s">
        <v>835</v>
      </c>
      <c r="V269" s="2" t="s">
        <v>836</v>
      </c>
      <c r="W269" s="2" t="s">
        <v>691</v>
      </c>
      <c r="X269" s="2" t="s">
        <v>273</v>
      </c>
      <c r="Y269" s="2" t="s">
        <v>231</v>
      </c>
      <c r="Z269" s="4"/>
      <c r="AA269" s="4">
        <f>=ROUNDDOWN({0},0)</f>
      </c>
      <c r="AB269" s="5"/>
      <c r="AC269" s="2" t="s">
        <v>717</v>
      </c>
      <c r="AD269" s="4">
        <v>118</v>
      </c>
      <c r="AE269" s="4">
        <v>238</v>
      </c>
      <c r="AF269" s="6">
        <v>69</v>
      </c>
      <c r="AG269" s="6"/>
      <c r="AH269" s="7">
        <v>0</v>
      </c>
      <c r="AI269" s="4"/>
      <c r="AJ269" s="4">
        <f>=ROUNDDOWN({0},0)</f>
      </c>
      <c r="AK269" s="5"/>
      <c r="AL269" s="2" t="s">
        <v>231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231</v>
      </c>
      <c r="AW269" s="8" t="s">
        <v>231</v>
      </c>
      <c r="AX269" s="4" t="s">
        <v>231</v>
      </c>
      <c r="AY269" s="8" t="s">
        <v>231</v>
      </c>
      <c r="AZ269" s="7" t="s">
        <v>231</v>
      </c>
      <c r="BA269" s="7" t="s">
        <v>231</v>
      </c>
      <c r="BB269" s="7"/>
      <c r="BC269" s="4" t="s">
        <v>231</v>
      </c>
      <c r="BD269" s="8" t="s">
        <v>231</v>
      </c>
      <c r="BE269" s="4" t="s">
        <v>231</v>
      </c>
      <c r="BF269" s="8" t="s">
        <v>231</v>
      </c>
      <c r="BG269" s="7" t="s">
        <v>231</v>
      </c>
      <c r="BH269" s="7" t="s">
        <v>231</v>
      </c>
      <c r="BI269" s="7"/>
      <c r="BJ269" s="4"/>
      <c r="BK269" s="8"/>
      <c r="BL269" s="2" t="s">
        <v>231</v>
      </c>
      <c r="BM269" s="7"/>
      <c r="BN269" s="7"/>
      <c r="BO269" s="4"/>
      <c r="BP269" s="8"/>
      <c r="BQ269" s="4"/>
      <c r="BR269" s="8"/>
      <c r="BS269" s="7"/>
      <c r="BT269" s="7"/>
      <c r="BU269" s="2" t="s">
        <v>241</v>
      </c>
      <c r="BV269" s="2" t="s">
        <v>231</v>
      </c>
      <c r="BW269" s="2" t="s">
        <v>231</v>
      </c>
      <c r="BX269" s="2" t="s">
        <v>241</v>
      </c>
      <c r="BY269" s="2" t="s">
        <v>1820</v>
      </c>
      <c r="BZ269" s="2" t="s">
        <v>243</v>
      </c>
      <c r="CA269" s="2" t="s">
        <v>231</v>
      </c>
      <c r="CB269" s="2" t="s">
        <v>231</v>
      </c>
      <c r="CC269" s="2" t="s">
        <v>244</v>
      </c>
      <c r="CD269" s="2" t="s">
        <v>231</v>
      </c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>
        <v>118</v>
      </c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>
        <v>120</v>
      </c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</row>
    <row r="270">
      <c r="A270" s="2" t="s">
        <v>1822</v>
      </c>
      <c r="B270" s="2" t="s">
        <v>226</v>
      </c>
      <c r="C270" s="2" t="s">
        <v>288</v>
      </c>
      <c r="D270" s="2" t="s">
        <v>654</v>
      </c>
      <c r="E270" s="2" t="s">
        <v>890</v>
      </c>
      <c r="F270" s="2" t="s">
        <v>1823</v>
      </c>
      <c r="G270" s="2" t="s">
        <v>1824</v>
      </c>
      <c r="H270" s="2" t="s">
        <v>1825</v>
      </c>
      <c r="I270" s="2" t="s">
        <v>1826</v>
      </c>
      <c r="J270" s="2" t="s">
        <v>669</v>
      </c>
      <c r="K270" s="2" t="s">
        <v>306</v>
      </c>
      <c r="L270" s="3">
        <v>58.6</v>
      </c>
      <c r="M270" s="3">
        <v>61.53</v>
      </c>
      <c r="N270" s="3">
        <v>119.99</v>
      </c>
      <c r="O270" s="2" t="s">
        <v>243</v>
      </c>
      <c r="P270" s="2" t="s">
        <v>1332</v>
      </c>
      <c r="Q270" s="2" t="s">
        <v>237</v>
      </c>
      <c r="R270" s="2" t="s">
        <v>231</v>
      </c>
      <c r="S270" s="2" t="s">
        <v>1827</v>
      </c>
      <c r="T270" s="2" t="s">
        <v>895</v>
      </c>
      <c r="U270" s="2" t="s">
        <v>835</v>
      </c>
      <c r="V270" s="2" t="s">
        <v>1828</v>
      </c>
      <c r="W270" s="2" t="s">
        <v>1829</v>
      </c>
      <c r="X270" s="2" t="s">
        <v>792</v>
      </c>
      <c r="Y270" s="2" t="s">
        <v>1830</v>
      </c>
      <c r="Z270" s="4">
        <v>635</v>
      </c>
      <c r="AA270" s="4">
        <f>=ROUNDDOWN(17.6388888888889,0)</f>
      </c>
      <c r="AB270" s="5">
        <v>36</v>
      </c>
      <c r="AC270" s="2" t="s">
        <v>730</v>
      </c>
      <c r="AD270" s="4">
        <v>200</v>
      </c>
      <c r="AE270" s="4">
        <v>730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231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>
        <v>84</v>
      </c>
      <c r="BK270" s="8">
        <v>5199.21</v>
      </c>
      <c r="BL270" s="2" t="s">
        <v>1831</v>
      </c>
      <c r="BM270" s="7"/>
      <c r="BN270" s="7"/>
      <c r="BO270" s="4"/>
      <c r="BP270" s="8"/>
      <c r="BQ270" s="4"/>
      <c r="BR270" s="8"/>
      <c r="BS270" s="7"/>
      <c r="BT270" s="7"/>
      <c r="BU270" s="2" t="s">
        <v>1832</v>
      </c>
      <c r="BV270" s="2" t="s">
        <v>231</v>
      </c>
      <c r="BW270" s="2" t="s">
        <v>231</v>
      </c>
      <c r="BX270" s="2" t="s">
        <v>231</v>
      </c>
      <c r="BY270" s="2" t="s">
        <v>277</v>
      </c>
      <c r="BZ270" s="2" t="s">
        <v>243</v>
      </c>
      <c r="CA270" s="2" t="s">
        <v>1833</v>
      </c>
      <c r="CB270" s="2" t="s">
        <v>1834</v>
      </c>
      <c r="CC270" s="2" t="s">
        <v>244</v>
      </c>
      <c r="CD270" s="2" t="s">
        <v>231</v>
      </c>
      <c r="CE270" s="4">
        <v>509</v>
      </c>
      <c r="CF270" s="4"/>
      <c r="CG270" s="4"/>
      <c r="CH270" s="4"/>
      <c r="CI270" s="4">
        <v>126</v>
      </c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>
        <v>200</v>
      </c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>
        <v>150</v>
      </c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>
        <v>200</v>
      </c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>
        <v>180</v>
      </c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</row>
    <row r="271">
      <c r="A271" s="2" t="s">
        <v>1835</v>
      </c>
      <c r="B271" s="2" t="s">
        <v>1004</v>
      </c>
      <c r="C271" s="2" t="s">
        <v>1836</v>
      </c>
      <c r="D271" s="2" t="s">
        <v>1837</v>
      </c>
      <c r="E271" s="2" t="s">
        <v>1838</v>
      </c>
      <c r="F271" s="2" t="s">
        <v>1839</v>
      </c>
      <c r="G271" s="2" t="s">
        <v>1839</v>
      </c>
      <c r="H271" s="2" t="s">
        <v>1839</v>
      </c>
      <c r="I271" s="2" t="s">
        <v>1840</v>
      </c>
      <c r="J271" s="2" t="s">
        <v>807</v>
      </c>
      <c r="K271" s="2" t="s">
        <v>1841</v>
      </c>
      <c r="L271" s="3">
        <v>223.81</v>
      </c>
      <c r="M271" s="3">
        <v>235</v>
      </c>
      <c r="N271" s="3">
        <v>529</v>
      </c>
      <c r="O271" s="2" t="s">
        <v>235</v>
      </c>
      <c r="P271" s="2" t="s">
        <v>341</v>
      </c>
      <c r="Q271" s="2" t="s">
        <v>237</v>
      </c>
      <c r="R271" s="2" t="s">
        <v>231</v>
      </c>
      <c r="S271" s="2" t="s">
        <v>231</v>
      </c>
      <c r="T271" s="2" t="s">
        <v>231</v>
      </c>
      <c r="U271" s="2" t="s">
        <v>327</v>
      </c>
      <c r="V271" s="2" t="s">
        <v>239</v>
      </c>
      <c r="W271" s="2" t="s">
        <v>792</v>
      </c>
      <c r="X271" s="2" t="s">
        <v>231</v>
      </c>
      <c r="Y271" s="2" t="s">
        <v>1842</v>
      </c>
      <c r="Z271" s="4">
        <v>25</v>
      </c>
      <c r="AA271" s="4">
        <f>=ROUNDDOWN({0},0)</f>
      </c>
      <c r="AB271" s="5"/>
      <c r="AC271" s="2" t="s">
        <v>231</v>
      </c>
      <c r="AD271" s="4"/>
      <c r="AE271" s="4"/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231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1306</v>
      </c>
      <c r="BM271" s="7"/>
      <c r="BN271" s="7"/>
      <c r="BO271" s="4"/>
      <c r="BP271" s="8"/>
      <c r="BQ271" s="4"/>
      <c r="BR271" s="8"/>
      <c r="BS271" s="7"/>
      <c r="BT271" s="7"/>
      <c r="BU271" s="2" t="s">
        <v>241</v>
      </c>
      <c r="BV271" s="2" t="s">
        <v>231</v>
      </c>
      <c r="BW271" s="2" t="s">
        <v>231</v>
      </c>
      <c r="BX271" s="2" t="s">
        <v>241</v>
      </c>
      <c r="BY271" s="2" t="s">
        <v>1121</v>
      </c>
      <c r="BZ271" s="2" t="s">
        <v>243</v>
      </c>
      <c r="CA271" s="2" t="s">
        <v>231</v>
      </c>
      <c r="CB271" s="2" t="s">
        <v>231</v>
      </c>
      <c r="CC271" s="2" t="s">
        <v>244</v>
      </c>
      <c r="CD271" s="2" t="s">
        <v>231</v>
      </c>
      <c r="CE271" s="4"/>
      <c r="CF271" s="4">
        <v>25</v>
      </c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</row>
    <row r="272">
      <c r="A272" s="2" t="s">
        <v>1843</v>
      </c>
      <c r="B272" s="2" t="s">
        <v>1389</v>
      </c>
      <c r="C272" s="2" t="s">
        <v>288</v>
      </c>
      <c r="D272" s="2" t="s">
        <v>1389</v>
      </c>
      <c r="E272" s="2" t="s">
        <v>1389</v>
      </c>
      <c r="F272" s="2" t="s">
        <v>1844</v>
      </c>
      <c r="G272" s="2" t="s">
        <v>1845</v>
      </c>
      <c r="H272" s="2" t="s">
        <v>1846</v>
      </c>
      <c r="I272" s="2" t="s">
        <v>1847</v>
      </c>
      <c r="J272" s="2" t="s">
        <v>1393</v>
      </c>
      <c r="K272" s="2" t="s">
        <v>1848</v>
      </c>
      <c r="L272" s="3">
        <v>45</v>
      </c>
      <c r="M272" s="3">
        <v>47.25</v>
      </c>
      <c r="N272" s="3">
        <v>99.99</v>
      </c>
      <c r="O272" s="2" t="s">
        <v>243</v>
      </c>
      <c r="P272" s="2" t="s">
        <v>341</v>
      </c>
      <c r="Q272" s="2" t="s">
        <v>237</v>
      </c>
      <c r="R272" s="2" t="s">
        <v>231</v>
      </c>
      <c r="S272" s="2" t="s">
        <v>1849</v>
      </c>
      <c r="T272" s="2" t="s">
        <v>231</v>
      </c>
      <c r="U272" s="2" t="s">
        <v>327</v>
      </c>
      <c r="V272" s="2" t="s">
        <v>1828</v>
      </c>
      <c r="W272" s="2" t="s">
        <v>676</v>
      </c>
      <c r="X272" s="2" t="s">
        <v>231</v>
      </c>
      <c r="Y272" s="2" t="s">
        <v>845</v>
      </c>
      <c r="Z272" s="4">
        <v>101</v>
      </c>
      <c r="AA272" s="4">
        <f>=ROUNDDOWN(505,0)</f>
      </c>
      <c r="AB272" s="5">
        <v>0.2</v>
      </c>
      <c r="AC272" s="2" t="s">
        <v>231</v>
      </c>
      <c r="AD272" s="4"/>
      <c r="AE272" s="4"/>
      <c r="AF272" s="6">
        <v>63</v>
      </c>
      <c r="AG272" s="6"/>
      <c r="AH272" s="7">
        <v>1</v>
      </c>
      <c r="AI272" s="4"/>
      <c r="AJ272" s="4">
        <f>=ROUNDDOWN({0},0)</f>
      </c>
      <c r="AK272" s="5"/>
      <c r="AL272" s="2" t="s">
        <v>231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231</v>
      </c>
      <c r="AW272" s="8" t="s">
        <v>231</v>
      </c>
      <c r="AX272" s="4" t="s">
        <v>231</v>
      </c>
      <c r="AY272" s="8" t="s">
        <v>231</v>
      </c>
      <c r="AZ272" s="7" t="s">
        <v>231</v>
      </c>
      <c r="BA272" s="7" t="s">
        <v>231</v>
      </c>
      <c r="BB272" s="7"/>
      <c r="BC272" s="4" t="s">
        <v>231</v>
      </c>
      <c r="BD272" s="8" t="s">
        <v>231</v>
      </c>
      <c r="BE272" s="4" t="s">
        <v>231</v>
      </c>
      <c r="BF272" s="8" t="s">
        <v>231</v>
      </c>
      <c r="BG272" s="7" t="s">
        <v>231</v>
      </c>
      <c r="BH272" s="7" t="s">
        <v>231</v>
      </c>
      <c r="BI272" s="7"/>
      <c r="BJ272" s="4">
        <v>1</v>
      </c>
      <c r="BK272" s="8">
        <v>51.75</v>
      </c>
      <c r="BL272" s="2" t="s">
        <v>1020</v>
      </c>
      <c r="BM272" s="7"/>
      <c r="BN272" s="7"/>
      <c r="BO272" s="4"/>
      <c r="BP272" s="8"/>
      <c r="BQ272" s="4"/>
      <c r="BR272" s="8"/>
      <c r="BS272" s="7"/>
      <c r="BT272" s="7"/>
      <c r="BU272" s="2" t="s">
        <v>1850</v>
      </c>
      <c r="BV272" s="2" t="s">
        <v>231</v>
      </c>
      <c r="BW272" s="2" t="s">
        <v>231</v>
      </c>
      <c r="BX272" s="2" t="s">
        <v>231</v>
      </c>
      <c r="BY272" s="2" t="s">
        <v>277</v>
      </c>
      <c r="BZ272" s="2" t="s">
        <v>243</v>
      </c>
      <c r="CA272" s="2" t="s">
        <v>1851</v>
      </c>
      <c r="CB272" s="2" t="s">
        <v>231</v>
      </c>
      <c r="CC272" s="2" t="s">
        <v>244</v>
      </c>
      <c r="CD272" s="2" t="s">
        <v>231</v>
      </c>
      <c r="CE272" s="4"/>
      <c r="CF272" s="4">
        <v>101</v>
      </c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</row>
    <row r="273">
      <c r="A273" s="2" t="s">
        <v>1852</v>
      </c>
      <c r="B273" s="2" t="s">
        <v>1389</v>
      </c>
      <c r="C273" s="2" t="s">
        <v>288</v>
      </c>
      <c r="D273" s="2" t="s">
        <v>1389</v>
      </c>
      <c r="E273" s="2" t="s">
        <v>1389</v>
      </c>
      <c r="F273" s="2" t="s">
        <v>1844</v>
      </c>
      <c r="G273" s="2" t="s">
        <v>1845</v>
      </c>
      <c r="H273" s="2" t="s">
        <v>1846</v>
      </c>
      <c r="I273" s="2" t="s">
        <v>1847</v>
      </c>
      <c r="J273" s="2" t="s">
        <v>1401</v>
      </c>
      <c r="K273" s="2" t="s">
        <v>1848</v>
      </c>
      <c r="L273" s="3">
        <v>67.5</v>
      </c>
      <c r="M273" s="3">
        <v>70.88</v>
      </c>
      <c r="N273" s="3">
        <v>149.98</v>
      </c>
      <c r="O273" s="2" t="s">
        <v>243</v>
      </c>
      <c r="P273" s="2" t="s">
        <v>341</v>
      </c>
      <c r="Q273" s="2" t="s">
        <v>237</v>
      </c>
      <c r="R273" s="2" t="s">
        <v>231</v>
      </c>
      <c r="S273" s="2" t="s">
        <v>1849</v>
      </c>
      <c r="T273" s="2" t="s">
        <v>231</v>
      </c>
      <c r="U273" s="2" t="s">
        <v>327</v>
      </c>
      <c r="V273" s="2" t="s">
        <v>1828</v>
      </c>
      <c r="W273" s="2" t="s">
        <v>676</v>
      </c>
      <c r="X273" s="2" t="s">
        <v>231</v>
      </c>
      <c r="Y273" s="2" t="s">
        <v>845</v>
      </c>
      <c r="Z273" s="4">
        <v>37</v>
      </c>
      <c r="AA273" s="4">
        <f>=ROUNDDOWN(23.125,0)</f>
      </c>
      <c r="AB273" s="5">
        <v>1.6</v>
      </c>
      <c r="AC273" s="2" t="s">
        <v>231</v>
      </c>
      <c r="AD273" s="4"/>
      <c r="AE273" s="4"/>
      <c r="AF273" s="6">
        <v>63</v>
      </c>
      <c r="AG273" s="6"/>
      <c r="AH273" s="7">
        <v>1</v>
      </c>
      <c r="AI273" s="4"/>
      <c r="AJ273" s="4">
        <f>=ROUNDDOWN({0},0)</f>
      </c>
      <c r="AK273" s="5"/>
      <c r="AL273" s="2" t="s">
        <v>231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231</v>
      </c>
      <c r="AW273" s="8" t="s">
        <v>231</v>
      </c>
      <c r="AX273" s="4" t="s">
        <v>231</v>
      </c>
      <c r="AY273" s="8" t="s">
        <v>231</v>
      </c>
      <c r="AZ273" s="7" t="s">
        <v>231</v>
      </c>
      <c r="BA273" s="7" t="s">
        <v>231</v>
      </c>
      <c r="BB273" s="7"/>
      <c r="BC273" s="4" t="s">
        <v>231</v>
      </c>
      <c r="BD273" s="8" t="s">
        <v>231</v>
      </c>
      <c r="BE273" s="4" t="s">
        <v>231</v>
      </c>
      <c r="BF273" s="8" t="s">
        <v>231</v>
      </c>
      <c r="BG273" s="7" t="s">
        <v>231</v>
      </c>
      <c r="BH273" s="7" t="s">
        <v>231</v>
      </c>
      <c r="BI273" s="7"/>
      <c r="BJ273" s="4">
        <v>1</v>
      </c>
      <c r="BK273" s="8">
        <v>187.99</v>
      </c>
      <c r="BL273" s="2" t="s">
        <v>1853</v>
      </c>
      <c r="BM273" s="7"/>
      <c r="BN273" s="7"/>
      <c r="BO273" s="4"/>
      <c r="BP273" s="8"/>
      <c r="BQ273" s="4"/>
      <c r="BR273" s="8"/>
      <c r="BS273" s="7"/>
      <c r="BT273" s="7"/>
      <c r="BU273" s="2" t="s">
        <v>1854</v>
      </c>
      <c r="BV273" s="2" t="s">
        <v>231</v>
      </c>
      <c r="BW273" s="2" t="s">
        <v>231</v>
      </c>
      <c r="BX273" s="2" t="s">
        <v>231</v>
      </c>
      <c r="BY273" s="2" t="s">
        <v>277</v>
      </c>
      <c r="BZ273" s="2" t="s">
        <v>243</v>
      </c>
      <c r="CA273" s="2" t="s">
        <v>1851</v>
      </c>
      <c r="CB273" s="2" t="s">
        <v>1855</v>
      </c>
      <c r="CC273" s="2" t="s">
        <v>244</v>
      </c>
      <c r="CD273" s="2" t="s">
        <v>231</v>
      </c>
      <c r="CE273" s="4"/>
      <c r="CF273" s="4">
        <v>37</v>
      </c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</row>
    <row r="274">
      <c r="A274" s="2" t="s">
        <v>1856</v>
      </c>
      <c r="B274" s="2" t="s">
        <v>1004</v>
      </c>
      <c r="C274" s="2" t="s">
        <v>288</v>
      </c>
      <c r="D274" s="2" t="s">
        <v>1031</v>
      </c>
      <c r="E274" s="2" t="s">
        <v>1032</v>
      </c>
      <c r="F274" s="2" t="s">
        <v>1857</v>
      </c>
      <c r="G274" s="2" t="s">
        <v>1857</v>
      </c>
      <c r="H274" s="2" t="s">
        <v>1857</v>
      </c>
      <c r="I274" s="2" t="s">
        <v>1858</v>
      </c>
      <c r="J274" s="2" t="s">
        <v>807</v>
      </c>
      <c r="K274" s="2" t="s">
        <v>1136</v>
      </c>
      <c r="L274" s="3">
        <v>210</v>
      </c>
      <c r="M274" s="3">
        <v>220.5</v>
      </c>
      <c r="N274" s="3">
        <v>449</v>
      </c>
      <c r="O274" s="2" t="s">
        <v>243</v>
      </c>
      <c r="P274" s="2" t="s">
        <v>236</v>
      </c>
      <c r="Q274" s="2" t="s">
        <v>237</v>
      </c>
      <c r="R274" s="2" t="s">
        <v>231</v>
      </c>
      <c r="S274" s="2" t="s">
        <v>231</v>
      </c>
      <c r="T274" s="2" t="s">
        <v>231</v>
      </c>
      <c r="U274" s="2" t="s">
        <v>327</v>
      </c>
      <c r="V274" s="2" t="s">
        <v>662</v>
      </c>
      <c r="W274" s="2" t="s">
        <v>792</v>
      </c>
      <c r="X274" s="2" t="s">
        <v>273</v>
      </c>
      <c r="Y274" s="2" t="s">
        <v>1859</v>
      </c>
      <c r="Z274" s="4">
        <v>111</v>
      </c>
      <c r="AA274" s="4">
        <f>=ROUNDDOWN(55.5,0)</f>
      </c>
      <c r="AB274" s="5">
        <v>2</v>
      </c>
      <c r="AC274" s="2" t="s">
        <v>231</v>
      </c>
      <c r="AD274" s="4"/>
      <c r="AE274" s="4"/>
      <c r="AF274" s="6">
        <v>74</v>
      </c>
      <c r="AG274" s="6"/>
      <c r="AH274" s="7">
        <v>1</v>
      </c>
      <c r="AI274" s="4"/>
      <c r="AJ274" s="4">
        <f>=ROUNDDOWN({0},0)</f>
      </c>
      <c r="AK274" s="5"/>
      <c r="AL274" s="2" t="s">
        <v>231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231</v>
      </c>
      <c r="BD274" s="8" t="s">
        <v>231</v>
      </c>
      <c r="BE274" s="4" t="s">
        <v>231</v>
      </c>
      <c r="BF274" s="8" t="s">
        <v>231</v>
      </c>
      <c r="BG274" s="7" t="s">
        <v>231</v>
      </c>
      <c r="BH274" s="7" t="s">
        <v>231</v>
      </c>
      <c r="BI274" s="7"/>
      <c r="BJ274" s="4">
        <v>4</v>
      </c>
      <c r="BK274" s="8">
        <v>882</v>
      </c>
      <c r="BL274" s="2" t="s">
        <v>1306</v>
      </c>
      <c r="BM274" s="7"/>
      <c r="BN274" s="7"/>
      <c r="BO274" s="4"/>
      <c r="BP274" s="8"/>
      <c r="BQ274" s="4"/>
      <c r="BR274" s="8"/>
      <c r="BS274" s="7"/>
      <c r="BT274" s="7"/>
      <c r="BU274" s="2" t="s">
        <v>241</v>
      </c>
      <c r="BV274" s="2" t="s">
        <v>231</v>
      </c>
      <c r="BW274" s="2" t="s">
        <v>231</v>
      </c>
      <c r="BX274" s="2" t="s">
        <v>241</v>
      </c>
      <c r="BY274" s="2" t="s">
        <v>1121</v>
      </c>
      <c r="BZ274" s="2" t="s">
        <v>243</v>
      </c>
      <c r="CA274" s="2" t="s">
        <v>231</v>
      </c>
      <c r="CB274" s="2" t="s">
        <v>231</v>
      </c>
      <c r="CC274" s="2" t="s">
        <v>244</v>
      </c>
      <c r="CD274" s="2" t="s">
        <v>231</v>
      </c>
      <c r="CE274" s="4"/>
      <c r="CF274" s="4">
        <v>111</v>
      </c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</row>
    <row r="275">
      <c r="A275" s="2" t="s">
        <v>1860</v>
      </c>
      <c r="B275" s="2" t="s">
        <v>824</v>
      </c>
      <c r="C275" s="2" t="s">
        <v>1221</v>
      </c>
      <c r="D275" s="2" t="s">
        <v>826</v>
      </c>
      <c r="E275" s="2" t="s">
        <v>827</v>
      </c>
      <c r="F275" s="2" t="s">
        <v>1857</v>
      </c>
      <c r="G275" s="2" t="s">
        <v>1861</v>
      </c>
      <c r="H275" s="2" t="s">
        <v>1862</v>
      </c>
      <c r="I275" s="2" t="s">
        <v>1863</v>
      </c>
      <c r="J275" s="2" t="s">
        <v>669</v>
      </c>
      <c r="K275" s="2" t="s">
        <v>1864</v>
      </c>
      <c r="L275" s="3">
        <v>31.85</v>
      </c>
      <c r="M275" s="3">
        <v>33.44</v>
      </c>
      <c r="N275" s="3">
        <v>64.99</v>
      </c>
      <c r="O275" s="2" t="s">
        <v>243</v>
      </c>
      <c r="P275" s="2" t="s">
        <v>270</v>
      </c>
      <c r="Q275" s="2" t="s">
        <v>237</v>
      </c>
      <c r="R275" s="2" t="s">
        <v>231</v>
      </c>
      <c r="S275" s="2" t="s">
        <v>1865</v>
      </c>
      <c r="T275" s="2" t="s">
        <v>472</v>
      </c>
      <c r="U275" s="2" t="s">
        <v>298</v>
      </c>
      <c r="V275" s="2" t="s">
        <v>391</v>
      </c>
      <c r="W275" s="2" t="s">
        <v>273</v>
      </c>
      <c r="X275" s="2" t="s">
        <v>691</v>
      </c>
      <c r="Y275" s="2" t="s">
        <v>274</v>
      </c>
      <c r="Z275" s="4">
        <v>118</v>
      </c>
      <c r="AA275" s="4">
        <f>=ROUNDDOWN(39.3333333333333,0)</f>
      </c>
      <c r="AB275" s="5">
        <v>3</v>
      </c>
      <c r="AC275" s="2" t="s">
        <v>231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231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231</v>
      </c>
      <c r="BD275" s="8" t="s">
        <v>231</v>
      </c>
      <c r="BE275" s="4" t="s">
        <v>231</v>
      </c>
      <c r="BF275" s="8" t="s">
        <v>231</v>
      </c>
      <c r="BG275" s="7" t="s">
        <v>231</v>
      </c>
      <c r="BH275" s="7" t="s">
        <v>231</v>
      </c>
      <c r="BI275" s="7"/>
      <c r="BJ275" s="4">
        <v>10</v>
      </c>
      <c r="BK275" s="8">
        <v>325.98</v>
      </c>
      <c r="BL275" s="2" t="s">
        <v>1866</v>
      </c>
      <c r="BM275" s="7"/>
      <c r="BN275" s="7"/>
      <c r="BO275" s="4"/>
      <c r="BP275" s="8"/>
      <c r="BQ275" s="4"/>
      <c r="BR275" s="8"/>
      <c r="BS275" s="7"/>
      <c r="BT275" s="7"/>
      <c r="BU275" s="2" t="s">
        <v>1867</v>
      </c>
      <c r="BV275" s="2" t="s">
        <v>231</v>
      </c>
      <c r="BW275" s="2" t="s">
        <v>231</v>
      </c>
      <c r="BX275" s="2" t="s">
        <v>231</v>
      </c>
      <c r="BY275" s="2" t="s">
        <v>277</v>
      </c>
      <c r="BZ275" s="2" t="s">
        <v>243</v>
      </c>
      <c r="CA275" s="2" t="s">
        <v>1868</v>
      </c>
      <c r="CB275" s="2" t="s">
        <v>1869</v>
      </c>
      <c r="CC275" s="2" t="s">
        <v>244</v>
      </c>
      <c r="CD275" s="2" t="s">
        <v>231</v>
      </c>
      <c r="CE275" s="4">
        <v>118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</row>
    <row r="276">
      <c r="A276" s="2" t="s">
        <v>1870</v>
      </c>
      <c r="B276" s="2" t="s">
        <v>1004</v>
      </c>
      <c r="C276" s="2" t="s">
        <v>288</v>
      </c>
      <c r="D276" s="2" t="s">
        <v>1031</v>
      </c>
      <c r="E276" s="2" t="s">
        <v>1032</v>
      </c>
      <c r="F276" s="2" t="s">
        <v>1857</v>
      </c>
      <c r="G276" s="2" t="s">
        <v>1857</v>
      </c>
      <c r="H276" s="2" t="s">
        <v>1857</v>
      </c>
      <c r="I276" s="2" t="s">
        <v>1858</v>
      </c>
      <c r="J276" s="2" t="s">
        <v>807</v>
      </c>
      <c r="K276" s="2" t="s">
        <v>1496</v>
      </c>
      <c r="L276" s="3">
        <v>210</v>
      </c>
      <c r="M276" s="3">
        <v>220.5</v>
      </c>
      <c r="N276" s="3">
        <v>449</v>
      </c>
      <c r="O276" s="2" t="s">
        <v>243</v>
      </c>
      <c r="P276" s="2" t="s">
        <v>236</v>
      </c>
      <c r="Q276" s="2" t="s">
        <v>237</v>
      </c>
      <c r="R276" s="2" t="s">
        <v>231</v>
      </c>
      <c r="S276" s="2" t="s">
        <v>231</v>
      </c>
      <c r="T276" s="2" t="s">
        <v>231</v>
      </c>
      <c r="U276" s="2" t="s">
        <v>327</v>
      </c>
      <c r="V276" s="2" t="s">
        <v>662</v>
      </c>
      <c r="W276" s="2" t="s">
        <v>792</v>
      </c>
      <c r="X276" s="2" t="s">
        <v>273</v>
      </c>
      <c r="Y276" s="2" t="s">
        <v>1859</v>
      </c>
      <c r="Z276" s="4">
        <v>70</v>
      </c>
      <c r="AA276" s="4">
        <f>=ROUNDDOWN(70,0)</f>
      </c>
      <c r="AB276" s="5">
        <v>1</v>
      </c>
      <c r="AC276" s="2" t="s">
        <v>231</v>
      </c>
      <c r="AD276" s="4"/>
      <c r="AE276" s="4"/>
      <c r="AF276" s="6">
        <v>74</v>
      </c>
      <c r="AG276" s="6"/>
      <c r="AH276" s="7">
        <v>1</v>
      </c>
      <c r="AI276" s="4"/>
      <c r="AJ276" s="4">
        <f>=ROUNDDOWN({0},0)</f>
      </c>
      <c r="AK276" s="5"/>
      <c r="AL276" s="2" t="s">
        <v>231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231</v>
      </c>
      <c r="BD276" s="8" t="s">
        <v>231</v>
      </c>
      <c r="BE276" s="4" t="s">
        <v>231</v>
      </c>
      <c r="BF276" s="8" t="s">
        <v>231</v>
      </c>
      <c r="BG276" s="7" t="s">
        <v>231</v>
      </c>
      <c r="BH276" s="7" t="s">
        <v>231</v>
      </c>
      <c r="BI276" s="7"/>
      <c r="BJ276" s="4">
        <v>2</v>
      </c>
      <c r="BK276" s="8">
        <v>441</v>
      </c>
      <c r="BL276" s="2" t="s">
        <v>1306</v>
      </c>
      <c r="BM276" s="7"/>
      <c r="BN276" s="7"/>
      <c r="BO276" s="4"/>
      <c r="BP276" s="8"/>
      <c r="BQ276" s="4"/>
      <c r="BR276" s="8"/>
      <c r="BS276" s="7"/>
      <c r="BT276" s="7"/>
      <c r="BU276" s="2" t="s">
        <v>241</v>
      </c>
      <c r="BV276" s="2" t="s">
        <v>231</v>
      </c>
      <c r="BW276" s="2" t="s">
        <v>231</v>
      </c>
      <c r="BX276" s="2" t="s">
        <v>241</v>
      </c>
      <c r="BY276" s="2" t="s">
        <v>1121</v>
      </c>
      <c r="BZ276" s="2" t="s">
        <v>243</v>
      </c>
      <c r="CA276" s="2" t="s">
        <v>231</v>
      </c>
      <c r="CB276" s="2" t="s">
        <v>231</v>
      </c>
      <c r="CC276" s="2" t="s">
        <v>244</v>
      </c>
      <c r="CD276" s="2" t="s">
        <v>231</v>
      </c>
      <c r="CE276" s="4"/>
      <c r="CF276" s="4">
        <v>70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</row>
    <row r="277">
      <c r="A277" s="2" t="s">
        <v>1871</v>
      </c>
      <c r="B277" s="2" t="s">
        <v>824</v>
      </c>
      <c r="C277" s="2" t="s">
        <v>825</v>
      </c>
      <c r="D277" s="2" t="s">
        <v>826</v>
      </c>
      <c r="E277" s="2" t="s">
        <v>1060</v>
      </c>
      <c r="F277" s="2" t="s">
        <v>1872</v>
      </c>
      <c r="G277" s="2" t="s">
        <v>1824</v>
      </c>
      <c r="H277" s="2" t="s">
        <v>1873</v>
      </c>
      <c r="I277" s="2" t="s">
        <v>1874</v>
      </c>
      <c r="J277" s="2" t="s">
        <v>832</v>
      </c>
      <c r="K277" s="2" t="s">
        <v>253</v>
      </c>
      <c r="L277" s="3">
        <v>26.19</v>
      </c>
      <c r="M277" s="3">
        <v>27.5</v>
      </c>
      <c r="N277" s="3">
        <v>54.99</v>
      </c>
      <c r="O277" s="2" t="s">
        <v>235</v>
      </c>
      <c r="P277" s="2" t="s">
        <v>341</v>
      </c>
      <c r="Q277" s="2" t="s">
        <v>237</v>
      </c>
      <c r="R277" s="2" t="s">
        <v>231</v>
      </c>
      <c r="S277" s="2" t="s">
        <v>1875</v>
      </c>
      <c r="T277" s="2" t="s">
        <v>231</v>
      </c>
      <c r="U277" s="2" t="s">
        <v>791</v>
      </c>
      <c r="V277" s="2" t="s">
        <v>987</v>
      </c>
      <c r="W277" s="2" t="s">
        <v>691</v>
      </c>
      <c r="X277" s="2" t="s">
        <v>273</v>
      </c>
      <c r="Y277" s="2" t="s">
        <v>1876</v>
      </c>
      <c r="Z277" s="4">
        <v>41</v>
      </c>
      <c r="AA277" s="4">
        <f>=ROUNDDOWN(20.5,0)</f>
      </c>
      <c r="AB277" s="5">
        <v>2</v>
      </c>
      <c r="AC277" s="2" t="s">
        <v>231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231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231</v>
      </c>
      <c r="AW277" s="8" t="s">
        <v>231</v>
      </c>
      <c r="AX277" s="4" t="s">
        <v>231</v>
      </c>
      <c r="AY277" s="8" t="s">
        <v>231</v>
      </c>
      <c r="AZ277" s="7" t="s">
        <v>231</v>
      </c>
      <c r="BA277" s="7" t="s">
        <v>231</v>
      </c>
      <c r="BB277" s="7"/>
      <c r="BC277" s="4" t="s">
        <v>231</v>
      </c>
      <c r="BD277" s="8" t="s">
        <v>231</v>
      </c>
      <c r="BE277" s="4" t="s">
        <v>231</v>
      </c>
      <c r="BF277" s="8" t="s">
        <v>231</v>
      </c>
      <c r="BG277" s="7" t="s">
        <v>231</v>
      </c>
      <c r="BH277" s="7" t="s">
        <v>231</v>
      </c>
      <c r="BI277" s="7"/>
      <c r="BJ277" s="4">
        <v>4</v>
      </c>
      <c r="BK277" s="8">
        <v>71.28</v>
      </c>
      <c r="BL277" s="2" t="s">
        <v>1358</v>
      </c>
      <c r="BM277" s="7"/>
      <c r="BN277" s="7"/>
      <c r="BO277" s="4"/>
      <c r="BP277" s="8"/>
      <c r="BQ277" s="4"/>
      <c r="BR277" s="8"/>
      <c r="BS277" s="7"/>
      <c r="BT277" s="7"/>
      <c r="BU277" s="2" t="s">
        <v>1877</v>
      </c>
      <c r="BV277" s="2" t="s">
        <v>231</v>
      </c>
      <c r="BW277" s="2" t="s">
        <v>231</v>
      </c>
      <c r="BX277" s="2" t="s">
        <v>231</v>
      </c>
      <c r="BY277" s="2" t="s">
        <v>277</v>
      </c>
      <c r="BZ277" s="2" t="s">
        <v>243</v>
      </c>
      <c r="CA277" s="2" t="s">
        <v>1727</v>
      </c>
      <c r="CB277" s="2" t="s">
        <v>1878</v>
      </c>
      <c r="CC277" s="2" t="s">
        <v>244</v>
      </c>
      <c r="CD277" s="2" t="s">
        <v>231</v>
      </c>
      <c r="CE277" s="4">
        <v>41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</row>
    <row r="278">
      <c r="A278" s="2" t="s">
        <v>1879</v>
      </c>
      <c r="B278" s="2" t="s">
        <v>824</v>
      </c>
      <c r="C278" s="2" t="s">
        <v>825</v>
      </c>
      <c r="D278" s="2" t="s">
        <v>654</v>
      </c>
      <c r="E278" s="2" t="s">
        <v>890</v>
      </c>
      <c r="F278" s="2" t="s">
        <v>1872</v>
      </c>
      <c r="G278" s="2" t="s">
        <v>1824</v>
      </c>
      <c r="H278" s="2" t="s">
        <v>1873</v>
      </c>
      <c r="I278" s="2" t="s">
        <v>1880</v>
      </c>
      <c r="J278" s="2" t="s">
        <v>658</v>
      </c>
      <c r="K278" s="2" t="s">
        <v>253</v>
      </c>
      <c r="L278" s="3">
        <v>38.09</v>
      </c>
      <c r="M278" s="3">
        <v>39.99</v>
      </c>
      <c r="N278" s="3">
        <v>79.99</v>
      </c>
      <c r="O278" s="2" t="s">
        <v>235</v>
      </c>
      <c r="P278" s="2" t="s">
        <v>341</v>
      </c>
      <c r="Q278" s="2" t="s">
        <v>237</v>
      </c>
      <c r="R278" s="2" t="s">
        <v>231</v>
      </c>
      <c r="S278" s="2" t="s">
        <v>1875</v>
      </c>
      <c r="T278" s="2" t="s">
        <v>231</v>
      </c>
      <c r="U278" s="2" t="s">
        <v>835</v>
      </c>
      <c r="V278" s="2" t="s">
        <v>987</v>
      </c>
      <c r="W278" s="2" t="s">
        <v>691</v>
      </c>
      <c r="X278" s="2" t="s">
        <v>273</v>
      </c>
      <c r="Y278" s="2" t="s">
        <v>1876</v>
      </c>
      <c r="Z278" s="4">
        <v>516</v>
      </c>
      <c r="AA278" s="4">
        <f>=ROUNDDOWN(516,0)</f>
      </c>
      <c r="AB278" s="5">
        <v>1</v>
      </c>
      <c r="AC278" s="2" t="s">
        <v>231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231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231</v>
      </c>
      <c r="AW278" s="8" t="s">
        <v>231</v>
      </c>
      <c r="AX278" s="4" t="s">
        <v>231</v>
      </c>
      <c r="AY278" s="8" t="s">
        <v>231</v>
      </c>
      <c r="AZ278" s="7" t="s">
        <v>231</v>
      </c>
      <c r="BA278" s="7" t="s">
        <v>231</v>
      </c>
      <c r="BB278" s="7"/>
      <c r="BC278" s="4" t="s">
        <v>231</v>
      </c>
      <c r="BD278" s="8" t="s">
        <v>231</v>
      </c>
      <c r="BE278" s="4" t="s">
        <v>231</v>
      </c>
      <c r="BF278" s="8" t="s">
        <v>231</v>
      </c>
      <c r="BG278" s="7" t="s">
        <v>231</v>
      </c>
      <c r="BH278" s="7" t="s">
        <v>231</v>
      </c>
      <c r="BI278" s="7"/>
      <c r="BJ278" s="4">
        <v>5</v>
      </c>
      <c r="BK278" s="8">
        <v>162.19</v>
      </c>
      <c r="BL278" s="2" t="s">
        <v>399</v>
      </c>
      <c r="BM278" s="7"/>
      <c r="BN278" s="7"/>
      <c r="BO278" s="4"/>
      <c r="BP278" s="8"/>
      <c r="BQ278" s="4"/>
      <c r="BR278" s="8"/>
      <c r="BS278" s="7"/>
      <c r="BT278" s="7"/>
      <c r="BU278" s="2" t="s">
        <v>1881</v>
      </c>
      <c r="BV278" s="2" t="s">
        <v>231</v>
      </c>
      <c r="BW278" s="2" t="s">
        <v>231</v>
      </c>
      <c r="BX278" s="2" t="s">
        <v>231</v>
      </c>
      <c r="BY278" s="2" t="s">
        <v>277</v>
      </c>
      <c r="BZ278" s="2" t="s">
        <v>243</v>
      </c>
      <c r="CA278" s="2" t="s">
        <v>1882</v>
      </c>
      <c r="CB278" s="2" t="s">
        <v>231</v>
      </c>
      <c r="CC278" s="2" t="s">
        <v>244</v>
      </c>
      <c r="CD278" s="2" t="s">
        <v>231</v>
      </c>
      <c r="CE278" s="4">
        <v>516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</row>
    <row r="279">
      <c r="A279" s="2" t="s">
        <v>1883</v>
      </c>
      <c r="B279" s="2" t="s">
        <v>1186</v>
      </c>
      <c r="C279" s="2" t="s">
        <v>288</v>
      </c>
      <c r="D279" s="2" t="s">
        <v>1462</v>
      </c>
      <c r="E279" s="2" t="s">
        <v>1884</v>
      </c>
      <c r="F279" s="2" t="s">
        <v>1885</v>
      </c>
      <c r="G279" s="2" t="s">
        <v>1886</v>
      </c>
      <c r="H279" s="2" t="s">
        <v>1887</v>
      </c>
      <c r="I279" s="2" t="s">
        <v>1888</v>
      </c>
      <c r="J279" s="2" t="s">
        <v>658</v>
      </c>
      <c r="K279" s="2" t="s">
        <v>294</v>
      </c>
      <c r="L279" s="3">
        <v>65</v>
      </c>
      <c r="M279" s="3">
        <v>68.24</v>
      </c>
      <c r="N279" s="3">
        <v>129.99</v>
      </c>
      <c r="O279" s="2" t="s">
        <v>243</v>
      </c>
      <c r="P279" s="2" t="s">
        <v>270</v>
      </c>
      <c r="Q279" s="2" t="s">
        <v>237</v>
      </c>
      <c r="R279" s="2" t="s">
        <v>231</v>
      </c>
      <c r="S279" s="2" t="s">
        <v>1889</v>
      </c>
      <c r="T279" s="2" t="s">
        <v>231</v>
      </c>
      <c r="U279" s="2" t="s">
        <v>700</v>
      </c>
      <c r="V279" s="2" t="s">
        <v>1890</v>
      </c>
      <c r="W279" s="2" t="s">
        <v>792</v>
      </c>
      <c r="X279" s="2" t="s">
        <v>1891</v>
      </c>
      <c r="Y279" s="2" t="s">
        <v>274</v>
      </c>
      <c r="Z279" s="4">
        <v>140</v>
      </c>
      <c r="AA279" s="4">
        <f>=ROUNDDOWN(5.83333333333333,0)</f>
      </c>
      <c r="AB279" s="5">
        <v>24</v>
      </c>
      <c r="AC279" s="2" t="s">
        <v>701</v>
      </c>
      <c r="AD279" s="4">
        <v>200</v>
      </c>
      <c r="AE279" s="4">
        <v>780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231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>
        <v>75</v>
      </c>
      <c r="BK279" s="8">
        <v>4918.44</v>
      </c>
      <c r="BL279" s="2" t="s">
        <v>1892</v>
      </c>
      <c r="BM279" s="7"/>
      <c r="BN279" s="7"/>
      <c r="BO279" s="4"/>
      <c r="BP279" s="8"/>
      <c r="BQ279" s="4"/>
      <c r="BR279" s="8"/>
      <c r="BS279" s="7"/>
      <c r="BT279" s="7"/>
      <c r="BU279" s="2" t="s">
        <v>1893</v>
      </c>
      <c r="BV279" s="2" t="s">
        <v>231</v>
      </c>
      <c r="BW279" s="2" t="s">
        <v>231</v>
      </c>
      <c r="BX279" s="2" t="s">
        <v>231</v>
      </c>
      <c r="BY279" s="2" t="s">
        <v>277</v>
      </c>
      <c r="BZ279" s="2" t="s">
        <v>243</v>
      </c>
      <c r="CA279" s="2" t="s">
        <v>284</v>
      </c>
      <c r="CB279" s="2" t="s">
        <v>1894</v>
      </c>
      <c r="CC279" s="2" t="s">
        <v>244</v>
      </c>
      <c r="CD279" s="2" t="s">
        <v>231</v>
      </c>
      <c r="CE279" s="4">
        <v>77</v>
      </c>
      <c r="CF279" s="4"/>
      <c r="CG279" s="4"/>
      <c r="CH279" s="4"/>
      <c r="CI279" s="4">
        <v>63</v>
      </c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>
        <v>200</v>
      </c>
      <c r="EC279" s="4"/>
      <c r="ED279" s="4"/>
      <c r="EE279" s="4"/>
      <c r="EF279" s="4"/>
      <c r="EG279" s="4"/>
      <c r="EH279" s="4"/>
      <c r="EI279" s="4"/>
      <c r="EJ279" s="4"/>
      <c r="EK279" s="4">
        <v>30</v>
      </c>
      <c r="EL279" s="4"/>
      <c r="EM279" s="4"/>
      <c r="EN279" s="4"/>
      <c r="EO279" s="4"/>
      <c r="EP279" s="4"/>
      <c r="EQ279" s="4"/>
      <c r="ER279" s="4">
        <v>60</v>
      </c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>
        <v>130</v>
      </c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>
        <v>20</v>
      </c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>
        <v>40</v>
      </c>
      <c r="GT279" s="4"/>
      <c r="GU279" s="4">
        <v>180</v>
      </c>
      <c r="GV279" s="4"/>
      <c r="GW279" s="4"/>
      <c r="GX279" s="4"/>
      <c r="GY279" s="4"/>
      <c r="GZ279" s="4"/>
      <c r="HA279" s="4"/>
      <c r="HB279" s="4"/>
      <c r="HC279" s="4"/>
      <c r="HD279" s="4"/>
      <c r="HE279" s="4">
        <v>120</v>
      </c>
      <c r="HF279" s="4"/>
      <c r="HG279" s="4"/>
      <c r="HH279" s="4"/>
      <c r="HI279" s="4"/>
      <c r="HJ279" s="4"/>
      <c r="HK279" s="4"/>
      <c r="HL279" s="4"/>
    </row>
    <row r="280">
      <c r="A280" s="2" t="s">
        <v>1895</v>
      </c>
      <c r="B280" s="2" t="s">
        <v>1186</v>
      </c>
      <c r="C280" s="2" t="s">
        <v>288</v>
      </c>
      <c r="D280" s="2" t="s">
        <v>1462</v>
      </c>
      <c r="E280" s="2" t="s">
        <v>1884</v>
      </c>
      <c r="F280" s="2" t="s">
        <v>1896</v>
      </c>
      <c r="G280" s="2" t="s">
        <v>1897</v>
      </c>
      <c r="H280" s="2" t="s">
        <v>1898</v>
      </c>
      <c r="I280" s="2" t="s">
        <v>1899</v>
      </c>
      <c r="J280" s="2" t="s">
        <v>658</v>
      </c>
      <c r="K280" s="2" t="s">
        <v>294</v>
      </c>
      <c r="L280" s="3">
        <v>54.99</v>
      </c>
      <c r="M280" s="3">
        <v>57.74</v>
      </c>
      <c r="N280" s="3">
        <v>109.99</v>
      </c>
      <c r="O280" s="2" t="s">
        <v>243</v>
      </c>
      <c r="P280" s="2" t="s">
        <v>270</v>
      </c>
      <c r="Q280" s="2" t="s">
        <v>237</v>
      </c>
      <c r="R280" s="2" t="s">
        <v>231</v>
      </c>
      <c r="S280" s="2" t="s">
        <v>1900</v>
      </c>
      <c r="T280" s="2" t="s">
        <v>231</v>
      </c>
      <c r="U280" s="2" t="s">
        <v>765</v>
      </c>
      <c r="V280" s="2" t="s">
        <v>1901</v>
      </c>
      <c r="W280" s="2" t="s">
        <v>676</v>
      </c>
      <c r="X280" s="2" t="s">
        <v>1902</v>
      </c>
      <c r="Y280" s="2" t="s">
        <v>274</v>
      </c>
      <c r="Z280" s="4">
        <v>182</v>
      </c>
      <c r="AA280" s="4">
        <f>=ROUNDDOWN(20.2222222222222,0)</f>
      </c>
      <c r="AB280" s="5">
        <v>9</v>
      </c>
      <c r="AC280" s="2" t="s">
        <v>876</v>
      </c>
      <c r="AD280" s="4">
        <v>120</v>
      </c>
      <c r="AE280" s="4">
        <v>280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231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231</v>
      </c>
      <c r="AW280" s="8" t="s">
        <v>231</v>
      </c>
      <c r="AX280" s="4" t="s">
        <v>231</v>
      </c>
      <c r="AY280" s="8" t="s">
        <v>231</v>
      </c>
      <c r="AZ280" s="7" t="s">
        <v>231</v>
      </c>
      <c r="BA280" s="7" t="s">
        <v>231</v>
      </c>
      <c r="BB280" s="7"/>
      <c r="BC280" s="4" t="s">
        <v>231</v>
      </c>
      <c r="BD280" s="8" t="s">
        <v>231</v>
      </c>
      <c r="BE280" s="4" t="s">
        <v>231</v>
      </c>
      <c r="BF280" s="8" t="s">
        <v>231</v>
      </c>
      <c r="BG280" s="7" t="s">
        <v>231</v>
      </c>
      <c r="BH280" s="7" t="s">
        <v>231</v>
      </c>
      <c r="BI280" s="7"/>
      <c r="BJ280" s="4">
        <v>24</v>
      </c>
      <c r="BK280" s="8">
        <v>1382.9</v>
      </c>
      <c r="BL280" s="2" t="s">
        <v>1903</v>
      </c>
      <c r="BM280" s="7"/>
      <c r="BN280" s="7"/>
      <c r="BO280" s="4"/>
      <c r="BP280" s="8"/>
      <c r="BQ280" s="4"/>
      <c r="BR280" s="8"/>
      <c r="BS280" s="7"/>
      <c r="BT280" s="7"/>
      <c r="BU280" s="2" t="s">
        <v>1904</v>
      </c>
      <c r="BV280" s="2" t="s">
        <v>231</v>
      </c>
      <c r="BW280" s="2" t="s">
        <v>231</v>
      </c>
      <c r="BX280" s="2" t="s">
        <v>231</v>
      </c>
      <c r="BY280" s="2" t="s">
        <v>277</v>
      </c>
      <c r="BZ280" s="2" t="s">
        <v>243</v>
      </c>
      <c r="CA280" s="2" t="s">
        <v>284</v>
      </c>
      <c r="CB280" s="2" t="s">
        <v>1905</v>
      </c>
      <c r="CC280" s="2" t="s">
        <v>244</v>
      </c>
      <c r="CD280" s="2" t="s">
        <v>231</v>
      </c>
      <c r="CE280" s="4">
        <v>120</v>
      </c>
      <c r="CF280" s="4"/>
      <c r="CG280" s="4"/>
      <c r="CH280" s="4"/>
      <c r="CI280" s="4">
        <v>62</v>
      </c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>
        <v>120</v>
      </c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>
        <v>30</v>
      </c>
      <c r="FW280" s="4"/>
      <c r="FX280" s="4"/>
      <c r="FY280" s="4"/>
      <c r="FZ280" s="4"/>
      <c r="GA280" s="4"/>
      <c r="GB280" s="4"/>
      <c r="GC280" s="4"/>
      <c r="GD280" s="4"/>
      <c r="GE280" s="4"/>
      <c r="GF280" s="4">
        <v>100</v>
      </c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>
        <v>30</v>
      </c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</row>
    <row r="281">
      <c r="A281" s="2" t="s">
        <v>1906</v>
      </c>
      <c r="B281" s="2" t="s">
        <v>992</v>
      </c>
      <c r="C281" s="2" t="s">
        <v>288</v>
      </c>
      <c r="D281" s="2" t="s">
        <v>993</v>
      </c>
      <c r="E281" s="2" t="s">
        <v>1157</v>
      </c>
      <c r="F281" s="2" t="s">
        <v>1896</v>
      </c>
      <c r="G281" s="2" t="s">
        <v>1897</v>
      </c>
      <c r="H281" s="2" t="s">
        <v>1898</v>
      </c>
      <c r="I281" s="2" t="s">
        <v>1907</v>
      </c>
      <c r="J281" s="2" t="s">
        <v>1586</v>
      </c>
      <c r="K281" s="2" t="s">
        <v>294</v>
      </c>
      <c r="L281" s="3">
        <v>29.9</v>
      </c>
      <c r="M281" s="3">
        <v>31.4</v>
      </c>
      <c r="N281" s="3">
        <v>64.99</v>
      </c>
      <c r="O281" s="2" t="s">
        <v>243</v>
      </c>
      <c r="P281" s="2" t="s">
        <v>270</v>
      </c>
      <c r="Q281" s="2" t="s">
        <v>237</v>
      </c>
      <c r="R281" s="2" t="s">
        <v>231</v>
      </c>
      <c r="S281" s="2" t="s">
        <v>1908</v>
      </c>
      <c r="T281" s="2" t="s">
        <v>231</v>
      </c>
      <c r="U281" s="2" t="s">
        <v>231</v>
      </c>
      <c r="V281" s="2" t="s">
        <v>1901</v>
      </c>
      <c r="W281" s="2" t="s">
        <v>676</v>
      </c>
      <c r="X281" s="2" t="s">
        <v>1520</v>
      </c>
      <c r="Y281" s="2" t="s">
        <v>274</v>
      </c>
      <c r="Z281" s="4">
        <v>283</v>
      </c>
      <c r="AA281" s="4">
        <f>=ROUNDDOWN(25.7272727272727,0)</f>
      </c>
      <c r="AB281" s="5">
        <v>11</v>
      </c>
      <c r="AC281" s="2" t="s">
        <v>231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231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231</v>
      </c>
      <c r="AW281" s="8" t="s">
        <v>231</v>
      </c>
      <c r="AX281" s="4" t="s">
        <v>231</v>
      </c>
      <c r="AY281" s="8" t="s">
        <v>231</v>
      </c>
      <c r="AZ281" s="7" t="s">
        <v>231</v>
      </c>
      <c r="BA281" s="7" t="s">
        <v>231</v>
      </c>
      <c r="BB281" s="7"/>
      <c r="BC281" s="4" t="s">
        <v>231</v>
      </c>
      <c r="BD281" s="8" t="s">
        <v>231</v>
      </c>
      <c r="BE281" s="4" t="s">
        <v>231</v>
      </c>
      <c r="BF281" s="8" t="s">
        <v>231</v>
      </c>
      <c r="BG281" s="7" t="s">
        <v>231</v>
      </c>
      <c r="BH281" s="7" t="s">
        <v>231</v>
      </c>
      <c r="BI281" s="7"/>
      <c r="BJ281" s="4">
        <v>26</v>
      </c>
      <c r="BK281" s="8">
        <v>798.2</v>
      </c>
      <c r="BL281" s="2" t="s">
        <v>1909</v>
      </c>
      <c r="BM281" s="7"/>
      <c r="BN281" s="7"/>
      <c r="BO281" s="4"/>
      <c r="BP281" s="8"/>
      <c r="BQ281" s="4"/>
      <c r="BR281" s="8"/>
      <c r="BS281" s="7"/>
      <c r="BT281" s="7"/>
      <c r="BU281" s="2" t="s">
        <v>1910</v>
      </c>
      <c r="BV281" s="2" t="s">
        <v>231</v>
      </c>
      <c r="BW281" s="2" t="s">
        <v>231</v>
      </c>
      <c r="BX281" s="2" t="s">
        <v>231</v>
      </c>
      <c r="BY281" s="2" t="s">
        <v>277</v>
      </c>
      <c r="BZ281" s="2" t="s">
        <v>243</v>
      </c>
      <c r="CA281" s="2" t="s">
        <v>284</v>
      </c>
      <c r="CB281" s="2" t="s">
        <v>467</v>
      </c>
      <c r="CC281" s="2" t="s">
        <v>244</v>
      </c>
      <c r="CD281" s="2" t="s">
        <v>231</v>
      </c>
      <c r="CE281" s="4">
        <v>283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</row>
    <row r="282">
      <c r="A282" s="2" t="s">
        <v>1911</v>
      </c>
      <c r="B282" s="2" t="s">
        <v>1004</v>
      </c>
      <c r="C282" s="2" t="s">
        <v>1105</v>
      </c>
      <c r="D282" s="2" t="s">
        <v>1912</v>
      </c>
      <c r="E282" s="2" t="s">
        <v>1913</v>
      </c>
      <c r="F282" s="2" t="s">
        <v>1896</v>
      </c>
      <c r="G282" s="2" t="s">
        <v>1896</v>
      </c>
      <c r="H282" s="2" t="s">
        <v>1896</v>
      </c>
      <c r="I282" s="2" t="s">
        <v>1914</v>
      </c>
      <c r="J282" s="2" t="s">
        <v>807</v>
      </c>
      <c r="K282" s="2" t="s">
        <v>269</v>
      </c>
      <c r="L282" s="3">
        <v>85</v>
      </c>
      <c r="M282" s="3">
        <v>89.25</v>
      </c>
      <c r="N282" s="3">
        <v>179</v>
      </c>
      <c r="O282" s="2" t="s">
        <v>243</v>
      </c>
      <c r="P282" s="2" t="s">
        <v>1915</v>
      </c>
      <c r="Q282" s="2" t="s">
        <v>237</v>
      </c>
      <c r="R282" s="2" t="s">
        <v>231</v>
      </c>
      <c r="S282" s="2" t="s">
        <v>231</v>
      </c>
      <c r="T282" s="2" t="s">
        <v>231</v>
      </c>
      <c r="U282" s="2" t="s">
        <v>327</v>
      </c>
      <c r="V282" s="2" t="s">
        <v>662</v>
      </c>
      <c r="W282" s="2" t="s">
        <v>792</v>
      </c>
      <c r="X282" s="2" t="s">
        <v>676</v>
      </c>
      <c r="Y282" s="2" t="s">
        <v>231</v>
      </c>
      <c r="Z282" s="4"/>
      <c r="AA282" s="4">
        <f>=ROUNDDOWN({0},0)</f>
      </c>
      <c r="AB282" s="5"/>
      <c r="AC282" s="2" t="s">
        <v>1079</v>
      </c>
      <c r="AD282" s="4">
        <v>89</v>
      </c>
      <c r="AE282" s="4">
        <v>90</v>
      </c>
      <c r="AF282" s="6">
        <v>74</v>
      </c>
      <c r="AG282" s="6"/>
      <c r="AH282" s="7">
        <v>0</v>
      </c>
      <c r="AI282" s="4"/>
      <c r="AJ282" s="4">
        <f>=ROUNDDOWN({0},0)</f>
      </c>
      <c r="AK282" s="5"/>
      <c r="AL282" s="2" t="s">
        <v>231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231</v>
      </c>
      <c r="AW282" s="8" t="s">
        <v>231</v>
      </c>
      <c r="AX282" s="4" t="s">
        <v>231</v>
      </c>
      <c r="AY282" s="8" t="s">
        <v>231</v>
      </c>
      <c r="AZ282" s="7" t="s">
        <v>231</v>
      </c>
      <c r="BA282" s="7" t="s">
        <v>231</v>
      </c>
      <c r="BB282" s="7" t="s">
        <v>231</v>
      </c>
      <c r="BC282" s="4" t="s">
        <v>231</v>
      </c>
      <c r="BD282" s="8" t="s">
        <v>231</v>
      </c>
      <c r="BE282" s="4" t="s">
        <v>231</v>
      </c>
      <c r="BF282" s="8" t="s">
        <v>231</v>
      </c>
      <c r="BG282" s="7" t="s">
        <v>231</v>
      </c>
      <c r="BH282" s="7" t="s">
        <v>231</v>
      </c>
      <c r="BI282" s="7"/>
      <c r="BJ282" s="4"/>
      <c r="BK282" s="8"/>
      <c r="BL282" s="2" t="s">
        <v>231</v>
      </c>
      <c r="BM282" s="7"/>
      <c r="BN282" s="7"/>
      <c r="BO282" s="4"/>
      <c r="BP282" s="8"/>
      <c r="BQ282" s="4"/>
      <c r="BR282" s="8"/>
      <c r="BS282" s="7"/>
      <c r="BT282" s="7"/>
      <c r="BU282" s="2" t="s">
        <v>241</v>
      </c>
      <c r="BV282" s="2" t="s">
        <v>231</v>
      </c>
      <c r="BW282" s="2" t="s">
        <v>231</v>
      </c>
      <c r="BX282" s="2" t="s">
        <v>241</v>
      </c>
      <c r="BY282" s="2" t="s">
        <v>242</v>
      </c>
      <c r="BZ282" s="2" t="s">
        <v>243</v>
      </c>
      <c r="CA282" s="2" t="s">
        <v>231</v>
      </c>
      <c r="CB282" s="2" t="s">
        <v>231</v>
      </c>
      <c r="CC282" s="2" t="s">
        <v>244</v>
      </c>
      <c r="CD282" s="2" t="s">
        <v>231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>
        <v>89</v>
      </c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>
        <v>1</v>
      </c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</row>
    <row r="283">
      <c r="A283" s="2" t="s">
        <v>1916</v>
      </c>
      <c r="B283" s="2" t="s">
        <v>1004</v>
      </c>
      <c r="C283" s="2" t="s">
        <v>1105</v>
      </c>
      <c r="D283" s="2" t="s">
        <v>1917</v>
      </c>
      <c r="E283" s="2" t="s">
        <v>1918</v>
      </c>
      <c r="F283" s="2" t="s">
        <v>1896</v>
      </c>
      <c r="G283" s="2" t="s">
        <v>1896</v>
      </c>
      <c r="H283" s="2" t="s">
        <v>1896</v>
      </c>
      <c r="I283" s="2" t="s">
        <v>1919</v>
      </c>
      <c r="J283" s="2" t="s">
        <v>807</v>
      </c>
      <c r="K283" s="2" t="s">
        <v>269</v>
      </c>
      <c r="L283" s="3">
        <v>142</v>
      </c>
      <c r="M283" s="3">
        <v>149.1</v>
      </c>
      <c r="N283" s="3">
        <v>299</v>
      </c>
      <c r="O283" s="2" t="s">
        <v>243</v>
      </c>
      <c r="P283" s="2" t="s">
        <v>1915</v>
      </c>
      <c r="Q283" s="2" t="s">
        <v>237</v>
      </c>
      <c r="R283" s="2" t="s">
        <v>231</v>
      </c>
      <c r="S283" s="2" t="s">
        <v>231</v>
      </c>
      <c r="T283" s="2" t="s">
        <v>231</v>
      </c>
      <c r="U283" s="2" t="s">
        <v>791</v>
      </c>
      <c r="V283" s="2" t="s">
        <v>662</v>
      </c>
      <c r="W283" s="2" t="s">
        <v>792</v>
      </c>
      <c r="X283" s="2" t="s">
        <v>676</v>
      </c>
      <c r="Y283" s="2" t="s">
        <v>231</v>
      </c>
      <c r="Z283" s="4"/>
      <c r="AA283" s="4">
        <f>=ROUNDDOWN({0},0)</f>
      </c>
      <c r="AB283" s="5"/>
      <c r="AC283" s="2" t="s">
        <v>1920</v>
      </c>
      <c r="AD283" s="4">
        <v>81</v>
      </c>
      <c r="AE283" s="4">
        <v>90</v>
      </c>
      <c r="AF283" s="6">
        <v>74</v>
      </c>
      <c r="AG283" s="6"/>
      <c r="AH283" s="7">
        <v>0</v>
      </c>
      <c r="AI283" s="4"/>
      <c r="AJ283" s="4">
        <f>=ROUNDDOWN({0},0)</f>
      </c>
      <c r="AK283" s="5"/>
      <c r="AL283" s="2" t="s">
        <v>231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231</v>
      </c>
      <c r="AW283" s="8" t="s">
        <v>231</v>
      </c>
      <c r="AX283" s="4" t="s">
        <v>231</v>
      </c>
      <c r="AY283" s="8" t="s">
        <v>231</v>
      </c>
      <c r="AZ283" s="7" t="s">
        <v>231</v>
      </c>
      <c r="BA283" s="7" t="s">
        <v>231</v>
      </c>
      <c r="BB283" s="7" t="s">
        <v>231</v>
      </c>
      <c r="BC283" s="4" t="s">
        <v>231</v>
      </c>
      <c r="BD283" s="8" t="s">
        <v>231</v>
      </c>
      <c r="BE283" s="4" t="s">
        <v>231</v>
      </c>
      <c r="BF283" s="8" t="s">
        <v>231</v>
      </c>
      <c r="BG283" s="7" t="s">
        <v>231</v>
      </c>
      <c r="BH283" s="7" t="s">
        <v>231</v>
      </c>
      <c r="BI283" s="7"/>
      <c r="BJ283" s="4"/>
      <c r="BK283" s="8"/>
      <c r="BL283" s="2" t="s">
        <v>231</v>
      </c>
      <c r="BM283" s="7"/>
      <c r="BN283" s="7"/>
      <c r="BO283" s="4"/>
      <c r="BP283" s="8"/>
      <c r="BQ283" s="4"/>
      <c r="BR283" s="8"/>
      <c r="BS283" s="7"/>
      <c r="BT283" s="7"/>
      <c r="BU283" s="2" t="s">
        <v>241</v>
      </c>
      <c r="BV283" s="2" t="s">
        <v>231</v>
      </c>
      <c r="BW283" s="2" t="s">
        <v>231</v>
      </c>
      <c r="BX283" s="2" t="s">
        <v>241</v>
      </c>
      <c r="BY283" s="2" t="s">
        <v>242</v>
      </c>
      <c r="BZ283" s="2" t="s">
        <v>243</v>
      </c>
      <c r="CA283" s="2" t="s">
        <v>231</v>
      </c>
      <c r="CB283" s="2" t="s">
        <v>231</v>
      </c>
      <c r="CC283" s="2" t="s">
        <v>244</v>
      </c>
      <c r="CD283" s="2" t="s">
        <v>231</v>
      </c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>
        <v>81</v>
      </c>
      <c r="EW283" s="4"/>
      <c r="EX283" s="4"/>
      <c r="EY283" s="4"/>
      <c r="EZ283" s="4"/>
      <c r="FA283" s="4"/>
      <c r="FB283" s="4">
        <v>8</v>
      </c>
      <c r="FC283" s="4"/>
      <c r="FD283" s="4"/>
      <c r="FE283" s="4"/>
      <c r="FF283" s="4"/>
      <c r="FG283" s="4"/>
      <c r="FH283" s="4">
        <v>1</v>
      </c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</row>
    <row r="284">
      <c r="A284" s="2" t="s">
        <v>1921</v>
      </c>
      <c r="B284" s="2" t="s">
        <v>1004</v>
      </c>
      <c r="C284" s="2" t="s">
        <v>1105</v>
      </c>
      <c r="D284" s="2" t="s">
        <v>1922</v>
      </c>
      <c r="E284" s="2" t="s">
        <v>1923</v>
      </c>
      <c r="F284" s="2" t="s">
        <v>1896</v>
      </c>
      <c r="G284" s="2" t="s">
        <v>1896</v>
      </c>
      <c r="H284" s="2" t="s">
        <v>1896</v>
      </c>
      <c r="I284" s="2" t="s">
        <v>1924</v>
      </c>
      <c r="J284" s="2" t="s">
        <v>807</v>
      </c>
      <c r="K284" s="2" t="s">
        <v>269</v>
      </c>
      <c r="L284" s="3">
        <v>105</v>
      </c>
      <c r="M284" s="3">
        <v>110.25</v>
      </c>
      <c r="N284" s="3">
        <v>219</v>
      </c>
      <c r="O284" s="2" t="s">
        <v>243</v>
      </c>
      <c r="P284" s="2" t="s">
        <v>1915</v>
      </c>
      <c r="Q284" s="2" t="s">
        <v>237</v>
      </c>
      <c r="R284" s="2" t="s">
        <v>231</v>
      </c>
      <c r="S284" s="2" t="s">
        <v>231</v>
      </c>
      <c r="T284" s="2" t="s">
        <v>231</v>
      </c>
      <c r="U284" s="2" t="s">
        <v>791</v>
      </c>
      <c r="V284" s="2" t="s">
        <v>662</v>
      </c>
      <c r="W284" s="2" t="s">
        <v>792</v>
      </c>
      <c r="X284" s="2" t="s">
        <v>676</v>
      </c>
      <c r="Y284" s="2" t="s">
        <v>231</v>
      </c>
      <c r="Z284" s="4"/>
      <c r="AA284" s="4">
        <f>=ROUNDDOWN({0},0)</f>
      </c>
      <c r="AB284" s="5"/>
      <c r="AC284" s="2" t="s">
        <v>1079</v>
      </c>
      <c r="AD284" s="4">
        <v>89</v>
      </c>
      <c r="AE284" s="4">
        <v>90</v>
      </c>
      <c r="AF284" s="6">
        <v>74</v>
      </c>
      <c r="AG284" s="6"/>
      <c r="AH284" s="7">
        <v>0</v>
      </c>
      <c r="AI284" s="4"/>
      <c r="AJ284" s="4">
        <f>=ROUNDDOWN({0},0)</f>
      </c>
      <c r="AK284" s="5"/>
      <c r="AL284" s="2" t="s">
        <v>231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231</v>
      </c>
      <c r="AW284" s="8" t="s">
        <v>231</v>
      </c>
      <c r="AX284" s="4" t="s">
        <v>231</v>
      </c>
      <c r="AY284" s="8" t="s">
        <v>231</v>
      </c>
      <c r="AZ284" s="7" t="s">
        <v>231</v>
      </c>
      <c r="BA284" s="7" t="s">
        <v>231</v>
      </c>
      <c r="BB284" s="7" t="s">
        <v>231</v>
      </c>
      <c r="BC284" s="4" t="s">
        <v>231</v>
      </c>
      <c r="BD284" s="8" t="s">
        <v>231</v>
      </c>
      <c r="BE284" s="4" t="s">
        <v>231</v>
      </c>
      <c r="BF284" s="8" t="s">
        <v>231</v>
      </c>
      <c r="BG284" s="7" t="s">
        <v>231</v>
      </c>
      <c r="BH284" s="7" t="s">
        <v>231</v>
      </c>
      <c r="BI284" s="7"/>
      <c r="BJ284" s="4"/>
      <c r="BK284" s="8"/>
      <c r="BL284" s="2" t="s">
        <v>231</v>
      </c>
      <c r="BM284" s="7"/>
      <c r="BN284" s="7"/>
      <c r="BO284" s="4"/>
      <c r="BP284" s="8"/>
      <c r="BQ284" s="4"/>
      <c r="BR284" s="8"/>
      <c r="BS284" s="7"/>
      <c r="BT284" s="7"/>
      <c r="BU284" s="2" t="s">
        <v>241</v>
      </c>
      <c r="BV284" s="2" t="s">
        <v>231</v>
      </c>
      <c r="BW284" s="2" t="s">
        <v>231</v>
      </c>
      <c r="BX284" s="2" t="s">
        <v>241</v>
      </c>
      <c r="BY284" s="2" t="s">
        <v>242</v>
      </c>
      <c r="BZ284" s="2" t="s">
        <v>243</v>
      </c>
      <c r="CA284" s="2" t="s">
        <v>231</v>
      </c>
      <c r="CB284" s="2" t="s">
        <v>231</v>
      </c>
      <c r="CC284" s="2" t="s">
        <v>244</v>
      </c>
      <c r="CD284" s="2" t="s">
        <v>231</v>
      </c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>
        <v>89</v>
      </c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>
        <v>1</v>
      </c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</row>
    <row r="285">
      <c r="A285" s="2" t="s">
        <v>1925</v>
      </c>
      <c r="B285" s="2" t="s">
        <v>992</v>
      </c>
      <c r="C285" s="2" t="s">
        <v>288</v>
      </c>
      <c r="D285" s="2" t="s">
        <v>993</v>
      </c>
      <c r="E285" s="2" t="s">
        <v>1157</v>
      </c>
      <c r="F285" s="2" t="s">
        <v>1896</v>
      </c>
      <c r="G285" s="2" t="s">
        <v>1897</v>
      </c>
      <c r="H285" s="2" t="s">
        <v>1898</v>
      </c>
      <c r="I285" s="2" t="s">
        <v>1907</v>
      </c>
      <c r="J285" s="2" t="s">
        <v>1450</v>
      </c>
      <c r="K285" s="2" t="s">
        <v>1926</v>
      </c>
      <c r="L285" s="3">
        <v>31.5</v>
      </c>
      <c r="M285" s="3">
        <v>33.08</v>
      </c>
      <c r="N285" s="3">
        <v>69.99</v>
      </c>
      <c r="O285" s="2" t="s">
        <v>243</v>
      </c>
      <c r="P285" s="2" t="s">
        <v>1281</v>
      </c>
      <c r="Q285" s="2" t="s">
        <v>237</v>
      </c>
      <c r="R285" s="2" t="s">
        <v>231</v>
      </c>
      <c r="S285" s="2" t="s">
        <v>1927</v>
      </c>
      <c r="T285" s="2" t="s">
        <v>231</v>
      </c>
      <c r="U285" s="2" t="s">
        <v>231</v>
      </c>
      <c r="V285" s="2" t="s">
        <v>1901</v>
      </c>
      <c r="W285" s="2" t="s">
        <v>676</v>
      </c>
      <c r="X285" s="2" t="s">
        <v>1520</v>
      </c>
      <c r="Y285" s="2" t="s">
        <v>274</v>
      </c>
      <c r="Z285" s="4">
        <v>219</v>
      </c>
      <c r="AA285" s="4">
        <f>=ROUNDDOWN(31.2857142857143,0)</f>
      </c>
      <c r="AB285" s="5">
        <v>7</v>
      </c>
      <c r="AC285" s="2" t="s">
        <v>309</v>
      </c>
      <c r="AD285" s="4">
        <v>152</v>
      </c>
      <c r="AE285" s="4">
        <v>152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231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231</v>
      </c>
      <c r="BD285" s="8" t="s">
        <v>231</v>
      </c>
      <c r="BE285" s="4" t="s">
        <v>231</v>
      </c>
      <c r="BF285" s="8" t="s">
        <v>231</v>
      </c>
      <c r="BG285" s="7" t="s">
        <v>231</v>
      </c>
      <c r="BH285" s="7" t="s">
        <v>231</v>
      </c>
      <c r="BI285" s="7"/>
      <c r="BJ285" s="4">
        <v>19</v>
      </c>
      <c r="BK285" s="8">
        <v>906.07</v>
      </c>
      <c r="BL285" s="2" t="s">
        <v>1928</v>
      </c>
      <c r="BM285" s="7"/>
      <c r="BN285" s="7"/>
      <c r="BO285" s="4"/>
      <c r="BP285" s="8"/>
      <c r="BQ285" s="4"/>
      <c r="BR285" s="8"/>
      <c r="BS285" s="7"/>
      <c r="BT285" s="7"/>
      <c r="BU285" s="2" t="s">
        <v>1929</v>
      </c>
      <c r="BV285" s="2" t="s">
        <v>231</v>
      </c>
      <c r="BW285" s="2" t="s">
        <v>231</v>
      </c>
      <c r="BX285" s="2" t="s">
        <v>231</v>
      </c>
      <c r="BY285" s="2" t="s">
        <v>277</v>
      </c>
      <c r="BZ285" s="2" t="s">
        <v>243</v>
      </c>
      <c r="CA285" s="2" t="s">
        <v>284</v>
      </c>
      <c r="CB285" s="2" t="s">
        <v>1930</v>
      </c>
      <c r="CC285" s="2" t="s">
        <v>244</v>
      </c>
      <c r="CD285" s="2" t="s">
        <v>231</v>
      </c>
      <c r="CE285" s="4">
        <v>219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>
        <v>152</v>
      </c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</row>
    <row r="286">
      <c r="A286" s="2" t="s">
        <v>1931</v>
      </c>
      <c r="B286" s="2" t="s">
        <v>992</v>
      </c>
      <c r="C286" s="2" t="s">
        <v>288</v>
      </c>
      <c r="D286" s="2" t="s">
        <v>993</v>
      </c>
      <c r="E286" s="2" t="s">
        <v>1157</v>
      </c>
      <c r="F286" s="2" t="s">
        <v>1896</v>
      </c>
      <c r="G286" s="2" t="s">
        <v>1897</v>
      </c>
      <c r="H286" s="2" t="s">
        <v>1898</v>
      </c>
      <c r="I286" s="2" t="s">
        <v>1907</v>
      </c>
      <c r="J286" s="2" t="s">
        <v>1450</v>
      </c>
      <c r="K286" s="2" t="s">
        <v>1932</v>
      </c>
      <c r="L286" s="3">
        <v>31.5</v>
      </c>
      <c r="M286" s="3">
        <v>33.08</v>
      </c>
      <c r="N286" s="3">
        <v>69.99</v>
      </c>
      <c r="O286" s="2" t="s">
        <v>243</v>
      </c>
      <c r="P286" s="2" t="s">
        <v>270</v>
      </c>
      <c r="Q286" s="2" t="s">
        <v>237</v>
      </c>
      <c r="R286" s="2" t="s">
        <v>231</v>
      </c>
      <c r="S286" s="2" t="s">
        <v>1933</v>
      </c>
      <c r="T286" s="2" t="s">
        <v>231</v>
      </c>
      <c r="U286" s="2" t="s">
        <v>231</v>
      </c>
      <c r="V286" s="2" t="s">
        <v>1901</v>
      </c>
      <c r="W286" s="2" t="s">
        <v>676</v>
      </c>
      <c r="X286" s="2" t="s">
        <v>1520</v>
      </c>
      <c r="Y286" s="2" t="s">
        <v>274</v>
      </c>
      <c r="Z286" s="4">
        <v>18</v>
      </c>
      <c r="AA286" s="4">
        <f>=ROUNDDOWN(2.25,0)</f>
      </c>
      <c r="AB286" s="5">
        <v>8</v>
      </c>
      <c r="AC286" s="2" t="s">
        <v>911</v>
      </c>
      <c r="AD286" s="4">
        <v>384</v>
      </c>
      <c r="AE286" s="4">
        <v>384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231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231</v>
      </c>
      <c r="BD286" s="8" t="s">
        <v>231</v>
      </c>
      <c r="BE286" s="4" t="s">
        <v>231</v>
      </c>
      <c r="BF286" s="8" t="s">
        <v>231</v>
      </c>
      <c r="BG286" s="7" t="s">
        <v>231</v>
      </c>
      <c r="BH286" s="7" t="s">
        <v>231</v>
      </c>
      <c r="BI286" s="7"/>
      <c r="BJ286" s="4">
        <v>23</v>
      </c>
      <c r="BK286" s="8">
        <v>765.43</v>
      </c>
      <c r="BL286" s="2" t="s">
        <v>1934</v>
      </c>
      <c r="BM286" s="7"/>
      <c r="BN286" s="7"/>
      <c r="BO286" s="4"/>
      <c r="BP286" s="8"/>
      <c r="BQ286" s="4"/>
      <c r="BR286" s="8"/>
      <c r="BS286" s="7"/>
      <c r="BT286" s="7"/>
      <c r="BU286" s="2" t="s">
        <v>1935</v>
      </c>
      <c r="BV286" s="2" t="s">
        <v>231</v>
      </c>
      <c r="BW286" s="2" t="s">
        <v>231</v>
      </c>
      <c r="BX286" s="2" t="s">
        <v>231</v>
      </c>
      <c r="BY286" s="2" t="s">
        <v>277</v>
      </c>
      <c r="BZ286" s="2" t="s">
        <v>243</v>
      </c>
      <c r="CA286" s="2" t="s">
        <v>284</v>
      </c>
      <c r="CB286" s="2" t="s">
        <v>1936</v>
      </c>
      <c r="CC286" s="2" t="s">
        <v>244</v>
      </c>
      <c r="CD286" s="2" t="s">
        <v>231</v>
      </c>
      <c r="CE286" s="4">
        <v>18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>
        <v>384</v>
      </c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</row>
    <row r="287">
      <c r="A287" s="2" t="s">
        <v>1937</v>
      </c>
      <c r="B287" s="2" t="s">
        <v>1004</v>
      </c>
      <c r="C287" s="2" t="s">
        <v>1105</v>
      </c>
      <c r="D287" s="2" t="s">
        <v>1912</v>
      </c>
      <c r="E287" s="2" t="s">
        <v>1913</v>
      </c>
      <c r="F287" s="2" t="s">
        <v>1896</v>
      </c>
      <c r="G287" s="2" t="s">
        <v>1896</v>
      </c>
      <c r="H287" s="2" t="s">
        <v>1896</v>
      </c>
      <c r="I287" s="2" t="s">
        <v>1914</v>
      </c>
      <c r="J287" s="2" t="s">
        <v>807</v>
      </c>
      <c r="K287" s="2" t="s">
        <v>1136</v>
      </c>
      <c r="L287" s="3">
        <v>85</v>
      </c>
      <c r="M287" s="3">
        <v>89.25</v>
      </c>
      <c r="N287" s="3">
        <v>179</v>
      </c>
      <c r="O287" s="2" t="s">
        <v>243</v>
      </c>
      <c r="P287" s="2" t="s">
        <v>1915</v>
      </c>
      <c r="Q287" s="2" t="s">
        <v>237</v>
      </c>
      <c r="R287" s="2" t="s">
        <v>231</v>
      </c>
      <c r="S287" s="2" t="s">
        <v>231</v>
      </c>
      <c r="T287" s="2" t="s">
        <v>231</v>
      </c>
      <c r="U287" s="2" t="s">
        <v>327</v>
      </c>
      <c r="V287" s="2" t="s">
        <v>662</v>
      </c>
      <c r="W287" s="2" t="s">
        <v>792</v>
      </c>
      <c r="X287" s="2" t="s">
        <v>676</v>
      </c>
      <c r="Y287" s="2" t="s">
        <v>231</v>
      </c>
      <c r="Z287" s="4"/>
      <c r="AA287" s="4">
        <f>=ROUNDDOWN({0},0)</f>
      </c>
      <c r="AB287" s="5"/>
      <c r="AC287" s="2" t="s">
        <v>1079</v>
      </c>
      <c r="AD287" s="4">
        <v>4</v>
      </c>
      <c r="AE287" s="4">
        <v>90</v>
      </c>
      <c r="AF287" s="6">
        <v>74</v>
      </c>
      <c r="AG287" s="6"/>
      <c r="AH287" s="7">
        <v>0</v>
      </c>
      <c r="AI287" s="4"/>
      <c r="AJ287" s="4">
        <f>=ROUNDDOWN({0},0)</f>
      </c>
      <c r="AK287" s="5"/>
      <c r="AL287" s="2" t="s">
        <v>231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231</v>
      </c>
      <c r="BD287" s="8" t="s">
        <v>231</v>
      </c>
      <c r="BE287" s="4" t="s">
        <v>231</v>
      </c>
      <c r="BF287" s="8" t="s">
        <v>231</v>
      </c>
      <c r="BG287" s="7" t="s">
        <v>231</v>
      </c>
      <c r="BH287" s="7" t="s">
        <v>231</v>
      </c>
      <c r="BI287" s="7"/>
      <c r="BJ287" s="4"/>
      <c r="BK287" s="8"/>
      <c r="BL287" s="2" t="s">
        <v>231</v>
      </c>
      <c r="BM287" s="7"/>
      <c r="BN287" s="7"/>
      <c r="BO287" s="4"/>
      <c r="BP287" s="8"/>
      <c r="BQ287" s="4"/>
      <c r="BR287" s="8"/>
      <c r="BS287" s="7"/>
      <c r="BT287" s="7"/>
      <c r="BU287" s="2" t="s">
        <v>241</v>
      </c>
      <c r="BV287" s="2" t="s">
        <v>231</v>
      </c>
      <c r="BW287" s="2" t="s">
        <v>231</v>
      </c>
      <c r="BX287" s="2" t="s">
        <v>241</v>
      </c>
      <c r="BY287" s="2" t="s">
        <v>242</v>
      </c>
      <c r="BZ287" s="2" t="s">
        <v>243</v>
      </c>
      <c r="CA287" s="2" t="s">
        <v>231</v>
      </c>
      <c r="CB287" s="2" t="s">
        <v>231</v>
      </c>
      <c r="CC287" s="2" t="s">
        <v>244</v>
      </c>
      <c r="CD287" s="2" t="s">
        <v>231</v>
      </c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>
        <v>4</v>
      </c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>
        <v>86</v>
      </c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</row>
    <row r="288">
      <c r="A288" s="2" t="s">
        <v>1938</v>
      </c>
      <c r="B288" s="2" t="s">
        <v>1004</v>
      </c>
      <c r="C288" s="2" t="s">
        <v>1105</v>
      </c>
      <c r="D288" s="2" t="s">
        <v>1917</v>
      </c>
      <c r="E288" s="2" t="s">
        <v>1918</v>
      </c>
      <c r="F288" s="2" t="s">
        <v>1896</v>
      </c>
      <c r="G288" s="2" t="s">
        <v>1896</v>
      </c>
      <c r="H288" s="2" t="s">
        <v>1896</v>
      </c>
      <c r="I288" s="2" t="s">
        <v>1919</v>
      </c>
      <c r="J288" s="2" t="s">
        <v>807</v>
      </c>
      <c r="K288" s="2" t="s">
        <v>1939</v>
      </c>
      <c r="L288" s="3">
        <v>142</v>
      </c>
      <c r="M288" s="3">
        <v>149.1</v>
      </c>
      <c r="N288" s="3">
        <v>299</v>
      </c>
      <c r="O288" s="2" t="s">
        <v>243</v>
      </c>
      <c r="P288" s="2" t="s">
        <v>1915</v>
      </c>
      <c r="Q288" s="2" t="s">
        <v>237</v>
      </c>
      <c r="R288" s="2" t="s">
        <v>231</v>
      </c>
      <c r="S288" s="2" t="s">
        <v>231</v>
      </c>
      <c r="T288" s="2" t="s">
        <v>231</v>
      </c>
      <c r="U288" s="2" t="s">
        <v>791</v>
      </c>
      <c r="V288" s="2" t="s">
        <v>662</v>
      </c>
      <c r="W288" s="2" t="s">
        <v>792</v>
      </c>
      <c r="X288" s="2" t="s">
        <v>676</v>
      </c>
      <c r="Y288" s="2" t="s">
        <v>231</v>
      </c>
      <c r="Z288" s="4"/>
      <c r="AA288" s="4">
        <f>=ROUNDDOWN({0},0)</f>
      </c>
      <c r="AB288" s="5"/>
      <c r="AC288" s="2" t="s">
        <v>1920</v>
      </c>
      <c r="AD288" s="4">
        <v>89</v>
      </c>
      <c r="AE288" s="4">
        <v>90</v>
      </c>
      <c r="AF288" s="6">
        <v>74</v>
      </c>
      <c r="AG288" s="6"/>
      <c r="AH288" s="7">
        <v>0</v>
      </c>
      <c r="AI288" s="4"/>
      <c r="AJ288" s="4">
        <f>=ROUNDDOWN({0},0)</f>
      </c>
      <c r="AK288" s="5"/>
      <c r="AL288" s="2" t="s">
        <v>231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231</v>
      </c>
      <c r="AW288" s="8" t="s">
        <v>231</v>
      </c>
      <c r="AX288" s="4" t="s">
        <v>231</v>
      </c>
      <c r="AY288" s="8" t="s">
        <v>231</v>
      </c>
      <c r="AZ288" s="7" t="s">
        <v>231</v>
      </c>
      <c r="BA288" s="7" t="s">
        <v>231</v>
      </c>
      <c r="BB288" s="7" t="s">
        <v>231</v>
      </c>
      <c r="BC288" s="4" t="s">
        <v>231</v>
      </c>
      <c r="BD288" s="8" t="s">
        <v>231</v>
      </c>
      <c r="BE288" s="4" t="s">
        <v>231</v>
      </c>
      <c r="BF288" s="8" t="s">
        <v>231</v>
      </c>
      <c r="BG288" s="7" t="s">
        <v>231</v>
      </c>
      <c r="BH288" s="7" t="s">
        <v>231</v>
      </c>
      <c r="BI288" s="7"/>
      <c r="BJ288" s="4"/>
      <c r="BK288" s="8"/>
      <c r="BL288" s="2" t="s">
        <v>231</v>
      </c>
      <c r="BM288" s="7"/>
      <c r="BN288" s="7"/>
      <c r="BO288" s="4"/>
      <c r="BP288" s="8"/>
      <c r="BQ288" s="4"/>
      <c r="BR288" s="8"/>
      <c r="BS288" s="7"/>
      <c r="BT288" s="7"/>
      <c r="BU288" s="2" t="s">
        <v>241</v>
      </c>
      <c r="BV288" s="2" t="s">
        <v>231</v>
      </c>
      <c r="BW288" s="2" t="s">
        <v>231</v>
      </c>
      <c r="BX288" s="2" t="s">
        <v>241</v>
      </c>
      <c r="BY288" s="2" t="s">
        <v>242</v>
      </c>
      <c r="BZ288" s="2" t="s">
        <v>243</v>
      </c>
      <c r="CA288" s="2" t="s">
        <v>231</v>
      </c>
      <c r="CB288" s="2" t="s">
        <v>231</v>
      </c>
      <c r="CC288" s="2" t="s">
        <v>244</v>
      </c>
      <c r="CD288" s="2" t="s">
        <v>231</v>
      </c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>
        <v>89</v>
      </c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>
        <v>1</v>
      </c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</row>
    <row r="289">
      <c r="A289" s="2" t="s">
        <v>1940</v>
      </c>
      <c r="B289" s="2" t="s">
        <v>1004</v>
      </c>
      <c r="C289" s="2" t="s">
        <v>1105</v>
      </c>
      <c r="D289" s="2" t="s">
        <v>1922</v>
      </c>
      <c r="E289" s="2" t="s">
        <v>1923</v>
      </c>
      <c r="F289" s="2" t="s">
        <v>1896</v>
      </c>
      <c r="G289" s="2" t="s">
        <v>1896</v>
      </c>
      <c r="H289" s="2" t="s">
        <v>1896</v>
      </c>
      <c r="I289" s="2" t="s">
        <v>1924</v>
      </c>
      <c r="J289" s="2" t="s">
        <v>807</v>
      </c>
      <c r="K289" s="2" t="s">
        <v>1939</v>
      </c>
      <c r="L289" s="3">
        <v>105</v>
      </c>
      <c r="M289" s="3">
        <v>110.25</v>
      </c>
      <c r="N289" s="3">
        <v>219</v>
      </c>
      <c r="O289" s="2" t="s">
        <v>243</v>
      </c>
      <c r="P289" s="2" t="s">
        <v>1915</v>
      </c>
      <c r="Q289" s="2" t="s">
        <v>237</v>
      </c>
      <c r="R289" s="2" t="s">
        <v>231</v>
      </c>
      <c r="S289" s="2" t="s">
        <v>231</v>
      </c>
      <c r="T289" s="2" t="s">
        <v>231</v>
      </c>
      <c r="U289" s="2" t="s">
        <v>791</v>
      </c>
      <c r="V289" s="2" t="s">
        <v>662</v>
      </c>
      <c r="W289" s="2" t="s">
        <v>792</v>
      </c>
      <c r="X289" s="2" t="s">
        <v>676</v>
      </c>
      <c r="Y289" s="2" t="s">
        <v>231</v>
      </c>
      <c r="Z289" s="4"/>
      <c r="AA289" s="4">
        <f>=ROUNDDOWN({0},0)</f>
      </c>
      <c r="AB289" s="5"/>
      <c r="AC289" s="2" t="s">
        <v>1079</v>
      </c>
      <c r="AD289" s="4">
        <v>89</v>
      </c>
      <c r="AE289" s="4">
        <v>90</v>
      </c>
      <c r="AF289" s="6">
        <v>74</v>
      </c>
      <c r="AG289" s="6"/>
      <c r="AH289" s="7">
        <v>0</v>
      </c>
      <c r="AI289" s="4"/>
      <c r="AJ289" s="4">
        <f>=ROUNDDOWN({0},0)</f>
      </c>
      <c r="AK289" s="5"/>
      <c r="AL289" s="2" t="s">
        <v>231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231</v>
      </c>
      <c r="AW289" s="8" t="s">
        <v>231</v>
      </c>
      <c r="AX289" s="4" t="s">
        <v>231</v>
      </c>
      <c r="AY289" s="8" t="s">
        <v>231</v>
      </c>
      <c r="AZ289" s="7" t="s">
        <v>231</v>
      </c>
      <c r="BA289" s="7" t="s">
        <v>231</v>
      </c>
      <c r="BB289" s="7" t="s">
        <v>231</v>
      </c>
      <c r="BC289" s="4" t="s">
        <v>231</v>
      </c>
      <c r="BD289" s="8" t="s">
        <v>231</v>
      </c>
      <c r="BE289" s="4" t="s">
        <v>231</v>
      </c>
      <c r="BF289" s="8" t="s">
        <v>231</v>
      </c>
      <c r="BG289" s="7" t="s">
        <v>231</v>
      </c>
      <c r="BH289" s="7" t="s">
        <v>231</v>
      </c>
      <c r="BI289" s="7"/>
      <c r="BJ289" s="4"/>
      <c r="BK289" s="8"/>
      <c r="BL289" s="2" t="s">
        <v>231</v>
      </c>
      <c r="BM289" s="7"/>
      <c r="BN289" s="7"/>
      <c r="BO289" s="4"/>
      <c r="BP289" s="8"/>
      <c r="BQ289" s="4"/>
      <c r="BR289" s="8"/>
      <c r="BS289" s="7"/>
      <c r="BT289" s="7"/>
      <c r="BU289" s="2" t="s">
        <v>241</v>
      </c>
      <c r="BV289" s="2" t="s">
        <v>231</v>
      </c>
      <c r="BW289" s="2" t="s">
        <v>231</v>
      </c>
      <c r="BX289" s="2" t="s">
        <v>241</v>
      </c>
      <c r="BY289" s="2" t="s">
        <v>242</v>
      </c>
      <c r="BZ289" s="2" t="s">
        <v>243</v>
      </c>
      <c r="CA289" s="2" t="s">
        <v>231</v>
      </c>
      <c r="CB289" s="2" t="s">
        <v>231</v>
      </c>
      <c r="CC289" s="2" t="s">
        <v>244</v>
      </c>
      <c r="CD289" s="2" t="s">
        <v>231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>
        <v>89</v>
      </c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>
        <v>1</v>
      </c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</row>
    <row r="290">
      <c r="A290" s="2" t="s">
        <v>1941</v>
      </c>
      <c r="B290" s="2" t="s">
        <v>1004</v>
      </c>
      <c r="C290" s="2" t="s">
        <v>1105</v>
      </c>
      <c r="D290" s="2" t="s">
        <v>1912</v>
      </c>
      <c r="E290" s="2" t="s">
        <v>1913</v>
      </c>
      <c r="F290" s="2" t="s">
        <v>1896</v>
      </c>
      <c r="G290" s="2" t="s">
        <v>1896</v>
      </c>
      <c r="H290" s="2" t="s">
        <v>1896</v>
      </c>
      <c r="I290" s="2" t="s">
        <v>1914</v>
      </c>
      <c r="J290" s="2" t="s">
        <v>807</v>
      </c>
      <c r="K290" s="2" t="s">
        <v>1496</v>
      </c>
      <c r="L290" s="3">
        <v>85</v>
      </c>
      <c r="M290" s="3">
        <v>89.25</v>
      </c>
      <c r="N290" s="3">
        <v>179</v>
      </c>
      <c r="O290" s="2" t="s">
        <v>243</v>
      </c>
      <c r="P290" s="2" t="s">
        <v>1915</v>
      </c>
      <c r="Q290" s="2" t="s">
        <v>237</v>
      </c>
      <c r="R290" s="2" t="s">
        <v>231</v>
      </c>
      <c r="S290" s="2" t="s">
        <v>231</v>
      </c>
      <c r="T290" s="2" t="s">
        <v>231</v>
      </c>
      <c r="U290" s="2" t="s">
        <v>327</v>
      </c>
      <c r="V290" s="2" t="s">
        <v>662</v>
      </c>
      <c r="W290" s="2" t="s">
        <v>792</v>
      </c>
      <c r="X290" s="2" t="s">
        <v>676</v>
      </c>
      <c r="Y290" s="2" t="s">
        <v>231</v>
      </c>
      <c r="Z290" s="4"/>
      <c r="AA290" s="4">
        <f>=ROUNDDOWN({0},0)</f>
      </c>
      <c r="AB290" s="5"/>
      <c r="AC290" s="2" t="s">
        <v>1079</v>
      </c>
      <c r="AD290" s="4">
        <v>159</v>
      </c>
      <c r="AE290" s="4">
        <v>160</v>
      </c>
      <c r="AF290" s="6">
        <v>74</v>
      </c>
      <c r="AG290" s="6"/>
      <c r="AH290" s="7">
        <v>0</v>
      </c>
      <c r="AI290" s="4"/>
      <c r="AJ290" s="4">
        <f>=ROUNDDOWN({0},0)</f>
      </c>
      <c r="AK290" s="5"/>
      <c r="AL290" s="2" t="s">
        <v>231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231</v>
      </c>
      <c r="AW290" s="8" t="s">
        <v>231</v>
      </c>
      <c r="AX290" s="4" t="s">
        <v>231</v>
      </c>
      <c r="AY290" s="8" t="s">
        <v>231</v>
      </c>
      <c r="AZ290" s="7" t="s">
        <v>231</v>
      </c>
      <c r="BA290" s="7" t="s">
        <v>231</v>
      </c>
      <c r="BB290" s="7" t="s">
        <v>231</v>
      </c>
      <c r="BC290" s="4" t="s">
        <v>231</v>
      </c>
      <c r="BD290" s="8" t="s">
        <v>231</v>
      </c>
      <c r="BE290" s="4" t="s">
        <v>231</v>
      </c>
      <c r="BF290" s="8" t="s">
        <v>231</v>
      </c>
      <c r="BG290" s="7" t="s">
        <v>231</v>
      </c>
      <c r="BH290" s="7" t="s">
        <v>231</v>
      </c>
      <c r="BI290" s="7"/>
      <c r="BJ290" s="4"/>
      <c r="BK290" s="8"/>
      <c r="BL290" s="2" t="s">
        <v>231</v>
      </c>
      <c r="BM290" s="7"/>
      <c r="BN290" s="7"/>
      <c r="BO290" s="4"/>
      <c r="BP290" s="8"/>
      <c r="BQ290" s="4"/>
      <c r="BR290" s="8"/>
      <c r="BS290" s="7"/>
      <c r="BT290" s="7"/>
      <c r="BU290" s="2" t="s">
        <v>241</v>
      </c>
      <c r="BV290" s="2" t="s">
        <v>231</v>
      </c>
      <c r="BW290" s="2" t="s">
        <v>231</v>
      </c>
      <c r="BX290" s="2" t="s">
        <v>241</v>
      </c>
      <c r="BY290" s="2" t="s">
        <v>242</v>
      </c>
      <c r="BZ290" s="2" t="s">
        <v>243</v>
      </c>
      <c r="CA290" s="2" t="s">
        <v>231</v>
      </c>
      <c r="CB290" s="2" t="s">
        <v>231</v>
      </c>
      <c r="CC290" s="2" t="s">
        <v>244</v>
      </c>
      <c r="CD290" s="2" t="s">
        <v>231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>
        <v>159</v>
      </c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>
        <v>1</v>
      </c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</row>
    <row r="291">
      <c r="A291" s="2" t="s">
        <v>1942</v>
      </c>
      <c r="B291" s="2" t="s">
        <v>1004</v>
      </c>
      <c r="C291" s="2" t="s">
        <v>1105</v>
      </c>
      <c r="D291" s="2" t="s">
        <v>1917</v>
      </c>
      <c r="E291" s="2" t="s">
        <v>1918</v>
      </c>
      <c r="F291" s="2" t="s">
        <v>1896</v>
      </c>
      <c r="G291" s="2" t="s">
        <v>1896</v>
      </c>
      <c r="H291" s="2" t="s">
        <v>1896</v>
      </c>
      <c r="I291" s="2" t="s">
        <v>1919</v>
      </c>
      <c r="J291" s="2" t="s">
        <v>807</v>
      </c>
      <c r="K291" s="2" t="s">
        <v>1496</v>
      </c>
      <c r="L291" s="3">
        <v>142</v>
      </c>
      <c r="M291" s="3">
        <v>149.1</v>
      </c>
      <c r="N291" s="3">
        <v>299</v>
      </c>
      <c r="O291" s="2" t="s">
        <v>243</v>
      </c>
      <c r="P291" s="2" t="s">
        <v>1915</v>
      </c>
      <c r="Q291" s="2" t="s">
        <v>237</v>
      </c>
      <c r="R291" s="2" t="s">
        <v>231</v>
      </c>
      <c r="S291" s="2" t="s">
        <v>231</v>
      </c>
      <c r="T291" s="2" t="s">
        <v>231</v>
      </c>
      <c r="U291" s="2" t="s">
        <v>791</v>
      </c>
      <c r="V291" s="2" t="s">
        <v>662</v>
      </c>
      <c r="W291" s="2" t="s">
        <v>792</v>
      </c>
      <c r="X291" s="2" t="s">
        <v>676</v>
      </c>
      <c r="Y291" s="2" t="s">
        <v>231</v>
      </c>
      <c r="Z291" s="4"/>
      <c r="AA291" s="4">
        <f>=ROUNDDOWN({0},0)</f>
      </c>
      <c r="AB291" s="5"/>
      <c r="AC291" s="2" t="s">
        <v>1920</v>
      </c>
      <c r="AD291" s="4">
        <v>153</v>
      </c>
      <c r="AE291" s="4">
        <v>160</v>
      </c>
      <c r="AF291" s="6">
        <v>74</v>
      </c>
      <c r="AG291" s="6"/>
      <c r="AH291" s="7">
        <v>0</v>
      </c>
      <c r="AI291" s="4"/>
      <c r="AJ291" s="4">
        <f>=ROUNDDOWN({0},0)</f>
      </c>
      <c r="AK291" s="5"/>
      <c r="AL291" s="2" t="s">
        <v>231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231</v>
      </c>
      <c r="AW291" s="8" t="s">
        <v>231</v>
      </c>
      <c r="AX291" s="4" t="s">
        <v>231</v>
      </c>
      <c r="AY291" s="8" t="s">
        <v>231</v>
      </c>
      <c r="AZ291" s="7" t="s">
        <v>231</v>
      </c>
      <c r="BA291" s="7" t="s">
        <v>231</v>
      </c>
      <c r="BB291" s="7" t="s">
        <v>231</v>
      </c>
      <c r="BC291" s="4" t="s">
        <v>231</v>
      </c>
      <c r="BD291" s="8" t="s">
        <v>231</v>
      </c>
      <c r="BE291" s="4" t="s">
        <v>231</v>
      </c>
      <c r="BF291" s="8" t="s">
        <v>231</v>
      </c>
      <c r="BG291" s="7" t="s">
        <v>231</v>
      </c>
      <c r="BH291" s="7" t="s">
        <v>231</v>
      </c>
      <c r="BI291" s="7"/>
      <c r="BJ291" s="4"/>
      <c r="BK291" s="8"/>
      <c r="BL291" s="2" t="s">
        <v>231</v>
      </c>
      <c r="BM291" s="7"/>
      <c r="BN291" s="7"/>
      <c r="BO291" s="4"/>
      <c r="BP291" s="8"/>
      <c r="BQ291" s="4"/>
      <c r="BR291" s="8"/>
      <c r="BS291" s="7"/>
      <c r="BT291" s="7"/>
      <c r="BU291" s="2" t="s">
        <v>241</v>
      </c>
      <c r="BV291" s="2" t="s">
        <v>231</v>
      </c>
      <c r="BW291" s="2" t="s">
        <v>231</v>
      </c>
      <c r="BX291" s="2" t="s">
        <v>241</v>
      </c>
      <c r="BY291" s="2" t="s">
        <v>242</v>
      </c>
      <c r="BZ291" s="2" t="s">
        <v>243</v>
      </c>
      <c r="CA291" s="2" t="s">
        <v>231</v>
      </c>
      <c r="CB291" s="2" t="s">
        <v>231</v>
      </c>
      <c r="CC291" s="2" t="s">
        <v>244</v>
      </c>
      <c r="CD291" s="2" t="s">
        <v>231</v>
      </c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>
        <v>153</v>
      </c>
      <c r="EW291" s="4"/>
      <c r="EX291" s="4"/>
      <c r="EY291" s="4"/>
      <c r="EZ291" s="4"/>
      <c r="FA291" s="4"/>
      <c r="FB291" s="4">
        <v>6</v>
      </c>
      <c r="FC291" s="4"/>
      <c r="FD291" s="4"/>
      <c r="FE291" s="4"/>
      <c r="FF291" s="4"/>
      <c r="FG291" s="4"/>
      <c r="FH291" s="4">
        <v>1</v>
      </c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</row>
    <row r="292">
      <c r="A292" s="2" t="s">
        <v>1943</v>
      </c>
      <c r="B292" s="2" t="s">
        <v>1004</v>
      </c>
      <c r="C292" s="2" t="s">
        <v>1105</v>
      </c>
      <c r="D292" s="2" t="s">
        <v>1922</v>
      </c>
      <c r="E292" s="2" t="s">
        <v>1923</v>
      </c>
      <c r="F292" s="2" t="s">
        <v>1896</v>
      </c>
      <c r="G292" s="2" t="s">
        <v>1896</v>
      </c>
      <c r="H292" s="2" t="s">
        <v>1896</v>
      </c>
      <c r="I292" s="2" t="s">
        <v>1924</v>
      </c>
      <c r="J292" s="2" t="s">
        <v>807</v>
      </c>
      <c r="K292" s="2" t="s">
        <v>1496</v>
      </c>
      <c r="L292" s="3">
        <v>105</v>
      </c>
      <c r="M292" s="3">
        <v>110.25</v>
      </c>
      <c r="N292" s="3">
        <v>219</v>
      </c>
      <c r="O292" s="2" t="s">
        <v>243</v>
      </c>
      <c r="P292" s="2" t="s">
        <v>1915</v>
      </c>
      <c r="Q292" s="2" t="s">
        <v>237</v>
      </c>
      <c r="R292" s="2" t="s">
        <v>231</v>
      </c>
      <c r="S292" s="2" t="s">
        <v>231</v>
      </c>
      <c r="T292" s="2" t="s">
        <v>231</v>
      </c>
      <c r="U292" s="2" t="s">
        <v>791</v>
      </c>
      <c r="V292" s="2" t="s">
        <v>662</v>
      </c>
      <c r="W292" s="2" t="s">
        <v>792</v>
      </c>
      <c r="X292" s="2" t="s">
        <v>676</v>
      </c>
      <c r="Y292" s="2" t="s">
        <v>231</v>
      </c>
      <c r="Z292" s="4"/>
      <c r="AA292" s="4">
        <f>=ROUNDDOWN({0},0)</f>
      </c>
      <c r="AB292" s="5"/>
      <c r="AC292" s="2" t="s">
        <v>1079</v>
      </c>
      <c r="AD292" s="4">
        <v>159</v>
      </c>
      <c r="AE292" s="4">
        <v>160</v>
      </c>
      <c r="AF292" s="6">
        <v>74</v>
      </c>
      <c r="AG292" s="6"/>
      <c r="AH292" s="7">
        <v>0</v>
      </c>
      <c r="AI292" s="4"/>
      <c r="AJ292" s="4">
        <f>=ROUNDDOWN({0},0)</f>
      </c>
      <c r="AK292" s="5"/>
      <c r="AL292" s="2" t="s">
        <v>231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231</v>
      </c>
      <c r="AW292" s="8" t="s">
        <v>231</v>
      </c>
      <c r="AX292" s="4" t="s">
        <v>231</v>
      </c>
      <c r="AY292" s="8" t="s">
        <v>231</v>
      </c>
      <c r="AZ292" s="7" t="s">
        <v>231</v>
      </c>
      <c r="BA292" s="7" t="s">
        <v>231</v>
      </c>
      <c r="BB292" s="7" t="s">
        <v>231</v>
      </c>
      <c r="BC292" s="4" t="s">
        <v>231</v>
      </c>
      <c r="BD292" s="8" t="s">
        <v>231</v>
      </c>
      <c r="BE292" s="4" t="s">
        <v>231</v>
      </c>
      <c r="BF292" s="8" t="s">
        <v>231</v>
      </c>
      <c r="BG292" s="7" t="s">
        <v>231</v>
      </c>
      <c r="BH292" s="7" t="s">
        <v>231</v>
      </c>
      <c r="BI292" s="7"/>
      <c r="BJ292" s="4"/>
      <c r="BK292" s="8"/>
      <c r="BL292" s="2" t="s">
        <v>231</v>
      </c>
      <c r="BM292" s="7"/>
      <c r="BN292" s="7"/>
      <c r="BO292" s="4"/>
      <c r="BP292" s="8"/>
      <c r="BQ292" s="4"/>
      <c r="BR292" s="8"/>
      <c r="BS292" s="7"/>
      <c r="BT292" s="7"/>
      <c r="BU292" s="2" t="s">
        <v>241</v>
      </c>
      <c r="BV292" s="2" t="s">
        <v>231</v>
      </c>
      <c r="BW292" s="2" t="s">
        <v>231</v>
      </c>
      <c r="BX292" s="2" t="s">
        <v>241</v>
      </c>
      <c r="BY292" s="2" t="s">
        <v>242</v>
      </c>
      <c r="BZ292" s="2" t="s">
        <v>243</v>
      </c>
      <c r="CA292" s="2" t="s">
        <v>231</v>
      </c>
      <c r="CB292" s="2" t="s">
        <v>231</v>
      </c>
      <c r="CC292" s="2" t="s">
        <v>244</v>
      </c>
      <c r="CD292" s="2" t="s">
        <v>231</v>
      </c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>
        <v>159</v>
      </c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>
        <v>1</v>
      </c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</row>
    <row r="293">
      <c r="A293" s="2" t="s">
        <v>1944</v>
      </c>
      <c r="B293" s="2" t="s">
        <v>992</v>
      </c>
      <c r="C293" s="2" t="s">
        <v>288</v>
      </c>
      <c r="D293" s="2" t="s">
        <v>993</v>
      </c>
      <c r="E293" s="2" t="s">
        <v>1157</v>
      </c>
      <c r="F293" s="2" t="s">
        <v>1896</v>
      </c>
      <c r="G293" s="2" t="s">
        <v>1897</v>
      </c>
      <c r="H293" s="2" t="s">
        <v>1898</v>
      </c>
      <c r="I293" s="2" t="s">
        <v>1907</v>
      </c>
      <c r="J293" s="2" t="s">
        <v>1586</v>
      </c>
      <c r="K293" s="2" t="s">
        <v>255</v>
      </c>
      <c r="L293" s="3">
        <v>29.9</v>
      </c>
      <c r="M293" s="3">
        <v>31.4</v>
      </c>
      <c r="N293" s="3">
        <v>64.99</v>
      </c>
      <c r="O293" s="2" t="s">
        <v>243</v>
      </c>
      <c r="P293" s="2" t="s">
        <v>871</v>
      </c>
      <c r="Q293" s="2" t="s">
        <v>237</v>
      </c>
      <c r="R293" s="2" t="s">
        <v>231</v>
      </c>
      <c r="S293" s="2" t="s">
        <v>1945</v>
      </c>
      <c r="T293" s="2" t="s">
        <v>231</v>
      </c>
      <c r="U293" s="2" t="s">
        <v>231</v>
      </c>
      <c r="V293" s="2" t="s">
        <v>1901</v>
      </c>
      <c r="W293" s="2" t="s">
        <v>676</v>
      </c>
      <c r="X293" s="2" t="s">
        <v>1520</v>
      </c>
      <c r="Y293" s="2" t="s">
        <v>1946</v>
      </c>
      <c r="Z293" s="4">
        <v>520</v>
      </c>
      <c r="AA293" s="4">
        <f>=ROUNDDOWN(47.2727272727273,0)</f>
      </c>
      <c r="AB293" s="5">
        <v>11</v>
      </c>
      <c r="AC293" s="2" t="s">
        <v>231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231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231</v>
      </c>
      <c r="BD293" s="8" t="s">
        <v>231</v>
      </c>
      <c r="BE293" s="4" t="s">
        <v>231</v>
      </c>
      <c r="BF293" s="8" t="s">
        <v>231</v>
      </c>
      <c r="BG293" s="7" t="s">
        <v>231</v>
      </c>
      <c r="BH293" s="7" t="s">
        <v>231</v>
      </c>
      <c r="BI293" s="7"/>
      <c r="BJ293" s="4">
        <v>14</v>
      </c>
      <c r="BK293" s="8">
        <v>426.8</v>
      </c>
      <c r="BL293" s="2" t="s">
        <v>1947</v>
      </c>
      <c r="BM293" s="7"/>
      <c r="BN293" s="7"/>
      <c r="BO293" s="4"/>
      <c r="BP293" s="8"/>
      <c r="BQ293" s="4"/>
      <c r="BR293" s="8"/>
      <c r="BS293" s="7"/>
      <c r="BT293" s="7"/>
      <c r="BU293" s="2" t="s">
        <v>1948</v>
      </c>
      <c r="BV293" s="2" t="s">
        <v>231</v>
      </c>
      <c r="BW293" s="2" t="s">
        <v>231</v>
      </c>
      <c r="BX293" s="2" t="s">
        <v>231</v>
      </c>
      <c r="BY293" s="2" t="s">
        <v>277</v>
      </c>
      <c r="BZ293" s="2" t="s">
        <v>243</v>
      </c>
      <c r="CA293" s="2" t="s">
        <v>1949</v>
      </c>
      <c r="CB293" s="2" t="s">
        <v>1950</v>
      </c>
      <c r="CC293" s="2" t="s">
        <v>244</v>
      </c>
      <c r="CD293" s="2" t="s">
        <v>231</v>
      </c>
      <c r="CE293" s="4">
        <v>520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</row>
    <row r="294">
      <c r="A294" s="2" t="s">
        <v>1951</v>
      </c>
      <c r="B294" s="2" t="s">
        <v>1186</v>
      </c>
      <c r="C294" s="2" t="s">
        <v>288</v>
      </c>
      <c r="D294" s="2" t="s">
        <v>1462</v>
      </c>
      <c r="E294" s="2" t="s">
        <v>1952</v>
      </c>
      <c r="F294" s="2" t="s">
        <v>1896</v>
      </c>
      <c r="G294" s="2" t="s">
        <v>1897</v>
      </c>
      <c r="H294" s="2" t="s">
        <v>1898</v>
      </c>
      <c r="I294" s="2" t="s">
        <v>1953</v>
      </c>
      <c r="J294" s="2" t="s">
        <v>293</v>
      </c>
      <c r="K294" s="2" t="s">
        <v>723</v>
      </c>
      <c r="L294" s="3">
        <v>63.7</v>
      </c>
      <c r="M294" s="3">
        <v>66.89</v>
      </c>
      <c r="N294" s="3">
        <v>139.99</v>
      </c>
      <c r="O294" s="2" t="s">
        <v>243</v>
      </c>
      <c r="P294" s="2" t="s">
        <v>270</v>
      </c>
      <c r="Q294" s="2" t="s">
        <v>237</v>
      </c>
      <c r="R294" s="2" t="s">
        <v>231</v>
      </c>
      <c r="S294" s="2" t="s">
        <v>1954</v>
      </c>
      <c r="T294" s="2" t="s">
        <v>1432</v>
      </c>
      <c r="U294" s="2" t="s">
        <v>661</v>
      </c>
      <c r="V294" s="2" t="s">
        <v>1901</v>
      </c>
      <c r="W294" s="2" t="s">
        <v>676</v>
      </c>
      <c r="X294" s="2" t="s">
        <v>231</v>
      </c>
      <c r="Y294" s="2" t="s">
        <v>1955</v>
      </c>
      <c r="Z294" s="4">
        <v>100</v>
      </c>
      <c r="AA294" s="4">
        <f>=ROUNDDOWN(16.6666666666667,0)</f>
      </c>
      <c r="AB294" s="5">
        <v>6</v>
      </c>
      <c r="AC294" s="2" t="s">
        <v>876</v>
      </c>
      <c r="AD294" s="4">
        <v>40</v>
      </c>
      <c r="AE294" s="4">
        <v>100</v>
      </c>
      <c r="AF294" s="6">
        <v>65</v>
      </c>
      <c r="AG294" s="6"/>
      <c r="AH294" s="7">
        <v>0.0323</v>
      </c>
      <c r="AI294" s="4"/>
      <c r="AJ294" s="4">
        <f>=ROUNDDOWN({0},0)</f>
      </c>
      <c r="AK294" s="5"/>
      <c r="AL294" s="2" t="s">
        <v>231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231</v>
      </c>
      <c r="AW294" s="8" t="s">
        <v>231</v>
      </c>
      <c r="AX294" s="4" t="s">
        <v>231</v>
      </c>
      <c r="AY294" s="8" t="s">
        <v>231</v>
      </c>
      <c r="AZ294" s="7" t="s">
        <v>231</v>
      </c>
      <c r="BA294" s="7" t="s">
        <v>231</v>
      </c>
      <c r="BB294" s="7"/>
      <c r="BC294" s="4" t="s">
        <v>231</v>
      </c>
      <c r="BD294" s="8" t="s">
        <v>231</v>
      </c>
      <c r="BE294" s="4" t="s">
        <v>231</v>
      </c>
      <c r="BF294" s="8" t="s">
        <v>231</v>
      </c>
      <c r="BG294" s="7" t="s">
        <v>231</v>
      </c>
      <c r="BH294" s="7" t="s">
        <v>231</v>
      </c>
      <c r="BI294" s="7"/>
      <c r="BJ294" s="4"/>
      <c r="BK294" s="8"/>
      <c r="BL294" s="2" t="s">
        <v>231</v>
      </c>
      <c r="BM294" s="7"/>
      <c r="BN294" s="7"/>
      <c r="BO294" s="4"/>
      <c r="BP294" s="8"/>
      <c r="BQ294" s="4"/>
      <c r="BR294" s="8"/>
      <c r="BS294" s="7"/>
      <c r="BT294" s="7"/>
      <c r="BU294" s="2" t="s">
        <v>1956</v>
      </c>
      <c r="BV294" s="2" t="s">
        <v>231</v>
      </c>
      <c r="BW294" s="2" t="s">
        <v>231</v>
      </c>
      <c r="BX294" s="2" t="s">
        <v>241</v>
      </c>
      <c r="BY294" s="2" t="s">
        <v>277</v>
      </c>
      <c r="BZ294" s="2" t="s">
        <v>243</v>
      </c>
      <c r="CA294" s="2" t="s">
        <v>1957</v>
      </c>
      <c r="CB294" s="2" t="s">
        <v>1958</v>
      </c>
      <c r="CC294" s="2" t="s">
        <v>244</v>
      </c>
      <c r="CD294" s="2" t="s">
        <v>231</v>
      </c>
      <c r="CE294" s="4"/>
      <c r="CF294" s="4"/>
      <c r="CG294" s="4"/>
      <c r="CH294" s="4"/>
      <c r="CI294" s="4"/>
      <c r="CJ294" s="4"/>
      <c r="CK294" s="4"/>
      <c r="CL294" s="4">
        <v>100</v>
      </c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>
        <v>40</v>
      </c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>
        <v>60</v>
      </c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</row>
    <row r="295">
      <c r="A295" s="2" t="s">
        <v>1959</v>
      </c>
      <c r="B295" s="2" t="s">
        <v>1186</v>
      </c>
      <c r="C295" s="2" t="s">
        <v>288</v>
      </c>
      <c r="D295" s="2" t="s">
        <v>654</v>
      </c>
      <c r="E295" s="2" t="s">
        <v>1187</v>
      </c>
      <c r="F295" s="2" t="s">
        <v>1896</v>
      </c>
      <c r="G295" s="2" t="s">
        <v>1897</v>
      </c>
      <c r="H295" s="2" t="s">
        <v>1898</v>
      </c>
      <c r="I295" s="2" t="s">
        <v>1960</v>
      </c>
      <c r="J295" s="2" t="s">
        <v>304</v>
      </c>
      <c r="K295" s="2" t="s">
        <v>723</v>
      </c>
      <c r="L295" s="3">
        <v>94.5</v>
      </c>
      <c r="M295" s="3">
        <v>99.22</v>
      </c>
      <c r="N295" s="3">
        <v>199.99</v>
      </c>
      <c r="O295" s="2" t="s">
        <v>243</v>
      </c>
      <c r="P295" s="2" t="s">
        <v>270</v>
      </c>
      <c r="Q295" s="2" t="s">
        <v>237</v>
      </c>
      <c r="R295" s="2" t="s">
        <v>231</v>
      </c>
      <c r="S295" s="2" t="s">
        <v>1954</v>
      </c>
      <c r="T295" s="2" t="s">
        <v>1432</v>
      </c>
      <c r="U295" s="2" t="s">
        <v>1961</v>
      </c>
      <c r="V295" s="2" t="s">
        <v>1901</v>
      </c>
      <c r="W295" s="2" t="s">
        <v>676</v>
      </c>
      <c r="X295" s="2" t="s">
        <v>231</v>
      </c>
      <c r="Y295" s="2" t="s">
        <v>1955</v>
      </c>
      <c r="Z295" s="4">
        <v>133</v>
      </c>
      <c r="AA295" s="4">
        <f>=ROUNDDOWN(44.3333333333333,0)</f>
      </c>
      <c r="AB295" s="5">
        <v>3</v>
      </c>
      <c r="AC295" s="2" t="s">
        <v>582</v>
      </c>
      <c r="AD295" s="4">
        <v>50</v>
      </c>
      <c r="AE295" s="4">
        <v>50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231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231</v>
      </c>
      <c r="AW295" s="8" t="s">
        <v>231</v>
      </c>
      <c r="AX295" s="4" t="s">
        <v>231</v>
      </c>
      <c r="AY295" s="8" t="s">
        <v>231</v>
      </c>
      <c r="AZ295" s="7" t="s">
        <v>231</v>
      </c>
      <c r="BA295" s="7" t="s">
        <v>231</v>
      </c>
      <c r="BB295" s="7"/>
      <c r="BC295" s="4" t="s">
        <v>231</v>
      </c>
      <c r="BD295" s="8" t="s">
        <v>231</v>
      </c>
      <c r="BE295" s="4" t="s">
        <v>231</v>
      </c>
      <c r="BF295" s="8" t="s">
        <v>231</v>
      </c>
      <c r="BG295" s="7" t="s">
        <v>231</v>
      </c>
      <c r="BH295" s="7" t="s">
        <v>231</v>
      </c>
      <c r="BI295" s="7"/>
      <c r="BJ295" s="4">
        <v>6</v>
      </c>
      <c r="BK295" s="8">
        <v>672.03</v>
      </c>
      <c r="BL295" s="2" t="s">
        <v>1962</v>
      </c>
      <c r="BM295" s="7"/>
      <c r="BN295" s="7"/>
      <c r="BO295" s="4"/>
      <c r="BP295" s="8"/>
      <c r="BQ295" s="4"/>
      <c r="BR295" s="8"/>
      <c r="BS295" s="7"/>
      <c r="BT295" s="7"/>
      <c r="BU295" s="2" t="s">
        <v>1963</v>
      </c>
      <c r="BV295" s="2" t="s">
        <v>231</v>
      </c>
      <c r="BW295" s="2" t="s">
        <v>231</v>
      </c>
      <c r="BX295" s="2" t="s">
        <v>241</v>
      </c>
      <c r="BY295" s="2" t="s">
        <v>277</v>
      </c>
      <c r="BZ295" s="2" t="s">
        <v>243</v>
      </c>
      <c r="CA295" s="2" t="s">
        <v>1964</v>
      </c>
      <c r="CB295" s="2" t="s">
        <v>1965</v>
      </c>
      <c r="CC295" s="2" t="s">
        <v>244</v>
      </c>
      <c r="CD295" s="2" t="s">
        <v>231</v>
      </c>
      <c r="CE295" s="4">
        <v>83</v>
      </c>
      <c r="CF295" s="4"/>
      <c r="CG295" s="4"/>
      <c r="CH295" s="4"/>
      <c r="CI295" s="4"/>
      <c r="CJ295" s="4"/>
      <c r="CK295" s="4"/>
      <c r="CL295" s="4">
        <v>50</v>
      </c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>
        <v>50</v>
      </c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</row>
    <row r="296">
      <c r="A296" s="2" t="s">
        <v>1966</v>
      </c>
      <c r="B296" s="2" t="s">
        <v>801</v>
      </c>
      <c r="C296" s="2" t="s">
        <v>802</v>
      </c>
      <c r="D296" s="2" t="s">
        <v>1114</v>
      </c>
      <c r="E296" s="2" t="s">
        <v>1115</v>
      </c>
      <c r="F296" s="2" t="s">
        <v>1967</v>
      </c>
      <c r="G296" s="2" t="s">
        <v>1967</v>
      </c>
      <c r="H296" s="2" t="s">
        <v>1967</v>
      </c>
      <c r="I296" s="2" t="s">
        <v>1968</v>
      </c>
      <c r="J296" s="2" t="s">
        <v>807</v>
      </c>
      <c r="K296" s="2" t="s">
        <v>698</v>
      </c>
      <c r="L296" s="3">
        <v>52.44</v>
      </c>
      <c r="M296" s="3">
        <v>55.06</v>
      </c>
      <c r="N296" s="3">
        <v>119.99</v>
      </c>
      <c r="O296" s="2" t="s">
        <v>243</v>
      </c>
      <c r="P296" s="2" t="s">
        <v>341</v>
      </c>
      <c r="Q296" s="2" t="s">
        <v>237</v>
      </c>
      <c r="R296" s="2" t="s">
        <v>231</v>
      </c>
      <c r="S296" s="2" t="s">
        <v>231</v>
      </c>
      <c r="T296" s="2" t="s">
        <v>231</v>
      </c>
      <c r="U296" s="2" t="s">
        <v>327</v>
      </c>
      <c r="V296" s="2" t="s">
        <v>662</v>
      </c>
      <c r="W296" s="2" t="s">
        <v>691</v>
      </c>
      <c r="X296" s="2" t="s">
        <v>792</v>
      </c>
      <c r="Y296" s="2" t="s">
        <v>813</v>
      </c>
      <c r="Z296" s="4">
        <v>33</v>
      </c>
      <c r="AA296" s="4">
        <f>=ROUNDDOWN(82.5,0)</f>
      </c>
      <c r="AB296" s="5">
        <v>0.4</v>
      </c>
      <c r="AC296" s="2" t="s">
        <v>231</v>
      </c>
      <c r="AD296" s="4"/>
      <c r="AE296" s="4"/>
      <c r="AF296" s="6">
        <v>63</v>
      </c>
      <c r="AG296" s="6"/>
      <c r="AH296" s="7">
        <v>1</v>
      </c>
      <c r="AI296" s="4"/>
      <c r="AJ296" s="4">
        <f>=ROUNDDOWN({0},0)</f>
      </c>
      <c r="AK296" s="5"/>
      <c r="AL296" s="2" t="s">
        <v>231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231</v>
      </c>
      <c r="BD296" s="8" t="s">
        <v>231</v>
      </c>
      <c r="BE296" s="4" t="s">
        <v>231</v>
      </c>
      <c r="BF296" s="8" t="s">
        <v>231</v>
      </c>
      <c r="BG296" s="7" t="s">
        <v>231</v>
      </c>
      <c r="BH296" s="7" t="s">
        <v>231</v>
      </c>
      <c r="BI296" s="7"/>
      <c r="BJ296" s="4">
        <v>3</v>
      </c>
      <c r="BK296" s="8">
        <v>179.5</v>
      </c>
      <c r="BL296" s="2" t="s">
        <v>1306</v>
      </c>
      <c r="BM296" s="7"/>
      <c r="BN296" s="7"/>
      <c r="BO296" s="4"/>
      <c r="BP296" s="8"/>
      <c r="BQ296" s="4"/>
      <c r="BR296" s="8"/>
      <c r="BS296" s="7"/>
      <c r="BT296" s="7"/>
      <c r="BU296" s="2" t="s">
        <v>1969</v>
      </c>
      <c r="BV296" s="2" t="s">
        <v>231</v>
      </c>
      <c r="BW296" s="2" t="s">
        <v>231</v>
      </c>
      <c r="BX296" s="2" t="s">
        <v>231</v>
      </c>
      <c r="BY296" s="2" t="s">
        <v>277</v>
      </c>
      <c r="BZ296" s="2" t="s">
        <v>243</v>
      </c>
      <c r="CA296" s="2" t="s">
        <v>1970</v>
      </c>
      <c r="CB296" s="2" t="s">
        <v>1971</v>
      </c>
      <c r="CC296" s="2" t="s">
        <v>244</v>
      </c>
      <c r="CD296" s="2" t="s">
        <v>231</v>
      </c>
      <c r="CE296" s="4"/>
      <c r="CF296" s="4">
        <v>33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</row>
    <row r="297">
      <c r="A297" s="2" t="s">
        <v>1972</v>
      </c>
      <c r="B297" s="2" t="s">
        <v>801</v>
      </c>
      <c r="C297" s="2" t="s">
        <v>802</v>
      </c>
      <c r="D297" s="2" t="s">
        <v>1043</v>
      </c>
      <c r="E297" s="2" t="s">
        <v>1044</v>
      </c>
      <c r="F297" s="2" t="s">
        <v>1967</v>
      </c>
      <c r="G297" s="2" t="s">
        <v>1967</v>
      </c>
      <c r="H297" s="2" t="s">
        <v>1967</v>
      </c>
      <c r="I297" s="2" t="s">
        <v>1973</v>
      </c>
      <c r="J297" s="2" t="s">
        <v>1974</v>
      </c>
      <c r="K297" s="2" t="s">
        <v>1975</v>
      </c>
      <c r="L297" s="3">
        <v>47.52</v>
      </c>
      <c r="M297" s="3">
        <v>49.9</v>
      </c>
      <c r="N297" s="3">
        <v>109.99</v>
      </c>
      <c r="O297" s="2" t="s">
        <v>243</v>
      </c>
      <c r="P297" s="2" t="s">
        <v>236</v>
      </c>
      <c r="Q297" s="2" t="s">
        <v>237</v>
      </c>
      <c r="R297" s="2" t="s">
        <v>231</v>
      </c>
      <c r="S297" s="2" t="s">
        <v>231</v>
      </c>
      <c r="T297" s="2" t="s">
        <v>231</v>
      </c>
      <c r="U297" s="2" t="s">
        <v>327</v>
      </c>
      <c r="V297" s="2" t="s">
        <v>662</v>
      </c>
      <c r="W297" s="2" t="s">
        <v>792</v>
      </c>
      <c r="X297" s="2" t="s">
        <v>896</v>
      </c>
      <c r="Y297" s="2" t="s">
        <v>1119</v>
      </c>
      <c r="Z297" s="4">
        <v>102</v>
      </c>
      <c r="AA297" s="4">
        <f>=ROUNDDOWN(25.5,0)</f>
      </c>
      <c r="AB297" s="5">
        <v>4</v>
      </c>
      <c r="AC297" s="2" t="s">
        <v>231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231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231</v>
      </c>
      <c r="BD297" s="8" t="s">
        <v>231</v>
      </c>
      <c r="BE297" s="4" t="s">
        <v>231</v>
      </c>
      <c r="BF297" s="8" t="s">
        <v>231</v>
      </c>
      <c r="BG297" s="7" t="s">
        <v>231</v>
      </c>
      <c r="BH297" s="7" t="s">
        <v>231</v>
      </c>
      <c r="BI297" s="7"/>
      <c r="BJ297" s="4">
        <v>17</v>
      </c>
      <c r="BK297" s="8">
        <v>914.8</v>
      </c>
      <c r="BL297" s="2" t="s">
        <v>1976</v>
      </c>
      <c r="BM297" s="7"/>
      <c r="BN297" s="7"/>
      <c r="BO297" s="4"/>
      <c r="BP297" s="8"/>
      <c r="BQ297" s="4"/>
      <c r="BR297" s="8"/>
      <c r="BS297" s="7"/>
      <c r="BT297" s="7"/>
      <c r="BU297" s="2" t="s">
        <v>1977</v>
      </c>
      <c r="BV297" s="2" t="s">
        <v>231</v>
      </c>
      <c r="BW297" s="2" t="s">
        <v>231</v>
      </c>
      <c r="BX297" s="2" t="s">
        <v>312</v>
      </c>
      <c r="BY297" s="2" t="s">
        <v>277</v>
      </c>
      <c r="BZ297" s="2" t="s">
        <v>243</v>
      </c>
      <c r="CA297" s="2" t="s">
        <v>1978</v>
      </c>
      <c r="CB297" s="2" t="s">
        <v>231</v>
      </c>
      <c r="CC297" s="2" t="s">
        <v>244</v>
      </c>
      <c r="CD297" s="2" t="s">
        <v>231</v>
      </c>
      <c r="CE297" s="4"/>
      <c r="CF297" s="4">
        <v>102</v>
      </c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</row>
    <row r="298">
      <c r="A298" s="2" t="s">
        <v>1979</v>
      </c>
      <c r="B298" s="2" t="s">
        <v>1186</v>
      </c>
      <c r="C298" s="2" t="s">
        <v>1980</v>
      </c>
      <c r="D298" s="2" t="s">
        <v>1139</v>
      </c>
      <c r="E298" s="2" t="s">
        <v>1981</v>
      </c>
      <c r="F298" s="2" t="s">
        <v>1982</v>
      </c>
      <c r="G298" s="2" t="s">
        <v>1982</v>
      </c>
      <c r="H298" s="2" t="s">
        <v>1982</v>
      </c>
      <c r="I298" s="2" t="s">
        <v>1983</v>
      </c>
      <c r="J298" s="2" t="s">
        <v>1984</v>
      </c>
      <c r="K298" s="2" t="s">
        <v>901</v>
      </c>
      <c r="L298" s="3">
        <v>30.95</v>
      </c>
      <c r="M298" s="3">
        <v>32.5</v>
      </c>
      <c r="N298" s="3">
        <v>99.99</v>
      </c>
      <c r="O298" s="2" t="s">
        <v>243</v>
      </c>
      <c r="P298" s="2" t="s">
        <v>1985</v>
      </c>
      <c r="Q298" s="2" t="s">
        <v>237</v>
      </c>
      <c r="R298" s="2" t="s">
        <v>231</v>
      </c>
      <c r="S298" s="2" t="s">
        <v>231</v>
      </c>
      <c r="T298" s="2" t="s">
        <v>231</v>
      </c>
      <c r="U298" s="2" t="s">
        <v>327</v>
      </c>
      <c r="V298" s="2" t="s">
        <v>1986</v>
      </c>
      <c r="W298" s="2" t="s">
        <v>676</v>
      </c>
      <c r="X298" s="2" t="s">
        <v>231</v>
      </c>
      <c r="Y298" s="2" t="s">
        <v>1987</v>
      </c>
      <c r="Z298" s="4">
        <v>190</v>
      </c>
      <c r="AA298" s="4">
        <f>=ROUNDDOWN(95,0)</f>
      </c>
      <c r="AB298" s="5">
        <v>2</v>
      </c>
      <c r="AC298" s="2" t="s">
        <v>231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231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231</v>
      </c>
      <c r="BD298" s="8" t="s">
        <v>231</v>
      </c>
      <c r="BE298" s="4" t="s">
        <v>231</v>
      </c>
      <c r="BF298" s="8" t="s">
        <v>231</v>
      </c>
      <c r="BG298" s="7" t="s">
        <v>231</v>
      </c>
      <c r="BH298" s="7" t="s">
        <v>231</v>
      </c>
      <c r="BI298" s="7"/>
      <c r="BJ298" s="4"/>
      <c r="BK298" s="8"/>
      <c r="BL298" s="2" t="s">
        <v>1988</v>
      </c>
      <c r="BM298" s="7"/>
      <c r="BN298" s="7"/>
      <c r="BO298" s="4"/>
      <c r="BP298" s="8"/>
      <c r="BQ298" s="4"/>
      <c r="BR298" s="8"/>
      <c r="BS298" s="7"/>
      <c r="BT298" s="7"/>
      <c r="BU298" s="2" t="s">
        <v>1989</v>
      </c>
      <c r="BV298" s="2" t="s">
        <v>231</v>
      </c>
      <c r="BW298" s="2" t="s">
        <v>231</v>
      </c>
      <c r="BX298" s="2" t="s">
        <v>231</v>
      </c>
      <c r="BY298" s="2" t="s">
        <v>277</v>
      </c>
      <c r="BZ298" s="2" t="s">
        <v>243</v>
      </c>
      <c r="CA298" s="2" t="s">
        <v>1620</v>
      </c>
      <c r="CB298" s="2" t="s">
        <v>1990</v>
      </c>
      <c r="CC298" s="2" t="s">
        <v>244</v>
      </c>
      <c r="CD298" s="2" t="s">
        <v>231</v>
      </c>
      <c r="CE298" s="4">
        <v>190</v>
      </c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</row>
    <row r="299">
      <c r="A299" s="2" t="s">
        <v>1991</v>
      </c>
      <c r="B299" s="2" t="s">
        <v>1186</v>
      </c>
      <c r="C299" s="2" t="s">
        <v>1980</v>
      </c>
      <c r="D299" s="2" t="s">
        <v>1139</v>
      </c>
      <c r="E299" s="2" t="s">
        <v>1981</v>
      </c>
      <c r="F299" s="2" t="s">
        <v>1982</v>
      </c>
      <c r="G299" s="2" t="s">
        <v>1982</v>
      </c>
      <c r="H299" s="2" t="s">
        <v>1982</v>
      </c>
      <c r="I299" s="2" t="s">
        <v>1983</v>
      </c>
      <c r="J299" s="2" t="s">
        <v>1984</v>
      </c>
      <c r="K299" s="2" t="s">
        <v>463</v>
      </c>
      <c r="L299" s="3">
        <v>30.95</v>
      </c>
      <c r="M299" s="3">
        <v>32.5</v>
      </c>
      <c r="N299" s="3">
        <v>99.99</v>
      </c>
      <c r="O299" s="2" t="s">
        <v>243</v>
      </c>
      <c r="P299" s="2" t="s">
        <v>1985</v>
      </c>
      <c r="Q299" s="2" t="s">
        <v>237</v>
      </c>
      <c r="R299" s="2" t="s">
        <v>231</v>
      </c>
      <c r="S299" s="2" t="s">
        <v>231</v>
      </c>
      <c r="T299" s="2" t="s">
        <v>231</v>
      </c>
      <c r="U299" s="2" t="s">
        <v>327</v>
      </c>
      <c r="V299" s="2" t="s">
        <v>1986</v>
      </c>
      <c r="W299" s="2" t="s">
        <v>676</v>
      </c>
      <c r="X299" s="2" t="s">
        <v>231</v>
      </c>
      <c r="Y299" s="2" t="s">
        <v>1992</v>
      </c>
      <c r="Z299" s="4">
        <v>204</v>
      </c>
      <c r="AA299" s="4">
        <f>=ROUNDDOWN(102,0)</f>
      </c>
      <c r="AB299" s="5">
        <v>2</v>
      </c>
      <c r="AC299" s="2" t="s">
        <v>231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231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231</v>
      </c>
      <c r="BD299" s="8" t="s">
        <v>231</v>
      </c>
      <c r="BE299" s="4" t="s">
        <v>231</v>
      </c>
      <c r="BF299" s="8" t="s">
        <v>231</v>
      </c>
      <c r="BG299" s="7" t="s">
        <v>231</v>
      </c>
      <c r="BH299" s="7" t="s">
        <v>231</v>
      </c>
      <c r="BI299" s="7"/>
      <c r="BJ299" s="4">
        <v>1</v>
      </c>
      <c r="BK299" s="8">
        <v>84.99</v>
      </c>
      <c r="BL299" s="2" t="s">
        <v>1988</v>
      </c>
      <c r="BM299" s="7"/>
      <c r="BN299" s="7"/>
      <c r="BO299" s="4"/>
      <c r="BP299" s="8"/>
      <c r="BQ299" s="4"/>
      <c r="BR299" s="8"/>
      <c r="BS299" s="7"/>
      <c r="BT299" s="7"/>
      <c r="BU299" s="2" t="s">
        <v>1993</v>
      </c>
      <c r="BV299" s="2" t="s">
        <v>231</v>
      </c>
      <c r="BW299" s="2" t="s">
        <v>231</v>
      </c>
      <c r="BX299" s="2" t="s">
        <v>231</v>
      </c>
      <c r="BY299" s="2" t="s">
        <v>277</v>
      </c>
      <c r="BZ299" s="2" t="s">
        <v>243</v>
      </c>
      <c r="CA299" s="2" t="s">
        <v>1620</v>
      </c>
      <c r="CB299" s="2" t="s">
        <v>445</v>
      </c>
      <c r="CC299" s="2" t="s">
        <v>244</v>
      </c>
      <c r="CD299" s="2" t="s">
        <v>231</v>
      </c>
      <c r="CE299" s="4">
        <v>204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</row>
    <row r="300">
      <c r="A300" s="2" t="s">
        <v>1994</v>
      </c>
      <c r="B300" s="2" t="s">
        <v>801</v>
      </c>
      <c r="C300" s="2" t="s">
        <v>815</v>
      </c>
      <c r="D300" s="2" t="s">
        <v>803</v>
      </c>
      <c r="E300" s="2" t="s">
        <v>804</v>
      </c>
      <c r="F300" s="2" t="s">
        <v>1995</v>
      </c>
      <c r="G300" s="2" t="s">
        <v>1995</v>
      </c>
      <c r="H300" s="2" t="s">
        <v>1995</v>
      </c>
      <c r="I300" s="2" t="s">
        <v>1996</v>
      </c>
      <c r="J300" s="2" t="s">
        <v>1997</v>
      </c>
      <c r="K300" s="2" t="s">
        <v>698</v>
      </c>
      <c r="L300" s="3">
        <v>63.9</v>
      </c>
      <c r="M300" s="3">
        <v>67.1</v>
      </c>
      <c r="N300" s="3">
        <v>149.99</v>
      </c>
      <c r="O300" s="2" t="s">
        <v>243</v>
      </c>
      <c r="P300" s="2" t="s">
        <v>341</v>
      </c>
      <c r="Q300" s="2" t="s">
        <v>237</v>
      </c>
      <c r="R300" s="2" t="s">
        <v>231</v>
      </c>
      <c r="S300" s="2" t="s">
        <v>231</v>
      </c>
      <c r="T300" s="2" t="s">
        <v>231</v>
      </c>
      <c r="U300" s="2" t="s">
        <v>231</v>
      </c>
      <c r="V300" s="2" t="s">
        <v>662</v>
      </c>
      <c r="W300" s="2" t="s">
        <v>691</v>
      </c>
      <c r="X300" s="2" t="s">
        <v>792</v>
      </c>
      <c r="Y300" s="2" t="s">
        <v>1422</v>
      </c>
      <c r="Z300" s="4">
        <v>73</v>
      </c>
      <c r="AA300" s="4">
        <f>=ROUNDDOWN(73,0)</f>
      </c>
      <c r="AB300" s="5">
        <v>1</v>
      </c>
      <c r="AC300" s="2" t="s">
        <v>231</v>
      </c>
      <c r="AD300" s="4"/>
      <c r="AE300" s="4"/>
      <c r="AF300" s="6">
        <v>63</v>
      </c>
      <c r="AG300" s="6"/>
      <c r="AH300" s="7">
        <v>1</v>
      </c>
      <c r="AI300" s="4"/>
      <c r="AJ300" s="4">
        <f>=ROUNDDOWN({0},0)</f>
      </c>
      <c r="AK300" s="5"/>
      <c r="AL300" s="2" t="s">
        <v>231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231</v>
      </c>
      <c r="AW300" s="8" t="s">
        <v>231</v>
      </c>
      <c r="AX300" s="4" t="s">
        <v>231</v>
      </c>
      <c r="AY300" s="8" t="s">
        <v>231</v>
      </c>
      <c r="AZ300" s="7" t="s">
        <v>231</v>
      </c>
      <c r="BA300" s="7" t="s">
        <v>231</v>
      </c>
      <c r="BB300" s="7"/>
      <c r="BC300" s="4" t="s">
        <v>231</v>
      </c>
      <c r="BD300" s="8" t="s">
        <v>231</v>
      </c>
      <c r="BE300" s="4" t="s">
        <v>231</v>
      </c>
      <c r="BF300" s="8" t="s">
        <v>231</v>
      </c>
      <c r="BG300" s="7" t="s">
        <v>231</v>
      </c>
      <c r="BH300" s="7" t="s">
        <v>231</v>
      </c>
      <c r="BI300" s="7"/>
      <c r="BJ300" s="4"/>
      <c r="BK300" s="8"/>
      <c r="BL300" s="2" t="s">
        <v>231</v>
      </c>
      <c r="BM300" s="7"/>
      <c r="BN300" s="7"/>
      <c r="BO300" s="4"/>
      <c r="BP300" s="8"/>
      <c r="BQ300" s="4"/>
      <c r="BR300" s="8"/>
      <c r="BS300" s="7"/>
      <c r="BT300" s="7"/>
      <c r="BU300" s="2" t="s">
        <v>1998</v>
      </c>
      <c r="BV300" s="2" t="s">
        <v>231</v>
      </c>
      <c r="BW300" s="2" t="s">
        <v>231</v>
      </c>
      <c r="BX300" s="2" t="s">
        <v>231</v>
      </c>
      <c r="BY300" s="2" t="s">
        <v>277</v>
      </c>
      <c r="BZ300" s="2" t="s">
        <v>243</v>
      </c>
      <c r="CA300" s="2" t="s">
        <v>1425</v>
      </c>
      <c r="CB300" s="2" t="s">
        <v>1999</v>
      </c>
      <c r="CC300" s="2" t="s">
        <v>244</v>
      </c>
      <c r="CD300" s="2" t="s">
        <v>231</v>
      </c>
      <c r="CE300" s="4"/>
      <c r="CF300" s="4">
        <v>73</v>
      </c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</row>
    <row r="301">
      <c r="A301" s="2" t="s">
        <v>2000</v>
      </c>
      <c r="B301" s="2" t="s">
        <v>847</v>
      </c>
      <c r="C301" s="2" t="s">
        <v>288</v>
      </c>
      <c r="D301" s="2" t="s">
        <v>906</v>
      </c>
      <c r="E301" s="2" t="s">
        <v>907</v>
      </c>
      <c r="F301" s="2" t="s">
        <v>1995</v>
      </c>
      <c r="G301" s="2" t="s">
        <v>1995</v>
      </c>
      <c r="H301" s="2" t="s">
        <v>1995</v>
      </c>
      <c r="I301" s="2" t="s">
        <v>2001</v>
      </c>
      <c r="J301" s="2" t="s">
        <v>807</v>
      </c>
      <c r="K301" s="2" t="s">
        <v>698</v>
      </c>
      <c r="L301" s="3">
        <v>57.14</v>
      </c>
      <c r="M301" s="3">
        <v>60</v>
      </c>
      <c r="N301" s="3">
        <v>119.99</v>
      </c>
      <c r="O301" s="2" t="s">
        <v>243</v>
      </c>
      <c r="P301" s="2" t="s">
        <v>236</v>
      </c>
      <c r="Q301" s="2" t="s">
        <v>237</v>
      </c>
      <c r="R301" s="2" t="s">
        <v>231</v>
      </c>
      <c r="S301" s="2" t="s">
        <v>231</v>
      </c>
      <c r="T301" s="2" t="s">
        <v>231</v>
      </c>
      <c r="U301" s="2" t="s">
        <v>327</v>
      </c>
      <c r="V301" s="2" t="s">
        <v>662</v>
      </c>
      <c r="W301" s="2" t="s">
        <v>299</v>
      </c>
      <c r="X301" s="2" t="s">
        <v>676</v>
      </c>
      <c r="Y301" s="2" t="s">
        <v>1041</v>
      </c>
      <c r="Z301" s="4">
        <v>99</v>
      </c>
      <c r="AA301" s="4">
        <f>=ROUNDDOWN({0},0)</f>
      </c>
      <c r="AB301" s="5"/>
      <c r="AC301" s="2" t="s">
        <v>231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231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231</v>
      </c>
      <c r="AW301" s="8" t="s">
        <v>231</v>
      </c>
      <c r="AX301" s="4" t="s">
        <v>231</v>
      </c>
      <c r="AY301" s="8" t="s">
        <v>231</v>
      </c>
      <c r="AZ301" s="7" t="s">
        <v>231</v>
      </c>
      <c r="BA301" s="7" t="s">
        <v>231</v>
      </c>
      <c r="BB301" s="7"/>
      <c r="BC301" s="4" t="s">
        <v>231</v>
      </c>
      <c r="BD301" s="8" t="s">
        <v>231</v>
      </c>
      <c r="BE301" s="4" t="s">
        <v>231</v>
      </c>
      <c r="BF301" s="8" t="s">
        <v>231</v>
      </c>
      <c r="BG301" s="7" t="s">
        <v>231</v>
      </c>
      <c r="BH301" s="7" t="s">
        <v>231</v>
      </c>
      <c r="BI301" s="7"/>
      <c r="BJ301" s="4"/>
      <c r="BK301" s="8"/>
      <c r="BL301" s="2" t="s">
        <v>231</v>
      </c>
      <c r="BM301" s="7"/>
      <c r="BN301" s="7"/>
      <c r="BO301" s="4"/>
      <c r="BP301" s="8"/>
      <c r="BQ301" s="4"/>
      <c r="BR301" s="8"/>
      <c r="BS301" s="7"/>
      <c r="BT301" s="7"/>
      <c r="BU301" s="2" t="s">
        <v>241</v>
      </c>
      <c r="BV301" s="2" t="s">
        <v>231</v>
      </c>
      <c r="BW301" s="2" t="s">
        <v>231</v>
      </c>
      <c r="BX301" s="2" t="s">
        <v>241</v>
      </c>
      <c r="BY301" s="2" t="s">
        <v>1121</v>
      </c>
      <c r="BZ301" s="2" t="s">
        <v>243</v>
      </c>
      <c r="CA301" s="2" t="s">
        <v>231</v>
      </c>
      <c r="CB301" s="2" t="s">
        <v>231</v>
      </c>
      <c r="CC301" s="2" t="s">
        <v>244</v>
      </c>
      <c r="CD301" s="2" t="s">
        <v>231</v>
      </c>
      <c r="CE301" s="4"/>
      <c r="CF301" s="4">
        <v>99</v>
      </c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</row>
    <row r="302">
      <c r="A302" s="2" t="s">
        <v>2002</v>
      </c>
      <c r="B302" s="2" t="s">
        <v>847</v>
      </c>
      <c r="C302" s="2" t="s">
        <v>288</v>
      </c>
      <c r="D302" s="2" t="s">
        <v>2003</v>
      </c>
      <c r="E302" s="2" t="s">
        <v>849</v>
      </c>
      <c r="F302" s="2" t="s">
        <v>2004</v>
      </c>
      <c r="G302" s="2" t="s">
        <v>2004</v>
      </c>
      <c r="H302" s="2" t="s">
        <v>2004</v>
      </c>
      <c r="I302" s="2" t="s">
        <v>2005</v>
      </c>
      <c r="J302" s="2" t="s">
        <v>807</v>
      </c>
      <c r="K302" s="2" t="s">
        <v>2006</v>
      </c>
      <c r="L302" s="3">
        <v>54.4</v>
      </c>
      <c r="M302" s="3">
        <v>57.12</v>
      </c>
      <c r="N302" s="3">
        <v>114.74</v>
      </c>
      <c r="O302" s="2" t="s">
        <v>243</v>
      </c>
      <c r="P302" s="2" t="s">
        <v>1985</v>
      </c>
      <c r="Q302" s="2" t="s">
        <v>237</v>
      </c>
      <c r="R302" s="2" t="s">
        <v>231</v>
      </c>
      <c r="S302" s="2" t="s">
        <v>2007</v>
      </c>
      <c r="T302" s="2" t="s">
        <v>231</v>
      </c>
      <c r="U302" s="2" t="s">
        <v>791</v>
      </c>
      <c r="V302" s="2" t="s">
        <v>836</v>
      </c>
      <c r="W302" s="2" t="s">
        <v>691</v>
      </c>
      <c r="X302" s="2" t="s">
        <v>363</v>
      </c>
      <c r="Y302" s="2" t="s">
        <v>2008</v>
      </c>
      <c r="Z302" s="4">
        <v>104</v>
      </c>
      <c r="AA302" s="4">
        <f>=ROUNDDOWN(61.1764705882353,0)</f>
      </c>
      <c r="AB302" s="5">
        <v>1.7</v>
      </c>
      <c r="AC302" s="2" t="s">
        <v>231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231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>
        <v>11</v>
      </c>
      <c r="BK302" s="8">
        <v>724.53</v>
      </c>
      <c r="BL302" s="2" t="s">
        <v>2009</v>
      </c>
      <c r="BM302" s="7"/>
      <c r="BN302" s="7"/>
      <c r="BO302" s="4"/>
      <c r="BP302" s="8"/>
      <c r="BQ302" s="4"/>
      <c r="BR302" s="8"/>
      <c r="BS302" s="7"/>
      <c r="BT302" s="7"/>
      <c r="BU302" s="2" t="s">
        <v>2010</v>
      </c>
      <c r="BV302" s="2" t="s">
        <v>231</v>
      </c>
      <c r="BW302" s="2" t="s">
        <v>231</v>
      </c>
      <c r="BX302" s="2" t="s">
        <v>231</v>
      </c>
      <c r="BY302" s="2" t="s">
        <v>277</v>
      </c>
      <c r="BZ302" s="2" t="s">
        <v>243</v>
      </c>
      <c r="CA302" s="2" t="s">
        <v>2011</v>
      </c>
      <c r="CB302" s="2" t="s">
        <v>2012</v>
      </c>
      <c r="CC302" s="2" t="s">
        <v>244</v>
      </c>
      <c r="CD302" s="2" t="s">
        <v>231</v>
      </c>
      <c r="CE302" s="4"/>
      <c r="CF302" s="4">
        <v>104</v>
      </c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</row>
    <row r="303">
      <c r="A303" s="2" t="s">
        <v>2013</v>
      </c>
      <c r="B303" s="2" t="s">
        <v>1004</v>
      </c>
      <c r="C303" s="2" t="s">
        <v>288</v>
      </c>
      <c r="D303" s="2" t="s">
        <v>2014</v>
      </c>
      <c r="E303" s="2" t="s">
        <v>2015</v>
      </c>
      <c r="F303" s="2" t="s">
        <v>2016</v>
      </c>
      <c r="G303" s="2" t="s">
        <v>2017</v>
      </c>
      <c r="H303" s="2" t="s">
        <v>2018</v>
      </c>
      <c r="I303" s="2" t="s">
        <v>2019</v>
      </c>
      <c r="J303" s="2" t="s">
        <v>807</v>
      </c>
      <c r="K303" s="2" t="s">
        <v>1926</v>
      </c>
      <c r="L303" s="3">
        <v>231.88</v>
      </c>
      <c r="M303" s="3">
        <v>243.47</v>
      </c>
      <c r="N303" s="3">
        <v>479</v>
      </c>
      <c r="O303" s="2" t="s">
        <v>235</v>
      </c>
      <c r="P303" s="2" t="s">
        <v>341</v>
      </c>
      <c r="Q303" s="2" t="s">
        <v>237</v>
      </c>
      <c r="R303" s="2" t="s">
        <v>231</v>
      </c>
      <c r="S303" s="2" t="s">
        <v>2020</v>
      </c>
      <c r="T303" s="2" t="s">
        <v>231</v>
      </c>
      <c r="U303" s="2" t="s">
        <v>231</v>
      </c>
      <c r="V303" s="2" t="s">
        <v>239</v>
      </c>
      <c r="W303" s="2" t="s">
        <v>792</v>
      </c>
      <c r="X303" s="2" t="s">
        <v>231</v>
      </c>
      <c r="Y303" s="2" t="s">
        <v>2021</v>
      </c>
      <c r="Z303" s="4">
        <v>74</v>
      </c>
      <c r="AA303" s="4">
        <f>=ROUNDDOWN(16.8181818181818,0)</f>
      </c>
      <c r="AB303" s="5">
        <v>4.4</v>
      </c>
      <c r="AC303" s="2" t="s">
        <v>231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231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>
        <v>19</v>
      </c>
      <c r="BK303" s="8">
        <v>2447.62</v>
      </c>
      <c r="BL303" s="2" t="s">
        <v>2022</v>
      </c>
      <c r="BM303" s="7"/>
      <c r="BN303" s="7"/>
      <c r="BO303" s="4"/>
      <c r="BP303" s="8"/>
      <c r="BQ303" s="4"/>
      <c r="BR303" s="8"/>
      <c r="BS303" s="7"/>
      <c r="BT303" s="7"/>
      <c r="BU303" s="2" t="s">
        <v>2023</v>
      </c>
      <c r="BV303" s="2" t="s">
        <v>231</v>
      </c>
      <c r="BW303" s="2" t="s">
        <v>231</v>
      </c>
      <c r="BX303" s="2" t="s">
        <v>241</v>
      </c>
      <c r="BY303" s="2" t="s">
        <v>277</v>
      </c>
      <c r="BZ303" s="2" t="s">
        <v>243</v>
      </c>
      <c r="CA303" s="2" t="s">
        <v>2024</v>
      </c>
      <c r="CB303" s="2" t="s">
        <v>1946</v>
      </c>
      <c r="CC303" s="2" t="s">
        <v>244</v>
      </c>
      <c r="CD303" s="2" t="s">
        <v>231</v>
      </c>
      <c r="CE303" s="4"/>
      <c r="CF303" s="4">
        <v>74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</row>
    <row r="304">
      <c r="A304" s="2" t="s">
        <v>2025</v>
      </c>
      <c r="B304" s="2" t="s">
        <v>1389</v>
      </c>
      <c r="C304" s="2" t="s">
        <v>288</v>
      </c>
      <c r="D304" s="2" t="s">
        <v>1389</v>
      </c>
      <c r="E304" s="2" t="s">
        <v>1389</v>
      </c>
      <c r="F304" s="2" t="s">
        <v>2026</v>
      </c>
      <c r="G304" s="2" t="s">
        <v>2027</v>
      </c>
      <c r="H304" s="2" t="s">
        <v>2028</v>
      </c>
      <c r="I304" s="2" t="s">
        <v>2029</v>
      </c>
      <c r="J304" s="2" t="s">
        <v>2030</v>
      </c>
      <c r="K304" s="2" t="s">
        <v>2031</v>
      </c>
      <c r="L304" s="3">
        <v>22</v>
      </c>
      <c r="M304" s="3">
        <v>23.1</v>
      </c>
      <c r="N304" s="3">
        <v>49.99</v>
      </c>
      <c r="O304" s="2" t="s">
        <v>243</v>
      </c>
      <c r="P304" s="2" t="s">
        <v>341</v>
      </c>
      <c r="Q304" s="2" t="s">
        <v>237</v>
      </c>
      <c r="R304" s="2" t="s">
        <v>231</v>
      </c>
      <c r="S304" s="2" t="s">
        <v>2032</v>
      </c>
      <c r="T304" s="2" t="s">
        <v>231</v>
      </c>
      <c r="U304" s="2" t="s">
        <v>327</v>
      </c>
      <c r="V304" s="2" t="s">
        <v>987</v>
      </c>
      <c r="W304" s="2" t="s">
        <v>691</v>
      </c>
      <c r="X304" s="2" t="s">
        <v>273</v>
      </c>
      <c r="Y304" s="2" t="s">
        <v>2033</v>
      </c>
      <c r="Z304" s="4">
        <v>6</v>
      </c>
      <c r="AA304" s="4">
        <f>=ROUNDDOWN({0},0)</f>
      </c>
      <c r="AB304" s="5"/>
      <c r="AC304" s="2" t="s">
        <v>231</v>
      </c>
      <c r="AD304" s="4"/>
      <c r="AE304" s="4"/>
      <c r="AF304" s="6">
        <v>63</v>
      </c>
      <c r="AG304" s="6"/>
      <c r="AH304" s="7">
        <v>1</v>
      </c>
      <c r="AI304" s="4"/>
      <c r="AJ304" s="4">
        <f>=ROUNDDOWN({0},0)</f>
      </c>
      <c r="AK304" s="5"/>
      <c r="AL304" s="2" t="s">
        <v>231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231</v>
      </c>
      <c r="AW304" s="8" t="s">
        <v>231</v>
      </c>
      <c r="AX304" s="4" t="s">
        <v>231</v>
      </c>
      <c r="AY304" s="8" t="s">
        <v>231</v>
      </c>
      <c r="AZ304" s="7" t="s">
        <v>231</v>
      </c>
      <c r="BA304" s="7" t="s">
        <v>231</v>
      </c>
      <c r="BB304" s="7"/>
      <c r="BC304" s="4" t="s">
        <v>231</v>
      </c>
      <c r="BD304" s="8" t="s">
        <v>231</v>
      </c>
      <c r="BE304" s="4" t="s">
        <v>231</v>
      </c>
      <c r="BF304" s="8" t="s">
        <v>231</v>
      </c>
      <c r="BG304" s="7" t="s">
        <v>231</v>
      </c>
      <c r="BH304" s="7" t="s">
        <v>231</v>
      </c>
      <c r="BI304" s="7"/>
      <c r="BJ304" s="4"/>
      <c r="BK304" s="8"/>
      <c r="BL304" s="2" t="s">
        <v>231</v>
      </c>
      <c r="BM304" s="7"/>
      <c r="BN304" s="7"/>
      <c r="BO304" s="4"/>
      <c r="BP304" s="8"/>
      <c r="BQ304" s="4"/>
      <c r="BR304" s="8"/>
      <c r="BS304" s="7"/>
      <c r="BT304" s="7"/>
      <c r="BU304" s="2" t="s">
        <v>2034</v>
      </c>
      <c r="BV304" s="2" t="s">
        <v>231</v>
      </c>
      <c r="BW304" s="2" t="s">
        <v>231</v>
      </c>
      <c r="BX304" s="2" t="s">
        <v>231</v>
      </c>
      <c r="BY304" s="2" t="s">
        <v>277</v>
      </c>
      <c r="BZ304" s="2" t="s">
        <v>243</v>
      </c>
      <c r="CA304" s="2" t="s">
        <v>2035</v>
      </c>
      <c r="CB304" s="2" t="s">
        <v>231</v>
      </c>
      <c r="CC304" s="2" t="s">
        <v>244</v>
      </c>
      <c r="CD304" s="2" t="s">
        <v>231</v>
      </c>
      <c r="CE304" s="4"/>
      <c r="CF304" s="4">
        <v>6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</row>
    <row r="305">
      <c r="A305" s="2" t="s">
        <v>2036</v>
      </c>
      <c r="B305" s="2" t="s">
        <v>1389</v>
      </c>
      <c r="C305" s="2" t="s">
        <v>288</v>
      </c>
      <c r="D305" s="2" t="s">
        <v>1389</v>
      </c>
      <c r="E305" s="2" t="s">
        <v>1389</v>
      </c>
      <c r="F305" s="2" t="s">
        <v>2026</v>
      </c>
      <c r="G305" s="2" t="s">
        <v>2027</v>
      </c>
      <c r="H305" s="2" t="s">
        <v>2028</v>
      </c>
      <c r="I305" s="2" t="s">
        <v>2029</v>
      </c>
      <c r="J305" s="2" t="s">
        <v>1401</v>
      </c>
      <c r="K305" s="2" t="s">
        <v>2031</v>
      </c>
      <c r="L305" s="3">
        <v>94</v>
      </c>
      <c r="M305" s="3">
        <v>98.7</v>
      </c>
      <c r="N305" s="3">
        <v>209.98</v>
      </c>
      <c r="O305" s="2" t="s">
        <v>243</v>
      </c>
      <c r="P305" s="2" t="s">
        <v>341</v>
      </c>
      <c r="Q305" s="2" t="s">
        <v>237</v>
      </c>
      <c r="R305" s="2" t="s">
        <v>231</v>
      </c>
      <c r="S305" s="2" t="s">
        <v>2032</v>
      </c>
      <c r="T305" s="2" t="s">
        <v>231</v>
      </c>
      <c r="U305" s="2" t="s">
        <v>327</v>
      </c>
      <c r="V305" s="2" t="s">
        <v>987</v>
      </c>
      <c r="W305" s="2" t="s">
        <v>691</v>
      </c>
      <c r="X305" s="2" t="s">
        <v>231</v>
      </c>
      <c r="Y305" s="2" t="s">
        <v>2033</v>
      </c>
      <c r="Z305" s="4">
        <v>51</v>
      </c>
      <c r="AA305" s="4">
        <f>=ROUNDDOWN({0},0)</f>
      </c>
      <c r="AB305" s="5"/>
      <c r="AC305" s="2" t="s">
        <v>231</v>
      </c>
      <c r="AD305" s="4"/>
      <c r="AE305" s="4"/>
      <c r="AF305" s="6">
        <v>63</v>
      </c>
      <c r="AG305" s="6"/>
      <c r="AH305" s="7">
        <v>1</v>
      </c>
      <c r="AI305" s="4"/>
      <c r="AJ305" s="4">
        <f>=ROUNDDOWN({0},0)</f>
      </c>
      <c r="AK305" s="5"/>
      <c r="AL305" s="2" t="s">
        <v>231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231</v>
      </c>
      <c r="AW305" s="8" t="s">
        <v>231</v>
      </c>
      <c r="AX305" s="4" t="s">
        <v>231</v>
      </c>
      <c r="AY305" s="8" t="s">
        <v>231</v>
      </c>
      <c r="AZ305" s="7" t="s">
        <v>231</v>
      </c>
      <c r="BA305" s="7" t="s">
        <v>231</v>
      </c>
      <c r="BB305" s="7"/>
      <c r="BC305" s="4" t="s">
        <v>231</v>
      </c>
      <c r="BD305" s="8" t="s">
        <v>231</v>
      </c>
      <c r="BE305" s="4" t="s">
        <v>231</v>
      </c>
      <c r="BF305" s="8" t="s">
        <v>231</v>
      </c>
      <c r="BG305" s="7" t="s">
        <v>231</v>
      </c>
      <c r="BH305" s="7" t="s">
        <v>231</v>
      </c>
      <c r="BI305" s="7"/>
      <c r="BJ305" s="4"/>
      <c r="BK305" s="8"/>
      <c r="BL305" s="2" t="s">
        <v>231</v>
      </c>
      <c r="BM305" s="7"/>
      <c r="BN305" s="7"/>
      <c r="BO305" s="4"/>
      <c r="BP305" s="8"/>
      <c r="BQ305" s="4"/>
      <c r="BR305" s="8"/>
      <c r="BS305" s="7"/>
      <c r="BT305" s="7"/>
      <c r="BU305" s="2" t="s">
        <v>2037</v>
      </c>
      <c r="BV305" s="2" t="s">
        <v>231</v>
      </c>
      <c r="BW305" s="2" t="s">
        <v>231</v>
      </c>
      <c r="BX305" s="2" t="s">
        <v>231</v>
      </c>
      <c r="BY305" s="2" t="s">
        <v>277</v>
      </c>
      <c r="BZ305" s="2" t="s">
        <v>243</v>
      </c>
      <c r="CA305" s="2" t="s">
        <v>2035</v>
      </c>
      <c r="CB305" s="2" t="s">
        <v>231</v>
      </c>
      <c r="CC305" s="2" t="s">
        <v>244</v>
      </c>
      <c r="CD305" s="2" t="s">
        <v>231</v>
      </c>
      <c r="CE305" s="4"/>
      <c r="CF305" s="4">
        <v>51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</row>
    <row r="306">
      <c r="A306" s="2" t="s">
        <v>2038</v>
      </c>
      <c r="B306" s="2" t="s">
        <v>1389</v>
      </c>
      <c r="C306" s="2" t="s">
        <v>288</v>
      </c>
      <c r="D306" s="2" t="s">
        <v>1389</v>
      </c>
      <c r="E306" s="2" t="s">
        <v>1389</v>
      </c>
      <c r="F306" s="2" t="s">
        <v>2026</v>
      </c>
      <c r="G306" s="2" t="s">
        <v>2027</v>
      </c>
      <c r="H306" s="2" t="s">
        <v>2028</v>
      </c>
      <c r="I306" s="2" t="s">
        <v>2029</v>
      </c>
      <c r="J306" s="2" t="s">
        <v>2039</v>
      </c>
      <c r="K306" s="2" t="s">
        <v>2031</v>
      </c>
      <c r="L306" s="3">
        <v>125</v>
      </c>
      <c r="M306" s="3">
        <v>131.25</v>
      </c>
      <c r="N306" s="3">
        <v>279.98</v>
      </c>
      <c r="O306" s="2" t="s">
        <v>243</v>
      </c>
      <c r="P306" s="2" t="s">
        <v>341</v>
      </c>
      <c r="Q306" s="2" t="s">
        <v>237</v>
      </c>
      <c r="R306" s="2" t="s">
        <v>231</v>
      </c>
      <c r="S306" s="2" t="s">
        <v>2032</v>
      </c>
      <c r="T306" s="2" t="s">
        <v>231</v>
      </c>
      <c r="U306" s="2" t="s">
        <v>327</v>
      </c>
      <c r="V306" s="2" t="s">
        <v>987</v>
      </c>
      <c r="W306" s="2" t="s">
        <v>691</v>
      </c>
      <c r="X306" s="2" t="s">
        <v>231</v>
      </c>
      <c r="Y306" s="2" t="s">
        <v>2033</v>
      </c>
      <c r="Z306" s="4">
        <v>97</v>
      </c>
      <c r="AA306" s="4">
        <f>=ROUNDDOWN({0},0)</f>
      </c>
      <c r="AB306" s="5"/>
      <c r="AC306" s="2" t="s">
        <v>231</v>
      </c>
      <c r="AD306" s="4"/>
      <c r="AE306" s="4"/>
      <c r="AF306" s="6">
        <v>63</v>
      </c>
      <c r="AG306" s="6"/>
      <c r="AH306" s="7">
        <v>1</v>
      </c>
      <c r="AI306" s="4"/>
      <c r="AJ306" s="4">
        <f>=ROUNDDOWN({0},0)</f>
      </c>
      <c r="AK306" s="5"/>
      <c r="AL306" s="2" t="s">
        <v>231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231</v>
      </c>
      <c r="AW306" s="8" t="s">
        <v>231</v>
      </c>
      <c r="AX306" s="4" t="s">
        <v>231</v>
      </c>
      <c r="AY306" s="8" t="s">
        <v>231</v>
      </c>
      <c r="AZ306" s="7" t="s">
        <v>231</v>
      </c>
      <c r="BA306" s="7" t="s">
        <v>231</v>
      </c>
      <c r="BB306" s="7"/>
      <c r="BC306" s="4" t="s">
        <v>231</v>
      </c>
      <c r="BD306" s="8" t="s">
        <v>231</v>
      </c>
      <c r="BE306" s="4" t="s">
        <v>231</v>
      </c>
      <c r="BF306" s="8" t="s">
        <v>231</v>
      </c>
      <c r="BG306" s="7" t="s">
        <v>231</v>
      </c>
      <c r="BH306" s="7" t="s">
        <v>231</v>
      </c>
      <c r="BI306" s="7"/>
      <c r="BJ306" s="4"/>
      <c r="BK306" s="8"/>
      <c r="BL306" s="2" t="s">
        <v>231</v>
      </c>
      <c r="BM306" s="7"/>
      <c r="BN306" s="7"/>
      <c r="BO306" s="4"/>
      <c r="BP306" s="8"/>
      <c r="BQ306" s="4"/>
      <c r="BR306" s="8"/>
      <c r="BS306" s="7"/>
      <c r="BT306" s="7"/>
      <c r="BU306" s="2" t="s">
        <v>2040</v>
      </c>
      <c r="BV306" s="2" t="s">
        <v>231</v>
      </c>
      <c r="BW306" s="2" t="s">
        <v>231</v>
      </c>
      <c r="BX306" s="2" t="s">
        <v>231</v>
      </c>
      <c r="BY306" s="2" t="s">
        <v>277</v>
      </c>
      <c r="BZ306" s="2" t="s">
        <v>243</v>
      </c>
      <c r="CA306" s="2" t="s">
        <v>2035</v>
      </c>
      <c r="CB306" s="2" t="s">
        <v>231</v>
      </c>
      <c r="CC306" s="2" t="s">
        <v>244</v>
      </c>
      <c r="CD306" s="2" t="s">
        <v>231</v>
      </c>
      <c r="CE306" s="4"/>
      <c r="CF306" s="4">
        <v>97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</row>
    <row r="307">
      <c r="A307" s="2" t="s">
        <v>2041</v>
      </c>
      <c r="B307" s="2" t="s">
        <v>992</v>
      </c>
      <c r="C307" s="2" t="s">
        <v>288</v>
      </c>
      <c r="D307" s="2" t="s">
        <v>993</v>
      </c>
      <c r="E307" s="2" t="s">
        <v>2042</v>
      </c>
      <c r="F307" s="2" t="s">
        <v>2043</v>
      </c>
      <c r="G307" s="2" t="s">
        <v>2044</v>
      </c>
      <c r="H307" s="2" t="s">
        <v>2045</v>
      </c>
      <c r="I307" s="2" t="s">
        <v>2046</v>
      </c>
      <c r="J307" s="2" t="s">
        <v>1586</v>
      </c>
      <c r="K307" s="2" t="s">
        <v>253</v>
      </c>
      <c r="L307" s="3">
        <v>19.35</v>
      </c>
      <c r="M307" s="3">
        <v>20.32</v>
      </c>
      <c r="N307" s="3">
        <v>42.99</v>
      </c>
      <c r="O307" s="2" t="s">
        <v>243</v>
      </c>
      <c r="P307" s="2" t="s">
        <v>270</v>
      </c>
      <c r="Q307" s="2" t="s">
        <v>237</v>
      </c>
      <c r="R307" s="2" t="s">
        <v>231</v>
      </c>
      <c r="S307" s="2" t="s">
        <v>2047</v>
      </c>
      <c r="T307" s="2" t="s">
        <v>231</v>
      </c>
      <c r="U307" s="2" t="s">
        <v>327</v>
      </c>
      <c r="V307" s="2" t="s">
        <v>2048</v>
      </c>
      <c r="W307" s="2" t="s">
        <v>691</v>
      </c>
      <c r="X307" s="2" t="s">
        <v>1520</v>
      </c>
      <c r="Y307" s="2" t="s">
        <v>274</v>
      </c>
      <c r="Z307" s="4">
        <v>106</v>
      </c>
      <c r="AA307" s="4">
        <f>=ROUNDDOWN(15.1428571428571,0)</f>
      </c>
      <c r="AB307" s="5">
        <v>7</v>
      </c>
      <c r="AC307" s="2" t="s">
        <v>2049</v>
      </c>
      <c r="AD307" s="4">
        <v>100</v>
      </c>
      <c r="AE307" s="4">
        <v>100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231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>
        <v>20</v>
      </c>
      <c r="BK307" s="8">
        <v>384.86</v>
      </c>
      <c r="BL307" s="2" t="s">
        <v>2050</v>
      </c>
      <c r="BM307" s="7"/>
      <c r="BN307" s="7"/>
      <c r="BO307" s="4"/>
      <c r="BP307" s="8"/>
      <c r="BQ307" s="4"/>
      <c r="BR307" s="8"/>
      <c r="BS307" s="7"/>
      <c r="BT307" s="7"/>
      <c r="BU307" s="2" t="s">
        <v>2051</v>
      </c>
      <c r="BV307" s="2" t="s">
        <v>231</v>
      </c>
      <c r="BW307" s="2" t="s">
        <v>231</v>
      </c>
      <c r="BX307" s="2" t="s">
        <v>241</v>
      </c>
      <c r="BY307" s="2" t="s">
        <v>277</v>
      </c>
      <c r="BZ307" s="2" t="s">
        <v>243</v>
      </c>
      <c r="CA307" s="2" t="s">
        <v>2052</v>
      </c>
      <c r="CB307" s="2" t="s">
        <v>2053</v>
      </c>
      <c r="CC307" s="2" t="s">
        <v>244</v>
      </c>
      <c r="CD307" s="2" t="s">
        <v>231</v>
      </c>
      <c r="CE307" s="4">
        <v>106</v>
      </c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>
        <v>100</v>
      </c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</row>
    <row r="308">
      <c r="A308" s="2" t="s">
        <v>2054</v>
      </c>
      <c r="B308" s="2" t="s">
        <v>992</v>
      </c>
      <c r="C308" s="2" t="s">
        <v>288</v>
      </c>
      <c r="D308" s="2" t="s">
        <v>993</v>
      </c>
      <c r="E308" s="2" t="s">
        <v>2042</v>
      </c>
      <c r="F308" s="2" t="s">
        <v>2055</v>
      </c>
      <c r="G308" s="2" t="s">
        <v>2056</v>
      </c>
      <c r="H308" s="2" t="s">
        <v>2057</v>
      </c>
      <c r="I308" s="2" t="s">
        <v>2058</v>
      </c>
      <c r="J308" s="2" t="s">
        <v>996</v>
      </c>
      <c r="K308" s="2" t="s">
        <v>294</v>
      </c>
      <c r="L308" s="3">
        <v>10</v>
      </c>
      <c r="M308" s="3">
        <v>10.5</v>
      </c>
      <c r="N308" s="3">
        <v>24.99</v>
      </c>
      <c r="O308" s="2" t="s">
        <v>250</v>
      </c>
      <c r="P308" s="2" t="s">
        <v>341</v>
      </c>
      <c r="Q308" s="2" t="s">
        <v>237</v>
      </c>
      <c r="R308" s="2" t="s">
        <v>231</v>
      </c>
      <c r="S308" s="2" t="s">
        <v>2059</v>
      </c>
      <c r="T308" s="2" t="s">
        <v>231</v>
      </c>
      <c r="U308" s="2" t="s">
        <v>327</v>
      </c>
      <c r="V308" s="2" t="s">
        <v>239</v>
      </c>
      <c r="W308" s="2" t="s">
        <v>691</v>
      </c>
      <c r="X308" s="2" t="s">
        <v>231</v>
      </c>
      <c r="Y308" s="2" t="s">
        <v>2060</v>
      </c>
      <c r="Z308" s="4">
        <v>20</v>
      </c>
      <c r="AA308" s="4">
        <f>=ROUNDDOWN(22.2222222222222,0)</f>
      </c>
      <c r="AB308" s="5">
        <v>0.9</v>
      </c>
      <c r="AC308" s="2" t="s">
        <v>231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231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>
        <v>10</v>
      </c>
      <c r="BK308" s="8">
        <v>110</v>
      </c>
      <c r="BL308" s="2" t="s">
        <v>465</v>
      </c>
      <c r="BM308" s="7"/>
      <c r="BN308" s="7"/>
      <c r="BO308" s="4"/>
      <c r="BP308" s="8"/>
      <c r="BQ308" s="4"/>
      <c r="BR308" s="8"/>
      <c r="BS308" s="7"/>
      <c r="BT308" s="7"/>
      <c r="BU308" s="2" t="s">
        <v>2061</v>
      </c>
      <c r="BV308" s="2" t="s">
        <v>231</v>
      </c>
      <c r="BW308" s="2" t="s">
        <v>231</v>
      </c>
      <c r="BX308" s="2" t="s">
        <v>241</v>
      </c>
      <c r="BY308" s="2" t="s">
        <v>277</v>
      </c>
      <c r="BZ308" s="2" t="s">
        <v>243</v>
      </c>
      <c r="CA308" s="2" t="s">
        <v>2062</v>
      </c>
      <c r="CB308" s="2" t="s">
        <v>231</v>
      </c>
      <c r="CC308" s="2" t="s">
        <v>244</v>
      </c>
      <c r="CD308" s="2" t="s">
        <v>231</v>
      </c>
      <c r="CE308" s="4">
        <v>20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</row>
    <row r="309">
      <c r="A309" s="2" t="s">
        <v>2063</v>
      </c>
      <c r="B309" s="2" t="s">
        <v>992</v>
      </c>
      <c r="C309" s="2" t="s">
        <v>1980</v>
      </c>
      <c r="D309" s="2" t="s">
        <v>993</v>
      </c>
      <c r="E309" s="2" t="s">
        <v>994</v>
      </c>
      <c r="F309" s="2" t="s">
        <v>2064</v>
      </c>
      <c r="G309" s="2" t="s">
        <v>2064</v>
      </c>
      <c r="H309" s="2" t="s">
        <v>2064</v>
      </c>
      <c r="I309" s="2" t="s">
        <v>2065</v>
      </c>
      <c r="J309" s="2" t="s">
        <v>2066</v>
      </c>
      <c r="K309" s="2" t="s">
        <v>1932</v>
      </c>
      <c r="L309" s="3">
        <v>27.23</v>
      </c>
      <c r="M309" s="3">
        <v>28.59</v>
      </c>
      <c r="N309" s="3">
        <v>79.99</v>
      </c>
      <c r="O309" s="2" t="s">
        <v>243</v>
      </c>
      <c r="P309" s="2" t="s">
        <v>1985</v>
      </c>
      <c r="Q309" s="2" t="s">
        <v>237</v>
      </c>
      <c r="R309" s="2" t="s">
        <v>231</v>
      </c>
      <c r="S309" s="2" t="s">
        <v>231</v>
      </c>
      <c r="T309" s="2" t="s">
        <v>231</v>
      </c>
      <c r="U309" s="2" t="s">
        <v>327</v>
      </c>
      <c r="V309" s="2" t="s">
        <v>239</v>
      </c>
      <c r="W309" s="2" t="s">
        <v>299</v>
      </c>
      <c r="X309" s="2" t="s">
        <v>231</v>
      </c>
      <c r="Y309" s="2" t="s">
        <v>2067</v>
      </c>
      <c r="Z309" s="4">
        <v>122</v>
      </c>
      <c r="AA309" s="4">
        <f>=ROUNDDOWN(61,0)</f>
      </c>
      <c r="AB309" s="5">
        <v>2</v>
      </c>
      <c r="AC309" s="2" t="s">
        <v>231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231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231</v>
      </c>
      <c r="AW309" s="8" t="s">
        <v>231</v>
      </c>
      <c r="AX309" s="4" t="s">
        <v>231</v>
      </c>
      <c r="AY309" s="8" t="s">
        <v>231</v>
      </c>
      <c r="AZ309" s="7" t="s">
        <v>231</v>
      </c>
      <c r="BA309" s="7" t="s">
        <v>231</v>
      </c>
      <c r="BB309" s="7"/>
      <c r="BC309" s="4" t="s">
        <v>231</v>
      </c>
      <c r="BD309" s="8" t="s">
        <v>231</v>
      </c>
      <c r="BE309" s="4" t="s">
        <v>231</v>
      </c>
      <c r="BF309" s="8" t="s">
        <v>231</v>
      </c>
      <c r="BG309" s="7" t="s">
        <v>231</v>
      </c>
      <c r="BH309" s="7" t="s">
        <v>231</v>
      </c>
      <c r="BI309" s="7"/>
      <c r="BJ309" s="4">
        <v>9</v>
      </c>
      <c r="BK309" s="8">
        <v>447.78</v>
      </c>
      <c r="BL309" s="2" t="s">
        <v>2068</v>
      </c>
      <c r="BM309" s="7"/>
      <c r="BN309" s="7"/>
      <c r="BO309" s="4"/>
      <c r="BP309" s="8"/>
      <c r="BQ309" s="4"/>
      <c r="BR309" s="8"/>
      <c r="BS309" s="7"/>
      <c r="BT309" s="7"/>
      <c r="BU309" s="2" t="s">
        <v>2069</v>
      </c>
      <c r="BV309" s="2" t="s">
        <v>231</v>
      </c>
      <c r="BW309" s="2" t="s">
        <v>231</v>
      </c>
      <c r="BX309" s="2" t="s">
        <v>231</v>
      </c>
      <c r="BY309" s="2" t="s">
        <v>277</v>
      </c>
      <c r="BZ309" s="2" t="s">
        <v>243</v>
      </c>
      <c r="CA309" s="2" t="s">
        <v>2070</v>
      </c>
      <c r="CB309" s="2" t="s">
        <v>231</v>
      </c>
      <c r="CC309" s="2" t="s">
        <v>244</v>
      </c>
      <c r="CD309" s="2" t="s">
        <v>231</v>
      </c>
      <c r="CE309" s="4">
        <v>122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</row>
    <row r="310">
      <c r="A310" s="2" t="s">
        <v>2071</v>
      </c>
      <c r="B310" s="2" t="s">
        <v>992</v>
      </c>
      <c r="C310" s="2" t="s">
        <v>1980</v>
      </c>
      <c r="D310" s="2" t="s">
        <v>993</v>
      </c>
      <c r="E310" s="2" t="s">
        <v>994</v>
      </c>
      <c r="F310" s="2" t="s">
        <v>2064</v>
      </c>
      <c r="G310" s="2" t="s">
        <v>2064</v>
      </c>
      <c r="H310" s="2" t="s">
        <v>2064</v>
      </c>
      <c r="I310" s="2" t="s">
        <v>2065</v>
      </c>
      <c r="J310" s="2" t="s">
        <v>2072</v>
      </c>
      <c r="K310" s="2" t="s">
        <v>1932</v>
      </c>
      <c r="L310" s="3">
        <v>23.83</v>
      </c>
      <c r="M310" s="3">
        <v>25.02</v>
      </c>
      <c r="N310" s="3">
        <v>69.99</v>
      </c>
      <c r="O310" s="2" t="s">
        <v>243</v>
      </c>
      <c r="P310" s="2" t="s">
        <v>1985</v>
      </c>
      <c r="Q310" s="2" t="s">
        <v>237</v>
      </c>
      <c r="R310" s="2" t="s">
        <v>231</v>
      </c>
      <c r="S310" s="2" t="s">
        <v>231</v>
      </c>
      <c r="T310" s="2" t="s">
        <v>231</v>
      </c>
      <c r="U310" s="2" t="s">
        <v>327</v>
      </c>
      <c r="V310" s="2" t="s">
        <v>239</v>
      </c>
      <c r="W310" s="2" t="s">
        <v>299</v>
      </c>
      <c r="X310" s="2" t="s">
        <v>231</v>
      </c>
      <c r="Y310" s="2" t="s">
        <v>2067</v>
      </c>
      <c r="Z310" s="4">
        <v>224</v>
      </c>
      <c r="AA310" s="4">
        <f>=ROUNDDOWN(448,0)</f>
      </c>
      <c r="AB310" s="5">
        <v>0.5</v>
      </c>
      <c r="AC310" s="2" t="s">
        <v>231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231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231</v>
      </c>
      <c r="AW310" s="8" t="s">
        <v>231</v>
      </c>
      <c r="AX310" s="4" t="s">
        <v>231</v>
      </c>
      <c r="AY310" s="8" t="s">
        <v>231</v>
      </c>
      <c r="AZ310" s="7" t="s">
        <v>231</v>
      </c>
      <c r="BA310" s="7" t="s">
        <v>231</v>
      </c>
      <c r="BB310" s="7"/>
      <c r="BC310" s="4" t="s">
        <v>231</v>
      </c>
      <c r="BD310" s="8" t="s">
        <v>231</v>
      </c>
      <c r="BE310" s="4" t="s">
        <v>231</v>
      </c>
      <c r="BF310" s="8" t="s">
        <v>231</v>
      </c>
      <c r="BG310" s="7" t="s">
        <v>231</v>
      </c>
      <c r="BH310" s="7" t="s">
        <v>231</v>
      </c>
      <c r="BI310" s="7"/>
      <c r="BJ310" s="4">
        <v>2</v>
      </c>
      <c r="BK310" s="8">
        <v>42.54</v>
      </c>
      <c r="BL310" s="2" t="s">
        <v>628</v>
      </c>
      <c r="BM310" s="7"/>
      <c r="BN310" s="7"/>
      <c r="BO310" s="4"/>
      <c r="BP310" s="8"/>
      <c r="BQ310" s="4"/>
      <c r="BR310" s="8"/>
      <c r="BS310" s="7"/>
      <c r="BT310" s="7"/>
      <c r="BU310" s="2" t="s">
        <v>2073</v>
      </c>
      <c r="BV310" s="2" t="s">
        <v>231</v>
      </c>
      <c r="BW310" s="2" t="s">
        <v>231</v>
      </c>
      <c r="BX310" s="2" t="s">
        <v>231</v>
      </c>
      <c r="BY310" s="2" t="s">
        <v>277</v>
      </c>
      <c r="BZ310" s="2" t="s">
        <v>243</v>
      </c>
      <c r="CA310" s="2" t="s">
        <v>2070</v>
      </c>
      <c r="CB310" s="2" t="s">
        <v>2074</v>
      </c>
      <c r="CC310" s="2" t="s">
        <v>244</v>
      </c>
      <c r="CD310" s="2" t="s">
        <v>231</v>
      </c>
      <c r="CE310" s="4">
        <v>224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</row>
    <row r="311">
      <c r="A311" s="2" t="s">
        <v>2075</v>
      </c>
      <c r="B311" s="2" t="s">
        <v>992</v>
      </c>
      <c r="C311" s="2" t="s">
        <v>1980</v>
      </c>
      <c r="D311" s="2" t="s">
        <v>993</v>
      </c>
      <c r="E311" s="2" t="s">
        <v>994</v>
      </c>
      <c r="F311" s="2" t="s">
        <v>2064</v>
      </c>
      <c r="G311" s="2" t="s">
        <v>2064</v>
      </c>
      <c r="H311" s="2" t="s">
        <v>2064</v>
      </c>
      <c r="I311" s="2" t="s">
        <v>2076</v>
      </c>
      <c r="J311" s="2" t="s">
        <v>2077</v>
      </c>
      <c r="K311" s="2" t="s">
        <v>1932</v>
      </c>
      <c r="L311" s="3">
        <v>17.02</v>
      </c>
      <c r="M311" s="3">
        <v>17.87</v>
      </c>
      <c r="N311" s="3">
        <v>49.99</v>
      </c>
      <c r="O311" s="2" t="s">
        <v>243</v>
      </c>
      <c r="P311" s="2" t="s">
        <v>1985</v>
      </c>
      <c r="Q311" s="2" t="s">
        <v>237</v>
      </c>
      <c r="R311" s="2" t="s">
        <v>231</v>
      </c>
      <c r="S311" s="2" t="s">
        <v>231</v>
      </c>
      <c r="T311" s="2" t="s">
        <v>231</v>
      </c>
      <c r="U311" s="2" t="s">
        <v>327</v>
      </c>
      <c r="V311" s="2" t="s">
        <v>239</v>
      </c>
      <c r="W311" s="2" t="s">
        <v>299</v>
      </c>
      <c r="X311" s="2" t="s">
        <v>231</v>
      </c>
      <c r="Y311" s="2" t="s">
        <v>2067</v>
      </c>
      <c r="Z311" s="4"/>
      <c r="AA311" s="4">
        <f>=ROUNDDOWN({0},0)</f>
      </c>
      <c r="AB311" s="5">
        <v>2</v>
      </c>
      <c r="AC311" s="2" t="s">
        <v>231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231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231</v>
      </c>
      <c r="AW311" s="8" t="s">
        <v>231</v>
      </c>
      <c r="AX311" s="4" t="s">
        <v>231</v>
      </c>
      <c r="AY311" s="8" t="s">
        <v>231</v>
      </c>
      <c r="AZ311" s="7" t="s">
        <v>231</v>
      </c>
      <c r="BA311" s="7" t="s">
        <v>231</v>
      </c>
      <c r="BB311" s="7"/>
      <c r="BC311" s="4" t="s">
        <v>231</v>
      </c>
      <c r="BD311" s="8" t="s">
        <v>231</v>
      </c>
      <c r="BE311" s="4" t="s">
        <v>231</v>
      </c>
      <c r="BF311" s="8" t="s">
        <v>231</v>
      </c>
      <c r="BG311" s="7" t="s">
        <v>231</v>
      </c>
      <c r="BH311" s="7" t="s">
        <v>231</v>
      </c>
      <c r="BI311" s="7"/>
      <c r="BJ311" s="4"/>
      <c r="BK311" s="8"/>
      <c r="BL311" s="2" t="s">
        <v>628</v>
      </c>
      <c r="BM311" s="7"/>
      <c r="BN311" s="7"/>
      <c r="BO311" s="4"/>
      <c r="BP311" s="8"/>
      <c r="BQ311" s="4"/>
      <c r="BR311" s="8"/>
      <c r="BS311" s="7"/>
      <c r="BT311" s="7"/>
      <c r="BU311" s="2" t="s">
        <v>2078</v>
      </c>
      <c r="BV311" s="2" t="s">
        <v>231</v>
      </c>
      <c r="BW311" s="2" t="s">
        <v>231</v>
      </c>
      <c r="BX311" s="2" t="s">
        <v>231</v>
      </c>
      <c r="BY311" s="2" t="s">
        <v>277</v>
      </c>
      <c r="BZ311" s="2" t="s">
        <v>243</v>
      </c>
      <c r="CA311" s="2" t="s">
        <v>2070</v>
      </c>
      <c r="CB311" s="2" t="s">
        <v>2079</v>
      </c>
      <c r="CC311" s="2" t="s">
        <v>244</v>
      </c>
      <c r="CD311" s="2" t="s">
        <v>231</v>
      </c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</row>
    <row r="312">
      <c r="A312" s="2" t="s">
        <v>2080</v>
      </c>
      <c r="B312" s="2" t="s">
        <v>992</v>
      </c>
      <c r="C312" s="2" t="s">
        <v>1980</v>
      </c>
      <c r="D312" s="2" t="s">
        <v>993</v>
      </c>
      <c r="E312" s="2" t="s">
        <v>994</v>
      </c>
      <c r="F312" s="2" t="s">
        <v>2064</v>
      </c>
      <c r="G312" s="2" t="s">
        <v>2064</v>
      </c>
      <c r="H312" s="2" t="s">
        <v>2064</v>
      </c>
      <c r="I312" s="2" t="s">
        <v>2065</v>
      </c>
      <c r="J312" s="2" t="s">
        <v>2072</v>
      </c>
      <c r="K312" s="2" t="s">
        <v>2081</v>
      </c>
      <c r="L312" s="3">
        <v>23.83</v>
      </c>
      <c r="M312" s="3">
        <v>25.02</v>
      </c>
      <c r="N312" s="3">
        <v>69.99</v>
      </c>
      <c r="O312" s="2" t="s">
        <v>243</v>
      </c>
      <c r="P312" s="2" t="s">
        <v>1985</v>
      </c>
      <c r="Q312" s="2" t="s">
        <v>237</v>
      </c>
      <c r="R312" s="2" t="s">
        <v>231</v>
      </c>
      <c r="S312" s="2" t="s">
        <v>231</v>
      </c>
      <c r="T312" s="2" t="s">
        <v>231</v>
      </c>
      <c r="U312" s="2" t="s">
        <v>327</v>
      </c>
      <c r="V312" s="2" t="s">
        <v>239</v>
      </c>
      <c r="W312" s="2" t="s">
        <v>299</v>
      </c>
      <c r="X312" s="2" t="s">
        <v>231</v>
      </c>
      <c r="Y312" s="2" t="s">
        <v>2067</v>
      </c>
      <c r="Z312" s="4">
        <v>80</v>
      </c>
      <c r="AA312" s="4">
        <f>=ROUNDDOWN(16,0)</f>
      </c>
      <c r="AB312" s="5">
        <v>5</v>
      </c>
      <c r="AC312" s="2" t="s">
        <v>2082</v>
      </c>
      <c r="AD312" s="4">
        <v>220</v>
      </c>
      <c r="AE312" s="4">
        <v>220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231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231</v>
      </c>
      <c r="AW312" s="8" t="s">
        <v>231</v>
      </c>
      <c r="AX312" s="4" t="s">
        <v>231</v>
      </c>
      <c r="AY312" s="8" t="s">
        <v>231</v>
      </c>
      <c r="AZ312" s="7" t="s">
        <v>231</v>
      </c>
      <c r="BA312" s="7" t="s">
        <v>231</v>
      </c>
      <c r="BB312" s="7"/>
      <c r="BC312" s="4" t="s">
        <v>231</v>
      </c>
      <c r="BD312" s="8" t="s">
        <v>231</v>
      </c>
      <c r="BE312" s="4" t="s">
        <v>231</v>
      </c>
      <c r="BF312" s="8" t="s">
        <v>231</v>
      </c>
      <c r="BG312" s="7" t="s">
        <v>231</v>
      </c>
      <c r="BH312" s="7" t="s">
        <v>231</v>
      </c>
      <c r="BI312" s="7"/>
      <c r="BJ312" s="4">
        <v>7</v>
      </c>
      <c r="BK312" s="8">
        <v>162.64</v>
      </c>
      <c r="BL312" s="2" t="s">
        <v>2083</v>
      </c>
      <c r="BM312" s="7"/>
      <c r="BN312" s="7"/>
      <c r="BO312" s="4"/>
      <c r="BP312" s="8"/>
      <c r="BQ312" s="4"/>
      <c r="BR312" s="8"/>
      <c r="BS312" s="7"/>
      <c r="BT312" s="7"/>
      <c r="BU312" s="2" t="s">
        <v>2084</v>
      </c>
      <c r="BV312" s="2" t="s">
        <v>231</v>
      </c>
      <c r="BW312" s="2" t="s">
        <v>231</v>
      </c>
      <c r="BX312" s="2" t="s">
        <v>231</v>
      </c>
      <c r="BY312" s="2" t="s">
        <v>277</v>
      </c>
      <c r="BZ312" s="2" t="s">
        <v>243</v>
      </c>
      <c r="CA312" s="2" t="s">
        <v>2070</v>
      </c>
      <c r="CB312" s="2" t="s">
        <v>1990</v>
      </c>
      <c r="CC312" s="2" t="s">
        <v>244</v>
      </c>
      <c r="CD312" s="2" t="s">
        <v>231</v>
      </c>
      <c r="CE312" s="4">
        <v>80</v>
      </c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>
        <v>220</v>
      </c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</row>
    <row r="313">
      <c r="A313" s="2" t="s">
        <v>2085</v>
      </c>
      <c r="B313" s="2" t="s">
        <v>992</v>
      </c>
      <c r="C313" s="2" t="s">
        <v>1980</v>
      </c>
      <c r="D313" s="2" t="s">
        <v>993</v>
      </c>
      <c r="E313" s="2" t="s">
        <v>994</v>
      </c>
      <c r="F313" s="2" t="s">
        <v>2064</v>
      </c>
      <c r="G313" s="2" t="s">
        <v>2064</v>
      </c>
      <c r="H313" s="2" t="s">
        <v>2064</v>
      </c>
      <c r="I313" s="2" t="s">
        <v>2076</v>
      </c>
      <c r="J313" s="2" t="s">
        <v>2077</v>
      </c>
      <c r="K313" s="2" t="s">
        <v>2081</v>
      </c>
      <c r="L313" s="3">
        <v>17.02</v>
      </c>
      <c r="M313" s="3">
        <v>17.87</v>
      </c>
      <c r="N313" s="3">
        <v>49.99</v>
      </c>
      <c r="O313" s="2" t="s">
        <v>243</v>
      </c>
      <c r="P313" s="2" t="s">
        <v>1985</v>
      </c>
      <c r="Q313" s="2" t="s">
        <v>237</v>
      </c>
      <c r="R313" s="2" t="s">
        <v>231</v>
      </c>
      <c r="S313" s="2" t="s">
        <v>231</v>
      </c>
      <c r="T313" s="2" t="s">
        <v>231</v>
      </c>
      <c r="U313" s="2" t="s">
        <v>327</v>
      </c>
      <c r="V313" s="2" t="s">
        <v>239</v>
      </c>
      <c r="W313" s="2" t="s">
        <v>299</v>
      </c>
      <c r="X313" s="2" t="s">
        <v>231</v>
      </c>
      <c r="Y313" s="2" t="s">
        <v>2067</v>
      </c>
      <c r="Z313" s="4"/>
      <c r="AA313" s="4">
        <f>=ROUNDDOWN({0},0)</f>
      </c>
      <c r="AB313" s="5">
        <v>2</v>
      </c>
      <c r="AC313" s="2" t="s">
        <v>2082</v>
      </c>
      <c r="AD313" s="4">
        <v>96</v>
      </c>
      <c r="AE313" s="4">
        <v>96</v>
      </c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231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231</v>
      </c>
      <c r="AW313" s="8" t="s">
        <v>231</v>
      </c>
      <c r="AX313" s="4" t="s">
        <v>231</v>
      </c>
      <c r="AY313" s="8" t="s">
        <v>231</v>
      </c>
      <c r="AZ313" s="7" t="s">
        <v>231</v>
      </c>
      <c r="BA313" s="7" t="s">
        <v>231</v>
      </c>
      <c r="BB313" s="7"/>
      <c r="BC313" s="4" t="s">
        <v>231</v>
      </c>
      <c r="BD313" s="8" t="s">
        <v>231</v>
      </c>
      <c r="BE313" s="4" t="s">
        <v>231</v>
      </c>
      <c r="BF313" s="8" t="s">
        <v>231</v>
      </c>
      <c r="BG313" s="7" t="s">
        <v>231</v>
      </c>
      <c r="BH313" s="7" t="s">
        <v>231</v>
      </c>
      <c r="BI313" s="7"/>
      <c r="BJ313" s="4"/>
      <c r="BK313" s="8"/>
      <c r="BL313" s="2" t="s">
        <v>1988</v>
      </c>
      <c r="BM313" s="7"/>
      <c r="BN313" s="7"/>
      <c r="BO313" s="4"/>
      <c r="BP313" s="8"/>
      <c r="BQ313" s="4"/>
      <c r="BR313" s="8"/>
      <c r="BS313" s="7"/>
      <c r="BT313" s="7"/>
      <c r="BU313" s="2" t="s">
        <v>2086</v>
      </c>
      <c r="BV313" s="2" t="s">
        <v>231</v>
      </c>
      <c r="BW313" s="2" t="s">
        <v>231</v>
      </c>
      <c r="BX313" s="2" t="s">
        <v>231</v>
      </c>
      <c r="BY313" s="2" t="s">
        <v>277</v>
      </c>
      <c r="BZ313" s="2" t="s">
        <v>243</v>
      </c>
      <c r="CA313" s="2" t="s">
        <v>2070</v>
      </c>
      <c r="CB313" s="2" t="s">
        <v>231</v>
      </c>
      <c r="CC313" s="2" t="s">
        <v>244</v>
      </c>
      <c r="CD313" s="2" t="s">
        <v>231</v>
      </c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>
        <v>96</v>
      </c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</row>
    <row r="314">
      <c r="A314" s="2" t="s">
        <v>2087</v>
      </c>
      <c r="B314" s="2" t="s">
        <v>992</v>
      </c>
      <c r="C314" s="2" t="s">
        <v>1980</v>
      </c>
      <c r="D314" s="2" t="s">
        <v>993</v>
      </c>
      <c r="E314" s="2" t="s">
        <v>994</v>
      </c>
      <c r="F314" s="2" t="s">
        <v>2064</v>
      </c>
      <c r="G314" s="2" t="s">
        <v>2064</v>
      </c>
      <c r="H314" s="2" t="s">
        <v>2064</v>
      </c>
      <c r="I314" s="2" t="s">
        <v>2065</v>
      </c>
      <c r="J314" s="2" t="s">
        <v>2066</v>
      </c>
      <c r="K314" s="2" t="s">
        <v>463</v>
      </c>
      <c r="L314" s="3">
        <v>27.23</v>
      </c>
      <c r="M314" s="3">
        <v>28.59</v>
      </c>
      <c r="N314" s="3">
        <v>79.99</v>
      </c>
      <c r="O314" s="2" t="s">
        <v>243</v>
      </c>
      <c r="P314" s="2" t="s">
        <v>1985</v>
      </c>
      <c r="Q314" s="2" t="s">
        <v>237</v>
      </c>
      <c r="R314" s="2" t="s">
        <v>231</v>
      </c>
      <c r="S314" s="2" t="s">
        <v>231</v>
      </c>
      <c r="T314" s="2" t="s">
        <v>231</v>
      </c>
      <c r="U314" s="2" t="s">
        <v>327</v>
      </c>
      <c r="V314" s="2" t="s">
        <v>239</v>
      </c>
      <c r="W314" s="2" t="s">
        <v>299</v>
      </c>
      <c r="X314" s="2" t="s">
        <v>231</v>
      </c>
      <c r="Y314" s="2" t="s">
        <v>2067</v>
      </c>
      <c r="Z314" s="4">
        <v>117</v>
      </c>
      <c r="AA314" s="4">
        <f>=ROUNDDOWN(58.5,0)</f>
      </c>
      <c r="AB314" s="5">
        <v>2</v>
      </c>
      <c r="AC314" s="2" t="s">
        <v>231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231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231</v>
      </c>
      <c r="AW314" s="8" t="s">
        <v>231</v>
      </c>
      <c r="AX314" s="4" t="s">
        <v>231</v>
      </c>
      <c r="AY314" s="8" t="s">
        <v>231</v>
      </c>
      <c r="AZ314" s="7" t="s">
        <v>231</v>
      </c>
      <c r="BA314" s="7" t="s">
        <v>231</v>
      </c>
      <c r="BB314" s="7"/>
      <c r="BC314" s="4" t="s">
        <v>231</v>
      </c>
      <c r="BD314" s="8" t="s">
        <v>231</v>
      </c>
      <c r="BE314" s="4" t="s">
        <v>231</v>
      </c>
      <c r="BF314" s="8" t="s">
        <v>231</v>
      </c>
      <c r="BG314" s="7" t="s">
        <v>231</v>
      </c>
      <c r="BH314" s="7" t="s">
        <v>231</v>
      </c>
      <c r="BI314" s="7"/>
      <c r="BJ314" s="4">
        <v>2</v>
      </c>
      <c r="BK314" s="8">
        <v>60.04</v>
      </c>
      <c r="BL314" s="2" t="s">
        <v>2088</v>
      </c>
      <c r="BM314" s="7"/>
      <c r="BN314" s="7"/>
      <c r="BO314" s="4"/>
      <c r="BP314" s="8"/>
      <c r="BQ314" s="4"/>
      <c r="BR314" s="8"/>
      <c r="BS314" s="7"/>
      <c r="BT314" s="7"/>
      <c r="BU314" s="2" t="s">
        <v>2089</v>
      </c>
      <c r="BV314" s="2" t="s">
        <v>231</v>
      </c>
      <c r="BW314" s="2" t="s">
        <v>231</v>
      </c>
      <c r="BX314" s="2" t="s">
        <v>231</v>
      </c>
      <c r="BY314" s="2" t="s">
        <v>277</v>
      </c>
      <c r="BZ314" s="2" t="s">
        <v>243</v>
      </c>
      <c r="CA314" s="2" t="s">
        <v>2070</v>
      </c>
      <c r="CB314" s="2" t="s">
        <v>934</v>
      </c>
      <c r="CC314" s="2" t="s">
        <v>244</v>
      </c>
      <c r="CD314" s="2" t="s">
        <v>231</v>
      </c>
      <c r="CE314" s="4">
        <v>117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</row>
    <row r="315">
      <c r="A315" s="2" t="s">
        <v>2090</v>
      </c>
      <c r="B315" s="2" t="s">
        <v>992</v>
      </c>
      <c r="C315" s="2" t="s">
        <v>1980</v>
      </c>
      <c r="D315" s="2" t="s">
        <v>993</v>
      </c>
      <c r="E315" s="2" t="s">
        <v>994</v>
      </c>
      <c r="F315" s="2" t="s">
        <v>2064</v>
      </c>
      <c r="G315" s="2" t="s">
        <v>2064</v>
      </c>
      <c r="H315" s="2" t="s">
        <v>2064</v>
      </c>
      <c r="I315" s="2" t="s">
        <v>2076</v>
      </c>
      <c r="J315" s="2" t="s">
        <v>2077</v>
      </c>
      <c r="K315" s="2" t="s">
        <v>463</v>
      </c>
      <c r="L315" s="3">
        <v>17.02</v>
      </c>
      <c r="M315" s="3">
        <v>17.87</v>
      </c>
      <c r="N315" s="3">
        <v>49.99</v>
      </c>
      <c r="O315" s="2" t="s">
        <v>243</v>
      </c>
      <c r="P315" s="2" t="s">
        <v>1985</v>
      </c>
      <c r="Q315" s="2" t="s">
        <v>237</v>
      </c>
      <c r="R315" s="2" t="s">
        <v>231</v>
      </c>
      <c r="S315" s="2" t="s">
        <v>231</v>
      </c>
      <c r="T315" s="2" t="s">
        <v>231</v>
      </c>
      <c r="U315" s="2" t="s">
        <v>327</v>
      </c>
      <c r="V315" s="2" t="s">
        <v>239</v>
      </c>
      <c r="W315" s="2" t="s">
        <v>299</v>
      </c>
      <c r="X315" s="2" t="s">
        <v>231</v>
      </c>
      <c r="Y315" s="2" t="s">
        <v>2067</v>
      </c>
      <c r="Z315" s="4"/>
      <c r="AA315" s="4">
        <f>=ROUNDDOWN({0},0)</f>
      </c>
      <c r="AB315" s="5">
        <v>3</v>
      </c>
      <c r="AC315" s="2" t="s">
        <v>231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231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231</v>
      </c>
      <c r="AW315" s="8" t="s">
        <v>231</v>
      </c>
      <c r="AX315" s="4" t="s">
        <v>231</v>
      </c>
      <c r="AY315" s="8" t="s">
        <v>231</v>
      </c>
      <c r="AZ315" s="7" t="s">
        <v>231</v>
      </c>
      <c r="BA315" s="7" t="s">
        <v>231</v>
      </c>
      <c r="BB315" s="7"/>
      <c r="BC315" s="4" t="s">
        <v>231</v>
      </c>
      <c r="BD315" s="8" t="s">
        <v>231</v>
      </c>
      <c r="BE315" s="4" t="s">
        <v>231</v>
      </c>
      <c r="BF315" s="8" t="s">
        <v>231</v>
      </c>
      <c r="BG315" s="7" t="s">
        <v>231</v>
      </c>
      <c r="BH315" s="7" t="s">
        <v>231</v>
      </c>
      <c r="BI315" s="7"/>
      <c r="BJ315" s="4"/>
      <c r="BK315" s="8"/>
      <c r="BL315" s="2" t="s">
        <v>2091</v>
      </c>
      <c r="BM315" s="7"/>
      <c r="BN315" s="7"/>
      <c r="BO315" s="4"/>
      <c r="BP315" s="8"/>
      <c r="BQ315" s="4"/>
      <c r="BR315" s="8"/>
      <c r="BS315" s="7"/>
      <c r="BT315" s="7"/>
      <c r="BU315" s="2" t="s">
        <v>2092</v>
      </c>
      <c r="BV315" s="2" t="s">
        <v>231</v>
      </c>
      <c r="BW315" s="2" t="s">
        <v>231</v>
      </c>
      <c r="BX315" s="2" t="s">
        <v>231</v>
      </c>
      <c r="BY315" s="2" t="s">
        <v>277</v>
      </c>
      <c r="BZ315" s="2" t="s">
        <v>243</v>
      </c>
      <c r="CA315" s="2" t="s">
        <v>2070</v>
      </c>
      <c r="CB315" s="2" t="s">
        <v>2093</v>
      </c>
      <c r="CC315" s="2" t="s">
        <v>244</v>
      </c>
      <c r="CD315" s="2" t="s">
        <v>231</v>
      </c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</row>
    <row r="316">
      <c r="A316" s="2" t="s">
        <v>2094</v>
      </c>
      <c r="B316" s="2" t="s">
        <v>992</v>
      </c>
      <c r="C316" s="2" t="s">
        <v>1980</v>
      </c>
      <c r="D316" s="2" t="s">
        <v>993</v>
      </c>
      <c r="E316" s="2" t="s">
        <v>994</v>
      </c>
      <c r="F316" s="2" t="s">
        <v>2064</v>
      </c>
      <c r="G316" s="2" t="s">
        <v>2064</v>
      </c>
      <c r="H316" s="2" t="s">
        <v>2064</v>
      </c>
      <c r="I316" s="2" t="s">
        <v>2065</v>
      </c>
      <c r="J316" s="2" t="s">
        <v>2066</v>
      </c>
      <c r="K316" s="2" t="s">
        <v>319</v>
      </c>
      <c r="L316" s="3">
        <v>27.23</v>
      </c>
      <c r="M316" s="3">
        <v>28.59</v>
      </c>
      <c r="N316" s="3">
        <v>79.99</v>
      </c>
      <c r="O316" s="2" t="s">
        <v>243</v>
      </c>
      <c r="P316" s="2" t="s">
        <v>1985</v>
      </c>
      <c r="Q316" s="2" t="s">
        <v>237</v>
      </c>
      <c r="R316" s="2" t="s">
        <v>231</v>
      </c>
      <c r="S316" s="2" t="s">
        <v>231</v>
      </c>
      <c r="T316" s="2" t="s">
        <v>231</v>
      </c>
      <c r="U316" s="2" t="s">
        <v>327</v>
      </c>
      <c r="V316" s="2" t="s">
        <v>239</v>
      </c>
      <c r="W316" s="2" t="s">
        <v>299</v>
      </c>
      <c r="X316" s="2" t="s">
        <v>231</v>
      </c>
      <c r="Y316" s="2" t="s">
        <v>2067</v>
      </c>
      <c r="Z316" s="4">
        <v>141</v>
      </c>
      <c r="AA316" s="4">
        <f>=ROUNDDOWN(201.428571428571,0)</f>
      </c>
      <c r="AB316" s="5">
        <v>0.7</v>
      </c>
      <c r="AC316" s="2" t="s">
        <v>231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231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231</v>
      </c>
      <c r="AW316" s="8" t="s">
        <v>231</v>
      </c>
      <c r="AX316" s="4" t="s">
        <v>231</v>
      </c>
      <c r="AY316" s="8" t="s">
        <v>231</v>
      </c>
      <c r="AZ316" s="7" t="s">
        <v>231</v>
      </c>
      <c r="BA316" s="7" t="s">
        <v>231</v>
      </c>
      <c r="BB316" s="7"/>
      <c r="BC316" s="4" t="s">
        <v>231</v>
      </c>
      <c r="BD316" s="8" t="s">
        <v>231</v>
      </c>
      <c r="BE316" s="4" t="s">
        <v>231</v>
      </c>
      <c r="BF316" s="8" t="s">
        <v>231</v>
      </c>
      <c r="BG316" s="7" t="s">
        <v>231</v>
      </c>
      <c r="BH316" s="7" t="s">
        <v>231</v>
      </c>
      <c r="BI316" s="7"/>
      <c r="BJ316" s="4">
        <v>4</v>
      </c>
      <c r="BK316" s="8">
        <v>196.94</v>
      </c>
      <c r="BL316" s="2" t="s">
        <v>2095</v>
      </c>
      <c r="BM316" s="7"/>
      <c r="BN316" s="7"/>
      <c r="BO316" s="4"/>
      <c r="BP316" s="8"/>
      <c r="BQ316" s="4"/>
      <c r="BR316" s="8"/>
      <c r="BS316" s="7"/>
      <c r="BT316" s="7"/>
      <c r="BU316" s="2" t="s">
        <v>2096</v>
      </c>
      <c r="BV316" s="2" t="s">
        <v>231</v>
      </c>
      <c r="BW316" s="2" t="s">
        <v>231</v>
      </c>
      <c r="BX316" s="2" t="s">
        <v>231</v>
      </c>
      <c r="BY316" s="2" t="s">
        <v>277</v>
      </c>
      <c r="BZ316" s="2" t="s">
        <v>243</v>
      </c>
      <c r="CA316" s="2" t="s">
        <v>2070</v>
      </c>
      <c r="CB316" s="2" t="s">
        <v>2097</v>
      </c>
      <c r="CC316" s="2" t="s">
        <v>244</v>
      </c>
      <c r="CD316" s="2" t="s">
        <v>231</v>
      </c>
      <c r="CE316" s="4">
        <v>141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</row>
    <row r="317">
      <c r="A317" s="2" t="s">
        <v>2098</v>
      </c>
      <c r="B317" s="2" t="s">
        <v>992</v>
      </c>
      <c r="C317" s="2" t="s">
        <v>1980</v>
      </c>
      <c r="D317" s="2" t="s">
        <v>993</v>
      </c>
      <c r="E317" s="2" t="s">
        <v>994</v>
      </c>
      <c r="F317" s="2" t="s">
        <v>2064</v>
      </c>
      <c r="G317" s="2" t="s">
        <v>2064</v>
      </c>
      <c r="H317" s="2" t="s">
        <v>2064</v>
      </c>
      <c r="I317" s="2" t="s">
        <v>2065</v>
      </c>
      <c r="J317" s="2" t="s">
        <v>2072</v>
      </c>
      <c r="K317" s="2" t="s">
        <v>319</v>
      </c>
      <c r="L317" s="3">
        <v>23.83</v>
      </c>
      <c r="M317" s="3">
        <v>25.02</v>
      </c>
      <c r="N317" s="3">
        <v>69.99</v>
      </c>
      <c r="O317" s="2" t="s">
        <v>243</v>
      </c>
      <c r="P317" s="2" t="s">
        <v>1985</v>
      </c>
      <c r="Q317" s="2" t="s">
        <v>237</v>
      </c>
      <c r="R317" s="2" t="s">
        <v>231</v>
      </c>
      <c r="S317" s="2" t="s">
        <v>231</v>
      </c>
      <c r="T317" s="2" t="s">
        <v>231</v>
      </c>
      <c r="U317" s="2" t="s">
        <v>327</v>
      </c>
      <c r="V317" s="2" t="s">
        <v>239</v>
      </c>
      <c r="W317" s="2" t="s">
        <v>299</v>
      </c>
      <c r="X317" s="2" t="s">
        <v>231</v>
      </c>
      <c r="Y317" s="2" t="s">
        <v>2067</v>
      </c>
      <c r="Z317" s="4">
        <v>173</v>
      </c>
      <c r="AA317" s="4">
        <f>=ROUNDDOWN({0},0)</f>
      </c>
      <c r="AB317" s="5"/>
      <c r="AC317" s="2" t="s">
        <v>231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231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231</v>
      </c>
      <c r="AW317" s="8" t="s">
        <v>231</v>
      </c>
      <c r="AX317" s="4" t="s">
        <v>231</v>
      </c>
      <c r="AY317" s="8" t="s">
        <v>231</v>
      </c>
      <c r="AZ317" s="7" t="s">
        <v>231</v>
      </c>
      <c r="BA317" s="7" t="s">
        <v>231</v>
      </c>
      <c r="BB317" s="7"/>
      <c r="BC317" s="4" t="s">
        <v>231</v>
      </c>
      <c r="BD317" s="8" t="s">
        <v>231</v>
      </c>
      <c r="BE317" s="4" t="s">
        <v>231</v>
      </c>
      <c r="BF317" s="8" t="s">
        <v>231</v>
      </c>
      <c r="BG317" s="7" t="s">
        <v>231</v>
      </c>
      <c r="BH317" s="7" t="s">
        <v>231</v>
      </c>
      <c r="BI317" s="7"/>
      <c r="BJ317" s="4"/>
      <c r="BK317" s="8"/>
      <c r="BL317" s="2" t="s">
        <v>231</v>
      </c>
      <c r="BM317" s="7"/>
      <c r="BN317" s="7"/>
      <c r="BO317" s="4"/>
      <c r="BP317" s="8"/>
      <c r="BQ317" s="4"/>
      <c r="BR317" s="8"/>
      <c r="BS317" s="7"/>
      <c r="BT317" s="7"/>
      <c r="BU317" s="2" t="s">
        <v>2099</v>
      </c>
      <c r="BV317" s="2" t="s">
        <v>231</v>
      </c>
      <c r="BW317" s="2" t="s">
        <v>231</v>
      </c>
      <c r="BX317" s="2" t="s">
        <v>231</v>
      </c>
      <c r="BY317" s="2" t="s">
        <v>277</v>
      </c>
      <c r="BZ317" s="2" t="s">
        <v>243</v>
      </c>
      <c r="CA317" s="2" t="s">
        <v>2070</v>
      </c>
      <c r="CB317" s="2" t="s">
        <v>2100</v>
      </c>
      <c r="CC317" s="2" t="s">
        <v>244</v>
      </c>
      <c r="CD317" s="2" t="s">
        <v>231</v>
      </c>
      <c r="CE317" s="4">
        <v>173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</row>
    <row r="318">
      <c r="A318" s="2" t="s">
        <v>2101</v>
      </c>
      <c r="B318" s="2" t="s">
        <v>992</v>
      </c>
      <c r="C318" s="2" t="s">
        <v>1980</v>
      </c>
      <c r="D318" s="2" t="s">
        <v>993</v>
      </c>
      <c r="E318" s="2" t="s">
        <v>994</v>
      </c>
      <c r="F318" s="2" t="s">
        <v>2064</v>
      </c>
      <c r="G318" s="2" t="s">
        <v>2064</v>
      </c>
      <c r="H318" s="2" t="s">
        <v>2064</v>
      </c>
      <c r="I318" s="2" t="s">
        <v>2076</v>
      </c>
      <c r="J318" s="2" t="s">
        <v>2077</v>
      </c>
      <c r="K318" s="2" t="s">
        <v>319</v>
      </c>
      <c r="L318" s="3">
        <v>17.02</v>
      </c>
      <c r="M318" s="3">
        <v>17.87</v>
      </c>
      <c r="N318" s="3">
        <v>49.99</v>
      </c>
      <c r="O318" s="2" t="s">
        <v>243</v>
      </c>
      <c r="P318" s="2" t="s">
        <v>1985</v>
      </c>
      <c r="Q318" s="2" t="s">
        <v>237</v>
      </c>
      <c r="R318" s="2" t="s">
        <v>231</v>
      </c>
      <c r="S318" s="2" t="s">
        <v>231</v>
      </c>
      <c r="T318" s="2" t="s">
        <v>231</v>
      </c>
      <c r="U318" s="2" t="s">
        <v>327</v>
      </c>
      <c r="V318" s="2" t="s">
        <v>239</v>
      </c>
      <c r="W318" s="2" t="s">
        <v>299</v>
      </c>
      <c r="X318" s="2" t="s">
        <v>231</v>
      </c>
      <c r="Y318" s="2" t="s">
        <v>2067</v>
      </c>
      <c r="Z318" s="4">
        <v>123</v>
      </c>
      <c r="AA318" s="4">
        <f>=ROUNDDOWN(61.5,0)</f>
      </c>
      <c r="AB318" s="5">
        <v>2</v>
      </c>
      <c r="AC318" s="2" t="s">
        <v>231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231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231</v>
      </c>
      <c r="AW318" s="8" t="s">
        <v>231</v>
      </c>
      <c r="AX318" s="4" t="s">
        <v>231</v>
      </c>
      <c r="AY318" s="8" t="s">
        <v>231</v>
      </c>
      <c r="AZ318" s="7" t="s">
        <v>231</v>
      </c>
      <c r="BA318" s="7" t="s">
        <v>231</v>
      </c>
      <c r="BB318" s="7"/>
      <c r="BC318" s="4" t="s">
        <v>231</v>
      </c>
      <c r="BD318" s="8" t="s">
        <v>231</v>
      </c>
      <c r="BE318" s="4" t="s">
        <v>231</v>
      </c>
      <c r="BF318" s="8" t="s">
        <v>231</v>
      </c>
      <c r="BG318" s="7" t="s">
        <v>231</v>
      </c>
      <c r="BH318" s="7" t="s">
        <v>231</v>
      </c>
      <c r="BI318" s="7"/>
      <c r="BJ318" s="4">
        <v>1</v>
      </c>
      <c r="BK318" s="8">
        <v>42.49</v>
      </c>
      <c r="BL318" s="2" t="s">
        <v>2091</v>
      </c>
      <c r="BM318" s="7"/>
      <c r="BN318" s="7"/>
      <c r="BO318" s="4"/>
      <c r="BP318" s="8"/>
      <c r="BQ318" s="4"/>
      <c r="BR318" s="8"/>
      <c r="BS318" s="7"/>
      <c r="BT318" s="7"/>
      <c r="BU318" s="2" t="s">
        <v>2102</v>
      </c>
      <c r="BV318" s="2" t="s">
        <v>231</v>
      </c>
      <c r="BW318" s="2" t="s">
        <v>231</v>
      </c>
      <c r="BX318" s="2" t="s">
        <v>231</v>
      </c>
      <c r="BY318" s="2" t="s">
        <v>277</v>
      </c>
      <c r="BZ318" s="2" t="s">
        <v>243</v>
      </c>
      <c r="CA318" s="2" t="s">
        <v>2070</v>
      </c>
      <c r="CB318" s="2" t="s">
        <v>387</v>
      </c>
      <c r="CC318" s="2" t="s">
        <v>244</v>
      </c>
      <c r="CD318" s="2" t="s">
        <v>231</v>
      </c>
      <c r="CE318" s="4">
        <v>123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</row>
    <row r="319">
      <c r="A319" s="2" t="s">
        <v>2103</v>
      </c>
      <c r="B319" s="2" t="s">
        <v>226</v>
      </c>
      <c r="C319" s="2" t="s">
        <v>825</v>
      </c>
      <c r="D319" s="2" t="s">
        <v>654</v>
      </c>
      <c r="E319" s="2" t="s">
        <v>890</v>
      </c>
      <c r="F319" s="2" t="s">
        <v>2104</v>
      </c>
      <c r="G319" s="2" t="s">
        <v>2105</v>
      </c>
      <c r="H319" s="2" t="s">
        <v>2106</v>
      </c>
      <c r="I319" s="2" t="s">
        <v>2107</v>
      </c>
      <c r="J319" s="2" t="s">
        <v>832</v>
      </c>
      <c r="K319" s="2" t="s">
        <v>269</v>
      </c>
      <c r="L319" s="3">
        <v>28.98</v>
      </c>
      <c r="M319" s="3">
        <v>30.43</v>
      </c>
      <c r="N319" s="3">
        <v>64.99</v>
      </c>
      <c r="O319" s="2" t="s">
        <v>243</v>
      </c>
      <c r="P319" s="2" t="s">
        <v>236</v>
      </c>
      <c r="Q319" s="2" t="s">
        <v>237</v>
      </c>
      <c r="R319" s="2" t="s">
        <v>231</v>
      </c>
      <c r="S319" s="2" t="s">
        <v>2108</v>
      </c>
      <c r="T319" s="2" t="s">
        <v>1432</v>
      </c>
      <c r="U319" s="2" t="s">
        <v>791</v>
      </c>
      <c r="V319" s="2" t="s">
        <v>391</v>
      </c>
      <c r="W319" s="2" t="s">
        <v>273</v>
      </c>
      <c r="X319" s="2" t="s">
        <v>971</v>
      </c>
      <c r="Y319" s="2" t="s">
        <v>231</v>
      </c>
      <c r="Z319" s="4"/>
      <c r="AA319" s="4">
        <f>=ROUNDDOWN({0},0)</f>
      </c>
      <c r="AB319" s="5">
        <v>8</v>
      </c>
      <c r="AC319" s="2" t="s">
        <v>392</v>
      </c>
      <c r="AD319" s="4">
        <v>92</v>
      </c>
      <c r="AE319" s="4">
        <v>477</v>
      </c>
      <c r="AF319" s="6">
        <v>65</v>
      </c>
      <c r="AG319" s="6">
        <v>48</v>
      </c>
      <c r="AH319" s="7">
        <v>0</v>
      </c>
      <c r="AI319" s="4"/>
      <c r="AJ319" s="4">
        <f>=ROUNDDOWN({0},0)</f>
      </c>
      <c r="AK319" s="5"/>
      <c r="AL319" s="2" t="s">
        <v>231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231</v>
      </c>
      <c r="AW319" s="8" t="s">
        <v>231</v>
      </c>
      <c r="AX319" s="4" t="s">
        <v>231</v>
      </c>
      <c r="AY319" s="8" t="s">
        <v>231</v>
      </c>
      <c r="AZ319" s="7" t="s">
        <v>231</v>
      </c>
      <c r="BA319" s="7" t="s">
        <v>231</v>
      </c>
      <c r="BB319" s="7"/>
      <c r="BC319" s="4" t="s">
        <v>231</v>
      </c>
      <c r="BD319" s="8" t="s">
        <v>231</v>
      </c>
      <c r="BE319" s="4" t="s">
        <v>231</v>
      </c>
      <c r="BF319" s="8" t="s">
        <v>231</v>
      </c>
      <c r="BG319" s="7" t="s">
        <v>231</v>
      </c>
      <c r="BH319" s="7" t="s">
        <v>231</v>
      </c>
      <c r="BI319" s="7"/>
      <c r="BJ319" s="4"/>
      <c r="BK319" s="8"/>
      <c r="BL319" s="2" t="s">
        <v>231</v>
      </c>
      <c r="BM319" s="7"/>
      <c r="BN319" s="7"/>
      <c r="BO319" s="4"/>
      <c r="BP319" s="8"/>
      <c r="BQ319" s="4"/>
      <c r="BR319" s="8"/>
      <c r="BS319" s="7"/>
      <c r="BT319" s="7"/>
      <c r="BU319" s="2" t="s">
        <v>241</v>
      </c>
      <c r="BV319" s="2" t="s">
        <v>231</v>
      </c>
      <c r="BW319" s="2" t="s">
        <v>231</v>
      </c>
      <c r="BX319" s="2" t="s">
        <v>2109</v>
      </c>
      <c r="BY319" s="2" t="s">
        <v>242</v>
      </c>
      <c r="BZ319" s="2" t="s">
        <v>243</v>
      </c>
      <c r="CA319" s="2" t="s">
        <v>231</v>
      </c>
      <c r="CB319" s="2" t="s">
        <v>231</v>
      </c>
      <c r="CC319" s="2" t="s">
        <v>244</v>
      </c>
      <c r="CD319" s="2" t="s">
        <v>231</v>
      </c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>
        <v>92</v>
      </c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>
        <v>214</v>
      </c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>
        <v>51</v>
      </c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>
        <v>120</v>
      </c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</row>
    <row r="320">
      <c r="A320" s="2" t="s">
        <v>2110</v>
      </c>
      <c r="B320" s="2" t="s">
        <v>226</v>
      </c>
      <c r="C320" s="2" t="s">
        <v>825</v>
      </c>
      <c r="D320" s="2" t="s">
        <v>654</v>
      </c>
      <c r="E320" s="2" t="s">
        <v>890</v>
      </c>
      <c r="F320" s="2" t="s">
        <v>2104</v>
      </c>
      <c r="G320" s="2" t="s">
        <v>2105</v>
      </c>
      <c r="H320" s="2" t="s">
        <v>2106</v>
      </c>
      <c r="I320" s="2" t="s">
        <v>2107</v>
      </c>
      <c r="J320" s="2" t="s">
        <v>658</v>
      </c>
      <c r="K320" s="2" t="s">
        <v>269</v>
      </c>
      <c r="L320" s="3">
        <v>33.44</v>
      </c>
      <c r="M320" s="3">
        <v>35.11</v>
      </c>
      <c r="N320" s="3">
        <v>74.99</v>
      </c>
      <c r="O320" s="2" t="s">
        <v>243</v>
      </c>
      <c r="P320" s="2" t="s">
        <v>236</v>
      </c>
      <c r="Q320" s="2" t="s">
        <v>237</v>
      </c>
      <c r="R320" s="2" t="s">
        <v>231</v>
      </c>
      <c r="S320" s="2" t="s">
        <v>2108</v>
      </c>
      <c r="T320" s="2" t="s">
        <v>1432</v>
      </c>
      <c r="U320" s="2" t="s">
        <v>835</v>
      </c>
      <c r="V320" s="2" t="s">
        <v>391</v>
      </c>
      <c r="W320" s="2" t="s">
        <v>273</v>
      </c>
      <c r="X320" s="2" t="s">
        <v>971</v>
      </c>
      <c r="Y320" s="2" t="s">
        <v>231</v>
      </c>
      <c r="Z320" s="4"/>
      <c r="AA320" s="4">
        <f>=ROUNDDOWN({0},0)</f>
      </c>
      <c r="AB320" s="5">
        <v>23</v>
      </c>
      <c r="AC320" s="2" t="s">
        <v>392</v>
      </c>
      <c r="AD320" s="4">
        <v>262</v>
      </c>
      <c r="AE320" s="4">
        <v>1343</v>
      </c>
      <c r="AF320" s="6">
        <v>65</v>
      </c>
      <c r="AG320" s="6">
        <v>48</v>
      </c>
      <c r="AH320" s="7">
        <v>0</v>
      </c>
      <c r="AI320" s="4"/>
      <c r="AJ320" s="4">
        <f>=ROUNDDOWN({0},0)</f>
      </c>
      <c r="AK320" s="5"/>
      <c r="AL320" s="2" t="s">
        <v>231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231</v>
      </c>
      <c r="AW320" s="8" t="s">
        <v>231</v>
      </c>
      <c r="AX320" s="4" t="s">
        <v>231</v>
      </c>
      <c r="AY320" s="8" t="s">
        <v>231</v>
      </c>
      <c r="AZ320" s="7" t="s">
        <v>231</v>
      </c>
      <c r="BA320" s="7" t="s">
        <v>231</v>
      </c>
      <c r="BB320" s="7"/>
      <c r="BC320" s="4" t="s">
        <v>231</v>
      </c>
      <c r="BD320" s="8" t="s">
        <v>231</v>
      </c>
      <c r="BE320" s="4" t="s">
        <v>231</v>
      </c>
      <c r="BF320" s="8" t="s">
        <v>231</v>
      </c>
      <c r="BG320" s="7" t="s">
        <v>231</v>
      </c>
      <c r="BH320" s="7" t="s">
        <v>231</v>
      </c>
      <c r="BI320" s="7"/>
      <c r="BJ320" s="4"/>
      <c r="BK320" s="8"/>
      <c r="BL320" s="2" t="s">
        <v>231</v>
      </c>
      <c r="BM320" s="7"/>
      <c r="BN320" s="7"/>
      <c r="BO320" s="4"/>
      <c r="BP320" s="8"/>
      <c r="BQ320" s="4"/>
      <c r="BR320" s="8"/>
      <c r="BS320" s="7"/>
      <c r="BT320" s="7"/>
      <c r="BU320" s="2" t="s">
        <v>241</v>
      </c>
      <c r="BV320" s="2" t="s">
        <v>231</v>
      </c>
      <c r="BW320" s="2" t="s">
        <v>231</v>
      </c>
      <c r="BX320" s="2" t="s">
        <v>2109</v>
      </c>
      <c r="BY320" s="2" t="s">
        <v>242</v>
      </c>
      <c r="BZ320" s="2" t="s">
        <v>243</v>
      </c>
      <c r="CA320" s="2" t="s">
        <v>231</v>
      </c>
      <c r="CB320" s="2" t="s">
        <v>231</v>
      </c>
      <c r="CC320" s="2" t="s">
        <v>244</v>
      </c>
      <c r="CD320" s="2" t="s">
        <v>231</v>
      </c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>
        <v>262</v>
      </c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>
        <v>610</v>
      </c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>
        <v>141</v>
      </c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>
        <v>330</v>
      </c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</row>
    <row r="321">
      <c r="A321" s="2" t="s">
        <v>2111</v>
      </c>
      <c r="B321" s="2" t="s">
        <v>226</v>
      </c>
      <c r="C321" s="2" t="s">
        <v>825</v>
      </c>
      <c r="D321" s="2" t="s">
        <v>654</v>
      </c>
      <c r="E321" s="2" t="s">
        <v>890</v>
      </c>
      <c r="F321" s="2" t="s">
        <v>2104</v>
      </c>
      <c r="G321" s="2" t="s">
        <v>2105</v>
      </c>
      <c r="H321" s="2" t="s">
        <v>2106</v>
      </c>
      <c r="I321" s="2" t="s">
        <v>2107</v>
      </c>
      <c r="J321" s="2" t="s">
        <v>669</v>
      </c>
      <c r="K321" s="2" t="s">
        <v>269</v>
      </c>
      <c r="L321" s="3">
        <v>37.89</v>
      </c>
      <c r="M321" s="3">
        <v>39.78</v>
      </c>
      <c r="N321" s="3">
        <v>84.99</v>
      </c>
      <c r="O321" s="2" t="s">
        <v>243</v>
      </c>
      <c r="P321" s="2" t="s">
        <v>236</v>
      </c>
      <c r="Q321" s="2" t="s">
        <v>237</v>
      </c>
      <c r="R321" s="2" t="s">
        <v>231</v>
      </c>
      <c r="S321" s="2" t="s">
        <v>2108</v>
      </c>
      <c r="T321" s="2" t="s">
        <v>1432</v>
      </c>
      <c r="U321" s="2" t="s">
        <v>835</v>
      </c>
      <c r="V321" s="2" t="s">
        <v>391</v>
      </c>
      <c r="W321" s="2" t="s">
        <v>273</v>
      </c>
      <c r="X321" s="2" t="s">
        <v>971</v>
      </c>
      <c r="Y321" s="2" t="s">
        <v>231</v>
      </c>
      <c r="Z321" s="4"/>
      <c r="AA321" s="4">
        <f>=ROUNDDOWN({0},0)</f>
      </c>
      <c r="AB321" s="5">
        <v>22</v>
      </c>
      <c r="AC321" s="2" t="s">
        <v>392</v>
      </c>
      <c r="AD321" s="4">
        <v>212</v>
      </c>
      <c r="AE321" s="4">
        <v>1090</v>
      </c>
      <c r="AF321" s="6">
        <v>65</v>
      </c>
      <c r="AG321" s="6">
        <v>48</v>
      </c>
      <c r="AH321" s="7">
        <v>0</v>
      </c>
      <c r="AI321" s="4"/>
      <c r="AJ321" s="4">
        <f>=ROUNDDOWN({0},0)</f>
      </c>
      <c r="AK321" s="5"/>
      <c r="AL321" s="2" t="s">
        <v>231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231</v>
      </c>
      <c r="AW321" s="8" t="s">
        <v>231</v>
      </c>
      <c r="AX321" s="4" t="s">
        <v>231</v>
      </c>
      <c r="AY321" s="8" t="s">
        <v>231</v>
      </c>
      <c r="AZ321" s="7" t="s">
        <v>231</v>
      </c>
      <c r="BA321" s="7" t="s">
        <v>231</v>
      </c>
      <c r="BB321" s="7"/>
      <c r="BC321" s="4" t="s">
        <v>231</v>
      </c>
      <c r="BD321" s="8" t="s">
        <v>231</v>
      </c>
      <c r="BE321" s="4" t="s">
        <v>231</v>
      </c>
      <c r="BF321" s="8" t="s">
        <v>231</v>
      </c>
      <c r="BG321" s="7" t="s">
        <v>231</v>
      </c>
      <c r="BH321" s="7" t="s">
        <v>231</v>
      </c>
      <c r="BI321" s="7"/>
      <c r="BJ321" s="4"/>
      <c r="BK321" s="8"/>
      <c r="BL321" s="2" t="s">
        <v>231</v>
      </c>
      <c r="BM321" s="7"/>
      <c r="BN321" s="7"/>
      <c r="BO321" s="4"/>
      <c r="BP321" s="8"/>
      <c r="BQ321" s="4"/>
      <c r="BR321" s="8"/>
      <c r="BS321" s="7"/>
      <c r="BT321" s="7"/>
      <c r="BU321" s="2" t="s">
        <v>241</v>
      </c>
      <c r="BV321" s="2" t="s">
        <v>231</v>
      </c>
      <c r="BW321" s="2" t="s">
        <v>231</v>
      </c>
      <c r="BX321" s="2" t="s">
        <v>2109</v>
      </c>
      <c r="BY321" s="2" t="s">
        <v>242</v>
      </c>
      <c r="BZ321" s="2" t="s">
        <v>243</v>
      </c>
      <c r="CA321" s="2" t="s">
        <v>231</v>
      </c>
      <c r="CB321" s="2" t="s">
        <v>231</v>
      </c>
      <c r="CC321" s="2" t="s">
        <v>244</v>
      </c>
      <c r="CD321" s="2" t="s">
        <v>231</v>
      </c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>
        <v>212</v>
      </c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>
        <v>492</v>
      </c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>
        <v>116</v>
      </c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>
        <v>270</v>
      </c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</row>
    <row r="322">
      <c r="A322" s="2" t="s">
        <v>2112</v>
      </c>
      <c r="B322" s="2" t="s">
        <v>226</v>
      </c>
      <c r="C322" s="2" t="s">
        <v>825</v>
      </c>
      <c r="D322" s="2" t="s">
        <v>654</v>
      </c>
      <c r="E322" s="2" t="s">
        <v>890</v>
      </c>
      <c r="F322" s="2" t="s">
        <v>2104</v>
      </c>
      <c r="G322" s="2" t="s">
        <v>2105</v>
      </c>
      <c r="H322" s="2" t="s">
        <v>2106</v>
      </c>
      <c r="I322" s="2" t="s">
        <v>2107</v>
      </c>
      <c r="J322" s="2" t="s">
        <v>832</v>
      </c>
      <c r="K322" s="2" t="s">
        <v>234</v>
      </c>
      <c r="L322" s="3">
        <v>28.98</v>
      </c>
      <c r="M322" s="3">
        <v>30.43</v>
      </c>
      <c r="N322" s="3">
        <v>64.99</v>
      </c>
      <c r="O322" s="2" t="s">
        <v>243</v>
      </c>
      <c r="P322" s="2" t="s">
        <v>236</v>
      </c>
      <c r="Q322" s="2" t="s">
        <v>237</v>
      </c>
      <c r="R322" s="2" t="s">
        <v>231</v>
      </c>
      <c r="S322" s="2" t="s">
        <v>2113</v>
      </c>
      <c r="T322" s="2" t="s">
        <v>1432</v>
      </c>
      <c r="U322" s="2" t="s">
        <v>791</v>
      </c>
      <c r="V322" s="2" t="s">
        <v>391</v>
      </c>
      <c r="W322" s="2" t="s">
        <v>273</v>
      </c>
      <c r="X322" s="2" t="s">
        <v>971</v>
      </c>
      <c r="Y322" s="2" t="s">
        <v>231</v>
      </c>
      <c r="Z322" s="4"/>
      <c r="AA322" s="4">
        <f>=ROUNDDOWN({0},0)</f>
      </c>
      <c r="AB322" s="5">
        <v>12</v>
      </c>
      <c r="AC322" s="2" t="s">
        <v>392</v>
      </c>
      <c r="AD322" s="4">
        <v>130</v>
      </c>
      <c r="AE322" s="4">
        <v>744</v>
      </c>
      <c r="AF322" s="6">
        <v>65</v>
      </c>
      <c r="AG322" s="6">
        <v>48</v>
      </c>
      <c r="AH322" s="7">
        <v>0</v>
      </c>
      <c r="AI322" s="4"/>
      <c r="AJ322" s="4">
        <f>=ROUNDDOWN({0},0)</f>
      </c>
      <c r="AK322" s="5"/>
      <c r="AL322" s="2" t="s">
        <v>231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231</v>
      </c>
      <c r="AW322" s="8" t="s">
        <v>231</v>
      </c>
      <c r="AX322" s="4" t="s">
        <v>231</v>
      </c>
      <c r="AY322" s="8" t="s">
        <v>231</v>
      </c>
      <c r="AZ322" s="7" t="s">
        <v>231</v>
      </c>
      <c r="BA322" s="7" t="s">
        <v>231</v>
      </c>
      <c r="BB322" s="7"/>
      <c r="BC322" s="4" t="s">
        <v>231</v>
      </c>
      <c r="BD322" s="8" t="s">
        <v>231</v>
      </c>
      <c r="BE322" s="4" t="s">
        <v>231</v>
      </c>
      <c r="BF322" s="8" t="s">
        <v>231</v>
      </c>
      <c r="BG322" s="7" t="s">
        <v>231</v>
      </c>
      <c r="BH322" s="7" t="s">
        <v>231</v>
      </c>
      <c r="BI322" s="7"/>
      <c r="BJ322" s="4"/>
      <c r="BK322" s="8"/>
      <c r="BL322" s="2" t="s">
        <v>231</v>
      </c>
      <c r="BM322" s="7"/>
      <c r="BN322" s="7"/>
      <c r="BO322" s="4"/>
      <c r="BP322" s="8"/>
      <c r="BQ322" s="4"/>
      <c r="BR322" s="8"/>
      <c r="BS322" s="7"/>
      <c r="BT322" s="7"/>
      <c r="BU322" s="2" t="s">
        <v>241</v>
      </c>
      <c r="BV322" s="2" t="s">
        <v>231</v>
      </c>
      <c r="BW322" s="2" t="s">
        <v>231</v>
      </c>
      <c r="BX322" s="2" t="s">
        <v>2109</v>
      </c>
      <c r="BY322" s="2" t="s">
        <v>242</v>
      </c>
      <c r="BZ322" s="2" t="s">
        <v>243</v>
      </c>
      <c r="CA322" s="2" t="s">
        <v>231</v>
      </c>
      <c r="CB322" s="2" t="s">
        <v>231</v>
      </c>
      <c r="CC322" s="2" t="s">
        <v>244</v>
      </c>
      <c r="CD322" s="2" t="s">
        <v>231</v>
      </c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>
        <v>130</v>
      </c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>
        <v>304</v>
      </c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>
        <v>93</v>
      </c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>
        <v>217</v>
      </c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</row>
    <row r="323">
      <c r="A323" s="2" t="s">
        <v>2114</v>
      </c>
      <c r="B323" s="2" t="s">
        <v>226</v>
      </c>
      <c r="C323" s="2" t="s">
        <v>825</v>
      </c>
      <c r="D323" s="2" t="s">
        <v>654</v>
      </c>
      <c r="E323" s="2" t="s">
        <v>890</v>
      </c>
      <c r="F323" s="2" t="s">
        <v>2104</v>
      </c>
      <c r="G323" s="2" t="s">
        <v>2105</v>
      </c>
      <c r="H323" s="2" t="s">
        <v>2106</v>
      </c>
      <c r="I323" s="2" t="s">
        <v>2107</v>
      </c>
      <c r="J323" s="2" t="s">
        <v>658</v>
      </c>
      <c r="K323" s="2" t="s">
        <v>234</v>
      </c>
      <c r="L323" s="3">
        <v>33.44</v>
      </c>
      <c r="M323" s="3">
        <v>35.11</v>
      </c>
      <c r="N323" s="3">
        <v>74.99</v>
      </c>
      <c r="O323" s="2" t="s">
        <v>243</v>
      </c>
      <c r="P323" s="2" t="s">
        <v>236</v>
      </c>
      <c r="Q323" s="2" t="s">
        <v>237</v>
      </c>
      <c r="R323" s="2" t="s">
        <v>231</v>
      </c>
      <c r="S323" s="2" t="s">
        <v>2113</v>
      </c>
      <c r="T323" s="2" t="s">
        <v>1432</v>
      </c>
      <c r="U323" s="2" t="s">
        <v>835</v>
      </c>
      <c r="V323" s="2" t="s">
        <v>391</v>
      </c>
      <c r="W323" s="2" t="s">
        <v>273</v>
      </c>
      <c r="X323" s="2" t="s">
        <v>971</v>
      </c>
      <c r="Y323" s="2" t="s">
        <v>231</v>
      </c>
      <c r="Z323" s="4"/>
      <c r="AA323" s="4">
        <f>=ROUNDDOWN({0},0)</f>
      </c>
      <c r="AB323" s="5">
        <v>38</v>
      </c>
      <c r="AC323" s="2" t="s">
        <v>392</v>
      </c>
      <c r="AD323" s="4">
        <v>390</v>
      </c>
      <c r="AE323" s="4">
        <v>2144</v>
      </c>
      <c r="AF323" s="6">
        <v>65</v>
      </c>
      <c r="AG323" s="6">
        <v>48</v>
      </c>
      <c r="AH323" s="7">
        <v>0</v>
      </c>
      <c r="AI323" s="4"/>
      <c r="AJ323" s="4">
        <f>=ROUNDDOWN({0},0)</f>
      </c>
      <c r="AK323" s="5"/>
      <c r="AL323" s="2" t="s">
        <v>231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231</v>
      </c>
      <c r="AW323" s="8" t="s">
        <v>231</v>
      </c>
      <c r="AX323" s="4" t="s">
        <v>231</v>
      </c>
      <c r="AY323" s="8" t="s">
        <v>231</v>
      </c>
      <c r="AZ323" s="7" t="s">
        <v>231</v>
      </c>
      <c r="BA323" s="7" t="s">
        <v>231</v>
      </c>
      <c r="BB323" s="7"/>
      <c r="BC323" s="4" t="s">
        <v>231</v>
      </c>
      <c r="BD323" s="8" t="s">
        <v>231</v>
      </c>
      <c r="BE323" s="4" t="s">
        <v>231</v>
      </c>
      <c r="BF323" s="8" t="s">
        <v>231</v>
      </c>
      <c r="BG323" s="7" t="s">
        <v>231</v>
      </c>
      <c r="BH323" s="7" t="s">
        <v>231</v>
      </c>
      <c r="BI323" s="7"/>
      <c r="BJ323" s="4"/>
      <c r="BK323" s="8"/>
      <c r="BL323" s="2" t="s">
        <v>231</v>
      </c>
      <c r="BM323" s="7"/>
      <c r="BN323" s="7"/>
      <c r="BO323" s="4"/>
      <c r="BP323" s="8"/>
      <c r="BQ323" s="4"/>
      <c r="BR323" s="8"/>
      <c r="BS323" s="7"/>
      <c r="BT323" s="7"/>
      <c r="BU323" s="2" t="s">
        <v>241</v>
      </c>
      <c r="BV323" s="2" t="s">
        <v>231</v>
      </c>
      <c r="BW323" s="2" t="s">
        <v>231</v>
      </c>
      <c r="BX323" s="2" t="s">
        <v>2109</v>
      </c>
      <c r="BY323" s="2" t="s">
        <v>242</v>
      </c>
      <c r="BZ323" s="2" t="s">
        <v>243</v>
      </c>
      <c r="CA323" s="2" t="s">
        <v>231</v>
      </c>
      <c r="CB323" s="2" t="s">
        <v>231</v>
      </c>
      <c r="CC323" s="2" t="s">
        <v>244</v>
      </c>
      <c r="CD323" s="2" t="s">
        <v>231</v>
      </c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>
        <v>390</v>
      </c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>
        <v>908</v>
      </c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>
        <v>254</v>
      </c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>
        <v>592</v>
      </c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</row>
    <row r="324">
      <c r="A324" s="2" t="s">
        <v>2115</v>
      </c>
      <c r="B324" s="2" t="s">
        <v>226</v>
      </c>
      <c r="C324" s="2" t="s">
        <v>825</v>
      </c>
      <c r="D324" s="2" t="s">
        <v>654</v>
      </c>
      <c r="E324" s="2" t="s">
        <v>890</v>
      </c>
      <c r="F324" s="2" t="s">
        <v>2104</v>
      </c>
      <c r="G324" s="2" t="s">
        <v>2105</v>
      </c>
      <c r="H324" s="2" t="s">
        <v>2106</v>
      </c>
      <c r="I324" s="2" t="s">
        <v>2107</v>
      </c>
      <c r="J324" s="2" t="s">
        <v>669</v>
      </c>
      <c r="K324" s="2" t="s">
        <v>234</v>
      </c>
      <c r="L324" s="3">
        <v>37.89</v>
      </c>
      <c r="M324" s="3">
        <v>39.78</v>
      </c>
      <c r="N324" s="3">
        <v>84.99</v>
      </c>
      <c r="O324" s="2" t="s">
        <v>243</v>
      </c>
      <c r="P324" s="2" t="s">
        <v>236</v>
      </c>
      <c r="Q324" s="2" t="s">
        <v>237</v>
      </c>
      <c r="R324" s="2" t="s">
        <v>231</v>
      </c>
      <c r="S324" s="2" t="s">
        <v>2113</v>
      </c>
      <c r="T324" s="2" t="s">
        <v>1432</v>
      </c>
      <c r="U324" s="2" t="s">
        <v>835</v>
      </c>
      <c r="V324" s="2" t="s">
        <v>391</v>
      </c>
      <c r="W324" s="2" t="s">
        <v>273</v>
      </c>
      <c r="X324" s="2" t="s">
        <v>971</v>
      </c>
      <c r="Y324" s="2" t="s">
        <v>231</v>
      </c>
      <c r="Z324" s="4"/>
      <c r="AA324" s="4">
        <f>=ROUNDDOWN({0},0)</f>
      </c>
      <c r="AB324" s="5">
        <v>36</v>
      </c>
      <c r="AC324" s="2" t="s">
        <v>392</v>
      </c>
      <c r="AD324" s="4">
        <v>300</v>
      </c>
      <c r="AE324" s="4">
        <v>1634</v>
      </c>
      <c r="AF324" s="6">
        <v>65</v>
      </c>
      <c r="AG324" s="6">
        <v>48</v>
      </c>
      <c r="AH324" s="7">
        <v>0</v>
      </c>
      <c r="AI324" s="4"/>
      <c r="AJ324" s="4">
        <f>=ROUNDDOWN({0},0)</f>
      </c>
      <c r="AK324" s="5"/>
      <c r="AL324" s="2" t="s">
        <v>231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231</v>
      </c>
      <c r="AW324" s="8" t="s">
        <v>231</v>
      </c>
      <c r="AX324" s="4" t="s">
        <v>231</v>
      </c>
      <c r="AY324" s="8" t="s">
        <v>231</v>
      </c>
      <c r="AZ324" s="7" t="s">
        <v>231</v>
      </c>
      <c r="BA324" s="7" t="s">
        <v>231</v>
      </c>
      <c r="BB324" s="7"/>
      <c r="BC324" s="4" t="s">
        <v>231</v>
      </c>
      <c r="BD324" s="8" t="s">
        <v>231</v>
      </c>
      <c r="BE324" s="4" t="s">
        <v>231</v>
      </c>
      <c r="BF324" s="8" t="s">
        <v>231</v>
      </c>
      <c r="BG324" s="7" t="s">
        <v>231</v>
      </c>
      <c r="BH324" s="7" t="s">
        <v>231</v>
      </c>
      <c r="BI324" s="7"/>
      <c r="BJ324" s="4"/>
      <c r="BK324" s="8"/>
      <c r="BL324" s="2" t="s">
        <v>231</v>
      </c>
      <c r="BM324" s="7"/>
      <c r="BN324" s="7"/>
      <c r="BO324" s="4"/>
      <c r="BP324" s="8"/>
      <c r="BQ324" s="4"/>
      <c r="BR324" s="8"/>
      <c r="BS324" s="7"/>
      <c r="BT324" s="7"/>
      <c r="BU324" s="2" t="s">
        <v>241</v>
      </c>
      <c r="BV324" s="2" t="s">
        <v>231</v>
      </c>
      <c r="BW324" s="2" t="s">
        <v>231</v>
      </c>
      <c r="BX324" s="2" t="s">
        <v>2109</v>
      </c>
      <c r="BY324" s="2" t="s">
        <v>242</v>
      </c>
      <c r="BZ324" s="2" t="s">
        <v>243</v>
      </c>
      <c r="CA324" s="2" t="s">
        <v>231</v>
      </c>
      <c r="CB324" s="2" t="s">
        <v>231</v>
      </c>
      <c r="CC324" s="2" t="s">
        <v>244</v>
      </c>
      <c r="CD324" s="2" t="s">
        <v>231</v>
      </c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>
        <v>300</v>
      </c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>
        <v>698</v>
      </c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>
        <v>191</v>
      </c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>
        <v>445</v>
      </c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</row>
    <row r="325">
      <c r="A325" s="2" t="s">
        <v>2116</v>
      </c>
      <c r="B325" s="2" t="s">
        <v>226</v>
      </c>
      <c r="C325" s="2" t="s">
        <v>825</v>
      </c>
      <c r="D325" s="2" t="s">
        <v>654</v>
      </c>
      <c r="E325" s="2" t="s">
        <v>890</v>
      </c>
      <c r="F325" s="2" t="s">
        <v>2104</v>
      </c>
      <c r="G325" s="2" t="s">
        <v>2105</v>
      </c>
      <c r="H325" s="2" t="s">
        <v>2106</v>
      </c>
      <c r="I325" s="2" t="s">
        <v>2107</v>
      </c>
      <c r="J325" s="2" t="s">
        <v>832</v>
      </c>
      <c r="K325" s="2" t="s">
        <v>1491</v>
      </c>
      <c r="L325" s="3">
        <v>28.98</v>
      </c>
      <c r="M325" s="3">
        <v>30.43</v>
      </c>
      <c r="N325" s="3">
        <v>64.99</v>
      </c>
      <c r="O325" s="2" t="s">
        <v>243</v>
      </c>
      <c r="P325" s="2" t="s">
        <v>236</v>
      </c>
      <c r="Q325" s="2" t="s">
        <v>237</v>
      </c>
      <c r="R325" s="2" t="s">
        <v>231</v>
      </c>
      <c r="S325" s="2" t="s">
        <v>2117</v>
      </c>
      <c r="T325" s="2" t="s">
        <v>1432</v>
      </c>
      <c r="U325" s="2" t="s">
        <v>791</v>
      </c>
      <c r="V325" s="2" t="s">
        <v>391</v>
      </c>
      <c r="W325" s="2" t="s">
        <v>273</v>
      </c>
      <c r="X325" s="2" t="s">
        <v>971</v>
      </c>
      <c r="Y325" s="2" t="s">
        <v>231</v>
      </c>
      <c r="Z325" s="4"/>
      <c r="AA325" s="4">
        <f>=ROUNDDOWN({0},0)</f>
      </c>
      <c r="AB325" s="5">
        <v>6</v>
      </c>
      <c r="AC325" s="2" t="s">
        <v>392</v>
      </c>
      <c r="AD325" s="4">
        <v>62</v>
      </c>
      <c r="AE325" s="4">
        <v>349</v>
      </c>
      <c r="AF325" s="6">
        <v>65</v>
      </c>
      <c r="AG325" s="6">
        <v>48</v>
      </c>
      <c r="AH325" s="7">
        <v>0</v>
      </c>
      <c r="AI325" s="4"/>
      <c r="AJ325" s="4">
        <f>=ROUNDDOWN({0},0)</f>
      </c>
      <c r="AK325" s="5"/>
      <c r="AL325" s="2" t="s">
        <v>231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231</v>
      </c>
      <c r="AW325" s="8" t="s">
        <v>231</v>
      </c>
      <c r="AX325" s="4" t="s">
        <v>231</v>
      </c>
      <c r="AY325" s="8" t="s">
        <v>231</v>
      </c>
      <c r="AZ325" s="7" t="s">
        <v>231</v>
      </c>
      <c r="BA325" s="7" t="s">
        <v>231</v>
      </c>
      <c r="BB325" s="7"/>
      <c r="BC325" s="4" t="s">
        <v>231</v>
      </c>
      <c r="BD325" s="8" t="s">
        <v>231</v>
      </c>
      <c r="BE325" s="4" t="s">
        <v>231</v>
      </c>
      <c r="BF325" s="8" t="s">
        <v>231</v>
      </c>
      <c r="BG325" s="7" t="s">
        <v>231</v>
      </c>
      <c r="BH325" s="7" t="s">
        <v>231</v>
      </c>
      <c r="BI325" s="7"/>
      <c r="BJ325" s="4"/>
      <c r="BK325" s="8"/>
      <c r="BL325" s="2" t="s">
        <v>231</v>
      </c>
      <c r="BM325" s="7"/>
      <c r="BN325" s="7"/>
      <c r="BO325" s="4"/>
      <c r="BP325" s="8"/>
      <c r="BQ325" s="4"/>
      <c r="BR325" s="8"/>
      <c r="BS325" s="7"/>
      <c r="BT325" s="7"/>
      <c r="BU325" s="2" t="s">
        <v>241</v>
      </c>
      <c r="BV325" s="2" t="s">
        <v>231</v>
      </c>
      <c r="BW325" s="2" t="s">
        <v>231</v>
      </c>
      <c r="BX325" s="2" t="s">
        <v>2109</v>
      </c>
      <c r="BY325" s="2" t="s">
        <v>242</v>
      </c>
      <c r="BZ325" s="2" t="s">
        <v>243</v>
      </c>
      <c r="CA325" s="2" t="s">
        <v>231</v>
      </c>
      <c r="CB325" s="2" t="s">
        <v>231</v>
      </c>
      <c r="CC325" s="2" t="s">
        <v>244</v>
      </c>
      <c r="CD325" s="2" t="s">
        <v>231</v>
      </c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>
        <v>62</v>
      </c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>
        <v>144</v>
      </c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>
        <v>43</v>
      </c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>
        <v>100</v>
      </c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</row>
    <row r="326">
      <c r="A326" s="2" t="s">
        <v>2118</v>
      </c>
      <c r="B326" s="2" t="s">
        <v>226</v>
      </c>
      <c r="C326" s="2" t="s">
        <v>825</v>
      </c>
      <c r="D326" s="2" t="s">
        <v>654</v>
      </c>
      <c r="E326" s="2" t="s">
        <v>890</v>
      </c>
      <c r="F326" s="2" t="s">
        <v>2104</v>
      </c>
      <c r="G326" s="2" t="s">
        <v>2105</v>
      </c>
      <c r="H326" s="2" t="s">
        <v>2106</v>
      </c>
      <c r="I326" s="2" t="s">
        <v>2107</v>
      </c>
      <c r="J326" s="2" t="s">
        <v>658</v>
      </c>
      <c r="K326" s="2" t="s">
        <v>1491</v>
      </c>
      <c r="L326" s="3">
        <v>33.44</v>
      </c>
      <c r="M326" s="3">
        <v>35.11</v>
      </c>
      <c r="N326" s="3">
        <v>74.99</v>
      </c>
      <c r="O326" s="2" t="s">
        <v>243</v>
      </c>
      <c r="P326" s="2" t="s">
        <v>236</v>
      </c>
      <c r="Q326" s="2" t="s">
        <v>237</v>
      </c>
      <c r="R326" s="2" t="s">
        <v>231</v>
      </c>
      <c r="S326" s="2" t="s">
        <v>2117</v>
      </c>
      <c r="T326" s="2" t="s">
        <v>1432</v>
      </c>
      <c r="U326" s="2" t="s">
        <v>835</v>
      </c>
      <c r="V326" s="2" t="s">
        <v>391</v>
      </c>
      <c r="W326" s="2" t="s">
        <v>273</v>
      </c>
      <c r="X326" s="2" t="s">
        <v>971</v>
      </c>
      <c r="Y326" s="2" t="s">
        <v>231</v>
      </c>
      <c r="Z326" s="4"/>
      <c r="AA326" s="4">
        <f>=ROUNDDOWN({0},0)</f>
      </c>
      <c r="AB326" s="5">
        <v>15</v>
      </c>
      <c r="AC326" s="2" t="s">
        <v>392</v>
      </c>
      <c r="AD326" s="4">
        <v>162</v>
      </c>
      <c r="AE326" s="4">
        <v>887</v>
      </c>
      <c r="AF326" s="6">
        <v>65</v>
      </c>
      <c r="AG326" s="6">
        <v>48</v>
      </c>
      <c r="AH326" s="7">
        <v>0</v>
      </c>
      <c r="AI326" s="4"/>
      <c r="AJ326" s="4">
        <f>=ROUNDDOWN({0},0)</f>
      </c>
      <c r="AK326" s="5"/>
      <c r="AL326" s="2" t="s">
        <v>231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231</v>
      </c>
      <c r="AW326" s="8" t="s">
        <v>231</v>
      </c>
      <c r="AX326" s="4" t="s">
        <v>231</v>
      </c>
      <c r="AY326" s="8" t="s">
        <v>231</v>
      </c>
      <c r="AZ326" s="7" t="s">
        <v>231</v>
      </c>
      <c r="BA326" s="7" t="s">
        <v>231</v>
      </c>
      <c r="BB326" s="7"/>
      <c r="BC326" s="4" t="s">
        <v>231</v>
      </c>
      <c r="BD326" s="8" t="s">
        <v>231</v>
      </c>
      <c r="BE326" s="4" t="s">
        <v>231</v>
      </c>
      <c r="BF326" s="8" t="s">
        <v>231</v>
      </c>
      <c r="BG326" s="7" t="s">
        <v>231</v>
      </c>
      <c r="BH326" s="7" t="s">
        <v>231</v>
      </c>
      <c r="BI326" s="7"/>
      <c r="BJ326" s="4"/>
      <c r="BK326" s="8"/>
      <c r="BL326" s="2" t="s">
        <v>231</v>
      </c>
      <c r="BM326" s="7"/>
      <c r="BN326" s="7"/>
      <c r="BO326" s="4"/>
      <c r="BP326" s="8"/>
      <c r="BQ326" s="4"/>
      <c r="BR326" s="8"/>
      <c r="BS326" s="7"/>
      <c r="BT326" s="7"/>
      <c r="BU326" s="2" t="s">
        <v>241</v>
      </c>
      <c r="BV326" s="2" t="s">
        <v>231</v>
      </c>
      <c r="BW326" s="2" t="s">
        <v>231</v>
      </c>
      <c r="BX326" s="2" t="s">
        <v>2109</v>
      </c>
      <c r="BY326" s="2" t="s">
        <v>242</v>
      </c>
      <c r="BZ326" s="2" t="s">
        <v>243</v>
      </c>
      <c r="CA326" s="2" t="s">
        <v>231</v>
      </c>
      <c r="CB326" s="2" t="s">
        <v>231</v>
      </c>
      <c r="CC326" s="2" t="s">
        <v>244</v>
      </c>
      <c r="CD326" s="2" t="s">
        <v>231</v>
      </c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>
        <v>162</v>
      </c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>
        <v>378</v>
      </c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>
        <v>104</v>
      </c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>
        <v>243</v>
      </c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</row>
    <row r="327">
      <c r="A327" s="2" t="s">
        <v>2119</v>
      </c>
      <c r="B327" s="2" t="s">
        <v>226</v>
      </c>
      <c r="C327" s="2" t="s">
        <v>825</v>
      </c>
      <c r="D327" s="2" t="s">
        <v>654</v>
      </c>
      <c r="E327" s="2" t="s">
        <v>890</v>
      </c>
      <c r="F327" s="2" t="s">
        <v>2104</v>
      </c>
      <c r="G327" s="2" t="s">
        <v>2105</v>
      </c>
      <c r="H327" s="2" t="s">
        <v>2106</v>
      </c>
      <c r="I327" s="2" t="s">
        <v>2107</v>
      </c>
      <c r="J327" s="2" t="s">
        <v>669</v>
      </c>
      <c r="K327" s="2" t="s">
        <v>1491</v>
      </c>
      <c r="L327" s="3">
        <v>37.89</v>
      </c>
      <c r="M327" s="3">
        <v>39.78</v>
      </c>
      <c r="N327" s="3">
        <v>84.99</v>
      </c>
      <c r="O327" s="2" t="s">
        <v>243</v>
      </c>
      <c r="P327" s="2" t="s">
        <v>236</v>
      </c>
      <c r="Q327" s="2" t="s">
        <v>237</v>
      </c>
      <c r="R327" s="2" t="s">
        <v>231</v>
      </c>
      <c r="S327" s="2" t="s">
        <v>2117</v>
      </c>
      <c r="T327" s="2" t="s">
        <v>1432</v>
      </c>
      <c r="U327" s="2" t="s">
        <v>835</v>
      </c>
      <c r="V327" s="2" t="s">
        <v>391</v>
      </c>
      <c r="W327" s="2" t="s">
        <v>273</v>
      </c>
      <c r="X327" s="2" t="s">
        <v>971</v>
      </c>
      <c r="Y327" s="2" t="s">
        <v>231</v>
      </c>
      <c r="Z327" s="4"/>
      <c r="AA327" s="4">
        <f>=ROUNDDOWN({0},0)</f>
      </c>
      <c r="AB327" s="5">
        <v>15</v>
      </c>
      <c r="AC327" s="2" t="s">
        <v>392</v>
      </c>
      <c r="AD327" s="4">
        <v>128</v>
      </c>
      <c r="AE327" s="4">
        <v>695</v>
      </c>
      <c r="AF327" s="6">
        <v>65</v>
      </c>
      <c r="AG327" s="6">
        <v>48</v>
      </c>
      <c r="AH327" s="7">
        <v>0</v>
      </c>
      <c r="AI327" s="4"/>
      <c r="AJ327" s="4">
        <f>=ROUNDDOWN({0},0)</f>
      </c>
      <c r="AK327" s="5"/>
      <c r="AL327" s="2" t="s">
        <v>231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231</v>
      </c>
      <c r="AW327" s="8" t="s">
        <v>231</v>
      </c>
      <c r="AX327" s="4" t="s">
        <v>231</v>
      </c>
      <c r="AY327" s="8" t="s">
        <v>231</v>
      </c>
      <c r="AZ327" s="7" t="s">
        <v>231</v>
      </c>
      <c r="BA327" s="7" t="s">
        <v>231</v>
      </c>
      <c r="BB327" s="7"/>
      <c r="BC327" s="4" t="s">
        <v>231</v>
      </c>
      <c r="BD327" s="8" t="s">
        <v>231</v>
      </c>
      <c r="BE327" s="4" t="s">
        <v>231</v>
      </c>
      <c r="BF327" s="8" t="s">
        <v>231</v>
      </c>
      <c r="BG327" s="7" t="s">
        <v>231</v>
      </c>
      <c r="BH327" s="7" t="s">
        <v>231</v>
      </c>
      <c r="BI327" s="7"/>
      <c r="BJ327" s="4"/>
      <c r="BK327" s="8"/>
      <c r="BL327" s="2" t="s">
        <v>231</v>
      </c>
      <c r="BM327" s="7"/>
      <c r="BN327" s="7"/>
      <c r="BO327" s="4"/>
      <c r="BP327" s="8"/>
      <c r="BQ327" s="4"/>
      <c r="BR327" s="8"/>
      <c r="BS327" s="7"/>
      <c r="BT327" s="7"/>
      <c r="BU327" s="2" t="s">
        <v>241</v>
      </c>
      <c r="BV327" s="2" t="s">
        <v>231</v>
      </c>
      <c r="BW327" s="2" t="s">
        <v>231</v>
      </c>
      <c r="BX327" s="2" t="s">
        <v>2109</v>
      </c>
      <c r="BY327" s="2" t="s">
        <v>242</v>
      </c>
      <c r="BZ327" s="2" t="s">
        <v>243</v>
      </c>
      <c r="CA327" s="2" t="s">
        <v>231</v>
      </c>
      <c r="CB327" s="2" t="s">
        <v>231</v>
      </c>
      <c r="CC327" s="2" t="s">
        <v>244</v>
      </c>
      <c r="CD327" s="2" t="s">
        <v>231</v>
      </c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>
        <v>128</v>
      </c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>
        <v>298</v>
      </c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>
        <v>81</v>
      </c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>
        <v>188</v>
      </c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</row>
    <row r="328">
      <c r="A328" s="2" t="s">
        <v>2120</v>
      </c>
      <c r="B328" s="2" t="s">
        <v>226</v>
      </c>
      <c r="C328" s="2" t="s">
        <v>825</v>
      </c>
      <c r="D328" s="2" t="s">
        <v>654</v>
      </c>
      <c r="E328" s="2" t="s">
        <v>890</v>
      </c>
      <c r="F328" s="2" t="s">
        <v>2104</v>
      </c>
      <c r="G328" s="2" t="s">
        <v>2105</v>
      </c>
      <c r="H328" s="2" t="s">
        <v>2106</v>
      </c>
      <c r="I328" s="2" t="s">
        <v>2107</v>
      </c>
      <c r="J328" s="2" t="s">
        <v>832</v>
      </c>
      <c r="K328" s="2" t="s">
        <v>306</v>
      </c>
      <c r="L328" s="3">
        <v>28.98</v>
      </c>
      <c r="M328" s="3">
        <v>30.43</v>
      </c>
      <c r="N328" s="3">
        <v>64.99</v>
      </c>
      <c r="O328" s="2" t="s">
        <v>243</v>
      </c>
      <c r="P328" s="2" t="s">
        <v>236</v>
      </c>
      <c r="Q328" s="2" t="s">
        <v>237</v>
      </c>
      <c r="R328" s="2" t="s">
        <v>231</v>
      </c>
      <c r="S328" s="2" t="s">
        <v>2121</v>
      </c>
      <c r="T328" s="2" t="s">
        <v>1432</v>
      </c>
      <c r="U328" s="2" t="s">
        <v>791</v>
      </c>
      <c r="V328" s="2" t="s">
        <v>391</v>
      </c>
      <c r="W328" s="2" t="s">
        <v>273</v>
      </c>
      <c r="X328" s="2" t="s">
        <v>971</v>
      </c>
      <c r="Y328" s="2" t="s">
        <v>231</v>
      </c>
      <c r="Z328" s="4"/>
      <c r="AA328" s="4">
        <f>=ROUNDDOWN({0},0)</f>
      </c>
      <c r="AB328" s="5">
        <v>14</v>
      </c>
      <c r="AC328" s="2" t="s">
        <v>392</v>
      </c>
      <c r="AD328" s="4">
        <v>144</v>
      </c>
      <c r="AE328" s="4">
        <v>820</v>
      </c>
      <c r="AF328" s="6">
        <v>65</v>
      </c>
      <c r="AG328" s="6">
        <v>48</v>
      </c>
      <c r="AH328" s="7">
        <v>0</v>
      </c>
      <c r="AI328" s="4"/>
      <c r="AJ328" s="4">
        <f>=ROUNDDOWN({0},0)</f>
      </c>
      <c r="AK328" s="5"/>
      <c r="AL328" s="2" t="s">
        <v>231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231</v>
      </c>
      <c r="AW328" s="8" t="s">
        <v>231</v>
      </c>
      <c r="AX328" s="4" t="s">
        <v>231</v>
      </c>
      <c r="AY328" s="8" t="s">
        <v>231</v>
      </c>
      <c r="AZ328" s="7" t="s">
        <v>231</v>
      </c>
      <c r="BA328" s="7" t="s">
        <v>231</v>
      </c>
      <c r="BB328" s="7"/>
      <c r="BC328" s="4" t="s">
        <v>231</v>
      </c>
      <c r="BD328" s="8" t="s">
        <v>231</v>
      </c>
      <c r="BE328" s="4" t="s">
        <v>231</v>
      </c>
      <c r="BF328" s="8" t="s">
        <v>231</v>
      </c>
      <c r="BG328" s="7" t="s">
        <v>231</v>
      </c>
      <c r="BH328" s="7" t="s">
        <v>231</v>
      </c>
      <c r="BI328" s="7"/>
      <c r="BJ328" s="4"/>
      <c r="BK328" s="8"/>
      <c r="BL328" s="2" t="s">
        <v>231</v>
      </c>
      <c r="BM328" s="7"/>
      <c r="BN328" s="7"/>
      <c r="BO328" s="4"/>
      <c r="BP328" s="8"/>
      <c r="BQ328" s="4"/>
      <c r="BR328" s="8"/>
      <c r="BS328" s="7"/>
      <c r="BT328" s="7"/>
      <c r="BU328" s="2" t="s">
        <v>241</v>
      </c>
      <c r="BV328" s="2" t="s">
        <v>231</v>
      </c>
      <c r="BW328" s="2" t="s">
        <v>231</v>
      </c>
      <c r="BX328" s="2" t="s">
        <v>2109</v>
      </c>
      <c r="BY328" s="2" t="s">
        <v>242</v>
      </c>
      <c r="BZ328" s="2" t="s">
        <v>243</v>
      </c>
      <c r="CA328" s="2" t="s">
        <v>231</v>
      </c>
      <c r="CB328" s="2" t="s">
        <v>231</v>
      </c>
      <c r="CC328" s="2" t="s">
        <v>244</v>
      </c>
      <c r="CD328" s="2" t="s">
        <v>231</v>
      </c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>
        <v>144</v>
      </c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>
        <v>336</v>
      </c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>
        <v>102</v>
      </c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>
        <v>238</v>
      </c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</row>
    <row r="329">
      <c r="A329" s="2" t="s">
        <v>2122</v>
      </c>
      <c r="B329" s="2" t="s">
        <v>226</v>
      </c>
      <c r="C329" s="2" t="s">
        <v>825</v>
      </c>
      <c r="D329" s="2" t="s">
        <v>654</v>
      </c>
      <c r="E329" s="2" t="s">
        <v>890</v>
      </c>
      <c r="F329" s="2" t="s">
        <v>2104</v>
      </c>
      <c r="G329" s="2" t="s">
        <v>2105</v>
      </c>
      <c r="H329" s="2" t="s">
        <v>2106</v>
      </c>
      <c r="I329" s="2" t="s">
        <v>2107</v>
      </c>
      <c r="J329" s="2" t="s">
        <v>658</v>
      </c>
      <c r="K329" s="2" t="s">
        <v>306</v>
      </c>
      <c r="L329" s="3">
        <v>33.44</v>
      </c>
      <c r="M329" s="3">
        <v>35.11</v>
      </c>
      <c r="N329" s="3">
        <v>74.99</v>
      </c>
      <c r="O329" s="2" t="s">
        <v>243</v>
      </c>
      <c r="P329" s="2" t="s">
        <v>236</v>
      </c>
      <c r="Q329" s="2" t="s">
        <v>237</v>
      </c>
      <c r="R329" s="2" t="s">
        <v>231</v>
      </c>
      <c r="S329" s="2" t="s">
        <v>2121</v>
      </c>
      <c r="T329" s="2" t="s">
        <v>1432</v>
      </c>
      <c r="U329" s="2" t="s">
        <v>835</v>
      </c>
      <c r="V329" s="2" t="s">
        <v>391</v>
      </c>
      <c r="W329" s="2" t="s">
        <v>273</v>
      </c>
      <c r="X329" s="2" t="s">
        <v>971</v>
      </c>
      <c r="Y329" s="2" t="s">
        <v>231</v>
      </c>
      <c r="Z329" s="4"/>
      <c r="AA329" s="4">
        <f>=ROUNDDOWN({0},0)</f>
      </c>
      <c r="AB329" s="5">
        <v>45</v>
      </c>
      <c r="AC329" s="2" t="s">
        <v>392</v>
      </c>
      <c r="AD329" s="4">
        <v>456</v>
      </c>
      <c r="AE329" s="4">
        <v>2538</v>
      </c>
      <c r="AF329" s="6">
        <v>65</v>
      </c>
      <c r="AG329" s="6">
        <v>48</v>
      </c>
      <c r="AH329" s="7">
        <v>0</v>
      </c>
      <c r="AI329" s="4"/>
      <c r="AJ329" s="4">
        <f>=ROUNDDOWN({0},0)</f>
      </c>
      <c r="AK329" s="5"/>
      <c r="AL329" s="2" t="s">
        <v>231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231</v>
      </c>
      <c r="AW329" s="8" t="s">
        <v>231</v>
      </c>
      <c r="AX329" s="4" t="s">
        <v>231</v>
      </c>
      <c r="AY329" s="8" t="s">
        <v>231</v>
      </c>
      <c r="AZ329" s="7" t="s">
        <v>231</v>
      </c>
      <c r="BA329" s="7" t="s">
        <v>231</v>
      </c>
      <c r="BB329" s="7"/>
      <c r="BC329" s="4" t="s">
        <v>231</v>
      </c>
      <c r="BD329" s="8" t="s">
        <v>231</v>
      </c>
      <c r="BE329" s="4" t="s">
        <v>231</v>
      </c>
      <c r="BF329" s="8" t="s">
        <v>231</v>
      </c>
      <c r="BG329" s="7" t="s">
        <v>231</v>
      </c>
      <c r="BH329" s="7" t="s">
        <v>231</v>
      </c>
      <c r="BI329" s="7"/>
      <c r="BJ329" s="4"/>
      <c r="BK329" s="8"/>
      <c r="BL329" s="2" t="s">
        <v>231</v>
      </c>
      <c r="BM329" s="7"/>
      <c r="BN329" s="7"/>
      <c r="BO329" s="4"/>
      <c r="BP329" s="8"/>
      <c r="BQ329" s="4"/>
      <c r="BR329" s="8"/>
      <c r="BS329" s="7"/>
      <c r="BT329" s="7"/>
      <c r="BU329" s="2" t="s">
        <v>241</v>
      </c>
      <c r="BV329" s="2" t="s">
        <v>231</v>
      </c>
      <c r="BW329" s="2" t="s">
        <v>231</v>
      </c>
      <c r="BX329" s="2" t="s">
        <v>2109</v>
      </c>
      <c r="BY329" s="2" t="s">
        <v>242</v>
      </c>
      <c r="BZ329" s="2" t="s">
        <v>243</v>
      </c>
      <c r="CA329" s="2" t="s">
        <v>231</v>
      </c>
      <c r="CB329" s="2" t="s">
        <v>231</v>
      </c>
      <c r="CC329" s="2" t="s">
        <v>244</v>
      </c>
      <c r="CD329" s="2" t="s">
        <v>231</v>
      </c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>
        <v>456</v>
      </c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>
        <v>1064</v>
      </c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>
        <v>305</v>
      </c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>
        <v>713</v>
      </c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</row>
    <row r="330">
      <c r="A330" s="2" t="s">
        <v>2123</v>
      </c>
      <c r="B330" s="2" t="s">
        <v>226</v>
      </c>
      <c r="C330" s="2" t="s">
        <v>825</v>
      </c>
      <c r="D330" s="2" t="s">
        <v>654</v>
      </c>
      <c r="E330" s="2" t="s">
        <v>890</v>
      </c>
      <c r="F330" s="2" t="s">
        <v>2104</v>
      </c>
      <c r="G330" s="2" t="s">
        <v>2105</v>
      </c>
      <c r="H330" s="2" t="s">
        <v>2106</v>
      </c>
      <c r="I330" s="2" t="s">
        <v>2107</v>
      </c>
      <c r="J330" s="2" t="s">
        <v>669</v>
      </c>
      <c r="K330" s="2" t="s">
        <v>306</v>
      </c>
      <c r="L330" s="3">
        <v>37.89</v>
      </c>
      <c r="M330" s="3">
        <v>39.78</v>
      </c>
      <c r="N330" s="3">
        <v>84.99</v>
      </c>
      <c r="O330" s="2" t="s">
        <v>243</v>
      </c>
      <c r="P330" s="2" t="s">
        <v>236</v>
      </c>
      <c r="Q330" s="2" t="s">
        <v>237</v>
      </c>
      <c r="R330" s="2" t="s">
        <v>231</v>
      </c>
      <c r="S330" s="2" t="s">
        <v>2121</v>
      </c>
      <c r="T330" s="2" t="s">
        <v>1432</v>
      </c>
      <c r="U330" s="2" t="s">
        <v>835</v>
      </c>
      <c r="V330" s="2" t="s">
        <v>391</v>
      </c>
      <c r="W330" s="2" t="s">
        <v>273</v>
      </c>
      <c r="X330" s="2" t="s">
        <v>971</v>
      </c>
      <c r="Y330" s="2" t="s">
        <v>231</v>
      </c>
      <c r="Z330" s="4"/>
      <c r="AA330" s="4">
        <f>=ROUNDDOWN({0},0)</f>
      </c>
      <c r="AB330" s="5">
        <v>41</v>
      </c>
      <c r="AC330" s="2" t="s">
        <v>392</v>
      </c>
      <c r="AD330" s="4">
        <v>340</v>
      </c>
      <c r="AE330" s="4">
        <v>1869</v>
      </c>
      <c r="AF330" s="6">
        <v>65</v>
      </c>
      <c r="AG330" s="6">
        <v>48</v>
      </c>
      <c r="AH330" s="7">
        <v>0</v>
      </c>
      <c r="AI330" s="4"/>
      <c r="AJ330" s="4">
        <f>=ROUNDDOWN({0},0)</f>
      </c>
      <c r="AK330" s="5"/>
      <c r="AL330" s="2" t="s">
        <v>231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231</v>
      </c>
      <c r="AW330" s="8" t="s">
        <v>231</v>
      </c>
      <c r="AX330" s="4" t="s">
        <v>231</v>
      </c>
      <c r="AY330" s="8" t="s">
        <v>231</v>
      </c>
      <c r="AZ330" s="7" t="s">
        <v>231</v>
      </c>
      <c r="BA330" s="7" t="s">
        <v>231</v>
      </c>
      <c r="BB330" s="7"/>
      <c r="BC330" s="4" t="s">
        <v>231</v>
      </c>
      <c r="BD330" s="8" t="s">
        <v>231</v>
      </c>
      <c r="BE330" s="4" t="s">
        <v>231</v>
      </c>
      <c r="BF330" s="8" t="s">
        <v>231</v>
      </c>
      <c r="BG330" s="7" t="s">
        <v>231</v>
      </c>
      <c r="BH330" s="7" t="s">
        <v>231</v>
      </c>
      <c r="BI330" s="7"/>
      <c r="BJ330" s="4"/>
      <c r="BK330" s="8"/>
      <c r="BL330" s="2" t="s">
        <v>231</v>
      </c>
      <c r="BM330" s="7"/>
      <c r="BN330" s="7"/>
      <c r="BO330" s="4"/>
      <c r="BP330" s="8"/>
      <c r="BQ330" s="4"/>
      <c r="BR330" s="8"/>
      <c r="BS330" s="7"/>
      <c r="BT330" s="7"/>
      <c r="BU330" s="2" t="s">
        <v>241</v>
      </c>
      <c r="BV330" s="2" t="s">
        <v>231</v>
      </c>
      <c r="BW330" s="2" t="s">
        <v>231</v>
      </c>
      <c r="BX330" s="2" t="s">
        <v>2109</v>
      </c>
      <c r="BY330" s="2" t="s">
        <v>242</v>
      </c>
      <c r="BZ330" s="2" t="s">
        <v>243</v>
      </c>
      <c r="CA330" s="2" t="s">
        <v>231</v>
      </c>
      <c r="CB330" s="2" t="s">
        <v>231</v>
      </c>
      <c r="CC330" s="2" t="s">
        <v>244</v>
      </c>
      <c r="CD330" s="2" t="s">
        <v>231</v>
      </c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>
        <v>340</v>
      </c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>
        <v>792</v>
      </c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>
        <v>221</v>
      </c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>
        <v>516</v>
      </c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</row>
    <row r="331">
      <c r="A331" s="2" t="s">
        <v>2124</v>
      </c>
      <c r="B331" s="2" t="s">
        <v>226</v>
      </c>
      <c r="C331" s="2" t="s">
        <v>825</v>
      </c>
      <c r="D331" s="2" t="s">
        <v>654</v>
      </c>
      <c r="E331" s="2" t="s">
        <v>890</v>
      </c>
      <c r="F331" s="2" t="s">
        <v>2104</v>
      </c>
      <c r="G331" s="2" t="s">
        <v>2105</v>
      </c>
      <c r="H331" s="2" t="s">
        <v>2106</v>
      </c>
      <c r="I331" s="2" t="s">
        <v>2107</v>
      </c>
      <c r="J331" s="2" t="s">
        <v>832</v>
      </c>
      <c r="K331" s="2" t="s">
        <v>2125</v>
      </c>
      <c r="L331" s="3">
        <v>28.98</v>
      </c>
      <c r="M331" s="3">
        <v>30.43</v>
      </c>
      <c r="N331" s="3">
        <v>64.99</v>
      </c>
      <c r="O331" s="2" t="s">
        <v>243</v>
      </c>
      <c r="P331" s="2" t="s">
        <v>236</v>
      </c>
      <c r="Q331" s="2" t="s">
        <v>237</v>
      </c>
      <c r="R331" s="2" t="s">
        <v>231</v>
      </c>
      <c r="S331" s="2" t="s">
        <v>2126</v>
      </c>
      <c r="T331" s="2" t="s">
        <v>1432</v>
      </c>
      <c r="U331" s="2" t="s">
        <v>791</v>
      </c>
      <c r="V331" s="2" t="s">
        <v>391</v>
      </c>
      <c r="W331" s="2" t="s">
        <v>273</v>
      </c>
      <c r="X331" s="2" t="s">
        <v>971</v>
      </c>
      <c r="Y331" s="2" t="s">
        <v>231</v>
      </c>
      <c r="Z331" s="4"/>
      <c r="AA331" s="4">
        <f>=ROUNDDOWN({0},0)</f>
      </c>
      <c r="AB331" s="5">
        <v>13</v>
      </c>
      <c r="AC331" s="2" t="s">
        <v>392</v>
      </c>
      <c r="AD331" s="4">
        <v>138</v>
      </c>
      <c r="AE331" s="4">
        <v>787</v>
      </c>
      <c r="AF331" s="6">
        <v>65</v>
      </c>
      <c r="AG331" s="6">
        <v>48</v>
      </c>
      <c r="AH331" s="7">
        <v>0</v>
      </c>
      <c r="AI331" s="4"/>
      <c r="AJ331" s="4">
        <f>=ROUNDDOWN({0},0)</f>
      </c>
      <c r="AK331" s="5"/>
      <c r="AL331" s="2" t="s">
        <v>231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231</v>
      </c>
      <c r="AW331" s="8" t="s">
        <v>231</v>
      </c>
      <c r="AX331" s="4" t="s">
        <v>231</v>
      </c>
      <c r="AY331" s="8" t="s">
        <v>231</v>
      </c>
      <c r="AZ331" s="7" t="s">
        <v>231</v>
      </c>
      <c r="BA331" s="7" t="s">
        <v>231</v>
      </c>
      <c r="BB331" s="7"/>
      <c r="BC331" s="4" t="s">
        <v>231</v>
      </c>
      <c r="BD331" s="8" t="s">
        <v>231</v>
      </c>
      <c r="BE331" s="4" t="s">
        <v>231</v>
      </c>
      <c r="BF331" s="8" t="s">
        <v>231</v>
      </c>
      <c r="BG331" s="7" t="s">
        <v>231</v>
      </c>
      <c r="BH331" s="7" t="s">
        <v>231</v>
      </c>
      <c r="BI331" s="7"/>
      <c r="BJ331" s="4"/>
      <c r="BK331" s="8"/>
      <c r="BL331" s="2" t="s">
        <v>231</v>
      </c>
      <c r="BM331" s="7"/>
      <c r="BN331" s="7"/>
      <c r="BO331" s="4"/>
      <c r="BP331" s="8"/>
      <c r="BQ331" s="4"/>
      <c r="BR331" s="8"/>
      <c r="BS331" s="7"/>
      <c r="BT331" s="7"/>
      <c r="BU331" s="2" t="s">
        <v>241</v>
      </c>
      <c r="BV331" s="2" t="s">
        <v>231</v>
      </c>
      <c r="BW331" s="2" t="s">
        <v>231</v>
      </c>
      <c r="BX331" s="2" t="s">
        <v>2109</v>
      </c>
      <c r="BY331" s="2" t="s">
        <v>242</v>
      </c>
      <c r="BZ331" s="2" t="s">
        <v>243</v>
      </c>
      <c r="CA331" s="2" t="s">
        <v>231</v>
      </c>
      <c r="CB331" s="2" t="s">
        <v>231</v>
      </c>
      <c r="CC331" s="2" t="s">
        <v>244</v>
      </c>
      <c r="CD331" s="2" t="s">
        <v>231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>
        <v>138</v>
      </c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>
        <v>320</v>
      </c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>
        <v>99</v>
      </c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>
        <v>230</v>
      </c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</row>
    <row r="332">
      <c r="A332" s="2" t="s">
        <v>2127</v>
      </c>
      <c r="B332" s="2" t="s">
        <v>226</v>
      </c>
      <c r="C332" s="2" t="s">
        <v>825</v>
      </c>
      <c r="D332" s="2" t="s">
        <v>654</v>
      </c>
      <c r="E332" s="2" t="s">
        <v>890</v>
      </c>
      <c r="F332" s="2" t="s">
        <v>2104</v>
      </c>
      <c r="G332" s="2" t="s">
        <v>2105</v>
      </c>
      <c r="H332" s="2" t="s">
        <v>2106</v>
      </c>
      <c r="I332" s="2" t="s">
        <v>2107</v>
      </c>
      <c r="J332" s="2" t="s">
        <v>658</v>
      </c>
      <c r="K332" s="2" t="s">
        <v>2125</v>
      </c>
      <c r="L332" s="3">
        <v>33.44</v>
      </c>
      <c r="M332" s="3">
        <v>35.11</v>
      </c>
      <c r="N332" s="3">
        <v>74.99</v>
      </c>
      <c r="O332" s="2" t="s">
        <v>243</v>
      </c>
      <c r="P332" s="2" t="s">
        <v>236</v>
      </c>
      <c r="Q332" s="2" t="s">
        <v>237</v>
      </c>
      <c r="R332" s="2" t="s">
        <v>231</v>
      </c>
      <c r="S332" s="2" t="s">
        <v>2126</v>
      </c>
      <c r="T332" s="2" t="s">
        <v>1432</v>
      </c>
      <c r="U332" s="2" t="s">
        <v>835</v>
      </c>
      <c r="V332" s="2" t="s">
        <v>391</v>
      </c>
      <c r="W332" s="2" t="s">
        <v>273</v>
      </c>
      <c r="X332" s="2" t="s">
        <v>971</v>
      </c>
      <c r="Y332" s="2" t="s">
        <v>231</v>
      </c>
      <c r="Z332" s="4"/>
      <c r="AA332" s="4">
        <f>=ROUNDDOWN({0},0)</f>
      </c>
      <c r="AB332" s="5">
        <v>36</v>
      </c>
      <c r="AC332" s="2" t="s">
        <v>392</v>
      </c>
      <c r="AD332" s="4">
        <v>370</v>
      </c>
      <c r="AE332" s="4">
        <v>2084</v>
      </c>
      <c r="AF332" s="6">
        <v>65</v>
      </c>
      <c r="AG332" s="6">
        <v>48</v>
      </c>
      <c r="AH332" s="7">
        <v>0</v>
      </c>
      <c r="AI332" s="4"/>
      <c r="AJ332" s="4">
        <f>=ROUNDDOWN({0},0)</f>
      </c>
      <c r="AK332" s="5"/>
      <c r="AL332" s="2" t="s">
        <v>231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231</v>
      </c>
      <c r="AW332" s="8" t="s">
        <v>231</v>
      </c>
      <c r="AX332" s="4" t="s">
        <v>231</v>
      </c>
      <c r="AY332" s="8" t="s">
        <v>231</v>
      </c>
      <c r="AZ332" s="7" t="s">
        <v>231</v>
      </c>
      <c r="BA332" s="7" t="s">
        <v>231</v>
      </c>
      <c r="BB332" s="7"/>
      <c r="BC332" s="4" t="s">
        <v>231</v>
      </c>
      <c r="BD332" s="8" t="s">
        <v>231</v>
      </c>
      <c r="BE332" s="4" t="s">
        <v>231</v>
      </c>
      <c r="BF332" s="8" t="s">
        <v>231</v>
      </c>
      <c r="BG332" s="7" t="s">
        <v>231</v>
      </c>
      <c r="BH332" s="7" t="s">
        <v>231</v>
      </c>
      <c r="BI332" s="7"/>
      <c r="BJ332" s="4"/>
      <c r="BK332" s="8"/>
      <c r="BL332" s="2" t="s">
        <v>231</v>
      </c>
      <c r="BM332" s="7"/>
      <c r="BN332" s="7"/>
      <c r="BO332" s="4"/>
      <c r="BP332" s="8"/>
      <c r="BQ332" s="4"/>
      <c r="BR332" s="8"/>
      <c r="BS332" s="7"/>
      <c r="BT332" s="7"/>
      <c r="BU332" s="2" t="s">
        <v>241</v>
      </c>
      <c r="BV332" s="2" t="s">
        <v>231</v>
      </c>
      <c r="BW332" s="2" t="s">
        <v>231</v>
      </c>
      <c r="BX332" s="2" t="s">
        <v>2109</v>
      </c>
      <c r="BY332" s="2" t="s">
        <v>242</v>
      </c>
      <c r="BZ332" s="2" t="s">
        <v>243</v>
      </c>
      <c r="CA332" s="2" t="s">
        <v>231</v>
      </c>
      <c r="CB332" s="2" t="s">
        <v>231</v>
      </c>
      <c r="CC332" s="2" t="s">
        <v>244</v>
      </c>
      <c r="CD332" s="2" t="s">
        <v>231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>
        <v>370</v>
      </c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>
        <v>860</v>
      </c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>
        <v>256</v>
      </c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>
        <v>598</v>
      </c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</row>
    <row r="333">
      <c r="A333" s="2" t="s">
        <v>2128</v>
      </c>
      <c r="B333" s="2" t="s">
        <v>226</v>
      </c>
      <c r="C333" s="2" t="s">
        <v>825</v>
      </c>
      <c r="D333" s="2" t="s">
        <v>654</v>
      </c>
      <c r="E333" s="2" t="s">
        <v>890</v>
      </c>
      <c r="F333" s="2" t="s">
        <v>2104</v>
      </c>
      <c r="G333" s="2" t="s">
        <v>2105</v>
      </c>
      <c r="H333" s="2" t="s">
        <v>2106</v>
      </c>
      <c r="I333" s="2" t="s">
        <v>2107</v>
      </c>
      <c r="J333" s="2" t="s">
        <v>669</v>
      </c>
      <c r="K333" s="2" t="s">
        <v>2125</v>
      </c>
      <c r="L333" s="3">
        <v>37.89</v>
      </c>
      <c r="M333" s="3">
        <v>39.78</v>
      </c>
      <c r="N333" s="3">
        <v>84.99</v>
      </c>
      <c r="O333" s="2" t="s">
        <v>243</v>
      </c>
      <c r="P333" s="2" t="s">
        <v>236</v>
      </c>
      <c r="Q333" s="2" t="s">
        <v>237</v>
      </c>
      <c r="R333" s="2" t="s">
        <v>231</v>
      </c>
      <c r="S333" s="2" t="s">
        <v>2126</v>
      </c>
      <c r="T333" s="2" t="s">
        <v>1432</v>
      </c>
      <c r="U333" s="2" t="s">
        <v>835</v>
      </c>
      <c r="V333" s="2" t="s">
        <v>391</v>
      </c>
      <c r="W333" s="2" t="s">
        <v>273</v>
      </c>
      <c r="X333" s="2" t="s">
        <v>971</v>
      </c>
      <c r="Y333" s="2" t="s">
        <v>231</v>
      </c>
      <c r="Z333" s="4"/>
      <c r="AA333" s="4">
        <f>=ROUNDDOWN({0},0)</f>
      </c>
      <c r="AB333" s="5">
        <v>31</v>
      </c>
      <c r="AC333" s="2" t="s">
        <v>392</v>
      </c>
      <c r="AD333" s="4">
        <v>262</v>
      </c>
      <c r="AE333" s="4">
        <v>1458</v>
      </c>
      <c r="AF333" s="6">
        <v>65</v>
      </c>
      <c r="AG333" s="6">
        <v>48</v>
      </c>
      <c r="AH333" s="7">
        <v>0</v>
      </c>
      <c r="AI333" s="4"/>
      <c r="AJ333" s="4">
        <f>=ROUNDDOWN({0},0)</f>
      </c>
      <c r="AK333" s="5"/>
      <c r="AL333" s="2" t="s">
        <v>231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231</v>
      </c>
      <c r="AW333" s="8" t="s">
        <v>231</v>
      </c>
      <c r="AX333" s="4" t="s">
        <v>231</v>
      </c>
      <c r="AY333" s="8" t="s">
        <v>231</v>
      </c>
      <c r="AZ333" s="7" t="s">
        <v>231</v>
      </c>
      <c r="BA333" s="7" t="s">
        <v>231</v>
      </c>
      <c r="BB333" s="7"/>
      <c r="BC333" s="4" t="s">
        <v>231</v>
      </c>
      <c r="BD333" s="8" t="s">
        <v>231</v>
      </c>
      <c r="BE333" s="4" t="s">
        <v>231</v>
      </c>
      <c r="BF333" s="8" t="s">
        <v>231</v>
      </c>
      <c r="BG333" s="7" t="s">
        <v>231</v>
      </c>
      <c r="BH333" s="7" t="s">
        <v>231</v>
      </c>
      <c r="BI333" s="7"/>
      <c r="BJ333" s="4"/>
      <c r="BK333" s="8"/>
      <c r="BL333" s="2" t="s">
        <v>231</v>
      </c>
      <c r="BM333" s="7"/>
      <c r="BN333" s="7"/>
      <c r="BO333" s="4"/>
      <c r="BP333" s="8"/>
      <c r="BQ333" s="4"/>
      <c r="BR333" s="8"/>
      <c r="BS333" s="7"/>
      <c r="BT333" s="7"/>
      <c r="BU333" s="2" t="s">
        <v>241</v>
      </c>
      <c r="BV333" s="2" t="s">
        <v>231</v>
      </c>
      <c r="BW333" s="2" t="s">
        <v>231</v>
      </c>
      <c r="BX333" s="2" t="s">
        <v>2109</v>
      </c>
      <c r="BY333" s="2" t="s">
        <v>242</v>
      </c>
      <c r="BZ333" s="2" t="s">
        <v>243</v>
      </c>
      <c r="CA333" s="2" t="s">
        <v>231</v>
      </c>
      <c r="CB333" s="2" t="s">
        <v>231</v>
      </c>
      <c r="CC333" s="2" t="s">
        <v>244</v>
      </c>
      <c r="CD333" s="2" t="s">
        <v>231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>
        <v>262</v>
      </c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>
        <v>612</v>
      </c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>
        <v>175</v>
      </c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>
        <v>409</v>
      </c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</row>
    <row r="334">
      <c r="A334" s="2" t="s">
        <v>2129</v>
      </c>
      <c r="B334" s="2" t="s">
        <v>1004</v>
      </c>
      <c r="C334" s="2" t="s">
        <v>867</v>
      </c>
      <c r="D334" s="2" t="s">
        <v>2130</v>
      </c>
      <c r="E334" s="2" t="s">
        <v>2131</v>
      </c>
      <c r="F334" s="2" t="s">
        <v>2132</v>
      </c>
      <c r="G334" s="2" t="s">
        <v>2132</v>
      </c>
      <c r="H334" s="2" t="s">
        <v>2132</v>
      </c>
      <c r="I334" s="2" t="s">
        <v>2133</v>
      </c>
      <c r="J334" s="2" t="s">
        <v>807</v>
      </c>
      <c r="K334" s="2" t="s">
        <v>2134</v>
      </c>
      <c r="L334" s="3">
        <v>285</v>
      </c>
      <c r="M334" s="3">
        <v>299.25</v>
      </c>
      <c r="N334" s="3">
        <v>599</v>
      </c>
      <c r="O334" s="2" t="s">
        <v>243</v>
      </c>
      <c r="P334" s="2" t="s">
        <v>236</v>
      </c>
      <c r="Q334" s="2" t="s">
        <v>237</v>
      </c>
      <c r="R334" s="2" t="s">
        <v>231</v>
      </c>
      <c r="S334" s="2" t="s">
        <v>231</v>
      </c>
      <c r="T334" s="2" t="s">
        <v>231</v>
      </c>
      <c r="U334" s="2" t="s">
        <v>327</v>
      </c>
      <c r="V334" s="2" t="s">
        <v>662</v>
      </c>
      <c r="W334" s="2" t="s">
        <v>896</v>
      </c>
      <c r="X334" s="2" t="s">
        <v>874</v>
      </c>
      <c r="Y334" s="2" t="s">
        <v>1859</v>
      </c>
      <c r="Z334" s="4">
        <v>98</v>
      </c>
      <c r="AA334" s="4">
        <f>=ROUNDDOWN({0},0)</f>
      </c>
      <c r="AB334" s="5"/>
      <c r="AC334" s="2" t="s">
        <v>231</v>
      </c>
      <c r="AD334" s="4"/>
      <c r="AE334" s="4"/>
      <c r="AF334" s="6">
        <v>74</v>
      </c>
      <c r="AG334" s="6"/>
      <c r="AH334" s="7">
        <v>1</v>
      </c>
      <c r="AI334" s="4"/>
      <c r="AJ334" s="4">
        <f>=ROUNDDOWN({0},0)</f>
      </c>
      <c r="AK334" s="5"/>
      <c r="AL334" s="2" t="s">
        <v>231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231</v>
      </c>
      <c r="BM334" s="7"/>
      <c r="BN334" s="7"/>
      <c r="BO334" s="4"/>
      <c r="BP334" s="8"/>
      <c r="BQ334" s="4"/>
      <c r="BR334" s="8"/>
      <c r="BS334" s="7"/>
      <c r="BT334" s="7"/>
      <c r="BU334" s="2" t="s">
        <v>2135</v>
      </c>
      <c r="BV334" s="2" t="s">
        <v>231</v>
      </c>
      <c r="BW334" s="2" t="s">
        <v>231</v>
      </c>
      <c r="BX334" s="2" t="s">
        <v>241</v>
      </c>
      <c r="BY334" s="2" t="s">
        <v>277</v>
      </c>
      <c r="BZ334" s="2" t="s">
        <v>243</v>
      </c>
      <c r="CA334" s="2" t="s">
        <v>2136</v>
      </c>
      <c r="CB334" s="2" t="s">
        <v>231</v>
      </c>
      <c r="CC334" s="2" t="s">
        <v>244</v>
      </c>
      <c r="CD334" s="2" t="s">
        <v>231</v>
      </c>
      <c r="CE334" s="4"/>
      <c r="CF334" s="4">
        <v>98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</row>
    <row r="335">
      <c r="A335" s="2" t="s">
        <v>2137</v>
      </c>
      <c r="B335" s="2" t="s">
        <v>1004</v>
      </c>
      <c r="C335" s="2" t="s">
        <v>815</v>
      </c>
      <c r="D335" s="2" t="s">
        <v>1912</v>
      </c>
      <c r="E335" s="2" t="s">
        <v>1913</v>
      </c>
      <c r="F335" s="2" t="s">
        <v>2138</v>
      </c>
      <c r="G335" s="2" t="s">
        <v>2138</v>
      </c>
      <c r="H335" s="2" t="s">
        <v>2138</v>
      </c>
      <c r="I335" s="2" t="s">
        <v>2139</v>
      </c>
      <c r="J335" s="2" t="s">
        <v>807</v>
      </c>
      <c r="K335" s="2" t="s">
        <v>1655</v>
      </c>
      <c r="L335" s="3">
        <v>117</v>
      </c>
      <c r="M335" s="3">
        <v>122.85</v>
      </c>
      <c r="N335" s="3">
        <v>249</v>
      </c>
      <c r="O335" s="2" t="s">
        <v>243</v>
      </c>
      <c r="P335" s="2" t="s">
        <v>1915</v>
      </c>
      <c r="Q335" s="2" t="s">
        <v>237</v>
      </c>
      <c r="R335" s="2" t="s">
        <v>231</v>
      </c>
      <c r="S335" s="2" t="s">
        <v>231</v>
      </c>
      <c r="T335" s="2" t="s">
        <v>231</v>
      </c>
      <c r="U335" s="2" t="s">
        <v>327</v>
      </c>
      <c r="V335" s="2" t="s">
        <v>662</v>
      </c>
      <c r="W335" s="2" t="s">
        <v>273</v>
      </c>
      <c r="X335" s="2" t="s">
        <v>231</v>
      </c>
      <c r="Y335" s="2" t="s">
        <v>231</v>
      </c>
      <c r="Z335" s="4"/>
      <c r="AA335" s="4">
        <f>=ROUNDDOWN({0},0)</f>
      </c>
      <c r="AB335" s="5"/>
      <c r="AC335" s="2" t="s">
        <v>2140</v>
      </c>
      <c r="AD335" s="4">
        <v>70</v>
      </c>
      <c r="AE335" s="4">
        <v>70</v>
      </c>
      <c r="AF335" s="6">
        <v>66</v>
      </c>
      <c r="AG335" s="6"/>
      <c r="AH335" s="7">
        <v>0</v>
      </c>
      <c r="AI335" s="4"/>
      <c r="AJ335" s="4">
        <f>=ROUNDDOWN({0},0)</f>
      </c>
      <c r="AK335" s="5"/>
      <c r="AL335" s="2" t="s">
        <v>231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231</v>
      </c>
      <c r="BD335" s="8" t="s">
        <v>231</v>
      </c>
      <c r="BE335" s="4" t="s">
        <v>231</v>
      </c>
      <c r="BF335" s="8" t="s">
        <v>231</v>
      </c>
      <c r="BG335" s="7" t="s">
        <v>231</v>
      </c>
      <c r="BH335" s="7" t="s">
        <v>231</v>
      </c>
      <c r="BI335" s="7"/>
      <c r="BJ335" s="4"/>
      <c r="BK335" s="8"/>
      <c r="BL335" s="2" t="s">
        <v>231</v>
      </c>
      <c r="BM335" s="7"/>
      <c r="BN335" s="7"/>
      <c r="BO335" s="4"/>
      <c r="BP335" s="8"/>
      <c r="BQ335" s="4"/>
      <c r="BR335" s="8"/>
      <c r="BS335" s="7"/>
      <c r="BT335" s="7"/>
      <c r="BU335" s="2" t="s">
        <v>241</v>
      </c>
      <c r="BV335" s="2" t="s">
        <v>231</v>
      </c>
      <c r="BW335" s="2" t="s">
        <v>231</v>
      </c>
      <c r="BX335" s="2" t="s">
        <v>241</v>
      </c>
      <c r="BY335" s="2" t="s">
        <v>242</v>
      </c>
      <c r="BZ335" s="2" t="s">
        <v>243</v>
      </c>
      <c r="CA335" s="2" t="s">
        <v>231</v>
      </c>
      <c r="CB335" s="2" t="s">
        <v>231</v>
      </c>
      <c r="CC335" s="2" t="s">
        <v>244</v>
      </c>
      <c r="CD335" s="2" t="s">
        <v>231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>
        <v>70</v>
      </c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</row>
    <row r="336">
      <c r="A336" s="2" t="s">
        <v>2141</v>
      </c>
      <c r="B336" s="2" t="s">
        <v>1004</v>
      </c>
      <c r="C336" s="2" t="s">
        <v>815</v>
      </c>
      <c r="D336" s="2" t="s">
        <v>1912</v>
      </c>
      <c r="E336" s="2" t="s">
        <v>1913</v>
      </c>
      <c r="F336" s="2" t="s">
        <v>2138</v>
      </c>
      <c r="G336" s="2" t="s">
        <v>2138</v>
      </c>
      <c r="H336" s="2" t="s">
        <v>2138</v>
      </c>
      <c r="I336" s="2" t="s">
        <v>2139</v>
      </c>
      <c r="J336" s="2" t="s">
        <v>807</v>
      </c>
      <c r="K336" s="2" t="s">
        <v>1136</v>
      </c>
      <c r="L336" s="3">
        <v>117</v>
      </c>
      <c r="M336" s="3">
        <v>122.85</v>
      </c>
      <c r="N336" s="3">
        <v>249</v>
      </c>
      <c r="O336" s="2" t="s">
        <v>243</v>
      </c>
      <c r="P336" s="2" t="s">
        <v>1915</v>
      </c>
      <c r="Q336" s="2" t="s">
        <v>237</v>
      </c>
      <c r="R336" s="2" t="s">
        <v>231</v>
      </c>
      <c r="S336" s="2" t="s">
        <v>231</v>
      </c>
      <c r="T336" s="2" t="s">
        <v>231</v>
      </c>
      <c r="U336" s="2" t="s">
        <v>327</v>
      </c>
      <c r="V336" s="2" t="s">
        <v>662</v>
      </c>
      <c r="W336" s="2" t="s">
        <v>273</v>
      </c>
      <c r="X336" s="2" t="s">
        <v>231</v>
      </c>
      <c r="Y336" s="2" t="s">
        <v>231</v>
      </c>
      <c r="Z336" s="4"/>
      <c r="AA336" s="4">
        <f>=ROUNDDOWN({0},0)</f>
      </c>
      <c r="AB336" s="5"/>
      <c r="AC336" s="2" t="s">
        <v>2140</v>
      </c>
      <c r="AD336" s="4">
        <v>70</v>
      </c>
      <c r="AE336" s="4">
        <v>70</v>
      </c>
      <c r="AF336" s="6">
        <v>66</v>
      </c>
      <c r="AG336" s="6"/>
      <c r="AH336" s="7">
        <v>0</v>
      </c>
      <c r="AI336" s="4"/>
      <c r="AJ336" s="4">
        <f>=ROUNDDOWN({0},0)</f>
      </c>
      <c r="AK336" s="5"/>
      <c r="AL336" s="2" t="s">
        <v>231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231</v>
      </c>
      <c r="BD336" s="8" t="s">
        <v>231</v>
      </c>
      <c r="BE336" s="4" t="s">
        <v>231</v>
      </c>
      <c r="BF336" s="8" t="s">
        <v>231</v>
      </c>
      <c r="BG336" s="7" t="s">
        <v>231</v>
      </c>
      <c r="BH336" s="7" t="s">
        <v>231</v>
      </c>
      <c r="BI336" s="7"/>
      <c r="BJ336" s="4"/>
      <c r="BK336" s="8"/>
      <c r="BL336" s="2" t="s">
        <v>231</v>
      </c>
      <c r="BM336" s="7"/>
      <c r="BN336" s="7"/>
      <c r="BO336" s="4"/>
      <c r="BP336" s="8"/>
      <c r="BQ336" s="4"/>
      <c r="BR336" s="8"/>
      <c r="BS336" s="7"/>
      <c r="BT336" s="7"/>
      <c r="BU336" s="2" t="s">
        <v>241</v>
      </c>
      <c r="BV336" s="2" t="s">
        <v>231</v>
      </c>
      <c r="BW336" s="2" t="s">
        <v>231</v>
      </c>
      <c r="BX336" s="2" t="s">
        <v>241</v>
      </c>
      <c r="BY336" s="2" t="s">
        <v>242</v>
      </c>
      <c r="BZ336" s="2" t="s">
        <v>243</v>
      </c>
      <c r="CA336" s="2" t="s">
        <v>231</v>
      </c>
      <c r="CB336" s="2" t="s">
        <v>231</v>
      </c>
      <c r="CC336" s="2" t="s">
        <v>244</v>
      </c>
      <c r="CD336" s="2" t="s">
        <v>231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>
        <v>70</v>
      </c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</row>
    <row r="337">
      <c r="A337" s="2" t="s">
        <v>2142</v>
      </c>
      <c r="B337" s="2" t="s">
        <v>1186</v>
      </c>
      <c r="C337" s="2" t="s">
        <v>1017</v>
      </c>
      <c r="D337" s="2" t="s">
        <v>654</v>
      </c>
      <c r="E337" s="2" t="s">
        <v>890</v>
      </c>
      <c r="F337" s="2" t="s">
        <v>2138</v>
      </c>
      <c r="G337" s="2" t="s">
        <v>2143</v>
      </c>
      <c r="H337" s="2" t="s">
        <v>2144</v>
      </c>
      <c r="I337" s="2" t="s">
        <v>2145</v>
      </c>
      <c r="J337" s="2" t="s">
        <v>832</v>
      </c>
      <c r="K337" s="2" t="s">
        <v>253</v>
      </c>
      <c r="L337" s="3">
        <v>23.8</v>
      </c>
      <c r="M337" s="3">
        <v>24.99</v>
      </c>
      <c r="N337" s="3">
        <v>49.99</v>
      </c>
      <c r="O337" s="2" t="s">
        <v>235</v>
      </c>
      <c r="P337" s="2" t="s">
        <v>236</v>
      </c>
      <c r="Q337" s="2" t="s">
        <v>237</v>
      </c>
      <c r="R337" s="2" t="s">
        <v>231</v>
      </c>
      <c r="S337" s="2" t="s">
        <v>2146</v>
      </c>
      <c r="T337" s="2" t="s">
        <v>1432</v>
      </c>
      <c r="U337" s="2" t="s">
        <v>791</v>
      </c>
      <c r="V337" s="2" t="s">
        <v>239</v>
      </c>
      <c r="W337" s="2" t="s">
        <v>273</v>
      </c>
      <c r="X337" s="2" t="s">
        <v>299</v>
      </c>
      <c r="Y337" s="2" t="s">
        <v>231</v>
      </c>
      <c r="Z337" s="4"/>
      <c r="AA337" s="4">
        <f>=ROUNDDOWN({0},0)</f>
      </c>
      <c r="AB337" s="5"/>
      <c r="AC337" s="2" t="s">
        <v>231</v>
      </c>
      <c r="AD337" s="4"/>
      <c r="AE337" s="4"/>
      <c r="AF337" s="6">
        <v>63</v>
      </c>
      <c r="AG337" s="6">
        <v>46</v>
      </c>
      <c r="AH337" s="7">
        <v>0</v>
      </c>
      <c r="AI337" s="4"/>
      <c r="AJ337" s="4">
        <f>=ROUNDDOWN({0},0)</f>
      </c>
      <c r="AK337" s="5"/>
      <c r="AL337" s="2" t="s">
        <v>231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231</v>
      </c>
      <c r="AW337" s="8" t="s">
        <v>231</v>
      </c>
      <c r="AX337" s="4" t="s">
        <v>231</v>
      </c>
      <c r="AY337" s="8" t="s">
        <v>231</v>
      </c>
      <c r="AZ337" s="7" t="s">
        <v>231</v>
      </c>
      <c r="BA337" s="7" t="s">
        <v>231</v>
      </c>
      <c r="BB337" s="7" t="s">
        <v>231</v>
      </c>
      <c r="BC337" s="4" t="s">
        <v>231</v>
      </c>
      <c r="BD337" s="8" t="s">
        <v>231</v>
      </c>
      <c r="BE337" s="4" t="s">
        <v>231</v>
      </c>
      <c r="BF337" s="8" t="s">
        <v>231</v>
      </c>
      <c r="BG337" s="7" t="s">
        <v>231</v>
      </c>
      <c r="BH337" s="7" t="s">
        <v>231</v>
      </c>
      <c r="BI337" s="7"/>
      <c r="BJ337" s="4"/>
      <c r="BK337" s="8"/>
      <c r="BL337" s="2" t="s">
        <v>231</v>
      </c>
      <c r="BM337" s="7"/>
      <c r="BN337" s="7"/>
      <c r="BO337" s="4"/>
      <c r="BP337" s="8"/>
      <c r="BQ337" s="4"/>
      <c r="BR337" s="8"/>
      <c r="BS337" s="7"/>
      <c r="BT337" s="7"/>
      <c r="BU337" s="2" t="s">
        <v>241</v>
      </c>
      <c r="BV337" s="2" t="s">
        <v>231</v>
      </c>
      <c r="BW337" s="2" t="s">
        <v>231</v>
      </c>
      <c r="BX337" s="2" t="s">
        <v>241</v>
      </c>
      <c r="BY337" s="2" t="s">
        <v>242</v>
      </c>
      <c r="BZ337" s="2" t="s">
        <v>243</v>
      </c>
      <c r="CA337" s="2" t="s">
        <v>231</v>
      </c>
      <c r="CB337" s="2" t="s">
        <v>231</v>
      </c>
      <c r="CC337" s="2" t="s">
        <v>244</v>
      </c>
      <c r="CD337" s="2" t="s">
        <v>231</v>
      </c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</row>
    <row r="338">
      <c r="A338" s="2" t="s">
        <v>2147</v>
      </c>
      <c r="B338" s="2" t="s">
        <v>1186</v>
      </c>
      <c r="C338" s="2" t="s">
        <v>1017</v>
      </c>
      <c r="D338" s="2" t="s">
        <v>826</v>
      </c>
      <c r="E338" s="2" t="s">
        <v>1060</v>
      </c>
      <c r="F338" s="2" t="s">
        <v>2138</v>
      </c>
      <c r="G338" s="2" t="s">
        <v>2143</v>
      </c>
      <c r="H338" s="2" t="s">
        <v>2144</v>
      </c>
      <c r="I338" s="2" t="s">
        <v>2148</v>
      </c>
      <c r="J338" s="2" t="s">
        <v>832</v>
      </c>
      <c r="K338" s="2" t="s">
        <v>253</v>
      </c>
      <c r="L338" s="3">
        <v>17.85</v>
      </c>
      <c r="M338" s="3">
        <v>18.74</v>
      </c>
      <c r="N338" s="3">
        <v>37.49</v>
      </c>
      <c r="O338" s="2" t="s">
        <v>235</v>
      </c>
      <c r="P338" s="2" t="s">
        <v>236</v>
      </c>
      <c r="Q338" s="2" t="s">
        <v>237</v>
      </c>
      <c r="R338" s="2" t="s">
        <v>231</v>
      </c>
      <c r="S338" s="2" t="s">
        <v>2146</v>
      </c>
      <c r="T338" s="2" t="s">
        <v>1432</v>
      </c>
      <c r="U338" s="2" t="s">
        <v>791</v>
      </c>
      <c r="V338" s="2" t="s">
        <v>239</v>
      </c>
      <c r="W338" s="2" t="s">
        <v>273</v>
      </c>
      <c r="X338" s="2" t="s">
        <v>299</v>
      </c>
      <c r="Y338" s="2" t="s">
        <v>231</v>
      </c>
      <c r="Z338" s="4"/>
      <c r="AA338" s="4">
        <f>=ROUNDDOWN({0},0)</f>
      </c>
      <c r="AB338" s="5"/>
      <c r="AC338" s="2" t="s">
        <v>231</v>
      </c>
      <c r="AD338" s="4"/>
      <c r="AE338" s="4"/>
      <c r="AF338" s="6">
        <v>63</v>
      </c>
      <c r="AG338" s="6">
        <v>46</v>
      </c>
      <c r="AH338" s="7">
        <v>0</v>
      </c>
      <c r="AI338" s="4"/>
      <c r="AJ338" s="4">
        <f>=ROUNDDOWN({0},0)</f>
      </c>
      <c r="AK338" s="5"/>
      <c r="AL338" s="2" t="s">
        <v>231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231</v>
      </c>
      <c r="AW338" s="8" t="s">
        <v>231</v>
      </c>
      <c r="AX338" s="4" t="s">
        <v>231</v>
      </c>
      <c r="AY338" s="8" t="s">
        <v>231</v>
      </c>
      <c r="AZ338" s="7" t="s">
        <v>231</v>
      </c>
      <c r="BA338" s="7" t="s">
        <v>231</v>
      </c>
      <c r="BB338" s="7" t="s">
        <v>231</v>
      </c>
      <c r="BC338" s="4" t="s">
        <v>231</v>
      </c>
      <c r="BD338" s="8" t="s">
        <v>231</v>
      </c>
      <c r="BE338" s="4" t="s">
        <v>231</v>
      </c>
      <c r="BF338" s="8" t="s">
        <v>231</v>
      </c>
      <c r="BG338" s="7" t="s">
        <v>231</v>
      </c>
      <c r="BH338" s="7" t="s">
        <v>231</v>
      </c>
      <c r="BI338" s="7"/>
      <c r="BJ338" s="4"/>
      <c r="BK338" s="8"/>
      <c r="BL338" s="2" t="s">
        <v>231</v>
      </c>
      <c r="BM338" s="7"/>
      <c r="BN338" s="7"/>
      <c r="BO338" s="4"/>
      <c r="BP338" s="8"/>
      <c r="BQ338" s="4"/>
      <c r="BR338" s="8"/>
      <c r="BS338" s="7"/>
      <c r="BT338" s="7"/>
      <c r="BU338" s="2" t="s">
        <v>241</v>
      </c>
      <c r="BV338" s="2" t="s">
        <v>231</v>
      </c>
      <c r="BW338" s="2" t="s">
        <v>231</v>
      </c>
      <c r="BX338" s="2" t="s">
        <v>241</v>
      </c>
      <c r="BY338" s="2" t="s">
        <v>242</v>
      </c>
      <c r="BZ338" s="2" t="s">
        <v>243</v>
      </c>
      <c r="CA338" s="2" t="s">
        <v>231</v>
      </c>
      <c r="CB338" s="2" t="s">
        <v>231</v>
      </c>
      <c r="CC338" s="2" t="s">
        <v>244</v>
      </c>
      <c r="CD338" s="2" t="s">
        <v>231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</row>
    <row r="339">
      <c r="A339" s="2" t="s">
        <v>2149</v>
      </c>
      <c r="B339" s="2" t="s">
        <v>1186</v>
      </c>
      <c r="C339" s="2" t="s">
        <v>1017</v>
      </c>
      <c r="D339" s="2" t="s">
        <v>654</v>
      </c>
      <c r="E339" s="2" t="s">
        <v>890</v>
      </c>
      <c r="F339" s="2" t="s">
        <v>2138</v>
      </c>
      <c r="G339" s="2" t="s">
        <v>2143</v>
      </c>
      <c r="H339" s="2" t="s">
        <v>2144</v>
      </c>
      <c r="I339" s="2" t="s">
        <v>2145</v>
      </c>
      <c r="J339" s="2" t="s">
        <v>658</v>
      </c>
      <c r="K339" s="2" t="s">
        <v>253</v>
      </c>
      <c r="L339" s="3">
        <v>28.57</v>
      </c>
      <c r="M339" s="3">
        <v>30</v>
      </c>
      <c r="N339" s="3">
        <v>59.99</v>
      </c>
      <c r="O339" s="2" t="s">
        <v>235</v>
      </c>
      <c r="P339" s="2" t="s">
        <v>236</v>
      </c>
      <c r="Q339" s="2" t="s">
        <v>237</v>
      </c>
      <c r="R339" s="2" t="s">
        <v>231</v>
      </c>
      <c r="S339" s="2" t="s">
        <v>2146</v>
      </c>
      <c r="T339" s="2" t="s">
        <v>1432</v>
      </c>
      <c r="U339" s="2" t="s">
        <v>835</v>
      </c>
      <c r="V339" s="2" t="s">
        <v>239</v>
      </c>
      <c r="W339" s="2" t="s">
        <v>273</v>
      </c>
      <c r="X339" s="2" t="s">
        <v>299</v>
      </c>
      <c r="Y339" s="2" t="s">
        <v>231</v>
      </c>
      <c r="Z339" s="4"/>
      <c r="AA339" s="4">
        <f>=ROUNDDOWN({0},0)</f>
      </c>
      <c r="AB339" s="5"/>
      <c r="AC339" s="2" t="s">
        <v>231</v>
      </c>
      <c r="AD339" s="4"/>
      <c r="AE339" s="4"/>
      <c r="AF339" s="6">
        <v>63</v>
      </c>
      <c r="AG339" s="6">
        <v>46</v>
      </c>
      <c r="AH339" s="7">
        <v>0</v>
      </c>
      <c r="AI339" s="4"/>
      <c r="AJ339" s="4">
        <f>=ROUNDDOWN({0},0)</f>
      </c>
      <c r="AK339" s="5"/>
      <c r="AL339" s="2" t="s">
        <v>231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231</v>
      </c>
      <c r="AW339" s="8" t="s">
        <v>231</v>
      </c>
      <c r="AX339" s="4" t="s">
        <v>231</v>
      </c>
      <c r="AY339" s="8" t="s">
        <v>231</v>
      </c>
      <c r="AZ339" s="7" t="s">
        <v>231</v>
      </c>
      <c r="BA339" s="7" t="s">
        <v>231</v>
      </c>
      <c r="BB339" s="7" t="s">
        <v>231</v>
      </c>
      <c r="BC339" s="4" t="s">
        <v>231</v>
      </c>
      <c r="BD339" s="8" t="s">
        <v>231</v>
      </c>
      <c r="BE339" s="4" t="s">
        <v>231</v>
      </c>
      <c r="BF339" s="8" t="s">
        <v>231</v>
      </c>
      <c r="BG339" s="7" t="s">
        <v>231</v>
      </c>
      <c r="BH339" s="7" t="s">
        <v>231</v>
      </c>
      <c r="BI339" s="7"/>
      <c r="BJ339" s="4"/>
      <c r="BK339" s="8"/>
      <c r="BL339" s="2" t="s">
        <v>231</v>
      </c>
      <c r="BM339" s="7"/>
      <c r="BN339" s="7"/>
      <c r="BO339" s="4"/>
      <c r="BP339" s="8"/>
      <c r="BQ339" s="4"/>
      <c r="BR339" s="8"/>
      <c r="BS339" s="7"/>
      <c r="BT339" s="7"/>
      <c r="BU339" s="2" t="s">
        <v>241</v>
      </c>
      <c r="BV339" s="2" t="s">
        <v>231</v>
      </c>
      <c r="BW339" s="2" t="s">
        <v>231</v>
      </c>
      <c r="BX339" s="2" t="s">
        <v>241</v>
      </c>
      <c r="BY339" s="2" t="s">
        <v>242</v>
      </c>
      <c r="BZ339" s="2" t="s">
        <v>243</v>
      </c>
      <c r="CA339" s="2" t="s">
        <v>231</v>
      </c>
      <c r="CB339" s="2" t="s">
        <v>231</v>
      </c>
      <c r="CC339" s="2" t="s">
        <v>244</v>
      </c>
      <c r="CD339" s="2" t="s">
        <v>231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</row>
    <row r="340">
      <c r="A340" s="2" t="s">
        <v>2150</v>
      </c>
      <c r="B340" s="2" t="s">
        <v>1186</v>
      </c>
      <c r="C340" s="2" t="s">
        <v>1017</v>
      </c>
      <c r="D340" s="2" t="s">
        <v>826</v>
      </c>
      <c r="E340" s="2" t="s">
        <v>1060</v>
      </c>
      <c r="F340" s="2" t="s">
        <v>2138</v>
      </c>
      <c r="G340" s="2" t="s">
        <v>2143</v>
      </c>
      <c r="H340" s="2" t="s">
        <v>2144</v>
      </c>
      <c r="I340" s="2" t="s">
        <v>2148</v>
      </c>
      <c r="J340" s="2" t="s">
        <v>658</v>
      </c>
      <c r="K340" s="2" t="s">
        <v>253</v>
      </c>
      <c r="L340" s="3">
        <v>22.61</v>
      </c>
      <c r="M340" s="3">
        <v>23.74</v>
      </c>
      <c r="N340" s="3">
        <v>47.49</v>
      </c>
      <c r="O340" s="2" t="s">
        <v>235</v>
      </c>
      <c r="P340" s="2" t="s">
        <v>236</v>
      </c>
      <c r="Q340" s="2" t="s">
        <v>237</v>
      </c>
      <c r="R340" s="2" t="s">
        <v>231</v>
      </c>
      <c r="S340" s="2" t="s">
        <v>2146</v>
      </c>
      <c r="T340" s="2" t="s">
        <v>1432</v>
      </c>
      <c r="U340" s="2" t="s">
        <v>835</v>
      </c>
      <c r="V340" s="2" t="s">
        <v>239</v>
      </c>
      <c r="W340" s="2" t="s">
        <v>273</v>
      </c>
      <c r="X340" s="2" t="s">
        <v>299</v>
      </c>
      <c r="Y340" s="2" t="s">
        <v>231</v>
      </c>
      <c r="Z340" s="4"/>
      <c r="AA340" s="4">
        <f>=ROUNDDOWN({0},0)</f>
      </c>
      <c r="AB340" s="5"/>
      <c r="AC340" s="2" t="s">
        <v>231</v>
      </c>
      <c r="AD340" s="4"/>
      <c r="AE340" s="4"/>
      <c r="AF340" s="6">
        <v>63</v>
      </c>
      <c r="AG340" s="6">
        <v>46</v>
      </c>
      <c r="AH340" s="7">
        <v>0</v>
      </c>
      <c r="AI340" s="4"/>
      <c r="AJ340" s="4">
        <f>=ROUNDDOWN({0},0)</f>
      </c>
      <c r="AK340" s="5"/>
      <c r="AL340" s="2" t="s">
        <v>231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231</v>
      </c>
      <c r="AW340" s="8" t="s">
        <v>231</v>
      </c>
      <c r="AX340" s="4" t="s">
        <v>231</v>
      </c>
      <c r="AY340" s="8" t="s">
        <v>231</v>
      </c>
      <c r="AZ340" s="7" t="s">
        <v>231</v>
      </c>
      <c r="BA340" s="7" t="s">
        <v>231</v>
      </c>
      <c r="BB340" s="7" t="s">
        <v>231</v>
      </c>
      <c r="BC340" s="4" t="s">
        <v>231</v>
      </c>
      <c r="BD340" s="8" t="s">
        <v>231</v>
      </c>
      <c r="BE340" s="4" t="s">
        <v>231</v>
      </c>
      <c r="BF340" s="8" t="s">
        <v>231</v>
      </c>
      <c r="BG340" s="7" t="s">
        <v>231</v>
      </c>
      <c r="BH340" s="7" t="s">
        <v>231</v>
      </c>
      <c r="BI340" s="7"/>
      <c r="BJ340" s="4"/>
      <c r="BK340" s="8"/>
      <c r="BL340" s="2" t="s">
        <v>231</v>
      </c>
      <c r="BM340" s="7"/>
      <c r="BN340" s="7"/>
      <c r="BO340" s="4"/>
      <c r="BP340" s="8"/>
      <c r="BQ340" s="4"/>
      <c r="BR340" s="8"/>
      <c r="BS340" s="7"/>
      <c r="BT340" s="7"/>
      <c r="BU340" s="2" t="s">
        <v>241</v>
      </c>
      <c r="BV340" s="2" t="s">
        <v>231</v>
      </c>
      <c r="BW340" s="2" t="s">
        <v>231</v>
      </c>
      <c r="BX340" s="2" t="s">
        <v>241</v>
      </c>
      <c r="BY340" s="2" t="s">
        <v>242</v>
      </c>
      <c r="BZ340" s="2" t="s">
        <v>243</v>
      </c>
      <c r="CA340" s="2" t="s">
        <v>231</v>
      </c>
      <c r="CB340" s="2" t="s">
        <v>231</v>
      </c>
      <c r="CC340" s="2" t="s">
        <v>244</v>
      </c>
      <c r="CD340" s="2" t="s">
        <v>231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</row>
    <row r="341">
      <c r="A341" s="2" t="s">
        <v>2151</v>
      </c>
      <c r="B341" s="2" t="s">
        <v>1186</v>
      </c>
      <c r="C341" s="2" t="s">
        <v>1017</v>
      </c>
      <c r="D341" s="2" t="s">
        <v>654</v>
      </c>
      <c r="E341" s="2" t="s">
        <v>890</v>
      </c>
      <c r="F341" s="2" t="s">
        <v>2138</v>
      </c>
      <c r="G341" s="2" t="s">
        <v>2143</v>
      </c>
      <c r="H341" s="2" t="s">
        <v>2144</v>
      </c>
      <c r="I341" s="2" t="s">
        <v>2145</v>
      </c>
      <c r="J341" s="2" t="s">
        <v>669</v>
      </c>
      <c r="K341" s="2" t="s">
        <v>253</v>
      </c>
      <c r="L341" s="3">
        <v>33.33</v>
      </c>
      <c r="M341" s="3">
        <v>35</v>
      </c>
      <c r="N341" s="3">
        <v>69.99</v>
      </c>
      <c r="O341" s="2" t="s">
        <v>235</v>
      </c>
      <c r="P341" s="2" t="s">
        <v>236</v>
      </c>
      <c r="Q341" s="2" t="s">
        <v>237</v>
      </c>
      <c r="R341" s="2" t="s">
        <v>231</v>
      </c>
      <c r="S341" s="2" t="s">
        <v>2146</v>
      </c>
      <c r="T341" s="2" t="s">
        <v>1432</v>
      </c>
      <c r="U341" s="2" t="s">
        <v>835</v>
      </c>
      <c r="V341" s="2" t="s">
        <v>239</v>
      </c>
      <c r="W341" s="2" t="s">
        <v>273</v>
      </c>
      <c r="X341" s="2" t="s">
        <v>299</v>
      </c>
      <c r="Y341" s="2" t="s">
        <v>231</v>
      </c>
      <c r="Z341" s="4"/>
      <c r="AA341" s="4">
        <f>=ROUNDDOWN({0},0)</f>
      </c>
      <c r="AB341" s="5"/>
      <c r="AC341" s="2" t="s">
        <v>231</v>
      </c>
      <c r="AD341" s="4"/>
      <c r="AE341" s="4"/>
      <c r="AF341" s="6">
        <v>63</v>
      </c>
      <c r="AG341" s="6">
        <v>46</v>
      </c>
      <c r="AH341" s="7">
        <v>0</v>
      </c>
      <c r="AI341" s="4"/>
      <c r="AJ341" s="4">
        <f>=ROUNDDOWN({0},0)</f>
      </c>
      <c r="AK341" s="5"/>
      <c r="AL341" s="2" t="s">
        <v>231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231</v>
      </c>
      <c r="AW341" s="8" t="s">
        <v>231</v>
      </c>
      <c r="AX341" s="4" t="s">
        <v>231</v>
      </c>
      <c r="AY341" s="8" t="s">
        <v>231</v>
      </c>
      <c r="AZ341" s="7" t="s">
        <v>231</v>
      </c>
      <c r="BA341" s="7" t="s">
        <v>231</v>
      </c>
      <c r="BB341" s="7" t="s">
        <v>231</v>
      </c>
      <c r="BC341" s="4" t="s">
        <v>231</v>
      </c>
      <c r="BD341" s="8" t="s">
        <v>231</v>
      </c>
      <c r="BE341" s="4" t="s">
        <v>231</v>
      </c>
      <c r="BF341" s="8" t="s">
        <v>231</v>
      </c>
      <c r="BG341" s="7" t="s">
        <v>231</v>
      </c>
      <c r="BH341" s="7" t="s">
        <v>231</v>
      </c>
      <c r="BI341" s="7"/>
      <c r="BJ341" s="4"/>
      <c r="BK341" s="8"/>
      <c r="BL341" s="2" t="s">
        <v>231</v>
      </c>
      <c r="BM341" s="7"/>
      <c r="BN341" s="7"/>
      <c r="BO341" s="4"/>
      <c r="BP341" s="8"/>
      <c r="BQ341" s="4"/>
      <c r="BR341" s="8"/>
      <c r="BS341" s="7"/>
      <c r="BT341" s="7"/>
      <c r="BU341" s="2" t="s">
        <v>241</v>
      </c>
      <c r="BV341" s="2" t="s">
        <v>231</v>
      </c>
      <c r="BW341" s="2" t="s">
        <v>231</v>
      </c>
      <c r="BX341" s="2" t="s">
        <v>241</v>
      </c>
      <c r="BY341" s="2" t="s">
        <v>242</v>
      </c>
      <c r="BZ341" s="2" t="s">
        <v>243</v>
      </c>
      <c r="CA341" s="2" t="s">
        <v>231</v>
      </c>
      <c r="CB341" s="2" t="s">
        <v>231</v>
      </c>
      <c r="CC341" s="2" t="s">
        <v>244</v>
      </c>
      <c r="CD341" s="2" t="s">
        <v>231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</row>
    <row r="342">
      <c r="A342" s="2" t="s">
        <v>2152</v>
      </c>
      <c r="B342" s="2" t="s">
        <v>1186</v>
      </c>
      <c r="C342" s="2" t="s">
        <v>1017</v>
      </c>
      <c r="D342" s="2" t="s">
        <v>826</v>
      </c>
      <c r="E342" s="2" t="s">
        <v>1060</v>
      </c>
      <c r="F342" s="2" t="s">
        <v>2138</v>
      </c>
      <c r="G342" s="2" t="s">
        <v>2143</v>
      </c>
      <c r="H342" s="2" t="s">
        <v>2144</v>
      </c>
      <c r="I342" s="2" t="s">
        <v>2148</v>
      </c>
      <c r="J342" s="2" t="s">
        <v>669</v>
      </c>
      <c r="K342" s="2" t="s">
        <v>253</v>
      </c>
      <c r="L342" s="3">
        <v>27.38</v>
      </c>
      <c r="M342" s="3">
        <v>28.75</v>
      </c>
      <c r="N342" s="3">
        <v>57.49</v>
      </c>
      <c r="O342" s="2" t="s">
        <v>235</v>
      </c>
      <c r="P342" s="2" t="s">
        <v>236</v>
      </c>
      <c r="Q342" s="2" t="s">
        <v>237</v>
      </c>
      <c r="R342" s="2" t="s">
        <v>231</v>
      </c>
      <c r="S342" s="2" t="s">
        <v>2146</v>
      </c>
      <c r="T342" s="2" t="s">
        <v>1432</v>
      </c>
      <c r="U342" s="2" t="s">
        <v>835</v>
      </c>
      <c r="V342" s="2" t="s">
        <v>239</v>
      </c>
      <c r="W342" s="2" t="s">
        <v>273</v>
      </c>
      <c r="X342" s="2" t="s">
        <v>299</v>
      </c>
      <c r="Y342" s="2" t="s">
        <v>231</v>
      </c>
      <c r="Z342" s="4"/>
      <c r="AA342" s="4">
        <f>=ROUNDDOWN({0},0)</f>
      </c>
      <c r="AB342" s="5"/>
      <c r="AC342" s="2" t="s">
        <v>231</v>
      </c>
      <c r="AD342" s="4"/>
      <c r="AE342" s="4"/>
      <c r="AF342" s="6">
        <v>63</v>
      </c>
      <c r="AG342" s="6">
        <v>46</v>
      </c>
      <c r="AH342" s="7">
        <v>0</v>
      </c>
      <c r="AI342" s="4"/>
      <c r="AJ342" s="4">
        <f>=ROUNDDOWN({0},0)</f>
      </c>
      <c r="AK342" s="5"/>
      <c r="AL342" s="2" t="s">
        <v>231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231</v>
      </c>
      <c r="AW342" s="8" t="s">
        <v>231</v>
      </c>
      <c r="AX342" s="4" t="s">
        <v>231</v>
      </c>
      <c r="AY342" s="8" t="s">
        <v>231</v>
      </c>
      <c r="AZ342" s="7" t="s">
        <v>231</v>
      </c>
      <c r="BA342" s="7" t="s">
        <v>231</v>
      </c>
      <c r="BB342" s="7" t="s">
        <v>231</v>
      </c>
      <c r="BC342" s="4" t="s">
        <v>231</v>
      </c>
      <c r="BD342" s="8" t="s">
        <v>231</v>
      </c>
      <c r="BE342" s="4" t="s">
        <v>231</v>
      </c>
      <c r="BF342" s="8" t="s">
        <v>231</v>
      </c>
      <c r="BG342" s="7" t="s">
        <v>231</v>
      </c>
      <c r="BH342" s="7" t="s">
        <v>231</v>
      </c>
      <c r="BI342" s="7"/>
      <c r="BJ342" s="4"/>
      <c r="BK342" s="8"/>
      <c r="BL342" s="2" t="s">
        <v>231</v>
      </c>
      <c r="BM342" s="7"/>
      <c r="BN342" s="7"/>
      <c r="BO342" s="4"/>
      <c r="BP342" s="8"/>
      <c r="BQ342" s="4"/>
      <c r="BR342" s="8"/>
      <c r="BS342" s="7"/>
      <c r="BT342" s="7"/>
      <c r="BU342" s="2" t="s">
        <v>241</v>
      </c>
      <c r="BV342" s="2" t="s">
        <v>231</v>
      </c>
      <c r="BW342" s="2" t="s">
        <v>231</v>
      </c>
      <c r="BX342" s="2" t="s">
        <v>241</v>
      </c>
      <c r="BY342" s="2" t="s">
        <v>242</v>
      </c>
      <c r="BZ342" s="2" t="s">
        <v>243</v>
      </c>
      <c r="CA342" s="2" t="s">
        <v>231</v>
      </c>
      <c r="CB342" s="2" t="s">
        <v>231</v>
      </c>
      <c r="CC342" s="2" t="s">
        <v>244</v>
      </c>
      <c r="CD342" s="2" t="s">
        <v>231</v>
      </c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</row>
    <row r="343">
      <c r="A343" s="2" t="s">
        <v>2153</v>
      </c>
      <c r="B343" s="2" t="s">
        <v>1186</v>
      </c>
      <c r="C343" s="2" t="s">
        <v>1017</v>
      </c>
      <c r="D343" s="2" t="s">
        <v>654</v>
      </c>
      <c r="E343" s="2" t="s">
        <v>890</v>
      </c>
      <c r="F343" s="2" t="s">
        <v>2138</v>
      </c>
      <c r="G343" s="2" t="s">
        <v>2143</v>
      </c>
      <c r="H343" s="2" t="s">
        <v>2144</v>
      </c>
      <c r="I343" s="2" t="s">
        <v>2145</v>
      </c>
      <c r="J343" s="2" t="s">
        <v>832</v>
      </c>
      <c r="K343" s="2" t="s">
        <v>1800</v>
      </c>
      <c r="L343" s="3">
        <v>23.8</v>
      </c>
      <c r="M343" s="3">
        <v>24.99</v>
      </c>
      <c r="N343" s="3">
        <v>49.99</v>
      </c>
      <c r="O343" s="2" t="s">
        <v>235</v>
      </c>
      <c r="P343" s="2" t="s">
        <v>236</v>
      </c>
      <c r="Q343" s="2" t="s">
        <v>237</v>
      </c>
      <c r="R343" s="2" t="s">
        <v>231</v>
      </c>
      <c r="S343" s="2" t="s">
        <v>2154</v>
      </c>
      <c r="T343" s="2" t="s">
        <v>1432</v>
      </c>
      <c r="U343" s="2" t="s">
        <v>791</v>
      </c>
      <c r="V343" s="2" t="s">
        <v>239</v>
      </c>
      <c r="W343" s="2" t="s">
        <v>273</v>
      </c>
      <c r="X343" s="2" t="s">
        <v>299</v>
      </c>
      <c r="Y343" s="2" t="s">
        <v>231</v>
      </c>
      <c r="Z343" s="4"/>
      <c r="AA343" s="4">
        <f>=ROUNDDOWN({0},0)</f>
      </c>
      <c r="AB343" s="5"/>
      <c r="AC343" s="2" t="s">
        <v>231</v>
      </c>
      <c r="AD343" s="4"/>
      <c r="AE343" s="4"/>
      <c r="AF343" s="6">
        <v>63</v>
      </c>
      <c r="AG343" s="6">
        <v>46</v>
      </c>
      <c r="AH343" s="7">
        <v>0</v>
      </c>
      <c r="AI343" s="4"/>
      <c r="AJ343" s="4">
        <f>=ROUNDDOWN({0},0)</f>
      </c>
      <c r="AK343" s="5"/>
      <c r="AL343" s="2" t="s">
        <v>231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231</v>
      </c>
      <c r="AW343" s="8" t="s">
        <v>231</v>
      </c>
      <c r="AX343" s="4" t="s">
        <v>231</v>
      </c>
      <c r="AY343" s="8" t="s">
        <v>231</v>
      </c>
      <c r="AZ343" s="7" t="s">
        <v>231</v>
      </c>
      <c r="BA343" s="7" t="s">
        <v>231</v>
      </c>
      <c r="BB343" s="7" t="s">
        <v>231</v>
      </c>
      <c r="BC343" s="4" t="s">
        <v>231</v>
      </c>
      <c r="BD343" s="8" t="s">
        <v>231</v>
      </c>
      <c r="BE343" s="4" t="s">
        <v>231</v>
      </c>
      <c r="BF343" s="8" t="s">
        <v>231</v>
      </c>
      <c r="BG343" s="7" t="s">
        <v>231</v>
      </c>
      <c r="BH343" s="7" t="s">
        <v>231</v>
      </c>
      <c r="BI343" s="7"/>
      <c r="BJ343" s="4"/>
      <c r="BK343" s="8"/>
      <c r="BL343" s="2" t="s">
        <v>231</v>
      </c>
      <c r="BM343" s="7"/>
      <c r="BN343" s="7"/>
      <c r="BO343" s="4"/>
      <c r="BP343" s="8"/>
      <c r="BQ343" s="4"/>
      <c r="BR343" s="8"/>
      <c r="BS343" s="7"/>
      <c r="BT343" s="7"/>
      <c r="BU343" s="2" t="s">
        <v>241</v>
      </c>
      <c r="BV343" s="2" t="s">
        <v>231</v>
      </c>
      <c r="BW343" s="2" t="s">
        <v>231</v>
      </c>
      <c r="BX343" s="2" t="s">
        <v>241</v>
      </c>
      <c r="BY343" s="2" t="s">
        <v>242</v>
      </c>
      <c r="BZ343" s="2" t="s">
        <v>243</v>
      </c>
      <c r="CA343" s="2" t="s">
        <v>231</v>
      </c>
      <c r="CB343" s="2" t="s">
        <v>231</v>
      </c>
      <c r="CC343" s="2" t="s">
        <v>244</v>
      </c>
      <c r="CD343" s="2" t="s">
        <v>231</v>
      </c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</row>
    <row r="344">
      <c r="A344" s="2" t="s">
        <v>2155</v>
      </c>
      <c r="B344" s="2" t="s">
        <v>1186</v>
      </c>
      <c r="C344" s="2" t="s">
        <v>1017</v>
      </c>
      <c r="D344" s="2" t="s">
        <v>826</v>
      </c>
      <c r="E344" s="2" t="s">
        <v>1060</v>
      </c>
      <c r="F344" s="2" t="s">
        <v>2138</v>
      </c>
      <c r="G344" s="2" t="s">
        <v>2143</v>
      </c>
      <c r="H344" s="2" t="s">
        <v>2144</v>
      </c>
      <c r="I344" s="2" t="s">
        <v>2148</v>
      </c>
      <c r="J344" s="2" t="s">
        <v>832</v>
      </c>
      <c r="K344" s="2" t="s">
        <v>1800</v>
      </c>
      <c r="L344" s="3">
        <v>17.85</v>
      </c>
      <c r="M344" s="3">
        <v>18.74</v>
      </c>
      <c r="N344" s="3">
        <v>37.49</v>
      </c>
      <c r="O344" s="2" t="s">
        <v>235</v>
      </c>
      <c r="P344" s="2" t="s">
        <v>236</v>
      </c>
      <c r="Q344" s="2" t="s">
        <v>237</v>
      </c>
      <c r="R344" s="2" t="s">
        <v>231</v>
      </c>
      <c r="S344" s="2" t="s">
        <v>2154</v>
      </c>
      <c r="T344" s="2" t="s">
        <v>1432</v>
      </c>
      <c r="U344" s="2" t="s">
        <v>791</v>
      </c>
      <c r="V344" s="2" t="s">
        <v>239</v>
      </c>
      <c r="W344" s="2" t="s">
        <v>273</v>
      </c>
      <c r="X344" s="2" t="s">
        <v>299</v>
      </c>
      <c r="Y344" s="2" t="s">
        <v>231</v>
      </c>
      <c r="Z344" s="4"/>
      <c r="AA344" s="4">
        <f>=ROUNDDOWN({0},0)</f>
      </c>
      <c r="AB344" s="5"/>
      <c r="AC344" s="2" t="s">
        <v>231</v>
      </c>
      <c r="AD344" s="4"/>
      <c r="AE344" s="4"/>
      <c r="AF344" s="6">
        <v>63</v>
      </c>
      <c r="AG344" s="6">
        <v>46</v>
      </c>
      <c r="AH344" s="7">
        <v>0</v>
      </c>
      <c r="AI344" s="4"/>
      <c r="AJ344" s="4">
        <f>=ROUNDDOWN({0},0)</f>
      </c>
      <c r="AK344" s="5"/>
      <c r="AL344" s="2" t="s">
        <v>231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231</v>
      </c>
      <c r="AW344" s="8" t="s">
        <v>231</v>
      </c>
      <c r="AX344" s="4" t="s">
        <v>231</v>
      </c>
      <c r="AY344" s="8" t="s">
        <v>231</v>
      </c>
      <c r="AZ344" s="7" t="s">
        <v>231</v>
      </c>
      <c r="BA344" s="7" t="s">
        <v>231</v>
      </c>
      <c r="BB344" s="7" t="s">
        <v>231</v>
      </c>
      <c r="BC344" s="4" t="s">
        <v>231</v>
      </c>
      <c r="BD344" s="8" t="s">
        <v>231</v>
      </c>
      <c r="BE344" s="4" t="s">
        <v>231</v>
      </c>
      <c r="BF344" s="8" t="s">
        <v>231</v>
      </c>
      <c r="BG344" s="7" t="s">
        <v>231</v>
      </c>
      <c r="BH344" s="7" t="s">
        <v>231</v>
      </c>
      <c r="BI344" s="7"/>
      <c r="BJ344" s="4"/>
      <c r="BK344" s="8"/>
      <c r="BL344" s="2" t="s">
        <v>231</v>
      </c>
      <c r="BM344" s="7"/>
      <c r="BN344" s="7"/>
      <c r="BO344" s="4"/>
      <c r="BP344" s="8"/>
      <c r="BQ344" s="4"/>
      <c r="BR344" s="8"/>
      <c r="BS344" s="7"/>
      <c r="BT344" s="7"/>
      <c r="BU344" s="2" t="s">
        <v>241</v>
      </c>
      <c r="BV344" s="2" t="s">
        <v>231</v>
      </c>
      <c r="BW344" s="2" t="s">
        <v>231</v>
      </c>
      <c r="BX344" s="2" t="s">
        <v>241</v>
      </c>
      <c r="BY344" s="2" t="s">
        <v>242</v>
      </c>
      <c r="BZ344" s="2" t="s">
        <v>243</v>
      </c>
      <c r="CA344" s="2" t="s">
        <v>231</v>
      </c>
      <c r="CB344" s="2" t="s">
        <v>231</v>
      </c>
      <c r="CC344" s="2" t="s">
        <v>244</v>
      </c>
      <c r="CD344" s="2" t="s">
        <v>231</v>
      </c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</row>
    <row r="345">
      <c r="A345" s="2" t="s">
        <v>2156</v>
      </c>
      <c r="B345" s="2" t="s">
        <v>1186</v>
      </c>
      <c r="C345" s="2" t="s">
        <v>1017</v>
      </c>
      <c r="D345" s="2" t="s">
        <v>654</v>
      </c>
      <c r="E345" s="2" t="s">
        <v>890</v>
      </c>
      <c r="F345" s="2" t="s">
        <v>2138</v>
      </c>
      <c r="G345" s="2" t="s">
        <v>2143</v>
      </c>
      <c r="H345" s="2" t="s">
        <v>2144</v>
      </c>
      <c r="I345" s="2" t="s">
        <v>2145</v>
      </c>
      <c r="J345" s="2" t="s">
        <v>658</v>
      </c>
      <c r="K345" s="2" t="s">
        <v>1800</v>
      </c>
      <c r="L345" s="3">
        <v>28.57</v>
      </c>
      <c r="M345" s="3">
        <v>30</v>
      </c>
      <c r="N345" s="3">
        <v>59.99</v>
      </c>
      <c r="O345" s="2" t="s">
        <v>235</v>
      </c>
      <c r="P345" s="2" t="s">
        <v>236</v>
      </c>
      <c r="Q345" s="2" t="s">
        <v>237</v>
      </c>
      <c r="R345" s="2" t="s">
        <v>231</v>
      </c>
      <c r="S345" s="2" t="s">
        <v>2154</v>
      </c>
      <c r="T345" s="2" t="s">
        <v>1432</v>
      </c>
      <c r="U345" s="2" t="s">
        <v>835</v>
      </c>
      <c r="V345" s="2" t="s">
        <v>239</v>
      </c>
      <c r="W345" s="2" t="s">
        <v>273</v>
      </c>
      <c r="X345" s="2" t="s">
        <v>299</v>
      </c>
      <c r="Y345" s="2" t="s">
        <v>231</v>
      </c>
      <c r="Z345" s="4"/>
      <c r="AA345" s="4">
        <f>=ROUNDDOWN({0},0)</f>
      </c>
      <c r="AB345" s="5"/>
      <c r="AC345" s="2" t="s">
        <v>231</v>
      </c>
      <c r="AD345" s="4"/>
      <c r="AE345" s="4"/>
      <c r="AF345" s="6">
        <v>63</v>
      </c>
      <c r="AG345" s="6">
        <v>46</v>
      </c>
      <c r="AH345" s="7">
        <v>0</v>
      </c>
      <c r="AI345" s="4"/>
      <c r="AJ345" s="4">
        <f>=ROUNDDOWN({0},0)</f>
      </c>
      <c r="AK345" s="5"/>
      <c r="AL345" s="2" t="s">
        <v>231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231</v>
      </c>
      <c r="AW345" s="8" t="s">
        <v>231</v>
      </c>
      <c r="AX345" s="4" t="s">
        <v>231</v>
      </c>
      <c r="AY345" s="8" t="s">
        <v>231</v>
      </c>
      <c r="AZ345" s="7" t="s">
        <v>231</v>
      </c>
      <c r="BA345" s="7" t="s">
        <v>231</v>
      </c>
      <c r="BB345" s="7" t="s">
        <v>231</v>
      </c>
      <c r="BC345" s="4" t="s">
        <v>231</v>
      </c>
      <c r="BD345" s="8" t="s">
        <v>231</v>
      </c>
      <c r="BE345" s="4" t="s">
        <v>231</v>
      </c>
      <c r="BF345" s="8" t="s">
        <v>231</v>
      </c>
      <c r="BG345" s="7" t="s">
        <v>231</v>
      </c>
      <c r="BH345" s="7" t="s">
        <v>231</v>
      </c>
      <c r="BI345" s="7"/>
      <c r="BJ345" s="4"/>
      <c r="BK345" s="8"/>
      <c r="BL345" s="2" t="s">
        <v>231</v>
      </c>
      <c r="BM345" s="7"/>
      <c r="BN345" s="7"/>
      <c r="BO345" s="4"/>
      <c r="BP345" s="8"/>
      <c r="BQ345" s="4"/>
      <c r="BR345" s="8"/>
      <c r="BS345" s="7"/>
      <c r="BT345" s="7"/>
      <c r="BU345" s="2" t="s">
        <v>241</v>
      </c>
      <c r="BV345" s="2" t="s">
        <v>231</v>
      </c>
      <c r="BW345" s="2" t="s">
        <v>231</v>
      </c>
      <c r="BX345" s="2" t="s">
        <v>241</v>
      </c>
      <c r="BY345" s="2" t="s">
        <v>242</v>
      </c>
      <c r="BZ345" s="2" t="s">
        <v>243</v>
      </c>
      <c r="CA345" s="2" t="s">
        <v>231</v>
      </c>
      <c r="CB345" s="2" t="s">
        <v>231</v>
      </c>
      <c r="CC345" s="2" t="s">
        <v>244</v>
      </c>
      <c r="CD345" s="2" t="s">
        <v>231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</row>
    <row r="346">
      <c r="A346" s="2" t="s">
        <v>2157</v>
      </c>
      <c r="B346" s="2" t="s">
        <v>1186</v>
      </c>
      <c r="C346" s="2" t="s">
        <v>1017</v>
      </c>
      <c r="D346" s="2" t="s">
        <v>826</v>
      </c>
      <c r="E346" s="2" t="s">
        <v>1060</v>
      </c>
      <c r="F346" s="2" t="s">
        <v>2138</v>
      </c>
      <c r="G346" s="2" t="s">
        <v>2143</v>
      </c>
      <c r="H346" s="2" t="s">
        <v>2144</v>
      </c>
      <c r="I346" s="2" t="s">
        <v>2148</v>
      </c>
      <c r="J346" s="2" t="s">
        <v>658</v>
      </c>
      <c r="K346" s="2" t="s">
        <v>1800</v>
      </c>
      <c r="L346" s="3">
        <v>22.61</v>
      </c>
      <c r="M346" s="3">
        <v>23.74</v>
      </c>
      <c r="N346" s="3">
        <v>47.49</v>
      </c>
      <c r="O346" s="2" t="s">
        <v>235</v>
      </c>
      <c r="P346" s="2" t="s">
        <v>236</v>
      </c>
      <c r="Q346" s="2" t="s">
        <v>237</v>
      </c>
      <c r="R346" s="2" t="s">
        <v>231</v>
      </c>
      <c r="S346" s="2" t="s">
        <v>2154</v>
      </c>
      <c r="T346" s="2" t="s">
        <v>1432</v>
      </c>
      <c r="U346" s="2" t="s">
        <v>835</v>
      </c>
      <c r="V346" s="2" t="s">
        <v>239</v>
      </c>
      <c r="W346" s="2" t="s">
        <v>273</v>
      </c>
      <c r="X346" s="2" t="s">
        <v>299</v>
      </c>
      <c r="Y346" s="2" t="s">
        <v>231</v>
      </c>
      <c r="Z346" s="4"/>
      <c r="AA346" s="4">
        <f>=ROUNDDOWN({0},0)</f>
      </c>
      <c r="AB346" s="5"/>
      <c r="AC346" s="2" t="s">
        <v>231</v>
      </c>
      <c r="AD346" s="4"/>
      <c r="AE346" s="4"/>
      <c r="AF346" s="6">
        <v>63</v>
      </c>
      <c r="AG346" s="6">
        <v>46</v>
      </c>
      <c r="AH346" s="7">
        <v>0</v>
      </c>
      <c r="AI346" s="4"/>
      <c r="AJ346" s="4">
        <f>=ROUNDDOWN({0},0)</f>
      </c>
      <c r="AK346" s="5"/>
      <c r="AL346" s="2" t="s">
        <v>231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231</v>
      </c>
      <c r="AW346" s="8" t="s">
        <v>231</v>
      </c>
      <c r="AX346" s="4" t="s">
        <v>231</v>
      </c>
      <c r="AY346" s="8" t="s">
        <v>231</v>
      </c>
      <c r="AZ346" s="7" t="s">
        <v>231</v>
      </c>
      <c r="BA346" s="7" t="s">
        <v>231</v>
      </c>
      <c r="BB346" s="7" t="s">
        <v>231</v>
      </c>
      <c r="BC346" s="4" t="s">
        <v>231</v>
      </c>
      <c r="BD346" s="8" t="s">
        <v>231</v>
      </c>
      <c r="BE346" s="4" t="s">
        <v>231</v>
      </c>
      <c r="BF346" s="8" t="s">
        <v>231</v>
      </c>
      <c r="BG346" s="7" t="s">
        <v>231</v>
      </c>
      <c r="BH346" s="7" t="s">
        <v>231</v>
      </c>
      <c r="BI346" s="7"/>
      <c r="BJ346" s="4"/>
      <c r="BK346" s="8"/>
      <c r="BL346" s="2" t="s">
        <v>231</v>
      </c>
      <c r="BM346" s="7"/>
      <c r="BN346" s="7"/>
      <c r="BO346" s="4"/>
      <c r="BP346" s="8"/>
      <c r="BQ346" s="4"/>
      <c r="BR346" s="8"/>
      <c r="BS346" s="7"/>
      <c r="BT346" s="7"/>
      <c r="BU346" s="2" t="s">
        <v>241</v>
      </c>
      <c r="BV346" s="2" t="s">
        <v>231</v>
      </c>
      <c r="BW346" s="2" t="s">
        <v>231</v>
      </c>
      <c r="BX346" s="2" t="s">
        <v>241</v>
      </c>
      <c r="BY346" s="2" t="s">
        <v>242</v>
      </c>
      <c r="BZ346" s="2" t="s">
        <v>243</v>
      </c>
      <c r="CA346" s="2" t="s">
        <v>231</v>
      </c>
      <c r="CB346" s="2" t="s">
        <v>231</v>
      </c>
      <c r="CC346" s="2" t="s">
        <v>244</v>
      </c>
      <c r="CD346" s="2" t="s">
        <v>231</v>
      </c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</row>
    <row r="347">
      <c r="A347" s="2" t="s">
        <v>2158</v>
      </c>
      <c r="B347" s="2" t="s">
        <v>1186</v>
      </c>
      <c r="C347" s="2" t="s">
        <v>1017</v>
      </c>
      <c r="D347" s="2" t="s">
        <v>654</v>
      </c>
      <c r="E347" s="2" t="s">
        <v>890</v>
      </c>
      <c r="F347" s="2" t="s">
        <v>2138</v>
      </c>
      <c r="G347" s="2" t="s">
        <v>2143</v>
      </c>
      <c r="H347" s="2" t="s">
        <v>2144</v>
      </c>
      <c r="I347" s="2" t="s">
        <v>2145</v>
      </c>
      <c r="J347" s="2" t="s">
        <v>669</v>
      </c>
      <c r="K347" s="2" t="s">
        <v>1800</v>
      </c>
      <c r="L347" s="3">
        <v>33.33</v>
      </c>
      <c r="M347" s="3">
        <v>35</v>
      </c>
      <c r="N347" s="3">
        <v>69.99</v>
      </c>
      <c r="O347" s="2" t="s">
        <v>235</v>
      </c>
      <c r="P347" s="2" t="s">
        <v>236</v>
      </c>
      <c r="Q347" s="2" t="s">
        <v>237</v>
      </c>
      <c r="R347" s="2" t="s">
        <v>231</v>
      </c>
      <c r="S347" s="2" t="s">
        <v>2154</v>
      </c>
      <c r="T347" s="2" t="s">
        <v>1432</v>
      </c>
      <c r="U347" s="2" t="s">
        <v>835</v>
      </c>
      <c r="V347" s="2" t="s">
        <v>239</v>
      </c>
      <c r="W347" s="2" t="s">
        <v>273</v>
      </c>
      <c r="X347" s="2" t="s">
        <v>299</v>
      </c>
      <c r="Y347" s="2" t="s">
        <v>231</v>
      </c>
      <c r="Z347" s="4"/>
      <c r="AA347" s="4">
        <f>=ROUNDDOWN({0},0)</f>
      </c>
      <c r="AB347" s="5"/>
      <c r="AC347" s="2" t="s">
        <v>231</v>
      </c>
      <c r="AD347" s="4"/>
      <c r="AE347" s="4"/>
      <c r="AF347" s="6">
        <v>63</v>
      </c>
      <c r="AG347" s="6">
        <v>46</v>
      </c>
      <c r="AH347" s="7">
        <v>0</v>
      </c>
      <c r="AI347" s="4"/>
      <c r="AJ347" s="4">
        <f>=ROUNDDOWN({0},0)</f>
      </c>
      <c r="AK347" s="5"/>
      <c r="AL347" s="2" t="s">
        <v>231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231</v>
      </c>
      <c r="AW347" s="8" t="s">
        <v>231</v>
      </c>
      <c r="AX347" s="4" t="s">
        <v>231</v>
      </c>
      <c r="AY347" s="8" t="s">
        <v>231</v>
      </c>
      <c r="AZ347" s="7" t="s">
        <v>231</v>
      </c>
      <c r="BA347" s="7" t="s">
        <v>231</v>
      </c>
      <c r="BB347" s="7" t="s">
        <v>231</v>
      </c>
      <c r="BC347" s="4" t="s">
        <v>231</v>
      </c>
      <c r="BD347" s="8" t="s">
        <v>231</v>
      </c>
      <c r="BE347" s="4" t="s">
        <v>231</v>
      </c>
      <c r="BF347" s="8" t="s">
        <v>231</v>
      </c>
      <c r="BG347" s="7" t="s">
        <v>231</v>
      </c>
      <c r="BH347" s="7" t="s">
        <v>231</v>
      </c>
      <c r="BI347" s="7"/>
      <c r="BJ347" s="4"/>
      <c r="BK347" s="8"/>
      <c r="BL347" s="2" t="s">
        <v>231</v>
      </c>
      <c r="BM347" s="7"/>
      <c r="BN347" s="7"/>
      <c r="BO347" s="4"/>
      <c r="BP347" s="8"/>
      <c r="BQ347" s="4"/>
      <c r="BR347" s="8"/>
      <c r="BS347" s="7"/>
      <c r="BT347" s="7"/>
      <c r="BU347" s="2" t="s">
        <v>241</v>
      </c>
      <c r="BV347" s="2" t="s">
        <v>231</v>
      </c>
      <c r="BW347" s="2" t="s">
        <v>231</v>
      </c>
      <c r="BX347" s="2" t="s">
        <v>241</v>
      </c>
      <c r="BY347" s="2" t="s">
        <v>242</v>
      </c>
      <c r="BZ347" s="2" t="s">
        <v>243</v>
      </c>
      <c r="CA347" s="2" t="s">
        <v>231</v>
      </c>
      <c r="CB347" s="2" t="s">
        <v>231</v>
      </c>
      <c r="CC347" s="2" t="s">
        <v>244</v>
      </c>
      <c r="CD347" s="2" t="s">
        <v>231</v>
      </c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</row>
    <row r="348">
      <c r="A348" s="2" t="s">
        <v>2159</v>
      </c>
      <c r="B348" s="2" t="s">
        <v>1186</v>
      </c>
      <c r="C348" s="2" t="s">
        <v>1017</v>
      </c>
      <c r="D348" s="2" t="s">
        <v>826</v>
      </c>
      <c r="E348" s="2" t="s">
        <v>1060</v>
      </c>
      <c r="F348" s="2" t="s">
        <v>2138</v>
      </c>
      <c r="G348" s="2" t="s">
        <v>2143</v>
      </c>
      <c r="H348" s="2" t="s">
        <v>2144</v>
      </c>
      <c r="I348" s="2" t="s">
        <v>2148</v>
      </c>
      <c r="J348" s="2" t="s">
        <v>669</v>
      </c>
      <c r="K348" s="2" t="s">
        <v>1800</v>
      </c>
      <c r="L348" s="3">
        <v>27.38</v>
      </c>
      <c r="M348" s="3">
        <v>28.75</v>
      </c>
      <c r="N348" s="3">
        <v>57.49</v>
      </c>
      <c r="O348" s="2" t="s">
        <v>235</v>
      </c>
      <c r="P348" s="2" t="s">
        <v>236</v>
      </c>
      <c r="Q348" s="2" t="s">
        <v>237</v>
      </c>
      <c r="R348" s="2" t="s">
        <v>231</v>
      </c>
      <c r="S348" s="2" t="s">
        <v>2154</v>
      </c>
      <c r="T348" s="2" t="s">
        <v>1432</v>
      </c>
      <c r="U348" s="2" t="s">
        <v>835</v>
      </c>
      <c r="V348" s="2" t="s">
        <v>239</v>
      </c>
      <c r="W348" s="2" t="s">
        <v>273</v>
      </c>
      <c r="X348" s="2" t="s">
        <v>299</v>
      </c>
      <c r="Y348" s="2" t="s">
        <v>231</v>
      </c>
      <c r="Z348" s="4"/>
      <c r="AA348" s="4">
        <f>=ROUNDDOWN({0},0)</f>
      </c>
      <c r="AB348" s="5"/>
      <c r="AC348" s="2" t="s">
        <v>231</v>
      </c>
      <c r="AD348" s="4"/>
      <c r="AE348" s="4"/>
      <c r="AF348" s="6">
        <v>63</v>
      </c>
      <c r="AG348" s="6">
        <v>46</v>
      </c>
      <c r="AH348" s="7">
        <v>0</v>
      </c>
      <c r="AI348" s="4"/>
      <c r="AJ348" s="4">
        <f>=ROUNDDOWN({0},0)</f>
      </c>
      <c r="AK348" s="5"/>
      <c r="AL348" s="2" t="s">
        <v>231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231</v>
      </c>
      <c r="AW348" s="8" t="s">
        <v>231</v>
      </c>
      <c r="AX348" s="4" t="s">
        <v>231</v>
      </c>
      <c r="AY348" s="8" t="s">
        <v>231</v>
      </c>
      <c r="AZ348" s="7" t="s">
        <v>231</v>
      </c>
      <c r="BA348" s="7" t="s">
        <v>231</v>
      </c>
      <c r="BB348" s="7" t="s">
        <v>231</v>
      </c>
      <c r="BC348" s="4" t="s">
        <v>231</v>
      </c>
      <c r="BD348" s="8" t="s">
        <v>231</v>
      </c>
      <c r="BE348" s="4" t="s">
        <v>231</v>
      </c>
      <c r="BF348" s="8" t="s">
        <v>231</v>
      </c>
      <c r="BG348" s="7" t="s">
        <v>231</v>
      </c>
      <c r="BH348" s="7" t="s">
        <v>231</v>
      </c>
      <c r="BI348" s="7"/>
      <c r="BJ348" s="4"/>
      <c r="BK348" s="8"/>
      <c r="BL348" s="2" t="s">
        <v>231</v>
      </c>
      <c r="BM348" s="7"/>
      <c r="BN348" s="7"/>
      <c r="BO348" s="4"/>
      <c r="BP348" s="8"/>
      <c r="BQ348" s="4"/>
      <c r="BR348" s="8"/>
      <c r="BS348" s="7"/>
      <c r="BT348" s="7"/>
      <c r="BU348" s="2" t="s">
        <v>241</v>
      </c>
      <c r="BV348" s="2" t="s">
        <v>231</v>
      </c>
      <c r="BW348" s="2" t="s">
        <v>231</v>
      </c>
      <c r="BX348" s="2" t="s">
        <v>241</v>
      </c>
      <c r="BY348" s="2" t="s">
        <v>242</v>
      </c>
      <c r="BZ348" s="2" t="s">
        <v>243</v>
      </c>
      <c r="CA348" s="2" t="s">
        <v>231</v>
      </c>
      <c r="CB348" s="2" t="s">
        <v>231</v>
      </c>
      <c r="CC348" s="2" t="s">
        <v>244</v>
      </c>
      <c r="CD348" s="2" t="s">
        <v>231</v>
      </c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</row>
    <row r="349">
      <c r="A349" s="2" t="s">
        <v>2160</v>
      </c>
      <c r="B349" s="2" t="s">
        <v>1186</v>
      </c>
      <c r="C349" s="2" t="s">
        <v>1017</v>
      </c>
      <c r="D349" s="2" t="s">
        <v>654</v>
      </c>
      <c r="E349" s="2" t="s">
        <v>890</v>
      </c>
      <c r="F349" s="2" t="s">
        <v>2138</v>
      </c>
      <c r="G349" s="2" t="s">
        <v>2143</v>
      </c>
      <c r="H349" s="2" t="s">
        <v>2144</v>
      </c>
      <c r="I349" s="2" t="s">
        <v>2145</v>
      </c>
      <c r="J349" s="2" t="s">
        <v>832</v>
      </c>
      <c r="K349" s="2" t="s">
        <v>319</v>
      </c>
      <c r="L349" s="3">
        <v>23.8</v>
      </c>
      <c r="M349" s="3">
        <v>24.99</v>
      </c>
      <c r="N349" s="3">
        <v>49.99</v>
      </c>
      <c r="O349" s="2" t="s">
        <v>235</v>
      </c>
      <c r="P349" s="2" t="s">
        <v>236</v>
      </c>
      <c r="Q349" s="2" t="s">
        <v>237</v>
      </c>
      <c r="R349" s="2" t="s">
        <v>231</v>
      </c>
      <c r="S349" s="2" t="s">
        <v>2161</v>
      </c>
      <c r="T349" s="2" t="s">
        <v>1432</v>
      </c>
      <c r="U349" s="2" t="s">
        <v>791</v>
      </c>
      <c r="V349" s="2" t="s">
        <v>239</v>
      </c>
      <c r="W349" s="2" t="s">
        <v>273</v>
      </c>
      <c r="X349" s="2" t="s">
        <v>299</v>
      </c>
      <c r="Y349" s="2" t="s">
        <v>231</v>
      </c>
      <c r="Z349" s="4"/>
      <c r="AA349" s="4">
        <f>=ROUNDDOWN({0},0)</f>
      </c>
      <c r="AB349" s="5"/>
      <c r="AC349" s="2" t="s">
        <v>231</v>
      </c>
      <c r="AD349" s="4"/>
      <c r="AE349" s="4"/>
      <c r="AF349" s="6">
        <v>63</v>
      </c>
      <c r="AG349" s="6">
        <v>46</v>
      </c>
      <c r="AH349" s="7">
        <v>0</v>
      </c>
      <c r="AI349" s="4"/>
      <c r="AJ349" s="4">
        <f>=ROUNDDOWN({0},0)</f>
      </c>
      <c r="AK349" s="5"/>
      <c r="AL349" s="2" t="s">
        <v>231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231</v>
      </c>
      <c r="AW349" s="8" t="s">
        <v>231</v>
      </c>
      <c r="AX349" s="4" t="s">
        <v>231</v>
      </c>
      <c r="AY349" s="8" t="s">
        <v>231</v>
      </c>
      <c r="AZ349" s="7" t="s">
        <v>231</v>
      </c>
      <c r="BA349" s="7" t="s">
        <v>231</v>
      </c>
      <c r="BB349" s="7" t="s">
        <v>231</v>
      </c>
      <c r="BC349" s="4" t="s">
        <v>231</v>
      </c>
      <c r="BD349" s="8" t="s">
        <v>231</v>
      </c>
      <c r="BE349" s="4" t="s">
        <v>231</v>
      </c>
      <c r="BF349" s="8" t="s">
        <v>231</v>
      </c>
      <c r="BG349" s="7" t="s">
        <v>231</v>
      </c>
      <c r="BH349" s="7" t="s">
        <v>231</v>
      </c>
      <c r="BI349" s="7"/>
      <c r="BJ349" s="4"/>
      <c r="BK349" s="8"/>
      <c r="BL349" s="2" t="s">
        <v>231</v>
      </c>
      <c r="BM349" s="7"/>
      <c r="BN349" s="7"/>
      <c r="BO349" s="4"/>
      <c r="BP349" s="8"/>
      <c r="BQ349" s="4"/>
      <c r="BR349" s="8"/>
      <c r="BS349" s="7"/>
      <c r="BT349" s="7"/>
      <c r="BU349" s="2" t="s">
        <v>241</v>
      </c>
      <c r="BV349" s="2" t="s">
        <v>231</v>
      </c>
      <c r="BW349" s="2" t="s">
        <v>231</v>
      </c>
      <c r="BX349" s="2" t="s">
        <v>241</v>
      </c>
      <c r="BY349" s="2" t="s">
        <v>242</v>
      </c>
      <c r="BZ349" s="2" t="s">
        <v>243</v>
      </c>
      <c r="CA349" s="2" t="s">
        <v>231</v>
      </c>
      <c r="CB349" s="2" t="s">
        <v>231</v>
      </c>
      <c r="CC349" s="2" t="s">
        <v>244</v>
      </c>
      <c r="CD349" s="2" t="s">
        <v>231</v>
      </c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</row>
    <row r="350">
      <c r="A350" s="2" t="s">
        <v>2162</v>
      </c>
      <c r="B350" s="2" t="s">
        <v>1186</v>
      </c>
      <c r="C350" s="2" t="s">
        <v>1017</v>
      </c>
      <c r="D350" s="2" t="s">
        <v>826</v>
      </c>
      <c r="E350" s="2" t="s">
        <v>1060</v>
      </c>
      <c r="F350" s="2" t="s">
        <v>2138</v>
      </c>
      <c r="G350" s="2" t="s">
        <v>2143</v>
      </c>
      <c r="H350" s="2" t="s">
        <v>2144</v>
      </c>
      <c r="I350" s="2" t="s">
        <v>2148</v>
      </c>
      <c r="J350" s="2" t="s">
        <v>832</v>
      </c>
      <c r="K350" s="2" t="s">
        <v>319</v>
      </c>
      <c r="L350" s="3">
        <v>17.85</v>
      </c>
      <c r="M350" s="3">
        <v>18.74</v>
      </c>
      <c r="N350" s="3">
        <v>37.49</v>
      </c>
      <c r="O350" s="2" t="s">
        <v>235</v>
      </c>
      <c r="P350" s="2" t="s">
        <v>236</v>
      </c>
      <c r="Q350" s="2" t="s">
        <v>237</v>
      </c>
      <c r="R350" s="2" t="s">
        <v>231</v>
      </c>
      <c r="S350" s="2" t="s">
        <v>2161</v>
      </c>
      <c r="T350" s="2" t="s">
        <v>1432</v>
      </c>
      <c r="U350" s="2" t="s">
        <v>791</v>
      </c>
      <c r="V350" s="2" t="s">
        <v>239</v>
      </c>
      <c r="W350" s="2" t="s">
        <v>273</v>
      </c>
      <c r="X350" s="2" t="s">
        <v>299</v>
      </c>
      <c r="Y350" s="2" t="s">
        <v>231</v>
      </c>
      <c r="Z350" s="4"/>
      <c r="AA350" s="4">
        <f>=ROUNDDOWN({0},0)</f>
      </c>
      <c r="AB350" s="5"/>
      <c r="AC350" s="2" t="s">
        <v>231</v>
      </c>
      <c r="AD350" s="4"/>
      <c r="AE350" s="4"/>
      <c r="AF350" s="6">
        <v>63</v>
      </c>
      <c r="AG350" s="6">
        <v>46</v>
      </c>
      <c r="AH350" s="7">
        <v>0</v>
      </c>
      <c r="AI350" s="4"/>
      <c r="AJ350" s="4">
        <f>=ROUNDDOWN({0},0)</f>
      </c>
      <c r="AK350" s="5"/>
      <c r="AL350" s="2" t="s">
        <v>231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231</v>
      </c>
      <c r="AW350" s="8" t="s">
        <v>231</v>
      </c>
      <c r="AX350" s="4" t="s">
        <v>231</v>
      </c>
      <c r="AY350" s="8" t="s">
        <v>231</v>
      </c>
      <c r="AZ350" s="7" t="s">
        <v>231</v>
      </c>
      <c r="BA350" s="7" t="s">
        <v>231</v>
      </c>
      <c r="BB350" s="7" t="s">
        <v>231</v>
      </c>
      <c r="BC350" s="4" t="s">
        <v>231</v>
      </c>
      <c r="BD350" s="8" t="s">
        <v>231</v>
      </c>
      <c r="BE350" s="4" t="s">
        <v>231</v>
      </c>
      <c r="BF350" s="8" t="s">
        <v>231</v>
      </c>
      <c r="BG350" s="7" t="s">
        <v>231</v>
      </c>
      <c r="BH350" s="7" t="s">
        <v>231</v>
      </c>
      <c r="BI350" s="7"/>
      <c r="BJ350" s="4"/>
      <c r="BK350" s="8"/>
      <c r="BL350" s="2" t="s">
        <v>231</v>
      </c>
      <c r="BM350" s="7"/>
      <c r="BN350" s="7"/>
      <c r="BO350" s="4"/>
      <c r="BP350" s="8"/>
      <c r="BQ350" s="4"/>
      <c r="BR350" s="8"/>
      <c r="BS350" s="7"/>
      <c r="BT350" s="7"/>
      <c r="BU350" s="2" t="s">
        <v>241</v>
      </c>
      <c r="BV350" s="2" t="s">
        <v>231</v>
      </c>
      <c r="BW350" s="2" t="s">
        <v>231</v>
      </c>
      <c r="BX350" s="2" t="s">
        <v>241</v>
      </c>
      <c r="BY350" s="2" t="s">
        <v>242</v>
      </c>
      <c r="BZ350" s="2" t="s">
        <v>243</v>
      </c>
      <c r="CA350" s="2" t="s">
        <v>231</v>
      </c>
      <c r="CB350" s="2" t="s">
        <v>231</v>
      </c>
      <c r="CC350" s="2" t="s">
        <v>244</v>
      </c>
      <c r="CD350" s="2" t="s">
        <v>231</v>
      </c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</row>
    <row r="351">
      <c r="A351" s="2" t="s">
        <v>2163</v>
      </c>
      <c r="B351" s="2" t="s">
        <v>1186</v>
      </c>
      <c r="C351" s="2" t="s">
        <v>1017</v>
      </c>
      <c r="D351" s="2" t="s">
        <v>654</v>
      </c>
      <c r="E351" s="2" t="s">
        <v>890</v>
      </c>
      <c r="F351" s="2" t="s">
        <v>2138</v>
      </c>
      <c r="G351" s="2" t="s">
        <v>2143</v>
      </c>
      <c r="H351" s="2" t="s">
        <v>2144</v>
      </c>
      <c r="I351" s="2" t="s">
        <v>2145</v>
      </c>
      <c r="J351" s="2" t="s">
        <v>658</v>
      </c>
      <c r="K351" s="2" t="s">
        <v>319</v>
      </c>
      <c r="L351" s="3">
        <v>28.57</v>
      </c>
      <c r="M351" s="3">
        <v>30</v>
      </c>
      <c r="N351" s="3">
        <v>59.99</v>
      </c>
      <c r="O351" s="2" t="s">
        <v>235</v>
      </c>
      <c r="P351" s="2" t="s">
        <v>236</v>
      </c>
      <c r="Q351" s="2" t="s">
        <v>237</v>
      </c>
      <c r="R351" s="2" t="s">
        <v>231</v>
      </c>
      <c r="S351" s="2" t="s">
        <v>2161</v>
      </c>
      <c r="T351" s="2" t="s">
        <v>1432</v>
      </c>
      <c r="U351" s="2" t="s">
        <v>835</v>
      </c>
      <c r="V351" s="2" t="s">
        <v>239</v>
      </c>
      <c r="W351" s="2" t="s">
        <v>273</v>
      </c>
      <c r="X351" s="2" t="s">
        <v>299</v>
      </c>
      <c r="Y351" s="2" t="s">
        <v>231</v>
      </c>
      <c r="Z351" s="4"/>
      <c r="AA351" s="4">
        <f>=ROUNDDOWN({0},0)</f>
      </c>
      <c r="AB351" s="5"/>
      <c r="AC351" s="2" t="s">
        <v>231</v>
      </c>
      <c r="AD351" s="4"/>
      <c r="AE351" s="4"/>
      <c r="AF351" s="6">
        <v>63</v>
      </c>
      <c r="AG351" s="6">
        <v>46</v>
      </c>
      <c r="AH351" s="7">
        <v>0</v>
      </c>
      <c r="AI351" s="4"/>
      <c r="AJ351" s="4">
        <f>=ROUNDDOWN({0},0)</f>
      </c>
      <c r="AK351" s="5"/>
      <c r="AL351" s="2" t="s">
        <v>231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231</v>
      </c>
      <c r="AW351" s="8" t="s">
        <v>231</v>
      </c>
      <c r="AX351" s="4" t="s">
        <v>231</v>
      </c>
      <c r="AY351" s="8" t="s">
        <v>231</v>
      </c>
      <c r="AZ351" s="7" t="s">
        <v>231</v>
      </c>
      <c r="BA351" s="7" t="s">
        <v>231</v>
      </c>
      <c r="BB351" s="7" t="s">
        <v>231</v>
      </c>
      <c r="BC351" s="4" t="s">
        <v>231</v>
      </c>
      <c r="BD351" s="8" t="s">
        <v>231</v>
      </c>
      <c r="BE351" s="4" t="s">
        <v>231</v>
      </c>
      <c r="BF351" s="8" t="s">
        <v>231</v>
      </c>
      <c r="BG351" s="7" t="s">
        <v>231</v>
      </c>
      <c r="BH351" s="7" t="s">
        <v>231</v>
      </c>
      <c r="BI351" s="7"/>
      <c r="BJ351" s="4"/>
      <c r="BK351" s="8"/>
      <c r="BL351" s="2" t="s">
        <v>231</v>
      </c>
      <c r="BM351" s="7"/>
      <c r="BN351" s="7"/>
      <c r="BO351" s="4"/>
      <c r="BP351" s="8"/>
      <c r="BQ351" s="4"/>
      <c r="BR351" s="8"/>
      <c r="BS351" s="7"/>
      <c r="BT351" s="7"/>
      <c r="BU351" s="2" t="s">
        <v>241</v>
      </c>
      <c r="BV351" s="2" t="s">
        <v>231</v>
      </c>
      <c r="BW351" s="2" t="s">
        <v>231</v>
      </c>
      <c r="BX351" s="2" t="s">
        <v>241</v>
      </c>
      <c r="BY351" s="2" t="s">
        <v>242</v>
      </c>
      <c r="BZ351" s="2" t="s">
        <v>243</v>
      </c>
      <c r="CA351" s="2" t="s">
        <v>231</v>
      </c>
      <c r="CB351" s="2" t="s">
        <v>231</v>
      </c>
      <c r="CC351" s="2" t="s">
        <v>244</v>
      </c>
      <c r="CD351" s="2" t="s">
        <v>231</v>
      </c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</row>
    <row r="352">
      <c r="A352" s="2" t="s">
        <v>2164</v>
      </c>
      <c r="B352" s="2" t="s">
        <v>1186</v>
      </c>
      <c r="C352" s="2" t="s">
        <v>1017</v>
      </c>
      <c r="D352" s="2" t="s">
        <v>826</v>
      </c>
      <c r="E352" s="2" t="s">
        <v>1060</v>
      </c>
      <c r="F352" s="2" t="s">
        <v>2138</v>
      </c>
      <c r="G352" s="2" t="s">
        <v>2143</v>
      </c>
      <c r="H352" s="2" t="s">
        <v>2144</v>
      </c>
      <c r="I352" s="2" t="s">
        <v>2148</v>
      </c>
      <c r="J352" s="2" t="s">
        <v>658</v>
      </c>
      <c r="K352" s="2" t="s">
        <v>319</v>
      </c>
      <c r="L352" s="3">
        <v>22.61</v>
      </c>
      <c r="M352" s="3">
        <v>23.74</v>
      </c>
      <c r="N352" s="3">
        <v>47.49</v>
      </c>
      <c r="O352" s="2" t="s">
        <v>235</v>
      </c>
      <c r="P352" s="2" t="s">
        <v>236</v>
      </c>
      <c r="Q352" s="2" t="s">
        <v>237</v>
      </c>
      <c r="R352" s="2" t="s">
        <v>231</v>
      </c>
      <c r="S352" s="2" t="s">
        <v>2161</v>
      </c>
      <c r="T352" s="2" t="s">
        <v>1432</v>
      </c>
      <c r="U352" s="2" t="s">
        <v>835</v>
      </c>
      <c r="V352" s="2" t="s">
        <v>239</v>
      </c>
      <c r="W352" s="2" t="s">
        <v>273</v>
      </c>
      <c r="X352" s="2" t="s">
        <v>299</v>
      </c>
      <c r="Y352" s="2" t="s">
        <v>231</v>
      </c>
      <c r="Z352" s="4"/>
      <c r="AA352" s="4">
        <f>=ROUNDDOWN({0},0)</f>
      </c>
      <c r="AB352" s="5"/>
      <c r="AC352" s="2" t="s">
        <v>231</v>
      </c>
      <c r="AD352" s="4"/>
      <c r="AE352" s="4"/>
      <c r="AF352" s="6">
        <v>63</v>
      </c>
      <c r="AG352" s="6">
        <v>46</v>
      </c>
      <c r="AH352" s="7">
        <v>0</v>
      </c>
      <c r="AI352" s="4"/>
      <c r="AJ352" s="4">
        <f>=ROUNDDOWN({0},0)</f>
      </c>
      <c r="AK352" s="5"/>
      <c r="AL352" s="2" t="s">
        <v>231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231</v>
      </c>
      <c r="AW352" s="8" t="s">
        <v>231</v>
      </c>
      <c r="AX352" s="4" t="s">
        <v>231</v>
      </c>
      <c r="AY352" s="8" t="s">
        <v>231</v>
      </c>
      <c r="AZ352" s="7" t="s">
        <v>231</v>
      </c>
      <c r="BA352" s="7" t="s">
        <v>231</v>
      </c>
      <c r="BB352" s="7" t="s">
        <v>231</v>
      </c>
      <c r="BC352" s="4" t="s">
        <v>231</v>
      </c>
      <c r="BD352" s="8" t="s">
        <v>231</v>
      </c>
      <c r="BE352" s="4" t="s">
        <v>231</v>
      </c>
      <c r="BF352" s="8" t="s">
        <v>231</v>
      </c>
      <c r="BG352" s="7" t="s">
        <v>231</v>
      </c>
      <c r="BH352" s="7" t="s">
        <v>231</v>
      </c>
      <c r="BI352" s="7"/>
      <c r="BJ352" s="4"/>
      <c r="BK352" s="8"/>
      <c r="BL352" s="2" t="s">
        <v>231</v>
      </c>
      <c r="BM352" s="7"/>
      <c r="BN352" s="7"/>
      <c r="BO352" s="4"/>
      <c r="BP352" s="8"/>
      <c r="BQ352" s="4"/>
      <c r="BR352" s="8"/>
      <c r="BS352" s="7"/>
      <c r="BT352" s="7"/>
      <c r="BU352" s="2" t="s">
        <v>241</v>
      </c>
      <c r="BV352" s="2" t="s">
        <v>231</v>
      </c>
      <c r="BW352" s="2" t="s">
        <v>231</v>
      </c>
      <c r="BX352" s="2" t="s">
        <v>241</v>
      </c>
      <c r="BY352" s="2" t="s">
        <v>242</v>
      </c>
      <c r="BZ352" s="2" t="s">
        <v>243</v>
      </c>
      <c r="CA352" s="2" t="s">
        <v>231</v>
      </c>
      <c r="CB352" s="2" t="s">
        <v>231</v>
      </c>
      <c r="CC352" s="2" t="s">
        <v>244</v>
      </c>
      <c r="CD352" s="2" t="s">
        <v>231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</row>
    <row r="353">
      <c r="A353" s="2" t="s">
        <v>2165</v>
      </c>
      <c r="B353" s="2" t="s">
        <v>1186</v>
      </c>
      <c r="C353" s="2" t="s">
        <v>1017</v>
      </c>
      <c r="D353" s="2" t="s">
        <v>654</v>
      </c>
      <c r="E353" s="2" t="s">
        <v>890</v>
      </c>
      <c r="F353" s="2" t="s">
        <v>2138</v>
      </c>
      <c r="G353" s="2" t="s">
        <v>2143</v>
      </c>
      <c r="H353" s="2" t="s">
        <v>2144</v>
      </c>
      <c r="I353" s="2" t="s">
        <v>2145</v>
      </c>
      <c r="J353" s="2" t="s">
        <v>669</v>
      </c>
      <c r="K353" s="2" t="s">
        <v>319</v>
      </c>
      <c r="L353" s="3">
        <v>33.33</v>
      </c>
      <c r="M353" s="3">
        <v>35</v>
      </c>
      <c r="N353" s="3">
        <v>69.99</v>
      </c>
      <c r="O353" s="2" t="s">
        <v>235</v>
      </c>
      <c r="P353" s="2" t="s">
        <v>236</v>
      </c>
      <c r="Q353" s="2" t="s">
        <v>237</v>
      </c>
      <c r="R353" s="2" t="s">
        <v>231</v>
      </c>
      <c r="S353" s="2" t="s">
        <v>2161</v>
      </c>
      <c r="T353" s="2" t="s">
        <v>1432</v>
      </c>
      <c r="U353" s="2" t="s">
        <v>835</v>
      </c>
      <c r="V353" s="2" t="s">
        <v>239</v>
      </c>
      <c r="W353" s="2" t="s">
        <v>273</v>
      </c>
      <c r="X353" s="2" t="s">
        <v>299</v>
      </c>
      <c r="Y353" s="2" t="s">
        <v>231</v>
      </c>
      <c r="Z353" s="4"/>
      <c r="AA353" s="4">
        <f>=ROUNDDOWN({0},0)</f>
      </c>
      <c r="AB353" s="5"/>
      <c r="AC353" s="2" t="s">
        <v>231</v>
      </c>
      <c r="AD353" s="4"/>
      <c r="AE353" s="4"/>
      <c r="AF353" s="6">
        <v>63</v>
      </c>
      <c r="AG353" s="6">
        <v>46</v>
      </c>
      <c r="AH353" s="7">
        <v>0</v>
      </c>
      <c r="AI353" s="4"/>
      <c r="AJ353" s="4">
        <f>=ROUNDDOWN({0},0)</f>
      </c>
      <c r="AK353" s="5"/>
      <c r="AL353" s="2" t="s">
        <v>231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231</v>
      </c>
      <c r="AW353" s="8" t="s">
        <v>231</v>
      </c>
      <c r="AX353" s="4" t="s">
        <v>231</v>
      </c>
      <c r="AY353" s="8" t="s">
        <v>231</v>
      </c>
      <c r="AZ353" s="7" t="s">
        <v>231</v>
      </c>
      <c r="BA353" s="7" t="s">
        <v>231</v>
      </c>
      <c r="BB353" s="7" t="s">
        <v>231</v>
      </c>
      <c r="BC353" s="4" t="s">
        <v>231</v>
      </c>
      <c r="BD353" s="8" t="s">
        <v>231</v>
      </c>
      <c r="BE353" s="4" t="s">
        <v>231</v>
      </c>
      <c r="BF353" s="8" t="s">
        <v>231</v>
      </c>
      <c r="BG353" s="7" t="s">
        <v>231</v>
      </c>
      <c r="BH353" s="7" t="s">
        <v>231</v>
      </c>
      <c r="BI353" s="7"/>
      <c r="BJ353" s="4"/>
      <c r="BK353" s="8"/>
      <c r="BL353" s="2" t="s">
        <v>231</v>
      </c>
      <c r="BM353" s="7"/>
      <c r="BN353" s="7"/>
      <c r="BO353" s="4"/>
      <c r="BP353" s="8"/>
      <c r="BQ353" s="4"/>
      <c r="BR353" s="8"/>
      <c r="BS353" s="7"/>
      <c r="BT353" s="7"/>
      <c r="BU353" s="2" t="s">
        <v>241</v>
      </c>
      <c r="BV353" s="2" t="s">
        <v>231</v>
      </c>
      <c r="BW353" s="2" t="s">
        <v>231</v>
      </c>
      <c r="BX353" s="2" t="s">
        <v>241</v>
      </c>
      <c r="BY353" s="2" t="s">
        <v>242</v>
      </c>
      <c r="BZ353" s="2" t="s">
        <v>243</v>
      </c>
      <c r="CA353" s="2" t="s">
        <v>231</v>
      </c>
      <c r="CB353" s="2" t="s">
        <v>231</v>
      </c>
      <c r="CC353" s="2" t="s">
        <v>244</v>
      </c>
      <c r="CD353" s="2" t="s">
        <v>231</v>
      </c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</row>
    <row r="354">
      <c r="A354" s="2" t="s">
        <v>2166</v>
      </c>
      <c r="B354" s="2" t="s">
        <v>1186</v>
      </c>
      <c r="C354" s="2" t="s">
        <v>1017</v>
      </c>
      <c r="D354" s="2" t="s">
        <v>826</v>
      </c>
      <c r="E354" s="2" t="s">
        <v>1060</v>
      </c>
      <c r="F354" s="2" t="s">
        <v>2138</v>
      </c>
      <c r="G354" s="2" t="s">
        <v>2143</v>
      </c>
      <c r="H354" s="2" t="s">
        <v>2144</v>
      </c>
      <c r="I354" s="2" t="s">
        <v>2148</v>
      </c>
      <c r="J354" s="2" t="s">
        <v>669</v>
      </c>
      <c r="K354" s="2" t="s">
        <v>319</v>
      </c>
      <c r="L354" s="3">
        <v>27.38</v>
      </c>
      <c r="M354" s="3">
        <v>28.75</v>
      </c>
      <c r="N354" s="3">
        <v>57.49</v>
      </c>
      <c r="O354" s="2" t="s">
        <v>235</v>
      </c>
      <c r="P354" s="2" t="s">
        <v>236</v>
      </c>
      <c r="Q354" s="2" t="s">
        <v>237</v>
      </c>
      <c r="R354" s="2" t="s">
        <v>231</v>
      </c>
      <c r="S354" s="2" t="s">
        <v>2161</v>
      </c>
      <c r="T354" s="2" t="s">
        <v>1432</v>
      </c>
      <c r="U354" s="2" t="s">
        <v>835</v>
      </c>
      <c r="V354" s="2" t="s">
        <v>239</v>
      </c>
      <c r="W354" s="2" t="s">
        <v>273</v>
      </c>
      <c r="X354" s="2" t="s">
        <v>299</v>
      </c>
      <c r="Y354" s="2" t="s">
        <v>231</v>
      </c>
      <c r="Z354" s="4"/>
      <c r="AA354" s="4">
        <f>=ROUNDDOWN({0},0)</f>
      </c>
      <c r="AB354" s="5"/>
      <c r="AC354" s="2" t="s">
        <v>231</v>
      </c>
      <c r="AD354" s="4"/>
      <c r="AE354" s="4"/>
      <c r="AF354" s="6">
        <v>63</v>
      </c>
      <c r="AG354" s="6">
        <v>46</v>
      </c>
      <c r="AH354" s="7">
        <v>0</v>
      </c>
      <c r="AI354" s="4"/>
      <c r="AJ354" s="4">
        <f>=ROUNDDOWN({0},0)</f>
      </c>
      <c r="AK354" s="5"/>
      <c r="AL354" s="2" t="s">
        <v>231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231</v>
      </c>
      <c r="AW354" s="8" t="s">
        <v>231</v>
      </c>
      <c r="AX354" s="4" t="s">
        <v>231</v>
      </c>
      <c r="AY354" s="8" t="s">
        <v>231</v>
      </c>
      <c r="AZ354" s="7" t="s">
        <v>231</v>
      </c>
      <c r="BA354" s="7" t="s">
        <v>231</v>
      </c>
      <c r="BB354" s="7" t="s">
        <v>231</v>
      </c>
      <c r="BC354" s="4" t="s">
        <v>231</v>
      </c>
      <c r="BD354" s="8" t="s">
        <v>231</v>
      </c>
      <c r="BE354" s="4" t="s">
        <v>231</v>
      </c>
      <c r="BF354" s="8" t="s">
        <v>231</v>
      </c>
      <c r="BG354" s="7" t="s">
        <v>231</v>
      </c>
      <c r="BH354" s="7" t="s">
        <v>231</v>
      </c>
      <c r="BI354" s="7"/>
      <c r="BJ354" s="4"/>
      <c r="BK354" s="8"/>
      <c r="BL354" s="2" t="s">
        <v>231</v>
      </c>
      <c r="BM354" s="7"/>
      <c r="BN354" s="7"/>
      <c r="BO354" s="4"/>
      <c r="BP354" s="8"/>
      <c r="BQ354" s="4"/>
      <c r="BR354" s="8"/>
      <c r="BS354" s="7"/>
      <c r="BT354" s="7"/>
      <c r="BU354" s="2" t="s">
        <v>241</v>
      </c>
      <c r="BV354" s="2" t="s">
        <v>231</v>
      </c>
      <c r="BW354" s="2" t="s">
        <v>231</v>
      </c>
      <c r="BX354" s="2" t="s">
        <v>241</v>
      </c>
      <c r="BY354" s="2" t="s">
        <v>242</v>
      </c>
      <c r="BZ354" s="2" t="s">
        <v>243</v>
      </c>
      <c r="CA354" s="2" t="s">
        <v>231</v>
      </c>
      <c r="CB354" s="2" t="s">
        <v>231</v>
      </c>
      <c r="CC354" s="2" t="s">
        <v>244</v>
      </c>
      <c r="CD354" s="2" t="s">
        <v>231</v>
      </c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</row>
    <row r="355">
      <c r="A355" s="2" t="s">
        <v>2167</v>
      </c>
      <c r="B355" s="2" t="s">
        <v>1004</v>
      </c>
      <c r="C355" s="2" t="s">
        <v>288</v>
      </c>
      <c r="D355" s="2" t="s">
        <v>1689</v>
      </c>
      <c r="E355" s="2" t="s">
        <v>1690</v>
      </c>
      <c r="F355" s="2" t="s">
        <v>2168</v>
      </c>
      <c r="G355" s="2" t="s">
        <v>2169</v>
      </c>
      <c r="H355" s="2" t="s">
        <v>2170</v>
      </c>
      <c r="I355" s="2" t="s">
        <v>2171</v>
      </c>
      <c r="J355" s="2" t="s">
        <v>807</v>
      </c>
      <c r="K355" s="2" t="s">
        <v>269</v>
      </c>
      <c r="L355" s="3">
        <v>204.25</v>
      </c>
      <c r="M355" s="3">
        <v>214.46</v>
      </c>
      <c r="N355" s="3">
        <v>429</v>
      </c>
      <c r="O355" s="2" t="s">
        <v>243</v>
      </c>
      <c r="P355" s="2" t="s">
        <v>270</v>
      </c>
      <c r="Q355" s="2" t="s">
        <v>237</v>
      </c>
      <c r="R355" s="2" t="s">
        <v>231</v>
      </c>
      <c r="S355" s="2" t="s">
        <v>2172</v>
      </c>
      <c r="T355" s="2" t="s">
        <v>231</v>
      </c>
      <c r="U355" s="2" t="s">
        <v>231</v>
      </c>
      <c r="V355" s="2" t="s">
        <v>239</v>
      </c>
      <c r="W355" s="2" t="s">
        <v>691</v>
      </c>
      <c r="X355" s="2" t="s">
        <v>231</v>
      </c>
      <c r="Y355" s="2" t="s">
        <v>274</v>
      </c>
      <c r="Z355" s="4">
        <v>117</v>
      </c>
      <c r="AA355" s="4">
        <f>=ROUNDDOWN(23.4,0)</f>
      </c>
      <c r="AB355" s="5">
        <v>5</v>
      </c>
      <c r="AC355" s="2" t="s">
        <v>1664</v>
      </c>
      <c r="AD355" s="4">
        <v>92</v>
      </c>
      <c r="AE355" s="4">
        <v>92</v>
      </c>
      <c r="AF355" s="6">
        <v>66</v>
      </c>
      <c r="AG355" s="6">
        <v>49</v>
      </c>
      <c r="AH355" s="7">
        <v>1</v>
      </c>
      <c r="AI355" s="4"/>
      <c r="AJ355" s="4">
        <f>=ROUNDDOWN({0},0)</f>
      </c>
      <c r="AK355" s="5"/>
      <c r="AL355" s="2" t="s">
        <v>231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231</v>
      </c>
      <c r="BD355" s="8" t="s">
        <v>231</v>
      </c>
      <c r="BE355" s="4" t="s">
        <v>231</v>
      </c>
      <c r="BF355" s="8" t="s">
        <v>231</v>
      </c>
      <c r="BG355" s="7" t="s">
        <v>231</v>
      </c>
      <c r="BH355" s="7" t="s">
        <v>231</v>
      </c>
      <c r="BI355" s="7"/>
      <c r="BJ355" s="4">
        <v>12</v>
      </c>
      <c r="BK355" s="8">
        <v>2229.83</v>
      </c>
      <c r="BL355" s="2" t="s">
        <v>2173</v>
      </c>
      <c r="BM355" s="7"/>
      <c r="BN355" s="7"/>
      <c r="BO355" s="4"/>
      <c r="BP355" s="8"/>
      <c r="BQ355" s="4"/>
      <c r="BR355" s="8"/>
      <c r="BS355" s="7"/>
      <c r="BT355" s="7"/>
      <c r="BU355" s="2" t="s">
        <v>2174</v>
      </c>
      <c r="BV355" s="2" t="s">
        <v>231</v>
      </c>
      <c r="BW355" s="2" t="s">
        <v>231</v>
      </c>
      <c r="BX355" s="2" t="s">
        <v>231</v>
      </c>
      <c r="BY355" s="2" t="s">
        <v>277</v>
      </c>
      <c r="BZ355" s="2" t="s">
        <v>243</v>
      </c>
      <c r="CA355" s="2" t="s">
        <v>284</v>
      </c>
      <c r="CB355" s="2" t="s">
        <v>2175</v>
      </c>
      <c r="CC355" s="2" t="s">
        <v>244</v>
      </c>
      <c r="CD355" s="2" t="s">
        <v>231</v>
      </c>
      <c r="CE355" s="4"/>
      <c r="CF355" s="4">
        <v>117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>
        <v>92</v>
      </c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</row>
    <row r="356">
      <c r="A356" s="2" t="s">
        <v>2176</v>
      </c>
      <c r="B356" s="2" t="s">
        <v>1004</v>
      </c>
      <c r="C356" s="2" t="s">
        <v>288</v>
      </c>
      <c r="D356" s="2" t="s">
        <v>1689</v>
      </c>
      <c r="E356" s="2" t="s">
        <v>1690</v>
      </c>
      <c r="F356" s="2" t="s">
        <v>2168</v>
      </c>
      <c r="G356" s="2" t="s">
        <v>2169</v>
      </c>
      <c r="H356" s="2" t="s">
        <v>2170</v>
      </c>
      <c r="I356" s="2" t="s">
        <v>2171</v>
      </c>
      <c r="J356" s="2" t="s">
        <v>807</v>
      </c>
      <c r="K356" s="2" t="s">
        <v>1085</v>
      </c>
      <c r="L356" s="3">
        <v>204.25</v>
      </c>
      <c r="M356" s="3">
        <v>214.46</v>
      </c>
      <c r="N356" s="3">
        <v>429</v>
      </c>
      <c r="O356" s="2" t="s">
        <v>243</v>
      </c>
      <c r="P356" s="2" t="s">
        <v>270</v>
      </c>
      <c r="Q356" s="2" t="s">
        <v>237</v>
      </c>
      <c r="R356" s="2" t="s">
        <v>231</v>
      </c>
      <c r="S356" s="2" t="s">
        <v>2177</v>
      </c>
      <c r="T356" s="2" t="s">
        <v>231</v>
      </c>
      <c r="U356" s="2" t="s">
        <v>231</v>
      </c>
      <c r="V356" s="2" t="s">
        <v>239</v>
      </c>
      <c r="W356" s="2" t="s">
        <v>691</v>
      </c>
      <c r="X356" s="2" t="s">
        <v>231</v>
      </c>
      <c r="Y356" s="2" t="s">
        <v>274</v>
      </c>
      <c r="Z356" s="4">
        <v>178</v>
      </c>
      <c r="AA356" s="4">
        <f>=ROUNDDOWN(59.3333333333333,0)</f>
      </c>
      <c r="AB356" s="5">
        <v>3</v>
      </c>
      <c r="AC356" s="2" t="s">
        <v>231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231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231</v>
      </c>
      <c r="BD356" s="8" t="s">
        <v>231</v>
      </c>
      <c r="BE356" s="4" t="s">
        <v>231</v>
      </c>
      <c r="BF356" s="8" t="s">
        <v>231</v>
      </c>
      <c r="BG356" s="7" t="s">
        <v>231</v>
      </c>
      <c r="BH356" s="7" t="s">
        <v>231</v>
      </c>
      <c r="BI356" s="7"/>
      <c r="BJ356" s="4">
        <v>8</v>
      </c>
      <c r="BK356" s="8">
        <v>1507.91</v>
      </c>
      <c r="BL356" s="2" t="s">
        <v>2178</v>
      </c>
      <c r="BM356" s="7"/>
      <c r="BN356" s="7"/>
      <c r="BO356" s="4"/>
      <c r="BP356" s="8"/>
      <c r="BQ356" s="4"/>
      <c r="BR356" s="8"/>
      <c r="BS356" s="7"/>
      <c r="BT356" s="7"/>
      <c r="BU356" s="2" t="s">
        <v>2179</v>
      </c>
      <c r="BV356" s="2" t="s">
        <v>231</v>
      </c>
      <c r="BW356" s="2" t="s">
        <v>231</v>
      </c>
      <c r="BX356" s="2" t="s">
        <v>241</v>
      </c>
      <c r="BY356" s="2" t="s">
        <v>277</v>
      </c>
      <c r="BZ356" s="2" t="s">
        <v>243</v>
      </c>
      <c r="CA356" s="2" t="s">
        <v>284</v>
      </c>
      <c r="CB356" s="2" t="s">
        <v>2180</v>
      </c>
      <c r="CC356" s="2" t="s">
        <v>244</v>
      </c>
      <c r="CD356" s="2" t="s">
        <v>231</v>
      </c>
      <c r="CE356" s="4"/>
      <c r="CF356" s="4">
        <v>178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</row>
    <row r="357">
      <c r="A357" s="2" t="s">
        <v>2181</v>
      </c>
      <c r="B357" s="2" t="s">
        <v>1004</v>
      </c>
      <c r="C357" s="2" t="s">
        <v>288</v>
      </c>
      <c r="D357" s="2" t="s">
        <v>1689</v>
      </c>
      <c r="E357" s="2" t="s">
        <v>1690</v>
      </c>
      <c r="F357" s="2" t="s">
        <v>2168</v>
      </c>
      <c r="G357" s="2" t="s">
        <v>2169</v>
      </c>
      <c r="H357" s="2" t="s">
        <v>2170</v>
      </c>
      <c r="I357" s="2" t="s">
        <v>2171</v>
      </c>
      <c r="J357" s="2" t="s">
        <v>807</v>
      </c>
      <c r="K357" s="2" t="s">
        <v>255</v>
      </c>
      <c r="L357" s="3">
        <v>204.25</v>
      </c>
      <c r="M357" s="3">
        <v>214.46</v>
      </c>
      <c r="N357" s="3">
        <v>429</v>
      </c>
      <c r="O357" s="2" t="s">
        <v>243</v>
      </c>
      <c r="P357" s="2" t="s">
        <v>341</v>
      </c>
      <c r="Q357" s="2" t="s">
        <v>237</v>
      </c>
      <c r="R357" s="2" t="s">
        <v>231</v>
      </c>
      <c r="S357" s="2" t="s">
        <v>2182</v>
      </c>
      <c r="T357" s="2" t="s">
        <v>231</v>
      </c>
      <c r="U357" s="2" t="s">
        <v>231</v>
      </c>
      <c r="V357" s="2" t="s">
        <v>1685</v>
      </c>
      <c r="W357" s="2" t="s">
        <v>691</v>
      </c>
      <c r="X357" s="2" t="s">
        <v>231</v>
      </c>
      <c r="Y357" s="2" t="s">
        <v>274</v>
      </c>
      <c r="Z357" s="4">
        <v>36</v>
      </c>
      <c r="AA357" s="4">
        <f>=ROUNDDOWN(21.1764705882353,0)</f>
      </c>
      <c r="AB357" s="5">
        <v>1.7</v>
      </c>
      <c r="AC357" s="2" t="s">
        <v>231</v>
      </c>
      <c r="AD357" s="4"/>
      <c r="AE357" s="4"/>
      <c r="AF357" s="6">
        <v>67</v>
      </c>
      <c r="AG357" s="6">
        <v>50</v>
      </c>
      <c r="AH357" s="7">
        <v>1</v>
      </c>
      <c r="AI357" s="4"/>
      <c r="AJ357" s="4">
        <f>=ROUNDDOWN({0},0)</f>
      </c>
      <c r="AK357" s="5"/>
      <c r="AL357" s="2" t="s">
        <v>231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231</v>
      </c>
      <c r="BD357" s="8" t="s">
        <v>231</v>
      </c>
      <c r="BE357" s="4" t="s">
        <v>231</v>
      </c>
      <c r="BF357" s="8" t="s">
        <v>231</v>
      </c>
      <c r="BG357" s="7" t="s">
        <v>231</v>
      </c>
      <c r="BH357" s="7" t="s">
        <v>231</v>
      </c>
      <c r="BI357" s="7"/>
      <c r="BJ357" s="4">
        <v>8</v>
      </c>
      <c r="BK357" s="8">
        <v>1291.52</v>
      </c>
      <c r="BL357" s="2" t="s">
        <v>2173</v>
      </c>
      <c r="BM357" s="7"/>
      <c r="BN357" s="7"/>
      <c r="BO357" s="4"/>
      <c r="BP357" s="8"/>
      <c r="BQ357" s="4"/>
      <c r="BR357" s="8"/>
      <c r="BS357" s="7"/>
      <c r="BT357" s="7"/>
      <c r="BU357" s="2" t="s">
        <v>2183</v>
      </c>
      <c r="BV357" s="2" t="s">
        <v>231</v>
      </c>
      <c r="BW357" s="2" t="s">
        <v>231</v>
      </c>
      <c r="BX357" s="2" t="s">
        <v>231</v>
      </c>
      <c r="BY357" s="2" t="s">
        <v>277</v>
      </c>
      <c r="BZ357" s="2" t="s">
        <v>243</v>
      </c>
      <c r="CA357" s="2" t="s">
        <v>284</v>
      </c>
      <c r="CB357" s="2" t="s">
        <v>2184</v>
      </c>
      <c r="CC357" s="2" t="s">
        <v>244</v>
      </c>
      <c r="CD357" s="2" t="s">
        <v>231</v>
      </c>
      <c r="CE357" s="4"/>
      <c r="CF357" s="4">
        <v>10</v>
      </c>
      <c r="CG357" s="4"/>
      <c r="CH357" s="4"/>
      <c r="CI357" s="4">
        <v>26</v>
      </c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</row>
    <row r="358">
      <c r="A358" s="2" t="s">
        <v>2185</v>
      </c>
      <c r="B358" s="2" t="s">
        <v>1004</v>
      </c>
      <c r="C358" s="2" t="s">
        <v>288</v>
      </c>
      <c r="D358" s="2" t="s">
        <v>1689</v>
      </c>
      <c r="E358" s="2" t="s">
        <v>1690</v>
      </c>
      <c r="F358" s="2" t="s">
        <v>2168</v>
      </c>
      <c r="G358" s="2" t="s">
        <v>2169</v>
      </c>
      <c r="H358" s="2" t="s">
        <v>2170</v>
      </c>
      <c r="I358" s="2" t="s">
        <v>2171</v>
      </c>
      <c r="J358" s="2" t="s">
        <v>807</v>
      </c>
      <c r="K358" s="2" t="s">
        <v>452</v>
      </c>
      <c r="L358" s="3">
        <v>204.25</v>
      </c>
      <c r="M358" s="3">
        <v>214.46</v>
      </c>
      <c r="N358" s="3">
        <v>429</v>
      </c>
      <c r="O358" s="2" t="s">
        <v>243</v>
      </c>
      <c r="P358" s="2" t="s">
        <v>1985</v>
      </c>
      <c r="Q358" s="2" t="s">
        <v>237</v>
      </c>
      <c r="R358" s="2" t="s">
        <v>231</v>
      </c>
      <c r="S358" s="2" t="s">
        <v>2186</v>
      </c>
      <c r="T358" s="2" t="s">
        <v>231</v>
      </c>
      <c r="U358" s="2" t="s">
        <v>231</v>
      </c>
      <c r="V358" s="2" t="s">
        <v>239</v>
      </c>
      <c r="W358" s="2" t="s">
        <v>691</v>
      </c>
      <c r="X358" s="2" t="s">
        <v>231</v>
      </c>
      <c r="Y358" s="2" t="s">
        <v>274</v>
      </c>
      <c r="Z358" s="4">
        <v>128</v>
      </c>
      <c r="AA358" s="4">
        <f>=ROUNDDOWN(64,0)</f>
      </c>
      <c r="AB358" s="5">
        <v>2</v>
      </c>
      <c r="AC358" s="2" t="s">
        <v>231</v>
      </c>
      <c r="AD358" s="4"/>
      <c r="AE358" s="4"/>
      <c r="AF358" s="6">
        <v>66</v>
      </c>
      <c r="AG358" s="6">
        <v>49</v>
      </c>
      <c r="AH358" s="7">
        <v>1</v>
      </c>
      <c r="AI358" s="4"/>
      <c r="AJ358" s="4">
        <f>=ROUNDDOWN({0},0)</f>
      </c>
      <c r="AK358" s="5"/>
      <c r="AL358" s="2" t="s">
        <v>231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231</v>
      </c>
      <c r="BD358" s="8" t="s">
        <v>231</v>
      </c>
      <c r="BE358" s="4" t="s">
        <v>231</v>
      </c>
      <c r="BF358" s="8" t="s">
        <v>231</v>
      </c>
      <c r="BG358" s="7" t="s">
        <v>231</v>
      </c>
      <c r="BH358" s="7" t="s">
        <v>231</v>
      </c>
      <c r="BI358" s="7"/>
      <c r="BJ358" s="4">
        <v>5</v>
      </c>
      <c r="BK358" s="8">
        <v>1008.4</v>
      </c>
      <c r="BL358" s="2" t="s">
        <v>2187</v>
      </c>
      <c r="BM358" s="7"/>
      <c r="BN358" s="7"/>
      <c r="BO358" s="4"/>
      <c r="BP358" s="8"/>
      <c r="BQ358" s="4"/>
      <c r="BR358" s="8"/>
      <c r="BS358" s="7"/>
      <c r="BT358" s="7"/>
      <c r="BU358" s="2" t="s">
        <v>2188</v>
      </c>
      <c r="BV358" s="2" t="s">
        <v>231</v>
      </c>
      <c r="BW358" s="2" t="s">
        <v>231</v>
      </c>
      <c r="BX358" s="2" t="s">
        <v>231</v>
      </c>
      <c r="BY358" s="2" t="s">
        <v>277</v>
      </c>
      <c r="BZ358" s="2" t="s">
        <v>243</v>
      </c>
      <c r="CA358" s="2" t="s">
        <v>284</v>
      </c>
      <c r="CB358" s="2" t="s">
        <v>2189</v>
      </c>
      <c r="CC358" s="2" t="s">
        <v>244</v>
      </c>
      <c r="CD358" s="2" t="s">
        <v>231</v>
      </c>
      <c r="CE358" s="4"/>
      <c r="CF358" s="4">
        <v>118</v>
      </c>
      <c r="CG358" s="4"/>
      <c r="CH358" s="4"/>
      <c r="CI358" s="4">
        <v>10</v>
      </c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</row>
    <row r="359">
      <c r="A359" s="2" t="s">
        <v>2190</v>
      </c>
      <c r="B359" s="2" t="s">
        <v>847</v>
      </c>
      <c r="C359" s="2" t="s">
        <v>288</v>
      </c>
      <c r="D359" s="2" t="s">
        <v>882</v>
      </c>
      <c r="E359" s="2" t="s">
        <v>2191</v>
      </c>
      <c r="F359" s="2" t="s">
        <v>2192</v>
      </c>
      <c r="G359" s="2" t="s">
        <v>2192</v>
      </c>
      <c r="H359" s="2" t="s">
        <v>2192</v>
      </c>
      <c r="I359" s="2" t="s">
        <v>2193</v>
      </c>
      <c r="J359" s="2" t="s">
        <v>807</v>
      </c>
      <c r="K359" s="2" t="s">
        <v>2194</v>
      </c>
      <c r="L359" s="3">
        <v>6.66</v>
      </c>
      <c r="M359" s="3">
        <v>6.99</v>
      </c>
      <c r="N359" s="3">
        <v>19.99</v>
      </c>
      <c r="O359" s="2" t="s">
        <v>243</v>
      </c>
      <c r="P359" s="2" t="s">
        <v>270</v>
      </c>
      <c r="Q359" s="2" t="s">
        <v>237</v>
      </c>
      <c r="R359" s="2" t="s">
        <v>231</v>
      </c>
      <c r="S359" s="2" t="s">
        <v>231</v>
      </c>
      <c r="T359" s="2" t="s">
        <v>231</v>
      </c>
      <c r="U359" s="2" t="s">
        <v>327</v>
      </c>
      <c r="V359" s="2" t="s">
        <v>2195</v>
      </c>
      <c r="W359" s="2" t="s">
        <v>1891</v>
      </c>
      <c r="X359" s="2" t="s">
        <v>971</v>
      </c>
      <c r="Y359" s="2" t="s">
        <v>2196</v>
      </c>
      <c r="Z359" s="4">
        <v>162</v>
      </c>
      <c r="AA359" s="4">
        <f>=ROUNDDOWN(124.615384615385,0)</f>
      </c>
      <c r="AB359" s="5">
        <v>1.3</v>
      </c>
      <c r="AC359" s="2" t="s">
        <v>231</v>
      </c>
      <c r="AD359" s="4"/>
      <c r="AE359" s="4"/>
      <c r="AF359" s="6">
        <v>63</v>
      </c>
      <c r="AG359" s="6"/>
      <c r="AH359" s="7">
        <v>1</v>
      </c>
      <c r="AI359" s="4"/>
      <c r="AJ359" s="4">
        <f>=ROUNDDOWN({0},0)</f>
      </c>
      <c r="AK359" s="5"/>
      <c r="AL359" s="2" t="s">
        <v>231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231</v>
      </c>
      <c r="BD359" s="8" t="s">
        <v>231</v>
      </c>
      <c r="BE359" s="4" t="s">
        <v>231</v>
      </c>
      <c r="BF359" s="8" t="s">
        <v>231</v>
      </c>
      <c r="BG359" s="7" t="s">
        <v>231</v>
      </c>
      <c r="BH359" s="7" t="s">
        <v>231</v>
      </c>
      <c r="BI359" s="7"/>
      <c r="BJ359" s="4">
        <v>5</v>
      </c>
      <c r="BK359" s="8">
        <v>36.14</v>
      </c>
      <c r="BL359" s="2" t="s">
        <v>2197</v>
      </c>
      <c r="BM359" s="7"/>
      <c r="BN359" s="7"/>
      <c r="BO359" s="4"/>
      <c r="BP359" s="8"/>
      <c r="BQ359" s="4"/>
      <c r="BR359" s="8"/>
      <c r="BS359" s="7"/>
      <c r="BT359" s="7"/>
      <c r="BU359" s="2" t="s">
        <v>2198</v>
      </c>
      <c r="BV359" s="2" t="s">
        <v>231</v>
      </c>
      <c r="BW359" s="2" t="s">
        <v>231</v>
      </c>
      <c r="BX359" s="2" t="s">
        <v>1812</v>
      </c>
      <c r="BY359" s="2" t="s">
        <v>277</v>
      </c>
      <c r="BZ359" s="2" t="s">
        <v>243</v>
      </c>
      <c r="CA359" s="2" t="s">
        <v>2199</v>
      </c>
      <c r="CB359" s="2" t="s">
        <v>231</v>
      </c>
      <c r="CC359" s="2" t="s">
        <v>244</v>
      </c>
      <c r="CD359" s="2" t="s">
        <v>231</v>
      </c>
      <c r="CE359" s="4"/>
      <c r="CF359" s="4">
        <v>162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</row>
    <row r="360">
      <c r="A360" s="2" t="s">
        <v>2200</v>
      </c>
      <c r="B360" s="2" t="s">
        <v>847</v>
      </c>
      <c r="C360" s="2" t="s">
        <v>288</v>
      </c>
      <c r="D360" s="2" t="s">
        <v>882</v>
      </c>
      <c r="E360" s="2" t="s">
        <v>2191</v>
      </c>
      <c r="F360" s="2" t="s">
        <v>2192</v>
      </c>
      <c r="G360" s="2" t="s">
        <v>2192</v>
      </c>
      <c r="H360" s="2" t="s">
        <v>2192</v>
      </c>
      <c r="I360" s="2" t="s">
        <v>2201</v>
      </c>
      <c r="J360" s="2" t="s">
        <v>807</v>
      </c>
      <c r="K360" s="2" t="s">
        <v>2202</v>
      </c>
      <c r="L360" s="3">
        <v>6.66</v>
      </c>
      <c r="M360" s="3">
        <v>6.99</v>
      </c>
      <c r="N360" s="3">
        <v>19.99</v>
      </c>
      <c r="O360" s="2" t="s">
        <v>243</v>
      </c>
      <c r="P360" s="2" t="s">
        <v>270</v>
      </c>
      <c r="Q360" s="2" t="s">
        <v>237</v>
      </c>
      <c r="R360" s="2" t="s">
        <v>231</v>
      </c>
      <c r="S360" s="2" t="s">
        <v>231</v>
      </c>
      <c r="T360" s="2" t="s">
        <v>231</v>
      </c>
      <c r="U360" s="2" t="s">
        <v>327</v>
      </c>
      <c r="V360" s="2" t="s">
        <v>2195</v>
      </c>
      <c r="W360" s="2" t="s">
        <v>1891</v>
      </c>
      <c r="X360" s="2" t="s">
        <v>971</v>
      </c>
      <c r="Y360" s="2" t="s">
        <v>2203</v>
      </c>
      <c r="Z360" s="4">
        <v>180</v>
      </c>
      <c r="AA360" s="4">
        <f>=ROUNDDOWN(36,0)</f>
      </c>
      <c r="AB360" s="5">
        <v>5</v>
      </c>
      <c r="AC360" s="2" t="s">
        <v>231</v>
      </c>
      <c r="AD360" s="4"/>
      <c r="AE360" s="4"/>
      <c r="AF360" s="6">
        <v>63</v>
      </c>
      <c r="AG360" s="6"/>
      <c r="AH360" s="7">
        <v>1</v>
      </c>
      <c r="AI360" s="4"/>
      <c r="AJ360" s="4">
        <f>=ROUNDDOWN({0},0)</f>
      </c>
      <c r="AK360" s="5"/>
      <c r="AL360" s="2" t="s">
        <v>231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231</v>
      </c>
      <c r="BD360" s="8" t="s">
        <v>231</v>
      </c>
      <c r="BE360" s="4" t="s">
        <v>231</v>
      </c>
      <c r="BF360" s="8" t="s">
        <v>231</v>
      </c>
      <c r="BG360" s="7" t="s">
        <v>231</v>
      </c>
      <c r="BH360" s="7" t="s">
        <v>231</v>
      </c>
      <c r="BI360" s="7"/>
      <c r="BJ360" s="4">
        <v>37</v>
      </c>
      <c r="BK360" s="8">
        <v>359.71</v>
      </c>
      <c r="BL360" s="2" t="s">
        <v>2204</v>
      </c>
      <c r="BM360" s="7"/>
      <c r="BN360" s="7"/>
      <c r="BO360" s="4"/>
      <c r="BP360" s="8"/>
      <c r="BQ360" s="4"/>
      <c r="BR360" s="8"/>
      <c r="BS360" s="7"/>
      <c r="BT360" s="7"/>
      <c r="BU360" s="2" t="s">
        <v>2205</v>
      </c>
      <c r="BV360" s="2" t="s">
        <v>231</v>
      </c>
      <c r="BW360" s="2" t="s">
        <v>231</v>
      </c>
      <c r="BX360" s="2" t="s">
        <v>1812</v>
      </c>
      <c r="BY360" s="2" t="s">
        <v>277</v>
      </c>
      <c r="BZ360" s="2" t="s">
        <v>243</v>
      </c>
      <c r="CA360" s="2" t="s">
        <v>2199</v>
      </c>
      <c r="CB360" s="2" t="s">
        <v>2206</v>
      </c>
      <c r="CC360" s="2" t="s">
        <v>244</v>
      </c>
      <c r="CD360" s="2" t="s">
        <v>231</v>
      </c>
      <c r="CE360" s="4"/>
      <c r="CF360" s="4">
        <v>180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</row>
    <row r="361">
      <c r="A361" s="2" t="s">
        <v>2207</v>
      </c>
      <c r="B361" s="2" t="s">
        <v>847</v>
      </c>
      <c r="C361" s="2" t="s">
        <v>288</v>
      </c>
      <c r="D361" s="2" t="s">
        <v>882</v>
      </c>
      <c r="E361" s="2" t="s">
        <v>2191</v>
      </c>
      <c r="F361" s="2" t="s">
        <v>2192</v>
      </c>
      <c r="G361" s="2" t="s">
        <v>2192</v>
      </c>
      <c r="H361" s="2" t="s">
        <v>2192</v>
      </c>
      <c r="I361" s="2" t="s">
        <v>2208</v>
      </c>
      <c r="J361" s="2" t="s">
        <v>807</v>
      </c>
      <c r="K361" s="2" t="s">
        <v>2209</v>
      </c>
      <c r="L361" s="3">
        <v>6.66</v>
      </c>
      <c r="M361" s="3">
        <v>6.99</v>
      </c>
      <c r="N361" s="3">
        <v>19.99</v>
      </c>
      <c r="O361" s="2" t="s">
        <v>243</v>
      </c>
      <c r="P361" s="2" t="s">
        <v>236</v>
      </c>
      <c r="Q361" s="2" t="s">
        <v>237</v>
      </c>
      <c r="R361" s="2" t="s">
        <v>231</v>
      </c>
      <c r="S361" s="2" t="s">
        <v>231</v>
      </c>
      <c r="T361" s="2" t="s">
        <v>231</v>
      </c>
      <c r="U361" s="2" t="s">
        <v>327</v>
      </c>
      <c r="V361" s="2" t="s">
        <v>2195</v>
      </c>
      <c r="W361" s="2" t="s">
        <v>1891</v>
      </c>
      <c r="X361" s="2" t="s">
        <v>971</v>
      </c>
      <c r="Y361" s="2" t="s">
        <v>2203</v>
      </c>
      <c r="Z361" s="4">
        <v>134</v>
      </c>
      <c r="AA361" s="4">
        <f>=ROUNDDOWN(83.75,0)</f>
      </c>
      <c r="AB361" s="5">
        <v>1.6</v>
      </c>
      <c r="AC361" s="2" t="s">
        <v>231</v>
      </c>
      <c r="AD361" s="4"/>
      <c r="AE361" s="4"/>
      <c r="AF361" s="6">
        <v>63</v>
      </c>
      <c r="AG361" s="6"/>
      <c r="AH361" s="7">
        <v>1</v>
      </c>
      <c r="AI361" s="4"/>
      <c r="AJ361" s="4">
        <f>=ROUNDDOWN({0},0)</f>
      </c>
      <c r="AK361" s="5"/>
      <c r="AL361" s="2" t="s">
        <v>231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231</v>
      </c>
      <c r="BD361" s="8" t="s">
        <v>231</v>
      </c>
      <c r="BE361" s="4" t="s">
        <v>231</v>
      </c>
      <c r="BF361" s="8" t="s">
        <v>231</v>
      </c>
      <c r="BG361" s="7" t="s">
        <v>231</v>
      </c>
      <c r="BH361" s="7" t="s">
        <v>231</v>
      </c>
      <c r="BI361" s="7"/>
      <c r="BJ361" s="4">
        <v>6</v>
      </c>
      <c r="BK361" s="8">
        <v>40.68</v>
      </c>
      <c r="BL361" s="2" t="s">
        <v>2210</v>
      </c>
      <c r="BM361" s="7"/>
      <c r="BN361" s="7"/>
      <c r="BO361" s="4"/>
      <c r="BP361" s="8"/>
      <c r="BQ361" s="4"/>
      <c r="BR361" s="8"/>
      <c r="BS361" s="7"/>
      <c r="BT361" s="7"/>
      <c r="BU361" s="2" t="s">
        <v>2211</v>
      </c>
      <c r="BV361" s="2" t="s">
        <v>231</v>
      </c>
      <c r="BW361" s="2" t="s">
        <v>231</v>
      </c>
      <c r="BX361" s="2" t="s">
        <v>1812</v>
      </c>
      <c r="BY361" s="2" t="s">
        <v>277</v>
      </c>
      <c r="BZ361" s="2" t="s">
        <v>243</v>
      </c>
      <c r="CA361" s="2" t="s">
        <v>2199</v>
      </c>
      <c r="CB361" s="2" t="s">
        <v>231</v>
      </c>
      <c r="CC361" s="2" t="s">
        <v>244</v>
      </c>
      <c r="CD361" s="2" t="s">
        <v>231</v>
      </c>
      <c r="CE361" s="4"/>
      <c r="CF361" s="4">
        <v>134</v>
      </c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</row>
    <row r="362">
      <c r="A362" s="2" t="s">
        <v>2212</v>
      </c>
      <c r="B362" s="2" t="s">
        <v>847</v>
      </c>
      <c r="C362" s="2" t="s">
        <v>288</v>
      </c>
      <c r="D362" s="2" t="s">
        <v>882</v>
      </c>
      <c r="E362" s="2" t="s">
        <v>2191</v>
      </c>
      <c r="F362" s="2" t="s">
        <v>2192</v>
      </c>
      <c r="G362" s="2" t="s">
        <v>2192</v>
      </c>
      <c r="H362" s="2" t="s">
        <v>2192</v>
      </c>
      <c r="I362" s="2" t="s">
        <v>2213</v>
      </c>
      <c r="J362" s="2" t="s">
        <v>807</v>
      </c>
      <c r="K362" s="2" t="s">
        <v>2214</v>
      </c>
      <c r="L362" s="3">
        <v>6.66</v>
      </c>
      <c r="M362" s="3">
        <v>6.99</v>
      </c>
      <c r="N362" s="3">
        <v>19.99</v>
      </c>
      <c r="O362" s="2" t="s">
        <v>243</v>
      </c>
      <c r="P362" s="2" t="s">
        <v>270</v>
      </c>
      <c r="Q362" s="2" t="s">
        <v>237</v>
      </c>
      <c r="R362" s="2" t="s">
        <v>231</v>
      </c>
      <c r="S362" s="2" t="s">
        <v>231</v>
      </c>
      <c r="T362" s="2" t="s">
        <v>231</v>
      </c>
      <c r="U362" s="2" t="s">
        <v>327</v>
      </c>
      <c r="V362" s="2" t="s">
        <v>2195</v>
      </c>
      <c r="W362" s="2" t="s">
        <v>1891</v>
      </c>
      <c r="X362" s="2" t="s">
        <v>971</v>
      </c>
      <c r="Y362" s="2" t="s">
        <v>2196</v>
      </c>
      <c r="Z362" s="4">
        <v>370</v>
      </c>
      <c r="AA362" s="4">
        <f>=ROUNDDOWN(92.5,0)</f>
      </c>
      <c r="AB362" s="5">
        <v>4</v>
      </c>
      <c r="AC362" s="2" t="s">
        <v>231</v>
      </c>
      <c r="AD362" s="4"/>
      <c r="AE362" s="4"/>
      <c r="AF362" s="6">
        <v>63</v>
      </c>
      <c r="AG362" s="6"/>
      <c r="AH362" s="7">
        <v>1</v>
      </c>
      <c r="AI362" s="4"/>
      <c r="AJ362" s="4">
        <f>=ROUNDDOWN({0},0)</f>
      </c>
      <c r="AK362" s="5"/>
      <c r="AL362" s="2" t="s">
        <v>231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231</v>
      </c>
      <c r="BD362" s="8" t="s">
        <v>231</v>
      </c>
      <c r="BE362" s="4" t="s">
        <v>231</v>
      </c>
      <c r="BF362" s="8" t="s">
        <v>231</v>
      </c>
      <c r="BG362" s="7" t="s">
        <v>231</v>
      </c>
      <c r="BH362" s="7" t="s">
        <v>231</v>
      </c>
      <c r="BI362" s="7"/>
      <c r="BJ362" s="4">
        <v>7</v>
      </c>
      <c r="BK362" s="8">
        <v>50.26</v>
      </c>
      <c r="BL362" s="2" t="s">
        <v>2215</v>
      </c>
      <c r="BM362" s="7"/>
      <c r="BN362" s="7"/>
      <c r="BO362" s="4"/>
      <c r="BP362" s="8"/>
      <c r="BQ362" s="4"/>
      <c r="BR362" s="8"/>
      <c r="BS362" s="7"/>
      <c r="BT362" s="7"/>
      <c r="BU362" s="2" t="s">
        <v>2216</v>
      </c>
      <c r="BV362" s="2" t="s">
        <v>231</v>
      </c>
      <c r="BW362" s="2" t="s">
        <v>231</v>
      </c>
      <c r="BX362" s="2" t="s">
        <v>1812</v>
      </c>
      <c r="BY362" s="2" t="s">
        <v>277</v>
      </c>
      <c r="BZ362" s="2" t="s">
        <v>243</v>
      </c>
      <c r="CA362" s="2" t="s">
        <v>2199</v>
      </c>
      <c r="CB362" s="2" t="s">
        <v>231</v>
      </c>
      <c r="CC362" s="2" t="s">
        <v>244</v>
      </c>
      <c r="CD362" s="2" t="s">
        <v>231</v>
      </c>
      <c r="CE362" s="4"/>
      <c r="CF362" s="4">
        <v>370</v>
      </c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</row>
    <row r="363">
      <c r="A363" s="2" t="s">
        <v>2217</v>
      </c>
      <c r="B363" s="2" t="s">
        <v>847</v>
      </c>
      <c r="C363" s="2" t="s">
        <v>288</v>
      </c>
      <c r="D363" s="2" t="s">
        <v>882</v>
      </c>
      <c r="E363" s="2" t="s">
        <v>2191</v>
      </c>
      <c r="F363" s="2" t="s">
        <v>2192</v>
      </c>
      <c r="G363" s="2" t="s">
        <v>2192</v>
      </c>
      <c r="H363" s="2" t="s">
        <v>2192</v>
      </c>
      <c r="I363" s="2" t="s">
        <v>2218</v>
      </c>
      <c r="J363" s="2" t="s">
        <v>807</v>
      </c>
      <c r="K363" s="2" t="s">
        <v>2219</v>
      </c>
      <c r="L363" s="3">
        <v>6.66</v>
      </c>
      <c r="M363" s="3">
        <v>6.99</v>
      </c>
      <c r="N363" s="3">
        <v>19.99</v>
      </c>
      <c r="O363" s="2" t="s">
        <v>243</v>
      </c>
      <c r="P363" s="2" t="s">
        <v>236</v>
      </c>
      <c r="Q363" s="2" t="s">
        <v>237</v>
      </c>
      <c r="R363" s="2" t="s">
        <v>231</v>
      </c>
      <c r="S363" s="2" t="s">
        <v>231</v>
      </c>
      <c r="T363" s="2" t="s">
        <v>231</v>
      </c>
      <c r="U363" s="2" t="s">
        <v>327</v>
      </c>
      <c r="V363" s="2" t="s">
        <v>2195</v>
      </c>
      <c r="W363" s="2" t="s">
        <v>1891</v>
      </c>
      <c r="X363" s="2" t="s">
        <v>971</v>
      </c>
      <c r="Y363" s="2" t="s">
        <v>2196</v>
      </c>
      <c r="Z363" s="4">
        <v>163</v>
      </c>
      <c r="AA363" s="4">
        <f>=ROUNDDOWN(125.384615384615,0)</f>
      </c>
      <c r="AB363" s="5">
        <v>1.3</v>
      </c>
      <c r="AC363" s="2" t="s">
        <v>231</v>
      </c>
      <c r="AD363" s="4"/>
      <c r="AE363" s="4"/>
      <c r="AF363" s="6">
        <v>63</v>
      </c>
      <c r="AG363" s="6"/>
      <c r="AH363" s="7">
        <v>1</v>
      </c>
      <c r="AI363" s="4"/>
      <c r="AJ363" s="4">
        <f>=ROUNDDOWN({0},0)</f>
      </c>
      <c r="AK363" s="5"/>
      <c r="AL363" s="2" t="s">
        <v>231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231</v>
      </c>
      <c r="BD363" s="8" t="s">
        <v>231</v>
      </c>
      <c r="BE363" s="4" t="s">
        <v>231</v>
      </c>
      <c r="BF363" s="8" t="s">
        <v>231</v>
      </c>
      <c r="BG363" s="7" t="s">
        <v>231</v>
      </c>
      <c r="BH363" s="7" t="s">
        <v>231</v>
      </c>
      <c r="BI363" s="7"/>
      <c r="BJ363" s="4">
        <v>9</v>
      </c>
      <c r="BK363" s="8">
        <v>72.49</v>
      </c>
      <c r="BL363" s="2" t="s">
        <v>2220</v>
      </c>
      <c r="BM363" s="7"/>
      <c r="BN363" s="7"/>
      <c r="BO363" s="4"/>
      <c r="BP363" s="8"/>
      <c r="BQ363" s="4"/>
      <c r="BR363" s="8"/>
      <c r="BS363" s="7"/>
      <c r="BT363" s="7"/>
      <c r="BU363" s="2" t="s">
        <v>2221</v>
      </c>
      <c r="BV363" s="2" t="s">
        <v>231</v>
      </c>
      <c r="BW363" s="2" t="s">
        <v>231</v>
      </c>
      <c r="BX363" s="2" t="s">
        <v>1812</v>
      </c>
      <c r="BY363" s="2" t="s">
        <v>277</v>
      </c>
      <c r="BZ363" s="2" t="s">
        <v>243</v>
      </c>
      <c r="CA363" s="2" t="s">
        <v>2199</v>
      </c>
      <c r="CB363" s="2" t="s">
        <v>231</v>
      </c>
      <c r="CC363" s="2" t="s">
        <v>244</v>
      </c>
      <c r="CD363" s="2" t="s">
        <v>231</v>
      </c>
      <c r="CE363" s="4"/>
      <c r="CF363" s="4">
        <v>163</v>
      </c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</row>
    <row r="364">
      <c r="A364" s="2" t="s">
        <v>2222</v>
      </c>
      <c r="B364" s="2" t="s">
        <v>847</v>
      </c>
      <c r="C364" s="2" t="s">
        <v>288</v>
      </c>
      <c r="D364" s="2" t="s">
        <v>882</v>
      </c>
      <c r="E364" s="2" t="s">
        <v>2191</v>
      </c>
      <c r="F364" s="2" t="s">
        <v>2192</v>
      </c>
      <c r="G364" s="2" t="s">
        <v>2192</v>
      </c>
      <c r="H364" s="2" t="s">
        <v>2192</v>
      </c>
      <c r="I364" s="2" t="s">
        <v>2223</v>
      </c>
      <c r="J364" s="2" t="s">
        <v>807</v>
      </c>
      <c r="K364" s="2" t="s">
        <v>2224</v>
      </c>
      <c r="L364" s="3">
        <v>6.66</v>
      </c>
      <c r="M364" s="3">
        <v>6.99</v>
      </c>
      <c r="N364" s="3">
        <v>19.99</v>
      </c>
      <c r="O364" s="2" t="s">
        <v>243</v>
      </c>
      <c r="P364" s="2" t="s">
        <v>236</v>
      </c>
      <c r="Q364" s="2" t="s">
        <v>237</v>
      </c>
      <c r="R364" s="2" t="s">
        <v>231</v>
      </c>
      <c r="S364" s="2" t="s">
        <v>231</v>
      </c>
      <c r="T364" s="2" t="s">
        <v>231</v>
      </c>
      <c r="U364" s="2" t="s">
        <v>327</v>
      </c>
      <c r="V364" s="2" t="s">
        <v>2195</v>
      </c>
      <c r="W364" s="2" t="s">
        <v>1891</v>
      </c>
      <c r="X364" s="2" t="s">
        <v>971</v>
      </c>
      <c r="Y364" s="2" t="s">
        <v>2196</v>
      </c>
      <c r="Z364" s="4">
        <v>117</v>
      </c>
      <c r="AA364" s="4">
        <f>=ROUNDDOWN(58.5,0)</f>
      </c>
      <c r="AB364" s="5">
        <v>2</v>
      </c>
      <c r="AC364" s="2" t="s">
        <v>231</v>
      </c>
      <c r="AD364" s="4"/>
      <c r="AE364" s="4"/>
      <c r="AF364" s="6">
        <v>63</v>
      </c>
      <c r="AG364" s="6"/>
      <c r="AH364" s="7">
        <v>1</v>
      </c>
      <c r="AI364" s="4"/>
      <c r="AJ364" s="4">
        <f>=ROUNDDOWN({0},0)</f>
      </c>
      <c r="AK364" s="5"/>
      <c r="AL364" s="2" t="s">
        <v>231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231</v>
      </c>
      <c r="BD364" s="8" t="s">
        <v>231</v>
      </c>
      <c r="BE364" s="4" t="s">
        <v>231</v>
      </c>
      <c r="BF364" s="8" t="s">
        <v>231</v>
      </c>
      <c r="BG364" s="7" t="s">
        <v>231</v>
      </c>
      <c r="BH364" s="7" t="s">
        <v>231</v>
      </c>
      <c r="BI364" s="7"/>
      <c r="BJ364" s="4">
        <v>4</v>
      </c>
      <c r="BK364" s="8">
        <v>28.8</v>
      </c>
      <c r="BL364" s="2" t="s">
        <v>2225</v>
      </c>
      <c r="BM364" s="7"/>
      <c r="BN364" s="7"/>
      <c r="BO364" s="4"/>
      <c r="BP364" s="8"/>
      <c r="BQ364" s="4"/>
      <c r="BR364" s="8"/>
      <c r="BS364" s="7"/>
      <c r="BT364" s="7"/>
      <c r="BU364" s="2" t="s">
        <v>2226</v>
      </c>
      <c r="BV364" s="2" t="s">
        <v>231</v>
      </c>
      <c r="BW364" s="2" t="s">
        <v>231</v>
      </c>
      <c r="BX364" s="2" t="s">
        <v>1812</v>
      </c>
      <c r="BY364" s="2" t="s">
        <v>277</v>
      </c>
      <c r="BZ364" s="2" t="s">
        <v>243</v>
      </c>
      <c r="CA364" s="2" t="s">
        <v>2199</v>
      </c>
      <c r="CB364" s="2" t="s">
        <v>231</v>
      </c>
      <c r="CC364" s="2" t="s">
        <v>244</v>
      </c>
      <c r="CD364" s="2" t="s">
        <v>231</v>
      </c>
      <c r="CE364" s="4"/>
      <c r="CF364" s="4">
        <v>117</v>
      </c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</row>
    <row r="365">
      <c r="A365" s="2" t="s">
        <v>2227</v>
      </c>
      <c r="B365" s="2" t="s">
        <v>801</v>
      </c>
      <c r="C365" s="2" t="s">
        <v>815</v>
      </c>
      <c r="D365" s="2" t="s">
        <v>2228</v>
      </c>
      <c r="E365" s="2" t="s">
        <v>2229</v>
      </c>
      <c r="F365" s="2" t="s">
        <v>2230</v>
      </c>
      <c r="G365" s="2" t="s">
        <v>2230</v>
      </c>
      <c r="H365" s="2" t="s">
        <v>2230</v>
      </c>
      <c r="I365" s="2" t="s">
        <v>2231</v>
      </c>
      <c r="J365" s="2" t="s">
        <v>807</v>
      </c>
      <c r="K365" s="2" t="s">
        <v>2232</v>
      </c>
      <c r="L365" s="3">
        <v>55.89</v>
      </c>
      <c r="M365" s="3">
        <v>58.68</v>
      </c>
      <c r="N365" s="3">
        <v>129.99</v>
      </c>
      <c r="O365" s="2" t="s">
        <v>243</v>
      </c>
      <c r="P365" s="2" t="s">
        <v>341</v>
      </c>
      <c r="Q365" s="2" t="s">
        <v>237</v>
      </c>
      <c r="R365" s="2" t="s">
        <v>231</v>
      </c>
      <c r="S365" s="2" t="s">
        <v>231</v>
      </c>
      <c r="T365" s="2" t="s">
        <v>231</v>
      </c>
      <c r="U365" s="2" t="s">
        <v>327</v>
      </c>
      <c r="V365" s="2" t="s">
        <v>662</v>
      </c>
      <c r="W365" s="2" t="s">
        <v>808</v>
      </c>
      <c r="X365" s="2" t="s">
        <v>231</v>
      </c>
      <c r="Y365" s="2" t="s">
        <v>2233</v>
      </c>
      <c r="Z365" s="4">
        <v>54</v>
      </c>
      <c r="AA365" s="4">
        <f>=ROUNDDOWN(18,0)</f>
      </c>
      <c r="AB365" s="5">
        <v>3</v>
      </c>
      <c r="AC365" s="2" t="s">
        <v>231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231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>
        <v>4</v>
      </c>
      <c r="BK365" s="8">
        <v>224.59</v>
      </c>
      <c r="BL365" s="2" t="s">
        <v>2234</v>
      </c>
      <c r="BM365" s="7"/>
      <c r="BN365" s="7"/>
      <c r="BO365" s="4"/>
      <c r="BP365" s="8"/>
      <c r="BQ365" s="4"/>
      <c r="BR365" s="8"/>
      <c r="BS365" s="7"/>
      <c r="BT365" s="7"/>
      <c r="BU365" s="2" t="s">
        <v>2235</v>
      </c>
      <c r="BV365" s="2" t="s">
        <v>231</v>
      </c>
      <c r="BW365" s="2" t="s">
        <v>231</v>
      </c>
      <c r="BX365" s="2" t="s">
        <v>231</v>
      </c>
      <c r="BY365" s="2" t="s">
        <v>277</v>
      </c>
      <c r="BZ365" s="2" t="s">
        <v>243</v>
      </c>
      <c r="CA365" s="2" t="s">
        <v>2236</v>
      </c>
      <c r="CB365" s="2" t="s">
        <v>2237</v>
      </c>
      <c r="CC365" s="2" t="s">
        <v>244</v>
      </c>
      <c r="CD365" s="2" t="s">
        <v>231</v>
      </c>
      <c r="CE365" s="4"/>
      <c r="CF365" s="4">
        <v>54</v>
      </c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</row>
    <row r="366">
      <c r="A366" s="2" t="s">
        <v>2238</v>
      </c>
      <c r="B366" s="2" t="s">
        <v>992</v>
      </c>
      <c r="C366" s="2" t="s">
        <v>288</v>
      </c>
      <c r="D366" s="2" t="s">
        <v>993</v>
      </c>
      <c r="E366" s="2" t="s">
        <v>994</v>
      </c>
      <c r="F366" s="2" t="s">
        <v>2239</v>
      </c>
      <c r="G366" s="2" t="s">
        <v>2240</v>
      </c>
      <c r="H366" s="2" t="s">
        <v>2241</v>
      </c>
      <c r="I366" s="2" t="s">
        <v>2242</v>
      </c>
      <c r="J366" s="2" t="s">
        <v>1586</v>
      </c>
      <c r="K366" s="2" t="s">
        <v>1496</v>
      </c>
      <c r="L366" s="3">
        <v>17.5</v>
      </c>
      <c r="M366" s="3">
        <v>18.38</v>
      </c>
      <c r="N366" s="3">
        <v>39.99</v>
      </c>
      <c r="O366" s="2" t="s">
        <v>243</v>
      </c>
      <c r="P366" s="2" t="s">
        <v>270</v>
      </c>
      <c r="Q366" s="2" t="s">
        <v>237</v>
      </c>
      <c r="R366" s="2" t="s">
        <v>231</v>
      </c>
      <c r="S366" s="2" t="s">
        <v>2243</v>
      </c>
      <c r="T366" s="2" t="s">
        <v>231</v>
      </c>
      <c r="U366" s="2" t="s">
        <v>327</v>
      </c>
      <c r="V366" s="2" t="s">
        <v>239</v>
      </c>
      <c r="W366" s="2" t="s">
        <v>273</v>
      </c>
      <c r="X366" s="2" t="s">
        <v>1520</v>
      </c>
      <c r="Y366" s="2" t="s">
        <v>1395</v>
      </c>
      <c r="Z366" s="4">
        <v>532</v>
      </c>
      <c r="AA366" s="4">
        <f>=ROUNDDOWN(19.7037037037037,0)</f>
      </c>
      <c r="AB366" s="5">
        <v>27</v>
      </c>
      <c r="AC366" s="2" t="s">
        <v>1664</v>
      </c>
      <c r="AD366" s="4">
        <v>500</v>
      </c>
      <c r="AE366" s="4">
        <v>500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231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>
        <v>122</v>
      </c>
      <c r="BK366" s="8">
        <v>2461.92</v>
      </c>
      <c r="BL366" s="2" t="s">
        <v>2244</v>
      </c>
      <c r="BM366" s="7"/>
      <c r="BN366" s="7"/>
      <c r="BO366" s="4"/>
      <c r="BP366" s="8"/>
      <c r="BQ366" s="4"/>
      <c r="BR366" s="8"/>
      <c r="BS366" s="7"/>
      <c r="BT366" s="7"/>
      <c r="BU366" s="2" t="s">
        <v>2245</v>
      </c>
      <c r="BV366" s="2" t="s">
        <v>231</v>
      </c>
      <c r="BW366" s="2" t="s">
        <v>231</v>
      </c>
      <c r="BX366" s="2" t="s">
        <v>241</v>
      </c>
      <c r="BY366" s="2" t="s">
        <v>277</v>
      </c>
      <c r="BZ366" s="2" t="s">
        <v>243</v>
      </c>
      <c r="CA366" s="2" t="s">
        <v>2246</v>
      </c>
      <c r="CB366" s="2" t="s">
        <v>1727</v>
      </c>
      <c r="CC366" s="2" t="s">
        <v>244</v>
      </c>
      <c r="CD366" s="2" t="s">
        <v>231</v>
      </c>
      <c r="CE366" s="4">
        <v>532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>
        <v>500</v>
      </c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</row>
    <row r="367">
      <c r="A367" s="2" t="s">
        <v>2247</v>
      </c>
      <c r="B367" s="2" t="s">
        <v>1004</v>
      </c>
      <c r="C367" s="2" t="s">
        <v>653</v>
      </c>
      <c r="D367" s="2" t="s">
        <v>1912</v>
      </c>
      <c r="E367" s="2" t="s">
        <v>1913</v>
      </c>
      <c r="F367" s="2" t="s">
        <v>2248</v>
      </c>
      <c r="G367" s="2" t="s">
        <v>2248</v>
      </c>
      <c r="H367" s="2" t="s">
        <v>2248</v>
      </c>
      <c r="I367" s="2" t="s">
        <v>2249</v>
      </c>
      <c r="J367" s="2" t="s">
        <v>807</v>
      </c>
      <c r="K367" s="2" t="s">
        <v>2250</v>
      </c>
      <c r="L367" s="3">
        <v>134.18</v>
      </c>
      <c r="M367" s="3">
        <v>140.89</v>
      </c>
      <c r="N367" s="3">
        <v>279</v>
      </c>
      <c r="O367" s="2" t="s">
        <v>243</v>
      </c>
      <c r="P367" s="2" t="s">
        <v>1915</v>
      </c>
      <c r="Q367" s="2" t="s">
        <v>237</v>
      </c>
      <c r="R367" s="2" t="s">
        <v>231</v>
      </c>
      <c r="S367" s="2" t="s">
        <v>231</v>
      </c>
      <c r="T367" s="2" t="s">
        <v>231</v>
      </c>
      <c r="U367" s="2" t="s">
        <v>327</v>
      </c>
      <c r="V367" s="2" t="s">
        <v>662</v>
      </c>
      <c r="W367" s="2" t="s">
        <v>676</v>
      </c>
      <c r="X367" s="2" t="s">
        <v>896</v>
      </c>
      <c r="Y367" s="2" t="s">
        <v>1859</v>
      </c>
      <c r="Z367" s="4"/>
      <c r="AA367" s="4">
        <f>=ROUNDDOWN({0},0)</f>
      </c>
      <c r="AB367" s="5"/>
      <c r="AC367" s="2" t="s">
        <v>2251</v>
      </c>
      <c r="AD367" s="4">
        <v>100</v>
      </c>
      <c r="AE367" s="4">
        <v>100</v>
      </c>
      <c r="AF367" s="6">
        <v>74</v>
      </c>
      <c r="AG367" s="6"/>
      <c r="AH367" s="7">
        <v>0</v>
      </c>
      <c r="AI367" s="4"/>
      <c r="AJ367" s="4">
        <f>=ROUNDDOWN({0},0)</f>
      </c>
      <c r="AK367" s="5"/>
      <c r="AL367" s="2" t="s">
        <v>231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231</v>
      </c>
      <c r="BD367" s="8" t="s">
        <v>231</v>
      </c>
      <c r="BE367" s="4" t="s">
        <v>231</v>
      </c>
      <c r="BF367" s="8" t="s">
        <v>231</v>
      </c>
      <c r="BG367" s="7" t="s">
        <v>231</v>
      </c>
      <c r="BH367" s="7" t="s">
        <v>231</v>
      </c>
      <c r="BI367" s="7"/>
      <c r="BJ367" s="4"/>
      <c r="BK367" s="8"/>
      <c r="BL367" s="2" t="s">
        <v>231</v>
      </c>
      <c r="BM367" s="7"/>
      <c r="BN367" s="7"/>
      <c r="BO367" s="4"/>
      <c r="BP367" s="8"/>
      <c r="BQ367" s="4"/>
      <c r="BR367" s="8"/>
      <c r="BS367" s="7"/>
      <c r="BT367" s="7"/>
      <c r="BU367" s="2" t="s">
        <v>241</v>
      </c>
      <c r="BV367" s="2" t="s">
        <v>231</v>
      </c>
      <c r="BW367" s="2" t="s">
        <v>231</v>
      </c>
      <c r="BX367" s="2" t="s">
        <v>241</v>
      </c>
      <c r="BY367" s="2" t="s">
        <v>242</v>
      </c>
      <c r="BZ367" s="2" t="s">
        <v>243</v>
      </c>
      <c r="CA367" s="2" t="s">
        <v>231</v>
      </c>
      <c r="CB367" s="2" t="s">
        <v>231</v>
      </c>
      <c r="CC367" s="2" t="s">
        <v>244</v>
      </c>
      <c r="CD367" s="2" t="s">
        <v>231</v>
      </c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>
        <v>100</v>
      </c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</row>
    <row r="368">
      <c r="A368" s="2" t="s">
        <v>2252</v>
      </c>
      <c r="B368" s="2" t="s">
        <v>1004</v>
      </c>
      <c r="C368" s="2" t="s">
        <v>653</v>
      </c>
      <c r="D368" s="2" t="s">
        <v>1295</v>
      </c>
      <c r="E368" s="2" t="s">
        <v>2253</v>
      </c>
      <c r="F368" s="2" t="s">
        <v>2248</v>
      </c>
      <c r="G368" s="2" t="s">
        <v>2248</v>
      </c>
      <c r="H368" s="2" t="s">
        <v>2248</v>
      </c>
      <c r="I368" s="2" t="s">
        <v>2253</v>
      </c>
      <c r="J368" s="2" t="s">
        <v>293</v>
      </c>
      <c r="K368" s="2" t="s">
        <v>1496</v>
      </c>
      <c r="L368" s="3">
        <v>370</v>
      </c>
      <c r="M368" s="3">
        <v>388.5</v>
      </c>
      <c r="N368" s="3">
        <v>769</v>
      </c>
      <c r="O368" s="2" t="s">
        <v>243</v>
      </c>
      <c r="P368" s="2" t="s">
        <v>1915</v>
      </c>
      <c r="Q368" s="2" t="s">
        <v>237</v>
      </c>
      <c r="R368" s="2" t="s">
        <v>231</v>
      </c>
      <c r="S368" s="2" t="s">
        <v>231</v>
      </c>
      <c r="T368" s="2" t="s">
        <v>231</v>
      </c>
      <c r="U368" s="2" t="s">
        <v>327</v>
      </c>
      <c r="V368" s="2" t="s">
        <v>239</v>
      </c>
      <c r="W368" s="2" t="s">
        <v>676</v>
      </c>
      <c r="X368" s="2" t="s">
        <v>896</v>
      </c>
      <c r="Y368" s="2" t="s">
        <v>1859</v>
      </c>
      <c r="Z368" s="4"/>
      <c r="AA368" s="4">
        <f>=ROUNDDOWN({0},0)</f>
      </c>
      <c r="AB368" s="5"/>
      <c r="AC368" s="2" t="s">
        <v>2254</v>
      </c>
      <c r="AD368" s="4">
        <v>260</v>
      </c>
      <c r="AE368" s="4">
        <v>340</v>
      </c>
      <c r="AF368" s="6">
        <v>74</v>
      </c>
      <c r="AG368" s="6"/>
      <c r="AH368" s="7">
        <v>0</v>
      </c>
      <c r="AI368" s="4"/>
      <c r="AJ368" s="4">
        <f>=ROUNDDOWN({0},0)</f>
      </c>
      <c r="AK368" s="5"/>
      <c r="AL368" s="2" t="s">
        <v>231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231</v>
      </c>
      <c r="AW368" s="8" t="s">
        <v>231</v>
      </c>
      <c r="AX368" s="4" t="s">
        <v>231</v>
      </c>
      <c r="AY368" s="8" t="s">
        <v>231</v>
      </c>
      <c r="AZ368" s="7" t="s">
        <v>231</v>
      </c>
      <c r="BA368" s="7" t="s">
        <v>231</v>
      </c>
      <c r="BB368" s="7"/>
      <c r="BC368" s="4" t="s">
        <v>231</v>
      </c>
      <c r="BD368" s="8" t="s">
        <v>231</v>
      </c>
      <c r="BE368" s="4" t="s">
        <v>231</v>
      </c>
      <c r="BF368" s="8" t="s">
        <v>231</v>
      </c>
      <c r="BG368" s="7" t="s">
        <v>231</v>
      </c>
      <c r="BH368" s="7" t="s">
        <v>231</v>
      </c>
      <c r="BI368" s="7"/>
      <c r="BJ368" s="4"/>
      <c r="BK368" s="8"/>
      <c r="BL368" s="2" t="s">
        <v>231</v>
      </c>
      <c r="BM368" s="7"/>
      <c r="BN368" s="7"/>
      <c r="BO368" s="4"/>
      <c r="BP368" s="8"/>
      <c r="BQ368" s="4"/>
      <c r="BR368" s="8"/>
      <c r="BS368" s="7"/>
      <c r="BT368" s="7"/>
      <c r="BU368" s="2" t="s">
        <v>241</v>
      </c>
      <c r="BV368" s="2" t="s">
        <v>231</v>
      </c>
      <c r="BW368" s="2" t="s">
        <v>231</v>
      </c>
      <c r="BX368" s="2" t="s">
        <v>1812</v>
      </c>
      <c r="BY368" s="2" t="s">
        <v>242</v>
      </c>
      <c r="BZ368" s="2" t="s">
        <v>243</v>
      </c>
      <c r="CA368" s="2" t="s">
        <v>231</v>
      </c>
      <c r="CB368" s="2" t="s">
        <v>231</v>
      </c>
      <c r="CC368" s="2" t="s">
        <v>244</v>
      </c>
      <c r="CD368" s="2" t="s">
        <v>231</v>
      </c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>
        <v>260</v>
      </c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>
        <v>80</v>
      </c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</row>
    <row r="369">
      <c r="A369" s="2" t="s">
        <v>2255</v>
      </c>
      <c r="B369" s="2" t="s">
        <v>1004</v>
      </c>
      <c r="C369" s="2" t="s">
        <v>653</v>
      </c>
      <c r="D369" s="2" t="s">
        <v>1295</v>
      </c>
      <c r="E369" s="2" t="s">
        <v>2253</v>
      </c>
      <c r="F369" s="2" t="s">
        <v>2248</v>
      </c>
      <c r="G369" s="2" t="s">
        <v>2248</v>
      </c>
      <c r="H369" s="2" t="s">
        <v>2248</v>
      </c>
      <c r="I369" s="2" t="s">
        <v>2253</v>
      </c>
      <c r="J369" s="2" t="s">
        <v>302</v>
      </c>
      <c r="K369" s="2" t="s">
        <v>1496</v>
      </c>
      <c r="L369" s="3">
        <v>430</v>
      </c>
      <c r="M369" s="3">
        <v>451.5</v>
      </c>
      <c r="N369" s="3">
        <v>899</v>
      </c>
      <c r="O369" s="2" t="s">
        <v>243</v>
      </c>
      <c r="P369" s="2" t="s">
        <v>1915</v>
      </c>
      <c r="Q369" s="2" t="s">
        <v>2256</v>
      </c>
      <c r="R369" s="2" t="s">
        <v>231</v>
      </c>
      <c r="S369" s="2" t="s">
        <v>231</v>
      </c>
      <c r="T369" s="2" t="s">
        <v>231</v>
      </c>
      <c r="U369" s="2" t="s">
        <v>327</v>
      </c>
      <c r="V369" s="2" t="s">
        <v>239</v>
      </c>
      <c r="W369" s="2" t="s">
        <v>676</v>
      </c>
      <c r="X369" s="2" t="s">
        <v>896</v>
      </c>
      <c r="Y369" s="2" t="s">
        <v>231</v>
      </c>
      <c r="Z369" s="4"/>
      <c r="AA369" s="4">
        <f>=ROUNDDOWN({0},0)</f>
      </c>
      <c r="AB369" s="5"/>
      <c r="AC369" s="2" t="s">
        <v>2254</v>
      </c>
      <c r="AD369" s="4">
        <v>200</v>
      </c>
      <c r="AE369" s="4">
        <v>264</v>
      </c>
      <c r="AF369" s="6">
        <v>74</v>
      </c>
      <c r="AG369" s="6"/>
      <c r="AH369" s="7">
        <v>0</v>
      </c>
      <c r="AI369" s="4"/>
      <c r="AJ369" s="4">
        <f>=ROUNDDOWN({0},0)</f>
      </c>
      <c r="AK369" s="5"/>
      <c r="AL369" s="2" t="s">
        <v>231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231</v>
      </c>
      <c r="AW369" s="8" t="s">
        <v>231</v>
      </c>
      <c r="AX369" s="4" t="s">
        <v>231</v>
      </c>
      <c r="AY369" s="8" t="s">
        <v>231</v>
      </c>
      <c r="AZ369" s="7" t="s">
        <v>231</v>
      </c>
      <c r="BA369" s="7" t="s">
        <v>231</v>
      </c>
      <c r="BB369" s="7"/>
      <c r="BC369" s="4" t="s">
        <v>231</v>
      </c>
      <c r="BD369" s="8" t="s">
        <v>231</v>
      </c>
      <c r="BE369" s="4" t="s">
        <v>231</v>
      </c>
      <c r="BF369" s="8" t="s">
        <v>231</v>
      </c>
      <c r="BG369" s="7" t="s">
        <v>231</v>
      </c>
      <c r="BH369" s="7" t="s">
        <v>231</v>
      </c>
      <c r="BI369" s="7"/>
      <c r="BJ369" s="4"/>
      <c r="BK369" s="8"/>
      <c r="BL369" s="2" t="s">
        <v>231</v>
      </c>
      <c r="BM369" s="7"/>
      <c r="BN369" s="7"/>
      <c r="BO369" s="4"/>
      <c r="BP369" s="8"/>
      <c r="BQ369" s="4"/>
      <c r="BR369" s="8"/>
      <c r="BS369" s="7"/>
      <c r="BT369" s="7"/>
      <c r="BU369" s="2" t="s">
        <v>241</v>
      </c>
      <c r="BV369" s="2" t="s">
        <v>231</v>
      </c>
      <c r="BW369" s="2" t="s">
        <v>231</v>
      </c>
      <c r="BX369" s="2" t="s">
        <v>1812</v>
      </c>
      <c r="BY369" s="2" t="s">
        <v>242</v>
      </c>
      <c r="BZ369" s="2" t="s">
        <v>243</v>
      </c>
      <c r="CA369" s="2" t="s">
        <v>231</v>
      </c>
      <c r="CB369" s="2" t="s">
        <v>231</v>
      </c>
      <c r="CC369" s="2" t="s">
        <v>244</v>
      </c>
      <c r="CD369" s="2" t="s">
        <v>231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>
        <v>200</v>
      </c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>
        <v>64</v>
      </c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</row>
    <row r="370">
      <c r="A370" s="2" t="s">
        <v>2257</v>
      </c>
      <c r="B370" s="2" t="s">
        <v>1004</v>
      </c>
      <c r="C370" s="2" t="s">
        <v>653</v>
      </c>
      <c r="D370" s="2" t="s">
        <v>2130</v>
      </c>
      <c r="E370" s="2" t="s">
        <v>2131</v>
      </c>
      <c r="F370" s="2" t="s">
        <v>2248</v>
      </c>
      <c r="G370" s="2" t="s">
        <v>2248</v>
      </c>
      <c r="H370" s="2" t="s">
        <v>2248</v>
      </c>
      <c r="I370" s="2" t="s">
        <v>2258</v>
      </c>
      <c r="J370" s="2" t="s">
        <v>807</v>
      </c>
      <c r="K370" s="2" t="s">
        <v>1496</v>
      </c>
      <c r="L370" s="3">
        <v>217.8</v>
      </c>
      <c r="M370" s="3">
        <v>228.69</v>
      </c>
      <c r="N370" s="3">
        <v>459</v>
      </c>
      <c r="O370" s="2" t="s">
        <v>243</v>
      </c>
      <c r="P370" s="2" t="s">
        <v>1915</v>
      </c>
      <c r="Q370" s="2" t="s">
        <v>237</v>
      </c>
      <c r="R370" s="2" t="s">
        <v>231</v>
      </c>
      <c r="S370" s="2" t="s">
        <v>231</v>
      </c>
      <c r="T370" s="2" t="s">
        <v>231</v>
      </c>
      <c r="U370" s="2" t="s">
        <v>327</v>
      </c>
      <c r="V370" s="2" t="s">
        <v>662</v>
      </c>
      <c r="W370" s="2" t="s">
        <v>676</v>
      </c>
      <c r="X370" s="2" t="s">
        <v>896</v>
      </c>
      <c r="Y370" s="2" t="s">
        <v>1859</v>
      </c>
      <c r="Z370" s="4"/>
      <c r="AA370" s="4">
        <f>=ROUNDDOWN({0},0)</f>
      </c>
      <c r="AB370" s="5"/>
      <c r="AC370" s="2" t="s">
        <v>2251</v>
      </c>
      <c r="AD370" s="4">
        <v>130</v>
      </c>
      <c r="AE370" s="4">
        <v>130</v>
      </c>
      <c r="AF370" s="6">
        <v>74</v>
      </c>
      <c r="AG370" s="6"/>
      <c r="AH370" s="7">
        <v>0</v>
      </c>
      <c r="AI370" s="4"/>
      <c r="AJ370" s="4">
        <f>=ROUNDDOWN({0},0)</f>
      </c>
      <c r="AK370" s="5"/>
      <c r="AL370" s="2" t="s">
        <v>231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231</v>
      </c>
      <c r="AW370" s="8" t="s">
        <v>231</v>
      </c>
      <c r="AX370" s="4" t="s">
        <v>231</v>
      </c>
      <c r="AY370" s="8" t="s">
        <v>231</v>
      </c>
      <c r="AZ370" s="7" t="s">
        <v>231</v>
      </c>
      <c r="BA370" s="7" t="s">
        <v>231</v>
      </c>
      <c r="BB370" s="7" t="s">
        <v>231</v>
      </c>
      <c r="BC370" s="4" t="s">
        <v>231</v>
      </c>
      <c r="BD370" s="8" t="s">
        <v>231</v>
      </c>
      <c r="BE370" s="4" t="s">
        <v>231</v>
      </c>
      <c r="BF370" s="8" t="s">
        <v>231</v>
      </c>
      <c r="BG370" s="7" t="s">
        <v>231</v>
      </c>
      <c r="BH370" s="7" t="s">
        <v>231</v>
      </c>
      <c r="BI370" s="7"/>
      <c r="BJ370" s="4"/>
      <c r="BK370" s="8"/>
      <c r="BL370" s="2" t="s">
        <v>231</v>
      </c>
      <c r="BM370" s="7"/>
      <c r="BN370" s="7"/>
      <c r="BO370" s="4"/>
      <c r="BP370" s="8"/>
      <c r="BQ370" s="4"/>
      <c r="BR370" s="8"/>
      <c r="BS370" s="7"/>
      <c r="BT370" s="7"/>
      <c r="BU370" s="2" t="s">
        <v>241</v>
      </c>
      <c r="BV370" s="2" t="s">
        <v>231</v>
      </c>
      <c r="BW370" s="2" t="s">
        <v>231</v>
      </c>
      <c r="BX370" s="2" t="s">
        <v>241</v>
      </c>
      <c r="BY370" s="2" t="s">
        <v>242</v>
      </c>
      <c r="BZ370" s="2" t="s">
        <v>243</v>
      </c>
      <c r="CA370" s="2" t="s">
        <v>231</v>
      </c>
      <c r="CB370" s="2" t="s">
        <v>231</v>
      </c>
      <c r="CC370" s="2" t="s">
        <v>244</v>
      </c>
      <c r="CD370" s="2" t="s">
        <v>231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>
        <v>130</v>
      </c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</row>
    <row r="371">
      <c r="A371" s="2" t="s">
        <v>2259</v>
      </c>
      <c r="B371" s="2" t="s">
        <v>1004</v>
      </c>
      <c r="C371" s="2" t="s">
        <v>653</v>
      </c>
      <c r="D371" s="2" t="s">
        <v>2260</v>
      </c>
      <c r="E371" s="2" t="s">
        <v>2261</v>
      </c>
      <c r="F371" s="2" t="s">
        <v>2248</v>
      </c>
      <c r="G371" s="2" t="s">
        <v>2248</v>
      </c>
      <c r="H371" s="2" t="s">
        <v>2248</v>
      </c>
      <c r="I371" s="2" t="s">
        <v>2261</v>
      </c>
      <c r="J371" s="2" t="s">
        <v>807</v>
      </c>
      <c r="K371" s="2" t="s">
        <v>1496</v>
      </c>
      <c r="L371" s="3">
        <v>109.25</v>
      </c>
      <c r="M371" s="3">
        <v>114.71</v>
      </c>
      <c r="N371" s="3">
        <v>229</v>
      </c>
      <c r="O371" s="2" t="s">
        <v>243</v>
      </c>
      <c r="P371" s="2" t="s">
        <v>1915</v>
      </c>
      <c r="Q371" s="2" t="s">
        <v>237</v>
      </c>
      <c r="R371" s="2" t="s">
        <v>231</v>
      </c>
      <c r="S371" s="2" t="s">
        <v>231</v>
      </c>
      <c r="T371" s="2" t="s">
        <v>231</v>
      </c>
      <c r="U371" s="2" t="s">
        <v>327</v>
      </c>
      <c r="V371" s="2" t="s">
        <v>239</v>
      </c>
      <c r="W371" s="2" t="s">
        <v>676</v>
      </c>
      <c r="X371" s="2" t="s">
        <v>896</v>
      </c>
      <c r="Y371" s="2" t="s">
        <v>1859</v>
      </c>
      <c r="Z371" s="4"/>
      <c r="AA371" s="4">
        <f>=ROUNDDOWN({0},0)</f>
      </c>
      <c r="AB371" s="5"/>
      <c r="AC371" s="2" t="s">
        <v>2262</v>
      </c>
      <c r="AD371" s="4">
        <v>240</v>
      </c>
      <c r="AE371" s="4">
        <v>900</v>
      </c>
      <c r="AF371" s="6">
        <v>74</v>
      </c>
      <c r="AG371" s="6"/>
      <c r="AH371" s="7">
        <v>0</v>
      </c>
      <c r="AI371" s="4"/>
      <c r="AJ371" s="4">
        <f>=ROUNDDOWN({0},0)</f>
      </c>
      <c r="AK371" s="5"/>
      <c r="AL371" s="2" t="s">
        <v>231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231</v>
      </c>
      <c r="AW371" s="8" t="s">
        <v>231</v>
      </c>
      <c r="AX371" s="4" t="s">
        <v>231</v>
      </c>
      <c r="AY371" s="8" t="s">
        <v>231</v>
      </c>
      <c r="AZ371" s="7" t="s">
        <v>231</v>
      </c>
      <c r="BA371" s="7" t="s">
        <v>231</v>
      </c>
      <c r="BB371" s="7" t="s">
        <v>231</v>
      </c>
      <c r="BC371" s="4" t="s">
        <v>231</v>
      </c>
      <c r="BD371" s="8" t="s">
        <v>231</v>
      </c>
      <c r="BE371" s="4" t="s">
        <v>231</v>
      </c>
      <c r="BF371" s="8" t="s">
        <v>231</v>
      </c>
      <c r="BG371" s="7" t="s">
        <v>231</v>
      </c>
      <c r="BH371" s="7" t="s">
        <v>231</v>
      </c>
      <c r="BI371" s="7"/>
      <c r="BJ371" s="4"/>
      <c r="BK371" s="8"/>
      <c r="BL371" s="2" t="s">
        <v>231</v>
      </c>
      <c r="BM371" s="7"/>
      <c r="BN371" s="7"/>
      <c r="BO371" s="4"/>
      <c r="BP371" s="8"/>
      <c r="BQ371" s="4"/>
      <c r="BR371" s="8"/>
      <c r="BS371" s="7"/>
      <c r="BT371" s="7"/>
      <c r="BU371" s="2" t="s">
        <v>241</v>
      </c>
      <c r="BV371" s="2" t="s">
        <v>231</v>
      </c>
      <c r="BW371" s="2" t="s">
        <v>231</v>
      </c>
      <c r="BX371" s="2" t="s">
        <v>241</v>
      </c>
      <c r="BY371" s="2" t="s">
        <v>242</v>
      </c>
      <c r="BZ371" s="2" t="s">
        <v>243</v>
      </c>
      <c r="CA371" s="2" t="s">
        <v>231</v>
      </c>
      <c r="CB371" s="2" t="s">
        <v>231</v>
      </c>
      <c r="CC371" s="2" t="s">
        <v>244</v>
      </c>
      <c r="CD371" s="2" t="s">
        <v>231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>
        <v>240</v>
      </c>
      <c r="ER371" s="4"/>
      <c r="ES371" s="4"/>
      <c r="ET371" s="4"/>
      <c r="EU371" s="4"/>
      <c r="EV371" s="4"/>
      <c r="EW371" s="4"/>
      <c r="EX371" s="4"/>
      <c r="EY371" s="4"/>
      <c r="EZ371" s="4">
        <v>660</v>
      </c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</row>
    <row r="372">
      <c r="A372" s="2" t="s">
        <v>2263</v>
      </c>
      <c r="B372" s="2" t="s">
        <v>1004</v>
      </c>
      <c r="C372" s="2" t="s">
        <v>288</v>
      </c>
      <c r="D372" s="2" t="s">
        <v>1837</v>
      </c>
      <c r="E372" s="2" t="s">
        <v>2264</v>
      </c>
      <c r="F372" s="2" t="s">
        <v>2265</v>
      </c>
      <c r="G372" s="2" t="s">
        <v>2266</v>
      </c>
      <c r="H372" s="2" t="s">
        <v>2267</v>
      </c>
      <c r="I372" s="2" t="s">
        <v>2268</v>
      </c>
      <c r="J372" s="2" t="s">
        <v>807</v>
      </c>
      <c r="K372" s="2" t="s">
        <v>2269</v>
      </c>
      <c r="L372" s="3">
        <v>205.2</v>
      </c>
      <c r="M372" s="3">
        <v>215.46</v>
      </c>
      <c r="N372" s="3">
        <v>429</v>
      </c>
      <c r="O372" s="2" t="s">
        <v>243</v>
      </c>
      <c r="P372" s="2" t="s">
        <v>1985</v>
      </c>
      <c r="Q372" s="2" t="s">
        <v>237</v>
      </c>
      <c r="R372" s="2" t="s">
        <v>231</v>
      </c>
      <c r="S372" s="2" t="s">
        <v>231</v>
      </c>
      <c r="T372" s="2" t="s">
        <v>231</v>
      </c>
      <c r="U372" s="2" t="s">
        <v>327</v>
      </c>
      <c r="V372" s="2" t="s">
        <v>239</v>
      </c>
      <c r="W372" s="2" t="s">
        <v>792</v>
      </c>
      <c r="X372" s="2" t="s">
        <v>273</v>
      </c>
      <c r="Y372" s="2" t="s">
        <v>2270</v>
      </c>
      <c r="Z372" s="4">
        <v>86</v>
      </c>
      <c r="AA372" s="4">
        <f>=ROUNDDOWN(430,0)</f>
      </c>
      <c r="AB372" s="5">
        <v>0.2</v>
      </c>
      <c r="AC372" s="2" t="s">
        <v>231</v>
      </c>
      <c r="AD372" s="4"/>
      <c r="AE372" s="4"/>
      <c r="AF372" s="6">
        <v>74</v>
      </c>
      <c r="AG372" s="6"/>
      <c r="AH372" s="7">
        <v>1</v>
      </c>
      <c r="AI372" s="4"/>
      <c r="AJ372" s="4">
        <f>=ROUNDDOWN({0},0)</f>
      </c>
      <c r="AK372" s="5"/>
      <c r="AL372" s="2" t="s">
        <v>231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>
        <v>2</v>
      </c>
      <c r="BK372" s="8">
        <v>430.92</v>
      </c>
      <c r="BL372" s="2" t="s">
        <v>1306</v>
      </c>
      <c r="BM372" s="7"/>
      <c r="BN372" s="7"/>
      <c r="BO372" s="4"/>
      <c r="BP372" s="8"/>
      <c r="BQ372" s="4"/>
      <c r="BR372" s="8"/>
      <c r="BS372" s="7"/>
      <c r="BT372" s="7"/>
      <c r="BU372" s="2" t="s">
        <v>2271</v>
      </c>
      <c r="BV372" s="2" t="s">
        <v>231</v>
      </c>
      <c r="BW372" s="2" t="s">
        <v>231</v>
      </c>
      <c r="BX372" s="2" t="s">
        <v>231</v>
      </c>
      <c r="BY372" s="2" t="s">
        <v>277</v>
      </c>
      <c r="BZ372" s="2" t="s">
        <v>243</v>
      </c>
      <c r="CA372" s="2" t="s">
        <v>2272</v>
      </c>
      <c r="CB372" s="2" t="s">
        <v>231</v>
      </c>
      <c r="CC372" s="2" t="s">
        <v>244</v>
      </c>
      <c r="CD372" s="2" t="s">
        <v>231</v>
      </c>
      <c r="CE372" s="4"/>
      <c r="CF372" s="4">
        <v>86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</row>
    <row r="373">
      <c r="A373" s="2" t="s">
        <v>2273</v>
      </c>
      <c r="B373" s="2" t="s">
        <v>1186</v>
      </c>
      <c r="C373" s="2" t="s">
        <v>288</v>
      </c>
      <c r="D373" s="2" t="s">
        <v>654</v>
      </c>
      <c r="E373" s="2" t="s">
        <v>655</v>
      </c>
      <c r="F373" s="2" t="s">
        <v>2274</v>
      </c>
      <c r="G373" s="2" t="s">
        <v>2275</v>
      </c>
      <c r="H373" s="2" t="s">
        <v>2276</v>
      </c>
      <c r="I373" s="2" t="s">
        <v>2277</v>
      </c>
      <c r="J373" s="2" t="s">
        <v>658</v>
      </c>
      <c r="K373" s="2" t="s">
        <v>901</v>
      </c>
      <c r="L373" s="3">
        <v>41.14</v>
      </c>
      <c r="M373" s="3">
        <v>43.2</v>
      </c>
      <c r="N373" s="3">
        <v>89.99</v>
      </c>
      <c r="O373" s="2" t="s">
        <v>243</v>
      </c>
      <c r="P373" s="2" t="s">
        <v>236</v>
      </c>
      <c r="Q373" s="2" t="s">
        <v>237</v>
      </c>
      <c r="R373" s="2" t="s">
        <v>231</v>
      </c>
      <c r="S373" s="2" t="s">
        <v>2278</v>
      </c>
      <c r="T373" s="2" t="s">
        <v>1432</v>
      </c>
      <c r="U373" s="2" t="s">
        <v>765</v>
      </c>
      <c r="V373" s="2" t="s">
        <v>391</v>
      </c>
      <c r="W373" s="2" t="s">
        <v>676</v>
      </c>
      <c r="X373" s="2" t="s">
        <v>231</v>
      </c>
      <c r="Y373" s="2" t="s">
        <v>2279</v>
      </c>
      <c r="Z373" s="4">
        <v>220</v>
      </c>
      <c r="AA373" s="4">
        <f>=ROUNDDOWN({0},0)</f>
      </c>
      <c r="AB373" s="5"/>
      <c r="AC373" s="2" t="s">
        <v>321</v>
      </c>
      <c r="AD373" s="4">
        <v>210</v>
      </c>
      <c r="AE373" s="4">
        <v>210</v>
      </c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231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231</v>
      </c>
      <c r="AW373" s="8" t="s">
        <v>231</v>
      </c>
      <c r="AX373" s="4" t="s">
        <v>231</v>
      </c>
      <c r="AY373" s="8" t="s">
        <v>231</v>
      </c>
      <c r="AZ373" s="7" t="s">
        <v>231</v>
      </c>
      <c r="BA373" s="7" t="s">
        <v>231</v>
      </c>
      <c r="BB373" s="7"/>
      <c r="BC373" s="4" t="s">
        <v>231</v>
      </c>
      <c r="BD373" s="8" t="s">
        <v>231</v>
      </c>
      <c r="BE373" s="4" t="s">
        <v>231</v>
      </c>
      <c r="BF373" s="8" t="s">
        <v>231</v>
      </c>
      <c r="BG373" s="7" t="s">
        <v>231</v>
      </c>
      <c r="BH373" s="7" t="s">
        <v>231</v>
      </c>
      <c r="BI373" s="7"/>
      <c r="BJ373" s="4"/>
      <c r="BK373" s="8"/>
      <c r="BL373" s="2" t="s">
        <v>231</v>
      </c>
      <c r="BM373" s="7"/>
      <c r="BN373" s="7"/>
      <c r="BO373" s="4"/>
      <c r="BP373" s="8"/>
      <c r="BQ373" s="4"/>
      <c r="BR373" s="8"/>
      <c r="BS373" s="7"/>
      <c r="BT373" s="7"/>
      <c r="BU373" s="2" t="s">
        <v>241</v>
      </c>
      <c r="BV373" s="2" t="s">
        <v>231</v>
      </c>
      <c r="BW373" s="2" t="s">
        <v>231</v>
      </c>
      <c r="BX373" s="2" t="s">
        <v>241</v>
      </c>
      <c r="BY373" s="2" t="s">
        <v>242</v>
      </c>
      <c r="BZ373" s="2" t="s">
        <v>243</v>
      </c>
      <c r="CA373" s="2" t="s">
        <v>231</v>
      </c>
      <c r="CB373" s="2" t="s">
        <v>231</v>
      </c>
      <c r="CC373" s="2" t="s">
        <v>244</v>
      </c>
      <c r="CD373" s="2" t="s">
        <v>231</v>
      </c>
      <c r="CE373" s="4">
        <v>60</v>
      </c>
      <c r="CF373" s="4"/>
      <c r="CG373" s="4"/>
      <c r="CH373" s="4"/>
      <c r="CI373" s="4"/>
      <c r="CJ373" s="4"/>
      <c r="CK373" s="4"/>
      <c r="CL373" s="4">
        <v>160</v>
      </c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>
        <v>210</v>
      </c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</row>
    <row r="374">
      <c r="A374" s="2" t="s">
        <v>2280</v>
      </c>
      <c r="B374" s="2" t="s">
        <v>1186</v>
      </c>
      <c r="C374" s="2" t="s">
        <v>288</v>
      </c>
      <c r="D374" s="2" t="s">
        <v>654</v>
      </c>
      <c r="E374" s="2" t="s">
        <v>655</v>
      </c>
      <c r="F374" s="2" t="s">
        <v>2274</v>
      </c>
      <c r="G374" s="2" t="s">
        <v>2275</v>
      </c>
      <c r="H374" s="2" t="s">
        <v>2276</v>
      </c>
      <c r="I374" s="2" t="s">
        <v>2277</v>
      </c>
      <c r="J374" s="2" t="s">
        <v>669</v>
      </c>
      <c r="K374" s="2" t="s">
        <v>901</v>
      </c>
      <c r="L374" s="3">
        <v>45.71</v>
      </c>
      <c r="M374" s="3">
        <v>48</v>
      </c>
      <c r="N374" s="3">
        <v>99.99</v>
      </c>
      <c r="O374" s="2" t="s">
        <v>243</v>
      </c>
      <c r="P374" s="2" t="s">
        <v>236</v>
      </c>
      <c r="Q374" s="2" t="s">
        <v>237</v>
      </c>
      <c r="R374" s="2" t="s">
        <v>231</v>
      </c>
      <c r="S374" s="2" t="s">
        <v>2278</v>
      </c>
      <c r="T374" s="2" t="s">
        <v>1432</v>
      </c>
      <c r="U374" s="2" t="s">
        <v>765</v>
      </c>
      <c r="V374" s="2" t="s">
        <v>391</v>
      </c>
      <c r="W374" s="2" t="s">
        <v>676</v>
      </c>
      <c r="X374" s="2" t="s">
        <v>231</v>
      </c>
      <c r="Y374" s="2" t="s">
        <v>2279</v>
      </c>
      <c r="Z374" s="4">
        <v>180</v>
      </c>
      <c r="AA374" s="4">
        <f>=ROUNDDOWN({0},0)</f>
      </c>
      <c r="AB374" s="5"/>
      <c r="AC374" s="2" t="s">
        <v>794</v>
      </c>
      <c r="AD374" s="4">
        <v>4</v>
      </c>
      <c r="AE374" s="4">
        <v>180</v>
      </c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231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231</v>
      </c>
      <c r="AW374" s="8" t="s">
        <v>231</v>
      </c>
      <c r="AX374" s="4" t="s">
        <v>231</v>
      </c>
      <c r="AY374" s="8" t="s">
        <v>231</v>
      </c>
      <c r="AZ374" s="7" t="s">
        <v>231</v>
      </c>
      <c r="BA374" s="7" t="s">
        <v>231</v>
      </c>
      <c r="BB374" s="7"/>
      <c r="BC374" s="4" t="s">
        <v>231</v>
      </c>
      <c r="BD374" s="8" t="s">
        <v>231</v>
      </c>
      <c r="BE374" s="4" t="s">
        <v>231</v>
      </c>
      <c r="BF374" s="8" t="s">
        <v>231</v>
      </c>
      <c r="BG374" s="7" t="s">
        <v>231</v>
      </c>
      <c r="BH374" s="7" t="s">
        <v>231</v>
      </c>
      <c r="BI374" s="7"/>
      <c r="BJ374" s="4"/>
      <c r="BK374" s="8"/>
      <c r="BL374" s="2" t="s">
        <v>231</v>
      </c>
      <c r="BM374" s="7"/>
      <c r="BN374" s="7"/>
      <c r="BO374" s="4"/>
      <c r="BP374" s="8"/>
      <c r="BQ374" s="4"/>
      <c r="BR374" s="8"/>
      <c r="BS374" s="7"/>
      <c r="BT374" s="7"/>
      <c r="BU374" s="2" t="s">
        <v>241</v>
      </c>
      <c r="BV374" s="2" t="s">
        <v>231</v>
      </c>
      <c r="BW374" s="2" t="s">
        <v>231</v>
      </c>
      <c r="BX374" s="2" t="s">
        <v>241</v>
      </c>
      <c r="BY374" s="2" t="s">
        <v>242</v>
      </c>
      <c r="BZ374" s="2" t="s">
        <v>243</v>
      </c>
      <c r="CA374" s="2" t="s">
        <v>231</v>
      </c>
      <c r="CB374" s="2" t="s">
        <v>231</v>
      </c>
      <c r="CC374" s="2" t="s">
        <v>244</v>
      </c>
      <c r="CD374" s="2" t="s">
        <v>231</v>
      </c>
      <c r="CE374" s="4">
        <v>32</v>
      </c>
      <c r="CF374" s="4"/>
      <c r="CG374" s="4"/>
      <c r="CH374" s="4"/>
      <c r="CI374" s="4"/>
      <c r="CJ374" s="4"/>
      <c r="CK374" s="4"/>
      <c r="CL374" s="4">
        <v>148</v>
      </c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>
        <v>4</v>
      </c>
      <c r="EJ374" s="4"/>
      <c r="EK374" s="4"/>
      <c r="EL374" s="4"/>
      <c r="EM374" s="4"/>
      <c r="EN374" s="4"/>
      <c r="EO374" s="4"/>
      <c r="EP374" s="4">
        <v>176</v>
      </c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</row>
    <row r="375">
      <c r="A375" s="2" t="s">
        <v>2281</v>
      </c>
      <c r="B375" s="2" t="s">
        <v>824</v>
      </c>
      <c r="C375" s="2" t="s">
        <v>1221</v>
      </c>
      <c r="D375" s="2" t="s">
        <v>654</v>
      </c>
      <c r="E375" s="2" t="s">
        <v>655</v>
      </c>
      <c r="F375" s="2" t="s">
        <v>2274</v>
      </c>
      <c r="G375" s="2" t="s">
        <v>2282</v>
      </c>
      <c r="H375" s="2" t="s">
        <v>2283</v>
      </c>
      <c r="I375" s="2" t="s">
        <v>2284</v>
      </c>
      <c r="J375" s="2" t="s">
        <v>658</v>
      </c>
      <c r="K375" s="2" t="s">
        <v>253</v>
      </c>
      <c r="L375" s="3">
        <v>45</v>
      </c>
      <c r="M375" s="3">
        <v>47.25</v>
      </c>
      <c r="N375" s="3">
        <v>89.99</v>
      </c>
      <c r="O375" s="2" t="s">
        <v>235</v>
      </c>
      <c r="P375" s="2" t="s">
        <v>341</v>
      </c>
      <c r="Q375" s="2" t="s">
        <v>237</v>
      </c>
      <c r="R375" s="2" t="s">
        <v>231</v>
      </c>
      <c r="S375" s="2" t="s">
        <v>2285</v>
      </c>
      <c r="T375" s="2" t="s">
        <v>231</v>
      </c>
      <c r="U375" s="2" t="s">
        <v>298</v>
      </c>
      <c r="V375" s="2" t="s">
        <v>239</v>
      </c>
      <c r="W375" s="2" t="s">
        <v>299</v>
      </c>
      <c r="X375" s="2" t="s">
        <v>2286</v>
      </c>
      <c r="Y375" s="2" t="s">
        <v>328</v>
      </c>
      <c r="Z375" s="4"/>
      <c r="AA375" s="4">
        <f>=ROUNDDOWN({0},0)</f>
      </c>
      <c r="AB375" s="5"/>
      <c r="AC375" s="2" t="s">
        <v>231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231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231</v>
      </c>
      <c r="BD375" s="8" t="s">
        <v>231</v>
      </c>
      <c r="BE375" s="4" t="s">
        <v>231</v>
      </c>
      <c r="BF375" s="8" t="s">
        <v>231</v>
      </c>
      <c r="BG375" s="7" t="s">
        <v>231</v>
      </c>
      <c r="BH375" s="7" t="s">
        <v>231</v>
      </c>
      <c r="BI375" s="7"/>
      <c r="BJ375" s="4"/>
      <c r="BK375" s="8"/>
      <c r="BL375" s="2" t="s">
        <v>231</v>
      </c>
      <c r="BM375" s="7"/>
      <c r="BN375" s="7"/>
      <c r="BO375" s="4"/>
      <c r="BP375" s="8"/>
      <c r="BQ375" s="4"/>
      <c r="BR375" s="8"/>
      <c r="BS375" s="7"/>
      <c r="BT375" s="7"/>
      <c r="BU375" s="2" t="s">
        <v>2287</v>
      </c>
      <c r="BV375" s="2" t="s">
        <v>231</v>
      </c>
      <c r="BW375" s="2" t="s">
        <v>231</v>
      </c>
      <c r="BX375" s="2" t="s">
        <v>231</v>
      </c>
      <c r="BY375" s="2" t="s">
        <v>277</v>
      </c>
      <c r="BZ375" s="2" t="s">
        <v>243</v>
      </c>
      <c r="CA375" s="2" t="s">
        <v>2288</v>
      </c>
      <c r="CB375" s="2" t="s">
        <v>1342</v>
      </c>
      <c r="CC375" s="2" t="s">
        <v>244</v>
      </c>
      <c r="CD375" s="2" t="s">
        <v>231</v>
      </c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</row>
    <row r="376">
      <c r="A376" s="2" t="s">
        <v>2289</v>
      </c>
      <c r="B376" s="2" t="s">
        <v>801</v>
      </c>
      <c r="C376" s="2" t="s">
        <v>802</v>
      </c>
      <c r="D376" s="2" t="s">
        <v>2228</v>
      </c>
      <c r="E376" s="2" t="s">
        <v>2229</v>
      </c>
      <c r="F376" s="2" t="s">
        <v>2290</v>
      </c>
      <c r="G376" s="2" t="s">
        <v>2290</v>
      </c>
      <c r="H376" s="2" t="s">
        <v>2290</v>
      </c>
      <c r="I376" s="2" t="s">
        <v>2291</v>
      </c>
      <c r="J376" s="2" t="s">
        <v>807</v>
      </c>
      <c r="K376" s="2" t="s">
        <v>1118</v>
      </c>
      <c r="L376" s="3">
        <v>54.27</v>
      </c>
      <c r="M376" s="3">
        <v>56.98</v>
      </c>
      <c r="N376" s="3">
        <v>129.99</v>
      </c>
      <c r="O376" s="2" t="s">
        <v>243</v>
      </c>
      <c r="P376" s="2" t="s">
        <v>270</v>
      </c>
      <c r="Q376" s="2" t="s">
        <v>237</v>
      </c>
      <c r="R376" s="2" t="s">
        <v>231</v>
      </c>
      <c r="S376" s="2" t="s">
        <v>231</v>
      </c>
      <c r="T376" s="2" t="s">
        <v>231</v>
      </c>
      <c r="U376" s="2" t="s">
        <v>327</v>
      </c>
      <c r="V376" s="2" t="s">
        <v>662</v>
      </c>
      <c r="W376" s="2" t="s">
        <v>792</v>
      </c>
      <c r="X376" s="2" t="s">
        <v>231</v>
      </c>
      <c r="Y376" s="2" t="s">
        <v>2233</v>
      </c>
      <c r="Z376" s="4">
        <v>124</v>
      </c>
      <c r="AA376" s="4">
        <f>=ROUNDDOWN(12.2772277227723,0)</f>
      </c>
      <c r="AB376" s="5">
        <v>10.1</v>
      </c>
      <c r="AC376" s="2" t="s">
        <v>1754</v>
      </c>
      <c r="AD376" s="4">
        <v>100</v>
      </c>
      <c r="AE376" s="4">
        <v>200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231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>
        <v>43</v>
      </c>
      <c r="BK376" s="8">
        <v>2431.77</v>
      </c>
      <c r="BL376" s="2" t="s">
        <v>2292</v>
      </c>
      <c r="BM376" s="7"/>
      <c r="BN376" s="7"/>
      <c r="BO376" s="4"/>
      <c r="BP376" s="8"/>
      <c r="BQ376" s="4"/>
      <c r="BR376" s="8"/>
      <c r="BS376" s="7"/>
      <c r="BT376" s="7"/>
      <c r="BU376" s="2" t="s">
        <v>2293</v>
      </c>
      <c r="BV376" s="2" t="s">
        <v>231</v>
      </c>
      <c r="BW376" s="2" t="s">
        <v>231</v>
      </c>
      <c r="BX376" s="2" t="s">
        <v>231</v>
      </c>
      <c r="BY376" s="2" t="s">
        <v>277</v>
      </c>
      <c r="BZ376" s="2" t="s">
        <v>243</v>
      </c>
      <c r="CA376" s="2" t="s">
        <v>2294</v>
      </c>
      <c r="CB376" s="2" t="s">
        <v>2295</v>
      </c>
      <c r="CC376" s="2" t="s">
        <v>244</v>
      </c>
      <c r="CD376" s="2" t="s">
        <v>231</v>
      </c>
      <c r="CE376" s="4"/>
      <c r="CF376" s="4">
        <v>124</v>
      </c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>
        <v>100</v>
      </c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>
        <v>100</v>
      </c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</row>
    <row r="377">
      <c r="A377" s="2" t="s">
        <v>2296</v>
      </c>
      <c r="B377" s="2" t="s">
        <v>1186</v>
      </c>
      <c r="C377" s="2" t="s">
        <v>288</v>
      </c>
      <c r="D377" s="2" t="s">
        <v>1462</v>
      </c>
      <c r="E377" s="2" t="s">
        <v>1884</v>
      </c>
      <c r="F377" s="2" t="s">
        <v>2297</v>
      </c>
      <c r="G377" s="2" t="s">
        <v>2298</v>
      </c>
      <c r="H377" s="2" t="s">
        <v>2299</v>
      </c>
      <c r="I377" s="2" t="s">
        <v>2300</v>
      </c>
      <c r="J377" s="2" t="s">
        <v>658</v>
      </c>
      <c r="K377" s="2" t="s">
        <v>253</v>
      </c>
      <c r="L377" s="3">
        <v>48</v>
      </c>
      <c r="M377" s="3">
        <v>50.39</v>
      </c>
      <c r="N377" s="3">
        <v>99.99</v>
      </c>
      <c r="O377" s="2" t="s">
        <v>243</v>
      </c>
      <c r="P377" s="2" t="s">
        <v>341</v>
      </c>
      <c r="Q377" s="2" t="s">
        <v>237</v>
      </c>
      <c r="R377" s="2" t="s">
        <v>231</v>
      </c>
      <c r="S377" s="2" t="s">
        <v>2301</v>
      </c>
      <c r="T377" s="2" t="s">
        <v>231</v>
      </c>
      <c r="U377" s="2" t="s">
        <v>298</v>
      </c>
      <c r="V377" s="2" t="s">
        <v>987</v>
      </c>
      <c r="W377" s="2" t="s">
        <v>676</v>
      </c>
      <c r="X377" s="2" t="s">
        <v>2302</v>
      </c>
      <c r="Y377" s="2" t="s">
        <v>2303</v>
      </c>
      <c r="Z377" s="4">
        <v>46</v>
      </c>
      <c r="AA377" s="4">
        <f>=ROUNDDOWN(9.2,0)</f>
      </c>
      <c r="AB377" s="5">
        <v>5</v>
      </c>
      <c r="AC377" s="2" t="s">
        <v>231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231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231</v>
      </c>
      <c r="BD377" s="8" t="s">
        <v>231</v>
      </c>
      <c r="BE377" s="4" t="s">
        <v>231</v>
      </c>
      <c r="BF377" s="8" t="s">
        <v>231</v>
      </c>
      <c r="BG377" s="7" t="s">
        <v>231</v>
      </c>
      <c r="BH377" s="7" t="s">
        <v>231</v>
      </c>
      <c r="BI377" s="7"/>
      <c r="BJ377" s="4">
        <v>34</v>
      </c>
      <c r="BK377" s="8">
        <v>1732.88</v>
      </c>
      <c r="BL377" s="2" t="s">
        <v>2304</v>
      </c>
      <c r="BM377" s="7"/>
      <c r="BN377" s="7"/>
      <c r="BO377" s="4"/>
      <c r="BP377" s="8"/>
      <c r="BQ377" s="4"/>
      <c r="BR377" s="8"/>
      <c r="BS377" s="7"/>
      <c r="BT377" s="7"/>
      <c r="BU377" s="2" t="s">
        <v>2305</v>
      </c>
      <c r="BV377" s="2" t="s">
        <v>231</v>
      </c>
      <c r="BW377" s="2" t="s">
        <v>231</v>
      </c>
      <c r="BX377" s="2" t="s">
        <v>231</v>
      </c>
      <c r="BY377" s="2" t="s">
        <v>277</v>
      </c>
      <c r="BZ377" s="2" t="s">
        <v>243</v>
      </c>
      <c r="CA377" s="2" t="s">
        <v>2306</v>
      </c>
      <c r="CB377" s="2" t="s">
        <v>2307</v>
      </c>
      <c r="CC377" s="2" t="s">
        <v>244</v>
      </c>
      <c r="CD377" s="2" t="s">
        <v>231</v>
      </c>
      <c r="CE377" s="4">
        <v>46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</row>
    <row r="378">
      <c r="A378" s="2" t="s">
        <v>2308</v>
      </c>
      <c r="B378" s="2" t="s">
        <v>824</v>
      </c>
      <c r="C378" s="2" t="s">
        <v>1051</v>
      </c>
      <c r="D378" s="2" t="s">
        <v>826</v>
      </c>
      <c r="E378" s="2" t="s">
        <v>1060</v>
      </c>
      <c r="F378" s="2" t="s">
        <v>2297</v>
      </c>
      <c r="G378" s="2" t="s">
        <v>2309</v>
      </c>
      <c r="H378" s="2" t="s">
        <v>2310</v>
      </c>
      <c r="I378" s="2" t="s">
        <v>2311</v>
      </c>
      <c r="J378" s="2" t="s">
        <v>658</v>
      </c>
      <c r="K378" s="2" t="s">
        <v>2312</v>
      </c>
      <c r="L378" s="3">
        <v>26.19</v>
      </c>
      <c r="M378" s="3">
        <v>27.5</v>
      </c>
      <c r="N378" s="3">
        <v>54.99</v>
      </c>
      <c r="O378" s="2" t="s">
        <v>243</v>
      </c>
      <c r="P378" s="2" t="s">
        <v>341</v>
      </c>
      <c r="Q378" s="2" t="s">
        <v>237</v>
      </c>
      <c r="R378" s="2" t="s">
        <v>231</v>
      </c>
      <c r="S378" s="2" t="s">
        <v>2313</v>
      </c>
      <c r="T378" s="2" t="s">
        <v>1432</v>
      </c>
      <c r="U378" s="2" t="s">
        <v>835</v>
      </c>
      <c r="V378" s="2" t="s">
        <v>836</v>
      </c>
      <c r="W378" s="2" t="s">
        <v>691</v>
      </c>
      <c r="X378" s="2" t="s">
        <v>231</v>
      </c>
      <c r="Y378" s="2" t="s">
        <v>2314</v>
      </c>
      <c r="Z378" s="4">
        <v>88</v>
      </c>
      <c r="AA378" s="4">
        <f>=ROUNDDOWN(36.6666666666667,0)</f>
      </c>
      <c r="AB378" s="5">
        <v>2.4</v>
      </c>
      <c r="AC378" s="2" t="s">
        <v>231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231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231</v>
      </c>
      <c r="BD378" s="8" t="s">
        <v>231</v>
      </c>
      <c r="BE378" s="4" t="s">
        <v>231</v>
      </c>
      <c r="BF378" s="8" t="s">
        <v>231</v>
      </c>
      <c r="BG378" s="7" t="s">
        <v>231</v>
      </c>
      <c r="BH378" s="7" t="s">
        <v>231</v>
      </c>
      <c r="BI378" s="7"/>
      <c r="BJ378" s="4">
        <v>11</v>
      </c>
      <c r="BK378" s="8">
        <v>268.62</v>
      </c>
      <c r="BL378" s="2" t="s">
        <v>2215</v>
      </c>
      <c r="BM378" s="7"/>
      <c r="BN378" s="7"/>
      <c r="BO378" s="4"/>
      <c r="BP378" s="8"/>
      <c r="BQ378" s="4"/>
      <c r="BR378" s="8"/>
      <c r="BS378" s="7"/>
      <c r="BT378" s="7"/>
      <c r="BU378" s="2" t="s">
        <v>2315</v>
      </c>
      <c r="BV378" s="2" t="s">
        <v>231</v>
      </c>
      <c r="BW378" s="2" t="s">
        <v>231</v>
      </c>
      <c r="BX378" s="2" t="s">
        <v>231</v>
      </c>
      <c r="BY378" s="2" t="s">
        <v>277</v>
      </c>
      <c r="BZ378" s="2" t="s">
        <v>243</v>
      </c>
      <c r="CA378" s="2" t="s">
        <v>2316</v>
      </c>
      <c r="CB378" s="2" t="s">
        <v>2317</v>
      </c>
      <c r="CC378" s="2" t="s">
        <v>244</v>
      </c>
      <c r="CD378" s="2" t="s">
        <v>231</v>
      </c>
      <c r="CE378" s="4">
        <v>88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</row>
    <row r="379">
      <c r="A379" s="2" t="s">
        <v>2318</v>
      </c>
      <c r="B379" s="2" t="s">
        <v>1004</v>
      </c>
      <c r="C379" s="2" t="s">
        <v>815</v>
      </c>
      <c r="D379" s="2" t="s">
        <v>1922</v>
      </c>
      <c r="E379" s="2" t="s">
        <v>1923</v>
      </c>
      <c r="F379" s="2" t="s">
        <v>2319</v>
      </c>
      <c r="G379" s="2" t="s">
        <v>2319</v>
      </c>
      <c r="H379" s="2" t="s">
        <v>2319</v>
      </c>
      <c r="I379" s="2" t="s">
        <v>2320</v>
      </c>
      <c r="J379" s="2" t="s">
        <v>807</v>
      </c>
      <c r="K379" s="2" t="s">
        <v>2321</v>
      </c>
      <c r="L379" s="3">
        <v>204.25</v>
      </c>
      <c r="M379" s="3">
        <v>214.46</v>
      </c>
      <c r="N379" s="3">
        <v>429</v>
      </c>
      <c r="O379" s="2" t="s">
        <v>243</v>
      </c>
      <c r="P379" s="2" t="s">
        <v>1985</v>
      </c>
      <c r="Q379" s="2" t="s">
        <v>237</v>
      </c>
      <c r="R379" s="2" t="s">
        <v>231</v>
      </c>
      <c r="S379" s="2" t="s">
        <v>231</v>
      </c>
      <c r="T379" s="2" t="s">
        <v>231</v>
      </c>
      <c r="U379" s="2" t="s">
        <v>791</v>
      </c>
      <c r="V379" s="2" t="s">
        <v>662</v>
      </c>
      <c r="W379" s="2" t="s">
        <v>808</v>
      </c>
      <c r="X379" s="2" t="s">
        <v>691</v>
      </c>
      <c r="Y379" s="2" t="s">
        <v>2270</v>
      </c>
      <c r="Z379" s="4">
        <v>51</v>
      </c>
      <c r="AA379" s="4">
        <f>=ROUNDDOWN(17,0)</f>
      </c>
      <c r="AB379" s="5">
        <v>3</v>
      </c>
      <c r="AC379" s="2" t="s">
        <v>2322</v>
      </c>
      <c r="AD379" s="4">
        <v>150</v>
      </c>
      <c r="AE379" s="4">
        <v>150</v>
      </c>
      <c r="AF379" s="6">
        <v>74</v>
      </c>
      <c r="AG379" s="6"/>
      <c r="AH379" s="7">
        <v>1</v>
      </c>
      <c r="AI379" s="4"/>
      <c r="AJ379" s="4">
        <f>=ROUNDDOWN({0},0)</f>
      </c>
      <c r="AK379" s="5"/>
      <c r="AL379" s="2" t="s">
        <v>231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>
        <v>3</v>
      </c>
      <c r="BK379" s="8">
        <v>703.44</v>
      </c>
      <c r="BL379" s="2" t="s">
        <v>2210</v>
      </c>
      <c r="BM379" s="7"/>
      <c r="BN379" s="7"/>
      <c r="BO379" s="4"/>
      <c r="BP379" s="8"/>
      <c r="BQ379" s="4"/>
      <c r="BR379" s="8"/>
      <c r="BS379" s="7"/>
      <c r="BT379" s="7"/>
      <c r="BU379" s="2" t="s">
        <v>2323</v>
      </c>
      <c r="BV379" s="2" t="s">
        <v>231</v>
      </c>
      <c r="BW379" s="2" t="s">
        <v>231</v>
      </c>
      <c r="BX379" s="2" t="s">
        <v>241</v>
      </c>
      <c r="BY379" s="2" t="s">
        <v>277</v>
      </c>
      <c r="BZ379" s="2" t="s">
        <v>243</v>
      </c>
      <c r="CA379" s="2" t="s">
        <v>2324</v>
      </c>
      <c r="CB379" s="2" t="s">
        <v>2325</v>
      </c>
      <c r="CC379" s="2" t="s">
        <v>244</v>
      </c>
      <c r="CD379" s="2" t="s">
        <v>231</v>
      </c>
      <c r="CE379" s="4"/>
      <c r="CF379" s="4">
        <v>51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>
        <v>150</v>
      </c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</row>
    <row r="380">
      <c r="A380" s="2" t="s">
        <v>2326</v>
      </c>
      <c r="B380" s="2" t="s">
        <v>824</v>
      </c>
      <c r="C380" s="2" t="s">
        <v>1051</v>
      </c>
      <c r="D380" s="2" t="s">
        <v>654</v>
      </c>
      <c r="E380" s="2" t="s">
        <v>890</v>
      </c>
      <c r="F380" s="2" t="s">
        <v>2327</v>
      </c>
      <c r="G380" s="2" t="s">
        <v>2328</v>
      </c>
      <c r="H380" s="2" t="s">
        <v>2329</v>
      </c>
      <c r="I380" s="2" t="s">
        <v>2330</v>
      </c>
      <c r="J380" s="2" t="s">
        <v>658</v>
      </c>
      <c r="K380" s="2" t="s">
        <v>2331</v>
      </c>
      <c r="L380" s="3">
        <v>35.71</v>
      </c>
      <c r="M380" s="3">
        <v>37.5</v>
      </c>
      <c r="N380" s="3">
        <v>74.99</v>
      </c>
      <c r="O380" s="2" t="s">
        <v>243</v>
      </c>
      <c r="P380" s="2" t="s">
        <v>236</v>
      </c>
      <c r="Q380" s="2" t="s">
        <v>237</v>
      </c>
      <c r="R380" s="2" t="s">
        <v>231</v>
      </c>
      <c r="S380" s="2" t="s">
        <v>2332</v>
      </c>
      <c r="T380" s="2" t="s">
        <v>1432</v>
      </c>
      <c r="U380" s="2" t="s">
        <v>835</v>
      </c>
      <c r="V380" s="2" t="s">
        <v>987</v>
      </c>
      <c r="W380" s="2" t="s">
        <v>691</v>
      </c>
      <c r="X380" s="2" t="s">
        <v>231</v>
      </c>
      <c r="Y380" s="2" t="s">
        <v>1878</v>
      </c>
      <c r="Z380" s="4">
        <v>152</v>
      </c>
      <c r="AA380" s="4">
        <f>=ROUNDDOWN(76,0)</f>
      </c>
      <c r="AB380" s="5">
        <v>2</v>
      </c>
      <c r="AC380" s="2" t="s">
        <v>231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231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231</v>
      </c>
      <c r="AW380" s="8" t="s">
        <v>231</v>
      </c>
      <c r="AX380" s="4" t="s">
        <v>231</v>
      </c>
      <c r="AY380" s="8" t="s">
        <v>231</v>
      </c>
      <c r="AZ380" s="7" t="s">
        <v>231</v>
      </c>
      <c r="BA380" s="7" t="s">
        <v>231</v>
      </c>
      <c r="BB380" s="7" t="s">
        <v>231</v>
      </c>
      <c r="BC380" s="4" t="s">
        <v>231</v>
      </c>
      <c r="BD380" s="8" t="s">
        <v>231</v>
      </c>
      <c r="BE380" s="4" t="s">
        <v>231</v>
      </c>
      <c r="BF380" s="8" t="s">
        <v>231</v>
      </c>
      <c r="BG380" s="7" t="s">
        <v>231</v>
      </c>
      <c r="BH380" s="7" t="s">
        <v>231</v>
      </c>
      <c r="BI380" s="7"/>
      <c r="BJ380" s="4">
        <v>6</v>
      </c>
      <c r="BK380" s="8">
        <v>239.99</v>
      </c>
      <c r="BL380" s="2" t="s">
        <v>2333</v>
      </c>
      <c r="BM380" s="7"/>
      <c r="BN380" s="7"/>
      <c r="BO380" s="4"/>
      <c r="BP380" s="8"/>
      <c r="BQ380" s="4"/>
      <c r="BR380" s="8"/>
      <c r="BS380" s="7"/>
      <c r="BT380" s="7"/>
      <c r="BU380" s="2" t="s">
        <v>2334</v>
      </c>
      <c r="BV380" s="2" t="s">
        <v>231</v>
      </c>
      <c r="BW380" s="2" t="s">
        <v>231</v>
      </c>
      <c r="BX380" s="2" t="s">
        <v>241</v>
      </c>
      <c r="BY380" s="2" t="s">
        <v>277</v>
      </c>
      <c r="BZ380" s="2" t="s">
        <v>243</v>
      </c>
      <c r="CA380" s="2" t="s">
        <v>1583</v>
      </c>
      <c r="CB380" s="2" t="s">
        <v>2335</v>
      </c>
      <c r="CC380" s="2" t="s">
        <v>244</v>
      </c>
      <c r="CD380" s="2" t="s">
        <v>231</v>
      </c>
      <c r="CE380" s="4">
        <v>152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</row>
    <row r="381">
      <c r="A381" s="2" t="s">
        <v>2336</v>
      </c>
      <c r="B381" s="2" t="s">
        <v>824</v>
      </c>
      <c r="C381" s="2" t="s">
        <v>1051</v>
      </c>
      <c r="D381" s="2" t="s">
        <v>826</v>
      </c>
      <c r="E381" s="2" t="s">
        <v>1060</v>
      </c>
      <c r="F381" s="2" t="s">
        <v>2327</v>
      </c>
      <c r="G381" s="2" t="s">
        <v>2328</v>
      </c>
      <c r="H381" s="2" t="s">
        <v>2329</v>
      </c>
      <c r="I381" s="2" t="s">
        <v>2337</v>
      </c>
      <c r="J381" s="2" t="s">
        <v>658</v>
      </c>
      <c r="K381" s="2" t="s">
        <v>2331</v>
      </c>
      <c r="L381" s="3">
        <v>26.19</v>
      </c>
      <c r="M381" s="3">
        <v>27.5</v>
      </c>
      <c r="N381" s="3">
        <v>54.99</v>
      </c>
      <c r="O381" s="2" t="s">
        <v>243</v>
      </c>
      <c r="P381" s="2" t="s">
        <v>236</v>
      </c>
      <c r="Q381" s="2" t="s">
        <v>237</v>
      </c>
      <c r="R381" s="2" t="s">
        <v>231</v>
      </c>
      <c r="S381" s="2" t="s">
        <v>2332</v>
      </c>
      <c r="T381" s="2" t="s">
        <v>1432</v>
      </c>
      <c r="U381" s="2" t="s">
        <v>835</v>
      </c>
      <c r="V381" s="2" t="s">
        <v>987</v>
      </c>
      <c r="W381" s="2" t="s">
        <v>691</v>
      </c>
      <c r="X381" s="2" t="s">
        <v>231</v>
      </c>
      <c r="Y381" s="2" t="s">
        <v>1878</v>
      </c>
      <c r="Z381" s="4">
        <v>134</v>
      </c>
      <c r="AA381" s="4">
        <f>=ROUNDDOWN(103.076923076923,0)</f>
      </c>
      <c r="AB381" s="5">
        <v>1.3</v>
      </c>
      <c r="AC381" s="2" t="s">
        <v>231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231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231</v>
      </c>
      <c r="AW381" s="8" t="s">
        <v>231</v>
      </c>
      <c r="AX381" s="4" t="s">
        <v>231</v>
      </c>
      <c r="AY381" s="8" t="s">
        <v>231</v>
      </c>
      <c r="AZ381" s="7" t="s">
        <v>231</v>
      </c>
      <c r="BA381" s="7" t="s">
        <v>231</v>
      </c>
      <c r="BB381" s="7" t="s">
        <v>231</v>
      </c>
      <c r="BC381" s="4" t="s">
        <v>231</v>
      </c>
      <c r="BD381" s="8" t="s">
        <v>231</v>
      </c>
      <c r="BE381" s="4" t="s">
        <v>231</v>
      </c>
      <c r="BF381" s="8" t="s">
        <v>231</v>
      </c>
      <c r="BG381" s="7" t="s">
        <v>231</v>
      </c>
      <c r="BH381" s="7" t="s">
        <v>231</v>
      </c>
      <c r="BI381" s="7"/>
      <c r="BJ381" s="4">
        <v>6</v>
      </c>
      <c r="BK381" s="8">
        <v>154.83</v>
      </c>
      <c r="BL381" s="2" t="s">
        <v>2338</v>
      </c>
      <c r="BM381" s="7"/>
      <c r="BN381" s="7"/>
      <c r="BO381" s="4"/>
      <c r="BP381" s="8"/>
      <c r="BQ381" s="4"/>
      <c r="BR381" s="8"/>
      <c r="BS381" s="7"/>
      <c r="BT381" s="7"/>
      <c r="BU381" s="2" t="s">
        <v>2339</v>
      </c>
      <c r="BV381" s="2" t="s">
        <v>231</v>
      </c>
      <c r="BW381" s="2" t="s">
        <v>231</v>
      </c>
      <c r="BX381" s="2" t="s">
        <v>241</v>
      </c>
      <c r="BY381" s="2" t="s">
        <v>277</v>
      </c>
      <c r="BZ381" s="2" t="s">
        <v>243</v>
      </c>
      <c r="CA381" s="2" t="s">
        <v>1583</v>
      </c>
      <c r="CB381" s="2" t="s">
        <v>2340</v>
      </c>
      <c r="CC381" s="2" t="s">
        <v>244</v>
      </c>
      <c r="CD381" s="2" t="s">
        <v>231</v>
      </c>
      <c r="CE381" s="4">
        <v>134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</row>
    <row r="382">
      <c r="A382" s="2" t="s">
        <v>2341</v>
      </c>
      <c r="B382" s="2" t="s">
        <v>824</v>
      </c>
      <c r="C382" s="2" t="s">
        <v>1051</v>
      </c>
      <c r="D382" s="2" t="s">
        <v>654</v>
      </c>
      <c r="E382" s="2" t="s">
        <v>890</v>
      </c>
      <c r="F382" s="2" t="s">
        <v>2327</v>
      </c>
      <c r="G382" s="2" t="s">
        <v>2328</v>
      </c>
      <c r="H382" s="2" t="s">
        <v>2329</v>
      </c>
      <c r="I382" s="2" t="s">
        <v>2330</v>
      </c>
      <c r="J382" s="2" t="s">
        <v>669</v>
      </c>
      <c r="K382" s="2" t="s">
        <v>2331</v>
      </c>
      <c r="L382" s="3">
        <v>40.47</v>
      </c>
      <c r="M382" s="3">
        <v>42.49</v>
      </c>
      <c r="N382" s="3">
        <v>84.99</v>
      </c>
      <c r="O382" s="2" t="s">
        <v>243</v>
      </c>
      <c r="P382" s="2" t="s">
        <v>236</v>
      </c>
      <c r="Q382" s="2" t="s">
        <v>237</v>
      </c>
      <c r="R382" s="2" t="s">
        <v>231</v>
      </c>
      <c r="S382" s="2" t="s">
        <v>2332</v>
      </c>
      <c r="T382" s="2" t="s">
        <v>1432</v>
      </c>
      <c r="U382" s="2" t="s">
        <v>835</v>
      </c>
      <c r="V382" s="2" t="s">
        <v>987</v>
      </c>
      <c r="W382" s="2" t="s">
        <v>691</v>
      </c>
      <c r="X382" s="2" t="s">
        <v>231</v>
      </c>
      <c r="Y382" s="2" t="s">
        <v>2342</v>
      </c>
      <c r="Z382" s="4">
        <v>124</v>
      </c>
      <c r="AA382" s="4">
        <f>=ROUNDDOWN(41.3333333333333,0)</f>
      </c>
      <c r="AB382" s="5">
        <v>3</v>
      </c>
      <c r="AC382" s="2" t="s">
        <v>231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231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231</v>
      </c>
      <c r="AW382" s="8" t="s">
        <v>231</v>
      </c>
      <c r="AX382" s="4" t="s">
        <v>231</v>
      </c>
      <c r="AY382" s="8" t="s">
        <v>231</v>
      </c>
      <c r="AZ382" s="7" t="s">
        <v>231</v>
      </c>
      <c r="BA382" s="7" t="s">
        <v>231</v>
      </c>
      <c r="BB382" s="7" t="s">
        <v>231</v>
      </c>
      <c r="BC382" s="4" t="s">
        <v>231</v>
      </c>
      <c r="BD382" s="8" t="s">
        <v>231</v>
      </c>
      <c r="BE382" s="4" t="s">
        <v>231</v>
      </c>
      <c r="BF382" s="8" t="s">
        <v>231</v>
      </c>
      <c r="BG382" s="7" t="s">
        <v>231</v>
      </c>
      <c r="BH382" s="7" t="s">
        <v>231</v>
      </c>
      <c r="BI382" s="7"/>
      <c r="BJ382" s="4">
        <v>2</v>
      </c>
      <c r="BK382" s="8">
        <v>99.14</v>
      </c>
      <c r="BL382" s="2" t="s">
        <v>2343</v>
      </c>
      <c r="BM382" s="7"/>
      <c r="BN382" s="7"/>
      <c r="BO382" s="4"/>
      <c r="BP382" s="8"/>
      <c r="BQ382" s="4"/>
      <c r="BR382" s="8"/>
      <c r="BS382" s="7"/>
      <c r="BT382" s="7"/>
      <c r="BU382" s="2" t="s">
        <v>2344</v>
      </c>
      <c r="BV382" s="2" t="s">
        <v>231</v>
      </c>
      <c r="BW382" s="2" t="s">
        <v>231</v>
      </c>
      <c r="BX382" s="2" t="s">
        <v>241</v>
      </c>
      <c r="BY382" s="2" t="s">
        <v>277</v>
      </c>
      <c r="BZ382" s="2" t="s">
        <v>243</v>
      </c>
      <c r="CA382" s="2" t="s">
        <v>1583</v>
      </c>
      <c r="CB382" s="2" t="s">
        <v>934</v>
      </c>
      <c r="CC382" s="2" t="s">
        <v>244</v>
      </c>
      <c r="CD382" s="2" t="s">
        <v>231</v>
      </c>
      <c r="CE382" s="4">
        <v>124</v>
      </c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</row>
    <row r="383">
      <c r="A383" s="2" t="s">
        <v>2345</v>
      </c>
      <c r="B383" s="2" t="s">
        <v>824</v>
      </c>
      <c r="C383" s="2" t="s">
        <v>1051</v>
      </c>
      <c r="D383" s="2" t="s">
        <v>826</v>
      </c>
      <c r="E383" s="2" t="s">
        <v>1060</v>
      </c>
      <c r="F383" s="2" t="s">
        <v>2327</v>
      </c>
      <c r="G383" s="2" t="s">
        <v>2328</v>
      </c>
      <c r="H383" s="2" t="s">
        <v>2329</v>
      </c>
      <c r="I383" s="2" t="s">
        <v>2337</v>
      </c>
      <c r="J383" s="2" t="s">
        <v>669</v>
      </c>
      <c r="K383" s="2" t="s">
        <v>2331</v>
      </c>
      <c r="L383" s="3">
        <v>30.95</v>
      </c>
      <c r="M383" s="3">
        <v>32.5</v>
      </c>
      <c r="N383" s="3">
        <v>64.99</v>
      </c>
      <c r="O383" s="2" t="s">
        <v>243</v>
      </c>
      <c r="P383" s="2" t="s">
        <v>236</v>
      </c>
      <c r="Q383" s="2" t="s">
        <v>237</v>
      </c>
      <c r="R383" s="2" t="s">
        <v>231</v>
      </c>
      <c r="S383" s="2" t="s">
        <v>2332</v>
      </c>
      <c r="T383" s="2" t="s">
        <v>1432</v>
      </c>
      <c r="U383" s="2" t="s">
        <v>835</v>
      </c>
      <c r="V383" s="2" t="s">
        <v>987</v>
      </c>
      <c r="W383" s="2" t="s">
        <v>691</v>
      </c>
      <c r="X383" s="2" t="s">
        <v>231</v>
      </c>
      <c r="Y383" s="2" t="s">
        <v>2346</v>
      </c>
      <c r="Z383" s="4">
        <v>88</v>
      </c>
      <c r="AA383" s="4">
        <f>=ROUNDDOWN(51.7647058823529,0)</f>
      </c>
      <c r="AB383" s="5">
        <v>1.7</v>
      </c>
      <c r="AC383" s="2" t="s">
        <v>231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231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231</v>
      </c>
      <c r="AW383" s="8" t="s">
        <v>231</v>
      </c>
      <c r="AX383" s="4" t="s">
        <v>231</v>
      </c>
      <c r="AY383" s="8" t="s">
        <v>231</v>
      </c>
      <c r="AZ383" s="7" t="s">
        <v>231</v>
      </c>
      <c r="BA383" s="7" t="s">
        <v>231</v>
      </c>
      <c r="BB383" s="7" t="s">
        <v>231</v>
      </c>
      <c r="BC383" s="4" t="s">
        <v>231</v>
      </c>
      <c r="BD383" s="8" t="s">
        <v>231</v>
      </c>
      <c r="BE383" s="4" t="s">
        <v>231</v>
      </c>
      <c r="BF383" s="8" t="s">
        <v>231</v>
      </c>
      <c r="BG383" s="7" t="s">
        <v>231</v>
      </c>
      <c r="BH383" s="7" t="s">
        <v>231</v>
      </c>
      <c r="BI383" s="7"/>
      <c r="BJ383" s="4">
        <v>8</v>
      </c>
      <c r="BK383" s="8">
        <v>249.29</v>
      </c>
      <c r="BL383" s="2" t="s">
        <v>2347</v>
      </c>
      <c r="BM383" s="7"/>
      <c r="BN383" s="7"/>
      <c r="BO383" s="4"/>
      <c r="BP383" s="8"/>
      <c r="BQ383" s="4"/>
      <c r="BR383" s="8"/>
      <c r="BS383" s="7"/>
      <c r="BT383" s="7"/>
      <c r="BU383" s="2" t="s">
        <v>2348</v>
      </c>
      <c r="BV383" s="2" t="s">
        <v>231</v>
      </c>
      <c r="BW383" s="2" t="s">
        <v>231</v>
      </c>
      <c r="BX383" s="2" t="s">
        <v>241</v>
      </c>
      <c r="BY383" s="2" t="s">
        <v>277</v>
      </c>
      <c r="BZ383" s="2" t="s">
        <v>243</v>
      </c>
      <c r="CA383" s="2" t="s">
        <v>1583</v>
      </c>
      <c r="CB383" s="2" t="s">
        <v>2349</v>
      </c>
      <c r="CC383" s="2" t="s">
        <v>244</v>
      </c>
      <c r="CD383" s="2" t="s">
        <v>231</v>
      </c>
      <c r="CE383" s="4">
        <v>88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</row>
    <row r="384">
      <c r="A384" s="2" t="s">
        <v>2350</v>
      </c>
      <c r="B384" s="2" t="s">
        <v>992</v>
      </c>
      <c r="C384" s="2" t="s">
        <v>1439</v>
      </c>
      <c r="D384" s="2" t="s">
        <v>993</v>
      </c>
      <c r="E384" s="2" t="s">
        <v>994</v>
      </c>
      <c r="F384" s="2" t="s">
        <v>2327</v>
      </c>
      <c r="G384" s="2" t="s">
        <v>2351</v>
      </c>
      <c r="H384" s="2" t="s">
        <v>2352</v>
      </c>
      <c r="I384" s="2" t="s">
        <v>2353</v>
      </c>
      <c r="J384" s="2" t="s">
        <v>1450</v>
      </c>
      <c r="K384" s="2" t="s">
        <v>452</v>
      </c>
      <c r="L384" s="3">
        <v>21</v>
      </c>
      <c r="M384" s="3">
        <v>22.05</v>
      </c>
      <c r="N384" s="3">
        <v>49.99</v>
      </c>
      <c r="O384" s="2" t="s">
        <v>243</v>
      </c>
      <c r="P384" s="2" t="s">
        <v>341</v>
      </c>
      <c r="Q384" s="2" t="s">
        <v>237</v>
      </c>
      <c r="R384" s="2" t="s">
        <v>231</v>
      </c>
      <c r="S384" s="2" t="s">
        <v>2354</v>
      </c>
      <c r="T384" s="2" t="s">
        <v>231</v>
      </c>
      <c r="U384" s="2" t="s">
        <v>327</v>
      </c>
      <c r="V384" s="2" t="s">
        <v>987</v>
      </c>
      <c r="W384" s="2" t="s">
        <v>231</v>
      </c>
      <c r="X384" s="2" t="s">
        <v>231</v>
      </c>
      <c r="Y384" s="2" t="s">
        <v>2355</v>
      </c>
      <c r="Z384" s="4">
        <v>76</v>
      </c>
      <c r="AA384" s="4">
        <f>=ROUNDDOWN(5.62962962962963,0)</f>
      </c>
      <c r="AB384" s="5">
        <v>13.5</v>
      </c>
      <c r="AC384" s="2" t="s">
        <v>231</v>
      </c>
      <c r="AD384" s="4"/>
      <c r="AE384" s="4"/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231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231</v>
      </c>
      <c r="BD384" s="8" t="s">
        <v>231</v>
      </c>
      <c r="BE384" s="4" t="s">
        <v>231</v>
      </c>
      <c r="BF384" s="8" t="s">
        <v>231</v>
      </c>
      <c r="BG384" s="7" t="s">
        <v>231</v>
      </c>
      <c r="BH384" s="7" t="s">
        <v>231</v>
      </c>
      <c r="BI384" s="7"/>
      <c r="BJ384" s="4">
        <v>63</v>
      </c>
      <c r="BK384" s="8">
        <v>843.82</v>
      </c>
      <c r="BL384" s="2" t="s">
        <v>2356</v>
      </c>
      <c r="BM384" s="7"/>
      <c r="BN384" s="7"/>
      <c r="BO384" s="4"/>
      <c r="BP384" s="8"/>
      <c r="BQ384" s="4"/>
      <c r="BR384" s="8"/>
      <c r="BS384" s="7"/>
      <c r="BT384" s="7"/>
      <c r="BU384" s="2" t="s">
        <v>2357</v>
      </c>
      <c r="BV384" s="2" t="s">
        <v>231</v>
      </c>
      <c r="BW384" s="2" t="s">
        <v>231</v>
      </c>
      <c r="BX384" s="2" t="s">
        <v>231</v>
      </c>
      <c r="BY384" s="2" t="s">
        <v>277</v>
      </c>
      <c r="BZ384" s="2" t="s">
        <v>243</v>
      </c>
      <c r="CA384" s="2" t="s">
        <v>2358</v>
      </c>
      <c r="CB384" s="2" t="s">
        <v>2359</v>
      </c>
      <c r="CC384" s="2" t="s">
        <v>244</v>
      </c>
      <c r="CD384" s="2" t="s">
        <v>231</v>
      </c>
      <c r="CE384" s="4">
        <v>76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</row>
    <row r="385">
      <c r="A385" s="2" t="s">
        <v>2360</v>
      </c>
      <c r="B385" s="2" t="s">
        <v>226</v>
      </c>
      <c r="C385" s="2" t="s">
        <v>357</v>
      </c>
      <c r="D385" s="2" t="s">
        <v>654</v>
      </c>
      <c r="E385" s="2" t="s">
        <v>890</v>
      </c>
      <c r="F385" s="2" t="s">
        <v>2361</v>
      </c>
      <c r="G385" s="2" t="s">
        <v>2362</v>
      </c>
      <c r="H385" s="2" t="s">
        <v>2362</v>
      </c>
      <c r="I385" s="2" t="s">
        <v>2363</v>
      </c>
      <c r="J385" s="2" t="s">
        <v>832</v>
      </c>
      <c r="K385" s="2" t="s">
        <v>1513</v>
      </c>
      <c r="L385" s="3">
        <v>18.4</v>
      </c>
      <c r="M385" s="3">
        <v>19.32</v>
      </c>
      <c r="N385" s="3">
        <v>39.99</v>
      </c>
      <c r="O385" s="2" t="s">
        <v>243</v>
      </c>
      <c r="P385" s="2" t="s">
        <v>341</v>
      </c>
      <c r="Q385" s="2" t="s">
        <v>237</v>
      </c>
      <c r="R385" s="2" t="s">
        <v>231</v>
      </c>
      <c r="S385" s="2" t="s">
        <v>2364</v>
      </c>
      <c r="T385" s="2" t="s">
        <v>472</v>
      </c>
      <c r="U385" s="2" t="s">
        <v>231</v>
      </c>
      <c r="V385" s="2" t="s">
        <v>1304</v>
      </c>
      <c r="W385" s="2" t="s">
        <v>897</v>
      </c>
      <c r="X385" s="2" t="s">
        <v>231</v>
      </c>
      <c r="Y385" s="2" t="s">
        <v>274</v>
      </c>
      <c r="Z385" s="4">
        <v>490</v>
      </c>
      <c r="AA385" s="4">
        <f>=ROUNDDOWN(32.6666666666667,0)</f>
      </c>
      <c r="AB385" s="5">
        <v>15</v>
      </c>
      <c r="AC385" s="2" t="s">
        <v>231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231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231</v>
      </c>
      <c r="AW385" s="8" t="s">
        <v>231</v>
      </c>
      <c r="AX385" s="4" t="s">
        <v>231</v>
      </c>
      <c r="AY385" s="8" t="s">
        <v>231</v>
      </c>
      <c r="AZ385" s="7" t="s">
        <v>231</v>
      </c>
      <c r="BA385" s="7" t="s">
        <v>231</v>
      </c>
      <c r="BB385" s="7"/>
      <c r="BC385" s="4" t="s">
        <v>231</v>
      </c>
      <c r="BD385" s="8" t="s">
        <v>231</v>
      </c>
      <c r="BE385" s="4" t="s">
        <v>231</v>
      </c>
      <c r="BF385" s="8" t="s">
        <v>231</v>
      </c>
      <c r="BG385" s="7" t="s">
        <v>231</v>
      </c>
      <c r="BH385" s="7" t="s">
        <v>231</v>
      </c>
      <c r="BI385" s="7"/>
      <c r="BJ385" s="4">
        <v>46</v>
      </c>
      <c r="BK385" s="8">
        <v>782.17</v>
      </c>
      <c r="BL385" s="2" t="s">
        <v>2365</v>
      </c>
      <c r="BM385" s="7"/>
      <c r="BN385" s="7"/>
      <c r="BO385" s="4"/>
      <c r="BP385" s="8"/>
      <c r="BQ385" s="4"/>
      <c r="BR385" s="8"/>
      <c r="BS385" s="7"/>
      <c r="BT385" s="7"/>
      <c r="BU385" s="2" t="s">
        <v>2366</v>
      </c>
      <c r="BV385" s="2" t="s">
        <v>231</v>
      </c>
      <c r="BW385" s="2" t="s">
        <v>231</v>
      </c>
      <c r="BX385" s="2" t="s">
        <v>1360</v>
      </c>
      <c r="BY385" s="2" t="s">
        <v>277</v>
      </c>
      <c r="BZ385" s="2" t="s">
        <v>243</v>
      </c>
      <c r="CA385" s="2" t="s">
        <v>284</v>
      </c>
      <c r="CB385" s="2" t="s">
        <v>480</v>
      </c>
      <c r="CC385" s="2" t="s">
        <v>244</v>
      </c>
      <c r="CD385" s="2" t="s">
        <v>231</v>
      </c>
      <c r="CE385" s="4">
        <v>490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</row>
    <row r="386">
      <c r="A386" s="2" t="s">
        <v>2367</v>
      </c>
      <c r="B386" s="2" t="s">
        <v>226</v>
      </c>
      <c r="C386" s="2" t="s">
        <v>357</v>
      </c>
      <c r="D386" s="2" t="s">
        <v>654</v>
      </c>
      <c r="E386" s="2" t="s">
        <v>890</v>
      </c>
      <c r="F386" s="2" t="s">
        <v>2361</v>
      </c>
      <c r="G386" s="2" t="s">
        <v>2362</v>
      </c>
      <c r="H386" s="2" t="s">
        <v>2362</v>
      </c>
      <c r="I386" s="2" t="s">
        <v>2363</v>
      </c>
      <c r="J386" s="2" t="s">
        <v>658</v>
      </c>
      <c r="K386" s="2" t="s">
        <v>1513</v>
      </c>
      <c r="L386" s="3">
        <v>23.5</v>
      </c>
      <c r="M386" s="3">
        <v>24.68</v>
      </c>
      <c r="N386" s="3">
        <v>46.99</v>
      </c>
      <c r="O386" s="2" t="s">
        <v>243</v>
      </c>
      <c r="P386" s="2" t="s">
        <v>341</v>
      </c>
      <c r="Q386" s="2" t="s">
        <v>237</v>
      </c>
      <c r="R386" s="2" t="s">
        <v>231</v>
      </c>
      <c r="S386" s="2" t="s">
        <v>2364</v>
      </c>
      <c r="T386" s="2" t="s">
        <v>472</v>
      </c>
      <c r="U386" s="2" t="s">
        <v>231</v>
      </c>
      <c r="V386" s="2" t="s">
        <v>1304</v>
      </c>
      <c r="W386" s="2" t="s">
        <v>897</v>
      </c>
      <c r="X386" s="2" t="s">
        <v>231</v>
      </c>
      <c r="Y386" s="2" t="s">
        <v>274</v>
      </c>
      <c r="Z386" s="4">
        <v>372</v>
      </c>
      <c r="AA386" s="4">
        <f>=ROUNDDOWN(17.7142857142857,0)</f>
      </c>
      <c r="AB386" s="5">
        <v>21</v>
      </c>
      <c r="AC386" s="2" t="s">
        <v>231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231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231</v>
      </c>
      <c r="AW386" s="8" t="s">
        <v>231</v>
      </c>
      <c r="AX386" s="4" t="s">
        <v>231</v>
      </c>
      <c r="AY386" s="8" t="s">
        <v>231</v>
      </c>
      <c r="AZ386" s="7" t="s">
        <v>231</v>
      </c>
      <c r="BA386" s="7" t="s">
        <v>231</v>
      </c>
      <c r="BB386" s="7"/>
      <c r="BC386" s="4" t="s">
        <v>231</v>
      </c>
      <c r="BD386" s="8" t="s">
        <v>231</v>
      </c>
      <c r="BE386" s="4" t="s">
        <v>231</v>
      </c>
      <c r="BF386" s="8" t="s">
        <v>231</v>
      </c>
      <c r="BG386" s="7" t="s">
        <v>231</v>
      </c>
      <c r="BH386" s="7" t="s">
        <v>231</v>
      </c>
      <c r="BI386" s="7"/>
      <c r="BJ386" s="4">
        <v>34</v>
      </c>
      <c r="BK386" s="8">
        <v>823.19</v>
      </c>
      <c r="BL386" s="2" t="s">
        <v>2368</v>
      </c>
      <c r="BM386" s="7"/>
      <c r="BN386" s="7"/>
      <c r="BO386" s="4"/>
      <c r="BP386" s="8"/>
      <c r="BQ386" s="4"/>
      <c r="BR386" s="8"/>
      <c r="BS386" s="7"/>
      <c r="BT386" s="7"/>
      <c r="BU386" s="2" t="s">
        <v>2369</v>
      </c>
      <c r="BV386" s="2" t="s">
        <v>231</v>
      </c>
      <c r="BW386" s="2" t="s">
        <v>231</v>
      </c>
      <c r="BX386" s="2" t="s">
        <v>1360</v>
      </c>
      <c r="BY386" s="2" t="s">
        <v>277</v>
      </c>
      <c r="BZ386" s="2" t="s">
        <v>243</v>
      </c>
      <c r="CA386" s="2" t="s">
        <v>284</v>
      </c>
      <c r="CB386" s="2" t="s">
        <v>480</v>
      </c>
      <c r="CC386" s="2" t="s">
        <v>244</v>
      </c>
      <c r="CD386" s="2" t="s">
        <v>231</v>
      </c>
      <c r="CE386" s="4">
        <v>372</v>
      </c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</row>
    <row r="387">
      <c r="A387" s="2" t="s">
        <v>2370</v>
      </c>
      <c r="B387" s="2" t="s">
        <v>1186</v>
      </c>
      <c r="C387" s="2" t="s">
        <v>2371</v>
      </c>
      <c r="D387" s="2" t="s">
        <v>826</v>
      </c>
      <c r="E387" s="2" t="s">
        <v>827</v>
      </c>
      <c r="F387" s="2" t="s">
        <v>2372</v>
      </c>
      <c r="G387" s="2" t="s">
        <v>2372</v>
      </c>
      <c r="H387" s="2" t="s">
        <v>2372</v>
      </c>
      <c r="I387" s="2" t="s">
        <v>1616</v>
      </c>
      <c r="J387" s="2" t="s">
        <v>658</v>
      </c>
      <c r="K387" s="2" t="s">
        <v>234</v>
      </c>
      <c r="L387" s="3">
        <v>102.14</v>
      </c>
      <c r="M387" s="3">
        <v>107.25</v>
      </c>
      <c r="N387" s="3">
        <v>299.99</v>
      </c>
      <c r="O387" s="2" t="s">
        <v>243</v>
      </c>
      <c r="P387" s="2" t="s">
        <v>917</v>
      </c>
      <c r="Q387" s="2" t="s">
        <v>237</v>
      </c>
      <c r="R387" s="2" t="s">
        <v>231</v>
      </c>
      <c r="S387" s="2" t="s">
        <v>231</v>
      </c>
      <c r="T387" s="2" t="s">
        <v>362</v>
      </c>
      <c r="U387" s="2" t="s">
        <v>231</v>
      </c>
      <c r="V387" s="2" t="s">
        <v>1444</v>
      </c>
      <c r="W387" s="2" t="s">
        <v>792</v>
      </c>
      <c r="X387" s="2" t="s">
        <v>231</v>
      </c>
      <c r="Y387" s="2" t="s">
        <v>2373</v>
      </c>
      <c r="Z387" s="4">
        <v>30</v>
      </c>
      <c r="AA387" s="4">
        <f>=ROUNDDOWN(30,0)</f>
      </c>
      <c r="AB387" s="5">
        <v>1</v>
      </c>
      <c r="AC387" s="2" t="s">
        <v>231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231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231</v>
      </c>
      <c r="AW387" s="8" t="s">
        <v>231</v>
      </c>
      <c r="AX387" s="4" t="s">
        <v>231</v>
      </c>
      <c r="AY387" s="8" t="s">
        <v>231</v>
      </c>
      <c r="AZ387" s="7" t="s">
        <v>231</v>
      </c>
      <c r="BA387" s="7" t="s">
        <v>231</v>
      </c>
      <c r="BB387" s="7"/>
      <c r="BC387" s="4" t="s">
        <v>231</v>
      </c>
      <c r="BD387" s="8" t="s">
        <v>231</v>
      </c>
      <c r="BE387" s="4" t="s">
        <v>231</v>
      </c>
      <c r="BF387" s="8" t="s">
        <v>231</v>
      </c>
      <c r="BG387" s="7" t="s">
        <v>231</v>
      </c>
      <c r="BH387" s="7" t="s">
        <v>231</v>
      </c>
      <c r="BI387" s="7"/>
      <c r="BJ387" s="4">
        <v>10</v>
      </c>
      <c r="BK387" s="8">
        <v>581.31</v>
      </c>
      <c r="BL387" s="2" t="s">
        <v>2374</v>
      </c>
      <c r="BM387" s="7"/>
      <c r="BN387" s="7"/>
      <c r="BO387" s="4"/>
      <c r="BP387" s="8"/>
      <c r="BQ387" s="4"/>
      <c r="BR387" s="8"/>
      <c r="BS387" s="7"/>
      <c r="BT387" s="7"/>
      <c r="BU387" s="2" t="s">
        <v>2375</v>
      </c>
      <c r="BV387" s="2" t="s">
        <v>231</v>
      </c>
      <c r="BW387" s="2" t="s">
        <v>231</v>
      </c>
      <c r="BX387" s="2" t="s">
        <v>231</v>
      </c>
      <c r="BY387" s="2" t="s">
        <v>277</v>
      </c>
      <c r="BZ387" s="2" t="s">
        <v>243</v>
      </c>
      <c r="CA387" s="2" t="s">
        <v>1620</v>
      </c>
      <c r="CB387" s="2" t="s">
        <v>2376</v>
      </c>
      <c r="CC387" s="2" t="s">
        <v>244</v>
      </c>
      <c r="CD387" s="2" t="s">
        <v>231</v>
      </c>
      <c r="CE387" s="4">
        <v>30</v>
      </c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</row>
    <row r="388">
      <c r="A388" s="2" t="s">
        <v>2377</v>
      </c>
      <c r="B388" s="2" t="s">
        <v>1186</v>
      </c>
      <c r="C388" s="2" t="s">
        <v>2371</v>
      </c>
      <c r="D388" s="2" t="s">
        <v>826</v>
      </c>
      <c r="E388" s="2" t="s">
        <v>827</v>
      </c>
      <c r="F388" s="2" t="s">
        <v>2372</v>
      </c>
      <c r="G388" s="2" t="s">
        <v>2372</v>
      </c>
      <c r="H388" s="2" t="s">
        <v>2372</v>
      </c>
      <c r="I388" s="2" t="s">
        <v>1616</v>
      </c>
      <c r="J388" s="2" t="s">
        <v>669</v>
      </c>
      <c r="K388" s="2" t="s">
        <v>234</v>
      </c>
      <c r="L388" s="3">
        <v>136.19</v>
      </c>
      <c r="M388" s="3">
        <v>143</v>
      </c>
      <c r="N388" s="3">
        <v>399.99</v>
      </c>
      <c r="O388" s="2" t="s">
        <v>243</v>
      </c>
      <c r="P388" s="2" t="s">
        <v>917</v>
      </c>
      <c r="Q388" s="2" t="s">
        <v>237</v>
      </c>
      <c r="R388" s="2" t="s">
        <v>231</v>
      </c>
      <c r="S388" s="2" t="s">
        <v>231</v>
      </c>
      <c r="T388" s="2" t="s">
        <v>362</v>
      </c>
      <c r="U388" s="2" t="s">
        <v>231</v>
      </c>
      <c r="V388" s="2" t="s">
        <v>1444</v>
      </c>
      <c r="W388" s="2" t="s">
        <v>792</v>
      </c>
      <c r="X388" s="2" t="s">
        <v>231</v>
      </c>
      <c r="Y388" s="2" t="s">
        <v>2373</v>
      </c>
      <c r="Z388" s="4">
        <v>42</v>
      </c>
      <c r="AA388" s="4">
        <f>=ROUNDDOWN(21,0)</f>
      </c>
      <c r="AB388" s="5">
        <v>2</v>
      </c>
      <c r="AC388" s="2" t="s">
        <v>231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231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231</v>
      </c>
      <c r="AW388" s="8" t="s">
        <v>231</v>
      </c>
      <c r="AX388" s="4" t="s">
        <v>231</v>
      </c>
      <c r="AY388" s="8" t="s">
        <v>231</v>
      </c>
      <c r="AZ388" s="7" t="s">
        <v>231</v>
      </c>
      <c r="BA388" s="7" t="s">
        <v>231</v>
      </c>
      <c r="BB388" s="7"/>
      <c r="BC388" s="4" t="s">
        <v>231</v>
      </c>
      <c r="BD388" s="8" t="s">
        <v>231</v>
      </c>
      <c r="BE388" s="4" t="s">
        <v>231</v>
      </c>
      <c r="BF388" s="8" t="s">
        <v>231</v>
      </c>
      <c r="BG388" s="7" t="s">
        <v>231</v>
      </c>
      <c r="BH388" s="7" t="s">
        <v>231</v>
      </c>
      <c r="BI388" s="7"/>
      <c r="BJ388" s="4">
        <v>17</v>
      </c>
      <c r="BK388" s="8">
        <v>1544.53</v>
      </c>
      <c r="BL388" s="2" t="s">
        <v>2374</v>
      </c>
      <c r="BM388" s="7"/>
      <c r="BN388" s="7"/>
      <c r="BO388" s="4"/>
      <c r="BP388" s="8"/>
      <c r="BQ388" s="4"/>
      <c r="BR388" s="8"/>
      <c r="BS388" s="7"/>
      <c r="BT388" s="7"/>
      <c r="BU388" s="2" t="s">
        <v>2378</v>
      </c>
      <c r="BV388" s="2" t="s">
        <v>231</v>
      </c>
      <c r="BW388" s="2" t="s">
        <v>231</v>
      </c>
      <c r="BX388" s="2" t="s">
        <v>231</v>
      </c>
      <c r="BY388" s="2" t="s">
        <v>277</v>
      </c>
      <c r="BZ388" s="2" t="s">
        <v>243</v>
      </c>
      <c r="CA388" s="2" t="s">
        <v>1620</v>
      </c>
      <c r="CB388" s="2" t="s">
        <v>2379</v>
      </c>
      <c r="CC388" s="2" t="s">
        <v>244</v>
      </c>
      <c r="CD388" s="2" t="s">
        <v>231</v>
      </c>
      <c r="CE388" s="4">
        <v>42</v>
      </c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</row>
    <row r="389">
      <c r="A389" s="2" t="s">
        <v>2380</v>
      </c>
      <c r="B389" s="2" t="s">
        <v>226</v>
      </c>
      <c r="C389" s="2" t="s">
        <v>1299</v>
      </c>
      <c r="D389" s="2" t="s">
        <v>654</v>
      </c>
      <c r="E389" s="2" t="s">
        <v>890</v>
      </c>
      <c r="F389" s="2" t="s">
        <v>2381</v>
      </c>
      <c r="G389" s="2" t="s">
        <v>2381</v>
      </c>
      <c r="H389" s="2" t="s">
        <v>2381</v>
      </c>
      <c r="I389" s="2" t="s">
        <v>2382</v>
      </c>
      <c r="J389" s="2" t="s">
        <v>832</v>
      </c>
      <c r="K389" s="2" t="s">
        <v>2383</v>
      </c>
      <c r="L389" s="3">
        <v>42.87</v>
      </c>
      <c r="M389" s="3">
        <v>45.02</v>
      </c>
      <c r="N389" s="3">
        <v>89.99</v>
      </c>
      <c r="O389" s="2" t="s">
        <v>243</v>
      </c>
      <c r="P389" s="2" t="s">
        <v>341</v>
      </c>
      <c r="Q389" s="2" t="s">
        <v>237</v>
      </c>
      <c r="R389" s="2" t="s">
        <v>231</v>
      </c>
      <c r="S389" s="2" t="s">
        <v>2384</v>
      </c>
      <c r="T389" s="2" t="s">
        <v>895</v>
      </c>
      <c r="U389" s="2" t="s">
        <v>791</v>
      </c>
      <c r="V389" s="2" t="s">
        <v>1304</v>
      </c>
      <c r="W389" s="2" t="s">
        <v>897</v>
      </c>
      <c r="X389" s="2" t="s">
        <v>273</v>
      </c>
      <c r="Y389" s="2" t="s">
        <v>720</v>
      </c>
      <c r="Z389" s="4">
        <v>96</v>
      </c>
      <c r="AA389" s="4">
        <f>=ROUNDDOWN({0},0)</f>
      </c>
      <c r="AB389" s="5"/>
      <c r="AC389" s="2" t="s">
        <v>231</v>
      </c>
      <c r="AD389" s="4"/>
      <c r="AE389" s="4"/>
      <c r="AF389" s="6"/>
      <c r="AG389" s="6"/>
      <c r="AH389" s="7">
        <v>1</v>
      </c>
      <c r="AI389" s="4"/>
      <c r="AJ389" s="4">
        <f>=ROUNDDOWN({0},0)</f>
      </c>
      <c r="AK389" s="5"/>
      <c r="AL389" s="2" t="s">
        <v>231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231</v>
      </c>
      <c r="AW389" s="8" t="s">
        <v>231</v>
      </c>
      <c r="AX389" s="4" t="s">
        <v>231</v>
      </c>
      <c r="AY389" s="8" t="s">
        <v>231</v>
      </c>
      <c r="AZ389" s="7" t="s">
        <v>231</v>
      </c>
      <c r="BA389" s="7" t="s">
        <v>231</v>
      </c>
      <c r="BB389" s="7"/>
      <c r="BC389" s="4" t="s">
        <v>231</v>
      </c>
      <c r="BD389" s="8" t="s">
        <v>231</v>
      </c>
      <c r="BE389" s="4" t="s">
        <v>231</v>
      </c>
      <c r="BF389" s="8" t="s">
        <v>231</v>
      </c>
      <c r="BG389" s="7" t="s">
        <v>231</v>
      </c>
      <c r="BH389" s="7" t="s">
        <v>231</v>
      </c>
      <c r="BI389" s="7"/>
      <c r="BJ389" s="4"/>
      <c r="BK389" s="8"/>
      <c r="BL389" s="2" t="s">
        <v>231</v>
      </c>
      <c r="BM389" s="7"/>
      <c r="BN389" s="7"/>
      <c r="BO389" s="4"/>
      <c r="BP389" s="8"/>
      <c r="BQ389" s="4"/>
      <c r="BR389" s="8"/>
      <c r="BS389" s="7"/>
      <c r="BT389" s="7"/>
      <c r="BU389" s="2" t="s">
        <v>2385</v>
      </c>
      <c r="BV389" s="2" t="s">
        <v>231</v>
      </c>
      <c r="BW389" s="2" t="s">
        <v>231</v>
      </c>
      <c r="BX389" s="2" t="s">
        <v>231</v>
      </c>
      <c r="BY389" s="2" t="s">
        <v>277</v>
      </c>
      <c r="BZ389" s="2" t="s">
        <v>243</v>
      </c>
      <c r="CA389" s="2" t="s">
        <v>2386</v>
      </c>
      <c r="CB389" s="2" t="s">
        <v>2387</v>
      </c>
      <c r="CC389" s="2" t="s">
        <v>244</v>
      </c>
      <c r="CD389" s="2" t="s">
        <v>231</v>
      </c>
      <c r="CE389" s="4"/>
      <c r="CF389" s="4"/>
      <c r="CG389" s="4"/>
      <c r="CH389" s="4"/>
      <c r="CI389" s="4">
        <v>96</v>
      </c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</row>
    <row r="390">
      <c r="A390" s="2" t="s">
        <v>2388</v>
      </c>
      <c r="B390" s="2" t="s">
        <v>226</v>
      </c>
      <c r="C390" s="2" t="s">
        <v>1299</v>
      </c>
      <c r="D390" s="2" t="s">
        <v>654</v>
      </c>
      <c r="E390" s="2" t="s">
        <v>890</v>
      </c>
      <c r="F390" s="2" t="s">
        <v>2381</v>
      </c>
      <c r="G390" s="2" t="s">
        <v>2381</v>
      </c>
      <c r="H390" s="2" t="s">
        <v>2381</v>
      </c>
      <c r="I390" s="2" t="s">
        <v>2382</v>
      </c>
      <c r="J390" s="2" t="s">
        <v>658</v>
      </c>
      <c r="K390" s="2" t="s">
        <v>2383</v>
      </c>
      <c r="L390" s="3">
        <v>53.33</v>
      </c>
      <c r="M390" s="3">
        <v>56</v>
      </c>
      <c r="N390" s="3">
        <v>109.99</v>
      </c>
      <c r="O390" s="2" t="s">
        <v>243</v>
      </c>
      <c r="P390" s="2" t="s">
        <v>341</v>
      </c>
      <c r="Q390" s="2" t="s">
        <v>237</v>
      </c>
      <c r="R390" s="2" t="s">
        <v>231</v>
      </c>
      <c r="S390" s="2" t="s">
        <v>2384</v>
      </c>
      <c r="T390" s="2" t="s">
        <v>895</v>
      </c>
      <c r="U390" s="2" t="s">
        <v>835</v>
      </c>
      <c r="V390" s="2" t="s">
        <v>1304</v>
      </c>
      <c r="W390" s="2" t="s">
        <v>897</v>
      </c>
      <c r="X390" s="2" t="s">
        <v>273</v>
      </c>
      <c r="Y390" s="2" t="s">
        <v>720</v>
      </c>
      <c r="Z390" s="4">
        <v>367</v>
      </c>
      <c r="AA390" s="4">
        <f>=ROUNDDOWN(458.75,0)</f>
      </c>
      <c r="AB390" s="5">
        <v>0.8</v>
      </c>
      <c r="AC390" s="2" t="s">
        <v>231</v>
      </c>
      <c r="AD390" s="4"/>
      <c r="AE390" s="4"/>
      <c r="AF390" s="6"/>
      <c r="AG390" s="6"/>
      <c r="AH390" s="7">
        <v>1</v>
      </c>
      <c r="AI390" s="4"/>
      <c r="AJ390" s="4">
        <f>=ROUNDDOWN({0},0)</f>
      </c>
      <c r="AK390" s="5"/>
      <c r="AL390" s="2" t="s">
        <v>231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231</v>
      </c>
      <c r="AW390" s="8" t="s">
        <v>231</v>
      </c>
      <c r="AX390" s="4" t="s">
        <v>231</v>
      </c>
      <c r="AY390" s="8" t="s">
        <v>231</v>
      </c>
      <c r="AZ390" s="7" t="s">
        <v>231</v>
      </c>
      <c r="BA390" s="7" t="s">
        <v>231</v>
      </c>
      <c r="BB390" s="7"/>
      <c r="BC390" s="4" t="s">
        <v>231</v>
      </c>
      <c r="BD390" s="8" t="s">
        <v>231</v>
      </c>
      <c r="BE390" s="4" t="s">
        <v>231</v>
      </c>
      <c r="BF390" s="8" t="s">
        <v>231</v>
      </c>
      <c r="BG390" s="7" t="s">
        <v>231</v>
      </c>
      <c r="BH390" s="7" t="s">
        <v>231</v>
      </c>
      <c r="BI390" s="7"/>
      <c r="BJ390" s="4">
        <v>3</v>
      </c>
      <c r="BK390" s="8">
        <v>156.8</v>
      </c>
      <c r="BL390" s="2" t="s">
        <v>2389</v>
      </c>
      <c r="BM390" s="7"/>
      <c r="BN390" s="7"/>
      <c r="BO390" s="4"/>
      <c r="BP390" s="8"/>
      <c r="BQ390" s="4"/>
      <c r="BR390" s="8"/>
      <c r="BS390" s="7"/>
      <c r="BT390" s="7"/>
      <c r="BU390" s="2" t="s">
        <v>2390</v>
      </c>
      <c r="BV390" s="2" t="s">
        <v>231</v>
      </c>
      <c r="BW390" s="2" t="s">
        <v>231</v>
      </c>
      <c r="BX390" s="2" t="s">
        <v>231</v>
      </c>
      <c r="BY390" s="2" t="s">
        <v>277</v>
      </c>
      <c r="BZ390" s="2" t="s">
        <v>243</v>
      </c>
      <c r="CA390" s="2" t="s">
        <v>2386</v>
      </c>
      <c r="CB390" s="2" t="s">
        <v>2379</v>
      </c>
      <c r="CC390" s="2" t="s">
        <v>244</v>
      </c>
      <c r="CD390" s="2" t="s">
        <v>231</v>
      </c>
      <c r="CE390" s="4"/>
      <c r="CF390" s="4"/>
      <c r="CG390" s="4"/>
      <c r="CH390" s="4"/>
      <c r="CI390" s="4">
        <v>367</v>
      </c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</row>
    <row r="391">
      <c r="A391" s="2" t="s">
        <v>2391</v>
      </c>
      <c r="B391" s="2" t="s">
        <v>226</v>
      </c>
      <c r="C391" s="2" t="s">
        <v>1299</v>
      </c>
      <c r="D391" s="2" t="s">
        <v>654</v>
      </c>
      <c r="E391" s="2" t="s">
        <v>890</v>
      </c>
      <c r="F391" s="2" t="s">
        <v>2381</v>
      </c>
      <c r="G391" s="2" t="s">
        <v>2381</v>
      </c>
      <c r="H391" s="2" t="s">
        <v>2381</v>
      </c>
      <c r="I391" s="2" t="s">
        <v>2382</v>
      </c>
      <c r="J391" s="2" t="s">
        <v>669</v>
      </c>
      <c r="K391" s="2" t="s">
        <v>2383</v>
      </c>
      <c r="L391" s="3">
        <v>62.2</v>
      </c>
      <c r="M391" s="3">
        <v>65.31</v>
      </c>
      <c r="N391" s="3">
        <v>129.99</v>
      </c>
      <c r="O391" s="2" t="s">
        <v>243</v>
      </c>
      <c r="P391" s="2" t="s">
        <v>341</v>
      </c>
      <c r="Q391" s="2" t="s">
        <v>237</v>
      </c>
      <c r="R391" s="2" t="s">
        <v>231</v>
      </c>
      <c r="S391" s="2" t="s">
        <v>2384</v>
      </c>
      <c r="T391" s="2" t="s">
        <v>895</v>
      </c>
      <c r="U391" s="2" t="s">
        <v>835</v>
      </c>
      <c r="V391" s="2" t="s">
        <v>1304</v>
      </c>
      <c r="W391" s="2" t="s">
        <v>897</v>
      </c>
      <c r="X391" s="2" t="s">
        <v>273</v>
      </c>
      <c r="Y391" s="2" t="s">
        <v>720</v>
      </c>
      <c r="Z391" s="4">
        <v>198</v>
      </c>
      <c r="AA391" s="4">
        <f>=ROUNDDOWN(198,0)</f>
      </c>
      <c r="AB391" s="5">
        <v>1</v>
      </c>
      <c r="AC391" s="2" t="s">
        <v>231</v>
      </c>
      <c r="AD391" s="4"/>
      <c r="AE391" s="4"/>
      <c r="AF391" s="6"/>
      <c r="AG391" s="6"/>
      <c r="AH391" s="7">
        <v>1</v>
      </c>
      <c r="AI391" s="4"/>
      <c r="AJ391" s="4">
        <f>=ROUNDDOWN({0},0)</f>
      </c>
      <c r="AK391" s="5"/>
      <c r="AL391" s="2" t="s">
        <v>231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231</v>
      </c>
      <c r="AW391" s="8" t="s">
        <v>231</v>
      </c>
      <c r="AX391" s="4" t="s">
        <v>231</v>
      </c>
      <c r="AY391" s="8" t="s">
        <v>231</v>
      </c>
      <c r="AZ391" s="7" t="s">
        <v>231</v>
      </c>
      <c r="BA391" s="7" t="s">
        <v>231</v>
      </c>
      <c r="BB391" s="7"/>
      <c r="BC391" s="4" t="s">
        <v>231</v>
      </c>
      <c r="BD391" s="8" t="s">
        <v>231</v>
      </c>
      <c r="BE391" s="4" t="s">
        <v>231</v>
      </c>
      <c r="BF391" s="8" t="s">
        <v>231</v>
      </c>
      <c r="BG391" s="7" t="s">
        <v>231</v>
      </c>
      <c r="BH391" s="7" t="s">
        <v>231</v>
      </c>
      <c r="BI391" s="7"/>
      <c r="BJ391" s="4">
        <v>3</v>
      </c>
      <c r="BK391" s="8">
        <v>182.88</v>
      </c>
      <c r="BL391" s="2" t="s">
        <v>2392</v>
      </c>
      <c r="BM391" s="7"/>
      <c r="BN391" s="7"/>
      <c r="BO391" s="4"/>
      <c r="BP391" s="8"/>
      <c r="BQ391" s="4"/>
      <c r="BR391" s="8"/>
      <c r="BS391" s="7"/>
      <c r="BT391" s="7"/>
      <c r="BU391" s="2" t="s">
        <v>2393</v>
      </c>
      <c r="BV391" s="2" t="s">
        <v>231</v>
      </c>
      <c r="BW391" s="2" t="s">
        <v>231</v>
      </c>
      <c r="BX391" s="2" t="s">
        <v>231</v>
      </c>
      <c r="BY391" s="2" t="s">
        <v>277</v>
      </c>
      <c r="BZ391" s="2" t="s">
        <v>243</v>
      </c>
      <c r="CA391" s="2" t="s">
        <v>2386</v>
      </c>
      <c r="CB391" s="2" t="s">
        <v>640</v>
      </c>
      <c r="CC391" s="2" t="s">
        <v>244</v>
      </c>
      <c r="CD391" s="2" t="s">
        <v>231</v>
      </c>
      <c r="CE391" s="4"/>
      <c r="CF391" s="4"/>
      <c r="CG391" s="4"/>
      <c r="CH391" s="4"/>
      <c r="CI391" s="4">
        <v>198</v>
      </c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</row>
    <row r="392">
      <c r="A392" s="2" t="s">
        <v>2394</v>
      </c>
      <c r="B392" s="2" t="s">
        <v>226</v>
      </c>
      <c r="C392" s="2" t="s">
        <v>1299</v>
      </c>
      <c r="D392" s="2" t="s">
        <v>654</v>
      </c>
      <c r="E392" s="2" t="s">
        <v>890</v>
      </c>
      <c r="F392" s="2" t="s">
        <v>2381</v>
      </c>
      <c r="G392" s="2" t="s">
        <v>2381</v>
      </c>
      <c r="H392" s="2" t="s">
        <v>2381</v>
      </c>
      <c r="I392" s="2" t="s">
        <v>2382</v>
      </c>
      <c r="J392" s="2" t="s">
        <v>658</v>
      </c>
      <c r="K392" s="2" t="s">
        <v>2395</v>
      </c>
      <c r="L392" s="3">
        <v>53.33</v>
      </c>
      <c r="M392" s="3">
        <v>56</v>
      </c>
      <c r="N392" s="3">
        <v>109.99</v>
      </c>
      <c r="O392" s="2" t="s">
        <v>243</v>
      </c>
      <c r="P392" s="2" t="s">
        <v>341</v>
      </c>
      <c r="Q392" s="2" t="s">
        <v>237</v>
      </c>
      <c r="R392" s="2" t="s">
        <v>231</v>
      </c>
      <c r="S392" s="2" t="s">
        <v>2396</v>
      </c>
      <c r="T392" s="2" t="s">
        <v>895</v>
      </c>
      <c r="U392" s="2" t="s">
        <v>835</v>
      </c>
      <c r="V392" s="2" t="s">
        <v>1304</v>
      </c>
      <c r="W392" s="2" t="s">
        <v>897</v>
      </c>
      <c r="X392" s="2" t="s">
        <v>273</v>
      </c>
      <c r="Y392" s="2" t="s">
        <v>2397</v>
      </c>
      <c r="Z392" s="4">
        <v>383</v>
      </c>
      <c r="AA392" s="4">
        <f>=ROUNDDOWN({0},0)</f>
      </c>
      <c r="AB392" s="5"/>
      <c r="AC392" s="2" t="s">
        <v>231</v>
      </c>
      <c r="AD392" s="4"/>
      <c r="AE392" s="4"/>
      <c r="AF392" s="6"/>
      <c r="AG392" s="6"/>
      <c r="AH392" s="7">
        <v>1</v>
      </c>
      <c r="AI392" s="4"/>
      <c r="AJ392" s="4">
        <f>=ROUNDDOWN({0},0)</f>
      </c>
      <c r="AK392" s="5"/>
      <c r="AL392" s="2" t="s">
        <v>231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231</v>
      </c>
      <c r="BD392" s="8" t="s">
        <v>231</v>
      </c>
      <c r="BE392" s="4" t="s">
        <v>231</v>
      </c>
      <c r="BF392" s="8" t="s">
        <v>231</v>
      </c>
      <c r="BG392" s="7" t="s">
        <v>231</v>
      </c>
      <c r="BH392" s="7" t="s">
        <v>231</v>
      </c>
      <c r="BI392" s="7"/>
      <c r="BJ392" s="4"/>
      <c r="BK392" s="8"/>
      <c r="BL392" s="2" t="s">
        <v>2392</v>
      </c>
      <c r="BM392" s="7"/>
      <c r="BN392" s="7"/>
      <c r="BO392" s="4"/>
      <c r="BP392" s="8"/>
      <c r="BQ392" s="4"/>
      <c r="BR392" s="8"/>
      <c r="BS392" s="7"/>
      <c r="BT392" s="7"/>
      <c r="BU392" s="2" t="s">
        <v>2398</v>
      </c>
      <c r="BV392" s="2" t="s">
        <v>231</v>
      </c>
      <c r="BW392" s="2" t="s">
        <v>231</v>
      </c>
      <c r="BX392" s="2" t="s">
        <v>231</v>
      </c>
      <c r="BY392" s="2" t="s">
        <v>277</v>
      </c>
      <c r="BZ392" s="2" t="s">
        <v>243</v>
      </c>
      <c r="CA392" s="2" t="s">
        <v>2386</v>
      </c>
      <c r="CB392" s="2" t="s">
        <v>2079</v>
      </c>
      <c r="CC392" s="2" t="s">
        <v>244</v>
      </c>
      <c r="CD392" s="2" t="s">
        <v>231</v>
      </c>
      <c r="CE392" s="4"/>
      <c r="CF392" s="4"/>
      <c r="CG392" s="4"/>
      <c r="CH392" s="4"/>
      <c r="CI392" s="4">
        <v>383</v>
      </c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</row>
    <row r="393">
      <c r="A393" s="2" t="s">
        <v>2399</v>
      </c>
      <c r="B393" s="2" t="s">
        <v>226</v>
      </c>
      <c r="C393" s="2" t="s">
        <v>1299</v>
      </c>
      <c r="D393" s="2" t="s">
        <v>654</v>
      </c>
      <c r="E393" s="2" t="s">
        <v>890</v>
      </c>
      <c r="F393" s="2" t="s">
        <v>2381</v>
      </c>
      <c r="G393" s="2" t="s">
        <v>2381</v>
      </c>
      <c r="H393" s="2" t="s">
        <v>2381</v>
      </c>
      <c r="I393" s="2" t="s">
        <v>2382</v>
      </c>
      <c r="J393" s="2" t="s">
        <v>832</v>
      </c>
      <c r="K393" s="2" t="s">
        <v>2400</v>
      </c>
      <c r="L393" s="3">
        <v>42.87</v>
      </c>
      <c r="M393" s="3">
        <v>45.02</v>
      </c>
      <c r="N393" s="3">
        <v>89.99</v>
      </c>
      <c r="O393" s="2" t="s">
        <v>243</v>
      </c>
      <c r="P393" s="2" t="s">
        <v>341</v>
      </c>
      <c r="Q393" s="2" t="s">
        <v>237</v>
      </c>
      <c r="R393" s="2" t="s">
        <v>231</v>
      </c>
      <c r="S393" s="2" t="s">
        <v>2401</v>
      </c>
      <c r="T393" s="2" t="s">
        <v>895</v>
      </c>
      <c r="U393" s="2" t="s">
        <v>791</v>
      </c>
      <c r="V393" s="2" t="s">
        <v>1304</v>
      </c>
      <c r="W393" s="2" t="s">
        <v>897</v>
      </c>
      <c r="X393" s="2" t="s">
        <v>273</v>
      </c>
      <c r="Y393" s="2" t="s">
        <v>720</v>
      </c>
      <c r="Z393" s="4">
        <v>78</v>
      </c>
      <c r="AA393" s="4">
        <f>=ROUNDDOWN({0},0)</f>
      </c>
      <c r="AB393" s="5"/>
      <c r="AC393" s="2" t="s">
        <v>231</v>
      </c>
      <c r="AD393" s="4"/>
      <c r="AE393" s="4"/>
      <c r="AF393" s="6"/>
      <c r="AG393" s="6"/>
      <c r="AH393" s="7">
        <v>1</v>
      </c>
      <c r="AI393" s="4"/>
      <c r="AJ393" s="4">
        <f>=ROUNDDOWN({0},0)</f>
      </c>
      <c r="AK393" s="5"/>
      <c r="AL393" s="2" t="s">
        <v>231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231</v>
      </c>
      <c r="AW393" s="8" t="s">
        <v>231</v>
      </c>
      <c r="AX393" s="4" t="s">
        <v>231</v>
      </c>
      <c r="AY393" s="8" t="s">
        <v>231</v>
      </c>
      <c r="AZ393" s="7" t="s">
        <v>231</v>
      </c>
      <c r="BA393" s="7" t="s">
        <v>231</v>
      </c>
      <c r="BB393" s="7"/>
      <c r="BC393" s="4" t="s">
        <v>231</v>
      </c>
      <c r="BD393" s="8" t="s">
        <v>231</v>
      </c>
      <c r="BE393" s="4" t="s">
        <v>231</v>
      </c>
      <c r="BF393" s="8" t="s">
        <v>231</v>
      </c>
      <c r="BG393" s="7" t="s">
        <v>231</v>
      </c>
      <c r="BH393" s="7" t="s">
        <v>231</v>
      </c>
      <c r="BI393" s="7"/>
      <c r="BJ393" s="4"/>
      <c r="BK393" s="8"/>
      <c r="BL393" s="2" t="s">
        <v>231</v>
      </c>
      <c r="BM393" s="7"/>
      <c r="BN393" s="7"/>
      <c r="BO393" s="4"/>
      <c r="BP393" s="8"/>
      <c r="BQ393" s="4"/>
      <c r="BR393" s="8"/>
      <c r="BS393" s="7"/>
      <c r="BT393" s="7"/>
      <c r="BU393" s="2" t="s">
        <v>2402</v>
      </c>
      <c r="BV393" s="2" t="s">
        <v>231</v>
      </c>
      <c r="BW393" s="2" t="s">
        <v>231</v>
      </c>
      <c r="BX393" s="2" t="s">
        <v>231</v>
      </c>
      <c r="BY393" s="2" t="s">
        <v>277</v>
      </c>
      <c r="BZ393" s="2" t="s">
        <v>243</v>
      </c>
      <c r="CA393" s="2" t="s">
        <v>2386</v>
      </c>
      <c r="CB393" s="2" t="s">
        <v>2403</v>
      </c>
      <c r="CC393" s="2" t="s">
        <v>244</v>
      </c>
      <c r="CD393" s="2" t="s">
        <v>231</v>
      </c>
      <c r="CE393" s="4"/>
      <c r="CF393" s="4"/>
      <c r="CG393" s="4"/>
      <c r="CH393" s="4"/>
      <c r="CI393" s="4">
        <v>78</v>
      </c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</row>
    <row r="394">
      <c r="A394" s="2" t="s">
        <v>2404</v>
      </c>
      <c r="B394" s="2" t="s">
        <v>226</v>
      </c>
      <c r="C394" s="2" t="s">
        <v>1299</v>
      </c>
      <c r="D394" s="2" t="s">
        <v>654</v>
      </c>
      <c r="E394" s="2" t="s">
        <v>890</v>
      </c>
      <c r="F394" s="2" t="s">
        <v>2381</v>
      </c>
      <c r="G394" s="2" t="s">
        <v>2381</v>
      </c>
      <c r="H394" s="2" t="s">
        <v>2381</v>
      </c>
      <c r="I394" s="2" t="s">
        <v>2382</v>
      </c>
      <c r="J394" s="2" t="s">
        <v>658</v>
      </c>
      <c r="K394" s="2" t="s">
        <v>2400</v>
      </c>
      <c r="L394" s="3">
        <v>53.33</v>
      </c>
      <c r="M394" s="3">
        <v>56</v>
      </c>
      <c r="N394" s="3">
        <v>109.99</v>
      </c>
      <c r="O394" s="2" t="s">
        <v>243</v>
      </c>
      <c r="P394" s="2" t="s">
        <v>341</v>
      </c>
      <c r="Q394" s="2" t="s">
        <v>237</v>
      </c>
      <c r="R394" s="2" t="s">
        <v>231</v>
      </c>
      <c r="S394" s="2" t="s">
        <v>2401</v>
      </c>
      <c r="T394" s="2" t="s">
        <v>895</v>
      </c>
      <c r="U394" s="2" t="s">
        <v>835</v>
      </c>
      <c r="V394" s="2" t="s">
        <v>1304</v>
      </c>
      <c r="W394" s="2" t="s">
        <v>897</v>
      </c>
      <c r="X394" s="2" t="s">
        <v>273</v>
      </c>
      <c r="Y394" s="2" t="s">
        <v>720</v>
      </c>
      <c r="Z394" s="4">
        <v>369</v>
      </c>
      <c r="AA394" s="4">
        <f>=ROUNDDOWN({0},0)</f>
      </c>
      <c r="AB394" s="5"/>
      <c r="AC394" s="2" t="s">
        <v>231</v>
      </c>
      <c r="AD394" s="4"/>
      <c r="AE394" s="4"/>
      <c r="AF394" s="6"/>
      <c r="AG394" s="6"/>
      <c r="AH394" s="7">
        <v>1</v>
      </c>
      <c r="AI394" s="4"/>
      <c r="AJ394" s="4">
        <f>=ROUNDDOWN({0},0)</f>
      </c>
      <c r="AK394" s="5"/>
      <c r="AL394" s="2" t="s">
        <v>231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231</v>
      </c>
      <c r="AW394" s="8" t="s">
        <v>231</v>
      </c>
      <c r="AX394" s="4" t="s">
        <v>231</v>
      </c>
      <c r="AY394" s="8" t="s">
        <v>231</v>
      </c>
      <c r="AZ394" s="7" t="s">
        <v>231</v>
      </c>
      <c r="BA394" s="7" t="s">
        <v>231</v>
      </c>
      <c r="BB394" s="7"/>
      <c r="BC394" s="4" t="s">
        <v>231</v>
      </c>
      <c r="BD394" s="8" t="s">
        <v>231</v>
      </c>
      <c r="BE394" s="4" t="s">
        <v>231</v>
      </c>
      <c r="BF394" s="8" t="s">
        <v>231</v>
      </c>
      <c r="BG394" s="7" t="s">
        <v>231</v>
      </c>
      <c r="BH394" s="7" t="s">
        <v>231</v>
      </c>
      <c r="BI394" s="7"/>
      <c r="BJ394" s="4"/>
      <c r="BK394" s="8"/>
      <c r="BL394" s="2" t="s">
        <v>231</v>
      </c>
      <c r="BM394" s="7"/>
      <c r="BN394" s="7"/>
      <c r="BO394" s="4"/>
      <c r="BP394" s="8"/>
      <c r="BQ394" s="4"/>
      <c r="BR394" s="8"/>
      <c r="BS394" s="7"/>
      <c r="BT394" s="7"/>
      <c r="BU394" s="2" t="s">
        <v>2405</v>
      </c>
      <c r="BV394" s="2" t="s">
        <v>231</v>
      </c>
      <c r="BW394" s="2" t="s">
        <v>231</v>
      </c>
      <c r="BX394" s="2" t="s">
        <v>231</v>
      </c>
      <c r="BY394" s="2" t="s">
        <v>277</v>
      </c>
      <c r="BZ394" s="2" t="s">
        <v>243</v>
      </c>
      <c r="CA394" s="2" t="s">
        <v>2386</v>
      </c>
      <c r="CB394" s="2" t="s">
        <v>2406</v>
      </c>
      <c r="CC394" s="2" t="s">
        <v>244</v>
      </c>
      <c r="CD394" s="2" t="s">
        <v>231</v>
      </c>
      <c r="CE394" s="4"/>
      <c r="CF394" s="4"/>
      <c r="CG394" s="4"/>
      <c r="CH394" s="4"/>
      <c r="CI394" s="4">
        <v>369</v>
      </c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</row>
    <row r="395">
      <c r="A395" s="2" t="s">
        <v>2407</v>
      </c>
      <c r="B395" s="2" t="s">
        <v>226</v>
      </c>
      <c r="C395" s="2" t="s">
        <v>1299</v>
      </c>
      <c r="D395" s="2" t="s">
        <v>654</v>
      </c>
      <c r="E395" s="2" t="s">
        <v>890</v>
      </c>
      <c r="F395" s="2" t="s">
        <v>2381</v>
      </c>
      <c r="G395" s="2" t="s">
        <v>2381</v>
      </c>
      <c r="H395" s="2" t="s">
        <v>2381</v>
      </c>
      <c r="I395" s="2" t="s">
        <v>2382</v>
      </c>
      <c r="J395" s="2" t="s">
        <v>669</v>
      </c>
      <c r="K395" s="2" t="s">
        <v>2400</v>
      </c>
      <c r="L395" s="3">
        <v>62.2</v>
      </c>
      <c r="M395" s="3">
        <v>65.31</v>
      </c>
      <c r="N395" s="3">
        <v>129.99</v>
      </c>
      <c r="O395" s="2" t="s">
        <v>243</v>
      </c>
      <c r="P395" s="2" t="s">
        <v>341</v>
      </c>
      <c r="Q395" s="2" t="s">
        <v>237</v>
      </c>
      <c r="R395" s="2" t="s">
        <v>231</v>
      </c>
      <c r="S395" s="2" t="s">
        <v>2401</v>
      </c>
      <c r="T395" s="2" t="s">
        <v>895</v>
      </c>
      <c r="U395" s="2" t="s">
        <v>835</v>
      </c>
      <c r="V395" s="2" t="s">
        <v>1304</v>
      </c>
      <c r="W395" s="2" t="s">
        <v>897</v>
      </c>
      <c r="X395" s="2" t="s">
        <v>273</v>
      </c>
      <c r="Y395" s="2" t="s">
        <v>720</v>
      </c>
      <c r="Z395" s="4">
        <v>184</v>
      </c>
      <c r="AA395" s="4">
        <f>=ROUNDDOWN({0},0)</f>
      </c>
      <c r="AB395" s="5"/>
      <c r="AC395" s="2" t="s">
        <v>231</v>
      </c>
      <c r="AD395" s="4"/>
      <c r="AE395" s="4"/>
      <c r="AF395" s="6"/>
      <c r="AG395" s="6"/>
      <c r="AH395" s="7">
        <v>1</v>
      </c>
      <c r="AI395" s="4"/>
      <c r="AJ395" s="4">
        <f>=ROUNDDOWN({0},0)</f>
      </c>
      <c r="AK395" s="5"/>
      <c r="AL395" s="2" t="s">
        <v>231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231</v>
      </c>
      <c r="AW395" s="8" t="s">
        <v>231</v>
      </c>
      <c r="AX395" s="4" t="s">
        <v>231</v>
      </c>
      <c r="AY395" s="8" t="s">
        <v>231</v>
      </c>
      <c r="AZ395" s="7" t="s">
        <v>231</v>
      </c>
      <c r="BA395" s="7" t="s">
        <v>231</v>
      </c>
      <c r="BB395" s="7"/>
      <c r="BC395" s="4" t="s">
        <v>231</v>
      </c>
      <c r="BD395" s="8" t="s">
        <v>231</v>
      </c>
      <c r="BE395" s="4" t="s">
        <v>231</v>
      </c>
      <c r="BF395" s="8" t="s">
        <v>231</v>
      </c>
      <c r="BG395" s="7" t="s">
        <v>231</v>
      </c>
      <c r="BH395" s="7" t="s">
        <v>231</v>
      </c>
      <c r="BI395" s="7"/>
      <c r="BJ395" s="4"/>
      <c r="BK395" s="8"/>
      <c r="BL395" s="2" t="s">
        <v>231</v>
      </c>
      <c r="BM395" s="7"/>
      <c r="BN395" s="7"/>
      <c r="BO395" s="4"/>
      <c r="BP395" s="8"/>
      <c r="BQ395" s="4"/>
      <c r="BR395" s="8"/>
      <c r="BS395" s="7"/>
      <c r="BT395" s="7"/>
      <c r="BU395" s="2" t="s">
        <v>2408</v>
      </c>
      <c r="BV395" s="2" t="s">
        <v>231</v>
      </c>
      <c r="BW395" s="2" t="s">
        <v>231</v>
      </c>
      <c r="BX395" s="2" t="s">
        <v>231</v>
      </c>
      <c r="BY395" s="2" t="s">
        <v>277</v>
      </c>
      <c r="BZ395" s="2" t="s">
        <v>243</v>
      </c>
      <c r="CA395" s="2" t="s">
        <v>2386</v>
      </c>
      <c r="CB395" s="2" t="s">
        <v>2409</v>
      </c>
      <c r="CC395" s="2" t="s">
        <v>244</v>
      </c>
      <c r="CD395" s="2" t="s">
        <v>231</v>
      </c>
      <c r="CE395" s="4"/>
      <c r="CF395" s="4"/>
      <c r="CG395" s="4"/>
      <c r="CH395" s="4"/>
      <c r="CI395" s="4">
        <v>184</v>
      </c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</row>
    <row r="396">
      <c r="A396" s="2" t="s">
        <v>2410</v>
      </c>
      <c r="B396" s="2" t="s">
        <v>1004</v>
      </c>
      <c r="C396" s="2" t="s">
        <v>815</v>
      </c>
      <c r="D396" s="2" t="s">
        <v>2411</v>
      </c>
      <c r="E396" s="2" t="s">
        <v>2412</v>
      </c>
      <c r="F396" s="2" t="s">
        <v>2413</v>
      </c>
      <c r="G396" s="2" t="s">
        <v>2413</v>
      </c>
      <c r="H396" s="2" t="s">
        <v>2413</v>
      </c>
      <c r="I396" s="2" t="s">
        <v>2414</v>
      </c>
      <c r="J396" s="2" t="s">
        <v>807</v>
      </c>
      <c r="K396" s="2" t="s">
        <v>2415</v>
      </c>
      <c r="L396" s="3">
        <v>61.84</v>
      </c>
      <c r="M396" s="3">
        <v>64.93</v>
      </c>
      <c r="N396" s="3">
        <v>129</v>
      </c>
      <c r="O396" s="2" t="s">
        <v>243</v>
      </c>
      <c r="P396" s="2" t="s">
        <v>1985</v>
      </c>
      <c r="Q396" s="2" t="s">
        <v>237</v>
      </c>
      <c r="R396" s="2" t="s">
        <v>231</v>
      </c>
      <c r="S396" s="2" t="s">
        <v>231</v>
      </c>
      <c r="T396" s="2" t="s">
        <v>231</v>
      </c>
      <c r="U396" s="2" t="s">
        <v>231</v>
      </c>
      <c r="V396" s="2" t="s">
        <v>239</v>
      </c>
      <c r="W396" s="2" t="s">
        <v>808</v>
      </c>
      <c r="X396" s="2" t="s">
        <v>231</v>
      </c>
      <c r="Y396" s="2" t="s">
        <v>2416</v>
      </c>
      <c r="Z396" s="4">
        <v>36</v>
      </c>
      <c r="AA396" s="4">
        <f>=ROUNDDOWN(9,0)</f>
      </c>
      <c r="AB396" s="5">
        <v>4</v>
      </c>
      <c r="AC396" s="2" t="s">
        <v>1315</v>
      </c>
      <c r="AD396" s="4">
        <v>80</v>
      </c>
      <c r="AE396" s="4">
        <v>80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231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>
        <v>19</v>
      </c>
      <c r="BK396" s="8">
        <v>1242.09</v>
      </c>
      <c r="BL396" s="2" t="s">
        <v>2417</v>
      </c>
      <c r="BM396" s="7"/>
      <c r="BN396" s="7"/>
      <c r="BO396" s="4"/>
      <c r="BP396" s="8"/>
      <c r="BQ396" s="4"/>
      <c r="BR396" s="8"/>
      <c r="BS396" s="7"/>
      <c r="BT396" s="7"/>
      <c r="BU396" s="2" t="s">
        <v>2418</v>
      </c>
      <c r="BV396" s="2" t="s">
        <v>231</v>
      </c>
      <c r="BW396" s="2" t="s">
        <v>231</v>
      </c>
      <c r="BX396" s="2" t="s">
        <v>241</v>
      </c>
      <c r="BY396" s="2" t="s">
        <v>277</v>
      </c>
      <c r="BZ396" s="2" t="s">
        <v>243</v>
      </c>
      <c r="CA396" s="2" t="s">
        <v>2419</v>
      </c>
      <c r="CB396" s="2" t="s">
        <v>2420</v>
      </c>
      <c r="CC396" s="2" t="s">
        <v>244</v>
      </c>
      <c r="CD396" s="2" t="s">
        <v>231</v>
      </c>
      <c r="CE396" s="4"/>
      <c r="CF396" s="4">
        <v>36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>
        <v>80</v>
      </c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</row>
    <row r="397">
      <c r="A397" s="2" t="s">
        <v>2421</v>
      </c>
      <c r="B397" s="2" t="s">
        <v>1004</v>
      </c>
      <c r="C397" s="2" t="s">
        <v>288</v>
      </c>
      <c r="D397" s="2" t="s">
        <v>1922</v>
      </c>
      <c r="E397" s="2" t="s">
        <v>1923</v>
      </c>
      <c r="F397" s="2" t="s">
        <v>2422</v>
      </c>
      <c r="G397" s="2" t="s">
        <v>2423</v>
      </c>
      <c r="H397" s="2" t="s">
        <v>2424</v>
      </c>
      <c r="I397" s="2" t="s">
        <v>2425</v>
      </c>
      <c r="J397" s="2" t="s">
        <v>807</v>
      </c>
      <c r="K397" s="2" t="s">
        <v>682</v>
      </c>
      <c r="L397" s="3">
        <v>125.4</v>
      </c>
      <c r="M397" s="3">
        <v>131.67</v>
      </c>
      <c r="N397" s="3">
        <v>259</v>
      </c>
      <c r="O397" s="2" t="s">
        <v>243</v>
      </c>
      <c r="P397" s="2" t="s">
        <v>270</v>
      </c>
      <c r="Q397" s="2" t="s">
        <v>237</v>
      </c>
      <c r="R397" s="2" t="s">
        <v>231</v>
      </c>
      <c r="S397" s="2" t="s">
        <v>2426</v>
      </c>
      <c r="T397" s="2" t="s">
        <v>231</v>
      </c>
      <c r="U397" s="2" t="s">
        <v>231</v>
      </c>
      <c r="V397" s="2" t="s">
        <v>239</v>
      </c>
      <c r="W397" s="2" t="s">
        <v>691</v>
      </c>
      <c r="X397" s="2" t="s">
        <v>231</v>
      </c>
      <c r="Y397" s="2" t="s">
        <v>274</v>
      </c>
      <c r="Z397" s="4">
        <v>178</v>
      </c>
      <c r="AA397" s="4">
        <f>=ROUNDDOWN(35.6,0)</f>
      </c>
      <c r="AB397" s="5">
        <v>5</v>
      </c>
      <c r="AC397" s="2" t="s">
        <v>2427</v>
      </c>
      <c r="AD397" s="4">
        <v>100</v>
      </c>
      <c r="AE397" s="4">
        <v>100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231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>
        <v>15</v>
      </c>
      <c r="BK397" s="8">
        <v>1727.8</v>
      </c>
      <c r="BL397" s="2" t="s">
        <v>2428</v>
      </c>
      <c r="BM397" s="7"/>
      <c r="BN397" s="7"/>
      <c r="BO397" s="4"/>
      <c r="BP397" s="8"/>
      <c r="BQ397" s="4"/>
      <c r="BR397" s="8"/>
      <c r="BS397" s="7"/>
      <c r="BT397" s="7"/>
      <c r="BU397" s="2" t="s">
        <v>2429</v>
      </c>
      <c r="BV397" s="2" t="s">
        <v>231</v>
      </c>
      <c r="BW397" s="2" t="s">
        <v>231</v>
      </c>
      <c r="BX397" s="2" t="s">
        <v>231</v>
      </c>
      <c r="BY397" s="2" t="s">
        <v>277</v>
      </c>
      <c r="BZ397" s="2" t="s">
        <v>243</v>
      </c>
      <c r="CA397" s="2" t="s">
        <v>2306</v>
      </c>
      <c r="CB397" s="2" t="s">
        <v>2430</v>
      </c>
      <c r="CC397" s="2" t="s">
        <v>244</v>
      </c>
      <c r="CD397" s="2" t="s">
        <v>231</v>
      </c>
      <c r="CE397" s="4"/>
      <c r="CF397" s="4">
        <v>178</v>
      </c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>
        <v>100</v>
      </c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</row>
    <row r="398">
      <c r="A398" s="2" t="s">
        <v>2431</v>
      </c>
      <c r="B398" s="2" t="s">
        <v>784</v>
      </c>
      <c r="C398" s="2" t="s">
        <v>1105</v>
      </c>
      <c r="D398" s="2" t="s">
        <v>785</v>
      </c>
      <c r="E398" s="2" t="s">
        <v>786</v>
      </c>
      <c r="F398" s="2" t="s">
        <v>2432</v>
      </c>
      <c r="G398" s="2" t="s">
        <v>2432</v>
      </c>
      <c r="H398" s="2" t="s">
        <v>2432</v>
      </c>
      <c r="I398" s="2" t="s">
        <v>2433</v>
      </c>
      <c r="J398" s="2" t="s">
        <v>2434</v>
      </c>
      <c r="K398" s="2" t="s">
        <v>2321</v>
      </c>
      <c r="L398" s="3">
        <v>26.4</v>
      </c>
      <c r="M398" s="3">
        <v>27.72</v>
      </c>
      <c r="N398" s="3">
        <v>54.99</v>
      </c>
      <c r="O398" s="2" t="s">
        <v>243</v>
      </c>
      <c r="P398" s="2" t="s">
        <v>1281</v>
      </c>
      <c r="Q398" s="2" t="s">
        <v>237</v>
      </c>
      <c r="R398" s="2" t="s">
        <v>231</v>
      </c>
      <c r="S398" s="2" t="s">
        <v>2435</v>
      </c>
      <c r="T398" s="2" t="s">
        <v>362</v>
      </c>
      <c r="U398" s="2" t="s">
        <v>1961</v>
      </c>
      <c r="V398" s="2" t="s">
        <v>239</v>
      </c>
      <c r="W398" s="2" t="s">
        <v>273</v>
      </c>
      <c r="X398" s="2" t="s">
        <v>231</v>
      </c>
      <c r="Y398" s="2" t="s">
        <v>2436</v>
      </c>
      <c r="Z398" s="4">
        <v>278</v>
      </c>
      <c r="AA398" s="4">
        <f>=ROUNDDOWN(12.6363636363636,0)</f>
      </c>
      <c r="AB398" s="5">
        <v>22</v>
      </c>
      <c r="AC398" s="2" t="s">
        <v>794</v>
      </c>
      <c r="AD398" s="4">
        <v>754</v>
      </c>
      <c r="AE398" s="4">
        <v>1254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231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231</v>
      </c>
      <c r="BD398" s="8" t="s">
        <v>231</v>
      </c>
      <c r="BE398" s="4" t="s">
        <v>231</v>
      </c>
      <c r="BF398" s="8" t="s">
        <v>231</v>
      </c>
      <c r="BG398" s="7" t="s">
        <v>231</v>
      </c>
      <c r="BH398" s="7" t="s">
        <v>231</v>
      </c>
      <c r="BI398" s="7"/>
      <c r="BJ398" s="4">
        <v>88</v>
      </c>
      <c r="BK398" s="8">
        <v>2482.46</v>
      </c>
      <c r="BL398" s="2" t="s">
        <v>2437</v>
      </c>
      <c r="BM398" s="7"/>
      <c r="BN398" s="7"/>
      <c r="BO398" s="4"/>
      <c r="BP398" s="8"/>
      <c r="BQ398" s="4"/>
      <c r="BR398" s="8"/>
      <c r="BS398" s="7"/>
      <c r="BT398" s="7"/>
      <c r="BU398" s="2" t="s">
        <v>2438</v>
      </c>
      <c r="BV398" s="2" t="s">
        <v>231</v>
      </c>
      <c r="BW398" s="2" t="s">
        <v>231</v>
      </c>
      <c r="BX398" s="2" t="s">
        <v>241</v>
      </c>
      <c r="BY398" s="2" t="s">
        <v>277</v>
      </c>
      <c r="BZ398" s="2" t="s">
        <v>243</v>
      </c>
      <c r="CA398" s="2" t="s">
        <v>2439</v>
      </c>
      <c r="CB398" s="2" t="s">
        <v>2440</v>
      </c>
      <c r="CC398" s="2" t="s">
        <v>244</v>
      </c>
      <c r="CD398" s="2" t="s">
        <v>231</v>
      </c>
      <c r="CE398" s="4">
        <v>278</v>
      </c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>
        <v>754</v>
      </c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>
        <v>500</v>
      </c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</row>
    <row r="399">
      <c r="A399" s="2" t="s">
        <v>2441</v>
      </c>
      <c r="B399" s="2" t="s">
        <v>784</v>
      </c>
      <c r="C399" s="2" t="s">
        <v>1105</v>
      </c>
      <c r="D399" s="2" t="s">
        <v>785</v>
      </c>
      <c r="E399" s="2" t="s">
        <v>786</v>
      </c>
      <c r="F399" s="2" t="s">
        <v>2432</v>
      </c>
      <c r="G399" s="2" t="s">
        <v>2432</v>
      </c>
      <c r="H399" s="2" t="s">
        <v>2432</v>
      </c>
      <c r="I399" s="2" t="s">
        <v>2433</v>
      </c>
      <c r="J399" s="2" t="s">
        <v>2434</v>
      </c>
      <c r="K399" s="2" t="s">
        <v>294</v>
      </c>
      <c r="L399" s="3">
        <v>26.4</v>
      </c>
      <c r="M399" s="3">
        <v>27.72</v>
      </c>
      <c r="N399" s="3">
        <v>54.99</v>
      </c>
      <c r="O399" s="2" t="s">
        <v>243</v>
      </c>
      <c r="P399" s="2" t="s">
        <v>295</v>
      </c>
      <c r="Q399" s="2" t="s">
        <v>237</v>
      </c>
      <c r="R399" s="2" t="s">
        <v>231</v>
      </c>
      <c r="S399" s="2" t="s">
        <v>2442</v>
      </c>
      <c r="T399" s="2" t="s">
        <v>362</v>
      </c>
      <c r="U399" s="2" t="s">
        <v>1961</v>
      </c>
      <c r="V399" s="2" t="s">
        <v>239</v>
      </c>
      <c r="W399" s="2" t="s">
        <v>273</v>
      </c>
      <c r="X399" s="2" t="s">
        <v>231</v>
      </c>
      <c r="Y399" s="2" t="s">
        <v>2443</v>
      </c>
      <c r="Z399" s="4">
        <v>608</v>
      </c>
      <c r="AA399" s="4">
        <f>=ROUNDDOWN(21.7142857142857,0)</f>
      </c>
      <c r="AB399" s="5">
        <v>28</v>
      </c>
      <c r="AC399" s="2" t="s">
        <v>2444</v>
      </c>
      <c r="AD399" s="4">
        <v>650</v>
      </c>
      <c r="AE399" s="4">
        <v>1150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231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231</v>
      </c>
      <c r="BD399" s="8" t="s">
        <v>231</v>
      </c>
      <c r="BE399" s="4" t="s">
        <v>231</v>
      </c>
      <c r="BF399" s="8" t="s">
        <v>231</v>
      </c>
      <c r="BG399" s="7" t="s">
        <v>231</v>
      </c>
      <c r="BH399" s="7" t="s">
        <v>231</v>
      </c>
      <c r="BI399" s="7"/>
      <c r="BJ399" s="4">
        <v>49</v>
      </c>
      <c r="BK399" s="8">
        <v>1363.89</v>
      </c>
      <c r="BL399" s="2" t="s">
        <v>2445</v>
      </c>
      <c r="BM399" s="7"/>
      <c r="BN399" s="7"/>
      <c r="BO399" s="4"/>
      <c r="BP399" s="8"/>
      <c r="BQ399" s="4"/>
      <c r="BR399" s="8"/>
      <c r="BS399" s="7"/>
      <c r="BT399" s="7"/>
      <c r="BU399" s="2" t="s">
        <v>2446</v>
      </c>
      <c r="BV399" s="2" t="s">
        <v>231</v>
      </c>
      <c r="BW399" s="2" t="s">
        <v>231</v>
      </c>
      <c r="BX399" s="2" t="s">
        <v>241</v>
      </c>
      <c r="BY399" s="2" t="s">
        <v>277</v>
      </c>
      <c r="BZ399" s="2" t="s">
        <v>243</v>
      </c>
      <c r="CA399" s="2" t="s">
        <v>2447</v>
      </c>
      <c r="CB399" s="2" t="s">
        <v>231</v>
      </c>
      <c r="CC399" s="2" t="s">
        <v>244</v>
      </c>
      <c r="CD399" s="2" t="s">
        <v>231</v>
      </c>
      <c r="CE399" s="4">
        <v>608</v>
      </c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>
        <v>650</v>
      </c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>
        <v>500</v>
      </c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</row>
    <row r="400">
      <c r="A400" s="2" t="s">
        <v>2448</v>
      </c>
      <c r="B400" s="2" t="s">
        <v>784</v>
      </c>
      <c r="C400" s="2" t="s">
        <v>1105</v>
      </c>
      <c r="D400" s="2" t="s">
        <v>785</v>
      </c>
      <c r="E400" s="2" t="s">
        <v>786</v>
      </c>
      <c r="F400" s="2" t="s">
        <v>2432</v>
      </c>
      <c r="G400" s="2" t="s">
        <v>2432</v>
      </c>
      <c r="H400" s="2" t="s">
        <v>2432</v>
      </c>
      <c r="I400" s="2" t="s">
        <v>2433</v>
      </c>
      <c r="J400" s="2" t="s">
        <v>2434</v>
      </c>
      <c r="K400" s="2" t="s">
        <v>253</v>
      </c>
      <c r="L400" s="3">
        <v>26.4</v>
      </c>
      <c r="M400" s="3">
        <v>27.72</v>
      </c>
      <c r="N400" s="3">
        <v>54.99</v>
      </c>
      <c r="O400" s="2" t="s">
        <v>243</v>
      </c>
      <c r="P400" s="2" t="s">
        <v>871</v>
      </c>
      <c r="Q400" s="2" t="s">
        <v>237</v>
      </c>
      <c r="R400" s="2" t="s">
        <v>231</v>
      </c>
      <c r="S400" s="2" t="s">
        <v>2449</v>
      </c>
      <c r="T400" s="2" t="s">
        <v>362</v>
      </c>
      <c r="U400" s="2" t="s">
        <v>1961</v>
      </c>
      <c r="V400" s="2" t="s">
        <v>239</v>
      </c>
      <c r="W400" s="2" t="s">
        <v>273</v>
      </c>
      <c r="X400" s="2" t="s">
        <v>231</v>
      </c>
      <c r="Y400" s="2" t="s">
        <v>2450</v>
      </c>
      <c r="Z400" s="4">
        <v>703</v>
      </c>
      <c r="AA400" s="4">
        <f>=ROUNDDOWN(13.2641509433962,0)</f>
      </c>
      <c r="AB400" s="5">
        <v>53</v>
      </c>
      <c r="AC400" s="2" t="s">
        <v>2451</v>
      </c>
      <c r="AD400" s="4">
        <v>400</v>
      </c>
      <c r="AE400" s="4">
        <v>1916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231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231</v>
      </c>
      <c r="BD400" s="8" t="s">
        <v>231</v>
      </c>
      <c r="BE400" s="4" t="s">
        <v>231</v>
      </c>
      <c r="BF400" s="8" t="s">
        <v>231</v>
      </c>
      <c r="BG400" s="7" t="s">
        <v>231</v>
      </c>
      <c r="BH400" s="7" t="s">
        <v>231</v>
      </c>
      <c r="BI400" s="7"/>
      <c r="BJ400" s="4">
        <v>239</v>
      </c>
      <c r="BK400" s="8">
        <v>6755.26</v>
      </c>
      <c r="BL400" s="2" t="s">
        <v>2452</v>
      </c>
      <c r="BM400" s="7"/>
      <c r="BN400" s="7"/>
      <c r="BO400" s="4"/>
      <c r="BP400" s="8"/>
      <c r="BQ400" s="4"/>
      <c r="BR400" s="8"/>
      <c r="BS400" s="7"/>
      <c r="BT400" s="7"/>
      <c r="BU400" s="2" t="s">
        <v>2453</v>
      </c>
      <c r="BV400" s="2" t="s">
        <v>231</v>
      </c>
      <c r="BW400" s="2" t="s">
        <v>231</v>
      </c>
      <c r="BX400" s="2" t="s">
        <v>241</v>
      </c>
      <c r="BY400" s="2" t="s">
        <v>277</v>
      </c>
      <c r="BZ400" s="2" t="s">
        <v>243</v>
      </c>
      <c r="CA400" s="2" t="s">
        <v>2454</v>
      </c>
      <c r="CB400" s="2" t="s">
        <v>2455</v>
      </c>
      <c r="CC400" s="2" t="s">
        <v>244</v>
      </c>
      <c r="CD400" s="2" t="s">
        <v>231</v>
      </c>
      <c r="CE400" s="4">
        <v>703</v>
      </c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>
        <v>400</v>
      </c>
      <c r="EB400" s="4"/>
      <c r="EC400" s="4"/>
      <c r="ED400" s="4"/>
      <c r="EE400" s="4"/>
      <c r="EF400" s="4"/>
      <c r="EG400" s="4"/>
      <c r="EH400" s="4"/>
      <c r="EI400" s="4">
        <v>1016</v>
      </c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>
        <v>500</v>
      </c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</row>
    <row r="401">
      <c r="A401" s="2" t="s">
        <v>2456</v>
      </c>
      <c r="B401" s="2" t="s">
        <v>784</v>
      </c>
      <c r="C401" s="2" t="s">
        <v>1105</v>
      </c>
      <c r="D401" s="2" t="s">
        <v>785</v>
      </c>
      <c r="E401" s="2" t="s">
        <v>786</v>
      </c>
      <c r="F401" s="2" t="s">
        <v>2432</v>
      </c>
      <c r="G401" s="2" t="s">
        <v>2432</v>
      </c>
      <c r="H401" s="2" t="s">
        <v>2432</v>
      </c>
      <c r="I401" s="2" t="s">
        <v>2433</v>
      </c>
      <c r="J401" s="2" t="s">
        <v>2434</v>
      </c>
      <c r="K401" s="2" t="s">
        <v>2457</v>
      </c>
      <c r="L401" s="3">
        <v>26.4</v>
      </c>
      <c r="M401" s="3">
        <v>27.72</v>
      </c>
      <c r="N401" s="3">
        <v>54.99</v>
      </c>
      <c r="O401" s="2" t="s">
        <v>243</v>
      </c>
      <c r="P401" s="2" t="s">
        <v>871</v>
      </c>
      <c r="Q401" s="2" t="s">
        <v>237</v>
      </c>
      <c r="R401" s="2" t="s">
        <v>231</v>
      </c>
      <c r="S401" s="2" t="s">
        <v>2458</v>
      </c>
      <c r="T401" s="2" t="s">
        <v>362</v>
      </c>
      <c r="U401" s="2" t="s">
        <v>1961</v>
      </c>
      <c r="V401" s="2" t="s">
        <v>239</v>
      </c>
      <c r="W401" s="2" t="s">
        <v>273</v>
      </c>
      <c r="X401" s="2" t="s">
        <v>231</v>
      </c>
      <c r="Y401" s="2" t="s">
        <v>2450</v>
      </c>
      <c r="Z401" s="4">
        <v>17</v>
      </c>
      <c r="AA401" s="4">
        <f>=ROUNDDOWN(0.320754716981132,0)</f>
      </c>
      <c r="AB401" s="5">
        <v>53</v>
      </c>
      <c r="AC401" s="2" t="s">
        <v>2459</v>
      </c>
      <c r="AD401" s="4">
        <v>340</v>
      </c>
      <c r="AE401" s="4">
        <v>2826</v>
      </c>
      <c r="AF401" s="6">
        <v>69</v>
      </c>
      <c r="AG401" s="6"/>
      <c r="AH401" s="7">
        <v>0.6452</v>
      </c>
      <c r="AI401" s="4"/>
      <c r="AJ401" s="4">
        <f>=ROUNDDOWN({0},0)</f>
      </c>
      <c r="AK401" s="5"/>
      <c r="AL401" s="2" t="s">
        <v>231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231</v>
      </c>
      <c r="BD401" s="8" t="s">
        <v>231</v>
      </c>
      <c r="BE401" s="4" t="s">
        <v>231</v>
      </c>
      <c r="BF401" s="8" t="s">
        <v>231</v>
      </c>
      <c r="BG401" s="7" t="s">
        <v>231</v>
      </c>
      <c r="BH401" s="7" t="s">
        <v>231</v>
      </c>
      <c r="BI401" s="7"/>
      <c r="BJ401" s="4">
        <v>174</v>
      </c>
      <c r="BK401" s="8">
        <v>4864.77</v>
      </c>
      <c r="BL401" s="2" t="s">
        <v>2460</v>
      </c>
      <c r="BM401" s="7"/>
      <c r="BN401" s="7"/>
      <c r="BO401" s="4"/>
      <c r="BP401" s="8"/>
      <c r="BQ401" s="4"/>
      <c r="BR401" s="8"/>
      <c r="BS401" s="7"/>
      <c r="BT401" s="7"/>
      <c r="BU401" s="2" t="s">
        <v>2461</v>
      </c>
      <c r="BV401" s="2" t="s">
        <v>231</v>
      </c>
      <c r="BW401" s="2" t="s">
        <v>231</v>
      </c>
      <c r="BX401" s="2" t="s">
        <v>241</v>
      </c>
      <c r="BY401" s="2" t="s">
        <v>277</v>
      </c>
      <c r="BZ401" s="2" t="s">
        <v>243</v>
      </c>
      <c r="CA401" s="2" t="s">
        <v>2454</v>
      </c>
      <c r="CB401" s="2" t="s">
        <v>2462</v>
      </c>
      <c r="CC401" s="2" t="s">
        <v>244</v>
      </c>
      <c r="CD401" s="2" t="s">
        <v>231</v>
      </c>
      <c r="CE401" s="4">
        <v>17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>
        <v>340</v>
      </c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>
        <v>400</v>
      </c>
      <c r="EB401" s="4"/>
      <c r="EC401" s="4"/>
      <c r="ED401" s="4"/>
      <c r="EE401" s="4"/>
      <c r="EF401" s="4"/>
      <c r="EG401" s="4"/>
      <c r="EH401" s="4"/>
      <c r="EI401" s="4">
        <v>686</v>
      </c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>
        <v>400</v>
      </c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>
        <v>500</v>
      </c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>
        <v>500</v>
      </c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</row>
    <row r="402">
      <c r="A402" s="2" t="s">
        <v>2463</v>
      </c>
      <c r="B402" s="2" t="s">
        <v>784</v>
      </c>
      <c r="C402" s="2" t="s">
        <v>1105</v>
      </c>
      <c r="D402" s="2" t="s">
        <v>785</v>
      </c>
      <c r="E402" s="2" t="s">
        <v>786</v>
      </c>
      <c r="F402" s="2" t="s">
        <v>2432</v>
      </c>
      <c r="G402" s="2" t="s">
        <v>2432</v>
      </c>
      <c r="H402" s="2" t="s">
        <v>2432</v>
      </c>
      <c r="I402" s="2" t="s">
        <v>2433</v>
      </c>
      <c r="J402" s="2" t="s">
        <v>2434</v>
      </c>
      <c r="K402" s="2" t="s">
        <v>463</v>
      </c>
      <c r="L402" s="3">
        <v>26.4</v>
      </c>
      <c r="M402" s="3">
        <v>27.72</v>
      </c>
      <c r="N402" s="3">
        <v>54.99</v>
      </c>
      <c r="O402" s="2" t="s">
        <v>243</v>
      </c>
      <c r="P402" s="2" t="s">
        <v>270</v>
      </c>
      <c r="Q402" s="2" t="s">
        <v>237</v>
      </c>
      <c r="R402" s="2" t="s">
        <v>231</v>
      </c>
      <c r="S402" s="2" t="s">
        <v>2464</v>
      </c>
      <c r="T402" s="2" t="s">
        <v>362</v>
      </c>
      <c r="U402" s="2" t="s">
        <v>1961</v>
      </c>
      <c r="V402" s="2" t="s">
        <v>239</v>
      </c>
      <c r="W402" s="2" t="s">
        <v>273</v>
      </c>
      <c r="X402" s="2" t="s">
        <v>231</v>
      </c>
      <c r="Y402" s="2" t="s">
        <v>2465</v>
      </c>
      <c r="Z402" s="4">
        <v>416</v>
      </c>
      <c r="AA402" s="4">
        <f>=ROUNDDOWN(21.8947368421053,0)</f>
      </c>
      <c r="AB402" s="5">
        <v>19</v>
      </c>
      <c r="AC402" s="2" t="s">
        <v>2451</v>
      </c>
      <c r="AD402" s="4">
        <v>400</v>
      </c>
      <c r="AE402" s="4">
        <v>1238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231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231</v>
      </c>
      <c r="BD402" s="8" t="s">
        <v>231</v>
      </c>
      <c r="BE402" s="4" t="s">
        <v>231</v>
      </c>
      <c r="BF402" s="8" t="s">
        <v>231</v>
      </c>
      <c r="BG402" s="7" t="s">
        <v>231</v>
      </c>
      <c r="BH402" s="7" t="s">
        <v>231</v>
      </c>
      <c r="BI402" s="7"/>
      <c r="BJ402" s="4">
        <v>117</v>
      </c>
      <c r="BK402" s="8">
        <v>3333.64</v>
      </c>
      <c r="BL402" s="2" t="s">
        <v>2466</v>
      </c>
      <c r="BM402" s="7"/>
      <c r="BN402" s="7"/>
      <c r="BO402" s="4"/>
      <c r="BP402" s="8"/>
      <c r="BQ402" s="4"/>
      <c r="BR402" s="8"/>
      <c r="BS402" s="7"/>
      <c r="BT402" s="7"/>
      <c r="BU402" s="2" t="s">
        <v>2467</v>
      </c>
      <c r="BV402" s="2" t="s">
        <v>231</v>
      </c>
      <c r="BW402" s="2" t="s">
        <v>231</v>
      </c>
      <c r="BX402" s="2" t="s">
        <v>241</v>
      </c>
      <c r="BY402" s="2" t="s">
        <v>277</v>
      </c>
      <c r="BZ402" s="2" t="s">
        <v>243</v>
      </c>
      <c r="CA402" s="2" t="s">
        <v>1643</v>
      </c>
      <c r="CB402" s="2" t="s">
        <v>2468</v>
      </c>
      <c r="CC402" s="2" t="s">
        <v>244</v>
      </c>
      <c r="CD402" s="2" t="s">
        <v>231</v>
      </c>
      <c r="CE402" s="4">
        <v>416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>
        <v>400</v>
      </c>
      <c r="EB402" s="4"/>
      <c r="EC402" s="4"/>
      <c r="ED402" s="4"/>
      <c r="EE402" s="4"/>
      <c r="EF402" s="4"/>
      <c r="EG402" s="4"/>
      <c r="EH402" s="4"/>
      <c r="EI402" s="4">
        <v>338</v>
      </c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>
        <v>500</v>
      </c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</row>
    <row r="403">
      <c r="A403" s="2" t="s">
        <v>2469</v>
      </c>
      <c r="B403" s="2" t="s">
        <v>784</v>
      </c>
      <c r="C403" s="2" t="s">
        <v>1105</v>
      </c>
      <c r="D403" s="2" t="s">
        <v>785</v>
      </c>
      <c r="E403" s="2" t="s">
        <v>786</v>
      </c>
      <c r="F403" s="2" t="s">
        <v>2432</v>
      </c>
      <c r="G403" s="2" t="s">
        <v>2432</v>
      </c>
      <c r="H403" s="2" t="s">
        <v>2432</v>
      </c>
      <c r="I403" s="2" t="s">
        <v>2433</v>
      </c>
      <c r="J403" s="2" t="s">
        <v>2434</v>
      </c>
      <c r="K403" s="2" t="s">
        <v>319</v>
      </c>
      <c r="L403" s="3">
        <v>26.4</v>
      </c>
      <c r="M403" s="3">
        <v>27.72</v>
      </c>
      <c r="N403" s="3">
        <v>54.99</v>
      </c>
      <c r="O403" s="2" t="s">
        <v>243</v>
      </c>
      <c r="P403" s="2" t="s">
        <v>871</v>
      </c>
      <c r="Q403" s="2" t="s">
        <v>237</v>
      </c>
      <c r="R403" s="2" t="s">
        <v>231</v>
      </c>
      <c r="S403" s="2" t="s">
        <v>2470</v>
      </c>
      <c r="T403" s="2" t="s">
        <v>362</v>
      </c>
      <c r="U403" s="2" t="s">
        <v>1961</v>
      </c>
      <c r="V403" s="2" t="s">
        <v>239</v>
      </c>
      <c r="W403" s="2" t="s">
        <v>273</v>
      </c>
      <c r="X403" s="2" t="s">
        <v>231</v>
      </c>
      <c r="Y403" s="2" t="s">
        <v>2450</v>
      </c>
      <c r="Z403" s="4">
        <v>1612</v>
      </c>
      <c r="AA403" s="4">
        <f>=ROUNDDOWN(35.8222222222222,0)</f>
      </c>
      <c r="AB403" s="5">
        <v>45</v>
      </c>
      <c r="AC403" s="2" t="s">
        <v>2471</v>
      </c>
      <c r="AD403" s="4">
        <v>500</v>
      </c>
      <c r="AE403" s="4">
        <v>1000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231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231</v>
      </c>
      <c r="BD403" s="8" t="s">
        <v>231</v>
      </c>
      <c r="BE403" s="4" t="s">
        <v>231</v>
      </c>
      <c r="BF403" s="8" t="s">
        <v>231</v>
      </c>
      <c r="BG403" s="7" t="s">
        <v>231</v>
      </c>
      <c r="BH403" s="7" t="s">
        <v>231</v>
      </c>
      <c r="BI403" s="7"/>
      <c r="BJ403" s="4">
        <v>216</v>
      </c>
      <c r="BK403" s="8">
        <v>6208.95</v>
      </c>
      <c r="BL403" s="2" t="s">
        <v>2472</v>
      </c>
      <c r="BM403" s="7"/>
      <c r="BN403" s="7"/>
      <c r="BO403" s="4"/>
      <c r="BP403" s="8"/>
      <c r="BQ403" s="4"/>
      <c r="BR403" s="8"/>
      <c r="BS403" s="7"/>
      <c r="BT403" s="7"/>
      <c r="BU403" s="2" t="s">
        <v>2473</v>
      </c>
      <c r="BV403" s="2" t="s">
        <v>231</v>
      </c>
      <c r="BW403" s="2" t="s">
        <v>231</v>
      </c>
      <c r="BX403" s="2" t="s">
        <v>241</v>
      </c>
      <c r="BY403" s="2" t="s">
        <v>277</v>
      </c>
      <c r="BZ403" s="2" t="s">
        <v>243</v>
      </c>
      <c r="CA403" s="2" t="s">
        <v>2454</v>
      </c>
      <c r="CB403" s="2" t="s">
        <v>2474</v>
      </c>
      <c r="CC403" s="2" t="s">
        <v>244</v>
      </c>
      <c r="CD403" s="2" t="s">
        <v>231</v>
      </c>
      <c r="CE403" s="4">
        <v>1612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>
        <v>500</v>
      </c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>
        <v>500</v>
      </c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</row>
    <row r="404">
      <c r="A404" s="2" t="s">
        <v>2475</v>
      </c>
      <c r="B404" s="2" t="s">
        <v>1186</v>
      </c>
      <c r="C404" s="2" t="s">
        <v>1980</v>
      </c>
      <c r="D404" s="2" t="s">
        <v>1139</v>
      </c>
      <c r="E404" s="2" t="s">
        <v>1981</v>
      </c>
      <c r="F404" s="2" t="s">
        <v>2476</v>
      </c>
      <c r="G404" s="2" t="s">
        <v>2476</v>
      </c>
      <c r="H404" s="2" t="s">
        <v>2476</v>
      </c>
      <c r="I404" s="2" t="s">
        <v>2477</v>
      </c>
      <c r="J404" s="2" t="s">
        <v>2478</v>
      </c>
      <c r="K404" s="2" t="s">
        <v>463</v>
      </c>
      <c r="L404" s="3">
        <v>24.76</v>
      </c>
      <c r="M404" s="3">
        <v>26</v>
      </c>
      <c r="N404" s="3">
        <v>79.99</v>
      </c>
      <c r="O404" s="2" t="s">
        <v>243</v>
      </c>
      <c r="P404" s="2" t="s">
        <v>1985</v>
      </c>
      <c r="Q404" s="2" t="s">
        <v>237</v>
      </c>
      <c r="R404" s="2" t="s">
        <v>231</v>
      </c>
      <c r="S404" s="2" t="s">
        <v>231</v>
      </c>
      <c r="T404" s="2" t="s">
        <v>231</v>
      </c>
      <c r="U404" s="2" t="s">
        <v>327</v>
      </c>
      <c r="V404" s="2" t="s">
        <v>1986</v>
      </c>
      <c r="W404" s="2" t="s">
        <v>676</v>
      </c>
      <c r="X404" s="2" t="s">
        <v>231</v>
      </c>
      <c r="Y404" s="2" t="s">
        <v>1987</v>
      </c>
      <c r="Z404" s="4">
        <v>190</v>
      </c>
      <c r="AA404" s="4">
        <f>=ROUNDDOWN(95,0)</f>
      </c>
      <c r="AB404" s="5">
        <v>2</v>
      </c>
      <c r="AC404" s="2" t="s">
        <v>231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231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>
        <v>1</v>
      </c>
      <c r="BK404" s="8">
        <v>27.3</v>
      </c>
      <c r="BL404" s="2" t="s">
        <v>937</v>
      </c>
      <c r="BM404" s="7"/>
      <c r="BN404" s="7"/>
      <c r="BO404" s="4"/>
      <c r="BP404" s="8"/>
      <c r="BQ404" s="4"/>
      <c r="BR404" s="8"/>
      <c r="BS404" s="7"/>
      <c r="BT404" s="7"/>
      <c r="BU404" s="2" t="s">
        <v>2479</v>
      </c>
      <c r="BV404" s="2" t="s">
        <v>231</v>
      </c>
      <c r="BW404" s="2" t="s">
        <v>231</v>
      </c>
      <c r="BX404" s="2" t="s">
        <v>231</v>
      </c>
      <c r="BY404" s="2" t="s">
        <v>277</v>
      </c>
      <c r="BZ404" s="2" t="s">
        <v>243</v>
      </c>
      <c r="CA404" s="2" t="s">
        <v>1620</v>
      </c>
      <c r="CB404" s="2" t="s">
        <v>2379</v>
      </c>
      <c r="CC404" s="2" t="s">
        <v>244</v>
      </c>
      <c r="CD404" s="2" t="s">
        <v>231</v>
      </c>
      <c r="CE404" s="4">
        <v>190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</row>
    <row r="405">
      <c r="A405" s="2" t="s">
        <v>2480</v>
      </c>
      <c r="B405" s="2" t="s">
        <v>1186</v>
      </c>
      <c r="C405" s="2" t="s">
        <v>1299</v>
      </c>
      <c r="D405" s="2" t="s">
        <v>654</v>
      </c>
      <c r="E405" s="2" t="s">
        <v>655</v>
      </c>
      <c r="F405" s="2" t="s">
        <v>2481</v>
      </c>
      <c r="G405" s="2" t="s">
        <v>2481</v>
      </c>
      <c r="H405" s="2" t="s">
        <v>2481</v>
      </c>
      <c r="I405" s="2" t="s">
        <v>1818</v>
      </c>
      <c r="J405" s="2" t="s">
        <v>281</v>
      </c>
      <c r="K405" s="2" t="s">
        <v>2482</v>
      </c>
      <c r="L405" s="3">
        <v>77.99</v>
      </c>
      <c r="M405" s="3">
        <v>81.89</v>
      </c>
      <c r="N405" s="3">
        <v>149.99</v>
      </c>
      <c r="O405" s="2" t="s">
        <v>243</v>
      </c>
      <c r="P405" s="2" t="s">
        <v>1332</v>
      </c>
      <c r="Q405" s="2" t="s">
        <v>237</v>
      </c>
      <c r="R405" s="2" t="s">
        <v>231</v>
      </c>
      <c r="S405" s="2" t="s">
        <v>2483</v>
      </c>
      <c r="T405" s="2" t="s">
        <v>231</v>
      </c>
      <c r="U405" s="2" t="s">
        <v>231</v>
      </c>
      <c r="V405" s="2" t="s">
        <v>2484</v>
      </c>
      <c r="W405" s="2" t="s">
        <v>897</v>
      </c>
      <c r="X405" s="2" t="s">
        <v>2485</v>
      </c>
      <c r="Y405" s="2" t="s">
        <v>1833</v>
      </c>
      <c r="Z405" s="4">
        <v>136</v>
      </c>
      <c r="AA405" s="4">
        <f>=ROUNDDOWN(19.4285714285714,0)</f>
      </c>
      <c r="AB405" s="5">
        <v>7</v>
      </c>
      <c r="AC405" s="2" t="s">
        <v>1128</v>
      </c>
      <c r="AD405" s="4">
        <v>110</v>
      </c>
      <c r="AE405" s="4">
        <v>220</v>
      </c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231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231</v>
      </c>
      <c r="AW405" s="8" t="s">
        <v>231</v>
      </c>
      <c r="AX405" s="4" t="s">
        <v>231</v>
      </c>
      <c r="AY405" s="8" t="s">
        <v>231</v>
      </c>
      <c r="AZ405" s="7" t="s">
        <v>231</v>
      </c>
      <c r="BA405" s="7" t="s">
        <v>231</v>
      </c>
      <c r="BB405" s="7"/>
      <c r="BC405" s="4" t="s">
        <v>231</v>
      </c>
      <c r="BD405" s="8" t="s">
        <v>231</v>
      </c>
      <c r="BE405" s="4" t="s">
        <v>231</v>
      </c>
      <c r="BF405" s="8" t="s">
        <v>231</v>
      </c>
      <c r="BG405" s="7" t="s">
        <v>231</v>
      </c>
      <c r="BH405" s="7" t="s">
        <v>231</v>
      </c>
      <c r="BI405" s="7"/>
      <c r="BJ405" s="4">
        <v>39</v>
      </c>
      <c r="BK405" s="8">
        <v>3121.71</v>
      </c>
      <c r="BL405" s="2" t="s">
        <v>2486</v>
      </c>
      <c r="BM405" s="7"/>
      <c r="BN405" s="7"/>
      <c r="BO405" s="4"/>
      <c r="BP405" s="8"/>
      <c r="BQ405" s="4"/>
      <c r="BR405" s="8"/>
      <c r="BS405" s="7"/>
      <c r="BT405" s="7"/>
      <c r="BU405" s="2" t="s">
        <v>2487</v>
      </c>
      <c r="BV405" s="2" t="s">
        <v>231</v>
      </c>
      <c r="BW405" s="2" t="s">
        <v>231</v>
      </c>
      <c r="BX405" s="2" t="s">
        <v>231</v>
      </c>
      <c r="BY405" s="2" t="s">
        <v>277</v>
      </c>
      <c r="BZ405" s="2" t="s">
        <v>243</v>
      </c>
      <c r="CA405" s="2" t="s">
        <v>2488</v>
      </c>
      <c r="CB405" s="2" t="s">
        <v>2489</v>
      </c>
      <c r="CC405" s="2" t="s">
        <v>244</v>
      </c>
      <c r="CD405" s="2" t="s">
        <v>231</v>
      </c>
      <c r="CE405" s="4">
        <v>92</v>
      </c>
      <c r="CF405" s="4"/>
      <c r="CG405" s="4"/>
      <c r="CH405" s="4"/>
      <c r="CI405" s="4">
        <v>44</v>
      </c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>
        <v>110</v>
      </c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>
        <v>30</v>
      </c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>
        <v>20</v>
      </c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>
        <v>60</v>
      </c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</row>
    <row r="406">
      <c r="A406" s="2" t="s">
        <v>2490</v>
      </c>
      <c r="B406" s="2" t="s">
        <v>1186</v>
      </c>
      <c r="C406" s="2" t="s">
        <v>1299</v>
      </c>
      <c r="D406" s="2" t="s">
        <v>654</v>
      </c>
      <c r="E406" s="2" t="s">
        <v>655</v>
      </c>
      <c r="F406" s="2" t="s">
        <v>2481</v>
      </c>
      <c r="G406" s="2" t="s">
        <v>2481</v>
      </c>
      <c r="H406" s="2" t="s">
        <v>2481</v>
      </c>
      <c r="I406" s="2" t="s">
        <v>1818</v>
      </c>
      <c r="J406" s="2" t="s">
        <v>302</v>
      </c>
      <c r="K406" s="2" t="s">
        <v>2482</v>
      </c>
      <c r="L406" s="3">
        <v>93.59</v>
      </c>
      <c r="M406" s="3">
        <v>98.27</v>
      </c>
      <c r="N406" s="3">
        <v>179.99</v>
      </c>
      <c r="O406" s="2" t="s">
        <v>243</v>
      </c>
      <c r="P406" s="2" t="s">
        <v>1332</v>
      </c>
      <c r="Q406" s="2" t="s">
        <v>237</v>
      </c>
      <c r="R406" s="2" t="s">
        <v>231</v>
      </c>
      <c r="S406" s="2" t="s">
        <v>2483</v>
      </c>
      <c r="T406" s="2" t="s">
        <v>231</v>
      </c>
      <c r="U406" s="2" t="s">
        <v>231</v>
      </c>
      <c r="V406" s="2" t="s">
        <v>2484</v>
      </c>
      <c r="W406" s="2" t="s">
        <v>897</v>
      </c>
      <c r="X406" s="2" t="s">
        <v>2485</v>
      </c>
      <c r="Y406" s="2" t="s">
        <v>2491</v>
      </c>
      <c r="Z406" s="4">
        <v>397</v>
      </c>
      <c r="AA406" s="4">
        <f>=ROUNDDOWN(15.88,0)</f>
      </c>
      <c r="AB406" s="5">
        <v>25</v>
      </c>
      <c r="AC406" s="2" t="s">
        <v>1128</v>
      </c>
      <c r="AD406" s="4">
        <v>50</v>
      </c>
      <c r="AE406" s="4">
        <v>800</v>
      </c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231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231</v>
      </c>
      <c r="AW406" s="8" t="s">
        <v>231</v>
      </c>
      <c r="AX406" s="4" t="s">
        <v>231</v>
      </c>
      <c r="AY406" s="8" t="s">
        <v>231</v>
      </c>
      <c r="AZ406" s="7" t="s">
        <v>231</v>
      </c>
      <c r="BA406" s="7" t="s">
        <v>231</v>
      </c>
      <c r="BB406" s="7"/>
      <c r="BC406" s="4" t="s">
        <v>231</v>
      </c>
      <c r="BD406" s="8" t="s">
        <v>231</v>
      </c>
      <c r="BE406" s="4" t="s">
        <v>231</v>
      </c>
      <c r="BF406" s="8" t="s">
        <v>231</v>
      </c>
      <c r="BG406" s="7" t="s">
        <v>231</v>
      </c>
      <c r="BH406" s="7" t="s">
        <v>231</v>
      </c>
      <c r="BI406" s="7"/>
      <c r="BJ406" s="4">
        <v>112</v>
      </c>
      <c r="BK406" s="8">
        <v>10883.48</v>
      </c>
      <c r="BL406" s="2" t="s">
        <v>2492</v>
      </c>
      <c r="BM406" s="7"/>
      <c r="BN406" s="7"/>
      <c r="BO406" s="4"/>
      <c r="BP406" s="8"/>
      <c r="BQ406" s="4"/>
      <c r="BR406" s="8"/>
      <c r="BS406" s="7"/>
      <c r="BT406" s="7"/>
      <c r="BU406" s="2" t="s">
        <v>2493</v>
      </c>
      <c r="BV406" s="2" t="s">
        <v>231</v>
      </c>
      <c r="BW406" s="2" t="s">
        <v>231</v>
      </c>
      <c r="BX406" s="2" t="s">
        <v>231</v>
      </c>
      <c r="BY406" s="2" t="s">
        <v>277</v>
      </c>
      <c r="BZ406" s="2" t="s">
        <v>243</v>
      </c>
      <c r="CA406" s="2" t="s">
        <v>2488</v>
      </c>
      <c r="CB406" s="2" t="s">
        <v>336</v>
      </c>
      <c r="CC406" s="2" t="s">
        <v>244</v>
      </c>
      <c r="CD406" s="2" t="s">
        <v>231</v>
      </c>
      <c r="CE406" s="4">
        <v>252</v>
      </c>
      <c r="CF406" s="4"/>
      <c r="CG406" s="4"/>
      <c r="CH406" s="4"/>
      <c r="CI406" s="4">
        <v>145</v>
      </c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>
        <v>50</v>
      </c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>
        <v>60</v>
      </c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>
        <v>140</v>
      </c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>
        <v>50</v>
      </c>
      <c r="FW406" s="4"/>
      <c r="FX406" s="4">
        <v>120</v>
      </c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>
        <v>180</v>
      </c>
      <c r="GL406" s="4"/>
      <c r="GM406" s="4">
        <v>20</v>
      </c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>
        <v>180</v>
      </c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</row>
    <row r="407">
      <c r="A407" s="2" t="s">
        <v>2494</v>
      </c>
      <c r="B407" s="2" t="s">
        <v>1004</v>
      </c>
      <c r="C407" s="2" t="s">
        <v>288</v>
      </c>
      <c r="D407" s="2" t="s">
        <v>1917</v>
      </c>
      <c r="E407" s="2" t="s">
        <v>2495</v>
      </c>
      <c r="F407" s="2" t="s">
        <v>2496</v>
      </c>
      <c r="G407" s="2" t="s">
        <v>2497</v>
      </c>
      <c r="H407" s="2" t="s">
        <v>2498</v>
      </c>
      <c r="I407" s="2" t="s">
        <v>2499</v>
      </c>
      <c r="J407" s="2" t="s">
        <v>807</v>
      </c>
      <c r="K407" s="2" t="s">
        <v>901</v>
      </c>
      <c r="L407" s="3">
        <v>135</v>
      </c>
      <c r="M407" s="3">
        <v>141.75</v>
      </c>
      <c r="N407" s="3">
        <v>289</v>
      </c>
      <c r="O407" s="2" t="s">
        <v>235</v>
      </c>
      <c r="P407" s="2" t="s">
        <v>341</v>
      </c>
      <c r="Q407" s="2" t="s">
        <v>237</v>
      </c>
      <c r="R407" s="2" t="s">
        <v>231</v>
      </c>
      <c r="S407" s="2" t="s">
        <v>231</v>
      </c>
      <c r="T407" s="2" t="s">
        <v>231</v>
      </c>
      <c r="U407" s="2" t="s">
        <v>231</v>
      </c>
      <c r="V407" s="2" t="s">
        <v>662</v>
      </c>
      <c r="W407" s="2" t="s">
        <v>2500</v>
      </c>
      <c r="X407" s="2" t="s">
        <v>231</v>
      </c>
      <c r="Y407" s="2" t="s">
        <v>837</v>
      </c>
      <c r="Z407" s="4">
        <v>52</v>
      </c>
      <c r="AA407" s="4">
        <f>=ROUNDDOWN(74.2857142857143,0)</f>
      </c>
      <c r="AB407" s="5">
        <v>0.7</v>
      </c>
      <c r="AC407" s="2" t="s">
        <v>231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231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>
        <v>6</v>
      </c>
      <c r="BK407" s="8">
        <v>850.5</v>
      </c>
      <c r="BL407" s="2" t="s">
        <v>1306</v>
      </c>
      <c r="BM407" s="7"/>
      <c r="BN407" s="7"/>
      <c r="BO407" s="4"/>
      <c r="BP407" s="8"/>
      <c r="BQ407" s="4"/>
      <c r="BR407" s="8"/>
      <c r="BS407" s="7"/>
      <c r="BT407" s="7"/>
      <c r="BU407" s="2" t="s">
        <v>2501</v>
      </c>
      <c r="BV407" s="2" t="s">
        <v>231</v>
      </c>
      <c r="BW407" s="2" t="s">
        <v>231</v>
      </c>
      <c r="BX407" s="2" t="s">
        <v>231</v>
      </c>
      <c r="BY407" s="2" t="s">
        <v>277</v>
      </c>
      <c r="BZ407" s="2" t="s">
        <v>243</v>
      </c>
      <c r="CA407" s="2" t="s">
        <v>2502</v>
      </c>
      <c r="CB407" s="2" t="s">
        <v>2503</v>
      </c>
      <c r="CC407" s="2" t="s">
        <v>244</v>
      </c>
      <c r="CD407" s="2" t="s">
        <v>231</v>
      </c>
      <c r="CE407" s="4"/>
      <c r="CF407" s="4">
        <v>52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</row>
    <row r="408">
      <c r="A408" s="2" t="s">
        <v>2504</v>
      </c>
      <c r="B408" s="2" t="s">
        <v>226</v>
      </c>
      <c r="C408" s="2" t="s">
        <v>288</v>
      </c>
      <c r="D408" s="2" t="s">
        <v>654</v>
      </c>
      <c r="E408" s="2" t="s">
        <v>890</v>
      </c>
      <c r="F408" s="2" t="s">
        <v>2505</v>
      </c>
      <c r="G408" s="2" t="s">
        <v>2506</v>
      </c>
      <c r="H408" s="2" t="s">
        <v>2506</v>
      </c>
      <c r="I408" s="2" t="s">
        <v>2507</v>
      </c>
      <c r="J408" s="2" t="s">
        <v>658</v>
      </c>
      <c r="K408" s="2" t="s">
        <v>253</v>
      </c>
      <c r="L408" s="3">
        <v>52.38</v>
      </c>
      <c r="M408" s="3">
        <v>55</v>
      </c>
      <c r="N408" s="3">
        <v>109.99</v>
      </c>
      <c r="O408" s="2" t="s">
        <v>243</v>
      </c>
      <c r="P408" s="2" t="s">
        <v>270</v>
      </c>
      <c r="Q408" s="2" t="s">
        <v>237</v>
      </c>
      <c r="R408" s="2" t="s">
        <v>231</v>
      </c>
      <c r="S408" s="2" t="s">
        <v>2508</v>
      </c>
      <c r="T408" s="2" t="s">
        <v>895</v>
      </c>
      <c r="U408" s="2" t="s">
        <v>835</v>
      </c>
      <c r="V408" s="2" t="s">
        <v>239</v>
      </c>
      <c r="W408" s="2" t="s">
        <v>299</v>
      </c>
      <c r="X408" s="2" t="s">
        <v>273</v>
      </c>
      <c r="Y408" s="2" t="s">
        <v>2509</v>
      </c>
      <c r="Z408" s="4">
        <v>340</v>
      </c>
      <c r="AA408" s="4">
        <f>=ROUNDDOWN(68,0)</f>
      </c>
      <c r="AB408" s="5">
        <v>5</v>
      </c>
      <c r="AC408" s="2" t="s">
        <v>2510</v>
      </c>
      <c r="AD408" s="4">
        <v>190</v>
      </c>
      <c r="AE408" s="4">
        <v>190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231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231</v>
      </c>
      <c r="AW408" s="8" t="s">
        <v>231</v>
      </c>
      <c r="AX408" s="4" t="s">
        <v>231</v>
      </c>
      <c r="AY408" s="8" t="s">
        <v>231</v>
      </c>
      <c r="AZ408" s="7" t="s">
        <v>231</v>
      </c>
      <c r="BA408" s="7" t="s">
        <v>231</v>
      </c>
      <c r="BB408" s="7"/>
      <c r="BC408" s="4" t="s">
        <v>231</v>
      </c>
      <c r="BD408" s="8" t="s">
        <v>231</v>
      </c>
      <c r="BE408" s="4" t="s">
        <v>231</v>
      </c>
      <c r="BF408" s="8" t="s">
        <v>231</v>
      </c>
      <c r="BG408" s="7" t="s">
        <v>231</v>
      </c>
      <c r="BH408" s="7" t="s">
        <v>231</v>
      </c>
      <c r="BI408" s="7"/>
      <c r="BJ408" s="4">
        <v>22</v>
      </c>
      <c r="BK408" s="8">
        <v>1172.6</v>
      </c>
      <c r="BL408" s="2" t="s">
        <v>349</v>
      </c>
      <c r="BM408" s="7"/>
      <c r="BN408" s="7"/>
      <c r="BO408" s="4"/>
      <c r="BP408" s="8"/>
      <c r="BQ408" s="4"/>
      <c r="BR408" s="8"/>
      <c r="BS408" s="7"/>
      <c r="BT408" s="7"/>
      <c r="BU408" s="2" t="s">
        <v>2511</v>
      </c>
      <c r="BV408" s="2" t="s">
        <v>231</v>
      </c>
      <c r="BW408" s="2" t="s">
        <v>231</v>
      </c>
      <c r="BX408" s="2" t="s">
        <v>231</v>
      </c>
      <c r="BY408" s="2" t="s">
        <v>277</v>
      </c>
      <c r="BZ408" s="2" t="s">
        <v>243</v>
      </c>
      <c r="CA408" s="2" t="s">
        <v>671</v>
      </c>
      <c r="CB408" s="2" t="s">
        <v>2512</v>
      </c>
      <c r="CC408" s="2" t="s">
        <v>244</v>
      </c>
      <c r="CD408" s="2" t="s">
        <v>231</v>
      </c>
      <c r="CE408" s="4">
        <v>340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>
        <v>190</v>
      </c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</row>
    <row r="409">
      <c r="A409" s="2" t="s">
        <v>2513</v>
      </c>
      <c r="B409" s="2" t="s">
        <v>226</v>
      </c>
      <c r="C409" s="2" t="s">
        <v>288</v>
      </c>
      <c r="D409" s="2" t="s">
        <v>654</v>
      </c>
      <c r="E409" s="2" t="s">
        <v>890</v>
      </c>
      <c r="F409" s="2" t="s">
        <v>2505</v>
      </c>
      <c r="G409" s="2" t="s">
        <v>2506</v>
      </c>
      <c r="H409" s="2" t="s">
        <v>2506</v>
      </c>
      <c r="I409" s="2" t="s">
        <v>2507</v>
      </c>
      <c r="J409" s="2" t="s">
        <v>669</v>
      </c>
      <c r="K409" s="2" t="s">
        <v>253</v>
      </c>
      <c r="L409" s="3">
        <v>61.9</v>
      </c>
      <c r="M409" s="3">
        <v>65</v>
      </c>
      <c r="N409" s="3">
        <v>129.99</v>
      </c>
      <c r="O409" s="2" t="s">
        <v>243</v>
      </c>
      <c r="P409" s="2" t="s">
        <v>270</v>
      </c>
      <c r="Q409" s="2" t="s">
        <v>237</v>
      </c>
      <c r="R409" s="2" t="s">
        <v>231</v>
      </c>
      <c r="S409" s="2" t="s">
        <v>2508</v>
      </c>
      <c r="T409" s="2" t="s">
        <v>895</v>
      </c>
      <c r="U409" s="2" t="s">
        <v>835</v>
      </c>
      <c r="V409" s="2" t="s">
        <v>239</v>
      </c>
      <c r="W409" s="2" t="s">
        <v>299</v>
      </c>
      <c r="X409" s="2" t="s">
        <v>273</v>
      </c>
      <c r="Y409" s="2" t="s">
        <v>2509</v>
      </c>
      <c r="Z409" s="4">
        <v>173</v>
      </c>
      <c r="AA409" s="4">
        <f>=ROUNDDOWN(34.6,0)</f>
      </c>
      <c r="AB409" s="5">
        <v>5</v>
      </c>
      <c r="AC409" s="2" t="s">
        <v>2510</v>
      </c>
      <c r="AD409" s="4">
        <v>140</v>
      </c>
      <c r="AE409" s="4">
        <v>140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231</v>
      </c>
      <c r="AW409" s="8" t="s">
        <v>231</v>
      </c>
      <c r="AX409" s="4" t="s">
        <v>231</v>
      </c>
      <c r="AY409" s="8" t="s">
        <v>231</v>
      </c>
      <c r="AZ409" s="7" t="s">
        <v>231</v>
      </c>
      <c r="BA409" s="7" t="s">
        <v>231</v>
      </c>
      <c r="BB409" s="7"/>
      <c r="BC409" s="4" t="s">
        <v>231</v>
      </c>
      <c r="BD409" s="8" t="s">
        <v>231</v>
      </c>
      <c r="BE409" s="4" t="s">
        <v>231</v>
      </c>
      <c r="BF409" s="8" t="s">
        <v>231</v>
      </c>
      <c r="BG409" s="7" t="s">
        <v>231</v>
      </c>
      <c r="BH409" s="7" t="s">
        <v>231</v>
      </c>
      <c r="BI409" s="7"/>
      <c r="BJ409" s="4">
        <v>10</v>
      </c>
      <c r="BK409" s="8">
        <v>666.83</v>
      </c>
      <c r="BL409" s="2" t="s">
        <v>399</v>
      </c>
      <c r="BM409" s="7"/>
      <c r="BN409" s="7"/>
      <c r="BO409" s="4"/>
      <c r="BP409" s="8"/>
      <c r="BQ409" s="4"/>
      <c r="BR409" s="8"/>
      <c r="BS409" s="7"/>
      <c r="BT409" s="7"/>
      <c r="BU409" s="2" t="s">
        <v>2514</v>
      </c>
      <c r="BV409" s="2" t="s">
        <v>231</v>
      </c>
      <c r="BW409" s="2" t="s">
        <v>231</v>
      </c>
      <c r="BX409" s="2" t="s">
        <v>231</v>
      </c>
      <c r="BY409" s="2" t="s">
        <v>277</v>
      </c>
      <c r="BZ409" s="2" t="s">
        <v>243</v>
      </c>
      <c r="CA409" s="2" t="s">
        <v>671</v>
      </c>
      <c r="CB409" s="2" t="s">
        <v>2515</v>
      </c>
      <c r="CC409" s="2" t="s">
        <v>244</v>
      </c>
      <c r="CD409" s="2" t="s">
        <v>231</v>
      </c>
      <c r="CE409" s="4">
        <v>173</v>
      </c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>
        <v>140</v>
      </c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</row>
    <row r="410">
      <c r="A410" s="2" t="s">
        <v>2516</v>
      </c>
      <c r="B410" s="2" t="s">
        <v>801</v>
      </c>
      <c r="C410" s="2" t="s">
        <v>815</v>
      </c>
      <c r="D410" s="2" t="s">
        <v>803</v>
      </c>
      <c r="E410" s="2" t="s">
        <v>804</v>
      </c>
      <c r="F410" s="2" t="s">
        <v>1053</v>
      </c>
      <c r="G410" s="2" t="s">
        <v>1053</v>
      </c>
      <c r="H410" s="2" t="s">
        <v>1053</v>
      </c>
      <c r="I410" s="2" t="s">
        <v>2517</v>
      </c>
      <c r="J410" s="2" t="s">
        <v>807</v>
      </c>
      <c r="K410" s="2" t="s">
        <v>2518</v>
      </c>
      <c r="L410" s="3">
        <v>103.68</v>
      </c>
      <c r="M410" s="3">
        <v>108.86</v>
      </c>
      <c r="N410" s="3">
        <v>239.99</v>
      </c>
      <c r="O410" s="2" t="s">
        <v>243</v>
      </c>
      <c r="P410" s="2" t="s">
        <v>341</v>
      </c>
      <c r="Q410" s="2" t="s">
        <v>237</v>
      </c>
      <c r="R410" s="2" t="s">
        <v>231</v>
      </c>
      <c r="S410" s="2" t="s">
        <v>231</v>
      </c>
      <c r="T410" s="2" t="s">
        <v>231</v>
      </c>
      <c r="U410" s="2" t="s">
        <v>327</v>
      </c>
      <c r="V410" s="2" t="s">
        <v>662</v>
      </c>
      <c r="W410" s="2" t="s">
        <v>691</v>
      </c>
      <c r="X410" s="2" t="s">
        <v>231</v>
      </c>
      <c r="Y410" s="2" t="s">
        <v>2233</v>
      </c>
      <c r="Z410" s="4">
        <v>41</v>
      </c>
      <c r="AA410" s="4">
        <f>=ROUNDDOWN(13.6666666666667,0)</f>
      </c>
      <c r="AB410" s="5">
        <v>3</v>
      </c>
      <c r="AC410" s="2" t="s">
        <v>231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231</v>
      </c>
      <c r="BD410" s="8" t="s">
        <v>231</v>
      </c>
      <c r="BE410" s="4" t="s">
        <v>231</v>
      </c>
      <c r="BF410" s="8" t="s">
        <v>231</v>
      </c>
      <c r="BG410" s="7" t="s">
        <v>231</v>
      </c>
      <c r="BH410" s="7" t="s">
        <v>231</v>
      </c>
      <c r="BI410" s="7"/>
      <c r="BJ410" s="4">
        <v>10</v>
      </c>
      <c r="BK410" s="8">
        <v>617.74</v>
      </c>
      <c r="BL410" s="2" t="s">
        <v>2519</v>
      </c>
      <c r="BM410" s="7"/>
      <c r="BN410" s="7"/>
      <c r="BO410" s="4"/>
      <c r="BP410" s="8"/>
      <c r="BQ410" s="4"/>
      <c r="BR410" s="8"/>
      <c r="BS410" s="7"/>
      <c r="BT410" s="7"/>
      <c r="BU410" s="2" t="s">
        <v>2520</v>
      </c>
      <c r="BV410" s="2" t="s">
        <v>231</v>
      </c>
      <c r="BW410" s="2" t="s">
        <v>231</v>
      </c>
      <c r="BX410" s="2" t="s">
        <v>231</v>
      </c>
      <c r="BY410" s="2" t="s">
        <v>277</v>
      </c>
      <c r="BZ410" s="2" t="s">
        <v>243</v>
      </c>
      <c r="CA410" s="2" t="s">
        <v>2521</v>
      </c>
      <c r="CB410" s="2" t="s">
        <v>1999</v>
      </c>
      <c r="CC410" s="2" t="s">
        <v>244</v>
      </c>
      <c r="CD410" s="2" t="s">
        <v>231</v>
      </c>
      <c r="CE410" s="4"/>
      <c r="CF410" s="4">
        <v>41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</row>
    <row r="411">
      <c r="A411" s="2" t="s">
        <v>2522</v>
      </c>
      <c r="B411" s="2" t="s">
        <v>1004</v>
      </c>
      <c r="C411" s="2" t="s">
        <v>1105</v>
      </c>
      <c r="D411" s="2" t="s">
        <v>1912</v>
      </c>
      <c r="E411" s="2" t="s">
        <v>2523</v>
      </c>
      <c r="F411" s="2" t="s">
        <v>1053</v>
      </c>
      <c r="G411" s="2" t="s">
        <v>1053</v>
      </c>
      <c r="H411" s="2" t="s">
        <v>1053</v>
      </c>
      <c r="I411" s="2" t="s">
        <v>2524</v>
      </c>
      <c r="J411" s="2" t="s">
        <v>807</v>
      </c>
      <c r="K411" s="2" t="s">
        <v>747</v>
      </c>
      <c r="L411" s="3">
        <v>83.6</v>
      </c>
      <c r="M411" s="3">
        <v>87.78</v>
      </c>
      <c r="N411" s="3">
        <v>179</v>
      </c>
      <c r="O411" s="2" t="s">
        <v>243</v>
      </c>
      <c r="P411" s="2" t="s">
        <v>236</v>
      </c>
      <c r="Q411" s="2" t="s">
        <v>237</v>
      </c>
      <c r="R411" s="2" t="s">
        <v>231</v>
      </c>
      <c r="S411" s="2" t="s">
        <v>231</v>
      </c>
      <c r="T411" s="2" t="s">
        <v>231</v>
      </c>
      <c r="U411" s="2" t="s">
        <v>327</v>
      </c>
      <c r="V411" s="2" t="s">
        <v>662</v>
      </c>
      <c r="W411" s="2" t="s">
        <v>792</v>
      </c>
      <c r="X411" s="2" t="s">
        <v>691</v>
      </c>
      <c r="Y411" s="2" t="s">
        <v>2525</v>
      </c>
      <c r="Z411" s="4">
        <v>157</v>
      </c>
      <c r="AA411" s="4">
        <f>=ROUNDDOWN(157,0)</f>
      </c>
      <c r="AB411" s="5">
        <v>1</v>
      </c>
      <c r="AC411" s="2" t="s">
        <v>231</v>
      </c>
      <c r="AD411" s="4"/>
      <c r="AE411" s="4"/>
      <c r="AF411" s="6">
        <v>74</v>
      </c>
      <c r="AG411" s="6"/>
      <c r="AH411" s="7">
        <v>1</v>
      </c>
      <c r="AI411" s="4"/>
      <c r="AJ411" s="4">
        <f>=ROUNDDOWN({0},0)</f>
      </c>
      <c r="AK411" s="5"/>
      <c r="AL411" s="2" t="s">
        <v>231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231</v>
      </c>
      <c r="BD411" s="8" t="s">
        <v>231</v>
      </c>
      <c r="BE411" s="4" t="s">
        <v>231</v>
      </c>
      <c r="BF411" s="8" t="s">
        <v>231</v>
      </c>
      <c r="BG411" s="7" t="s">
        <v>231</v>
      </c>
      <c r="BH411" s="7" t="s">
        <v>231</v>
      </c>
      <c r="BI411" s="7"/>
      <c r="BJ411" s="4">
        <v>2</v>
      </c>
      <c r="BK411" s="8">
        <v>198.29</v>
      </c>
      <c r="BL411" s="2" t="s">
        <v>2526</v>
      </c>
      <c r="BM411" s="7"/>
      <c r="BN411" s="7"/>
      <c r="BO411" s="4"/>
      <c r="BP411" s="8"/>
      <c r="BQ411" s="4"/>
      <c r="BR411" s="8"/>
      <c r="BS411" s="7"/>
      <c r="BT411" s="7"/>
      <c r="BU411" s="2" t="s">
        <v>241</v>
      </c>
      <c r="BV411" s="2" t="s">
        <v>231</v>
      </c>
      <c r="BW411" s="2" t="s">
        <v>231</v>
      </c>
      <c r="BX411" s="2" t="s">
        <v>1812</v>
      </c>
      <c r="BY411" s="2" t="s">
        <v>2527</v>
      </c>
      <c r="BZ411" s="2" t="s">
        <v>243</v>
      </c>
      <c r="CA411" s="2" t="s">
        <v>231</v>
      </c>
      <c r="CB411" s="2" t="s">
        <v>231</v>
      </c>
      <c r="CC411" s="2" t="s">
        <v>244</v>
      </c>
      <c r="CD411" s="2" t="s">
        <v>231</v>
      </c>
      <c r="CE411" s="4"/>
      <c r="CF411" s="4">
        <v>157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</row>
    <row r="412">
      <c r="A412" s="2" t="s">
        <v>2528</v>
      </c>
      <c r="B412" s="2" t="s">
        <v>1004</v>
      </c>
      <c r="C412" s="2" t="s">
        <v>1105</v>
      </c>
      <c r="D412" s="2" t="s">
        <v>1912</v>
      </c>
      <c r="E412" s="2" t="s">
        <v>2523</v>
      </c>
      <c r="F412" s="2" t="s">
        <v>1053</v>
      </c>
      <c r="G412" s="2" t="s">
        <v>1053</v>
      </c>
      <c r="H412" s="2" t="s">
        <v>1053</v>
      </c>
      <c r="I412" s="2" t="s">
        <v>2524</v>
      </c>
      <c r="J412" s="2" t="s">
        <v>807</v>
      </c>
      <c r="K412" s="2" t="s">
        <v>2529</v>
      </c>
      <c r="L412" s="3">
        <v>83.6</v>
      </c>
      <c r="M412" s="3">
        <v>87.78</v>
      </c>
      <c r="N412" s="3">
        <v>179</v>
      </c>
      <c r="O412" s="2" t="s">
        <v>243</v>
      </c>
      <c r="P412" s="2" t="s">
        <v>236</v>
      </c>
      <c r="Q412" s="2" t="s">
        <v>237</v>
      </c>
      <c r="R412" s="2" t="s">
        <v>231</v>
      </c>
      <c r="S412" s="2" t="s">
        <v>231</v>
      </c>
      <c r="T412" s="2" t="s">
        <v>231</v>
      </c>
      <c r="U412" s="2" t="s">
        <v>327</v>
      </c>
      <c r="V412" s="2" t="s">
        <v>662</v>
      </c>
      <c r="W412" s="2" t="s">
        <v>792</v>
      </c>
      <c r="X412" s="2" t="s">
        <v>691</v>
      </c>
      <c r="Y412" s="2" t="s">
        <v>231</v>
      </c>
      <c r="Z412" s="4"/>
      <c r="AA412" s="4">
        <f>=ROUNDDOWN({0},0)</f>
      </c>
      <c r="AB412" s="5">
        <v>8</v>
      </c>
      <c r="AC412" s="2" t="s">
        <v>2530</v>
      </c>
      <c r="AD412" s="4">
        <v>99</v>
      </c>
      <c r="AE412" s="4">
        <v>100</v>
      </c>
      <c r="AF412" s="6">
        <v>74</v>
      </c>
      <c r="AG412" s="6"/>
      <c r="AH412" s="7">
        <v>0</v>
      </c>
      <c r="AI412" s="4"/>
      <c r="AJ412" s="4">
        <f>=ROUNDDOWN({0},0)</f>
      </c>
      <c r="AK412" s="5"/>
      <c r="AL412" s="2" t="s">
        <v>231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231</v>
      </c>
      <c r="BD412" s="8" t="s">
        <v>231</v>
      </c>
      <c r="BE412" s="4" t="s">
        <v>231</v>
      </c>
      <c r="BF412" s="8" t="s">
        <v>231</v>
      </c>
      <c r="BG412" s="7" t="s">
        <v>231</v>
      </c>
      <c r="BH412" s="7" t="s">
        <v>231</v>
      </c>
      <c r="BI412" s="7"/>
      <c r="BJ412" s="4"/>
      <c r="BK412" s="8"/>
      <c r="BL412" s="2" t="s">
        <v>231</v>
      </c>
      <c r="BM412" s="7"/>
      <c r="BN412" s="7"/>
      <c r="BO412" s="4"/>
      <c r="BP412" s="8"/>
      <c r="BQ412" s="4"/>
      <c r="BR412" s="8"/>
      <c r="BS412" s="7"/>
      <c r="BT412" s="7"/>
      <c r="BU412" s="2" t="s">
        <v>241</v>
      </c>
      <c r="BV412" s="2" t="s">
        <v>231</v>
      </c>
      <c r="BW412" s="2" t="s">
        <v>231</v>
      </c>
      <c r="BX412" s="2" t="s">
        <v>1812</v>
      </c>
      <c r="BY412" s="2" t="s">
        <v>2527</v>
      </c>
      <c r="BZ412" s="2" t="s">
        <v>243</v>
      </c>
      <c r="CA412" s="2" t="s">
        <v>231</v>
      </c>
      <c r="CB412" s="2" t="s">
        <v>231</v>
      </c>
      <c r="CC412" s="2" t="s">
        <v>244</v>
      </c>
      <c r="CD412" s="2" t="s">
        <v>231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>
        <v>99</v>
      </c>
      <c r="FC412" s="4"/>
      <c r="FD412" s="4"/>
      <c r="FE412" s="4"/>
      <c r="FF412" s="4"/>
      <c r="FG412" s="4"/>
      <c r="FH412" s="4">
        <v>1</v>
      </c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</row>
    <row r="413">
      <c r="A413" s="2" t="s">
        <v>2531</v>
      </c>
      <c r="B413" s="2" t="s">
        <v>1004</v>
      </c>
      <c r="C413" s="2" t="s">
        <v>1105</v>
      </c>
      <c r="D413" s="2" t="s">
        <v>1912</v>
      </c>
      <c r="E413" s="2" t="s">
        <v>2523</v>
      </c>
      <c r="F413" s="2" t="s">
        <v>1053</v>
      </c>
      <c r="G413" s="2" t="s">
        <v>1053</v>
      </c>
      <c r="H413" s="2" t="s">
        <v>1053</v>
      </c>
      <c r="I413" s="2" t="s">
        <v>2524</v>
      </c>
      <c r="J413" s="2" t="s">
        <v>807</v>
      </c>
      <c r="K413" s="2" t="s">
        <v>2532</v>
      </c>
      <c r="L413" s="3">
        <v>83.6</v>
      </c>
      <c r="M413" s="3">
        <v>87.78</v>
      </c>
      <c r="N413" s="3">
        <v>179</v>
      </c>
      <c r="O413" s="2" t="s">
        <v>243</v>
      </c>
      <c r="P413" s="2" t="s">
        <v>236</v>
      </c>
      <c r="Q413" s="2" t="s">
        <v>237</v>
      </c>
      <c r="R413" s="2" t="s">
        <v>231</v>
      </c>
      <c r="S413" s="2" t="s">
        <v>231</v>
      </c>
      <c r="T413" s="2" t="s">
        <v>231</v>
      </c>
      <c r="U413" s="2" t="s">
        <v>327</v>
      </c>
      <c r="V413" s="2" t="s">
        <v>662</v>
      </c>
      <c r="W413" s="2" t="s">
        <v>792</v>
      </c>
      <c r="X413" s="2" t="s">
        <v>691</v>
      </c>
      <c r="Y413" s="2" t="s">
        <v>231</v>
      </c>
      <c r="Z413" s="4"/>
      <c r="AA413" s="4">
        <f>=ROUNDDOWN({0},0)</f>
      </c>
      <c r="AB413" s="5">
        <v>4</v>
      </c>
      <c r="AC413" s="2" t="s">
        <v>1079</v>
      </c>
      <c r="AD413" s="4">
        <v>99</v>
      </c>
      <c r="AE413" s="4">
        <v>100</v>
      </c>
      <c r="AF413" s="6">
        <v>74</v>
      </c>
      <c r="AG413" s="6"/>
      <c r="AH413" s="7">
        <v>0</v>
      </c>
      <c r="AI413" s="4"/>
      <c r="AJ413" s="4">
        <f>=ROUNDDOWN({0},0)</f>
      </c>
      <c r="AK413" s="5"/>
      <c r="AL413" s="2" t="s">
        <v>231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231</v>
      </c>
      <c r="BD413" s="8" t="s">
        <v>231</v>
      </c>
      <c r="BE413" s="4" t="s">
        <v>231</v>
      </c>
      <c r="BF413" s="8" t="s">
        <v>231</v>
      </c>
      <c r="BG413" s="7" t="s">
        <v>231</v>
      </c>
      <c r="BH413" s="7" t="s">
        <v>231</v>
      </c>
      <c r="BI413" s="7"/>
      <c r="BJ413" s="4"/>
      <c r="BK413" s="8"/>
      <c r="BL413" s="2" t="s">
        <v>231</v>
      </c>
      <c r="BM413" s="7"/>
      <c r="BN413" s="7"/>
      <c r="BO413" s="4"/>
      <c r="BP413" s="8"/>
      <c r="BQ413" s="4"/>
      <c r="BR413" s="8"/>
      <c r="BS413" s="7"/>
      <c r="BT413" s="7"/>
      <c r="BU413" s="2" t="s">
        <v>241</v>
      </c>
      <c r="BV413" s="2" t="s">
        <v>231</v>
      </c>
      <c r="BW413" s="2" t="s">
        <v>231</v>
      </c>
      <c r="BX413" s="2" t="s">
        <v>1812</v>
      </c>
      <c r="BY413" s="2" t="s">
        <v>242</v>
      </c>
      <c r="BZ413" s="2" t="s">
        <v>243</v>
      </c>
      <c r="CA413" s="2" t="s">
        <v>231</v>
      </c>
      <c r="CB413" s="2" t="s">
        <v>231</v>
      </c>
      <c r="CC413" s="2" t="s">
        <v>244</v>
      </c>
      <c r="CD413" s="2" t="s">
        <v>231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>
        <v>99</v>
      </c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>
        <v>1</v>
      </c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</row>
    <row r="414">
      <c r="A414" s="2" t="s">
        <v>2533</v>
      </c>
      <c r="B414" s="2" t="s">
        <v>1004</v>
      </c>
      <c r="C414" s="2" t="s">
        <v>1105</v>
      </c>
      <c r="D414" s="2" t="s">
        <v>1912</v>
      </c>
      <c r="E414" s="2" t="s">
        <v>2523</v>
      </c>
      <c r="F414" s="2" t="s">
        <v>1053</v>
      </c>
      <c r="G414" s="2" t="s">
        <v>1053</v>
      </c>
      <c r="H414" s="2" t="s">
        <v>1053</v>
      </c>
      <c r="I414" s="2" t="s">
        <v>2524</v>
      </c>
      <c r="J414" s="2" t="s">
        <v>807</v>
      </c>
      <c r="K414" s="2" t="s">
        <v>452</v>
      </c>
      <c r="L414" s="3">
        <v>83.6</v>
      </c>
      <c r="M414" s="3">
        <v>87.78</v>
      </c>
      <c r="N414" s="3">
        <v>179</v>
      </c>
      <c r="O414" s="2" t="s">
        <v>243</v>
      </c>
      <c r="P414" s="2" t="s">
        <v>341</v>
      </c>
      <c r="Q414" s="2" t="s">
        <v>237</v>
      </c>
      <c r="R414" s="2" t="s">
        <v>231</v>
      </c>
      <c r="S414" s="2" t="s">
        <v>231</v>
      </c>
      <c r="T414" s="2" t="s">
        <v>231</v>
      </c>
      <c r="U414" s="2" t="s">
        <v>327</v>
      </c>
      <c r="V414" s="2" t="s">
        <v>662</v>
      </c>
      <c r="W414" s="2" t="s">
        <v>792</v>
      </c>
      <c r="X414" s="2" t="s">
        <v>691</v>
      </c>
      <c r="Y414" s="2" t="s">
        <v>666</v>
      </c>
      <c r="Z414" s="4">
        <v>48</v>
      </c>
      <c r="AA414" s="4">
        <f>=ROUNDDOWN(16,0)</f>
      </c>
      <c r="AB414" s="5">
        <v>3</v>
      </c>
      <c r="AC414" s="2" t="s">
        <v>231</v>
      </c>
      <c r="AD414" s="4"/>
      <c r="AE414" s="4"/>
      <c r="AF414" s="6">
        <v>74</v>
      </c>
      <c r="AG414" s="6"/>
      <c r="AH414" s="7">
        <v>1</v>
      </c>
      <c r="AI414" s="4"/>
      <c r="AJ414" s="4">
        <f>=ROUNDDOWN({0},0)</f>
      </c>
      <c r="AK414" s="5"/>
      <c r="AL414" s="2" t="s">
        <v>231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231</v>
      </c>
      <c r="BD414" s="8" t="s">
        <v>231</v>
      </c>
      <c r="BE414" s="4" t="s">
        <v>231</v>
      </c>
      <c r="BF414" s="8" t="s">
        <v>231</v>
      </c>
      <c r="BG414" s="7" t="s">
        <v>231</v>
      </c>
      <c r="BH414" s="7" t="s">
        <v>231</v>
      </c>
      <c r="BI414" s="7"/>
      <c r="BJ414" s="4">
        <v>11</v>
      </c>
      <c r="BK414" s="8">
        <v>1003.11</v>
      </c>
      <c r="BL414" s="2" t="s">
        <v>2534</v>
      </c>
      <c r="BM414" s="7"/>
      <c r="BN414" s="7"/>
      <c r="BO414" s="4"/>
      <c r="BP414" s="8"/>
      <c r="BQ414" s="4"/>
      <c r="BR414" s="8"/>
      <c r="BS414" s="7"/>
      <c r="BT414" s="7"/>
      <c r="BU414" s="2" t="s">
        <v>2535</v>
      </c>
      <c r="BV414" s="2" t="s">
        <v>231</v>
      </c>
      <c r="BW414" s="2" t="s">
        <v>231</v>
      </c>
      <c r="BX414" s="2" t="s">
        <v>241</v>
      </c>
      <c r="BY414" s="2" t="s">
        <v>277</v>
      </c>
      <c r="BZ414" s="2" t="s">
        <v>243</v>
      </c>
      <c r="CA414" s="2" t="s">
        <v>2536</v>
      </c>
      <c r="CB414" s="2" t="s">
        <v>640</v>
      </c>
      <c r="CC414" s="2" t="s">
        <v>244</v>
      </c>
      <c r="CD414" s="2" t="s">
        <v>231</v>
      </c>
      <c r="CE414" s="4"/>
      <c r="CF414" s="4">
        <v>48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</row>
    <row r="415">
      <c r="A415" s="2" t="s">
        <v>2537</v>
      </c>
      <c r="B415" s="2" t="s">
        <v>1004</v>
      </c>
      <c r="C415" s="2" t="s">
        <v>815</v>
      </c>
      <c r="D415" s="2" t="s">
        <v>1689</v>
      </c>
      <c r="E415" s="2" t="s">
        <v>2538</v>
      </c>
      <c r="F415" s="2" t="s">
        <v>2539</v>
      </c>
      <c r="G415" s="2" t="s">
        <v>2539</v>
      </c>
      <c r="H415" s="2" t="s">
        <v>2539</v>
      </c>
      <c r="I415" s="2" t="s">
        <v>2540</v>
      </c>
      <c r="J415" s="2" t="s">
        <v>807</v>
      </c>
      <c r="K415" s="2" t="s">
        <v>1496</v>
      </c>
      <c r="L415" s="3">
        <v>262.38</v>
      </c>
      <c r="M415" s="3">
        <v>275.5</v>
      </c>
      <c r="N415" s="3">
        <v>549</v>
      </c>
      <c r="O415" s="2" t="s">
        <v>243</v>
      </c>
      <c r="P415" s="2" t="s">
        <v>341</v>
      </c>
      <c r="Q415" s="2" t="s">
        <v>237</v>
      </c>
      <c r="R415" s="2" t="s">
        <v>231</v>
      </c>
      <c r="S415" s="2" t="s">
        <v>231</v>
      </c>
      <c r="T415" s="2" t="s">
        <v>231</v>
      </c>
      <c r="U415" s="2" t="s">
        <v>327</v>
      </c>
      <c r="V415" s="2" t="s">
        <v>239</v>
      </c>
      <c r="W415" s="2" t="s">
        <v>691</v>
      </c>
      <c r="X415" s="2" t="s">
        <v>2541</v>
      </c>
      <c r="Y415" s="2" t="s">
        <v>2542</v>
      </c>
      <c r="Z415" s="4">
        <v>122</v>
      </c>
      <c r="AA415" s="4">
        <f>=ROUNDDOWN(122,0)</f>
      </c>
      <c r="AB415" s="5">
        <v>1</v>
      </c>
      <c r="AC415" s="2" t="s">
        <v>231</v>
      </c>
      <c r="AD415" s="4"/>
      <c r="AE415" s="4"/>
      <c r="AF415" s="6">
        <v>76</v>
      </c>
      <c r="AG415" s="6"/>
      <c r="AH415" s="7">
        <v>1</v>
      </c>
      <c r="AI415" s="4"/>
      <c r="AJ415" s="4">
        <f>=ROUNDDOWN({0},0)</f>
      </c>
      <c r="AK415" s="5"/>
      <c r="AL415" s="2" t="s">
        <v>231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231</v>
      </c>
      <c r="BD415" s="8" t="s">
        <v>231</v>
      </c>
      <c r="BE415" s="4" t="s">
        <v>231</v>
      </c>
      <c r="BF415" s="8" t="s">
        <v>231</v>
      </c>
      <c r="BG415" s="7" t="s">
        <v>231</v>
      </c>
      <c r="BH415" s="7" t="s">
        <v>231</v>
      </c>
      <c r="BI415" s="7"/>
      <c r="BJ415" s="4">
        <v>1</v>
      </c>
      <c r="BK415" s="8">
        <v>388.19</v>
      </c>
      <c r="BL415" s="2" t="s">
        <v>1306</v>
      </c>
      <c r="BM415" s="7"/>
      <c r="BN415" s="7"/>
      <c r="BO415" s="4"/>
      <c r="BP415" s="8"/>
      <c r="BQ415" s="4"/>
      <c r="BR415" s="8"/>
      <c r="BS415" s="7"/>
      <c r="BT415" s="7"/>
      <c r="BU415" s="2" t="s">
        <v>2543</v>
      </c>
      <c r="BV415" s="2" t="s">
        <v>231</v>
      </c>
      <c r="BW415" s="2" t="s">
        <v>231</v>
      </c>
      <c r="BX415" s="2" t="s">
        <v>241</v>
      </c>
      <c r="BY415" s="2" t="s">
        <v>277</v>
      </c>
      <c r="BZ415" s="2" t="s">
        <v>243</v>
      </c>
      <c r="CA415" s="2" t="s">
        <v>2544</v>
      </c>
      <c r="CB415" s="2" t="s">
        <v>2403</v>
      </c>
      <c r="CC415" s="2" t="s">
        <v>244</v>
      </c>
      <c r="CD415" s="2" t="s">
        <v>231</v>
      </c>
      <c r="CE415" s="4"/>
      <c r="CF415" s="4">
        <v>122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</row>
    <row r="416">
      <c r="A416" s="2" t="s">
        <v>2545</v>
      </c>
      <c r="B416" s="2" t="s">
        <v>824</v>
      </c>
      <c r="C416" s="2" t="s">
        <v>825</v>
      </c>
      <c r="D416" s="2" t="s">
        <v>826</v>
      </c>
      <c r="E416" s="2" t="s">
        <v>1060</v>
      </c>
      <c r="F416" s="2" t="s">
        <v>2539</v>
      </c>
      <c r="G416" s="2" t="s">
        <v>2546</v>
      </c>
      <c r="H416" s="2" t="s">
        <v>2547</v>
      </c>
      <c r="I416" s="2" t="s">
        <v>2548</v>
      </c>
      <c r="J416" s="2" t="s">
        <v>832</v>
      </c>
      <c r="K416" s="2" t="s">
        <v>2549</v>
      </c>
      <c r="L416" s="3">
        <v>14.28</v>
      </c>
      <c r="M416" s="3">
        <v>14.99</v>
      </c>
      <c r="N416" s="3">
        <v>29.99</v>
      </c>
      <c r="O416" s="2" t="s">
        <v>243</v>
      </c>
      <c r="P416" s="2" t="s">
        <v>236</v>
      </c>
      <c r="Q416" s="2" t="s">
        <v>237</v>
      </c>
      <c r="R416" s="2" t="s">
        <v>231</v>
      </c>
      <c r="S416" s="2" t="s">
        <v>2550</v>
      </c>
      <c r="T416" s="2" t="s">
        <v>472</v>
      </c>
      <c r="U416" s="2" t="s">
        <v>791</v>
      </c>
      <c r="V416" s="2" t="s">
        <v>1304</v>
      </c>
      <c r="W416" s="2" t="s">
        <v>273</v>
      </c>
      <c r="X416" s="2" t="s">
        <v>897</v>
      </c>
      <c r="Y416" s="2" t="s">
        <v>2551</v>
      </c>
      <c r="Z416" s="4">
        <v>103</v>
      </c>
      <c r="AA416" s="4">
        <f>=ROUNDDOWN(206,0)</f>
      </c>
      <c r="AB416" s="5">
        <v>0.5</v>
      </c>
      <c r="AC416" s="2" t="s">
        <v>231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231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231</v>
      </c>
      <c r="AW416" s="8" t="s">
        <v>231</v>
      </c>
      <c r="AX416" s="4" t="s">
        <v>231</v>
      </c>
      <c r="AY416" s="8" t="s">
        <v>231</v>
      </c>
      <c r="AZ416" s="7" t="s">
        <v>231</v>
      </c>
      <c r="BA416" s="7" t="s">
        <v>231</v>
      </c>
      <c r="BB416" s="7"/>
      <c r="BC416" s="4" t="s">
        <v>231</v>
      </c>
      <c r="BD416" s="8" t="s">
        <v>231</v>
      </c>
      <c r="BE416" s="4" t="s">
        <v>231</v>
      </c>
      <c r="BF416" s="8" t="s">
        <v>231</v>
      </c>
      <c r="BG416" s="7" t="s">
        <v>231</v>
      </c>
      <c r="BH416" s="7" t="s">
        <v>231</v>
      </c>
      <c r="BI416" s="7"/>
      <c r="BJ416" s="4">
        <v>2</v>
      </c>
      <c r="BK416" s="8">
        <v>32.38</v>
      </c>
      <c r="BL416" s="2" t="s">
        <v>465</v>
      </c>
      <c r="BM416" s="7"/>
      <c r="BN416" s="7"/>
      <c r="BO416" s="4"/>
      <c r="BP416" s="8"/>
      <c r="BQ416" s="4"/>
      <c r="BR416" s="8"/>
      <c r="BS416" s="7"/>
      <c r="BT416" s="7"/>
      <c r="BU416" s="2" t="s">
        <v>2552</v>
      </c>
      <c r="BV416" s="2" t="s">
        <v>231</v>
      </c>
      <c r="BW416" s="2" t="s">
        <v>231</v>
      </c>
      <c r="BX416" s="2" t="s">
        <v>241</v>
      </c>
      <c r="BY416" s="2" t="s">
        <v>277</v>
      </c>
      <c r="BZ416" s="2" t="s">
        <v>243</v>
      </c>
      <c r="CA416" s="2" t="s">
        <v>2553</v>
      </c>
      <c r="CB416" s="2" t="s">
        <v>231</v>
      </c>
      <c r="CC416" s="2" t="s">
        <v>244</v>
      </c>
      <c r="CD416" s="2" t="s">
        <v>231</v>
      </c>
      <c r="CE416" s="4">
        <v>103</v>
      </c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</row>
    <row r="417">
      <c r="A417" s="2" t="s">
        <v>2554</v>
      </c>
      <c r="B417" s="2" t="s">
        <v>824</v>
      </c>
      <c r="C417" s="2" t="s">
        <v>825</v>
      </c>
      <c r="D417" s="2" t="s">
        <v>826</v>
      </c>
      <c r="E417" s="2" t="s">
        <v>1060</v>
      </c>
      <c r="F417" s="2" t="s">
        <v>2539</v>
      </c>
      <c r="G417" s="2" t="s">
        <v>2546</v>
      </c>
      <c r="H417" s="2" t="s">
        <v>2547</v>
      </c>
      <c r="I417" s="2" t="s">
        <v>2548</v>
      </c>
      <c r="J417" s="2" t="s">
        <v>658</v>
      </c>
      <c r="K417" s="2" t="s">
        <v>2549</v>
      </c>
      <c r="L417" s="3">
        <v>19.04</v>
      </c>
      <c r="M417" s="3">
        <v>19.99</v>
      </c>
      <c r="N417" s="3">
        <v>39.99</v>
      </c>
      <c r="O417" s="2" t="s">
        <v>243</v>
      </c>
      <c r="P417" s="2" t="s">
        <v>236</v>
      </c>
      <c r="Q417" s="2" t="s">
        <v>237</v>
      </c>
      <c r="R417" s="2" t="s">
        <v>231</v>
      </c>
      <c r="S417" s="2" t="s">
        <v>2550</v>
      </c>
      <c r="T417" s="2" t="s">
        <v>472</v>
      </c>
      <c r="U417" s="2" t="s">
        <v>835</v>
      </c>
      <c r="V417" s="2" t="s">
        <v>1304</v>
      </c>
      <c r="W417" s="2" t="s">
        <v>273</v>
      </c>
      <c r="X417" s="2" t="s">
        <v>897</v>
      </c>
      <c r="Y417" s="2" t="s">
        <v>2551</v>
      </c>
      <c r="Z417" s="4">
        <v>127</v>
      </c>
      <c r="AA417" s="4">
        <f>=ROUNDDOWN(97.6923076923077,0)</f>
      </c>
      <c r="AB417" s="5">
        <v>1.3</v>
      </c>
      <c r="AC417" s="2" t="s">
        <v>231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231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231</v>
      </c>
      <c r="AW417" s="8" t="s">
        <v>231</v>
      </c>
      <c r="AX417" s="4" t="s">
        <v>231</v>
      </c>
      <c r="AY417" s="8" t="s">
        <v>231</v>
      </c>
      <c r="AZ417" s="7" t="s">
        <v>231</v>
      </c>
      <c r="BA417" s="7" t="s">
        <v>231</v>
      </c>
      <c r="BB417" s="7"/>
      <c r="BC417" s="4" t="s">
        <v>231</v>
      </c>
      <c r="BD417" s="8" t="s">
        <v>231</v>
      </c>
      <c r="BE417" s="4" t="s">
        <v>231</v>
      </c>
      <c r="BF417" s="8" t="s">
        <v>231</v>
      </c>
      <c r="BG417" s="7" t="s">
        <v>231</v>
      </c>
      <c r="BH417" s="7" t="s">
        <v>231</v>
      </c>
      <c r="BI417" s="7"/>
      <c r="BJ417" s="4">
        <v>6</v>
      </c>
      <c r="BK417" s="8">
        <v>128.94</v>
      </c>
      <c r="BL417" s="2" t="s">
        <v>924</v>
      </c>
      <c r="BM417" s="7"/>
      <c r="BN417" s="7"/>
      <c r="BO417" s="4"/>
      <c r="BP417" s="8"/>
      <c r="BQ417" s="4"/>
      <c r="BR417" s="8"/>
      <c r="BS417" s="7"/>
      <c r="BT417" s="7"/>
      <c r="BU417" s="2" t="s">
        <v>2555</v>
      </c>
      <c r="BV417" s="2" t="s">
        <v>231</v>
      </c>
      <c r="BW417" s="2" t="s">
        <v>231</v>
      </c>
      <c r="BX417" s="2" t="s">
        <v>241</v>
      </c>
      <c r="BY417" s="2" t="s">
        <v>277</v>
      </c>
      <c r="BZ417" s="2" t="s">
        <v>243</v>
      </c>
      <c r="CA417" s="2" t="s">
        <v>2553</v>
      </c>
      <c r="CB417" s="2" t="s">
        <v>231</v>
      </c>
      <c r="CC417" s="2" t="s">
        <v>244</v>
      </c>
      <c r="CD417" s="2" t="s">
        <v>231</v>
      </c>
      <c r="CE417" s="4">
        <v>127</v>
      </c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</row>
    <row r="418">
      <c r="A418" s="2" t="s">
        <v>2556</v>
      </c>
      <c r="B418" s="2" t="s">
        <v>824</v>
      </c>
      <c r="C418" s="2" t="s">
        <v>2557</v>
      </c>
      <c r="D418" s="2" t="s">
        <v>654</v>
      </c>
      <c r="E418" s="2" t="s">
        <v>655</v>
      </c>
      <c r="F418" s="2" t="s">
        <v>2558</v>
      </c>
      <c r="G418" s="2" t="s">
        <v>2558</v>
      </c>
      <c r="H418" s="2" t="s">
        <v>2558</v>
      </c>
      <c r="I418" s="2" t="s">
        <v>2559</v>
      </c>
      <c r="J418" s="2" t="s">
        <v>318</v>
      </c>
      <c r="K418" s="2" t="s">
        <v>269</v>
      </c>
      <c r="L418" s="3">
        <v>31.89</v>
      </c>
      <c r="M418" s="3">
        <v>33.48</v>
      </c>
      <c r="N418" s="3">
        <v>54.99</v>
      </c>
      <c r="O418" s="2" t="s">
        <v>243</v>
      </c>
      <c r="P418" s="2" t="s">
        <v>1019</v>
      </c>
      <c r="Q418" s="2" t="s">
        <v>237</v>
      </c>
      <c r="R418" s="2" t="s">
        <v>1020</v>
      </c>
      <c r="S418" s="2" t="s">
        <v>231</v>
      </c>
      <c r="T418" s="2" t="s">
        <v>231</v>
      </c>
      <c r="U418" s="2" t="s">
        <v>791</v>
      </c>
      <c r="V418" s="2" t="s">
        <v>391</v>
      </c>
      <c r="W418" s="2" t="s">
        <v>231</v>
      </c>
      <c r="X418" s="2" t="s">
        <v>231</v>
      </c>
      <c r="Y418" s="2" t="s">
        <v>2560</v>
      </c>
      <c r="Z418" s="4">
        <v>146</v>
      </c>
      <c r="AA418" s="4">
        <f>=ROUNDDOWN(73,0)</f>
      </c>
      <c r="AB418" s="5">
        <v>2</v>
      </c>
      <c r="AC418" s="2" t="s">
        <v>231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231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231</v>
      </c>
      <c r="AW418" s="8" t="s">
        <v>231</v>
      </c>
      <c r="AX418" s="4" t="s">
        <v>231</v>
      </c>
      <c r="AY418" s="8" t="s">
        <v>231</v>
      </c>
      <c r="AZ418" s="7" t="s">
        <v>231</v>
      </c>
      <c r="BA418" s="7" t="s">
        <v>231</v>
      </c>
      <c r="BB418" s="7" t="s">
        <v>231</v>
      </c>
      <c r="BC418" s="4" t="s">
        <v>231</v>
      </c>
      <c r="BD418" s="8" t="s">
        <v>231</v>
      </c>
      <c r="BE418" s="4" t="s">
        <v>231</v>
      </c>
      <c r="BF418" s="8" t="s">
        <v>231</v>
      </c>
      <c r="BG418" s="7" t="s">
        <v>231</v>
      </c>
      <c r="BH418" s="7" t="s">
        <v>231</v>
      </c>
      <c r="BI418" s="7"/>
      <c r="BJ418" s="4"/>
      <c r="BK418" s="8"/>
      <c r="BL418" s="2" t="s">
        <v>231</v>
      </c>
      <c r="BM418" s="7"/>
      <c r="BN418" s="7"/>
      <c r="BO418" s="4"/>
      <c r="BP418" s="8"/>
      <c r="BQ418" s="4"/>
      <c r="BR418" s="8"/>
      <c r="BS418" s="7"/>
      <c r="BT418" s="7"/>
      <c r="BU418" s="2" t="s">
        <v>2561</v>
      </c>
      <c r="BV418" s="2" t="s">
        <v>231</v>
      </c>
      <c r="BW418" s="2" t="s">
        <v>231</v>
      </c>
      <c r="BX418" s="2" t="s">
        <v>241</v>
      </c>
      <c r="BY418" s="2" t="s">
        <v>277</v>
      </c>
      <c r="BZ418" s="2" t="s">
        <v>243</v>
      </c>
      <c r="CA418" s="2" t="s">
        <v>1155</v>
      </c>
      <c r="CB418" s="2" t="s">
        <v>231</v>
      </c>
      <c r="CC418" s="2" t="s">
        <v>244</v>
      </c>
      <c r="CD418" s="2" t="s">
        <v>231</v>
      </c>
      <c r="CE418" s="4">
        <v>146</v>
      </c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</row>
    <row r="419">
      <c r="A419" s="2" t="s">
        <v>2562</v>
      </c>
      <c r="B419" s="2" t="s">
        <v>824</v>
      </c>
      <c r="C419" s="2" t="s">
        <v>2557</v>
      </c>
      <c r="D419" s="2" t="s">
        <v>1462</v>
      </c>
      <c r="E419" s="2" t="s">
        <v>2563</v>
      </c>
      <c r="F419" s="2" t="s">
        <v>2558</v>
      </c>
      <c r="G419" s="2" t="s">
        <v>2558</v>
      </c>
      <c r="H419" s="2" t="s">
        <v>2558</v>
      </c>
      <c r="I419" s="2" t="s">
        <v>2564</v>
      </c>
      <c r="J419" s="2" t="s">
        <v>318</v>
      </c>
      <c r="K419" s="2" t="s">
        <v>269</v>
      </c>
      <c r="L419" s="3">
        <v>31.89</v>
      </c>
      <c r="M419" s="3">
        <v>33.48</v>
      </c>
      <c r="N419" s="3">
        <v>54.99</v>
      </c>
      <c r="O419" s="2" t="s">
        <v>243</v>
      </c>
      <c r="P419" s="2" t="s">
        <v>1019</v>
      </c>
      <c r="Q419" s="2" t="s">
        <v>237</v>
      </c>
      <c r="R419" s="2" t="s">
        <v>1020</v>
      </c>
      <c r="S419" s="2" t="s">
        <v>231</v>
      </c>
      <c r="T419" s="2" t="s">
        <v>231</v>
      </c>
      <c r="U419" s="2" t="s">
        <v>231</v>
      </c>
      <c r="V419" s="2" t="s">
        <v>391</v>
      </c>
      <c r="W419" s="2" t="s">
        <v>231</v>
      </c>
      <c r="X419" s="2" t="s">
        <v>231</v>
      </c>
      <c r="Y419" s="2" t="s">
        <v>2560</v>
      </c>
      <c r="Z419" s="4">
        <v>47</v>
      </c>
      <c r="AA419" s="4">
        <f>=ROUNDDOWN(47,0)</f>
      </c>
      <c r="AB419" s="5">
        <v>1</v>
      </c>
      <c r="AC419" s="2" t="s">
        <v>231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231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231</v>
      </c>
      <c r="AW419" s="8" t="s">
        <v>231</v>
      </c>
      <c r="AX419" s="4" t="s">
        <v>231</v>
      </c>
      <c r="AY419" s="8" t="s">
        <v>231</v>
      </c>
      <c r="AZ419" s="7" t="s">
        <v>231</v>
      </c>
      <c r="BA419" s="7" t="s">
        <v>231</v>
      </c>
      <c r="BB419" s="7" t="s">
        <v>231</v>
      </c>
      <c r="BC419" s="4" t="s">
        <v>231</v>
      </c>
      <c r="BD419" s="8" t="s">
        <v>231</v>
      </c>
      <c r="BE419" s="4" t="s">
        <v>231</v>
      </c>
      <c r="BF419" s="8" t="s">
        <v>231</v>
      </c>
      <c r="BG419" s="7" t="s">
        <v>231</v>
      </c>
      <c r="BH419" s="7" t="s">
        <v>231</v>
      </c>
      <c r="BI419" s="7"/>
      <c r="BJ419" s="4">
        <v>5</v>
      </c>
      <c r="BK419" s="8">
        <v>159.45</v>
      </c>
      <c r="BL419" s="2" t="s">
        <v>2565</v>
      </c>
      <c r="BM419" s="7"/>
      <c r="BN419" s="7"/>
      <c r="BO419" s="4"/>
      <c r="BP419" s="8"/>
      <c r="BQ419" s="4"/>
      <c r="BR419" s="8"/>
      <c r="BS419" s="7"/>
      <c r="BT419" s="7"/>
      <c r="BU419" s="2" t="s">
        <v>2566</v>
      </c>
      <c r="BV419" s="2" t="s">
        <v>231</v>
      </c>
      <c r="BW419" s="2" t="s">
        <v>231</v>
      </c>
      <c r="BX419" s="2" t="s">
        <v>241</v>
      </c>
      <c r="BY419" s="2" t="s">
        <v>277</v>
      </c>
      <c r="BZ419" s="2" t="s">
        <v>243</v>
      </c>
      <c r="CA419" s="2" t="s">
        <v>1680</v>
      </c>
      <c r="CB419" s="2" t="s">
        <v>231</v>
      </c>
      <c r="CC419" s="2" t="s">
        <v>244</v>
      </c>
      <c r="CD419" s="2" t="s">
        <v>231</v>
      </c>
      <c r="CE419" s="4">
        <v>47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</row>
    <row r="420">
      <c r="A420" s="2" t="s">
        <v>2567</v>
      </c>
      <c r="B420" s="2" t="s">
        <v>824</v>
      </c>
      <c r="C420" s="2" t="s">
        <v>2557</v>
      </c>
      <c r="D420" s="2" t="s">
        <v>654</v>
      </c>
      <c r="E420" s="2" t="s">
        <v>655</v>
      </c>
      <c r="F420" s="2" t="s">
        <v>2558</v>
      </c>
      <c r="G420" s="2" t="s">
        <v>2558</v>
      </c>
      <c r="H420" s="2" t="s">
        <v>2558</v>
      </c>
      <c r="I420" s="2" t="s">
        <v>2568</v>
      </c>
      <c r="J420" s="2" t="s">
        <v>658</v>
      </c>
      <c r="K420" s="2" t="s">
        <v>269</v>
      </c>
      <c r="L420" s="3">
        <v>37.69</v>
      </c>
      <c r="M420" s="3">
        <v>39.57</v>
      </c>
      <c r="N420" s="3">
        <v>64.99</v>
      </c>
      <c r="O420" s="2" t="s">
        <v>243</v>
      </c>
      <c r="P420" s="2" t="s">
        <v>1019</v>
      </c>
      <c r="Q420" s="2" t="s">
        <v>237</v>
      </c>
      <c r="R420" s="2" t="s">
        <v>1020</v>
      </c>
      <c r="S420" s="2" t="s">
        <v>231</v>
      </c>
      <c r="T420" s="2" t="s">
        <v>231</v>
      </c>
      <c r="U420" s="2" t="s">
        <v>835</v>
      </c>
      <c r="V420" s="2" t="s">
        <v>391</v>
      </c>
      <c r="W420" s="2" t="s">
        <v>231</v>
      </c>
      <c r="X420" s="2" t="s">
        <v>231</v>
      </c>
      <c r="Y420" s="2" t="s">
        <v>2560</v>
      </c>
      <c r="Z420" s="4">
        <v>209</v>
      </c>
      <c r="AA420" s="4">
        <f>=ROUNDDOWN(104.5,0)</f>
      </c>
      <c r="AB420" s="5">
        <v>2</v>
      </c>
      <c r="AC420" s="2" t="s">
        <v>231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231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231</v>
      </c>
      <c r="AW420" s="8" t="s">
        <v>231</v>
      </c>
      <c r="AX420" s="4" t="s">
        <v>231</v>
      </c>
      <c r="AY420" s="8" t="s">
        <v>231</v>
      </c>
      <c r="AZ420" s="7" t="s">
        <v>231</v>
      </c>
      <c r="BA420" s="7" t="s">
        <v>231</v>
      </c>
      <c r="BB420" s="7" t="s">
        <v>231</v>
      </c>
      <c r="BC420" s="4" t="s">
        <v>231</v>
      </c>
      <c r="BD420" s="8" t="s">
        <v>231</v>
      </c>
      <c r="BE420" s="4" t="s">
        <v>231</v>
      </c>
      <c r="BF420" s="8" t="s">
        <v>231</v>
      </c>
      <c r="BG420" s="7" t="s">
        <v>231</v>
      </c>
      <c r="BH420" s="7" t="s">
        <v>231</v>
      </c>
      <c r="BI420" s="7"/>
      <c r="BJ420" s="4"/>
      <c r="BK420" s="8"/>
      <c r="BL420" s="2" t="s">
        <v>2565</v>
      </c>
      <c r="BM420" s="7"/>
      <c r="BN420" s="7"/>
      <c r="BO420" s="4"/>
      <c r="BP420" s="8"/>
      <c r="BQ420" s="4"/>
      <c r="BR420" s="8"/>
      <c r="BS420" s="7"/>
      <c r="BT420" s="7"/>
      <c r="BU420" s="2" t="s">
        <v>2569</v>
      </c>
      <c r="BV420" s="2" t="s">
        <v>231</v>
      </c>
      <c r="BW420" s="2" t="s">
        <v>231</v>
      </c>
      <c r="BX420" s="2" t="s">
        <v>241</v>
      </c>
      <c r="BY420" s="2" t="s">
        <v>277</v>
      </c>
      <c r="BZ420" s="2" t="s">
        <v>243</v>
      </c>
      <c r="CA420" s="2" t="s">
        <v>1155</v>
      </c>
      <c r="CB420" s="2" t="s">
        <v>231</v>
      </c>
      <c r="CC420" s="2" t="s">
        <v>244</v>
      </c>
      <c r="CD420" s="2" t="s">
        <v>231</v>
      </c>
      <c r="CE420" s="4">
        <v>209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</row>
    <row r="421">
      <c r="A421" s="2" t="s">
        <v>2570</v>
      </c>
      <c r="B421" s="2" t="s">
        <v>824</v>
      </c>
      <c r="C421" s="2" t="s">
        <v>2557</v>
      </c>
      <c r="D421" s="2" t="s">
        <v>1462</v>
      </c>
      <c r="E421" s="2" t="s">
        <v>2563</v>
      </c>
      <c r="F421" s="2" t="s">
        <v>2558</v>
      </c>
      <c r="G421" s="2" t="s">
        <v>2558</v>
      </c>
      <c r="H421" s="2" t="s">
        <v>2558</v>
      </c>
      <c r="I421" s="2" t="s">
        <v>2571</v>
      </c>
      <c r="J421" s="2" t="s">
        <v>658</v>
      </c>
      <c r="K421" s="2" t="s">
        <v>269</v>
      </c>
      <c r="L421" s="3">
        <v>37.69</v>
      </c>
      <c r="M421" s="3">
        <v>39.57</v>
      </c>
      <c r="N421" s="3">
        <v>64.99</v>
      </c>
      <c r="O421" s="2" t="s">
        <v>243</v>
      </c>
      <c r="P421" s="2" t="s">
        <v>1019</v>
      </c>
      <c r="Q421" s="2" t="s">
        <v>237</v>
      </c>
      <c r="R421" s="2" t="s">
        <v>1020</v>
      </c>
      <c r="S421" s="2" t="s">
        <v>231</v>
      </c>
      <c r="T421" s="2" t="s">
        <v>231</v>
      </c>
      <c r="U421" s="2" t="s">
        <v>231</v>
      </c>
      <c r="V421" s="2" t="s">
        <v>391</v>
      </c>
      <c r="W421" s="2" t="s">
        <v>231</v>
      </c>
      <c r="X421" s="2" t="s">
        <v>231</v>
      </c>
      <c r="Y421" s="2" t="s">
        <v>2560</v>
      </c>
      <c r="Z421" s="4">
        <v>71</v>
      </c>
      <c r="AA421" s="4">
        <f>=ROUNDDOWN(35.5,0)</f>
      </c>
      <c r="AB421" s="5">
        <v>2</v>
      </c>
      <c r="AC421" s="2" t="s">
        <v>231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231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231</v>
      </c>
      <c r="AW421" s="8" t="s">
        <v>231</v>
      </c>
      <c r="AX421" s="4" t="s">
        <v>231</v>
      </c>
      <c r="AY421" s="8" t="s">
        <v>231</v>
      </c>
      <c r="AZ421" s="7" t="s">
        <v>231</v>
      </c>
      <c r="BA421" s="7" t="s">
        <v>231</v>
      </c>
      <c r="BB421" s="7" t="s">
        <v>231</v>
      </c>
      <c r="BC421" s="4" t="s">
        <v>231</v>
      </c>
      <c r="BD421" s="8" t="s">
        <v>231</v>
      </c>
      <c r="BE421" s="4" t="s">
        <v>231</v>
      </c>
      <c r="BF421" s="8" t="s">
        <v>231</v>
      </c>
      <c r="BG421" s="7" t="s">
        <v>231</v>
      </c>
      <c r="BH421" s="7" t="s">
        <v>231</v>
      </c>
      <c r="BI421" s="7"/>
      <c r="BJ421" s="4">
        <v>1</v>
      </c>
      <c r="BK421" s="8">
        <v>37.69</v>
      </c>
      <c r="BL421" s="2" t="s">
        <v>2565</v>
      </c>
      <c r="BM421" s="7"/>
      <c r="BN421" s="7"/>
      <c r="BO421" s="4"/>
      <c r="BP421" s="8"/>
      <c r="BQ421" s="4"/>
      <c r="BR421" s="8"/>
      <c r="BS421" s="7"/>
      <c r="BT421" s="7"/>
      <c r="BU421" s="2" t="s">
        <v>2572</v>
      </c>
      <c r="BV421" s="2" t="s">
        <v>231</v>
      </c>
      <c r="BW421" s="2" t="s">
        <v>231</v>
      </c>
      <c r="BX421" s="2" t="s">
        <v>241</v>
      </c>
      <c r="BY421" s="2" t="s">
        <v>277</v>
      </c>
      <c r="BZ421" s="2" t="s">
        <v>243</v>
      </c>
      <c r="CA421" s="2" t="s">
        <v>1680</v>
      </c>
      <c r="CB421" s="2" t="s">
        <v>231</v>
      </c>
      <c r="CC421" s="2" t="s">
        <v>244</v>
      </c>
      <c r="CD421" s="2" t="s">
        <v>231</v>
      </c>
      <c r="CE421" s="4">
        <v>71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</row>
    <row r="422">
      <c r="A422" s="2" t="s">
        <v>2573</v>
      </c>
      <c r="B422" s="2" t="s">
        <v>992</v>
      </c>
      <c r="C422" s="2" t="s">
        <v>1439</v>
      </c>
      <c r="D422" s="2" t="s">
        <v>993</v>
      </c>
      <c r="E422" s="2" t="s">
        <v>994</v>
      </c>
      <c r="F422" s="2" t="s">
        <v>2574</v>
      </c>
      <c r="G422" s="2" t="s">
        <v>2575</v>
      </c>
      <c r="H422" s="2" t="s">
        <v>2576</v>
      </c>
      <c r="I422" s="2" t="s">
        <v>2577</v>
      </c>
      <c r="J422" s="2" t="s">
        <v>996</v>
      </c>
      <c r="K422" s="2" t="s">
        <v>452</v>
      </c>
      <c r="L422" s="3">
        <v>16.65</v>
      </c>
      <c r="M422" s="3">
        <v>17.48</v>
      </c>
      <c r="N422" s="3">
        <v>36.99</v>
      </c>
      <c r="O422" s="2" t="s">
        <v>243</v>
      </c>
      <c r="P422" s="2" t="s">
        <v>270</v>
      </c>
      <c r="Q422" s="2" t="s">
        <v>237</v>
      </c>
      <c r="R422" s="2" t="s">
        <v>231</v>
      </c>
      <c r="S422" s="2" t="s">
        <v>2578</v>
      </c>
      <c r="T422" s="2" t="s">
        <v>231</v>
      </c>
      <c r="U422" s="2" t="s">
        <v>231</v>
      </c>
      <c r="V422" s="2" t="s">
        <v>1685</v>
      </c>
      <c r="W422" s="2" t="s">
        <v>691</v>
      </c>
      <c r="X422" s="2" t="s">
        <v>2579</v>
      </c>
      <c r="Y422" s="2" t="s">
        <v>1078</v>
      </c>
      <c r="Z422" s="4">
        <v>428</v>
      </c>
      <c r="AA422" s="4">
        <f>=ROUNDDOWN(38.9090909090909,0)</f>
      </c>
      <c r="AB422" s="5">
        <v>11</v>
      </c>
      <c r="AC422" s="2" t="s">
        <v>383</v>
      </c>
      <c r="AD422" s="4">
        <v>168</v>
      </c>
      <c r="AE422" s="4">
        <v>168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231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231</v>
      </c>
      <c r="AW422" s="8" t="s">
        <v>231</v>
      </c>
      <c r="AX422" s="4" t="s">
        <v>231</v>
      </c>
      <c r="AY422" s="8" t="s">
        <v>231</v>
      </c>
      <c r="AZ422" s="7" t="s">
        <v>231</v>
      </c>
      <c r="BA422" s="7" t="s">
        <v>231</v>
      </c>
      <c r="BB422" s="7"/>
      <c r="BC422" s="4" t="s">
        <v>231</v>
      </c>
      <c r="BD422" s="8" t="s">
        <v>231</v>
      </c>
      <c r="BE422" s="4" t="s">
        <v>231</v>
      </c>
      <c r="BF422" s="8" t="s">
        <v>231</v>
      </c>
      <c r="BG422" s="7" t="s">
        <v>231</v>
      </c>
      <c r="BH422" s="7" t="s">
        <v>231</v>
      </c>
      <c r="BI422" s="7"/>
      <c r="BJ422" s="4">
        <v>73</v>
      </c>
      <c r="BK422" s="8">
        <v>1159.46</v>
      </c>
      <c r="BL422" s="2" t="s">
        <v>2580</v>
      </c>
      <c r="BM422" s="7"/>
      <c r="BN422" s="7"/>
      <c r="BO422" s="4"/>
      <c r="BP422" s="8"/>
      <c r="BQ422" s="4"/>
      <c r="BR422" s="8"/>
      <c r="BS422" s="7"/>
      <c r="BT422" s="7"/>
      <c r="BU422" s="2" t="s">
        <v>2581</v>
      </c>
      <c r="BV422" s="2" t="s">
        <v>231</v>
      </c>
      <c r="BW422" s="2" t="s">
        <v>231</v>
      </c>
      <c r="BX422" s="2" t="s">
        <v>231</v>
      </c>
      <c r="BY422" s="2" t="s">
        <v>277</v>
      </c>
      <c r="BZ422" s="2" t="s">
        <v>243</v>
      </c>
      <c r="CA422" s="2" t="s">
        <v>2582</v>
      </c>
      <c r="CB422" s="2" t="s">
        <v>2583</v>
      </c>
      <c r="CC422" s="2" t="s">
        <v>244</v>
      </c>
      <c r="CD422" s="2" t="s">
        <v>231</v>
      </c>
      <c r="CE422" s="4">
        <v>428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>
        <v>168</v>
      </c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</row>
    <row r="423">
      <c r="A423" s="2" t="s">
        <v>2584</v>
      </c>
      <c r="B423" s="2" t="s">
        <v>992</v>
      </c>
      <c r="C423" s="2" t="s">
        <v>1439</v>
      </c>
      <c r="D423" s="2" t="s">
        <v>993</v>
      </c>
      <c r="E423" s="2" t="s">
        <v>994</v>
      </c>
      <c r="F423" s="2" t="s">
        <v>2574</v>
      </c>
      <c r="G423" s="2" t="s">
        <v>2575</v>
      </c>
      <c r="H423" s="2" t="s">
        <v>2576</v>
      </c>
      <c r="I423" s="2" t="s">
        <v>2577</v>
      </c>
      <c r="J423" s="2" t="s">
        <v>1586</v>
      </c>
      <c r="K423" s="2" t="s">
        <v>452</v>
      </c>
      <c r="L423" s="3">
        <v>18</v>
      </c>
      <c r="M423" s="3">
        <v>18.9</v>
      </c>
      <c r="N423" s="3">
        <v>39.99</v>
      </c>
      <c r="O423" s="2" t="s">
        <v>243</v>
      </c>
      <c r="P423" s="2" t="s">
        <v>270</v>
      </c>
      <c r="Q423" s="2" t="s">
        <v>237</v>
      </c>
      <c r="R423" s="2" t="s">
        <v>231</v>
      </c>
      <c r="S423" s="2" t="s">
        <v>2578</v>
      </c>
      <c r="T423" s="2" t="s">
        <v>231</v>
      </c>
      <c r="U423" s="2" t="s">
        <v>231</v>
      </c>
      <c r="V423" s="2" t="s">
        <v>1685</v>
      </c>
      <c r="W423" s="2" t="s">
        <v>691</v>
      </c>
      <c r="X423" s="2" t="s">
        <v>2579</v>
      </c>
      <c r="Y423" s="2" t="s">
        <v>1078</v>
      </c>
      <c r="Z423" s="4">
        <v>321</v>
      </c>
      <c r="AA423" s="4">
        <f>=ROUNDDOWN(45.8571428571429,0)</f>
      </c>
      <c r="AB423" s="5">
        <v>7</v>
      </c>
      <c r="AC423" s="2" t="s">
        <v>383</v>
      </c>
      <c r="AD423" s="4">
        <v>124</v>
      </c>
      <c r="AE423" s="4">
        <v>124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231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231</v>
      </c>
      <c r="AW423" s="8" t="s">
        <v>231</v>
      </c>
      <c r="AX423" s="4" t="s">
        <v>231</v>
      </c>
      <c r="AY423" s="8" t="s">
        <v>231</v>
      </c>
      <c r="AZ423" s="7" t="s">
        <v>231</v>
      </c>
      <c r="BA423" s="7" t="s">
        <v>231</v>
      </c>
      <c r="BB423" s="7"/>
      <c r="BC423" s="4" t="s">
        <v>231</v>
      </c>
      <c r="BD423" s="8" t="s">
        <v>231</v>
      </c>
      <c r="BE423" s="4" t="s">
        <v>231</v>
      </c>
      <c r="BF423" s="8" t="s">
        <v>231</v>
      </c>
      <c r="BG423" s="7" t="s">
        <v>231</v>
      </c>
      <c r="BH423" s="7" t="s">
        <v>231</v>
      </c>
      <c r="BI423" s="7"/>
      <c r="BJ423" s="4">
        <v>34</v>
      </c>
      <c r="BK423" s="8">
        <v>910.01</v>
      </c>
      <c r="BL423" s="2" t="s">
        <v>2585</v>
      </c>
      <c r="BM423" s="7"/>
      <c r="BN423" s="7"/>
      <c r="BO423" s="4"/>
      <c r="BP423" s="8"/>
      <c r="BQ423" s="4"/>
      <c r="BR423" s="8"/>
      <c r="BS423" s="7"/>
      <c r="BT423" s="7"/>
      <c r="BU423" s="2" t="s">
        <v>2586</v>
      </c>
      <c r="BV423" s="2" t="s">
        <v>231</v>
      </c>
      <c r="BW423" s="2" t="s">
        <v>231</v>
      </c>
      <c r="BX423" s="2" t="s">
        <v>231</v>
      </c>
      <c r="BY423" s="2" t="s">
        <v>277</v>
      </c>
      <c r="BZ423" s="2" t="s">
        <v>243</v>
      </c>
      <c r="CA423" s="2" t="s">
        <v>2582</v>
      </c>
      <c r="CB423" s="2" t="s">
        <v>2587</v>
      </c>
      <c r="CC423" s="2" t="s">
        <v>244</v>
      </c>
      <c r="CD423" s="2" t="s">
        <v>231</v>
      </c>
      <c r="CE423" s="4">
        <v>177</v>
      </c>
      <c r="CF423" s="4"/>
      <c r="CG423" s="4"/>
      <c r="CH423" s="4"/>
      <c r="CI423" s="4"/>
      <c r="CJ423" s="4"/>
      <c r="CK423" s="4"/>
      <c r="CL423" s="4">
        <v>144</v>
      </c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>
        <v>124</v>
      </c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</row>
    <row r="424">
      <c r="A424" s="2" t="s">
        <v>2588</v>
      </c>
      <c r="B424" s="2" t="s">
        <v>226</v>
      </c>
      <c r="C424" s="2" t="s">
        <v>1299</v>
      </c>
      <c r="D424" s="2" t="s">
        <v>1624</v>
      </c>
      <c r="E424" s="2" t="s">
        <v>2589</v>
      </c>
      <c r="F424" s="2" t="s">
        <v>2590</v>
      </c>
      <c r="G424" s="2" t="s">
        <v>2590</v>
      </c>
      <c r="H424" s="2" t="s">
        <v>2590</v>
      </c>
      <c r="I424" s="2" t="s">
        <v>2591</v>
      </c>
      <c r="J424" s="2" t="s">
        <v>1554</v>
      </c>
      <c r="K424" s="2" t="s">
        <v>269</v>
      </c>
      <c r="L424" s="3">
        <v>20.14</v>
      </c>
      <c r="M424" s="3">
        <v>21.15</v>
      </c>
      <c r="N424" s="3">
        <v>44.99</v>
      </c>
      <c r="O424" s="2" t="s">
        <v>243</v>
      </c>
      <c r="P424" s="2" t="s">
        <v>1985</v>
      </c>
      <c r="Q424" s="2" t="s">
        <v>237</v>
      </c>
      <c r="R424" s="2" t="s">
        <v>231</v>
      </c>
      <c r="S424" s="2" t="s">
        <v>2592</v>
      </c>
      <c r="T424" s="2" t="s">
        <v>970</v>
      </c>
      <c r="U424" s="2" t="s">
        <v>327</v>
      </c>
      <c r="V424" s="2" t="s">
        <v>1304</v>
      </c>
      <c r="W424" s="2" t="s">
        <v>897</v>
      </c>
      <c r="X424" s="2" t="s">
        <v>676</v>
      </c>
      <c r="Y424" s="2" t="s">
        <v>2593</v>
      </c>
      <c r="Z424" s="4">
        <v>570</v>
      </c>
      <c r="AA424" s="4">
        <f>=ROUNDDOWN(142.5,0)</f>
      </c>
      <c r="AB424" s="5">
        <v>4</v>
      </c>
      <c r="AC424" s="2" t="s">
        <v>231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231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>
        <v>15</v>
      </c>
      <c r="BK424" s="8">
        <v>353.6</v>
      </c>
      <c r="BL424" s="2" t="s">
        <v>2594</v>
      </c>
      <c r="BM424" s="7"/>
      <c r="BN424" s="7"/>
      <c r="BO424" s="4"/>
      <c r="BP424" s="8"/>
      <c r="BQ424" s="4"/>
      <c r="BR424" s="8"/>
      <c r="BS424" s="7"/>
      <c r="BT424" s="7"/>
      <c r="BU424" s="2" t="s">
        <v>2595</v>
      </c>
      <c r="BV424" s="2" t="s">
        <v>231</v>
      </c>
      <c r="BW424" s="2" t="s">
        <v>231</v>
      </c>
      <c r="BX424" s="2" t="s">
        <v>231</v>
      </c>
      <c r="BY424" s="2" t="s">
        <v>277</v>
      </c>
      <c r="BZ424" s="2" t="s">
        <v>243</v>
      </c>
      <c r="CA424" s="2" t="s">
        <v>445</v>
      </c>
      <c r="CB424" s="2" t="s">
        <v>1598</v>
      </c>
      <c r="CC424" s="2" t="s">
        <v>244</v>
      </c>
      <c r="CD424" s="2" t="s">
        <v>231</v>
      </c>
      <c r="CE424" s="4">
        <v>570</v>
      </c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</row>
    <row r="425">
      <c r="A425" s="2" t="s">
        <v>2596</v>
      </c>
      <c r="B425" s="2" t="s">
        <v>847</v>
      </c>
      <c r="C425" s="2" t="s">
        <v>288</v>
      </c>
      <c r="D425" s="2" t="s">
        <v>882</v>
      </c>
      <c r="E425" s="2" t="s">
        <v>849</v>
      </c>
      <c r="F425" s="2" t="s">
        <v>2597</v>
      </c>
      <c r="G425" s="2" t="s">
        <v>2597</v>
      </c>
      <c r="H425" s="2" t="s">
        <v>2597</v>
      </c>
      <c r="I425" s="2" t="s">
        <v>2598</v>
      </c>
      <c r="J425" s="2" t="s">
        <v>807</v>
      </c>
      <c r="K425" s="2" t="s">
        <v>2599</v>
      </c>
      <c r="L425" s="3">
        <v>69.19</v>
      </c>
      <c r="M425" s="3">
        <v>72.65</v>
      </c>
      <c r="N425" s="3">
        <v>135.99</v>
      </c>
      <c r="O425" s="2" t="s">
        <v>243</v>
      </c>
      <c r="P425" s="2" t="s">
        <v>270</v>
      </c>
      <c r="Q425" s="2" t="s">
        <v>237</v>
      </c>
      <c r="R425" s="2" t="s">
        <v>231</v>
      </c>
      <c r="S425" s="2" t="s">
        <v>2600</v>
      </c>
      <c r="T425" s="2" t="s">
        <v>231</v>
      </c>
      <c r="U425" s="2" t="s">
        <v>661</v>
      </c>
      <c r="V425" s="2" t="s">
        <v>836</v>
      </c>
      <c r="W425" s="2" t="s">
        <v>691</v>
      </c>
      <c r="X425" s="2" t="s">
        <v>2601</v>
      </c>
      <c r="Y425" s="2" t="s">
        <v>2602</v>
      </c>
      <c r="Z425" s="4">
        <v>74</v>
      </c>
      <c r="AA425" s="4">
        <f>=ROUNDDOWN(24.6666666666667,0)</f>
      </c>
      <c r="AB425" s="5">
        <v>3</v>
      </c>
      <c r="AC425" s="2" t="s">
        <v>231</v>
      </c>
      <c r="AD425" s="4"/>
      <c r="AE425" s="4"/>
      <c r="AF425" s="6">
        <v>63</v>
      </c>
      <c r="AG425" s="6"/>
      <c r="AH425" s="7">
        <v>1</v>
      </c>
      <c r="AI425" s="4"/>
      <c r="AJ425" s="4">
        <f>=ROUNDDOWN({0},0)</f>
      </c>
      <c r="AK425" s="5"/>
      <c r="AL425" s="2" t="s">
        <v>231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>
        <v>6</v>
      </c>
      <c r="BK425" s="8">
        <v>419.77</v>
      </c>
      <c r="BL425" s="2" t="s">
        <v>2603</v>
      </c>
      <c r="BM425" s="7"/>
      <c r="BN425" s="7"/>
      <c r="BO425" s="4"/>
      <c r="BP425" s="8"/>
      <c r="BQ425" s="4"/>
      <c r="BR425" s="8"/>
      <c r="BS425" s="7"/>
      <c r="BT425" s="7"/>
      <c r="BU425" s="2" t="s">
        <v>2604</v>
      </c>
      <c r="BV425" s="2" t="s">
        <v>231</v>
      </c>
      <c r="BW425" s="2" t="s">
        <v>231</v>
      </c>
      <c r="BX425" s="2" t="s">
        <v>231</v>
      </c>
      <c r="BY425" s="2" t="s">
        <v>277</v>
      </c>
      <c r="BZ425" s="2" t="s">
        <v>243</v>
      </c>
      <c r="CA425" s="2" t="s">
        <v>2605</v>
      </c>
      <c r="CB425" s="2" t="s">
        <v>2606</v>
      </c>
      <c r="CC425" s="2" t="s">
        <v>244</v>
      </c>
      <c r="CD425" s="2" t="s">
        <v>231</v>
      </c>
      <c r="CE425" s="4"/>
      <c r="CF425" s="4">
        <v>74</v>
      </c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</row>
    <row r="426">
      <c r="A426" s="2" t="s">
        <v>2607</v>
      </c>
      <c r="B426" s="2" t="s">
        <v>847</v>
      </c>
      <c r="C426" s="2" t="s">
        <v>288</v>
      </c>
      <c r="D426" s="2" t="s">
        <v>882</v>
      </c>
      <c r="E426" s="2" t="s">
        <v>849</v>
      </c>
      <c r="F426" s="2" t="s">
        <v>2608</v>
      </c>
      <c r="G426" s="2" t="s">
        <v>2608</v>
      </c>
      <c r="H426" s="2" t="s">
        <v>2608</v>
      </c>
      <c r="I426" s="2" t="s">
        <v>2609</v>
      </c>
      <c r="J426" s="2" t="s">
        <v>807</v>
      </c>
      <c r="K426" s="2" t="s">
        <v>269</v>
      </c>
      <c r="L426" s="3">
        <v>46.22</v>
      </c>
      <c r="M426" s="3">
        <v>48.53</v>
      </c>
      <c r="N426" s="3">
        <v>89.24</v>
      </c>
      <c r="O426" s="2" t="s">
        <v>243</v>
      </c>
      <c r="P426" s="2" t="s">
        <v>270</v>
      </c>
      <c r="Q426" s="2" t="s">
        <v>237</v>
      </c>
      <c r="R426" s="2" t="s">
        <v>231</v>
      </c>
      <c r="S426" s="2" t="s">
        <v>2610</v>
      </c>
      <c r="T426" s="2" t="s">
        <v>231</v>
      </c>
      <c r="U426" s="2" t="s">
        <v>791</v>
      </c>
      <c r="V426" s="2" t="s">
        <v>836</v>
      </c>
      <c r="W426" s="2" t="s">
        <v>691</v>
      </c>
      <c r="X426" s="2" t="s">
        <v>231</v>
      </c>
      <c r="Y426" s="2" t="s">
        <v>2611</v>
      </c>
      <c r="Z426" s="4">
        <v>119</v>
      </c>
      <c r="AA426" s="4">
        <f>=ROUNDDOWN(37.1875,0)</f>
      </c>
      <c r="AB426" s="5">
        <v>3.2</v>
      </c>
      <c r="AC426" s="2" t="s">
        <v>231</v>
      </c>
      <c r="AD426" s="4"/>
      <c r="AE426" s="4"/>
      <c r="AF426" s="6">
        <v>63</v>
      </c>
      <c r="AG426" s="6"/>
      <c r="AH426" s="7">
        <v>1</v>
      </c>
      <c r="AI426" s="4"/>
      <c r="AJ426" s="4">
        <f>=ROUNDDOWN({0},0)</f>
      </c>
      <c r="AK426" s="5"/>
      <c r="AL426" s="2" t="s">
        <v>231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>
        <v>12</v>
      </c>
      <c r="BK426" s="8">
        <v>699.53</v>
      </c>
      <c r="BL426" s="2" t="s">
        <v>2612</v>
      </c>
      <c r="BM426" s="7"/>
      <c r="BN426" s="7"/>
      <c r="BO426" s="4"/>
      <c r="BP426" s="8"/>
      <c r="BQ426" s="4"/>
      <c r="BR426" s="8"/>
      <c r="BS426" s="7"/>
      <c r="BT426" s="7"/>
      <c r="BU426" s="2" t="s">
        <v>2613</v>
      </c>
      <c r="BV426" s="2" t="s">
        <v>231</v>
      </c>
      <c r="BW426" s="2" t="s">
        <v>231</v>
      </c>
      <c r="BX426" s="2" t="s">
        <v>231</v>
      </c>
      <c r="BY426" s="2" t="s">
        <v>277</v>
      </c>
      <c r="BZ426" s="2" t="s">
        <v>243</v>
      </c>
      <c r="CA426" s="2" t="s">
        <v>782</v>
      </c>
      <c r="CB426" s="2" t="s">
        <v>2614</v>
      </c>
      <c r="CC426" s="2" t="s">
        <v>244</v>
      </c>
      <c r="CD426" s="2" t="s">
        <v>231</v>
      </c>
      <c r="CE426" s="4"/>
      <c r="CF426" s="4">
        <v>119</v>
      </c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</row>
    <row r="427">
      <c r="A427" s="2" t="s">
        <v>2615</v>
      </c>
      <c r="B427" s="2" t="s">
        <v>801</v>
      </c>
      <c r="C427" s="2" t="s">
        <v>802</v>
      </c>
      <c r="D427" s="2" t="s">
        <v>1114</v>
      </c>
      <c r="E427" s="2" t="s">
        <v>1115</v>
      </c>
      <c r="F427" s="2" t="s">
        <v>2616</v>
      </c>
      <c r="G427" s="2" t="s">
        <v>2616</v>
      </c>
      <c r="H427" s="2" t="s">
        <v>2616</v>
      </c>
      <c r="I427" s="2" t="s">
        <v>2617</v>
      </c>
      <c r="J427" s="2" t="s">
        <v>807</v>
      </c>
      <c r="K427" s="2" t="s">
        <v>319</v>
      </c>
      <c r="L427" s="3">
        <v>45.36</v>
      </c>
      <c r="M427" s="3">
        <v>47.63</v>
      </c>
      <c r="N427" s="3">
        <v>104.99</v>
      </c>
      <c r="O427" s="2" t="s">
        <v>235</v>
      </c>
      <c r="P427" s="2" t="s">
        <v>341</v>
      </c>
      <c r="Q427" s="2" t="s">
        <v>237</v>
      </c>
      <c r="R427" s="2" t="s">
        <v>231</v>
      </c>
      <c r="S427" s="2" t="s">
        <v>231</v>
      </c>
      <c r="T427" s="2" t="s">
        <v>231</v>
      </c>
      <c r="U427" s="2" t="s">
        <v>327</v>
      </c>
      <c r="V427" s="2" t="s">
        <v>662</v>
      </c>
      <c r="W427" s="2" t="s">
        <v>691</v>
      </c>
      <c r="X427" s="2" t="s">
        <v>792</v>
      </c>
      <c r="Y427" s="2" t="s">
        <v>1182</v>
      </c>
      <c r="Z427" s="4">
        <v>7</v>
      </c>
      <c r="AA427" s="4">
        <f>=ROUNDDOWN(2.33333333333333,0)</f>
      </c>
      <c r="AB427" s="5">
        <v>3</v>
      </c>
      <c r="AC427" s="2" t="s">
        <v>231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231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>
        <v>3</v>
      </c>
      <c r="BK427" s="8">
        <v>142.88</v>
      </c>
      <c r="BL427" s="2" t="s">
        <v>2618</v>
      </c>
      <c r="BM427" s="7"/>
      <c r="BN427" s="7"/>
      <c r="BO427" s="4"/>
      <c r="BP427" s="8"/>
      <c r="BQ427" s="4"/>
      <c r="BR427" s="8"/>
      <c r="BS427" s="7"/>
      <c r="BT427" s="7"/>
      <c r="BU427" s="2" t="s">
        <v>2619</v>
      </c>
      <c r="BV427" s="2" t="s">
        <v>231</v>
      </c>
      <c r="BW427" s="2" t="s">
        <v>231</v>
      </c>
      <c r="BX427" s="2" t="s">
        <v>241</v>
      </c>
      <c r="BY427" s="2" t="s">
        <v>277</v>
      </c>
      <c r="BZ427" s="2" t="s">
        <v>243</v>
      </c>
      <c r="CA427" s="2" t="s">
        <v>2620</v>
      </c>
      <c r="CB427" s="2" t="s">
        <v>2621</v>
      </c>
      <c r="CC427" s="2" t="s">
        <v>244</v>
      </c>
      <c r="CD427" s="2" t="s">
        <v>231</v>
      </c>
      <c r="CE427" s="4"/>
      <c r="CF427" s="4">
        <v>7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</row>
    <row r="428">
      <c r="A428" s="2" t="s">
        <v>2622</v>
      </c>
      <c r="B428" s="2" t="s">
        <v>847</v>
      </c>
      <c r="C428" s="2" t="s">
        <v>288</v>
      </c>
      <c r="D428" s="2" t="s">
        <v>2003</v>
      </c>
      <c r="E428" s="2" t="s">
        <v>2623</v>
      </c>
      <c r="F428" s="2" t="s">
        <v>2624</v>
      </c>
      <c r="G428" s="2" t="s">
        <v>2624</v>
      </c>
      <c r="H428" s="2" t="s">
        <v>2624</v>
      </c>
      <c r="I428" s="2" t="s">
        <v>2625</v>
      </c>
      <c r="J428" s="2" t="s">
        <v>807</v>
      </c>
      <c r="K428" s="2" t="s">
        <v>319</v>
      </c>
      <c r="L428" s="3">
        <v>20.4</v>
      </c>
      <c r="M428" s="3">
        <v>21.42</v>
      </c>
      <c r="N428" s="3">
        <v>42.49</v>
      </c>
      <c r="O428" s="2" t="s">
        <v>243</v>
      </c>
      <c r="P428" s="2" t="s">
        <v>1985</v>
      </c>
      <c r="Q428" s="2" t="s">
        <v>237</v>
      </c>
      <c r="R428" s="2" t="s">
        <v>231</v>
      </c>
      <c r="S428" s="2" t="s">
        <v>2626</v>
      </c>
      <c r="T428" s="2" t="s">
        <v>231</v>
      </c>
      <c r="U428" s="2" t="s">
        <v>327</v>
      </c>
      <c r="V428" s="2" t="s">
        <v>1828</v>
      </c>
      <c r="W428" s="2" t="s">
        <v>2541</v>
      </c>
      <c r="X428" s="2" t="s">
        <v>231</v>
      </c>
      <c r="Y428" s="2" t="s">
        <v>2627</v>
      </c>
      <c r="Z428" s="4">
        <v>173</v>
      </c>
      <c r="AA428" s="4">
        <f>=ROUNDDOWN(43.25,0)</f>
      </c>
      <c r="AB428" s="5">
        <v>4</v>
      </c>
      <c r="AC428" s="2" t="s">
        <v>231</v>
      </c>
      <c r="AD428" s="4"/>
      <c r="AE428" s="4"/>
      <c r="AF428" s="6">
        <v>63</v>
      </c>
      <c r="AG428" s="6"/>
      <c r="AH428" s="7">
        <v>1</v>
      </c>
      <c r="AI428" s="4"/>
      <c r="AJ428" s="4">
        <f>=ROUNDDOWN({0},0)</f>
      </c>
      <c r="AK428" s="5"/>
      <c r="AL428" s="2" t="s">
        <v>231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>
        <v>11</v>
      </c>
      <c r="BK428" s="8">
        <v>289.74</v>
      </c>
      <c r="BL428" s="2" t="s">
        <v>2628</v>
      </c>
      <c r="BM428" s="7"/>
      <c r="BN428" s="7"/>
      <c r="BO428" s="4"/>
      <c r="BP428" s="8"/>
      <c r="BQ428" s="4"/>
      <c r="BR428" s="8"/>
      <c r="BS428" s="7"/>
      <c r="BT428" s="7"/>
      <c r="BU428" s="2" t="s">
        <v>2629</v>
      </c>
      <c r="BV428" s="2" t="s">
        <v>231</v>
      </c>
      <c r="BW428" s="2" t="s">
        <v>231</v>
      </c>
      <c r="BX428" s="2" t="s">
        <v>231</v>
      </c>
      <c r="BY428" s="2" t="s">
        <v>277</v>
      </c>
      <c r="BZ428" s="2" t="s">
        <v>243</v>
      </c>
      <c r="CA428" s="2" t="s">
        <v>2630</v>
      </c>
      <c r="CB428" s="2" t="s">
        <v>2631</v>
      </c>
      <c r="CC428" s="2" t="s">
        <v>244</v>
      </c>
      <c r="CD428" s="2" t="s">
        <v>231</v>
      </c>
      <c r="CE428" s="4"/>
      <c r="CF428" s="4">
        <v>173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</row>
    <row r="429">
      <c r="A429" s="2" t="s">
        <v>2632</v>
      </c>
      <c r="B429" s="2" t="s">
        <v>1004</v>
      </c>
      <c r="C429" s="2" t="s">
        <v>815</v>
      </c>
      <c r="D429" s="2" t="s">
        <v>1031</v>
      </c>
      <c r="E429" s="2" t="s">
        <v>1032</v>
      </c>
      <c r="F429" s="2" t="s">
        <v>2633</v>
      </c>
      <c r="G429" s="2" t="s">
        <v>2633</v>
      </c>
      <c r="H429" s="2" t="s">
        <v>2633</v>
      </c>
      <c r="I429" s="2" t="s">
        <v>2634</v>
      </c>
      <c r="J429" s="2" t="s">
        <v>807</v>
      </c>
      <c r="K429" s="2" t="s">
        <v>1655</v>
      </c>
      <c r="L429" s="3">
        <v>213.75</v>
      </c>
      <c r="M429" s="3">
        <v>224.44</v>
      </c>
      <c r="N429" s="3">
        <v>449</v>
      </c>
      <c r="O429" s="2" t="s">
        <v>243</v>
      </c>
      <c r="P429" s="2" t="s">
        <v>236</v>
      </c>
      <c r="Q429" s="2" t="s">
        <v>237</v>
      </c>
      <c r="R429" s="2" t="s">
        <v>231</v>
      </c>
      <c r="S429" s="2" t="s">
        <v>231</v>
      </c>
      <c r="T429" s="2" t="s">
        <v>231</v>
      </c>
      <c r="U429" s="2" t="s">
        <v>327</v>
      </c>
      <c r="V429" s="2" t="s">
        <v>662</v>
      </c>
      <c r="W429" s="2" t="s">
        <v>792</v>
      </c>
      <c r="X429" s="2" t="s">
        <v>273</v>
      </c>
      <c r="Y429" s="2" t="s">
        <v>2635</v>
      </c>
      <c r="Z429" s="4">
        <v>110</v>
      </c>
      <c r="AA429" s="4">
        <f>=ROUNDDOWN(55,0)</f>
      </c>
      <c r="AB429" s="5">
        <v>2</v>
      </c>
      <c r="AC429" s="2" t="s">
        <v>231</v>
      </c>
      <c r="AD429" s="4"/>
      <c r="AE429" s="4"/>
      <c r="AF429" s="6">
        <v>74</v>
      </c>
      <c r="AG429" s="6"/>
      <c r="AH429" s="7">
        <v>1</v>
      </c>
      <c r="AI429" s="4"/>
      <c r="AJ429" s="4">
        <f>=ROUNDDOWN({0},0)</f>
      </c>
      <c r="AK429" s="5"/>
      <c r="AL429" s="2" t="s">
        <v>231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231</v>
      </c>
      <c r="BD429" s="8" t="s">
        <v>231</v>
      </c>
      <c r="BE429" s="4" t="s">
        <v>231</v>
      </c>
      <c r="BF429" s="8" t="s">
        <v>231</v>
      </c>
      <c r="BG429" s="7" t="s">
        <v>231</v>
      </c>
      <c r="BH429" s="7" t="s">
        <v>231</v>
      </c>
      <c r="BI429" s="7"/>
      <c r="BJ429" s="4">
        <v>10</v>
      </c>
      <c r="BK429" s="8">
        <v>1995</v>
      </c>
      <c r="BL429" s="2" t="s">
        <v>1306</v>
      </c>
      <c r="BM429" s="7"/>
      <c r="BN429" s="7"/>
      <c r="BO429" s="4"/>
      <c r="BP429" s="8"/>
      <c r="BQ429" s="4"/>
      <c r="BR429" s="8"/>
      <c r="BS429" s="7"/>
      <c r="BT429" s="7"/>
      <c r="BU429" s="2" t="s">
        <v>2636</v>
      </c>
      <c r="BV429" s="2" t="s">
        <v>231</v>
      </c>
      <c r="BW429" s="2" t="s">
        <v>231</v>
      </c>
      <c r="BX429" s="2" t="s">
        <v>241</v>
      </c>
      <c r="BY429" s="2" t="s">
        <v>277</v>
      </c>
      <c r="BZ429" s="2" t="s">
        <v>243</v>
      </c>
      <c r="CA429" s="2" t="s">
        <v>2637</v>
      </c>
      <c r="CB429" s="2" t="s">
        <v>231</v>
      </c>
      <c r="CC429" s="2" t="s">
        <v>244</v>
      </c>
      <c r="CD429" s="2" t="s">
        <v>231</v>
      </c>
      <c r="CE429" s="4"/>
      <c r="CF429" s="4">
        <v>110</v>
      </c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</row>
    <row r="430">
      <c r="A430" s="2" t="s">
        <v>2638</v>
      </c>
      <c r="B430" s="2" t="s">
        <v>1004</v>
      </c>
      <c r="C430" s="2" t="s">
        <v>815</v>
      </c>
      <c r="D430" s="2" t="s">
        <v>1031</v>
      </c>
      <c r="E430" s="2" t="s">
        <v>1032</v>
      </c>
      <c r="F430" s="2" t="s">
        <v>2633</v>
      </c>
      <c r="G430" s="2" t="s">
        <v>2633</v>
      </c>
      <c r="H430" s="2" t="s">
        <v>2633</v>
      </c>
      <c r="I430" s="2" t="s">
        <v>2634</v>
      </c>
      <c r="J430" s="2" t="s">
        <v>807</v>
      </c>
      <c r="K430" s="2" t="s">
        <v>1136</v>
      </c>
      <c r="L430" s="3">
        <v>213.75</v>
      </c>
      <c r="M430" s="3">
        <v>224.44</v>
      </c>
      <c r="N430" s="3">
        <v>449</v>
      </c>
      <c r="O430" s="2" t="s">
        <v>243</v>
      </c>
      <c r="P430" s="2" t="s">
        <v>236</v>
      </c>
      <c r="Q430" s="2" t="s">
        <v>237</v>
      </c>
      <c r="R430" s="2" t="s">
        <v>231</v>
      </c>
      <c r="S430" s="2" t="s">
        <v>231</v>
      </c>
      <c r="T430" s="2" t="s">
        <v>231</v>
      </c>
      <c r="U430" s="2" t="s">
        <v>327</v>
      </c>
      <c r="V430" s="2" t="s">
        <v>662</v>
      </c>
      <c r="W430" s="2" t="s">
        <v>792</v>
      </c>
      <c r="X430" s="2" t="s">
        <v>273</v>
      </c>
      <c r="Y430" s="2" t="s">
        <v>1859</v>
      </c>
      <c r="Z430" s="4">
        <v>96</v>
      </c>
      <c r="AA430" s="4">
        <f>=ROUNDDOWN(24,0)</f>
      </c>
      <c r="AB430" s="5">
        <v>4</v>
      </c>
      <c r="AC430" s="2" t="s">
        <v>231</v>
      </c>
      <c r="AD430" s="4"/>
      <c r="AE430" s="4"/>
      <c r="AF430" s="6">
        <v>74</v>
      </c>
      <c r="AG430" s="6"/>
      <c r="AH430" s="7">
        <v>1</v>
      </c>
      <c r="AI430" s="4"/>
      <c r="AJ430" s="4">
        <f>=ROUNDDOWN({0},0)</f>
      </c>
      <c r="AK430" s="5"/>
      <c r="AL430" s="2" t="s">
        <v>231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231</v>
      </c>
      <c r="BD430" s="8" t="s">
        <v>231</v>
      </c>
      <c r="BE430" s="4" t="s">
        <v>231</v>
      </c>
      <c r="BF430" s="8" t="s">
        <v>231</v>
      </c>
      <c r="BG430" s="7" t="s">
        <v>231</v>
      </c>
      <c r="BH430" s="7" t="s">
        <v>231</v>
      </c>
      <c r="BI430" s="7"/>
      <c r="BJ430" s="4">
        <v>23</v>
      </c>
      <c r="BK430" s="8">
        <v>4588.5</v>
      </c>
      <c r="BL430" s="2" t="s">
        <v>1306</v>
      </c>
      <c r="BM430" s="7"/>
      <c r="BN430" s="7"/>
      <c r="BO430" s="4"/>
      <c r="BP430" s="8"/>
      <c r="BQ430" s="4"/>
      <c r="BR430" s="8"/>
      <c r="BS430" s="7"/>
      <c r="BT430" s="7"/>
      <c r="BU430" s="2" t="s">
        <v>2639</v>
      </c>
      <c r="BV430" s="2" t="s">
        <v>231</v>
      </c>
      <c r="BW430" s="2" t="s">
        <v>231</v>
      </c>
      <c r="BX430" s="2" t="s">
        <v>241</v>
      </c>
      <c r="BY430" s="2" t="s">
        <v>277</v>
      </c>
      <c r="BZ430" s="2" t="s">
        <v>243</v>
      </c>
      <c r="CA430" s="2" t="s">
        <v>2637</v>
      </c>
      <c r="CB430" s="2" t="s">
        <v>231</v>
      </c>
      <c r="CC430" s="2" t="s">
        <v>244</v>
      </c>
      <c r="CD430" s="2" t="s">
        <v>231</v>
      </c>
      <c r="CE430" s="4"/>
      <c r="CF430" s="4">
        <v>96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</row>
    <row r="431">
      <c r="A431" s="2" t="s">
        <v>2640</v>
      </c>
      <c r="B431" s="2" t="s">
        <v>1186</v>
      </c>
      <c r="C431" s="2" t="s">
        <v>288</v>
      </c>
      <c r="D431" s="2" t="s">
        <v>826</v>
      </c>
      <c r="E431" s="2" t="s">
        <v>827</v>
      </c>
      <c r="F431" s="2" t="s">
        <v>2641</v>
      </c>
      <c r="G431" s="2" t="s">
        <v>2642</v>
      </c>
      <c r="H431" s="2" t="s">
        <v>2643</v>
      </c>
      <c r="I431" s="2" t="s">
        <v>2644</v>
      </c>
      <c r="J431" s="2" t="s">
        <v>658</v>
      </c>
      <c r="K431" s="2" t="s">
        <v>269</v>
      </c>
      <c r="L431" s="3">
        <v>27.42</v>
      </c>
      <c r="M431" s="3">
        <v>28.79</v>
      </c>
      <c r="N431" s="3">
        <v>59.99</v>
      </c>
      <c r="O431" s="2" t="s">
        <v>243</v>
      </c>
      <c r="P431" s="2" t="s">
        <v>236</v>
      </c>
      <c r="Q431" s="2" t="s">
        <v>237</v>
      </c>
      <c r="R431" s="2" t="s">
        <v>231</v>
      </c>
      <c r="S431" s="2" t="s">
        <v>2645</v>
      </c>
      <c r="T431" s="2" t="s">
        <v>472</v>
      </c>
      <c r="U431" s="2" t="s">
        <v>661</v>
      </c>
      <c r="V431" s="2" t="s">
        <v>381</v>
      </c>
      <c r="W431" s="2" t="s">
        <v>273</v>
      </c>
      <c r="X431" s="2" t="s">
        <v>971</v>
      </c>
      <c r="Y431" s="2" t="s">
        <v>2646</v>
      </c>
      <c r="Z431" s="4">
        <v>87</v>
      </c>
      <c r="AA431" s="4">
        <f>=ROUNDDOWN(17.4,0)</f>
      </c>
      <c r="AB431" s="5">
        <v>5</v>
      </c>
      <c r="AC431" s="2" t="s">
        <v>231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231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>
        <v>16</v>
      </c>
      <c r="BK431" s="8">
        <v>476.74</v>
      </c>
      <c r="BL431" s="2" t="s">
        <v>843</v>
      </c>
      <c r="BM431" s="7"/>
      <c r="BN431" s="7"/>
      <c r="BO431" s="4"/>
      <c r="BP431" s="8"/>
      <c r="BQ431" s="4"/>
      <c r="BR431" s="8"/>
      <c r="BS431" s="7"/>
      <c r="BT431" s="7"/>
      <c r="BU431" s="2" t="s">
        <v>2647</v>
      </c>
      <c r="BV431" s="2" t="s">
        <v>231</v>
      </c>
      <c r="BW431" s="2" t="s">
        <v>231</v>
      </c>
      <c r="BX431" s="2" t="s">
        <v>241</v>
      </c>
      <c r="BY431" s="2" t="s">
        <v>277</v>
      </c>
      <c r="BZ431" s="2" t="s">
        <v>243</v>
      </c>
      <c r="CA431" s="2" t="s">
        <v>1955</v>
      </c>
      <c r="CB431" s="2" t="s">
        <v>2648</v>
      </c>
      <c r="CC431" s="2" t="s">
        <v>244</v>
      </c>
      <c r="CD431" s="2" t="s">
        <v>231</v>
      </c>
      <c r="CE431" s="4">
        <v>87</v>
      </c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</row>
    <row r="432">
      <c r="A432" s="2" t="s">
        <v>2649</v>
      </c>
      <c r="B432" s="2" t="s">
        <v>1004</v>
      </c>
      <c r="C432" s="2" t="s">
        <v>815</v>
      </c>
      <c r="D432" s="2" t="s">
        <v>1689</v>
      </c>
      <c r="E432" s="2" t="s">
        <v>1690</v>
      </c>
      <c r="F432" s="2" t="s">
        <v>2650</v>
      </c>
      <c r="G432" s="2" t="s">
        <v>2650</v>
      </c>
      <c r="H432" s="2" t="s">
        <v>2650</v>
      </c>
      <c r="I432" s="2" t="s">
        <v>2651</v>
      </c>
      <c r="J432" s="2" t="s">
        <v>807</v>
      </c>
      <c r="K432" s="2" t="s">
        <v>901</v>
      </c>
      <c r="L432" s="3">
        <v>225</v>
      </c>
      <c r="M432" s="3">
        <v>236.25</v>
      </c>
      <c r="N432" s="3">
        <v>479</v>
      </c>
      <c r="O432" s="2" t="s">
        <v>243</v>
      </c>
      <c r="P432" s="2" t="s">
        <v>1985</v>
      </c>
      <c r="Q432" s="2" t="s">
        <v>237</v>
      </c>
      <c r="R432" s="2" t="s">
        <v>231</v>
      </c>
      <c r="S432" s="2" t="s">
        <v>2652</v>
      </c>
      <c r="T432" s="2" t="s">
        <v>231</v>
      </c>
      <c r="U432" s="2" t="s">
        <v>231</v>
      </c>
      <c r="V432" s="2" t="s">
        <v>239</v>
      </c>
      <c r="W432" s="2" t="s">
        <v>2500</v>
      </c>
      <c r="X432" s="2" t="s">
        <v>231</v>
      </c>
      <c r="Y432" s="2" t="s">
        <v>2653</v>
      </c>
      <c r="Z432" s="4">
        <v>111</v>
      </c>
      <c r="AA432" s="4">
        <f>=ROUNDDOWN(37,0)</f>
      </c>
      <c r="AB432" s="5">
        <v>3</v>
      </c>
      <c r="AC432" s="2" t="s">
        <v>231</v>
      </c>
      <c r="AD432" s="4"/>
      <c r="AE432" s="4"/>
      <c r="AF432" s="6">
        <v>66</v>
      </c>
      <c r="AG432" s="6">
        <v>49</v>
      </c>
      <c r="AH432" s="7">
        <v>1</v>
      </c>
      <c r="AI432" s="4"/>
      <c r="AJ432" s="4">
        <f>=ROUNDDOWN({0},0)</f>
      </c>
      <c r="AK432" s="5"/>
      <c r="AL432" s="2" t="s">
        <v>231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>
        <v>24</v>
      </c>
      <c r="BK432" s="8">
        <v>4376.94</v>
      </c>
      <c r="BL432" s="2" t="s">
        <v>2654</v>
      </c>
      <c r="BM432" s="7"/>
      <c r="BN432" s="7"/>
      <c r="BO432" s="4"/>
      <c r="BP432" s="8"/>
      <c r="BQ432" s="4"/>
      <c r="BR432" s="8"/>
      <c r="BS432" s="7"/>
      <c r="BT432" s="7"/>
      <c r="BU432" s="2" t="s">
        <v>2655</v>
      </c>
      <c r="BV432" s="2" t="s">
        <v>231</v>
      </c>
      <c r="BW432" s="2" t="s">
        <v>231</v>
      </c>
      <c r="BX432" s="2" t="s">
        <v>231</v>
      </c>
      <c r="BY432" s="2" t="s">
        <v>277</v>
      </c>
      <c r="BZ432" s="2" t="s">
        <v>243</v>
      </c>
      <c r="CA432" s="2" t="s">
        <v>2656</v>
      </c>
      <c r="CB432" s="2" t="s">
        <v>2657</v>
      </c>
      <c r="CC432" s="2" t="s">
        <v>244</v>
      </c>
      <c r="CD432" s="2" t="s">
        <v>231</v>
      </c>
      <c r="CE432" s="4"/>
      <c r="CF432" s="4">
        <v>80</v>
      </c>
      <c r="CG432" s="4"/>
      <c r="CH432" s="4"/>
      <c r="CI432" s="4">
        <v>31</v>
      </c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</row>
    <row r="433">
      <c r="A433" s="2" t="s">
        <v>2658</v>
      </c>
      <c r="B433" s="2" t="s">
        <v>847</v>
      </c>
      <c r="C433" s="2" t="s">
        <v>815</v>
      </c>
      <c r="D433" s="2" t="s">
        <v>882</v>
      </c>
      <c r="E433" s="2" t="s">
        <v>2191</v>
      </c>
      <c r="F433" s="2" t="s">
        <v>2659</v>
      </c>
      <c r="G433" s="2" t="s">
        <v>2659</v>
      </c>
      <c r="H433" s="2" t="s">
        <v>2659</v>
      </c>
      <c r="I433" s="2" t="s">
        <v>2660</v>
      </c>
      <c r="J433" s="2" t="s">
        <v>807</v>
      </c>
      <c r="K433" s="2" t="s">
        <v>1491</v>
      </c>
      <c r="L433" s="3">
        <v>32.38</v>
      </c>
      <c r="M433" s="3">
        <v>34</v>
      </c>
      <c r="N433" s="3">
        <v>67.99</v>
      </c>
      <c r="O433" s="2" t="s">
        <v>243</v>
      </c>
      <c r="P433" s="2" t="s">
        <v>871</v>
      </c>
      <c r="Q433" s="2" t="s">
        <v>237</v>
      </c>
      <c r="R433" s="2" t="s">
        <v>231</v>
      </c>
      <c r="S433" s="2" t="s">
        <v>231</v>
      </c>
      <c r="T433" s="2" t="s">
        <v>231</v>
      </c>
      <c r="U433" s="2" t="s">
        <v>791</v>
      </c>
      <c r="V433" s="2" t="s">
        <v>662</v>
      </c>
      <c r="W433" s="2" t="s">
        <v>273</v>
      </c>
      <c r="X433" s="2" t="s">
        <v>792</v>
      </c>
      <c r="Y433" s="2" t="s">
        <v>2661</v>
      </c>
      <c r="Z433" s="4">
        <v>265</v>
      </c>
      <c r="AA433" s="4">
        <f>=ROUNDDOWN(20.3846153846154,0)</f>
      </c>
      <c r="AB433" s="5">
        <v>13</v>
      </c>
      <c r="AC433" s="2" t="s">
        <v>582</v>
      </c>
      <c r="AD433" s="4">
        <v>100</v>
      </c>
      <c r="AE433" s="4">
        <v>100</v>
      </c>
      <c r="AF433" s="6">
        <v>63</v>
      </c>
      <c r="AG433" s="6"/>
      <c r="AH433" s="7">
        <v>1</v>
      </c>
      <c r="AI433" s="4"/>
      <c r="AJ433" s="4">
        <f>=ROUNDDOWN({0},0)</f>
      </c>
      <c r="AK433" s="5"/>
      <c r="AL433" s="2" t="s">
        <v>231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>
        <v>44</v>
      </c>
      <c r="BK433" s="8">
        <v>1857.43</v>
      </c>
      <c r="BL433" s="2" t="s">
        <v>2662</v>
      </c>
      <c r="BM433" s="7"/>
      <c r="BN433" s="7"/>
      <c r="BO433" s="4"/>
      <c r="BP433" s="8"/>
      <c r="BQ433" s="4"/>
      <c r="BR433" s="8"/>
      <c r="BS433" s="7"/>
      <c r="BT433" s="7"/>
      <c r="BU433" s="2" t="s">
        <v>2663</v>
      </c>
      <c r="BV433" s="2" t="s">
        <v>231</v>
      </c>
      <c r="BW433" s="2" t="s">
        <v>231</v>
      </c>
      <c r="BX433" s="2" t="s">
        <v>241</v>
      </c>
      <c r="BY433" s="2" t="s">
        <v>277</v>
      </c>
      <c r="BZ433" s="2" t="s">
        <v>243</v>
      </c>
      <c r="CA433" s="2" t="s">
        <v>2403</v>
      </c>
      <c r="CB433" s="2" t="s">
        <v>2664</v>
      </c>
      <c r="CC433" s="2" t="s">
        <v>244</v>
      </c>
      <c r="CD433" s="2" t="s">
        <v>231</v>
      </c>
      <c r="CE433" s="4"/>
      <c r="CF433" s="4">
        <v>265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>
        <v>100</v>
      </c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</row>
    <row r="434">
      <c r="A434" s="2" t="s">
        <v>2665</v>
      </c>
      <c r="B434" s="2" t="s">
        <v>1186</v>
      </c>
      <c r="C434" s="2" t="s">
        <v>1017</v>
      </c>
      <c r="D434" s="2" t="s">
        <v>654</v>
      </c>
      <c r="E434" s="2" t="s">
        <v>890</v>
      </c>
      <c r="F434" s="2" t="s">
        <v>2666</v>
      </c>
      <c r="G434" s="2" t="s">
        <v>2667</v>
      </c>
      <c r="H434" s="2" t="s">
        <v>2668</v>
      </c>
      <c r="I434" s="2" t="s">
        <v>2669</v>
      </c>
      <c r="J434" s="2" t="s">
        <v>669</v>
      </c>
      <c r="K434" s="2" t="s">
        <v>294</v>
      </c>
      <c r="L434" s="3">
        <v>33.33</v>
      </c>
      <c r="M434" s="3">
        <v>35</v>
      </c>
      <c r="N434" s="3">
        <v>69.99</v>
      </c>
      <c r="O434" s="2" t="s">
        <v>243</v>
      </c>
      <c r="P434" s="2" t="s">
        <v>270</v>
      </c>
      <c r="Q434" s="2" t="s">
        <v>237</v>
      </c>
      <c r="R434" s="2" t="s">
        <v>231</v>
      </c>
      <c r="S434" s="2" t="s">
        <v>2670</v>
      </c>
      <c r="T434" s="2" t="s">
        <v>472</v>
      </c>
      <c r="U434" s="2" t="s">
        <v>835</v>
      </c>
      <c r="V434" s="2" t="s">
        <v>391</v>
      </c>
      <c r="W434" s="2" t="s">
        <v>691</v>
      </c>
      <c r="X434" s="2" t="s">
        <v>273</v>
      </c>
      <c r="Y434" s="2" t="s">
        <v>2671</v>
      </c>
      <c r="Z434" s="4">
        <v>1079</v>
      </c>
      <c r="AA434" s="4">
        <f>=ROUNDDOWN(38.5357142857143,0)</f>
      </c>
      <c r="AB434" s="5">
        <v>28</v>
      </c>
      <c r="AC434" s="2" t="s">
        <v>2672</v>
      </c>
      <c r="AD434" s="4">
        <v>400</v>
      </c>
      <c r="AE434" s="4">
        <v>800</v>
      </c>
      <c r="AF434" s="6">
        <v>63</v>
      </c>
      <c r="AG434" s="6">
        <v>46</v>
      </c>
      <c r="AH434" s="7">
        <v>1</v>
      </c>
      <c r="AI434" s="4"/>
      <c r="AJ434" s="4">
        <f>=ROUNDDOWN({0},0)</f>
      </c>
      <c r="AK434" s="5"/>
      <c r="AL434" s="2" t="s">
        <v>231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231</v>
      </c>
      <c r="BD434" s="8" t="s">
        <v>231</v>
      </c>
      <c r="BE434" s="4" t="s">
        <v>231</v>
      </c>
      <c r="BF434" s="8" t="s">
        <v>231</v>
      </c>
      <c r="BG434" s="7" t="s">
        <v>231</v>
      </c>
      <c r="BH434" s="7" t="s">
        <v>231</v>
      </c>
      <c r="BI434" s="7"/>
      <c r="BJ434" s="4">
        <v>89</v>
      </c>
      <c r="BK434" s="8">
        <v>3205.15</v>
      </c>
      <c r="BL434" s="2" t="s">
        <v>2673</v>
      </c>
      <c r="BM434" s="7"/>
      <c r="BN434" s="7"/>
      <c r="BO434" s="4"/>
      <c r="BP434" s="8"/>
      <c r="BQ434" s="4"/>
      <c r="BR434" s="8"/>
      <c r="BS434" s="7"/>
      <c r="BT434" s="7"/>
      <c r="BU434" s="2" t="s">
        <v>2674</v>
      </c>
      <c r="BV434" s="2" t="s">
        <v>231</v>
      </c>
      <c r="BW434" s="2" t="s">
        <v>231</v>
      </c>
      <c r="BX434" s="2" t="s">
        <v>2109</v>
      </c>
      <c r="BY434" s="2" t="s">
        <v>277</v>
      </c>
      <c r="BZ434" s="2" t="s">
        <v>243</v>
      </c>
      <c r="CA434" s="2" t="s">
        <v>2675</v>
      </c>
      <c r="CB434" s="2" t="s">
        <v>926</v>
      </c>
      <c r="CC434" s="2" t="s">
        <v>244</v>
      </c>
      <c r="CD434" s="2" t="s">
        <v>231</v>
      </c>
      <c r="CE434" s="4">
        <v>317</v>
      </c>
      <c r="CF434" s="4"/>
      <c r="CG434" s="4"/>
      <c r="CH434" s="4"/>
      <c r="CI434" s="4">
        <v>588</v>
      </c>
      <c r="CJ434" s="4"/>
      <c r="CK434" s="4"/>
      <c r="CL434" s="4">
        <v>174</v>
      </c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>
        <v>400</v>
      </c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>
        <v>400</v>
      </c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</row>
    <row r="435">
      <c r="A435" s="2" t="s">
        <v>2676</v>
      </c>
      <c r="B435" s="2" t="s">
        <v>1186</v>
      </c>
      <c r="C435" s="2" t="s">
        <v>1017</v>
      </c>
      <c r="D435" s="2" t="s">
        <v>654</v>
      </c>
      <c r="E435" s="2" t="s">
        <v>890</v>
      </c>
      <c r="F435" s="2" t="s">
        <v>2666</v>
      </c>
      <c r="G435" s="2" t="s">
        <v>2667</v>
      </c>
      <c r="H435" s="2" t="s">
        <v>2668</v>
      </c>
      <c r="I435" s="2" t="s">
        <v>2669</v>
      </c>
      <c r="J435" s="2" t="s">
        <v>832</v>
      </c>
      <c r="K435" s="2" t="s">
        <v>2677</v>
      </c>
      <c r="L435" s="3">
        <v>23.8</v>
      </c>
      <c r="M435" s="3">
        <v>24.99</v>
      </c>
      <c r="N435" s="3">
        <v>49.99</v>
      </c>
      <c r="O435" s="2" t="s">
        <v>243</v>
      </c>
      <c r="P435" s="2" t="s">
        <v>236</v>
      </c>
      <c r="Q435" s="2" t="s">
        <v>237</v>
      </c>
      <c r="R435" s="2" t="s">
        <v>231</v>
      </c>
      <c r="S435" s="2" t="s">
        <v>2678</v>
      </c>
      <c r="T435" s="2" t="s">
        <v>472</v>
      </c>
      <c r="U435" s="2" t="s">
        <v>791</v>
      </c>
      <c r="V435" s="2" t="s">
        <v>391</v>
      </c>
      <c r="W435" s="2" t="s">
        <v>691</v>
      </c>
      <c r="X435" s="2" t="s">
        <v>273</v>
      </c>
      <c r="Y435" s="2" t="s">
        <v>231</v>
      </c>
      <c r="Z435" s="4"/>
      <c r="AA435" s="4">
        <f>=ROUNDDOWN({0},0)</f>
      </c>
      <c r="AB435" s="5"/>
      <c r="AC435" s="2" t="s">
        <v>2672</v>
      </c>
      <c r="AD435" s="4">
        <v>100</v>
      </c>
      <c r="AE435" s="4">
        <v>172</v>
      </c>
      <c r="AF435" s="6">
        <v>63</v>
      </c>
      <c r="AG435" s="6">
        <v>46</v>
      </c>
      <c r="AH435" s="7">
        <v>0</v>
      </c>
      <c r="AI435" s="4"/>
      <c r="AJ435" s="4">
        <f>=ROUNDDOWN({0},0)</f>
      </c>
      <c r="AK435" s="5"/>
      <c r="AL435" s="2" t="s">
        <v>231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231</v>
      </c>
      <c r="AW435" s="8" t="s">
        <v>231</v>
      </c>
      <c r="AX435" s="4" t="s">
        <v>231</v>
      </c>
      <c r="AY435" s="8" t="s">
        <v>231</v>
      </c>
      <c r="AZ435" s="7" t="s">
        <v>231</v>
      </c>
      <c r="BA435" s="7" t="s">
        <v>231</v>
      </c>
      <c r="BB435" s="7"/>
      <c r="BC435" s="4" t="s">
        <v>231</v>
      </c>
      <c r="BD435" s="8" t="s">
        <v>231</v>
      </c>
      <c r="BE435" s="4" t="s">
        <v>231</v>
      </c>
      <c r="BF435" s="8" t="s">
        <v>231</v>
      </c>
      <c r="BG435" s="7" t="s">
        <v>231</v>
      </c>
      <c r="BH435" s="7" t="s">
        <v>231</v>
      </c>
      <c r="BI435" s="7"/>
      <c r="BJ435" s="4"/>
      <c r="BK435" s="8"/>
      <c r="BL435" s="2" t="s">
        <v>231</v>
      </c>
      <c r="BM435" s="7"/>
      <c r="BN435" s="7"/>
      <c r="BO435" s="4"/>
      <c r="BP435" s="8"/>
      <c r="BQ435" s="4"/>
      <c r="BR435" s="8"/>
      <c r="BS435" s="7"/>
      <c r="BT435" s="7"/>
      <c r="BU435" s="2" t="s">
        <v>241</v>
      </c>
      <c r="BV435" s="2" t="s">
        <v>231</v>
      </c>
      <c r="BW435" s="2" t="s">
        <v>231</v>
      </c>
      <c r="BX435" s="2" t="s">
        <v>2109</v>
      </c>
      <c r="BY435" s="2" t="s">
        <v>242</v>
      </c>
      <c r="BZ435" s="2" t="s">
        <v>243</v>
      </c>
      <c r="CA435" s="2" t="s">
        <v>231</v>
      </c>
      <c r="CB435" s="2" t="s">
        <v>231</v>
      </c>
      <c r="CC435" s="2" t="s">
        <v>244</v>
      </c>
      <c r="CD435" s="2" t="s">
        <v>231</v>
      </c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>
        <v>100</v>
      </c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>
        <v>72</v>
      </c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</row>
    <row r="436">
      <c r="A436" s="2" t="s">
        <v>2679</v>
      </c>
      <c r="B436" s="2" t="s">
        <v>1186</v>
      </c>
      <c r="C436" s="2" t="s">
        <v>1017</v>
      </c>
      <c r="D436" s="2" t="s">
        <v>654</v>
      </c>
      <c r="E436" s="2" t="s">
        <v>890</v>
      </c>
      <c r="F436" s="2" t="s">
        <v>2666</v>
      </c>
      <c r="G436" s="2" t="s">
        <v>2667</v>
      </c>
      <c r="H436" s="2" t="s">
        <v>2668</v>
      </c>
      <c r="I436" s="2" t="s">
        <v>2669</v>
      </c>
      <c r="J436" s="2" t="s">
        <v>658</v>
      </c>
      <c r="K436" s="2" t="s">
        <v>2677</v>
      </c>
      <c r="L436" s="3">
        <v>30.95</v>
      </c>
      <c r="M436" s="3">
        <v>32.5</v>
      </c>
      <c r="N436" s="3">
        <v>64.99</v>
      </c>
      <c r="O436" s="2" t="s">
        <v>243</v>
      </c>
      <c r="P436" s="2" t="s">
        <v>236</v>
      </c>
      <c r="Q436" s="2" t="s">
        <v>237</v>
      </c>
      <c r="R436" s="2" t="s">
        <v>231</v>
      </c>
      <c r="S436" s="2" t="s">
        <v>2678</v>
      </c>
      <c r="T436" s="2" t="s">
        <v>472</v>
      </c>
      <c r="U436" s="2" t="s">
        <v>835</v>
      </c>
      <c r="V436" s="2" t="s">
        <v>391</v>
      </c>
      <c r="W436" s="2" t="s">
        <v>691</v>
      </c>
      <c r="X436" s="2" t="s">
        <v>273</v>
      </c>
      <c r="Y436" s="2" t="s">
        <v>231</v>
      </c>
      <c r="Z436" s="4"/>
      <c r="AA436" s="4">
        <f>=ROUNDDOWN({0},0)</f>
      </c>
      <c r="AB436" s="5"/>
      <c r="AC436" s="2" t="s">
        <v>2672</v>
      </c>
      <c r="AD436" s="4">
        <v>520</v>
      </c>
      <c r="AE436" s="4">
        <v>870</v>
      </c>
      <c r="AF436" s="6">
        <v>63</v>
      </c>
      <c r="AG436" s="6">
        <v>46</v>
      </c>
      <c r="AH436" s="7">
        <v>0</v>
      </c>
      <c r="AI436" s="4"/>
      <c r="AJ436" s="4">
        <f>=ROUNDDOWN({0},0)</f>
      </c>
      <c r="AK436" s="5"/>
      <c r="AL436" s="2" t="s">
        <v>231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231</v>
      </c>
      <c r="AW436" s="8" t="s">
        <v>231</v>
      </c>
      <c r="AX436" s="4" t="s">
        <v>231</v>
      </c>
      <c r="AY436" s="8" t="s">
        <v>231</v>
      </c>
      <c r="AZ436" s="7" t="s">
        <v>231</v>
      </c>
      <c r="BA436" s="7" t="s">
        <v>231</v>
      </c>
      <c r="BB436" s="7"/>
      <c r="BC436" s="4" t="s">
        <v>231</v>
      </c>
      <c r="BD436" s="8" t="s">
        <v>231</v>
      </c>
      <c r="BE436" s="4" t="s">
        <v>231</v>
      </c>
      <c r="BF436" s="8" t="s">
        <v>231</v>
      </c>
      <c r="BG436" s="7" t="s">
        <v>231</v>
      </c>
      <c r="BH436" s="7" t="s">
        <v>231</v>
      </c>
      <c r="BI436" s="7"/>
      <c r="BJ436" s="4"/>
      <c r="BK436" s="8"/>
      <c r="BL436" s="2" t="s">
        <v>231</v>
      </c>
      <c r="BM436" s="7"/>
      <c r="BN436" s="7"/>
      <c r="BO436" s="4"/>
      <c r="BP436" s="8"/>
      <c r="BQ436" s="4"/>
      <c r="BR436" s="8"/>
      <c r="BS436" s="7"/>
      <c r="BT436" s="7"/>
      <c r="BU436" s="2" t="s">
        <v>241</v>
      </c>
      <c r="BV436" s="2" t="s">
        <v>231</v>
      </c>
      <c r="BW436" s="2" t="s">
        <v>231</v>
      </c>
      <c r="BX436" s="2" t="s">
        <v>2109</v>
      </c>
      <c r="BY436" s="2" t="s">
        <v>242</v>
      </c>
      <c r="BZ436" s="2" t="s">
        <v>243</v>
      </c>
      <c r="CA436" s="2" t="s">
        <v>231</v>
      </c>
      <c r="CB436" s="2" t="s">
        <v>231</v>
      </c>
      <c r="CC436" s="2" t="s">
        <v>244</v>
      </c>
      <c r="CD436" s="2" t="s">
        <v>231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>
        <v>520</v>
      </c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>
        <v>350</v>
      </c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</row>
    <row r="437">
      <c r="A437" s="2" t="s">
        <v>2680</v>
      </c>
      <c r="B437" s="2" t="s">
        <v>1186</v>
      </c>
      <c r="C437" s="2" t="s">
        <v>1017</v>
      </c>
      <c r="D437" s="2" t="s">
        <v>654</v>
      </c>
      <c r="E437" s="2" t="s">
        <v>890</v>
      </c>
      <c r="F437" s="2" t="s">
        <v>2666</v>
      </c>
      <c r="G437" s="2" t="s">
        <v>2667</v>
      </c>
      <c r="H437" s="2" t="s">
        <v>2668</v>
      </c>
      <c r="I437" s="2" t="s">
        <v>2669</v>
      </c>
      <c r="J437" s="2" t="s">
        <v>669</v>
      </c>
      <c r="K437" s="2" t="s">
        <v>2677</v>
      </c>
      <c r="L437" s="3">
        <v>33.33</v>
      </c>
      <c r="M437" s="3">
        <v>35</v>
      </c>
      <c r="N437" s="3">
        <v>69.99</v>
      </c>
      <c r="O437" s="2" t="s">
        <v>243</v>
      </c>
      <c r="P437" s="2" t="s">
        <v>236</v>
      </c>
      <c r="Q437" s="2" t="s">
        <v>237</v>
      </c>
      <c r="R437" s="2" t="s">
        <v>231</v>
      </c>
      <c r="S437" s="2" t="s">
        <v>2678</v>
      </c>
      <c r="T437" s="2" t="s">
        <v>472</v>
      </c>
      <c r="U437" s="2" t="s">
        <v>835</v>
      </c>
      <c r="V437" s="2" t="s">
        <v>391</v>
      </c>
      <c r="W437" s="2" t="s">
        <v>691</v>
      </c>
      <c r="X437" s="2" t="s">
        <v>273</v>
      </c>
      <c r="Y437" s="2" t="s">
        <v>231</v>
      </c>
      <c r="Z437" s="4"/>
      <c r="AA437" s="4">
        <f>=ROUNDDOWN({0},0)</f>
      </c>
      <c r="AB437" s="5"/>
      <c r="AC437" s="2" t="s">
        <v>2672</v>
      </c>
      <c r="AD437" s="4">
        <v>402</v>
      </c>
      <c r="AE437" s="4">
        <v>676</v>
      </c>
      <c r="AF437" s="6">
        <v>63</v>
      </c>
      <c r="AG437" s="6">
        <v>46</v>
      </c>
      <c r="AH437" s="7">
        <v>0</v>
      </c>
      <c r="AI437" s="4"/>
      <c r="AJ437" s="4">
        <f>=ROUNDDOWN({0},0)</f>
      </c>
      <c r="AK437" s="5"/>
      <c r="AL437" s="2" t="s">
        <v>231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231</v>
      </c>
      <c r="AW437" s="8" t="s">
        <v>231</v>
      </c>
      <c r="AX437" s="4" t="s">
        <v>231</v>
      </c>
      <c r="AY437" s="8" t="s">
        <v>231</v>
      </c>
      <c r="AZ437" s="7" t="s">
        <v>231</v>
      </c>
      <c r="BA437" s="7" t="s">
        <v>231</v>
      </c>
      <c r="BB437" s="7"/>
      <c r="BC437" s="4" t="s">
        <v>231</v>
      </c>
      <c r="BD437" s="8" t="s">
        <v>231</v>
      </c>
      <c r="BE437" s="4" t="s">
        <v>231</v>
      </c>
      <c r="BF437" s="8" t="s">
        <v>231</v>
      </c>
      <c r="BG437" s="7" t="s">
        <v>231</v>
      </c>
      <c r="BH437" s="7" t="s">
        <v>231</v>
      </c>
      <c r="BI437" s="7"/>
      <c r="BJ437" s="4"/>
      <c r="BK437" s="8"/>
      <c r="BL437" s="2" t="s">
        <v>231</v>
      </c>
      <c r="BM437" s="7"/>
      <c r="BN437" s="7"/>
      <c r="BO437" s="4"/>
      <c r="BP437" s="8"/>
      <c r="BQ437" s="4"/>
      <c r="BR437" s="8"/>
      <c r="BS437" s="7"/>
      <c r="BT437" s="7"/>
      <c r="BU437" s="2" t="s">
        <v>241</v>
      </c>
      <c r="BV437" s="2" t="s">
        <v>231</v>
      </c>
      <c r="BW437" s="2" t="s">
        <v>231</v>
      </c>
      <c r="BX437" s="2" t="s">
        <v>2109</v>
      </c>
      <c r="BY437" s="2" t="s">
        <v>242</v>
      </c>
      <c r="BZ437" s="2" t="s">
        <v>243</v>
      </c>
      <c r="CA437" s="2" t="s">
        <v>231</v>
      </c>
      <c r="CB437" s="2" t="s">
        <v>231</v>
      </c>
      <c r="CC437" s="2" t="s">
        <v>244</v>
      </c>
      <c r="CD437" s="2" t="s">
        <v>231</v>
      </c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>
        <v>402</v>
      </c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>
        <v>274</v>
      </c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</row>
    <row r="438">
      <c r="A438" s="2" t="s">
        <v>2681</v>
      </c>
      <c r="B438" s="2" t="s">
        <v>1186</v>
      </c>
      <c r="C438" s="2" t="s">
        <v>1017</v>
      </c>
      <c r="D438" s="2" t="s">
        <v>654</v>
      </c>
      <c r="E438" s="2" t="s">
        <v>890</v>
      </c>
      <c r="F438" s="2" t="s">
        <v>2666</v>
      </c>
      <c r="G438" s="2" t="s">
        <v>2667</v>
      </c>
      <c r="H438" s="2" t="s">
        <v>2668</v>
      </c>
      <c r="I438" s="2" t="s">
        <v>2669</v>
      </c>
      <c r="J438" s="2" t="s">
        <v>832</v>
      </c>
      <c r="K438" s="2" t="s">
        <v>901</v>
      </c>
      <c r="L438" s="3">
        <v>23.8</v>
      </c>
      <c r="M438" s="3">
        <v>24.99</v>
      </c>
      <c r="N438" s="3">
        <v>49.99</v>
      </c>
      <c r="O438" s="2" t="s">
        <v>243</v>
      </c>
      <c r="P438" s="2" t="s">
        <v>270</v>
      </c>
      <c r="Q438" s="2" t="s">
        <v>237</v>
      </c>
      <c r="R438" s="2" t="s">
        <v>231</v>
      </c>
      <c r="S438" s="2" t="s">
        <v>2682</v>
      </c>
      <c r="T438" s="2" t="s">
        <v>472</v>
      </c>
      <c r="U438" s="2" t="s">
        <v>791</v>
      </c>
      <c r="V438" s="2" t="s">
        <v>391</v>
      </c>
      <c r="W438" s="2" t="s">
        <v>691</v>
      </c>
      <c r="X438" s="2" t="s">
        <v>273</v>
      </c>
      <c r="Y438" s="2" t="s">
        <v>2683</v>
      </c>
      <c r="Z438" s="4">
        <v>277</v>
      </c>
      <c r="AA438" s="4">
        <f>=ROUNDDOWN(34.625,0)</f>
      </c>
      <c r="AB438" s="5">
        <v>8</v>
      </c>
      <c r="AC438" s="2" t="s">
        <v>2672</v>
      </c>
      <c r="AD438" s="4">
        <v>38</v>
      </c>
      <c r="AE438" s="4">
        <v>190</v>
      </c>
      <c r="AF438" s="6">
        <v>63</v>
      </c>
      <c r="AG438" s="6">
        <v>46</v>
      </c>
      <c r="AH438" s="7">
        <v>1</v>
      </c>
      <c r="AI438" s="4"/>
      <c r="AJ438" s="4">
        <f>=ROUNDDOWN({0},0)</f>
      </c>
      <c r="AK438" s="5"/>
      <c r="AL438" s="2" t="s">
        <v>231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231</v>
      </c>
      <c r="BD438" s="8" t="s">
        <v>231</v>
      </c>
      <c r="BE438" s="4" t="s">
        <v>231</v>
      </c>
      <c r="BF438" s="8" t="s">
        <v>231</v>
      </c>
      <c r="BG438" s="7" t="s">
        <v>231</v>
      </c>
      <c r="BH438" s="7" t="s">
        <v>231</v>
      </c>
      <c r="BI438" s="7"/>
      <c r="BJ438" s="4">
        <v>25</v>
      </c>
      <c r="BK438" s="8">
        <v>660.6</v>
      </c>
      <c r="BL438" s="2" t="s">
        <v>2684</v>
      </c>
      <c r="BM438" s="7"/>
      <c r="BN438" s="7"/>
      <c r="BO438" s="4"/>
      <c r="BP438" s="8"/>
      <c r="BQ438" s="4"/>
      <c r="BR438" s="8"/>
      <c r="BS438" s="7"/>
      <c r="BT438" s="7"/>
      <c r="BU438" s="2" t="s">
        <v>2685</v>
      </c>
      <c r="BV438" s="2" t="s">
        <v>231</v>
      </c>
      <c r="BW438" s="2" t="s">
        <v>231</v>
      </c>
      <c r="BX438" s="2" t="s">
        <v>2109</v>
      </c>
      <c r="BY438" s="2" t="s">
        <v>277</v>
      </c>
      <c r="BZ438" s="2" t="s">
        <v>243</v>
      </c>
      <c r="CA438" s="2" t="s">
        <v>2683</v>
      </c>
      <c r="CB438" s="2" t="s">
        <v>926</v>
      </c>
      <c r="CC438" s="2" t="s">
        <v>244</v>
      </c>
      <c r="CD438" s="2" t="s">
        <v>231</v>
      </c>
      <c r="CE438" s="4">
        <v>50</v>
      </c>
      <c r="CF438" s="4"/>
      <c r="CG438" s="4"/>
      <c r="CH438" s="4"/>
      <c r="CI438" s="4">
        <v>109</v>
      </c>
      <c r="CJ438" s="4"/>
      <c r="CK438" s="4"/>
      <c r="CL438" s="4">
        <v>118</v>
      </c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>
        <v>38</v>
      </c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>
        <v>152</v>
      </c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</row>
    <row r="439">
      <c r="A439" s="2" t="s">
        <v>2686</v>
      </c>
      <c r="B439" s="2" t="s">
        <v>1186</v>
      </c>
      <c r="C439" s="2" t="s">
        <v>1017</v>
      </c>
      <c r="D439" s="2" t="s">
        <v>654</v>
      </c>
      <c r="E439" s="2" t="s">
        <v>890</v>
      </c>
      <c r="F439" s="2" t="s">
        <v>2666</v>
      </c>
      <c r="G439" s="2" t="s">
        <v>2667</v>
      </c>
      <c r="H439" s="2" t="s">
        <v>2668</v>
      </c>
      <c r="I439" s="2" t="s">
        <v>2669</v>
      </c>
      <c r="J439" s="2" t="s">
        <v>832</v>
      </c>
      <c r="K439" s="2" t="s">
        <v>1491</v>
      </c>
      <c r="L439" s="3">
        <v>23.8</v>
      </c>
      <c r="M439" s="3">
        <v>24.99</v>
      </c>
      <c r="N439" s="3">
        <v>49.99</v>
      </c>
      <c r="O439" s="2" t="s">
        <v>243</v>
      </c>
      <c r="P439" s="2" t="s">
        <v>236</v>
      </c>
      <c r="Q439" s="2" t="s">
        <v>237</v>
      </c>
      <c r="R439" s="2" t="s">
        <v>231</v>
      </c>
      <c r="S439" s="2" t="s">
        <v>2687</v>
      </c>
      <c r="T439" s="2" t="s">
        <v>472</v>
      </c>
      <c r="U439" s="2" t="s">
        <v>791</v>
      </c>
      <c r="V439" s="2" t="s">
        <v>391</v>
      </c>
      <c r="W439" s="2" t="s">
        <v>691</v>
      </c>
      <c r="X439" s="2" t="s">
        <v>273</v>
      </c>
      <c r="Y439" s="2" t="s">
        <v>231</v>
      </c>
      <c r="Z439" s="4"/>
      <c r="AA439" s="4">
        <f>=ROUNDDOWN({0},0)</f>
      </c>
      <c r="AB439" s="5"/>
      <c r="AC439" s="2" t="s">
        <v>2672</v>
      </c>
      <c r="AD439" s="4">
        <v>150</v>
      </c>
      <c r="AE439" s="4">
        <v>338</v>
      </c>
      <c r="AF439" s="6">
        <v>63</v>
      </c>
      <c r="AG439" s="6">
        <v>46</v>
      </c>
      <c r="AH439" s="7">
        <v>0</v>
      </c>
      <c r="AI439" s="4"/>
      <c r="AJ439" s="4">
        <f>=ROUNDDOWN({0},0)</f>
      </c>
      <c r="AK439" s="5"/>
      <c r="AL439" s="2" t="s">
        <v>231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231</v>
      </c>
      <c r="AW439" s="8" t="s">
        <v>231</v>
      </c>
      <c r="AX439" s="4" t="s">
        <v>231</v>
      </c>
      <c r="AY439" s="8" t="s">
        <v>231</v>
      </c>
      <c r="AZ439" s="7" t="s">
        <v>231</v>
      </c>
      <c r="BA439" s="7" t="s">
        <v>231</v>
      </c>
      <c r="BB439" s="7"/>
      <c r="BC439" s="4" t="s">
        <v>231</v>
      </c>
      <c r="BD439" s="8" t="s">
        <v>231</v>
      </c>
      <c r="BE439" s="4" t="s">
        <v>231</v>
      </c>
      <c r="BF439" s="8" t="s">
        <v>231</v>
      </c>
      <c r="BG439" s="7" t="s">
        <v>231</v>
      </c>
      <c r="BH439" s="7" t="s">
        <v>231</v>
      </c>
      <c r="BI439" s="7"/>
      <c r="BJ439" s="4"/>
      <c r="BK439" s="8"/>
      <c r="BL439" s="2" t="s">
        <v>231</v>
      </c>
      <c r="BM439" s="7"/>
      <c r="BN439" s="7"/>
      <c r="BO439" s="4"/>
      <c r="BP439" s="8"/>
      <c r="BQ439" s="4"/>
      <c r="BR439" s="8"/>
      <c r="BS439" s="7"/>
      <c r="BT439" s="7"/>
      <c r="BU439" s="2" t="s">
        <v>241</v>
      </c>
      <c r="BV439" s="2" t="s">
        <v>231</v>
      </c>
      <c r="BW439" s="2" t="s">
        <v>231</v>
      </c>
      <c r="BX439" s="2" t="s">
        <v>2109</v>
      </c>
      <c r="BY439" s="2" t="s">
        <v>242</v>
      </c>
      <c r="BZ439" s="2" t="s">
        <v>243</v>
      </c>
      <c r="CA439" s="2" t="s">
        <v>231</v>
      </c>
      <c r="CB439" s="2" t="s">
        <v>231</v>
      </c>
      <c r="CC439" s="2" t="s">
        <v>244</v>
      </c>
      <c r="CD439" s="2" t="s">
        <v>231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>
        <v>150</v>
      </c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>
        <v>188</v>
      </c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</row>
    <row r="440">
      <c r="A440" s="2" t="s">
        <v>2688</v>
      </c>
      <c r="B440" s="2" t="s">
        <v>1186</v>
      </c>
      <c r="C440" s="2" t="s">
        <v>1017</v>
      </c>
      <c r="D440" s="2" t="s">
        <v>654</v>
      </c>
      <c r="E440" s="2" t="s">
        <v>890</v>
      </c>
      <c r="F440" s="2" t="s">
        <v>2666</v>
      </c>
      <c r="G440" s="2" t="s">
        <v>2667</v>
      </c>
      <c r="H440" s="2" t="s">
        <v>2668</v>
      </c>
      <c r="I440" s="2" t="s">
        <v>2669</v>
      </c>
      <c r="J440" s="2" t="s">
        <v>658</v>
      </c>
      <c r="K440" s="2" t="s">
        <v>1491</v>
      </c>
      <c r="L440" s="3">
        <v>30.95</v>
      </c>
      <c r="M440" s="3">
        <v>32.5</v>
      </c>
      <c r="N440" s="3">
        <v>64.99</v>
      </c>
      <c r="O440" s="2" t="s">
        <v>243</v>
      </c>
      <c r="P440" s="2" t="s">
        <v>236</v>
      </c>
      <c r="Q440" s="2" t="s">
        <v>237</v>
      </c>
      <c r="R440" s="2" t="s">
        <v>231</v>
      </c>
      <c r="S440" s="2" t="s">
        <v>2687</v>
      </c>
      <c r="T440" s="2" t="s">
        <v>472</v>
      </c>
      <c r="U440" s="2" t="s">
        <v>835</v>
      </c>
      <c r="V440" s="2" t="s">
        <v>391</v>
      </c>
      <c r="W440" s="2" t="s">
        <v>691</v>
      </c>
      <c r="X440" s="2" t="s">
        <v>273</v>
      </c>
      <c r="Y440" s="2" t="s">
        <v>231</v>
      </c>
      <c r="Z440" s="4"/>
      <c r="AA440" s="4">
        <f>=ROUNDDOWN({0},0)</f>
      </c>
      <c r="AB440" s="5"/>
      <c r="AC440" s="2" t="s">
        <v>2672</v>
      </c>
      <c r="AD440" s="4">
        <v>684</v>
      </c>
      <c r="AE440" s="4">
        <v>1544</v>
      </c>
      <c r="AF440" s="6">
        <v>63</v>
      </c>
      <c r="AG440" s="6">
        <v>46</v>
      </c>
      <c r="AH440" s="7">
        <v>0</v>
      </c>
      <c r="AI440" s="4"/>
      <c r="AJ440" s="4">
        <f>=ROUNDDOWN({0},0)</f>
      </c>
      <c r="AK440" s="5"/>
      <c r="AL440" s="2" t="s">
        <v>231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231</v>
      </c>
      <c r="AW440" s="8" t="s">
        <v>231</v>
      </c>
      <c r="AX440" s="4" t="s">
        <v>231</v>
      </c>
      <c r="AY440" s="8" t="s">
        <v>231</v>
      </c>
      <c r="AZ440" s="7" t="s">
        <v>231</v>
      </c>
      <c r="BA440" s="7" t="s">
        <v>231</v>
      </c>
      <c r="BB440" s="7"/>
      <c r="BC440" s="4" t="s">
        <v>231</v>
      </c>
      <c r="BD440" s="8" t="s">
        <v>231</v>
      </c>
      <c r="BE440" s="4" t="s">
        <v>231</v>
      </c>
      <c r="BF440" s="8" t="s">
        <v>231</v>
      </c>
      <c r="BG440" s="7" t="s">
        <v>231</v>
      </c>
      <c r="BH440" s="7" t="s">
        <v>231</v>
      </c>
      <c r="BI440" s="7"/>
      <c r="BJ440" s="4"/>
      <c r="BK440" s="8"/>
      <c r="BL440" s="2" t="s">
        <v>231</v>
      </c>
      <c r="BM440" s="7"/>
      <c r="BN440" s="7"/>
      <c r="BO440" s="4"/>
      <c r="BP440" s="8"/>
      <c r="BQ440" s="4"/>
      <c r="BR440" s="8"/>
      <c r="BS440" s="7"/>
      <c r="BT440" s="7"/>
      <c r="BU440" s="2" t="s">
        <v>241</v>
      </c>
      <c r="BV440" s="2" t="s">
        <v>231</v>
      </c>
      <c r="BW440" s="2" t="s">
        <v>231</v>
      </c>
      <c r="BX440" s="2" t="s">
        <v>2109</v>
      </c>
      <c r="BY440" s="2" t="s">
        <v>242</v>
      </c>
      <c r="BZ440" s="2" t="s">
        <v>243</v>
      </c>
      <c r="CA440" s="2" t="s">
        <v>231</v>
      </c>
      <c r="CB440" s="2" t="s">
        <v>231</v>
      </c>
      <c r="CC440" s="2" t="s">
        <v>244</v>
      </c>
      <c r="CD440" s="2" t="s">
        <v>231</v>
      </c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>
        <v>684</v>
      </c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>
        <v>280</v>
      </c>
      <c r="EX440" s="4"/>
      <c r="EY440" s="4"/>
      <c r="EZ440" s="4"/>
      <c r="FA440" s="4"/>
      <c r="FB440" s="4"/>
      <c r="FC440" s="4">
        <v>580</v>
      </c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</row>
    <row r="441">
      <c r="A441" s="2" t="s">
        <v>2689</v>
      </c>
      <c r="B441" s="2" t="s">
        <v>1186</v>
      </c>
      <c r="C441" s="2" t="s">
        <v>1017</v>
      </c>
      <c r="D441" s="2" t="s">
        <v>654</v>
      </c>
      <c r="E441" s="2" t="s">
        <v>890</v>
      </c>
      <c r="F441" s="2" t="s">
        <v>2666</v>
      </c>
      <c r="G441" s="2" t="s">
        <v>2667</v>
      </c>
      <c r="H441" s="2" t="s">
        <v>2668</v>
      </c>
      <c r="I441" s="2" t="s">
        <v>2669</v>
      </c>
      <c r="J441" s="2" t="s">
        <v>669</v>
      </c>
      <c r="K441" s="2" t="s">
        <v>1491</v>
      </c>
      <c r="L441" s="3">
        <v>33.33</v>
      </c>
      <c r="M441" s="3">
        <v>35</v>
      </c>
      <c r="N441" s="3">
        <v>69.99</v>
      </c>
      <c r="O441" s="2" t="s">
        <v>243</v>
      </c>
      <c r="P441" s="2" t="s">
        <v>236</v>
      </c>
      <c r="Q441" s="2" t="s">
        <v>237</v>
      </c>
      <c r="R441" s="2" t="s">
        <v>231</v>
      </c>
      <c r="S441" s="2" t="s">
        <v>2687</v>
      </c>
      <c r="T441" s="2" t="s">
        <v>472</v>
      </c>
      <c r="U441" s="2" t="s">
        <v>835</v>
      </c>
      <c r="V441" s="2" t="s">
        <v>391</v>
      </c>
      <c r="W441" s="2" t="s">
        <v>691</v>
      </c>
      <c r="X441" s="2" t="s">
        <v>273</v>
      </c>
      <c r="Y441" s="2" t="s">
        <v>231</v>
      </c>
      <c r="Z441" s="4"/>
      <c r="AA441" s="4">
        <f>=ROUNDDOWN({0},0)</f>
      </c>
      <c r="AB441" s="5"/>
      <c r="AC441" s="2" t="s">
        <v>2672</v>
      </c>
      <c r="AD441" s="4">
        <v>522</v>
      </c>
      <c r="AE441" s="4">
        <v>1186</v>
      </c>
      <c r="AF441" s="6">
        <v>63</v>
      </c>
      <c r="AG441" s="6">
        <v>46</v>
      </c>
      <c r="AH441" s="7">
        <v>0</v>
      </c>
      <c r="AI441" s="4"/>
      <c r="AJ441" s="4">
        <f>=ROUNDDOWN({0},0)</f>
      </c>
      <c r="AK441" s="5"/>
      <c r="AL441" s="2" t="s">
        <v>231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231</v>
      </c>
      <c r="AW441" s="8" t="s">
        <v>231</v>
      </c>
      <c r="AX441" s="4" t="s">
        <v>231</v>
      </c>
      <c r="AY441" s="8" t="s">
        <v>231</v>
      </c>
      <c r="AZ441" s="7" t="s">
        <v>231</v>
      </c>
      <c r="BA441" s="7" t="s">
        <v>231</v>
      </c>
      <c r="BB441" s="7"/>
      <c r="BC441" s="4" t="s">
        <v>231</v>
      </c>
      <c r="BD441" s="8" t="s">
        <v>231</v>
      </c>
      <c r="BE441" s="4" t="s">
        <v>231</v>
      </c>
      <c r="BF441" s="8" t="s">
        <v>231</v>
      </c>
      <c r="BG441" s="7" t="s">
        <v>231</v>
      </c>
      <c r="BH441" s="7" t="s">
        <v>231</v>
      </c>
      <c r="BI441" s="7"/>
      <c r="BJ441" s="4"/>
      <c r="BK441" s="8"/>
      <c r="BL441" s="2" t="s">
        <v>231</v>
      </c>
      <c r="BM441" s="7"/>
      <c r="BN441" s="7"/>
      <c r="BO441" s="4"/>
      <c r="BP441" s="8"/>
      <c r="BQ441" s="4"/>
      <c r="BR441" s="8"/>
      <c r="BS441" s="7"/>
      <c r="BT441" s="7"/>
      <c r="BU441" s="2" t="s">
        <v>241</v>
      </c>
      <c r="BV441" s="2" t="s">
        <v>231</v>
      </c>
      <c r="BW441" s="2" t="s">
        <v>231</v>
      </c>
      <c r="BX441" s="2" t="s">
        <v>2109</v>
      </c>
      <c r="BY441" s="2" t="s">
        <v>242</v>
      </c>
      <c r="BZ441" s="2" t="s">
        <v>243</v>
      </c>
      <c r="CA441" s="2" t="s">
        <v>231</v>
      </c>
      <c r="CB441" s="2" t="s">
        <v>231</v>
      </c>
      <c r="CC441" s="2" t="s">
        <v>244</v>
      </c>
      <c r="CD441" s="2" t="s">
        <v>231</v>
      </c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>
        <v>522</v>
      </c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>
        <v>664</v>
      </c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</row>
    <row r="442">
      <c r="A442" s="2" t="s">
        <v>2690</v>
      </c>
      <c r="B442" s="2" t="s">
        <v>1186</v>
      </c>
      <c r="C442" s="2" t="s">
        <v>1017</v>
      </c>
      <c r="D442" s="2" t="s">
        <v>654</v>
      </c>
      <c r="E442" s="2" t="s">
        <v>890</v>
      </c>
      <c r="F442" s="2" t="s">
        <v>2666</v>
      </c>
      <c r="G442" s="2" t="s">
        <v>2667</v>
      </c>
      <c r="H442" s="2" t="s">
        <v>2668</v>
      </c>
      <c r="I442" s="2" t="s">
        <v>2669</v>
      </c>
      <c r="J442" s="2" t="s">
        <v>832</v>
      </c>
      <c r="K442" s="2" t="s">
        <v>778</v>
      </c>
      <c r="L442" s="3">
        <v>23.8</v>
      </c>
      <c r="M442" s="3">
        <v>24.99</v>
      </c>
      <c r="N442" s="3">
        <v>49.99</v>
      </c>
      <c r="O442" s="2" t="s">
        <v>243</v>
      </c>
      <c r="P442" s="2" t="s">
        <v>236</v>
      </c>
      <c r="Q442" s="2" t="s">
        <v>237</v>
      </c>
      <c r="R442" s="2" t="s">
        <v>231</v>
      </c>
      <c r="S442" s="2" t="s">
        <v>2691</v>
      </c>
      <c r="T442" s="2" t="s">
        <v>472</v>
      </c>
      <c r="U442" s="2" t="s">
        <v>791</v>
      </c>
      <c r="V442" s="2" t="s">
        <v>391</v>
      </c>
      <c r="W442" s="2" t="s">
        <v>691</v>
      </c>
      <c r="X442" s="2" t="s">
        <v>273</v>
      </c>
      <c r="Y442" s="2" t="s">
        <v>231</v>
      </c>
      <c r="Z442" s="4"/>
      <c r="AA442" s="4">
        <f>=ROUNDDOWN({0},0)</f>
      </c>
      <c r="AB442" s="5"/>
      <c r="AC442" s="2" t="s">
        <v>2672</v>
      </c>
      <c r="AD442" s="4">
        <v>108</v>
      </c>
      <c r="AE442" s="4">
        <v>210</v>
      </c>
      <c r="AF442" s="6">
        <v>63</v>
      </c>
      <c r="AG442" s="6">
        <v>46</v>
      </c>
      <c r="AH442" s="7">
        <v>0</v>
      </c>
      <c r="AI442" s="4"/>
      <c r="AJ442" s="4">
        <f>=ROUNDDOWN({0},0)</f>
      </c>
      <c r="AK442" s="5"/>
      <c r="AL442" s="2" t="s">
        <v>231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231</v>
      </c>
      <c r="AW442" s="8" t="s">
        <v>231</v>
      </c>
      <c r="AX442" s="4" t="s">
        <v>231</v>
      </c>
      <c r="AY442" s="8" t="s">
        <v>231</v>
      </c>
      <c r="AZ442" s="7" t="s">
        <v>231</v>
      </c>
      <c r="BA442" s="7" t="s">
        <v>231</v>
      </c>
      <c r="BB442" s="7"/>
      <c r="BC442" s="4" t="s">
        <v>231</v>
      </c>
      <c r="BD442" s="8" t="s">
        <v>231</v>
      </c>
      <c r="BE442" s="4" t="s">
        <v>231</v>
      </c>
      <c r="BF442" s="8" t="s">
        <v>231</v>
      </c>
      <c r="BG442" s="7" t="s">
        <v>231</v>
      </c>
      <c r="BH442" s="7" t="s">
        <v>231</v>
      </c>
      <c r="BI442" s="7"/>
      <c r="BJ442" s="4"/>
      <c r="BK442" s="8"/>
      <c r="BL442" s="2" t="s">
        <v>231</v>
      </c>
      <c r="BM442" s="7"/>
      <c r="BN442" s="7"/>
      <c r="BO442" s="4"/>
      <c r="BP442" s="8"/>
      <c r="BQ442" s="4"/>
      <c r="BR442" s="8"/>
      <c r="BS442" s="7"/>
      <c r="BT442" s="7"/>
      <c r="BU442" s="2" t="s">
        <v>241</v>
      </c>
      <c r="BV442" s="2" t="s">
        <v>231</v>
      </c>
      <c r="BW442" s="2" t="s">
        <v>231</v>
      </c>
      <c r="BX442" s="2" t="s">
        <v>2109</v>
      </c>
      <c r="BY442" s="2" t="s">
        <v>242</v>
      </c>
      <c r="BZ442" s="2" t="s">
        <v>243</v>
      </c>
      <c r="CA442" s="2" t="s">
        <v>231</v>
      </c>
      <c r="CB442" s="2" t="s">
        <v>231</v>
      </c>
      <c r="CC442" s="2" t="s">
        <v>244</v>
      </c>
      <c r="CD442" s="2" t="s">
        <v>231</v>
      </c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>
        <v>108</v>
      </c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>
        <v>102</v>
      </c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</row>
    <row r="443">
      <c r="A443" s="2" t="s">
        <v>2692</v>
      </c>
      <c r="B443" s="2" t="s">
        <v>1186</v>
      </c>
      <c r="C443" s="2" t="s">
        <v>1017</v>
      </c>
      <c r="D443" s="2" t="s">
        <v>654</v>
      </c>
      <c r="E443" s="2" t="s">
        <v>890</v>
      </c>
      <c r="F443" s="2" t="s">
        <v>2666</v>
      </c>
      <c r="G443" s="2" t="s">
        <v>2667</v>
      </c>
      <c r="H443" s="2" t="s">
        <v>2668</v>
      </c>
      <c r="I443" s="2" t="s">
        <v>2669</v>
      </c>
      <c r="J443" s="2" t="s">
        <v>658</v>
      </c>
      <c r="K443" s="2" t="s">
        <v>778</v>
      </c>
      <c r="L443" s="3">
        <v>30.95</v>
      </c>
      <c r="M443" s="3">
        <v>32.5</v>
      </c>
      <c r="N443" s="3">
        <v>64.99</v>
      </c>
      <c r="O443" s="2" t="s">
        <v>243</v>
      </c>
      <c r="P443" s="2" t="s">
        <v>236</v>
      </c>
      <c r="Q443" s="2" t="s">
        <v>237</v>
      </c>
      <c r="R443" s="2" t="s">
        <v>231</v>
      </c>
      <c r="S443" s="2" t="s">
        <v>2691</v>
      </c>
      <c r="T443" s="2" t="s">
        <v>472</v>
      </c>
      <c r="U443" s="2" t="s">
        <v>835</v>
      </c>
      <c r="V443" s="2" t="s">
        <v>391</v>
      </c>
      <c r="W443" s="2" t="s">
        <v>691</v>
      </c>
      <c r="X443" s="2" t="s">
        <v>273</v>
      </c>
      <c r="Y443" s="2" t="s">
        <v>231</v>
      </c>
      <c r="Z443" s="4"/>
      <c r="AA443" s="4">
        <f>=ROUNDDOWN({0},0)</f>
      </c>
      <c r="AB443" s="5"/>
      <c r="AC443" s="2" t="s">
        <v>2672</v>
      </c>
      <c r="AD443" s="4">
        <v>508</v>
      </c>
      <c r="AE443" s="4">
        <v>928</v>
      </c>
      <c r="AF443" s="6">
        <v>63</v>
      </c>
      <c r="AG443" s="6">
        <v>46</v>
      </c>
      <c r="AH443" s="7">
        <v>0</v>
      </c>
      <c r="AI443" s="4"/>
      <c r="AJ443" s="4">
        <f>=ROUNDDOWN({0},0)</f>
      </c>
      <c r="AK443" s="5"/>
      <c r="AL443" s="2" t="s">
        <v>231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231</v>
      </c>
      <c r="AW443" s="8" t="s">
        <v>231</v>
      </c>
      <c r="AX443" s="4" t="s">
        <v>231</v>
      </c>
      <c r="AY443" s="8" t="s">
        <v>231</v>
      </c>
      <c r="AZ443" s="7" t="s">
        <v>231</v>
      </c>
      <c r="BA443" s="7" t="s">
        <v>231</v>
      </c>
      <c r="BB443" s="7"/>
      <c r="BC443" s="4" t="s">
        <v>231</v>
      </c>
      <c r="BD443" s="8" t="s">
        <v>231</v>
      </c>
      <c r="BE443" s="4" t="s">
        <v>231</v>
      </c>
      <c r="BF443" s="8" t="s">
        <v>231</v>
      </c>
      <c r="BG443" s="7" t="s">
        <v>231</v>
      </c>
      <c r="BH443" s="7" t="s">
        <v>231</v>
      </c>
      <c r="BI443" s="7"/>
      <c r="BJ443" s="4"/>
      <c r="BK443" s="8"/>
      <c r="BL443" s="2" t="s">
        <v>231</v>
      </c>
      <c r="BM443" s="7"/>
      <c r="BN443" s="7"/>
      <c r="BO443" s="4"/>
      <c r="BP443" s="8"/>
      <c r="BQ443" s="4"/>
      <c r="BR443" s="8"/>
      <c r="BS443" s="7"/>
      <c r="BT443" s="7"/>
      <c r="BU443" s="2" t="s">
        <v>241</v>
      </c>
      <c r="BV443" s="2" t="s">
        <v>231</v>
      </c>
      <c r="BW443" s="2" t="s">
        <v>231</v>
      </c>
      <c r="BX443" s="2" t="s">
        <v>2109</v>
      </c>
      <c r="BY443" s="2" t="s">
        <v>242</v>
      </c>
      <c r="BZ443" s="2" t="s">
        <v>243</v>
      </c>
      <c r="CA443" s="2" t="s">
        <v>231</v>
      </c>
      <c r="CB443" s="2" t="s">
        <v>231</v>
      </c>
      <c r="CC443" s="2" t="s">
        <v>244</v>
      </c>
      <c r="CD443" s="2" t="s">
        <v>231</v>
      </c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>
        <v>508</v>
      </c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>
        <v>420</v>
      </c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</row>
    <row r="444">
      <c r="A444" s="2" t="s">
        <v>2693</v>
      </c>
      <c r="B444" s="2" t="s">
        <v>1186</v>
      </c>
      <c r="C444" s="2" t="s">
        <v>1017</v>
      </c>
      <c r="D444" s="2" t="s">
        <v>654</v>
      </c>
      <c r="E444" s="2" t="s">
        <v>890</v>
      </c>
      <c r="F444" s="2" t="s">
        <v>2666</v>
      </c>
      <c r="G444" s="2" t="s">
        <v>2667</v>
      </c>
      <c r="H444" s="2" t="s">
        <v>2668</v>
      </c>
      <c r="I444" s="2" t="s">
        <v>2669</v>
      </c>
      <c r="J444" s="2" t="s">
        <v>669</v>
      </c>
      <c r="K444" s="2" t="s">
        <v>778</v>
      </c>
      <c r="L444" s="3">
        <v>33.33</v>
      </c>
      <c r="M444" s="3">
        <v>35</v>
      </c>
      <c r="N444" s="3">
        <v>69.99</v>
      </c>
      <c r="O444" s="2" t="s">
        <v>243</v>
      </c>
      <c r="P444" s="2" t="s">
        <v>236</v>
      </c>
      <c r="Q444" s="2" t="s">
        <v>237</v>
      </c>
      <c r="R444" s="2" t="s">
        <v>231</v>
      </c>
      <c r="S444" s="2" t="s">
        <v>2691</v>
      </c>
      <c r="T444" s="2" t="s">
        <v>472</v>
      </c>
      <c r="U444" s="2" t="s">
        <v>835</v>
      </c>
      <c r="V444" s="2" t="s">
        <v>391</v>
      </c>
      <c r="W444" s="2" t="s">
        <v>691</v>
      </c>
      <c r="X444" s="2" t="s">
        <v>273</v>
      </c>
      <c r="Y444" s="2" t="s">
        <v>231</v>
      </c>
      <c r="Z444" s="4"/>
      <c r="AA444" s="4">
        <f>=ROUNDDOWN({0},0)</f>
      </c>
      <c r="AB444" s="5"/>
      <c r="AC444" s="2" t="s">
        <v>2672</v>
      </c>
      <c r="AD444" s="4">
        <v>394</v>
      </c>
      <c r="AE444" s="4">
        <v>722</v>
      </c>
      <c r="AF444" s="6">
        <v>63</v>
      </c>
      <c r="AG444" s="6">
        <v>46</v>
      </c>
      <c r="AH444" s="7">
        <v>0</v>
      </c>
      <c r="AI444" s="4"/>
      <c r="AJ444" s="4">
        <f>=ROUNDDOWN({0},0)</f>
      </c>
      <c r="AK444" s="5"/>
      <c r="AL444" s="2" t="s">
        <v>231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231</v>
      </c>
      <c r="AW444" s="8" t="s">
        <v>231</v>
      </c>
      <c r="AX444" s="4" t="s">
        <v>231</v>
      </c>
      <c r="AY444" s="8" t="s">
        <v>231</v>
      </c>
      <c r="AZ444" s="7" t="s">
        <v>231</v>
      </c>
      <c r="BA444" s="7" t="s">
        <v>231</v>
      </c>
      <c r="BB444" s="7"/>
      <c r="BC444" s="4" t="s">
        <v>231</v>
      </c>
      <c r="BD444" s="8" t="s">
        <v>231</v>
      </c>
      <c r="BE444" s="4" t="s">
        <v>231</v>
      </c>
      <c r="BF444" s="8" t="s">
        <v>231</v>
      </c>
      <c r="BG444" s="7" t="s">
        <v>231</v>
      </c>
      <c r="BH444" s="7" t="s">
        <v>231</v>
      </c>
      <c r="BI444" s="7"/>
      <c r="BJ444" s="4"/>
      <c r="BK444" s="8"/>
      <c r="BL444" s="2" t="s">
        <v>231</v>
      </c>
      <c r="BM444" s="7"/>
      <c r="BN444" s="7"/>
      <c r="BO444" s="4"/>
      <c r="BP444" s="8"/>
      <c r="BQ444" s="4"/>
      <c r="BR444" s="8"/>
      <c r="BS444" s="7"/>
      <c r="BT444" s="7"/>
      <c r="BU444" s="2" t="s">
        <v>241</v>
      </c>
      <c r="BV444" s="2" t="s">
        <v>231</v>
      </c>
      <c r="BW444" s="2" t="s">
        <v>231</v>
      </c>
      <c r="BX444" s="2" t="s">
        <v>2109</v>
      </c>
      <c r="BY444" s="2" t="s">
        <v>242</v>
      </c>
      <c r="BZ444" s="2" t="s">
        <v>243</v>
      </c>
      <c r="CA444" s="2" t="s">
        <v>231</v>
      </c>
      <c r="CB444" s="2" t="s">
        <v>231</v>
      </c>
      <c r="CC444" s="2" t="s">
        <v>244</v>
      </c>
      <c r="CD444" s="2" t="s">
        <v>231</v>
      </c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>
        <v>394</v>
      </c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>
        <v>328</v>
      </c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</row>
    <row r="445">
      <c r="A445" s="2" t="s">
        <v>2694</v>
      </c>
      <c r="B445" s="2" t="s">
        <v>2695</v>
      </c>
      <c r="C445" s="2" t="s">
        <v>631</v>
      </c>
      <c r="D445" s="2" t="s">
        <v>2696</v>
      </c>
      <c r="E445" s="2" t="s">
        <v>2697</v>
      </c>
      <c r="F445" s="2" t="s">
        <v>2698</v>
      </c>
      <c r="G445" s="2" t="s">
        <v>2698</v>
      </c>
      <c r="H445" s="2" t="s">
        <v>2698</v>
      </c>
      <c r="I445" s="2" t="s">
        <v>2697</v>
      </c>
      <c r="J445" s="2" t="s">
        <v>2699</v>
      </c>
      <c r="K445" s="2" t="s">
        <v>2700</v>
      </c>
      <c r="L445" s="3">
        <v>22.03</v>
      </c>
      <c r="M445" s="3">
        <v>23.13</v>
      </c>
      <c r="N445" s="3"/>
      <c r="O445" s="2" t="s">
        <v>243</v>
      </c>
      <c r="P445" s="2" t="s">
        <v>341</v>
      </c>
      <c r="Q445" s="2" t="s">
        <v>237</v>
      </c>
      <c r="R445" s="2" t="s">
        <v>231</v>
      </c>
      <c r="S445" s="2" t="s">
        <v>231</v>
      </c>
      <c r="T445" s="2" t="s">
        <v>231</v>
      </c>
      <c r="U445" s="2" t="s">
        <v>327</v>
      </c>
      <c r="V445" s="2" t="s">
        <v>662</v>
      </c>
      <c r="W445" s="2" t="s">
        <v>231</v>
      </c>
      <c r="X445" s="2" t="s">
        <v>231</v>
      </c>
      <c r="Y445" s="2" t="s">
        <v>2701</v>
      </c>
      <c r="Z445" s="4">
        <v>500</v>
      </c>
      <c r="AA445" s="4">
        <f>=ROUNDDOWN({0},0)</f>
      </c>
      <c r="AB445" s="5"/>
      <c r="AC445" s="2" t="s">
        <v>231</v>
      </c>
      <c r="AD445" s="4"/>
      <c r="AE445" s="4"/>
      <c r="AF445" s="6"/>
      <c r="AG445" s="6"/>
      <c r="AH445" s="7">
        <v>1</v>
      </c>
      <c r="AI445" s="4"/>
      <c r="AJ445" s="4">
        <f>=ROUNDDOWN({0},0)</f>
      </c>
      <c r="AK445" s="5"/>
      <c r="AL445" s="2" t="s">
        <v>231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231</v>
      </c>
      <c r="AW445" s="8" t="s">
        <v>231</v>
      </c>
      <c r="AX445" s="4" t="s">
        <v>231</v>
      </c>
      <c r="AY445" s="8" t="s">
        <v>231</v>
      </c>
      <c r="AZ445" s="7" t="s">
        <v>231</v>
      </c>
      <c r="BA445" s="7" t="s">
        <v>231</v>
      </c>
      <c r="BB445" s="7"/>
      <c r="BC445" s="4" t="s">
        <v>231</v>
      </c>
      <c r="BD445" s="8" t="s">
        <v>231</v>
      </c>
      <c r="BE445" s="4" t="s">
        <v>231</v>
      </c>
      <c r="BF445" s="8" t="s">
        <v>231</v>
      </c>
      <c r="BG445" s="7" t="s">
        <v>231</v>
      </c>
      <c r="BH445" s="7" t="s">
        <v>231</v>
      </c>
      <c r="BI445" s="7"/>
      <c r="BJ445" s="4"/>
      <c r="BK445" s="8"/>
      <c r="BL445" s="2" t="s">
        <v>231</v>
      </c>
      <c r="BM445" s="7"/>
      <c r="BN445" s="7"/>
      <c r="BO445" s="4"/>
      <c r="BP445" s="8"/>
      <c r="BQ445" s="4"/>
      <c r="BR445" s="8"/>
      <c r="BS445" s="7"/>
      <c r="BT445" s="7"/>
      <c r="BU445" s="2" t="s">
        <v>2702</v>
      </c>
      <c r="BV445" s="2" t="s">
        <v>231</v>
      </c>
      <c r="BW445" s="2" t="s">
        <v>231</v>
      </c>
      <c r="BX445" s="2" t="s">
        <v>241</v>
      </c>
      <c r="BY445" s="2" t="s">
        <v>277</v>
      </c>
      <c r="BZ445" s="2" t="s">
        <v>243</v>
      </c>
      <c r="CA445" s="2" t="s">
        <v>2703</v>
      </c>
      <c r="CB445" s="2" t="s">
        <v>231</v>
      </c>
      <c r="CC445" s="2" t="s">
        <v>244</v>
      </c>
      <c r="CD445" s="2" t="s">
        <v>231</v>
      </c>
      <c r="CE445" s="4"/>
      <c r="CF445" s="4"/>
      <c r="CG445" s="4"/>
      <c r="CH445" s="4"/>
      <c r="CI445" s="4">
        <v>500</v>
      </c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</row>
    <row r="446">
      <c r="A446" s="2" t="s">
        <v>2704</v>
      </c>
      <c r="B446" s="2" t="s">
        <v>2695</v>
      </c>
      <c r="C446" s="2" t="s">
        <v>631</v>
      </c>
      <c r="D446" s="2" t="s">
        <v>2696</v>
      </c>
      <c r="E446" s="2" t="s">
        <v>2697</v>
      </c>
      <c r="F446" s="2" t="s">
        <v>2698</v>
      </c>
      <c r="G446" s="2" t="s">
        <v>2698</v>
      </c>
      <c r="H446" s="2" t="s">
        <v>2698</v>
      </c>
      <c r="I446" s="2" t="s">
        <v>2697</v>
      </c>
      <c r="J446" s="2" t="s">
        <v>1238</v>
      </c>
      <c r="K446" s="2" t="s">
        <v>2700</v>
      </c>
      <c r="L446" s="3">
        <v>22.03</v>
      </c>
      <c r="M446" s="3">
        <v>23.13</v>
      </c>
      <c r="N446" s="3"/>
      <c r="O446" s="2" t="s">
        <v>243</v>
      </c>
      <c r="P446" s="2" t="s">
        <v>341</v>
      </c>
      <c r="Q446" s="2" t="s">
        <v>237</v>
      </c>
      <c r="R446" s="2" t="s">
        <v>231</v>
      </c>
      <c r="S446" s="2" t="s">
        <v>231</v>
      </c>
      <c r="T446" s="2" t="s">
        <v>231</v>
      </c>
      <c r="U446" s="2" t="s">
        <v>327</v>
      </c>
      <c r="V446" s="2" t="s">
        <v>662</v>
      </c>
      <c r="W446" s="2" t="s">
        <v>231</v>
      </c>
      <c r="X446" s="2" t="s">
        <v>231</v>
      </c>
      <c r="Y446" s="2" t="s">
        <v>2701</v>
      </c>
      <c r="Z446" s="4">
        <v>1021</v>
      </c>
      <c r="AA446" s="4">
        <f>=ROUNDDOWN({0},0)</f>
      </c>
      <c r="AB446" s="5"/>
      <c r="AC446" s="2" t="s">
        <v>231</v>
      </c>
      <c r="AD446" s="4"/>
      <c r="AE446" s="4"/>
      <c r="AF446" s="6"/>
      <c r="AG446" s="6"/>
      <c r="AH446" s="7">
        <v>1</v>
      </c>
      <c r="AI446" s="4"/>
      <c r="AJ446" s="4">
        <f>=ROUNDDOWN({0},0)</f>
      </c>
      <c r="AK446" s="5"/>
      <c r="AL446" s="2" t="s">
        <v>231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231</v>
      </c>
      <c r="AW446" s="8" t="s">
        <v>231</v>
      </c>
      <c r="AX446" s="4" t="s">
        <v>231</v>
      </c>
      <c r="AY446" s="8" t="s">
        <v>231</v>
      </c>
      <c r="AZ446" s="7" t="s">
        <v>231</v>
      </c>
      <c r="BA446" s="7" t="s">
        <v>231</v>
      </c>
      <c r="BB446" s="7"/>
      <c r="BC446" s="4" t="s">
        <v>231</v>
      </c>
      <c r="BD446" s="8" t="s">
        <v>231</v>
      </c>
      <c r="BE446" s="4" t="s">
        <v>231</v>
      </c>
      <c r="BF446" s="8" t="s">
        <v>231</v>
      </c>
      <c r="BG446" s="7" t="s">
        <v>231</v>
      </c>
      <c r="BH446" s="7" t="s">
        <v>231</v>
      </c>
      <c r="BI446" s="7"/>
      <c r="BJ446" s="4"/>
      <c r="BK446" s="8"/>
      <c r="BL446" s="2" t="s">
        <v>231</v>
      </c>
      <c r="BM446" s="7"/>
      <c r="BN446" s="7"/>
      <c r="BO446" s="4"/>
      <c r="BP446" s="8"/>
      <c r="BQ446" s="4"/>
      <c r="BR446" s="8"/>
      <c r="BS446" s="7"/>
      <c r="BT446" s="7"/>
      <c r="BU446" s="2" t="s">
        <v>2705</v>
      </c>
      <c r="BV446" s="2" t="s">
        <v>231</v>
      </c>
      <c r="BW446" s="2" t="s">
        <v>231</v>
      </c>
      <c r="BX446" s="2" t="s">
        <v>241</v>
      </c>
      <c r="BY446" s="2" t="s">
        <v>277</v>
      </c>
      <c r="BZ446" s="2" t="s">
        <v>243</v>
      </c>
      <c r="CA446" s="2" t="s">
        <v>2703</v>
      </c>
      <c r="CB446" s="2" t="s">
        <v>231</v>
      </c>
      <c r="CC446" s="2" t="s">
        <v>244</v>
      </c>
      <c r="CD446" s="2" t="s">
        <v>231</v>
      </c>
      <c r="CE446" s="4"/>
      <c r="CF446" s="4"/>
      <c r="CG446" s="4"/>
      <c r="CH446" s="4"/>
      <c r="CI446" s="4">
        <v>1021</v>
      </c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</row>
    <row r="447">
      <c r="A447" s="2" t="s">
        <v>2706</v>
      </c>
      <c r="B447" s="2" t="s">
        <v>2695</v>
      </c>
      <c r="C447" s="2" t="s">
        <v>631</v>
      </c>
      <c r="D447" s="2" t="s">
        <v>2696</v>
      </c>
      <c r="E447" s="2" t="s">
        <v>2697</v>
      </c>
      <c r="F447" s="2" t="s">
        <v>2698</v>
      </c>
      <c r="G447" s="2" t="s">
        <v>2698</v>
      </c>
      <c r="H447" s="2" t="s">
        <v>2698</v>
      </c>
      <c r="I447" s="2" t="s">
        <v>2697</v>
      </c>
      <c r="J447" s="2" t="s">
        <v>1245</v>
      </c>
      <c r="K447" s="2" t="s">
        <v>2700</v>
      </c>
      <c r="L447" s="3">
        <v>22.03</v>
      </c>
      <c r="M447" s="3">
        <v>23.13</v>
      </c>
      <c r="N447" s="3"/>
      <c r="O447" s="2" t="s">
        <v>243</v>
      </c>
      <c r="P447" s="2" t="s">
        <v>341</v>
      </c>
      <c r="Q447" s="2" t="s">
        <v>237</v>
      </c>
      <c r="R447" s="2" t="s">
        <v>231</v>
      </c>
      <c r="S447" s="2" t="s">
        <v>231</v>
      </c>
      <c r="T447" s="2" t="s">
        <v>231</v>
      </c>
      <c r="U447" s="2" t="s">
        <v>327</v>
      </c>
      <c r="V447" s="2" t="s">
        <v>662</v>
      </c>
      <c r="W447" s="2" t="s">
        <v>231</v>
      </c>
      <c r="X447" s="2" t="s">
        <v>231</v>
      </c>
      <c r="Y447" s="2" t="s">
        <v>2701</v>
      </c>
      <c r="Z447" s="4">
        <v>999</v>
      </c>
      <c r="AA447" s="4">
        <f>=ROUNDDOWN(4995,0)</f>
      </c>
      <c r="AB447" s="5">
        <v>0.2</v>
      </c>
      <c r="AC447" s="2" t="s">
        <v>231</v>
      </c>
      <c r="AD447" s="4"/>
      <c r="AE447" s="4"/>
      <c r="AF447" s="6"/>
      <c r="AG447" s="6"/>
      <c r="AH447" s="7">
        <v>1</v>
      </c>
      <c r="AI447" s="4"/>
      <c r="AJ447" s="4">
        <f>=ROUNDDOWN({0},0)</f>
      </c>
      <c r="AK447" s="5"/>
      <c r="AL447" s="2" t="s">
        <v>231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231</v>
      </c>
      <c r="AW447" s="8" t="s">
        <v>231</v>
      </c>
      <c r="AX447" s="4" t="s">
        <v>231</v>
      </c>
      <c r="AY447" s="8" t="s">
        <v>231</v>
      </c>
      <c r="AZ447" s="7" t="s">
        <v>231</v>
      </c>
      <c r="BA447" s="7" t="s">
        <v>231</v>
      </c>
      <c r="BB447" s="7"/>
      <c r="BC447" s="4" t="s">
        <v>231</v>
      </c>
      <c r="BD447" s="8" t="s">
        <v>231</v>
      </c>
      <c r="BE447" s="4" t="s">
        <v>231</v>
      </c>
      <c r="BF447" s="8" t="s">
        <v>231</v>
      </c>
      <c r="BG447" s="7" t="s">
        <v>231</v>
      </c>
      <c r="BH447" s="7" t="s">
        <v>231</v>
      </c>
      <c r="BI447" s="7"/>
      <c r="BJ447" s="4">
        <v>1</v>
      </c>
      <c r="BK447" s="8">
        <v>13.1</v>
      </c>
      <c r="BL447" s="2" t="s">
        <v>1423</v>
      </c>
      <c r="BM447" s="7"/>
      <c r="BN447" s="7"/>
      <c r="BO447" s="4"/>
      <c r="BP447" s="8"/>
      <c r="BQ447" s="4"/>
      <c r="BR447" s="8"/>
      <c r="BS447" s="7"/>
      <c r="BT447" s="7"/>
      <c r="BU447" s="2" t="s">
        <v>2707</v>
      </c>
      <c r="BV447" s="2" t="s">
        <v>231</v>
      </c>
      <c r="BW447" s="2" t="s">
        <v>231</v>
      </c>
      <c r="BX447" s="2" t="s">
        <v>241</v>
      </c>
      <c r="BY447" s="2" t="s">
        <v>277</v>
      </c>
      <c r="BZ447" s="2" t="s">
        <v>243</v>
      </c>
      <c r="CA447" s="2" t="s">
        <v>2703</v>
      </c>
      <c r="CB447" s="2" t="s">
        <v>231</v>
      </c>
      <c r="CC447" s="2" t="s">
        <v>244</v>
      </c>
      <c r="CD447" s="2" t="s">
        <v>231</v>
      </c>
      <c r="CE447" s="4"/>
      <c r="CF447" s="4"/>
      <c r="CG447" s="4"/>
      <c r="CH447" s="4"/>
      <c r="CI447" s="4">
        <v>999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</row>
    <row r="448">
      <c r="A448" s="2" t="s">
        <v>2708</v>
      </c>
      <c r="B448" s="2" t="s">
        <v>2695</v>
      </c>
      <c r="C448" s="2" t="s">
        <v>631</v>
      </c>
      <c r="D448" s="2" t="s">
        <v>2696</v>
      </c>
      <c r="E448" s="2" t="s">
        <v>2697</v>
      </c>
      <c r="F448" s="2" t="s">
        <v>2698</v>
      </c>
      <c r="G448" s="2" t="s">
        <v>2698</v>
      </c>
      <c r="H448" s="2" t="s">
        <v>2698</v>
      </c>
      <c r="I448" s="2" t="s">
        <v>2697</v>
      </c>
      <c r="J448" s="2" t="s">
        <v>1249</v>
      </c>
      <c r="K448" s="2" t="s">
        <v>2700</v>
      </c>
      <c r="L448" s="3">
        <v>22.03</v>
      </c>
      <c r="M448" s="3">
        <v>23.13</v>
      </c>
      <c r="N448" s="3"/>
      <c r="O448" s="2" t="s">
        <v>243</v>
      </c>
      <c r="P448" s="2" t="s">
        <v>341</v>
      </c>
      <c r="Q448" s="2" t="s">
        <v>237</v>
      </c>
      <c r="R448" s="2" t="s">
        <v>231</v>
      </c>
      <c r="S448" s="2" t="s">
        <v>231</v>
      </c>
      <c r="T448" s="2" t="s">
        <v>231</v>
      </c>
      <c r="U448" s="2" t="s">
        <v>327</v>
      </c>
      <c r="V448" s="2" t="s">
        <v>662</v>
      </c>
      <c r="W448" s="2" t="s">
        <v>231</v>
      </c>
      <c r="X448" s="2" t="s">
        <v>231</v>
      </c>
      <c r="Y448" s="2" t="s">
        <v>2701</v>
      </c>
      <c r="Z448" s="4">
        <v>487</v>
      </c>
      <c r="AA448" s="4">
        <f>=ROUNDDOWN(2435,0)</f>
      </c>
      <c r="AB448" s="5">
        <v>0.2</v>
      </c>
      <c r="AC448" s="2" t="s">
        <v>231</v>
      </c>
      <c r="AD448" s="4"/>
      <c r="AE448" s="4"/>
      <c r="AF448" s="6"/>
      <c r="AG448" s="6"/>
      <c r="AH448" s="7">
        <v>1</v>
      </c>
      <c r="AI448" s="4"/>
      <c r="AJ448" s="4">
        <f>=ROUNDDOWN({0},0)</f>
      </c>
      <c r="AK448" s="5"/>
      <c r="AL448" s="2" t="s">
        <v>231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231</v>
      </c>
      <c r="AW448" s="8" t="s">
        <v>231</v>
      </c>
      <c r="AX448" s="4" t="s">
        <v>231</v>
      </c>
      <c r="AY448" s="8" t="s">
        <v>231</v>
      </c>
      <c r="AZ448" s="7" t="s">
        <v>231</v>
      </c>
      <c r="BA448" s="7" t="s">
        <v>231</v>
      </c>
      <c r="BB448" s="7"/>
      <c r="BC448" s="4" t="s">
        <v>231</v>
      </c>
      <c r="BD448" s="8" t="s">
        <v>231</v>
      </c>
      <c r="BE448" s="4" t="s">
        <v>231</v>
      </c>
      <c r="BF448" s="8" t="s">
        <v>231</v>
      </c>
      <c r="BG448" s="7" t="s">
        <v>231</v>
      </c>
      <c r="BH448" s="7" t="s">
        <v>231</v>
      </c>
      <c r="BI448" s="7"/>
      <c r="BJ448" s="4">
        <v>1</v>
      </c>
      <c r="BK448" s="8">
        <v>13.1</v>
      </c>
      <c r="BL448" s="2" t="s">
        <v>1423</v>
      </c>
      <c r="BM448" s="7"/>
      <c r="BN448" s="7"/>
      <c r="BO448" s="4"/>
      <c r="BP448" s="8"/>
      <c r="BQ448" s="4"/>
      <c r="BR448" s="8"/>
      <c r="BS448" s="7"/>
      <c r="BT448" s="7"/>
      <c r="BU448" s="2" t="s">
        <v>2709</v>
      </c>
      <c r="BV448" s="2" t="s">
        <v>231</v>
      </c>
      <c r="BW448" s="2" t="s">
        <v>231</v>
      </c>
      <c r="BX448" s="2" t="s">
        <v>241</v>
      </c>
      <c r="BY448" s="2" t="s">
        <v>277</v>
      </c>
      <c r="BZ448" s="2" t="s">
        <v>243</v>
      </c>
      <c r="CA448" s="2" t="s">
        <v>2703</v>
      </c>
      <c r="CB448" s="2" t="s">
        <v>231</v>
      </c>
      <c r="CC448" s="2" t="s">
        <v>244</v>
      </c>
      <c r="CD448" s="2" t="s">
        <v>231</v>
      </c>
      <c r="CE448" s="4"/>
      <c r="CF448" s="4"/>
      <c r="CG448" s="4"/>
      <c r="CH448" s="4"/>
      <c r="CI448" s="4">
        <v>487</v>
      </c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</row>
    <row r="449">
      <c r="A449" s="2" t="s">
        <v>2710</v>
      </c>
      <c r="B449" s="2" t="s">
        <v>2695</v>
      </c>
      <c r="C449" s="2" t="s">
        <v>631</v>
      </c>
      <c r="D449" s="2" t="s">
        <v>2696</v>
      </c>
      <c r="E449" s="2" t="s">
        <v>2697</v>
      </c>
      <c r="F449" s="2" t="s">
        <v>2698</v>
      </c>
      <c r="G449" s="2" t="s">
        <v>2698</v>
      </c>
      <c r="H449" s="2" t="s">
        <v>2698</v>
      </c>
      <c r="I449" s="2" t="s">
        <v>2697</v>
      </c>
      <c r="J449" s="2" t="s">
        <v>2699</v>
      </c>
      <c r="K449" s="2" t="s">
        <v>2711</v>
      </c>
      <c r="L449" s="3">
        <v>22.03</v>
      </c>
      <c r="M449" s="3">
        <v>23.13</v>
      </c>
      <c r="N449" s="3"/>
      <c r="O449" s="2" t="s">
        <v>243</v>
      </c>
      <c r="P449" s="2" t="s">
        <v>341</v>
      </c>
      <c r="Q449" s="2" t="s">
        <v>237</v>
      </c>
      <c r="R449" s="2" t="s">
        <v>231</v>
      </c>
      <c r="S449" s="2" t="s">
        <v>231</v>
      </c>
      <c r="T449" s="2" t="s">
        <v>231</v>
      </c>
      <c r="U449" s="2" t="s">
        <v>327</v>
      </c>
      <c r="V449" s="2" t="s">
        <v>662</v>
      </c>
      <c r="W449" s="2" t="s">
        <v>231</v>
      </c>
      <c r="X449" s="2" t="s">
        <v>231</v>
      </c>
      <c r="Y449" s="2" t="s">
        <v>2701</v>
      </c>
      <c r="Z449" s="4">
        <v>478</v>
      </c>
      <c r="AA449" s="4">
        <f>=ROUNDDOWN({0},0)</f>
      </c>
      <c r="AB449" s="5"/>
      <c r="AC449" s="2" t="s">
        <v>231</v>
      </c>
      <c r="AD449" s="4"/>
      <c r="AE449" s="4"/>
      <c r="AF449" s="6"/>
      <c r="AG449" s="6"/>
      <c r="AH449" s="7">
        <v>1</v>
      </c>
      <c r="AI449" s="4"/>
      <c r="AJ449" s="4">
        <f>=ROUNDDOWN({0},0)</f>
      </c>
      <c r="AK449" s="5"/>
      <c r="AL449" s="2" t="s">
        <v>231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231</v>
      </c>
      <c r="AW449" s="8" t="s">
        <v>231</v>
      </c>
      <c r="AX449" s="4" t="s">
        <v>231</v>
      </c>
      <c r="AY449" s="8" t="s">
        <v>231</v>
      </c>
      <c r="AZ449" s="7" t="s">
        <v>231</v>
      </c>
      <c r="BA449" s="7" t="s">
        <v>231</v>
      </c>
      <c r="BB449" s="7"/>
      <c r="BC449" s="4" t="s">
        <v>231</v>
      </c>
      <c r="BD449" s="8" t="s">
        <v>231</v>
      </c>
      <c r="BE449" s="4" t="s">
        <v>231</v>
      </c>
      <c r="BF449" s="8" t="s">
        <v>231</v>
      </c>
      <c r="BG449" s="7" t="s">
        <v>231</v>
      </c>
      <c r="BH449" s="7" t="s">
        <v>231</v>
      </c>
      <c r="BI449" s="7"/>
      <c r="BJ449" s="4"/>
      <c r="BK449" s="8"/>
      <c r="BL449" s="2" t="s">
        <v>231</v>
      </c>
      <c r="BM449" s="7"/>
      <c r="BN449" s="7"/>
      <c r="BO449" s="4"/>
      <c r="BP449" s="8"/>
      <c r="BQ449" s="4"/>
      <c r="BR449" s="8"/>
      <c r="BS449" s="7"/>
      <c r="BT449" s="7"/>
      <c r="BU449" s="2" t="s">
        <v>2712</v>
      </c>
      <c r="BV449" s="2" t="s">
        <v>231</v>
      </c>
      <c r="BW449" s="2" t="s">
        <v>231</v>
      </c>
      <c r="BX449" s="2" t="s">
        <v>241</v>
      </c>
      <c r="BY449" s="2" t="s">
        <v>277</v>
      </c>
      <c r="BZ449" s="2" t="s">
        <v>243</v>
      </c>
      <c r="CA449" s="2" t="s">
        <v>2703</v>
      </c>
      <c r="CB449" s="2" t="s">
        <v>231</v>
      </c>
      <c r="CC449" s="2" t="s">
        <v>244</v>
      </c>
      <c r="CD449" s="2" t="s">
        <v>231</v>
      </c>
      <c r="CE449" s="4"/>
      <c r="CF449" s="4"/>
      <c r="CG449" s="4"/>
      <c r="CH449" s="4"/>
      <c r="CI449" s="4">
        <v>478</v>
      </c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</row>
    <row r="450">
      <c r="A450" s="2" t="s">
        <v>2713</v>
      </c>
      <c r="B450" s="2" t="s">
        <v>2695</v>
      </c>
      <c r="C450" s="2" t="s">
        <v>631</v>
      </c>
      <c r="D450" s="2" t="s">
        <v>2696</v>
      </c>
      <c r="E450" s="2" t="s">
        <v>2697</v>
      </c>
      <c r="F450" s="2" t="s">
        <v>2698</v>
      </c>
      <c r="G450" s="2" t="s">
        <v>2698</v>
      </c>
      <c r="H450" s="2" t="s">
        <v>2698</v>
      </c>
      <c r="I450" s="2" t="s">
        <v>2697</v>
      </c>
      <c r="J450" s="2" t="s">
        <v>1238</v>
      </c>
      <c r="K450" s="2" t="s">
        <v>2711</v>
      </c>
      <c r="L450" s="3">
        <v>22.03</v>
      </c>
      <c r="M450" s="3">
        <v>23.13</v>
      </c>
      <c r="N450" s="3"/>
      <c r="O450" s="2" t="s">
        <v>243</v>
      </c>
      <c r="P450" s="2" t="s">
        <v>341</v>
      </c>
      <c r="Q450" s="2" t="s">
        <v>237</v>
      </c>
      <c r="R450" s="2" t="s">
        <v>231</v>
      </c>
      <c r="S450" s="2" t="s">
        <v>231</v>
      </c>
      <c r="T450" s="2" t="s">
        <v>231</v>
      </c>
      <c r="U450" s="2" t="s">
        <v>327</v>
      </c>
      <c r="V450" s="2" t="s">
        <v>662</v>
      </c>
      <c r="W450" s="2" t="s">
        <v>231</v>
      </c>
      <c r="X450" s="2" t="s">
        <v>231</v>
      </c>
      <c r="Y450" s="2" t="s">
        <v>2701</v>
      </c>
      <c r="Z450" s="4">
        <v>997</v>
      </c>
      <c r="AA450" s="4">
        <f>=ROUNDDOWN({0},0)</f>
      </c>
      <c r="AB450" s="5"/>
      <c r="AC450" s="2" t="s">
        <v>231</v>
      </c>
      <c r="AD450" s="4"/>
      <c r="AE450" s="4"/>
      <c r="AF450" s="6"/>
      <c r="AG450" s="6"/>
      <c r="AH450" s="7">
        <v>1</v>
      </c>
      <c r="AI450" s="4"/>
      <c r="AJ450" s="4">
        <f>=ROUNDDOWN({0},0)</f>
      </c>
      <c r="AK450" s="5"/>
      <c r="AL450" s="2" t="s">
        <v>231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231</v>
      </c>
      <c r="AW450" s="8" t="s">
        <v>231</v>
      </c>
      <c r="AX450" s="4" t="s">
        <v>231</v>
      </c>
      <c r="AY450" s="8" t="s">
        <v>231</v>
      </c>
      <c r="AZ450" s="7" t="s">
        <v>231</v>
      </c>
      <c r="BA450" s="7" t="s">
        <v>231</v>
      </c>
      <c r="BB450" s="7"/>
      <c r="BC450" s="4" t="s">
        <v>231</v>
      </c>
      <c r="BD450" s="8" t="s">
        <v>231</v>
      </c>
      <c r="BE450" s="4" t="s">
        <v>231</v>
      </c>
      <c r="BF450" s="8" t="s">
        <v>231</v>
      </c>
      <c r="BG450" s="7" t="s">
        <v>231</v>
      </c>
      <c r="BH450" s="7" t="s">
        <v>231</v>
      </c>
      <c r="BI450" s="7"/>
      <c r="BJ450" s="4"/>
      <c r="BK450" s="8"/>
      <c r="BL450" s="2" t="s">
        <v>231</v>
      </c>
      <c r="BM450" s="7"/>
      <c r="BN450" s="7"/>
      <c r="BO450" s="4"/>
      <c r="BP450" s="8"/>
      <c r="BQ450" s="4"/>
      <c r="BR450" s="8"/>
      <c r="BS450" s="7"/>
      <c r="BT450" s="7"/>
      <c r="BU450" s="2" t="s">
        <v>2714</v>
      </c>
      <c r="BV450" s="2" t="s">
        <v>231</v>
      </c>
      <c r="BW450" s="2" t="s">
        <v>231</v>
      </c>
      <c r="BX450" s="2" t="s">
        <v>241</v>
      </c>
      <c r="BY450" s="2" t="s">
        <v>277</v>
      </c>
      <c r="BZ450" s="2" t="s">
        <v>243</v>
      </c>
      <c r="CA450" s="2" t="s">
        <v>2703</v>
      </c>
      <c r="CB450" s="2" t="s">
        <v>231</v>
      </c>
      <c r="CC450" s="2" t="s">
        <v>244</v>
      </c>
      <c r="CD450" s="2" t="s">
        <v>231</v>
      </c>
      <c r="CE450" s="4"/>
      <c r="CF450" s="4"/>
      <c r="CG450" s="4"/>
      <c r="CH450" s="4"/>
      <c r="CI450" s="4">
        <v>997</v>
      </c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</row>
    <row r="451">
      <c r="A451" s="2" t="s">
        <v>2715</v>
      </c>
      <c r="B451" s="2" t="s">
        <v>2695</v>
      </c>
      <c r="C451" s="2" t="s">
        <v>631</v>
      </c>
      <c r="D451" s="2" t="s">
        <v>2696</v>
      </c>
      <c r="E451" s="2" t="s">
        <v>2697</v>
      </c>
      <c r="F451" s="2" t="s">
        <v>2698</v>
      </c>
      <c r="G451" s="2" t="s">
        <v>2698</v>
      </c>
      <c r="H451" s="2" t="s">
        <v>2698</v>
      </c>
      <c r="I451" s="2" t="s">
        <v>2697</v>
      </c>
      <c r="J451" s="2" t="s">
        <v>1245</v>
      </c>
      <c r="K451" s="2" t="s">
        <v>2711</v>
      </c>
      <c r="L451" s="3">
        <v>22.03</v>
      </c>
      <c r="M451" s="3">
        <v>23.13</v>
      </c>
      <c r="N451" s="3"/>
      <c r="O451" s="2" t="s">
        <v>243</v>
      </c>
      <c r="P451" s="2" t="s">
        <v>341</v>
      </c>
      <c r="Q451" s="2" t="s">
        <v>237</v>
      </c>
      <c r="R451" s="2" t="s">
        <v>231</v>
      </c>
      <c r="S451" s="2" t="s">
        <v>231</v>
      </c>
      <c r="T451" s="2" t="s">
        <v>231</v>
      </c>
      <c r="U451" s="2" t="s">
        <v>327</v>
      </c>
      <c r="V451" s="2" t="s">
        <v>662</v>
      </c>
      <c r="W451" s="2" t="s">
        <v>231</v>
      </c>
      <c r="X451" s="2" t="s">
        <v>231</v>
      </c>
      <c r="Y451" s="2" t="s">
        <v>2701</v>
      </c>
      <c r="Z451" s="4">
        <v>1005</v>
      </c>
      <c r="AA451" s="4">
        <f>=ROUNDDOWN({0},0)</f>
      </c>
      <c r="AB451" s="5"/>
      <c r="AC451" s="2" t="s">
        <v>231</v>
      </c>
      <c r="AD451" s="4"/>
      <c r="AE451" s="4"/>
      <c r="AF451" s="6"/>
      <c r="AG451" s="6"/>
      <c r="AH451" s="7">
        <v>1</v>
      </c>
      <c r="AI451" s="4"/>
      <c r="AJ451" s="4">
        <f>=ROUNDDOWN({0},0)</f>
      </c>
      <c r="AK451" s="5"/>
      <c r="AL451" s="2" t="s">
        <v>231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231</v>
      </c>
      <c r="AW451" s="8" t="s">
        <v>231</v>
      </c>
      <c r="AX451" s="4" t="s">
        <v>231</v>
      </c>
      <c r="AY451" s="8" t="s">
        <v>231</v>
      </c>
      <c r="AZ451" s="7" t="s">
        <v>231</v>
      </c>
      <c r="BA451" s="7" t="s">
        <v>231</v>
      </c>
      <c r="BB451" s="7"/>
      <c r="BC451" s="4" t="s">
        <v>231</v>
      </c>
      <c r="BD451" s="8" t="s">
        <v>231</v>
      </c>
      <c r="BE451" s="4" t="s">
        <v>231</v>
      </c>
      <c r="BF451" s="8" t="s">
        <v>231</v>
      </c>
      <c r="BG451" s="7" t="s">
        <v>231</v>
      </c>
      <c r="BH451" s="7" t="s">
        <v>231</v>
      </c>
      <c r="BI451" s="7"/>
      <c r="BJ451" s="4"/>
      <c r="BK451" s="8"/>
      <c r="BL451" s="2" t="s">
        <v>1423</v>
      </c>
      <c r="BM451" s="7"/>
      <c r="BN451" s="7"/>
      <c r="BO451" s="4"/>
      <c r="BP451" s="8"/>
      <c r="BQ451" s="4"/>
      <c r="BR451" s="8"/>
      <c r="BS451" s="7"/>
      <c r="BT451" s="7"/>
      <c r="BU451" s="2" t="s">
        <v>2716</v>
      </c>
      <c r="BV451" s="2" t="s">
        <v>231</v>
      </c>
      <c r="BW451" s="2" t="s">
        <v>231</v>
      </c>
      <c r="BX451" s="2" t="s">
        <v>241</v>
      </c>
      <c r="BY451" s="2" t="s">
        <v>277</v>
      </c>
      <c r="BZ451" s="2" t="s">
        <v>243</v>
      </c>
      <c r="CA451" s="2" t="s">
        <v>2703</v>
      </c>
      <c r="CB451" s="2" t="s">
        <v>231</v>
      </c>
      <c r="CC451" s="2" t="s">
        <v>244</v>
      </c>
      <c r="CD451" s="2" t="s">
        <v>231</v>
      </c>
      <c r="CE451" s="4"/>
      <c r="CF451" s="4"/>
      <c r="CG451" s="4"/>
      <c r="CH451" s="4"/>
      <c r="CI451" s="4">
        <v>1005</v>
      </c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</row>
    <row r="452">
      <c r="A452" s="2" t="s">
        <v>2717</v>
      </c>
      <c r="B452" s="2" t="s">
        <v>2695</v>
      </c>
      <c r="C452" s="2" t="s">
        <v>631</v>
      </c>
      <c r="D452" s="2" t="s">
        <v>2696</v>
      </c>
      <c r="E452" s="2" t="s">
        <v>2697</v>
      </c>
      <c r="F452" s="2" t="s">
        <v>2698</v>
      </c>
      <c r="G452" s="2" t="s">
        <v>2698</v>
      </c>
      <c r="H452" s="2" t="s">
        <v>2698</v>
      </c>
      <c r="I452" s="2" t="s">
        <v>2697</v>
      </c>
      <c r="J452" s="2" t="s">
        <v>1249</v>
      </c>
      <c r="K452" s="2" t="s">
        <v>2711</v>
      </c>
      <c r="L452" s="3">
        <v>22.03</v>
      </c>
      <c r="M452" s="3">
        <v>23.13</v>
      </c>
      <c r="N452" s="3"/>
      <c r="O452" s="2" t="s">
        <v>243</v>
      </c>
      <c r="P452" s="2" t="s">
        <v>341</v>
      </c>
      <c r="Q452" s="2" t="s">
        <v>237</v>
      </c>
      <c r="R452" s="2" t="s">
        <v>231</v>
      </c>
      <c r="S452" s="2" t="s">
        <v>231</v>
      </c>
      <c r="T452" s="2" t="s">
        <v>231</v>
      </c>
      <c r="U452" s="2" t="s">
        <v>327</v>
      </c>
      <c r="V452" s="2" t="s">
        <v>662</v>
      </c>
      <c r="W452" s="2" t="s">
        <v>231</v>
      </c>
      <c r="X452" s="2" t="s">
        <v>231</v>
      </c>
      <c r="Y452" s="2" t="s">
        <v>2701</v>
      </c>
      <c r="Z452" s="4">
        <v>475</v>
      </c>
      <c r="AA452" s="4">
        <f>=ROUNDDOWN(2375,0)</f>
      </c>
      <c r="AB452" s="5">
        <v>0.2</v>
      </c>
      <c r="AC452" s="2" t="s">
        <v>231</v>
      </c>
      <c r="AD452" s="4"/>
      <c r="AE452" s="4"/>
      <c r="AF452" s="6"/>
      <c r="AG452" s="6"/>
      <c r="AH452" s="7">
        <v>1</v>
      </c>
      <c r="AI452" s="4"/>
      <c r="AJ452" s="4">
        <f>=ROUNDDOWN({0},0)</f>
      </c>
      <c r="AK452" s="5"/>
      <c r="AL452" s="2" t="s">
        <v>231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231</v>
      </c>
      <c r="AW452" s="8" t="s">
        <v>231</v>
      </c>
      <c r="AX452" s="4" t="s">
        <v>231</v>
      </c>
      <c r="AY452" s="8" t="s">
        <v>231</v>
      </c>
      <c r="AZ452" s="7" t="s">
        <v>231</v>
      </c>
      <c r="BA452" s="7" t="s">
        <v>231</v>
      </c>
      <c r="BB452" s="7"/>
      <c r="BC452" s="4" t="s">
        <v>231</v>
      </c>
      <c r="BD452" s="8" t="s">
        <v>231</v>
      </c>
      <c r="BE452" s="4" t="s">
        <v>231</v>
      </c>
      <c r="BF452" s="8" t="s">
        <v>231</v>
      </c>
      <c r="BG452" s="7" t="s">
        <v>231</v>
      </c>
      <c r="BH452" s="7" t="s">
        <v>231</v>
      </c>
      <c r="BI452" s="7"/>
      <c r="BJ452" s="4">
        <v>1</v>
      </c>
      <c r="BK452" s="8">
        <v>13.1</v>
      </c>
      <c r="BL452" s="2" t="s">
        <v>1423</v>
      </c>
      <c r="BM452" s="7"/>
      <c r="BN452" s="7"/>
      <c r="BO452" s="4"/>
      <c r="BP452" s="8"/>
      <c r="BQ452" s="4"/>
      <c r="BR452" s="8"/>
      <c r="BS452" s="7"/>
      <c r="BT452" s="7"/>
      <c r="BU452" s="2" t="s">
        <v>2718</v>
      </c>
      <c r="BV452" s="2" t="s">
        <v>231</v>
      </c>
      <c r="BW452" s="2" t="s">
        <v>231</v>
      </c>
      <c r="BX452" s="2" t="s">
        <v>241</v>
      </c>
      <c r="BY452" s="2" t="s">
        <v>277</v>
      </c>
      <c r="BZ452" s="2" t="s">
        <v>243</v>
      </c>
      <c r="CA452" s="2" t="s">
        <v>2703</v>
      </c>
      <c r="CB452" s="2" t="s">
        <v>231</v>
      </c>
      <c r="CC452" s="2" t="s">
        <v>244</v>
      </c>
      <c r="CD452" s="2" t="s">
        <v>231</v>
      </c>
      <c r="CE452" s="4"/>
      <c r="CF452" s="4"/>
      <c r="CG452" s="4"/>
      <c r="CH452" s="4"/>
      <c r="CI452" s="4">
        <v>475</v>
      </c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</row>
    <row r="453">
      <c r="A453" s="2" t="s">
        <v>2719</v>
      </c>
      <c r="B453" s="2" t="s">
        <v>1004</v>
      </c>
      <c r="C453" s="2" t="s">
        <v>288</v>
      </c>
      <c r="D453" s="2" t="s">
        <v>1922</v>
      </c>
      <c r="E453" s="2" t="s">
        <v>1923</v>
      </c>
      <c r="F453" s="2" t="s">
        <v>2720</v>
      </c>
      <c r="G453" s="2" t="s">
        <v>2721</v>
      </c>
      <c r="H453" s="2" t="s">
        <v>2722</v>
      </c>
      <c r="I453" s="2" t="s">
        <v>2723</v>
      </c>
      <c r="J453" s="2" t="s">
        <v>807</v>
      </c>
      <c r="K453" s="2" t="s">
        <v>1496</v>
      </c>
      <c r="L453" s="3">
        <v>242.25</v>
      </c>
      <c r="M453" s="3">
        <v>254.36</v>
      </c>
      <c r="N453" s="3">
        <v>509</v>
      </c>
      <c r="O453" s="2" t="s">
        <v>243</v>
      </c>
      <c r="P453" s="2" t="s">
        <v>270</v>
      </c>
      <c r="Q453" s="2" t="s">
        <v>237</v>
      </c>
      <c r="R453" s="2" t="s">
        <v>231</v>
      </c>
      <c r="S453" s="2" t="s">
        <v>2724</v>
      </c>
      <c r="T453" s="2" t="s">
        <v>231</v>
      </c>
      <c r="U453" s="2" t="s">
        <v>231</v>
      </c>
      <c r="V453" s="2" t="s">
        <v>239</v>
      </c>
      <c r="W453" s="2" t="s">
        <v>792</v>
      </c>
      <c r="X453" s="2" t="s">
        <v>231</v>
      </c>
      <c r="Y453" s="2" t="s">
        <v>2653</v>
      </c>
      <c r="Z453" s="4">
        <v>132</v>
      </c>
      <c r="AA453" s="4">
        <f>=ROUNDDOWN(22,0)</f>
      </c>
      <c r="AB453" s="5">
        <v>6</v>
      </c>
      <c r="AC453" s="2" t="s">
        <v>231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231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>
        <v>20</v>
      </c>
      <c r="BK453" s="8">
        <v>4302.5</v>
      </c>
      <c r="BL453" s="2" t="s">
        <v>2725</v>
      </c>
      <c r="BM453" s="7"/>
      <c r="BN453" s="7"/>
      <c r="BO453" s="4"/>
      <c r="BP453" s="8"/>
      <c r="BQ453" s="4"/>
      <c r="BR453" s="8"/>
      <c r="BS453" s="7"/>
      <c r="BT453" s="7"/>
      <c r="BU453" s="2" t="s">
        <v>2726</v>
      </c>
      <c r="BV453" s="2" t="s">
        <v>231</v>
      </c>
      <c r="BW453" s="2" t="s">
        <v>231</v>
      </c>
      <c r="BX453" s="2" t="s">
        <v>231</v>
      </c>
      <c r="BY453" s="2" t="s">
        <v>277</v>
      </c>
      <c r="BZ453" s="2" t="s">
        <v>243</v>
      </c>
      <c r="CA453" s="2" t="s">
        <v>2727</v>
      </c>
      <c r="CB453" s="2" t="s">
        <v>2728</v>
      </c>
      <c r="CC453" s="2" t="s">
        <v>244</v>
      </c>
      <c r="CD453" s="2" t="s">
        <v>231</v>
      </c>
      <c r="CE453" s="4"/>
      <c r="CF453" s="4">
        <v>132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</row>
    <row r="454">
      <c r="A454" s="2" t="s">
        <v>2729</v>
      </c>
      <c r="B454" s="2" t="s">
        <v>1186</v>
      </c>
      <c r="C454" s="2" t="s">
        <v>1299</v>
      </c>
      <c r="D454" s="2" t="s">
        <v>654</v>
      </c>
      <c r="E454" s="2" t="s">
        <v>890</v>
      </c>
      <c r="F454" s="2" t="s">
        <v>2730</v>
      </c>
      <c r="G454" s="2" t="s">
        <v>2730</v>
      </c>
      <c r="H454" s="2" t="s">
        <v>2730</v>
      </c>
      <c r="I454" s="2" t="s">
        <v>2731</v>
      </c>
      <c r="J454" s="2" t="s">
        <v>832</v>
      </c>
      <c r="K454" s="2" t="s">
        <v>1146</v>
      </c>
      <c r="L454" s="3">
        <v>45.71</v>
      </c>
      <c r="M454" s="3">
        <v>48</v>
      </c>
      <c r="N454" s="3">
        <v>99.99</v>
      </c>
      <c r="O454" s="2" t="s">
        <v>243</v>
      </c>
      <c r="P454" s="2" t="s">
        <v>236</v>
      </c>
      <c r="Q454" s="2" t="s">
        <v>237</v>
      </c>
      <c r="R454" s="2" t="s">
        <v>231</v>
      </c>
      <c r="S454" s="2" t="s">
        <v>2732</v>
      </c>
      <c r="T454" s="2" t="s">
        <v>1432</v>
      </c>
      <c r="U454" s="2" t="s">
        <v>791</v>
      </c>
      <c r="V454" s="2" t="s">
        <v>2484</v>
      </c>
      <c r="W454" s="2" t="s">
        <v>2733</v>
      </c>
      <c r="X454" s="2" t="s">
        <v>792</v>
      </c>
      <c r="Y454" s="2" t="s">
        <v>2635</v>
      </c>
      <c r="Z454" s="4">
        <v>150</v>
      </c>
      <c r="AA454" s="4">
        <f>=ROUNDDOWN(37.5,0)</f>
      </c>
      <c r="AB454" s="5">
        <v>4</v>
      </c>
      <c r="AC454" s="2" t="s">
        <v>231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231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>
        <v>8</v>
      </c>
      <c r="BK454" s="8">
        <v>337.44</v>
      </c>
      <c r="BL454" s="2" t="s">
        <v>1240</v>
      </c>
      <c r="BM454" s="7"/>
      <c r="BN454" s="7"/>
      <c r="BO454" s="4"/>
      <c r="BP454" s="8"/>
      <c r="BQ454" s="4"/>
      <c r="BR454" s="8"/>
      <c r="BS454" s="7"/>
      <c r="BT454" s="7"/>
      <c r="BU454" s="2" t="s">
        <v>2734</v>
      </c>
      <c r="BV454" s="2" t="s">
        <v>231</v>
      </c>
      <c r="BW454" s="2" t="s">
        <v>231</v>
      </c>
      <c r="BX454" s="2" t="s">
        <v>241</v>
      </c>
      <c r="BY454" s="2" t="s">
        <v>277</v>
      </c>
      <c r="BZ454" s="2" t="s">
        <v>243</v>
      </c>
      <c r="CA454" s="2" t="s">
        <v>2735</v>
      </c>
      <c r="CB454" s="2" t="s">
        <v>231</v>
      </c>
      <c r="CC454" s="2" t="s">
        <v>244</v>
      </c>
      <c r="CD454" s="2" t="s">
        <v>231</v>
      </c>
      <c r="CE454" s="4">
        <v>150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</row>
    <row r="455">
      <c r="A455" s="2" t="s">
        <v>2736</v>
      </c>
      <c r="B455" s="2" t="s">
        <v>824</v>
      </c>
      <c r="C455" s="2" t="s">
        <v>825</v>
      </c>
      <c r="D455" s="2" t="s">
        <v>826</v>
      </c>
      <c r="E455" s="2" t="s">
        <v>1060</v>
      </c>
      <c r="F455" s="2" t="s">
        <v>2737</v>
      </c>
      <c r="G455" s="2" t="s">
        <v>2738</v>
      </c>
      <c r="H455" s="2" t="s">
        <v>2739</v>
      </c>
      <c r="I455" s="2" t="s">
        <v>2740</v>
      </c>
      <c r="J455" s="2" t="s">
        <v>832</v>
      </c>
      <c r="K455" s="2" t="s">
        <v>269</v>
      </c>
      <c r="L455" s="3">
        <v>26.19</v>
      </c>
      <c r="M455" s="3">
        <v>27.5</v>
      </c>
      <c r="N455" s="3">
        <v>54.99</v>
      </c>
      <c r="O455" s="2" t="s">
        <v>243</v>
      </c>
      <c r="P455" s="2" t="s">
        <v>341</v>
      </c>
      <c r="Q455" s="2" t="s">
        <v>237</v>
      </c>
      <c r="R455" s="2" t="s">
        <v>231</v>
      </c>
      <c r="S455" s="2" t="s">
        <v>2741</v>
      </c>
      <c r="T455" s="2" t="s">
        <v>231</v>
      </c>
      <c r="U455" s="2" t="s">
        <v>791</v>
      </c>
      <c r="V455" s="2" t="s">
        <v>662</v>
      </c>
      <c r="W455" s="2" t="s">
        <v>273</v>
      </c>
      <c r="X455" s="2" t="s">
        <v>231</v>
      </c>
      <c r="Y455" s="2" t="s">
        <v>2742</v>
      </c>
      <c r="Z455" s="4">
        <v>2</v>
      </c>
      <c r="AA455" s="4">
        <f>=ROUNDDOWN(0.952380952380952,0)</f>
      </c>
      <c r="AB455" s="5">
        <v>2.1</v>
      </c>
      <c r="AC455" s="2" t="s">
        <v>231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231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>
        <v>9</v>
      </c>
      <c r="BK455" s="8">
        <v>172.26</v>
      </c>
      <c r="BL455" s="2" t="s">
        <v>1618</v>
      </c>
      <c r="BM455" s="7"/>
      <c r="BN455" s="7"/>
      <c r="BO455" s="4"/>
      <c r="BP455" s="8"/>
      <c r="BQ455" s="4"/>
      <c r="BR455" s="8"/>
      <c r="BS455" s="7"/>
      <c r="BT455" s="7"/>
      <c r="BU455" s="2" t="s">
        <v>2743</v>
      </c>
      <c r="BV455" s="2" t="s">
        <v>231</v>
      </c>
      <c r="BW455" s="2" t="s">
        <v>231</v>
      </c>
      <c r="BX455" s="2" t="s">
        <v>231</v>
      </c>
      <c r="BY455" s="2" t="s">
        <v>277</v>
      </c>
      <c r="BZ455" s="2" t="s">
        <v>243</v>
      </c>
      <c r="CA455" s="2" t="s">
        <v>2744</v>
      </c>
      <c r="CB455" s="2" t="s">
        <v>2745</v>
      </c>
      <c r="CC455" s="2" t="s">
        <v>244</v>
      </c>
      <c r="CD455" s="2" t="s">
        <v>231</v>
      </c>
      <c r="CE455" s="4">
        <v>2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</row>
    <row r="456">
      <c r="A456" s="2" t="s">
        <v>2746</v>
      </c>
      <c r="B456" s="2" t="s">
        <v>226</v>
      </c>
      <c r="C456" s="2" t="s">
        <v>815</v>
      </c>
      <c r="D456" s="2" t="s">
        <v>458</v>
      </c>
      <c r="E456" s="2" t="s">
        <v>459</v>
      </c>
      <c r="F456" s="2" t="s">
        <v>2747</v>
      </c>
      <c r="G456" s="2" t="s">
        <v>2747</v>
      </c>
      <c r="H456" s="2" t="s">
        <v>2747</v>
      </c>
      <c r="I456" s="2" t="s">
        <v>2748</v>
      </c>
      <c r="J456" s="2" t="s">
        <v>2749</v>
      </c>
      <c r="K456" s="2" t="s">
        <v>901</v>
      </c>
      <c r="L456" s="3">
        <v>10.58</v>
      </c>
      <c r="M456" s="3">
        <v>11.11</v>
      </c>
      <c r="N456" s="3">
        <v>22.99</v>
      </c>
      <c r="O456" s="2" t="s">
        <v>243</v>
      </c>
      <c r="P456" s="2" t="s">
        <v>1985</v>
      </c>
      <c r="Q456" s="2" t="s">
        <v>237</v>
      </c>
      <c r="R456" s="2" t="s">
        <v>231</v>
      </c>
      <c r="S456" s="2" t="s">
        <v>2750</v>
      </c>
      <c r="T456" s="2" t="s">
        <v>2751</v>
      </c>
      <c r="U456" s="2" t="s">
        <v>327</v>
      </c>
      <c r="V456" s="2" t="s">
        <v>239</v>
      </c>
      <c r="W456" s="2" t="s">
        <v>273</v>
      </c>
      <c r="X456" s="2" t="s">
        <v>971</v>
      </c>
      <c r="Y456" s="2" t="s">
        <v>1579</v>
      </c>
      <c r="Z456" s="4">
        <v>544</v>
      </c>
      <c r="AA456" s="4">
        <f>=ROUNDDOWN(41.8461538461538,0)</f>
      </c>
      <c r="AB456" s="5">
        <v>13</v>
      </c>
      <c r="AC456" s="2" t="s">
        <v>231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231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231</v>
      </c>
      <c r="AW456" s="8" t="s">
        <v>231</v>
      </c>
      <c r="AX456" s="4" t="s">
        <v>231</v>
      </c>
      <c r="AY456" s="8" t="s">
        <v>231</v>
      </c>
      <c r="AZ456" s="7" t="s">
        <v>231</v>
      </c>
      <c r="BA456" s="7" t="s">
        <v>231</v>
      </c>
      <c r="BB456" s="7"/>
      <c r="BC456" s="4" t="s">
        <v>231</v>
      </c>
      <c r="BD456" s="8" t="s">
        <v>231</v>
      </c>
      <c r="BE456" s="4" t="s">
        <v>231</v>
      </c>
      <c r="BF456" s="8" t="s">
        <v>231</v>
      </c>
      <c r="BG456" s="7" t="s">
        <v>231</v>
      </c>
      <c r="BH456" s="7" t="s">
        <v>231</v>
      </c>
      <c r="BI456" s="7"/>
      <c r="BJ456" s="4">
        <v>1</v>
      </c>
      <c r="BK456" s="8">
        <v>12.17</v>
      </c>
      <c r="BL456" s="2" t="s">
        <v>2565</v>
      </c>
      <c r="BM456" s="7"/>
      <c r="BN456" s="7"/>
      <c r="BO456" s="4"/>
      <c r="BP456" s="8"/>
      <c r="BQ456" s="4"/>
      <c r="BR456" s="8"/>
      <c r="BS456" s="7"/>
      <c r="BT456" s="7"/>
      <c r="BU456" s="2" t="s">
        <v>2752</v>
      </c>
      <c r="BV456" s="2" t="s">
        <v>231</v>
      </c>
      <c r="BW456" s="2" t="s">
        <v>231</v>
      </c>
      <c r="BX456" s="2" t="s">
        <v>241</v>
      </c>
      <c r="BY456" s="2" t="s">
        <v>277</v>
      </c>
      <c r="BZ456" s="2" t="s">
        <v>243</v>
      </c>
      <c r="CA456" s="2" t="s">
        <v>822</v>
      </c>
      <c r="CB456" s="2" t="s">
        <v>2753</v>
      </c>
      <c r="CC456" s="2" t="s">
        <v>244</v>
      </c>
      <c r="CD456" s="2" t="s">
        <v>231</v>
      </c>
      <c r="CE456" s="4">
        <v>352</v>
      </c>
      <c r="CF456" s="4"/>
      <c r="CG456" s="4"/>
      <c r="CH456" s="4"/>
      <c r="CI456" s="4"/>
      <c r="CJ456" s="4"/>
      <c r="CK456" s="4"/>
      <c r="CL456" s="4">
        <v>192</v>
      </c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</row>
    <row r="457">
      <c r="A457" s="2" t="s">
        <v>2754</v>
      </c>
      <c r="B457" s="2" t="s">
        <v>226</v>
      </c>
      <c r="C457" s="2" t="s">
        <v>815</v>
      </c>
      <c r="D457" s="2" t="s">
        <v>458</v>
      </c>
      <c r="E457" s="2" t="s">
        <v>459</v>
      </c>
      <c r="F457" s="2" t="s">
        <v>2747</v>
      </c>
      <c r="G457" s="2" t="s">
        <v>2747</v>
      </c>
      <c r="H457" s="2" t="s">
        <v>2747</v>
      </c>
      <c r="I457" s="2" t="s">
        <v>2755</v>
      </c>
      <c r="J457" s="2" t="s">
        <v>1145</v>
      </c>
      <c r="K457" s="2" t="s">
        <v>901</v>
      </c>
      <c r="L457" s="3">
        <v>12.96</v>
      </c>
      <c r="M457" s="3">
        <v>13.61</v>
      </c>
      <c r="N457" s="3">
        <v>26.99</v>
      </c>
      <c r="O457" s="2" t="s">
        <v>243</v>
      </c>
      <c r="P457" s="2" t="s">
        <v>1985</v>
      </c>
      <c r="Q457" s="2" t="s">
        <v>237</v>
      </c>
      <c r="R457" s="2" t="s">
        <v>231</v>
      </c>
      <c r="S457" s="2" t="s">
        <v>2750</v>
      </c>
      <c r="T457" s="2" t="s">
        <v>2751</v>
      </c>
      <c r="U457" s="2" t="s">
        <v>327</v>
      </c>
      <c r="V457" s="2" t="s">
        <v>239</v>
      </c>
      <c r="W457" s="2" t="s">
        <v>273</v>
      </c>
      <c r="X457" s="2" t="s">
        <v>971</v>
      </c>
      <c r="Y457" s="2" t="s">
        <v>1579</v>
      </c>
      <c r="Z457" s="4">
        <v>734</v>
      </c>
      <c r="AA457" s="4">
        <f>=ROUNDDOWN(48.9333333333333,0)</f>
      </c>
      <c r="AB457" s="5">
        <v>15</v>
      </c>
      <c r="AC457" s="2" t="s">
        <v>231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231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231</v>
      </c>
      <c r="AW457" s="8" t="s">
        <v>231</v>
      </c>
      <c r="AX457" s="4" t="s">
        <v>231</v>
      </c>
      <c r="AY457" s="8" t="s">
        <v>231</v>
      </c>
      <c r="AZ457" s="7" t="s">
        <v>231</v>
      </c>
      <c r="BA457" s="7" t="s">
        <v>231</v>
      </c>
      <c r="BB457" s="7"/>
      <c r="BC457" s="4" t="s">
        <v>231</v>
      </c>
      <c r="BD457" s="8" t="s">
        <v>231</v>
      </c>
      <c r="BE457" s="4" t="s">
        <v>231</v>
      </c>
      <c r="BF457" s="8" t="s">
        <v>231</v>
      </c>
      <c r="BG457" s="7" t="s">
        <v>231</v>
      </c>
      <c r="BH457" s="7" t="s">
        <v>231</v>
      </c>
      <c r="BI457" s="7"/>
      <c r="BJ457" s="4">
        <v>2</v>
      </c>
      <c r="BK457" s="8">
        <v>34.48</v>
      </c>
      <c r="BL457" s="2" t="s">
        <v>2225</v>
      </c>
      <c r="BM457" s="7"/>
      <c r="BN457" s="7"/>
      <c r="BO457" s="4"/>
      <c r="BP457" s="8"/>
      <c r="BQ457" s="4"/>
      <c r="BR457" s="8"/>
      <c r="BS457" s="7"/>
      <c r="BT457" s="7"/>
      <c r="BU457" s="2" t="s">
        <v>2756</v>
      </c>
      <c r="BV457" s="2" t="s">
        <v>231</v>
      </c>
      <c r="BW457" s="2" t="s">
        <v>231</v>
      </c>
      <c r="BX457" s="2" t="s">
        <v>241</v>
      </c>
      <c r="BY457" s="2" t="s">
        <v>277</v>
      </c>
      <c r="BZ457" s="2" t="s">
        <v>243</v>
      </c>
      <c r="CA457" s="2" t="s">
        <v>822</v>
      </c>
      <c r="CB457" s="2" t="s">
        <v>231</v>
      </c>
      <c r="CC457" s="2" t="s">
        <v>244</v>
      </c>
      <c r="CD457" s="2" t="s">
        <v>231</v>
      </c>
      <c r="CE457" s="4">
        <v>734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</row>
    <row r="458">
      <c r="A458" s="2" t="s">
        <v>2757</v>
      </c>
      <c r="B458" s="2" t="s">
        <v>226</v>
      </c>
      <c r="C458" s="2" t="s">
        <v>815</v>
      </c>
      <c r="D458" s="2" t="s">
        <v>458</v>
      </c>
      <c r="E458" s="2" t="s">
        <v>459</v>
      </c>
      <c r="F458" s="2" t="s">
        <v>2747</v>
      </c>
      <c r="G458" s="2" t="s">
        <v>2747</v>
      </c>
      <c r="H458" s="2" t="s">
        <v>2747</v>
      </c>
      <c r="I458" s="2" t="s">
        <v>2758</v>
      </c>
      <c r="J458" s="2" t="s">
        <v>2759</v>
      </c>
      <c r="K458" s="2" t="s">
        <v>901</v>
      </c>
      <c r="L458" s="3">
        <v>18.4</v>
      </c>
      <c r="M458" s="3">
        <v>19.32</v>
      </c>
      <c r="N458" s="3">
        <v>39.99</v>
      </c>
      <c r="O458" s="2" t="s">
        <v>243</v>
      </c>
      <c r="P458" s="2" t="s">
        <v>1985</v>
      </c>
      <c r="Q458" s="2" t="s">
        <v>237</v>
      </c>
      <c r="R458" s="2" t="s">
        <v>231</v>
      </c>
      <c r="S458" s="2" t="s">
        <v>2750</v>
      </c>
      <c r="T458" s="2" t="s">
        <v>2751</v>
      </c>
      <c r="U458" s="2" t="s">
        <v>327</v>
      </c>
      <c r="V458" s="2" t="s">
        <v>239</v>
      </c>
      <c r="W458" s="2" t="s">
        <v>273</v>
      </c>
      <c r="X458" s="2" t="s">
        <v>971</v>
      </c>
      <c r="Y458" s="2" t="s">
        <v>1579</v>
      </c>
      <c r="Z458" s="4">
        <v>415</v>
      </c>
      <c r="AA458" s="4">
        <f>=ROUNDDOWN(41.5,0)</f>
      </c>
      <c r="AB458" s="5">
        <v>10</v>
      </c>
      <c r="AC458" s="2" t="s">
        <v>231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231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231</v>
      </c>
      <c r="AW458" s="8" t="s">
        <v>231</v>
      </c>
      <c r="AX458" s="4" t="s">
        <v>231</v>
      </c>
      <c r="AY458" s="8" t="s">
        <v>231</v>
      </c>
      <c r="AZ458" s="7" t="s">
        <v>231</v>
      </c>
      <c r="BA458" s="7" t="s">
        <v>231</v>
      </c>
      <c r="BB458" s="7"/>
      <c r="BC458" s="4" t="s">
        <v>231</v>
      </c>
      <c r="BD458" s="8" t="s">
        <v>231</v>
      </c>
      <c r="BE458" s="4" t="s">
        <v>231</v>
      </c>
      <c r="BF458" s="8" t="s">
        <v>231</v>
      </c>
      <c r="BG458" s="7" t="s">
        <v>231</v>
      </c>
      <c r="BH458" s="7" t="s">
        <v>231</v>
      </c>
      <c r="BI458" s="7"/>
      <c r="BJ458" s="4">
        <v>10</v>
      </c>
      <c r="BK458" s="8">
        <v>185.34</v>
      </c>
      <c r="BL458" s="2" t="s">
        <v>2210</v>
      </c>
      <c r="BM458" s="7"/>
      <c r="BN458" s="7"/>
      <c r="BO458" s="4"/>
      <c r="BP458" s="8"/>
      <c r="BQ458" s="4"/>
      <c r="BR458" s="8"/>
      <c r="BS458" s="7"/>
      <c r="BT458" s="7"/>
      <c r="BU458" s="2" t="s">
        <v>2760</v>
      </c>
      <c r="BV458" s="2" t="s">
        <v>231</v>
      </c>
      <c r="BW458" s="2" t="s">
        <v>231</v>
      </c>
      <c r="BX458" s="2" t="s">
        <v>241</v>
      </c>
      <c r="BY458" s="2" t="s">
        <v>277</v>
      </c>
      <c r="BZ458" s="2" t="s">
        <v>243</v>
      </c>
      <c r="CA458" s="2" t="s">
        <v>822</v>
      </c>
      <c r="CB458" s="2" t="s">
        <v>2206</v>
      </c>
      <c r="CC458" s="2" t="s">
        <v>244</v>
      </c>
      <c r="CD458" s="2" t="s">
        <v>231</v>
      </c>
      <c r="CE458" s="4">
        <v>271</v>
      </c>
      <c r="CF458" s="4"/>
      <c r="CG458" s="4"/>
      <c r="CH458" s="4"/>
      <c r="CI458" s="4"/>
      <c r="CJ458" s="4"/>
      <c r="CK458" s="4"/>
      <c r="CL458" s="4">
        <v>144</v>
      </c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</row>
    <row r="459">
      <c r="A459" s="2" t="s">
        <v>2761</v>
      </c>
      <c r="B459" s="2" t="s">
        <v>226</v>
      </c>
      <c r="C459" s="2" t="s">
        <v>815</v>
      </c>
      <c r="D459" s="2" t="s">
        <v>458</v>
      </c>
      <c r="E459" s="2" t="s">
        <v>459</v>
      </c>
      <c r="F459" s="2" t="s">
        <v>2747</v>
      </c>
      <c r="G459" s="2" t="s">
        <v>2747</v>
      </c>
      <c r="H459" s="2" t="s">
        <v>2747</v>
      </c>
      <c r="I459" s="2" t="s">
        <v>2748</v>
      </c>
      <c r="J459" s="2" t="s">
        <v>2749</v>
      </c>
      <c r="K459" s="2" t="s">
        <v>1491</v>
      </c>
      <c r="L459" s="3">
        <v>10.58</v>
      </c>
      <c r="M459" s="3">
        <v>11.11</v>
      </c>
      <c r="N459" s="3">
        <v>22.99</v>
      </c>
      <c r="O459" s="2" t="s">
        <v>243</v>
      </c>
      <c r="P459" s="2" t="s">
        <v>1985</v>
      </c>
      <c r="Q459" s="2" t="s">
        <v>237</v>
      </c>
      <c r="R459" s="2" t="s">
        <v>231</v>
      </c>
      <c r="S459" s="2" t="s">
        <v>2762</v>
      </c>
      <c r="T459" s="2" t="s">
        <v>2751</v>
      </c>
      <c r="U459" s="2" t="s">
        <v>327</v>
      </c>
      <c r="V459" s="2" t="s">
        <v>239</v>
      </c>
      <c r="W459" s="2" t="s">
        <v>273</v>
      </c>
      <c r="X459" s="2" t="s">
        <v>971</v>
      </c>
      <c r="Y459" s="2" t="s">
        <v>1579</v>
      </c>
      <c r="Z459" s="4">
        <v>297</v>
      </c>
      <c r="AA459" s="4">
        <f>=ROUNDDOWN(74.25,0)</f>
      </c>
      <c r="AB459" s="5">
        <v>4</v>
      </c>
      <c r="AC459" s="2" t="s">
        <v>231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231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231</v>
      </c>
      <c r="AW459" s="8" t="s">
        <v>231</v>
      </c>
      <c r="AX459" s="4" t="s">
        <v>231</v>
      </c>
      <c r="AY459" s="8" t="s">
        <v>231</v>
      </c>
      <c r="AZ459" s="7" t="s">
        <v>231</v>
      </c>
      <c r="BA459" s="7" t="s">
        <v>231</v>
      </c>
      <c r="BB459" s="7"/>
      <c r="BC459" s="4" t="s">
        <v>231</v>
      </c>
      <c r="BD459" s="8" t="s">
        <v>231</v>
      </c>
      <c r="BE459" s="4" t="s">
        <v>231</v>
      </c>
      <c r="BF459" s="8" t="s">
        <v>231</v>
      </c>
      <c r="BG459" s="7" t="s">
        <v>231</v>
      </c>
      <c r="BH459" s="7" t="s">
        <v>231</v>
      </c>
      <c r="BI459" s="7"/>
      <c r="BJ459" s="4">
        <v>6</v>
      </c>
      <c r="BK459" s="8">
        <v>69.8</v>
      </c>
      <c r="BL459" s="2" t="s">
        <v>2763</v>
      </c>
      <c r="BM459" s="7"/>
      <c r="BN459" s="7"/>
      <c r="BO459" s="4"/>
      <c r="BP459" s="8"/>
      <c r="BQ459" s="4"/>
      <c r="BR459" s="8"/>
      <c r="BS459" s="7"/>
      <c r="BT459" s="7"/>
      <c r="BU459" s="2" t="s">
        <v>2764</v>
      </c>
      <c r="BV459" s="2" t="s">
        <v>231</v>
      </c>
      <c r="BW459" s="2" t="s">
        <v>231</v>
      </c>
      <c r="BX459" s="2" t="s">
        <v>241</v>
      </c>
      <c r="BY459" s="2" t="s">
        <v>277</v>
      </c>
      <c r="BZ459" s="2" t="s">
        <v>243</v>
      </c>
      <c r="CA459" s="2" t="s">
        <v>822</v>
      </c>
      <c r="CB459" s="2" t="s">
        <v>2765</v>
      </c>
      <c r="CC459" s="2" t="s">
        <v>244</v>
      </c>
      <c r="CD459" s="2" t="s">
        <v>231</v>
      </c>
      <c r="CE459" s="4">
        <v>297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</row>
    <row r="460">
      <c r="A460" s="2" t="s">
        <v>2766</v>
      </c>
      <c r="B460" s="2" t="s">
        <v>226</v>
      </c>
      <c r="C460" s="2" t="s">
        <v>815</v>
      </c>
      <c r="D460" s="2" t="s">
        <v>458</v>
      </c>
      <c r="E460" s="2" t="s">
        <v>459</v>
      </c>
      <c r="F460" s="2" t="s">
        <v>2747</v>
      </c>
      <c r="G460" s="2" t="s">
        <v>2747</v>
      </c>
      <c r="H460" s="2" t="s">
        <v>2747</v>
      </c>
      <c r="I460" s="2" t="s">
        <v>2755</v>
      </c>
      <c r="J460" s="2" t="s">
        <v>1145</v>
      </c>
      <c r="K460" s="2" t="s">
        <v>1491</v>
      </c>
      <c r="L460" s="3">
        <v>12.96</v>
      </c>
      <c r="M460" s="3">
        <v>13.61</v>
      </c>
      <c r="N460" s="3">
        <v>26.99</v>
      </c>
      <c r="O460" s="2" t="s">
        <v>243</v>
      </c>
      <c r="P460" s="2" t="s">
        <v>1985</v>
      </c>
      <c r="Q460" s="2" t="s">
        <v>237</v>
      </c>
      <c r="R460" s="2" t="s">
        <v>231</v>
      </c>
      <c r="S460" s="2" t="s">
        <v>2762</v>
      </c>
      <c r="T460" s="2" t="s">
        <v>2751</v>
      </c>
      <c r="U460" s="2" t="s">
        <v>327</v>
      </c>
      <c r="V460" s="2" t="s">
        <v>239</v>
      </c>
      <c r="W460" s="2" t="s">
        <v>273</v>
      </c>
      <c r="X460" s="2" t="s">
        <v>971</v>
      </c>
      <c r="Y460" s="2" t="s">
        <v>1579</v>
      </c>
      <c r="Z460" s="4">
        <v>221</v>
      </c>
      <c r="AA460" s="4">
        <f>=ROUNDDOWN(55.25,0)</f>
      </c>
      <c r="AB460" s="5">
        <v>4</v>
      </c>
      <c r="AC460" s="2" t="s">
        <v>231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231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231</v>
      </c>
      <c r="AW460" s="8" t="s">
        <v>231</v>
      </c>
      <c r="AX460" s="4" t="s">
        <v>231</v>
      </c>
      <c r="AY460" s="8" t="s">
        <v>231</v>
      </c>
      <c r="AZ460" s="7" t="s">
        <v>231</v>
      </c>
      <c r="BA460" s="7" t="s">
        <v>231</v>
      </c>
      <c r="BB460" s="7"/>
      <c r="BC460" s="4" t="s">
        <v>231</v>
      </c>
      <c r="BD460" s="8" t="s">
        <v>231</v>
      </c>
      <c r="BE460" s="4" t="s">
        <v>231</v>
      </c>
      <c r="BF460" s="8" t="s">
        <v>231</v>
      </c>
      <c r="BG460" s="7" t="s">
        <v>231</v>
      </c>
      <c r="BH460" s="7" t="s">
        <v>231</v>
      </c>
      <c r="BI460" s="7"/>
      <c r="BJ460" s="4">
        <v>6</v>
      </c>
      <c r="BK460" s="8">
        <v>85.74</v>
      </c>
      <c r="BL460" s="2" t="s">
        <v>1120</v>
      </c>
      <c r="BM460" s="7"/>
      <c r="BN460" s="7"/>
      <c r="BO460" s="4"/>
      <c r="BP460" s="8"/>
      <c r="BQ460" s="4"/>
      <c r="BR460" s="8"/>
      <c r="BS460" s="7"/>
      <c r="BT460" s="7"/>
      <c r="BU460" s="2" t="s">
        <v>2767</v>
      </c>
      <c r="BV460" s="2" t="s">
        <v>231</v>
      </c>
      <c r="BW460" s="2" t="s">
        <v>231</v>
      </c>
      <c r="BX460" s="2" t="s">
        <v>241</v>
      </c>
      <c r="BY460" s="2" t="s">
        <v>277</v>
      </c>
      <c r="BZ460" s="2" t="s">
        <v>243</v>
      </c>
      <c r="CA460" s="2" t="s">
        <v>822</v>
      </c>
      <c r="CB460" s="2" t="s">
        <v>926</v>
      </c>
      <c r="CC460" s="2" t="s">
        <v>244</v>
      </c>
      <c r="CD460" s="2" t="s">
        <v>231</v>
      </c>
      <c r="CE460" s="4">
        <v>109</v>
      </c>
      <c r="CF460" s="4"/>
      <c r="CG460" s="4"/>
      <c r="CH460" s="4"/>
      <c r="CI460" s="4"/>
      <c r="CJ460" s="4"/>
      <c r="CK460" s="4"/>
      <c r="CL460" s="4">
        <v>112</v>
      </c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</row>
    <row r="461">
      <c r="A461" s="2" t="s">
        <v>2768</v>
      </c>
      <c r="B461" s="2" t="s">
        <v>226</v>
      </c>
      <c r="C461" s="2" t="s">
        <v>815</v>
      </c>
      <c r="D461" s="2" t="s">
        <v>458</v>
      </c>
      <c r="E461" s="2" t="s">
        <v>459</v>
      </c>
      <c r="F461" s="2" t="s">
        <v>2747</v>
      </c>
      <c r="G461" s="2" t="s">
        <v>2747</v>
      </c>
      <c r="H461" s="2" t="s">
        <v>2747</v>
      </c>
      <c r="I461" s="2" t="s">
        <v>2758</v>
      </c>
      <c r="J461" s="2" t="s">
        <v>2759</v>
      </c>
      <c r="K461" s="2" t="s">
        <v>1491</v>
      </c>
      <c r="L461" s="3">
        <v>18.4</v>
      </c>
      <c r="M461" s="3">
        <v>19.32</v>
      </c>
      <c r="N461" s="3">
        <v>39.99</v>
      </c>
      <c r="O461" s="2" t="s">
        <v>243</v>
      </c>
      <c r="P461" s="2" t="s">
        <v>1985</v>
      </c>
      <c r="Q461" s="2" t="s">
        <v>237</v>
      </c>
      <c r="R461" s="2" t="s">
        <v>231</v>
      </c>
      <c r="S461" s="2" t="s">
        <v>2762</v>
      </c>
      <c r="T461" s="2" t="s">
        <v>2751</v>
      </c>
      <c r="U461" s="2" t="s">
        <v>327</v>
      </c>
      <c r="V461" s="2" t="s">
        <v>239</v>
      </c>
      <c r="W461" s="2" t="s">
        <v>273</v>
      </c>
      <c r="X461" s="2" t="s">
        <v>971</v>
      </c>
      <c r="Y461" s="2" t="s">
        <v>1579</v>
      </c>
      <c r="Z461" s="4">
        <v>196</v>
      </c>
      <c r="AA461" s="4">
        <f>=ROUNDDOWN(49,0)</f>
      </c>
      <c r="AB461" s="5">
        <v>4</v>
      </c>
      <c r="AC461" s="2" t="s">
        <v>231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231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231</v>
      </c>
      <c r="AW461" s="8" t="s">
        <v>231</v>
      </c>
      <c r="AX461" s="4" t="s">
        <v>231</v>
      </c>
      <c r="AY461" s="8" t="s">
        <v>231</v>
      </c>
      <c r="AZ461" s="7" t="s">
        <v>231</v>
      </c>
      <c r="BA461" s="7" t="s">
        <v>231</v>
      </c>
      <c r="BB461" s="7"/>
      <c r="BC461" s="4" t="s">
        <v>231</v>
      </c>
      <c r="BD461" s="8" t="s">
        <v>231</v>
      </c>
      <c r="BE461" s="4" t="s">
        <v>231</v>
      </c>
      <c r="BF461" s="8" t="s">
        <v>231</v>
      </c>
      <c r="BG461" s="7" t="s">
        <v>231</v>
      </c>
      <c r="BH461" s="7" t="s">
        <v>231</v>
      </c>
      <c r="BI461" s="7"/>
      <c r="BJ461" s="4">
        <v>10</v>
      </c>
      <c r="BK461" s="8">
        <v>200.86</v>
      </c>
      <c r="BL461" s="2" t="s">
        <v>2769</v>
      </c>
      <c r="BM461" s="7"/>
      <c r="BN461" s="7"/>
      <c r="BO461" s="4"/>
      <c r="BP461" s="8"/>
      <c r="BQ461" s="4"/>
      <c r="BR461" s="8"/>
      <c r="BS461" s="7"/>
      <c r="BT461" s="7"/>
      <c r="BU461" s="2" t="s">
        <v>2770</v>
      </c>
      <c r="BV461" s="2" t="s">
        <v>231</v>
      </c>
      <c r="BW461" s="2" t="s">
        <v>231</v>
      </c>
      <c r="BX461" s="2" t="s">
        <v>241</v>
      </c>
      <c r="BY461" s="2" t="s">
        <v>277</v>
      </c>
      <c r="BZ461" s="2" t="s">
        <v>243</v>
      </c>
      <c r="CA461" s="2" t="s">
        <v>822</v>
      </c>
      <c r="CB461" s="2" t="s">
        <v>2771</v>
      </c>
      <c r="CC461" s="2" t="s">
        <v>244</v>
      </c>
      <c r="CD461" s="2" t="s">
        <v>231</v>
      </c>
      <c r="CE461" s="4">
        <v>92</v>
      </c>
      <c r="CF461" s="4"/>
      <c r="CG461" s="4"/>
      <c r="CH461" s="4"/>
      <c r="CI461" s="4"/>
      <c r="CJ461" s="4"/>
      <c r="CK461" s="4"/>
      <c r="CL461" s="4">
        <v>104</v>
      </c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</row>
    <row r="462">
      <c r="A462" s="2" t="s">
        <v>2772</v>
      </c>
      <c r="B462" s="2" t="s">
        <v>226</v>
      </c>
      <c r="C462" s="2" t="s">
        <v>815</v>
      </c>
      <c r="D462" s="2" t="s">
        <v>228</v>
      </c>
      <c r="E462" s="2" t="s">
        <v>229</v>
      </c>
      <c r="F462" s="2" t="s">
        <v>2747</v>
      </c>
      <c r="G462" s="2" t="s">
        <v>2747</v>
      </c>
      <c r="H462" s="2" t="s">
        <v>2747</v>
      </c>
      <c r="I462" s="2" t="s">
        <v>229</v>
      </c>
      <c r="J462" s="2" t="s">
        <v>658</v>
      </c>
      <c r="K462" s="2" t="s">
        <v>253</v>
      </c>
      <c r="L462" s="3">
        <v>36.18</v>
      </c>
      <c r="M462" s="3">
        <v>37.99</v>
      </c>
      <c r="N462" s="3">
        <v>76.99</v>
      </c>
      <c r="O462" s="2" t="s">
        <v>243</v>
      </c>
      <c r="P462" s="2" t="s">
        <v>270</v>
      </c>
      <c r="Q462" s="2" t="s">
        <v>237</v>
      </c>
      <c r="R462" s="2" t="s">
        <v>231</v>
      </c>
      <c r="S462" s="2" t="s">
        <v>2773</v>
      </c>
      <c r="T462" s="2" t="s">
        <v>2751</v>
      </c>
      <c r="U462" s="2" t="s">
        <v>327</v>
      </c>
      <c r="V462" s="2" t="s">
        <v>239</v>
      </c>
      <c r="W462" s="2" t="s">
        <v>273</v>
      </c>
      <c r="X462" s="2" t="s">
        <v>971</v>
      </c>
      <c r="Y462" s="2" t="s">
        <v>2774</v>
      </c>
      <c r="Z462" s="4">
        <v>181</v>
      </c>
      <c r="AA462" s="4">
        <f>=ROUNDDOWN(25.8571428571429,0)</f>
      </c>
      <c r="AB462" s="5">
        <v>7</v>
      </c>
      <c r="AC462" s="2" t="s">
        <v>321</v>
      </c>
      <c r="AD462" s="4">
        <v>296</v>
      </c>
      <c r="AE462" s="4">
        <v>296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231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231</v>
      </c>
      <c r="AW462" s="8" t="s">
        <v>231</v>
      </c>
      <c r="AX462" s="4" t="s">
        <v>231</v>
      </c>
      <c r="AY462" s="8" t="s">
        <v>231</v>
      </c>
      <c r="AZ462" s="7" t="s">
        <v>231</v>
      </c>
      <c r="BA462" s="7" t="s">
        <v>231</v>
      </c>
      <c r="BB462" s="7"/>
      <c r="BC462" s="4" t="s">
        <v>231</v>
      </c>
      <c r="BD462" s="8" t="s">
        <v>231</v>
      </c>
      <c r="BE462" s="4" t="s">
        <v>231</v>
      </c>
      <c r="BF462" s="8" t="s">
        <v>231</v>
      </c>
      <c r="BG462" s="7" t="s">
        <v>231</v>
      </c>
      <c r="BH462" s="7" t="s">
        <v>231</v>
      </c>
      <c r="BI462" s="7"/>
      <c r="BJ462" s="4">
        <v>34</v>
      </c>
      <c r="BK462" s="8">
        <v>1362.81</v>
      </c>
      <c r="BL462" s="2" t="s">
        <v>2775</v>
      </c>
      <c r="BM462" s="7"/>
      <c r="BN462" s="7"/>
      <c r="BO462" s="4"/>
      <c r="BP462" s="8"/>
      <c r="BQ462" s="4"/>
      <c r="BR462" s="8"/>
      <c r="BS462" s="7"/>
      <c r="BT462" s="7"/>
      <c r="BU462" s="2" t="s">
        <v>2776</v>
      </c>
      <c r="BV462" s="2" t="s">
        <v>231</v>
      </c>
      <c r="BW462" s="2" t="s">
        <v>231</v>
      </c>
      <c r="BX462" s="2" t="s">
        <v>231</v>
      </c>
      <c r="BY462" s="2" t="s">
        <v>277</v>
      </c>
      <c r="BZ462" s="2" t="s">
        <v>243</v>
      </c>
      <c r="CA462" s="2" t="s">
        <v>2777</v>
      </c>
      <c r="CB462" s="2" t="s">
        <v>2778</v>
      </c>
      <c r="CC462" s="2" t="s">
        <v>244</v>
      </c>
      <c r="CD462" s="2" t="s">
        <v>231</v>
      </c>
      <c r="CE462" s="4">
        <v>149</v>
      </c>
      <c r="CF462" s="4"/>
      <c r="CG462" s="4"/>
      <c r="CH462" s="4"/>
      <c r="CI462" s="4">
        <v>32</v>
      </c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>
        <v>296</v>
      </c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</row>
    <row r="463">
      <c r="A463" s="2" t="s">
        <v>2779</v>
      </c>
      <c r="B463" s="2" t="s">
        <v>226</v>
      </c>
      <c r="C463" s="2" t="s">
        <v>815</v>
      </c>
      <c r="D463" s="2" t="s">
        <v>228</v>
      </c>
      <c r="E463" s="2" t="s">
        <v>229</v>
      </c>
      <c r="F463" s="2" t="s">
        <v>2747</v>
      </c>
      <c r="G463" s="2" t="s">
        <v>2747</v>
      </c>
      <c r="H463" s="2" t="s">
        <v>2747</v>
      </c>
      <c r="I463" s="2" t="s">
        <v>229</v>
      </c>
      <c r="J463" s="2" t="s">
        <v>302</v>
      </c>
      <c r="K463" s="2" t="s">
        <v>253</v>
      </c>
      <c r="L463" s="3">
        <v>42.4</v>
      </c>
      <c r="M463" s="3">
        <v>44.52</v>
      </c>
      <c r="N463" s="3">
        <v>89.99</v>
      </c>
      <c r="O463" s="2" t="s">
        <v>243</v>
      </c>
      <c r="P463" s="2" t="s">
        <v>270</v>
      </c>
      <c r="Q463" s="2" t="s">
        <v>237</v>
      </c>
      <c r="R463" s="2" t="s">
        <v>231</v>
      </c>
      <c r="S463" s="2" t="s">
        <v>2773</v>
      </c>
      <c r="T463" s="2" t="s">
        <v>2751</v>
      </c>
      <c r="U463" s="2" t="s">
        <v>327</v>
      </c>
      <c r="V463" s="2" t="s">
        <v>239</v>
      </c>
      <c r="W463" s="2" t="s">
        <v>273</v>
      </c>
      <c r="X463" s="2" t="s">
        <v>971</v>
      </c>
      <c r="Y463" s="2" t="s">
        <v>2774</v>
      </c>
      <c r="Z463" s="4">
        <v>153</v>
      </c>
      <c r="AA463" s="4">
        <f>=ROUNDDOWN(19.125,0)</f>
      </c>
      <c r="AB463" s="5">
        <v>8</v>
      </c>
      <c r="AC463" s="2" t="s">
        <v>321</v>
      </c>
      <c r="AD463" s="4">
        <v>340</v>
      </c>
      <c r="AE463" s="4">
        <v>340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231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231</v>
      </c>
      <c r="AW463" s="8" t="s">
        <v>231</v>
      </c>
      <c r="AX463" s="4" t="s">
        <v>231</v>
      </c>
      <c r="AY463" s="8" t="s">
        <v>231</v>
      </c>
      <c r="AZ463" s="7" t="s">
        <v>231</v>
      </c>
      <c r="BA463" s="7" t="s">
        <v>231</v>
      </c>
      <c r="BB463" s="7"/>
      <c r="BC463" s="4" t="s">
        <v>231</v>
      </c>
      <c r="BD463" s="8" t="s">
        <v>231</v>
      </c>
      <c r="BE463" s="4" t="s">
        <v>231</v>
      </c>
      <c r="BF463" s="8" t="s">
        <v>231</v>
      </c>
      <c r="BG463" s="7" t="s">
        <v>231</v>
      </c>
      <c r="BH463" s="7" t="s">
        <v>231</v>
      </c>
      <c r="BI463" s="7"/>
      <c r="BJ463" s="4">
        <v>30</v>
      </c>
      <c r="BK463" s="8">
        <v>1358.6</v>
      </c>
      <c r="BL463" s="2" t="s">
        <v>2780</v>
      </c>
      <c r="BM463" s="7"/>
      <c r="BN463" s="7"/>
      <c r="BO463" s="4"/>
      <c r="BP463" s="8"/>
      <c r="BQ463" s="4"/>
      <c r="BR463" s="8"/>
      <c r="BS463" s="7"/>
      <c r="BT463" s="7"/>
      <c r="BU463" s="2" t="s">
        <v>2781</v>
      </c>
      <c r="BV463" s="2" t="s">
        <v>231</v>
      </c>
      <c r="BW463" s="2" t="s">
        <v>231</v>
      </c>
      <c r="BX463" s="2" t="s">
        <v>231</v>
      </c>
      <c r="BY463" s="2" t="s">
        <v>277</v>
      </c>
      <c r="BZ463" s="2" t="s">
        <v>243</v>
      </c>
      <c r="CA463" s="2" t="s">
        <v>2777</v>
      </c>
      <c r="CB463" s="2" t="s">
        <v>2782</v>
      </c>
      <c r="CC463" s="2" t="s">
        <v>244</v>
      </c>
      <c r="CD463" s="2" t="s">
        <v>231</v>
      </c>
      <c r="CE463" s="4">
        <v>153</v>
      </c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>
        <v>340</v>
      </c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</row>
    <row r="464">
      <c r="A464" s="2" t="s">
        <v>2783</v>
      </c>
      <c r="B464" s="2" t="s">
        <v>226</v>
      </c>
      <c r="C464" s="2" t="s">
        <v>815</v>
      </c>
      <c r="D464" s="2" t="s">
        <v>458</v>
      </c>
      <c r="E464" s="2" t="s">
        <v>459</v>
      </c>
      <c r="F464" s="2" t="s">
        <v>2747</v>
      </c>
      <c r="G464" s="2" t="s">
        <v>2747</v>
      </c>
      <c r="H464" s="2" t="s">
        <v>2747</v>
      </c>
      <c r="I464" s="2" t="s">
        <v>2748</v>
      </c>
      <c r="J464" s="2" t="s">
        <v>2749</v>
      </c>
      <c r="K464" s="2" t="s">
        <v>253</v>
      </c>
      <c r="L464" s="3">
        <v>10.58</v>
      </c>
      <c r="M464" s="3">
        <v>11.11</v>
      </c>
      <c r="N464" s="3">
        <v>22.99</v>
      </c>
      <c r="O464" s="2" t="s">
        <v>243</v>
      </c>
      <c r="P464" s="2" t="s">
        <v>270</v>
      </c>
      <c r="Q464" s="2" t="s">
        <v>237</v>
      </c>
      <c r="R464" s="2" t="s">
        <v>231</v>
      </c>
      <c r="S464" s="2" t="s">
        <v>2773</v>
      </c>
      <c r="T464" s="2" t="s">
        <v>2751</v>
      </c>
      <c r="U464" s="2" t="s">
        <v>327</v>
      </c>
      <c r="V464" s="2" t="s">
        <v>239</v>
      </c>
      <c r="W464" s="2" t="s">
        <v>273</v>
      </c>
      <c r="X464" s="2" t="s">
        <v>971</v>
      </c>
      <c r="Y464" s="2" t="s">
        <v>2774</v>
      </c>
      <c r="Z464" s="4">
        <v>217</v>
      </c>
      <c r="AA464" s="4">
        <f>=ROUNDDOWN(54.25,0)</f>
      </c>
      <c r="AB464" s="5">
        <v>4</v>
      </c>
      <c r="AC464" s="2" t="s">
        <v>1128</v>
      </c>
      <c r="AD464" s="4">
        <v>112</v>
      </c>
      <c r="AE464" s="4">
        <v>112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231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231</v>
      </c>
      <c r="AW464" s="8" t="s">
        <v>231</v>
      </c>
      <c r="AX464" s="4" t="s">
        <v>231</v>
      </c>
      <c r="AY464" s="8" t="s">
        <v>231</v>
      </c>
      <c r="AZ464" s="7" t="s">
        <v>231</v>
      </c>
      <c r="BA464" s="7" t="s">
        <v>231</v>
      </c>
      <c r="BB464" s="7"/>
      <c r="BC464" s="4" t="s">
        <v>231</v>
      </c>
      <c r="BD464" s="8" t="s">
        <v>231</v>
      </c>
      <c r="BE464" s="4" t="s">
        <v>231</v>
      </c>
      <c r="BF464" s="8" t="s">
        <v>231</v>
      </c>
      <c r="BG464" s="7" t="s">
        <v>231</v>
      </c>
      <c r="BH464" s="7" t="s">
        <v>231</v>
      </c>
      <c r="BI464" s="7"/>
      <c r="BJ464" s="4">
        <v>10</v>
      </c>
      <c r="BK464" s="8">
        <v>120.76</v>
      </c>
      <c r="BL464" s="2" t="s">
        <v>2784</v>
      </c>
      <c r="BM464" s="7"/>
      <c r="BN464" s="7"/>
      <c r="BO464" s="4"/>
      <c r="BP464" s="8"/>
      <c r="BQ464" s="4"/>
      <c r="BR464" s="8"/>
      <c r="BS464" s="7"/>
      <c r="BT464" s="7"/>
      <c r="BU464" s="2" t="s">
        <v>2785</v>
      </c>
      <c r="BV464" s="2" t="s">
        <v>231</v>
      </c>
      <c r="BW464" s="2" t="s">
        <v>231</v>
      </c>
      <c r="BX464" s="2" t="s">
        <v>241</v>
      </c>
      <c r="BY464" s="2" t="s">
        <v>277</v>
      </c>
      <c r="BZ464" s="2" t="s">
        <v>243</v>
      </c>
      <c r="CA464" s="2" t="s">
        <v>2777</v>
      </c>
      <c r="CB464" s="2" t="s">
        <v>2786</v>
      </c>
      <c r="CC464" s="2" t="s">
        <v>244</v>
      </c>
      <c r="CD464" s="2" t="s">
        <v>231</v>
      </c>
      <c r="CE464" s="4">
        <v>88</v>
      </c>
      <c r="CF464" s="4"/>
      <c r="CG464" s="4"/>
      <c r="CH464" s="4"/>
      <c r="CI464" s="4">
        <v>129</v>
      </c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>
        <v>112</v>
      </c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</row>
    <row r="465">
      <c r="A465" s="2" t="s">
        <v>2787</v>
      </c>
      <c r="B465" s="2" t="s">
        <v>226</v>
      </c>
      <c r="C465" s="2" t="s">
        <v>815</v>
      </c>
      <c r="D465" s="2" t="s">
        <v>458</v>
      </c>
      <c r="E465" s="2" t="s">
        <v>459</v>
      </c>
      <c r="F465" s="2" t="s">
        <v>2747</v>
      </c>
      <c r="G465" s="2" t="s">
        <v>2747</v>
      </c>
      <c r="H465" s="2" t="s">
        <v>2747</v>
      </c>
      <c r="I465" s="2" t="s">
        <v>2755</v>
      </c>
      <c r="J465" s="2" t="s">
        <v>1145</v>
      </c>
      <c r="K465" s="2" t="s">
        <v>253</v>
      </c>
      <c r="L465" s="3">
        <v>12.96</v>
      </c>
      <c r="M465" s="3">
        <v>13.61</v>
      </c>
      <c r="N465" s="3">
        <v>26.99</v>
      </c>
      <c r="O465" s="2" t="s">
        <v>243</v>
      </c>
      <c r="P465" s="2" t="s">
        <v>270</v>
      </c>
      <c r="Q465" s="2" t="s">
        <v>237</v>
      </c>
      <c r="R465" s="2" t="s">
        <v>231</v>
      </c>
      <c r="S465" s="2" t="s">
        <v>2773</v>
      </c>
      <c r="T465" s="2" t="s">
        <v>2751</v>
      </c>
      <c r="U465" s="2" t="s">
        <v>327</v>
      </c>
      <c r="V465" s="2" t="s">
        <v>239</v>
      </c>
      <c r="W465" s="2" t="s">
        <v>273</v>
      </c>
      <c r="X465" s="2" t="s">
        <v>971</v>
      </c>
      <c r="Y465" s="2" t="s">
        <v>2788</v>
      </c>
      <c r="Z465" s="4">
        <v>158</v>
      </c>
      <c r="AA465" s="4">
        <f>=ROUNDDOWN(52.6666666666667,0)</f>
      </c>
      <c r="AB465" s="5">
        <v>3</v>
      </c>
      <c r="AC465" s="2" t="s">
        <v>1128</v>
      </c>
      <c r="AD465" s="4">
        <v>136</v>
      </c>
      <c r="AE465" s="4">
        <v>136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231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231</v>
      </c>
      <c r="AW465" s="8" t="s">
        <v>231</v>
      </c>
      <c r="AX465" s="4" t="s">
        <v>231</v>
      </c>
      <c r="AY465" s="8" t="s">
        <v>231</v>
      </c>
      <c r="AZ465" s="7" t="s">
        <v>231</v>
      </c>
      <c r="BA465" s="7" t="s">
        <v>231</v>
      </c>
      <c r="BB465" s="7"/>
      <c r="BC465" s="4" t="s">
        <v>231</v>
      </c>
      <c r="BD465" s="8" t="s">
        <v>231</v>
      </c>
      <c r="BE465" s="4" t="s">
        <v>231</v>
      </c>
      <c r="BF465" s="8" t="s">
        <v>231</v>
      </c>
      <c r="BG465" s="7" t="s">
        <v>231</v>
      </c>
      <c r="BH465" s="7" t="s">
        <v>231</v>
      </c>
      <c r="BI465" s="7"/>
      <c r="BJ465" s="4">
        <v>5</v>
      </c>
      <c r="BK465" s="8">
        <v>65.85</v>
      </c>
      <c r="BL465" s="2" t="s">
        <v>838</v>
      </c>
      <c r="BM465" s="7"/>
      <c r="BN465" s="7"/>
      <c r="BO465" s="4"/>
      <c r="BP465" s="8"/>
      <c r="BQ465" s="4"/>
      <c r="BR465" s="8"/>
      <c r="BS465" s="7"/>
      <c r="BT465" s="7"/>
      <c r="BU465" s="2" t="s">
        <v>2789</v>
      </c>
      <c r="BV465" s="2" t="s">
        <v>231</v>
      </c>
      <c r="BW465" s="2" t="s">
        <v>231</v>
      </c>
      <c r="BX465" s="2" t="s">
        <v>241</v>
      </c>
      <c r="BY465" s="2" t="s">
        <v>277</v>
      </c>
      <c r="BZ465" s="2" t="s">
        <v>243</v>
      </c>
      <c r="CA465" s="2" t="s">
        <v>2790</v>
      </c>
      <c r="CB465" s="2" t="s">
        <v>2791</v>
      </c>
      <c r="CC465" s="2" t="s">
        <v>244</v>
      </c>
      <c r="CD465" s="2" t="s">
        <v>231</v>
      </c>
      <c r="CE465" s="4">
        <v>158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>
        <v>136</v>
      </c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</row>
    <row r="466">
      <c r="A466" s="2" t="s">
        <v>2792</v>
      </c>
      <c r="B466" s="2" t="s">
        <v>226</v>
      </c>
      <c r="C466" s="2" t="s">
        <v>815</v>
      </c>
      <c r="D466" s="2" t="s">
        <v>228</v>
      </c>
      <c r="E466" s="2" t="s">
        <v>229</v>
      </c>
      <c r="F466" s="2" t="s">
        <v>2747</v>
      </c>
      <c r="G466" s="2" t="s">
        <v>2747</v>
      </c>
      <c r="H466" s="2" t="s">
        <v>2747</v>
      </c>
      <c r="I466" s="2" t="s">
        <v>229</v>
      </c>
      <c r="J466" s="2" t="s">
        <v>318</v>
      </c>
      <c r="K466" s="2" t="s">
        <v>2457</v>
      </c>
      <c r="L466" s="3">
        <v>30.35</v>
      </c>
      <c r="M466" s="3">
        <v>31.87</v>
      </c>
      <c r="N466" s="3">
        <v>65.99</v>
      </c>
      <c r="O466" s="2" t="s">
        <v>243</v>
      </c>
      <c r="P466" s="2" t="s">
        <v>270</v>
      </c>
      <c r="Q466" s="2" t="s">
        <v>237</v>
      </c>
      <c r="R466" s="2" t="s">
        <v>231</v>
      </c>
      <c r="S466" s="2" t="s">
        <v>2793</v>
      </c>
      <c r="T466" s="2" t="s">
        <v>2751</v>
      </c>
      <c r="U466" s="2" t="s">
        <v>327</v>
      </c>
      <c r="V466" s="2" t="s">
        <v>239</v>
      </c>
      <c r="W466" s="2" t="s">
        <v>273</v>
      </c>
      <c r="X466" s="2" t="s">
        <v>971</v>
      </c>
      <c r="Y466" s="2" t="s">
        <v>2774</v>
      </c>
      <c r="Z466" s="4">
        <v>88</v>
      </c>
      <c r="AA466" s="4">
        <f>=ROUNDDOWN(17.6,0)</f>
      </c>
      <c r="AB466" s="5">
        <v>5</v>
      </c>
      <c r="AC466" s="2" t="s">
        <v>582</v>
      </c>
      <c r="AD466" s="4">
        <v>130</v>
      </c>
      <c r="AE466" s="4">
        <v>130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231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231</v>
      </c>
      <c r="AW466" s="8" t="s">
        <v>231</v>
      </c>
      <c r="AX466" s="4" t="s">
        <v>231</v>
      </c>
      <c r="AY466" s="8" t="s">
        <v>231</v>
      </c>
      <c r="AZ466" s="7" t="s">
        <v>231</v>
      </c>
      <c r="BA466" s="7" t="s">
        <v>231</v>
      </c>
      <c r="BB466" s="7"/>
      <c r="BC466" s="4" t="s">
        <v>231</v>
      </c>
      <c r="BD466" s="8" t="s">
        <v>231</v>
      </c>
      <c r="BE466" s="4" t="s">
        <v>231</v>
      </c>
      <c r="BF466" s="8" t="s">
        <v>231</v>
      </c>
      <c r="BG466" s="7" t="s">
        <v>231</v>
      </c>
      <c r="BH466" s="7" t="s">
        <v>231</v>
      </c>
      <c r="BI466" s="7"/>
      <c r="BJ466" s="4">
        <v>18</v>
      </c>
      <c r="BK466" s="8">
        <v>579.91</v>
      </c>
      <c r="BL466" s="2" t="s">
        <v>2794</v>
      </c>
      <c r="BM466" s="7"/>
      <c r="BN466" s="7"/>
      <c r="BO466" s="4"/>
      <c r="BP466" s="8"/>
      <c r="BQ466" s="4"/>
      <c r="BR466" s="8"/>
      <c r="BS466" s="7"/>
      <c r="BT466" s="7"/>
      <c r="BU466" s="2" t="s">
        <v>2795</v>
      </c>
      <c r="BV466" s="2" t="s">
        <v>231</v>
      </c>
      <c r="BW466" s="2" t="s">
        <v>231</v>
      </c>
      <c r="BX466" s="2" t="s">
        <v>231</v>
      </c>
      <c r="BY466" s="2" t="s">
        <v>277</v>
      </c>
      <c r="BZ466" s="2" t="s">
        <v>243</v>
      </c>
      <c r="CA466" s="2" t="s">
        <v>2777</v>
      </c>
      <c r="CB466" s="2" t="s">
        <v>728</v>
      </c>
      <c r="CC466" s="2" t="s">
        <v>244</v>
      </c>
      <c r="CD466" s="2" t="s">
        <v>231</v>
      </c>
      <c r="CE466" s="4">
        <v>38</v>
      </c>
      <c r="CF466" s="4"/>
      <c r="CG466" s="4"/>
      <c r="CH466" s="4"/>
      <c r="CI466" s="4"/>
      <c r="CJ466" s="4"/>
      <c r="CK466" s="4"/>
      <c r="CL466" s="4">
        <v>50</v>
      </c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>
        <v>130</v>
      </c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</row>
    <row r="467">
      <c r="A467" s="2" t="s">
        <v>2796</v>
      </c>
      <c r="B467" s="2" t="s">
        <v>226</v>
      </c>
      <c r="C467" s="2" t="s">
        <v>815</v>
      </c>
      <c r="D467" s="2" t="s">
        <v>228</v>
      </c>
      <c r="E467" s="2" t="s">
        <v>229</v>
      </c>
      <c r="F467" s="2" t="s">
        <v>2747</v>
      </c>
      <c r="G467" s="2" t="s">
        <v>2747</v>
      </c>
      <c r="H467" s="2" t="s">
        <v>2747</v>
      </c>
      <c r="I467" s="2" t="s">
        <v>229</v>
      </c>
      <c r="J467" s="2" t="s">
        <v>658</v>
      </c>
      <c r="K467" s="2" t="s">
        <v>2457</v>
      </c>
      <c r="L467" s="3">
        <v>36.18</v>
      </c>
      <c r="M467" s="3">
        <v>37.99</v>
      </c>
      <c r="N467" s="3">
        <v>76.99</v>
      </c>
      <c r="O467" s="2" t="s">
        <v>243</v>
      </c>
      <c r="P467" s="2" t="s">
        <v>270</v>
      </c>
      <c r="Q467" s="2" t="s">
        <v>237</v>
      </c>
      <c r="R467" s="2" t="s">
        <v>231</v>
      </c>
      <c r="S467" s="2" t="s">
        <v>2793</v>
      </c>
      <c r="T467" s="2" t="s">
        <v>2751</v>
      </c>
      <c r="U467" s="2" t="s">
        <v>327</v>
      </c>
      <c r="V467" s="2" t="s">
        <v>239</v>
      </c>
      <c r="W467" s="2" t="s">
        <v>273</v>
      </c>
      <c r="X467" s="2" t="s">
        <v>971</v>
      </c>
      <c r="Y467" s="2" t="s">
        <v>2774</v>
      </c>
      <c r="Z467" s="4">
        <v>244</v>
      </c>
      <c r="AA467" s="4">
        <f>=ROUNDDOWN(26.5217391304348,0)</f>
      </c>
      <c r="AB467" s="5">
        <v>9.2</v>
      </c>
      <c r="AC467" s="2" t="s">
        <v>582</v>
      </c>
      <c r="AD467" s="4">
        <v>130</v>
      </c>
      <c r="AE467" s="4">
        <v>130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231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231</v>
      </c>
      <c r="AW467" s="8" t="s">
        <v>231</v>
      </c>
      <c r="AX467" s="4" t="s">
        <v>231</v>
      </c>
      <c r="AY467" s="8" t="s">
        <v>231</v>
      </c>
      <c r="AZ467" s="7" t="s">
        <v>231</v>
      </c>
      <c r="BA467" s="7" t="s">
        <v>231</v>
      </c>
      <c r="BB467" s="7"/>
      <c r="BC467" s="4" t="s">
        <v>231</v>
      </c>
      <c r="BD467" s="8" t="s">
        <v>231</v>
      </c>
      <c r="BE467" s="4" t="s">
        <v>231</v>
      </c>
      <c r="BF467" s="8" t="s">
        <v>231</v>
      </c>
      <c r="BG467" s="7" t="s">
        <v>231</v>
      </c>
      <c r="BH467" s="7" t="s">
        <v>231</v>
      </c>
      <c r="BI467" s="7"/>
      <c r="BJ467" s="4">
        <v>51</v>
      </c>
      <c r="BK467" s="8">
        <v>2049.36</v>
      </c>
      <c r="BL467" s="2" t="s">
        <v>2797</v>
      </c>
      <c r="BM467" s="7"/>
      <c r="BN467" s="7"/>
      <c r="BO467" s="4"/>
      <c r="BP467" s="8"/>
      <c r="BQ467" s="4"/>
      <c r="BR467" s="8"/>
      <c r="BS467" s="7"/>
      <c r="BT467" s="7"/>
      <c r="BU467" s="2" t="s">
        <v>2798</v>
      </c>
      <c r="BV467" s="2" t="s">
        <v>231</v>
      </c>
      <c r="BW467" s="2" t="s">
        <v>231</v>
      </c>
      <c r="BX467" s="2" t="s">
        <v>231</v>
      </c>
      <c r="BY467" s="2" t="s">
        <v>277</v>
      </c>
      <c r="BZ467" s="2" t="s">
        <v>243</v>
      </c>
      <c r="CA467" s="2" t="s">
        <v>2777</v>
      </c>
      <c r="CB467" s="2" t="s">
        <v>2799</v>
      </c>
      <c r="CC467" s="2" t="s">
        <v>244</v>
      </c>
      <c r="CD467" s="2" t="s">
        <v>231</v>
      </c>
      <c r="CE467" s="4">
        <v>244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>
        <v>130</v>
      </c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</row>
    <row r="468">
      <c r="A468" s="2" t="s">
        <v>2800</v>
      </c>
      <c r="B468" s="2" t="s">
        <v>226</v>
      </c>
      <c r="C468" s="2" t="s">
        <v>815</v>
      </c>
      <c r="D468" s="2" t="s">
        <v>228</v>
      </c>
      <c r="E468" s="2" t="s">
        <v>229</v>
      </c>
      <c r="F468" s="2" t="s">
        <v>2747</v>
      </c>
      <c r="G468" s="2" t="s">
        <v>2747</v>
      </c>
      <c r="H468" s="2" t="s">
        <v>2747</v>
      </c>
      <c r="I468" s="2" t="s">
        <v>229</v>
      </c>
      <c r="J468" s="2" t="s">
        <v>302</v>
      </c>
      <c r="K468" s="2" t="s">
        <v>2457</v>
      </c>
      <c r="L468" s="3">
        <v>42.4</v>
      </c>
      <c r="M468" s="3">
        <v>44.52</v>
      </c>
      <c r="N468" s="3">
        <v>89.99</v>
      </c>
      <c r="O468" s="2" t="s">
        <v>243</v>
      </c>
      <c r="P468" s="2" t="s">
        <v>270</v>
      </c>
      <c r="Q468" s="2" t="s">
        <v>237</v>
      </c>
      <c r="R468" s="2" t="s">
        <v>231</v>
      </c>
      <c r="S468" s="2" t="s">
        <v>2793</v>
      </c>
      <c r="T468" s="2" t="s">
        <v>2751</v>
      </c>
      <c r="U468" s="2" t="s">
        <v>327</v>
      </c>
      <c r="V468" s="2" t="s">
        <v>239</v>
      </c>
      <c r="W468" s="2" t="s">
        <v>273</v>
      </c>
      <c r="X468" s="2" t="s">
        <v>971</v>
      </c>
      <c r="Y468" s="2" t="s">
        <v>2788</v>
      </c>
      <c r="Z468" s="4">
        <v>273</v>
      </c>
      <c r="AA468" s="4">
        <f>=ROUNDDOWN(24.8181818181818,0)</f>
      </c>
      <c r="AB468" s="5">
        <v>11</v>
      </c>
      <c r="AC468" s="2" t="s">
        <v>582</v>
      </c>
      <c r="AD468" s="4">
        <v>160</v>
      </c>
      <c r="AE468" s="4">
        <v>160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231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231</v>
      </c>
      <c r="AW468" s="8" t="s">
        <v>231</v>
      </c>
      <c r="AX468" s="4" t="s">
        <v>231</v>
      </c>
      <c r="AY468" s="8" t="s">
        <v>231</v>
      </c>
      <c r="AZ468" s="7" t="s">
        <v>231</v>
      </c>
      <c r="BA468" s="7" t="s">
        <v>231</v>
      </c>
      <c r="BB468" s="7"/>
      <c r="BC468" s="4" t="s">
        <v>231</v>
      </c>
      <c r="BD468" s="8" t="s">
        <v>231</v>
      </c>
      <c r="BE468" s="4" t="s">
        <v>231</v>
      </c>
      <c r="BF468" s="8" t="s">
        <v>231</v>
      </c>
      <c r="BG468" s="7" t="s">
        <v>231</v>
      </c>
      <c r="BH468" s="7" t="s">
        <v>231</v>
      </c>
      <c r="BI468" s="7"/>
      <c r="BJ468" s="4">
        <v>54</v>
      </c>
      <c r="BK468" s="8">
        <v>2463.99</v>
      </c>
      <c r="BL468" s="2" t="s">
        <v>2801</v>
      </c>
      <c r="BM468" s="7"/>
      <c r="BN468" s="7"/>
      <c r="BO468" s="4"/>
      <c r="BP468" s="8"/>
      <c r="BQ468" s="4"/>
      <c r="BR468" s="8"/>
      <c r="BS468" s="7"/>
      <c r="BT468" s="7"/>
      <c r="BU468" s="2" t="s">
        <v>2802</v>
      </c>
      <c r="BV468" s="2" t="s">
        <v>231</v>
      </c>
      <c r="BW468" s="2" t="s">
        <v>231</v>
      </c>
      <c r="BX468" s="2" t="s">
        <v>231</v>
      </c>
      <c r="BY468" s="2" t="s">
        <v>277</v>
      </c>
      <c r="BZ468" s="2" t="s">
        <v>243</v>
      </c>
      <c r="CA468" s="2" t="s">
        <v>2799</v>
      </c>
      <c r="CB468" s="2" t="s">
        <v>2803</v>
      </c>
      <c r="CC468" s="2" t="s">
        <v>244</v>
      </c>
      <c r="CD468" s="2" t="s">
        <v>231</v>
      </c>
      <c r="CE468" s="4">
        <v>273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>
        <v>160</v>
      </c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</row>
    <row r="469">
      <c r="A469" s="2" t="s">
        <v>2804</v>
      </c>
      <c r="B469" s="2" t="s">
        <v>226</v>
      </c>
      <c r="C469" s="2" t="s">
        <v>815</v>
      </c>
      <c r="D469" s="2" t="s">
        <v>228</v>
      </c>
      <c r="E469" s="2" t="s">
        <v>229</v>
      </c>
      <c r="F469" s="2" t="s">
        <v>2747</v>
      </c>
      <c r="G469" s="2" t="s">
        <v>2747</v>
      </c>
      <c r="H469" s="2" t="s">
        <v>2747</v>
      </c>
      <c r="I469" s="2" t="s">
        <v>229</v>
      </c>
      <c r="J469" s="2" t="s">
        <v>318</v>
      </c>
      <c r="K469" s="2" t="s">
        <v>306</v>
      </c>
      <c r="L469" s="3">
        <v>30.35</v>
      </c>
      <c r="M469" s="3">
        <v>31.87</v>
      </c>
      <c r="N469" s="3">
        <v>65.99</v>
      </c>
      <c r="O469" s="2" t="s">
        <v>243</v>
      </c>
      <c r="P469" s="2" t="s">
        <v>270</v>
      </c>
      <c r="Q469" s="2" t="s">
        <v>237</v>
      </c>
      <c r="R469" s="2" t="s">
        <v>231</v>
      </c>
      <c r="S469" s="2" t="s">
        <v>2805</v>
      </c>
      <c r="T469" s="2" t="s">
        <v>2751</v>
      </c>
      <c r="U469" s="2" t="s">
        <v>231</v>
      </c>
      <c r="V469" s="2" t="s">
        <v>239</v>
      </c>
      <c r="W469" s="2" t="s">
        <v>273</v>
      </c>
      <c r="X469" s="2" t="s">
        <v>971</v>
      </c>
      <c r="Y469" s="2" t="s">
        <v>274</v>
      </c>
      <c r="Z469" s="4">
        <v>188</v>
      </c>
      <c r="AA469" s="4">
        <f>=ROUNDDOWN(62.6666666666667,0)</f>
      </c>
      <c r="AB469" s="5">
        <v>3</v>
      </c>
      <c r="AC469" s="2" t="s">
        <v>582</v>
      </c>
      <c r="AD469" s="4">
        <v>50</v>
      </c>
      <c r="AE469" s="4">
        <v>50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231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231</v>
      </c>
      <c r="AW469" s="8" t="s">
        <v>231</v>
      </c>
      <c r="AX469" s="4" t="s">
        <v>231</v>
      </c>
      <c r="AY469" s="8" t="s">
        <v>231</v>
      </c>
      <c r="AZ469" s="7" t="s">
        <v>231</v>
      </c>
      <c r="BA469" s="7" t="s">
        <v>231</v>
      </c>
      <c r="BB469" s="7"/>
      <c r="BC469" s="4" t="s">
        <v>231</v>
      </c>
      <c r="BD469" s="8" t="s">
        <v>231</v>
      </c>
      <c r="BE469" s="4" t="s">
        <v>231</v>
      </c>
      <c r="BF469" s="8" t="s">
        <v>231</v>
      </c>
      <c r="BG469" s="7" t="s">
        <v>231</v>
      </c>
      <c r="BH469" s="7" t="s">
        <v>231</v>
      </c>
      <c r="BI469" s="7"/>
      <c r="BJ469" s="4">
        <v>16</v>
      </c>
      <c r="BK469" s="8">
        <v>509.12</v>
      </c>
      <c r="BL469" s="2" t="s">
        <v>2806</v>
      </c>
      <c r="BM469" s="7"/>
      <c r="BN469" s="7"/>
      <c r="BO469" s="4"/>
      <c r="BP469" s="8"/>
      <c r="BQ469" s="4"/>
      <c r="BR469" s="8"/>
      <c r="BS469" s="7"/>
      <c r="BT469" s="7"/>
      <c r="BU469" s="2" t="s">
        <v>2807</v>
      </c>
      <c r="BV469" s="2" t="s">
        <v>231</v>
      </c>
      <c r="BW469" s="2" t="s">
        <v>231</v>
      </c>
      <c r="BX469" s="2" t="s">
        <v>241</v>
      </c>
      <c r="BY469" s="2" t="s">
        <v>277</v>
      </c>
      <c r="BZ469" s="2" t="s">
        <v>243</v>
      </c>
      <c r="CA469" s="2" t="s">
        <v>284</v>
      </c>
      <c r="CB469" s="2" t="s">
        <v>2808</v>
      </c>
      <c r="CC469" s="2" t="s">
        <v>244</v>
      </c>
      <c r="CD469" s="2" t="s">
        <v>231</v>
      </c>
      <c r="CE469" s="4">
        <v>188</v>
      </c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>
        <v>50</v>
      </c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</row>
    <row r="470">
      <c r="A470" s="2" t="s">
        <v>2809</v>
      </c>
      <c r="B470" s="2" t="s">
        <v>226</v>
      </c>
      <c r="C470" s="2" t="s">
        <v>815</v>
      </c>
      <c r="D470" s="2" t="s">
        <v>458</v>
      </c>
      <c r="E470" s="2" t="s">
        <v>459</v>
      </c>
      <c r="F470" s="2" t="s">
        <v>2747</v>
      </c>
      <c r="G470" s="2" t="s">
        <v>2747</v>
      </c>
      <c r="H470" s="2" t="s">
        <v>2747</v>
      </c>
      <c r="I470" s="2" t="s">
        <v>2748</v>
      </c>
      <c r="J470" s="2" t="s">
        <v>2749</v>
      </c>
      <c r="K470" s="2" t="s">
        <v>306</v>
      </c>
      <c r="L470" s="3">
        <v>10.58</v>
      </c>
      <c r="M470" s="3">
        <v>11.11</v>
      </c>
      <c r="N470" s="3">
        <v>22.99</v>
      </c>
      <c r="O470" s="2" t="s">
        <v>243</v>
      </c>
      <c r="P470" s="2" t="s">
        <v>1281</v>
      </c>
      <c r="Q470" s="2" t="s">
        <v>237</v>
      </c>
      <c r="R470" s="2" t="s">
        <v>231</v>
      </c>
      <c r="S470" s="2" t="s">
        <v>2805</v>
      </c>
      <c r="T470" s="2" t="s">
        <v>2751</v>
      </c>
      <c r="U470" s="2" t="s">
        <v>231</v>
      </c>
      <c r="V470" s="2" t="s">
        <v>239</v>
      </c>
      <c r="W470" s="2" t="s">
        <v>273</v>
      </c>
      <c r="X470" s="2" t="s">
        <v>971</v>
      </c>
      <c r="Y470" s="2" t="s">
        <v>274</v>
      </c>
      <c r="Z470" s="4">
        <v>563</v>
      </c>
      <c r="AA470" s="4">
        <f>=ROUNDDOWN(28.15,0)</f>
      </c>
      <c r="AB470" s="5">
        <v>20</v>
      </c>
      <c r="AC470" s="2" t="s">
        <v>582</v>
      </c>
      <c r="AD470" s="4">
        <v>520</v>
      </c>
      <c r="AE470" s="4">
        <v>520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231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231</v>
      </c>
      <c r="AW470" s="8" t="s">
        <v>231</v>
      </c>
      <c r="AX470" s="4" t="s">
        <v>231</v>
      </c>
      <c r="AY470" s="8" t="s">
        <v>231</v>
      </c>
      <c r="AZ470" s="7" t="s">
        <v>231</v>
      </c>
      <c r="BA470" s="7" t="s">
        <v>231</v>
      </c>
      <c r="BB470" s="7"/>
      <c r="BC470" s="4" t="s">
        <v>231</v>
      </c>
      <c r="BD470" s="8" t="s">
        <v>231</v>
      </c>
      <c r="BE470" s="4" t="s">
        <v>231</v>
      </c>
      <c r="BF470" s="8" t="s">
        <v>231</v>
      </c>
      <c r="BG470" s="7" t="s">
        <v>231</v>
      </c>
      <c r="BH470" s="7" t="s">
        <v>231</v>
      </c>
      <c r="BI470" s="7"/>
      <c r="BJ470" s="4">
        <v>54</v>
      </c>
      <c r="BK470" s="8">
        <v>607.79</v>
      </c>
      <c r="BL470" s="2" t="s">
        <v>2810</v>
      </c>
      <c r="BM470" s="7"/>
      <c r="BN470" s="7"/>
      <c r="BO470" s="4"/>
      <c r="BP470" s="8"/>
      <c r="BQ470" s="4"/>
      <c r="BR470" s="8"/>
      <c r="BS470" s="7"/>
      <c r="BT470" s="7"/>
      <c r="BU470" s="2" t="s">
        <v>2811</v>
      </c>
      <c r="BV470" s="2" t="s">
        <v>231</v>
      </c>
      <c r="BW470" s="2" t="s">
        <v>231</v>
      </c>
      <c r="BX470" s="2" t="s">
        <v>241</v>
      </c>
      <c r="BY470" s="2" t="s">
        <v>277</v>
      </c>
      <c r="BZ470" s="2" t="s">
        <v>243</v>
      </c>
      <c r="CA470" s="2" t="s">
        <v>409</v>
      </c>
      <c r="CB470" s="2" t="s">
        <v>2812</v>
      </c>
      <c r="CC470" s="2" t="s">
        <v>244</v>
      </c>
      <c r="CD470" s="2" t="s">
        <v>231</v>
      </c>
      <c r="CE470" s="4">
        <v>563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>
        <v>520</v>
      </c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</row>
    <row r="471">
      <c r="A471" s="2" t="s">
        <v>2813</v>
      </c>
      <c r="B471" s="2" t="s">
        <v>226</v>
      </c>
      <c r="C471" s="2" t="s">
        <v>815</v>
      </c>
      <c r="D471" s="2" t="s">
        <v>458</v>
      </c>
      <c r="E471" s="2" t="s">
        <v>459</v>
      </c>
      <c r="F471" s="2" t="s">
        <v>2747</v>
      </c>
      <c r="G471" s="2" t="s">
        <v>2747</v>
      </c>
      <c r="H471" s="2" t="s">
        <v>2747</v>
      </c>
      <c r="I471" s="2" t="s">
        <v>2758</v>
      </c>
      <c r="J471" s="2" t="s">
        <v>2759</v>
      </c>
      <c r="K471" s="2" t="s">
        <v>306</v>
      </c>
      <c r="L471" s="3">
        <v>18.4</v>
      </c>
      <c r="M471" s="3">
        <v>19.32</v>
      </c>
      <c r="N471" s="3">
        <v>39.99</v>
      </c>
      <c r="O471" s="2" t="s">
        <v>243</v>
      </c>
      <c r="P471" s="2" t="s">
        <v>1281</v>
      </c>
      <c r="Q471" s="2" t="s">
        <v>237</v>
      </c>
      <c r="R471" s="2" t="s">
        <v>231</v>
      </c>
      <c r="S471" s="2" t="s">
        <v>2805</v>
      </c>
      <c r="T471" s="2" t="s">
        <v>2751</v>
      </c>
      <c r="U471" s="2" t="s">
        <v>327</v>
      </c>
      <c r="V471" s="2" t="s">
        <v>239</v>
      </c>
      <c r="W471" s="2" t="s">
        <v>273</v>
      </c>
      <c r="X471" s="2" t="s">
        <v>971</v>
      </c>
      <c r="Y471" s="2" t="s">
        <v>274</v>
      </c>
      <c r="Z471" s="4">
        <v>522</v>
      </c>
      <c r="AA471" s="4">
        <f>=ROUNDDOWN(87,0)</f>
      </c>
      <c r="AB471" s="5">
        <v>6</v>
      </c>
      <c r="AC471" s="2" t="s">
        <v>231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231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231</v>
      </c>
      <c r="AW471" s="8" t="s">
        <v>231</v>
      </c>
      <c r="AX471" s="4" t="s">
        <v>231</v>
      </c>
      <c r="AY471" s="8" t="s">
        <v>231</v>
      </c>
      <c r="AZ471" s="7" t="s">
        <v>231</v>
      </c>
      <c r="BA471" s="7" t="s">
        <v>231</v>
      </c>
      <c r="BB471" s="7"/>
      <c r="BC471" s="4" t="s">
        <v>231</v>
      </c>
      <c r="BD471" s="8" t="s">
        <v>231</v>
      </c>
      <c r="BE471" s="4" t="s">
        <v>231</v>
      </c>
      <c r="BF471" s="8" t="s">
        <v>231</v>
      </c>
      <c r="BG471" s="7" t="s">
        <v>231</v>
      </c>
      <c r="BH471" s="7" t="s">
        <v>231</v>
      </c>
      <c r="BI471" s="7"/>
      <c r="BJ471" s="4">
        <v>30</v>
      </c>
      <c r="BK471" s="8">
        <v>583.16</v>
      </c>
      <c r="BL471" s="2" t="s">
        <v>2814</v>
      </c>
      <c r="BM471" s="7"/>
      <c r="BN471" s="7"/>
      <c r="BO471" s="4"/>
      <c r="BP471" s="8"/>
      <c r="BQ471" s="4"/>
      <c r="BR471" s="8"/>
      <c r="BS471" s="7"/>
      <c r="BT471" s="7"/>
      <c r="BU471" s="2" t="s">
        <v>2815</v>
      </c>
      <c r="BV471" s="2" t="s">
        <v>231</v>
      </c>
      <c r="BW471" s="2" t="s">
        <v>231</v>
      </c>
      <c r="BX471" s="2" t="s">
        <v>241</v>
      </c>
      <c r="BY471" s="2" t="s">
        <v>277</v>
      </c>
      <c r="BZ471" s="2" t="s">
        <v>243</v>
      </c>
      <c r="CA471" s="2" t="s">
        <v>2816</v>
      </c>
      <c r="CB471" s="2" t="s">
        <v>2817</v>
      </c>
      <c r="CC471" s="2" t="s">
        <v>244</v>
      </c>
      <c r="CD471" s="2" t="s">
        <v>231</v>
      </c>
      <c r="CE471" s="4">
        <v>522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</row>
    <row r="472">
      <c r="A472" s="2" t="s">
        <v>2818</v>
      </c>
      <c r="B472" s="2" t="s">
        <v>226</v>
      </c>
      <c r="C472" s="2" t="s">
        <v>815</v>
      </c>
      <c r="D472" s="2" t="s">
        <v>228</v>
      </c>
      <c r="E472" s="2" t="s">
        <v>229</v>
      </c>
      <c r="F472" s="2" t="s">
        <v>2747</v>
      </c>
      <c r="G472" s="2" t="s">
        <v>2747</v>
      </c>
      <c r="H472" s="2" t="s">
        <v>2747</v>
      </c>
      <c r="I472" s="2" t="s">
        <v>229</v>
      </c>
      <c r="J472" s="2" t="s">
        <v>318</v>
      </c>
      <c r="K472" s="2" t="s">
        <v>1939</v>
      </c>
      <c r="L472" s="3">
        <v>30.35</v>
      </c>
      <c r="M472" s="3">
        <v>31.87</v>
      </c>
      <c r="N472" s="3">
        <v>65.99</v>
      </c>
      <c r="O472" s="2" t="s">
        <v>243</v>
      </c>
      <c r="P472" s="2" t="s">
        <v>270</v>
      </c>
      <c r="Q472" s="2" t="s">
        <v>237</v>
      </c>
      <c r="R472" s="2" t="s">
        <v>231</v>
      </c>
      <c r="S472" s="2" t="s">
        <v>2819</v>
      </c>
      <c r="T472" s="2" t="s">
        <v>2751</v>
      </c>
      <c r="U472" s="2" t="s">
        <v>327</v>
      </c>
      <c r="V472" s="2" t="s">
        <v>239</v>
      </c>
      <c r="W472" s="2" t="s">
        <v>273</v>
      </c>
      <c r="X472" s="2" t="s">
        <v>971</v>
      </c>
      <c r="Y472" s="2" t="s">
        <v>1579</v>
      </c>
      <c r="Z472" s="4">
        <v>64</v>
      </c>
      <c r="AA472" s="4">
        <f>=ROUNDDOWN(16,0)</f>
      </c>
      <c r="AB472" s="5">
        <v>4</v>
      </c>
      <c r="AC472" s="2" t="s">
        <v>1537</v>
      </c>
      <c r="AD472" s="4">
        <v>200</v>
      </c>
      <c r="AE472" s="4">
        <v>200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231</v>
      </c>
      <c r="AW472" s="8" t="s">
        <v>231</v>
      </c>
      <c r="AX472" s="4" t="s">
        <v>231</v>
      </c>
      <c r="AY472" s="8" t="s">
        <v>231</v>
      </c>
      <c r="AZ472" s="7" t="s">
        <v>231</v>
      </c>
      <c r="BA472" s="7" t="s">
        <v>231</v>
      </c>
      <c r="BB472" s="7"/>
      <c r="BC472" s="4" t="s">
        <v>231</v>
      </c>
      <c r="BD472" s="8" t="s">
        <v>231</v>
      </c>
      <c r="BE472" s="4" t="s">
        <v>231</v>
      </c>
      <c r="BF472" s="8" t="s">
        <v>231</v>
      </c>
      <c r="BG472" s="7" t="s">
        <v>231</v>
      </c>
      <c r="BH472" s="7" t="s">
        <v>231</v>
      </c>
      <c r="BI472" s="7"/>
      <c r="BJ472" s="4">
        <v>18</v>
      </c>
      <c r="BK472" s="8">
        <v>591.63</v>
      </c>
      <c r="BL472" s="2" t="s">
        <v>1291</v>
      </c>
      <c r="BM472" s="7"/>
      <c r="BN472" s="7"/>
      <c r="BO472" s="4"/>
      <c r="BP472" s="8"/>
      <c r="BQ472" s="4"/>
      <c r="BR472" s="8"/>
      <c r="BS472" s="7"/>
      <c r="BT472" s="7"/>
      <c r="BU472" s="2" t="s">
        <v>2820</v>
      </c>
      <c r="BV472" s="2" t="s">
        <v>231</v>
      </c>
      <c r="BW472" s="2" t="s">
        <v>231</v>
      </c>
      <c r="BX472" s="2" t="s">
        <v>241</v>
      </c>
      <c r="BY472" s="2" t="s">
        <v>277</v>
      </c>
      <c r="BZ472" s="2" t="s">
        <v>243</v>
      </c>
      <c r="CA472" s="2" t="s">
        <v>2821</v>
      </c>
      <c r="CB472" s="2" t="s">
        <v>1964</v>
      </c>
      <c r="CC472" s="2" t="s">
        <v>244</v>
      </c>
      <c r="CD472" s="2" t="s">
        <v>231</v>
      </c>
      <c r="CE472" s="4">
        <v>64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>
        <v>200</v>
      </c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</row>
    <row r="473">
      <c r="A473" s="2" t="s">
        <v>2822</v>
      </c>
      <c r="B473" s="2" t="s">
        <v>226</v>
      </c>
      <c r="C473" s="2" t="s">
        <v>815</v>
      </c>
      <c r="D473" s="2" t="s">
        <v>228</v>
      </c>
      <c r="E473" s="2" t="s">
        <v>229</v>
      </c>
      <c r="F473" s="2" t="s">
        <v>2747</v>
      </c>
      <c r="G473" s="2" t="s">
        <v>2747</v>
      </c>
      <c r="H473" s="2" t="s">
        <v>2747</v>
      </c>
      <c r="I473" s="2" t="s">
        <v>229</v>
      </c>
      <c r="J473" s="2" t="s">
        <v>658</v>
      </c>
      <c r="K473" s="2" t="s">
        <v>1939</v>
      </c>
      <c r="L473" s="3">
        <v>36.18</v>
      </c>
      <c r="M473" s="3">
        <v>37.99</v>
      </c>
      <c r="N473" s="3">
        <v>76.99</v>
      </c>
      <c r="O473" s="2" t="s">
        <v>243</v>
      </c>
      <c r="P473" s="2" t="s">
        <v>270</v>
      </c>
      <c r="Q473" s="2" t="s">
        <v>237</v>
      </c>
      <c r="R473" s="2" t="s">
        <v>231</v>
      </c>
      <c r="S473" s="2" t="s">
        <v>2819</v>
      </c>
      <c r="T473" s="2" t="s">
        <v>2751</v>
      </c>
      <c r="U473" s="2" t="s">
        <v>327</v>
      </c>
      <c r="V473" s="2" t="s">
        <v>239</v>
      </c>
      <c r="W473" s="2" t="s">
        <v>273</v>
      </c>
      <c r="X473" s="2" t="s">
        <v>971</v>
      </c>
      <c r="Y473" s="2" t="s">
        <v>1579</v>
      </c>
      <c r="Z473" s="4">
        <v>213</v>
      </c>
      <c r="AA473" s="4">
        <f>=ROUNDDOWN(53.25,0)</f>
      </c>
      <c r="AB473" s="5">
        <v>4</v>
      </c>
      <c r="AC473" s="2" t="s">
        <v>2510</v>
      </c>
      <c r="AD473" s="4">
        <v>80</v>
      </c>
      <c r="AE473" s="4">
        <v>80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231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231</v>
      </c>
      <c r="AW473" s="8" t="s">
        <v>231</v>
      </c>
      <c r="AX473" s="4" t="s">
        <v>231</v>
      </c>
      <c r="AY473" s="8" t="s">
        <v>231</v>
      </c>
      <c r="AZ473" s="7" t="s">
        <v>231</v>
      </c>
      <c r="BA473" s="7" t="s">
        <v>231</v>
      </c>
      <c r="BB473" s="7"/>
      <c r="BC473" s="4" t="s">
        <v>231</v>
      </c>
      <c r="BD473" s="8" t="s">
        <v>231</v>
      </c>
      <c r="BE473" s="4" t="s">
        <v>231</v>
      </c>
      <c r="BF473" s="8" t="s">
        <v>231</v>
      </c>
      <c r="BG473" s="7" t="s">
        <v>231</v>
      </c>
      <c r="BH473" s="7" t="s">
        <v>231</v>
      </c>
      <c r="BI473" s="7"/>
      <c r="BJ473" s="4">
        <v>25</v>
      </c>
      <c r="BK473" s="8">
        <v>983.34</v>
      </c>
      <c r="BL473" s="2" t="s">
        <v>1287</v>
      </c>
      <c r="BM473" s="7"/>
      <c r="BN473" s="7"/>
      <c r="BO473" s="4"/>
      <c r="BP473" s="8"/>
      <c r="BQ473" s="4"/>
      <c r="BR473" s="8"/>
      <c r="BS473" s="7"/>
      <c r="BT473" s="7"/>
      <c r="BU473" s="2" t="s">
        <v>2823</v>
      </c>
      <c r="BV473" s="2" t="s">
        <v>231</v>
      </c>
      <c r="BW473" s="2" t="s">
        <v>231</v>
      </c>
      <c r="BX473" s="2" t="s">
        <v>241</v>
      </c>
      <c r="BY473" s="2" t="s">
        <v>277</v>
      </c>
      <c r="BZ473" s="2" t="s">
        <v>243</v>
      </c>
      <c r="CA473" s="2" t="s">
        <v>2821</v>
      </c>
      <c r="CB473" s="2" t="s">
        <v>1955</v>
      </c>
      <c r="CC473" s="2" t="s">
        <v>244</v>
      </c>
      <c r="CD473" s="2" t="s">
        <v>231</v>
      </c>
      <c r="CE473" s="4">
        <v>213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>
        <v>80</v>
      </c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</row>
    <row r="474">
      <c r="A474" s="2" t="s">
        <v>2824</v>
      </c>
      <c r="B474" s="2" t="s">
        <v>226</v>
      </c>
      <c r="C474" s="2" t="s">
        <v>815</v>
      </c>
      <c r="D474" s="2" t="s">
        <v>228</v>
      </c>
      <c r="E474" s="2" t="s">
        <v>229</v>
      </c>
      <c r="F474" s="2" t="s">
        <v>2747</v>
      </c>
      <c r="G474" s="2" t="s">
        <v>2747</v>
      </c>
      <c r="H474" s="2" t="s">
        <v>2747</v>
      </c>
      <c r="I474" s="2" t="s">
        <v>229</v>
      </c>
      <c r="J474" s="2" t="s">
        <v>302</v>
      </c>
      <c r="K474" s="2" t="s">
        <v>1939</v>
      </c>
      <c r="L474" s="3">
        <v>42.4</v>
      </c>
      <c r="M474" s="3">
        <v>44.52</v>
      </c>
      <c r="N474" s="3">
        <v>89.99</v>
      </c>
      <c r="O474" s="2" t="s">
        <v>243</v>
      </c>
      <c r="P474" s="2" t="s">
        <v>270</v>
      </c>
      <c r="Q474" s="2" t="s">
        <v>237</v>
      </c>
      <c r="R474" s="2" t="s">
        <v>231</v>
      </c>
      <c r="S474" s="2" t="s">
        <v>2819</v>
      </c>
      <c r="T474" s="2" t="s">
        <v>2751</v>
      </c>
      <c r="U474" s="2" t="s">
        <v>327</v>
      </c>
      <c r="V474" s="2" t="s">
        <v>239</v>
      </c>
      <c r="W474" s="2" t="s">
        <v>273</v>
      </c>
      <c r="X474" s="2" t="s">
        <v>971</v>
      </c>
      <c r="Y474" s="2" t="s">
        <v>1579</v>
      </c>
      <c r="Z474" s="4">
        <v>246</v>
      </c>
      <c r="AA474" s="4">
        <f>=ROUNDDOWN(49.2,0)</f>
      </c>
      <c r="AB474" s="5">
        <v>5</v>
      </c>
      <c r="AC474" s="2" t="s">
        <v>2510</v>
      </c>
      <c r="AD474" s="4">
        <v>30</v>
      </c>
      <c r="AE474" s="4">
        <v>30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231</v>
      </c>
      <c r="AW474" s="8" t="s">
        <v>231</v>
      </c>
      <c r="AX474" s="4" t="s">
        <v>231</v>
      </c>
      <c r="AY474" s="8" t="s">
        <v>231</v>
      </c>
      <c r="AZ474" s="7" t="s">
        <v>231</v>
      </c>
      <c r="BA474" s="7" t="s">
        <v>231</v>
      </c>
      <c r="BB474" s="7"/>
      <c r="BC474" s="4" t="s">
        <v>231</v>
      </c>
      <c r="BD474" s="8" t="s">
        <v>231</v>
      </c>
      <c r="BE474" s="4" t="s">
        <v>231</v>
      </c>
      <c r="BF474" s="8" t="s">
        <v>231</v>
      </c>
      <c r="BG474" s="7" t="s">
        <v>231</v>
      </c>
      <c r="BH474" s="7" t="s">
        <v>231</v>
      </c>
      <c r="BI474" s="7"/>
      <c r="BJ474" s="4">
        <v>20</v>
      </c>
      <c r="BK474" s="8">
        <v>939.04</v>
      </c>
      <c r="BL474" s="2" t="s">
        <v>1287</v>
      </c>
      <c r="BM474" s="7"/>
      <c r="BN474" s="7"/>
      <c r="BO474" s="4"/>
      <c r="BP474" s="8"/>
      <c r="BQ474" s="4"/>
      <c r="BR474" s="8"/>
      <c r="BS474" s="7"/>
      <c r="BT474" s="7"/>
      <c r="BU474" s="2" t="s">
        <v>2825</v>
      </c>
      <c r="BV474" s="2" t="s">
        <v>231</v>
      </c>
      <c r="BW474" s="2" t="s">
        <v>231</v>
      </c>
      <c r="BX474" s="2" t="s">
        <v>241</v>
      </c>
      <c r="BY474" s="2" t="s">
        <v>277</v>
      </c>
      <c r="BZ474" s="2" t="s">
        <v>243</v>
      </c>
      <c r="CA474" s="2" t="s">
        <v>2821</v>
      </c>
      <c r="CB474" s="2" t="s">
        <v>2826</v>
      </c>
      <c r="CC474" s="2" t="s">
        <v>244</v>
      </c>
      <c r="CD474" s="2" t="s">
        <v>231</v>
      </c>
      <c r="CE474" s="4">
        <v>246</v>
      </c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>
        <v>30</v>
      </c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</row>
    <row r="475">
      <c r="A475" s="2" t="s">
        <v>2827</v>
      </c>
      <c r="B475" s="2" t="s">
        <v>226</v>
      </c>
      <c r="C475" s="2" t="s">
        <v>815</v>
      </c>
      <c r="D475" s="2" t="s">
        <v>458</v>
      </c>
      <c r="E475" s="2" t="s">
        <v>459</v>
      </c>
      <c r="F475" s="2" t="s">
        <v>2747</v>
      </c>
      <c r="G475" s="2" t="s">
        <v>2747</v>
      </c>
      <c r="H475" s="2" t="s">
        <v>2747</v>
      </c>
      <c r="I475" s="2" t="s">
        <v>2748</v>
      </c>
      <c r="J475" s="2" t="s">
        <v>2749</v>
      </c>
      <c r="K475" s="2" t="s">
        <v>1939</v>
      </c>
      <c r="L475" s="3">
        <v>10.58</v>
      </c>
      <c r="M475" s="3">
        <v>11.11</v>
      </c>
      <c r="N475" s="3">
        <v>22.99</v>
      </c>
      <c r="O475" s="2" t="s">
        <v>243</v>
      </c>
      <c r="P475" s="2" t="s">
        <v>1985</v>
      </c>
      <c r="Q475" s="2" t="s">
        <v>237</v>
      </c>
      <c r="R475" s="2" t="s">
        <v>231</v>
      </c>
      <c r="S475" s="2" t="s">
        <v>2819</v>
      </c>
      <c r="T475" s="2" t="s">
        <v>2751</v>
      </c>
      <c r="U475" s="2" t="s">
        <v>327</v>
      </c>
      <c r="V475" s="2" t="s">
        <v>239</v>
      </c>
      <c r="W475" s="2" t="s">
        <v>273</v>
      </c>
      <c r="X475" s="2" t="s">
        <v>971</v>
      </c>
      <c r="Y475" s="2" t="s">
        <v>1579</v>
      </c>
      <c r="Z475" s="4">
        <v>334</v>
      </c>
      <c r="AA475" s="4">
        <f>=ROUNDDOWN(55.6666666666667,0)</f>
      </c>
      <c r="AB475" s="5">
        <v>6</v>
      </c>
      <c r="AC475" s="2" t="s">
        <v>231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231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231</v>
      </c>
      <c r="AW475" s="8" t="s">
        <v>231</v>
      </c>
      <c r="AX475" s="4" t="s">
        <v>231</v>
      </c>
      <c r="AY475" s="8" t="s">
        <v>231</v>
      </c>
      <c r="AZ475" s="7" t="s">
        <v>231</v>
      </c>
      <c r="BA475" s="7" t="s">
        <v>231</v>
      </c>
      <c r="BB475" s="7"/>
      <c r="BC475" s="4" t="s">
        <v>231</v>
      </c>
      <c r="BD475" s="8" t="s">
        <v>231</v>
      </c>
      <c r="BE475" s="4" t="s">
        <v>231</v>
      </c>
      <c r="BF475" s="8" t="s">
        <v>231</v>
      </c>
      <c r="BG475" s="7" t="s">
        <v>231</v>
      </c>
      <c r="BH475" s="7" t="s">
        <v>231</v>
      </c>
      <c r="BI475" s="7"/>
      <c r="BJ475" s="4">
        <v>11</v>
      </c>
      <c r="BK475" s="8">
        <v>118.98</v>
      </c>
      <c r="BL475" s="2" t="s">
        <v>2210</v>
      </c>
      <c r="BM475" s="7"/>
      <c r="BN475" s="7"/>
      <c r="BO475" s="4"/>
      <c r="BP475" s="8"/>
      <c r="BQ475" s="4"/>
      <c r="BR475" s="8"/>
      <c r="BS475" s="7"/>
      <c r="BT475" s="7"/>
      <c r="BU475" s="2" t="s">
        <v>2828</v>
      </c>
      <c r="BV475" s="2" t="s">
        <v>231</v>
      </c>
      <c r="BW475" s="2" t="s">
        <v>231</v>
      </c>
      <c r="BX475" s="2" t="s">
        <v>241</v>
      </c>
      <c r="BY475" s="2" t="s">
        <v>277</v>
      </c>
      <c r="BZ475" s="2" t="s">
        <v>243</v>
      </c>
      <c r="CA475" s="2" t="s">
        <v>822</v>
      </c>
      <c r="CB475" s="2" t="s">
        <v>2447</v>
      </c>
      <c r="CC475" s="2" t="s">
        <v>244</v>
      </c>
      <c r="CD475" s="2" t="s">
        <v>231</v>
      </c>
      <c r="CE475" s="4">
        <v>334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</row>
    <row r="476">
      <c r="A476" s="2" t="s">
        <v>2829</v>
      </c>
      <c r="B476" s="2" t="s">
        <v>226</v>
      </c>
      <c r="C476" s="2" t="s">
        <v>815</v>
      </c>
      <c r="D476" s="2" t="s">
        <v>458</v>
      </c>
      <c r="E476" s="2" t="s">
        <v>459</v>
      </c>
      <c r="F476" s="2" t="s">
        <v>2747</v>
      </c>
      <c r="G476" s="2" t="s">
        <v>2747</v>
      </c>
      <c r="H476" s="2" t="s">
        <v>2747</v>
      </c>
      <c r="I476" s="2" t="s">
        <v>2755</v>
      </c>
      <c r="J476" s="2" t="s">
        <v>1145</v>
      </c>
      <c r="K476" s="2" t="s">
        <v>1939</v>
      </c>
      <c r="L476" s="3">
        <v>12.96</v>
      </c>
      <c r="M476" s="3">
        <v>13.61</v>
      </c>
      <c r="N476" s="3">
        <v>26.99</v>
      </c>
      <c r="O476" s="2" t="s">
        <v>243</v>
      </c>
      <c r="P476" s="2" t="s">
        <v>1985</v>
      </c>
      <c r="Q476" s="2" t="s">
        <v>237</v>
      </c>
      <c r="R476" s="2" t="s">
        <v>231</v>
      </c>
      <c r="S476" s="2" t="s">
        <v>2819</v>
      </c>
      <c r="T476" s="2" t="s">
        <v>2751</v>
      </c>
      <c r="U476" s="2" t="s">
        <v>327</v>
      </c>
      <c r="V476" s="2" t="s">
        <v>239</v>
      </c>
      <c r="W476" s="2" t="s">
        <v>273</v>
      </c>
      <c r="X476" s="2" t="s">
        <v>971</v>
      </c>
      <c r="Y476" s="2" t="s">
        <v>1579</v>
      </c>
      <c r="Z476" s="4">
        <v>301</v>
      </c>
      <c r="AA476" s="4">
        <f>=ROUNDDOWN(75.25,0)</f>
      </c>
      <c r="AB476" s="5">
        <v>4</v>
      </c>
      <c r="AC476" s="2" t="s">
        <v>231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231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231</v>
      </c>
      <c r="AW476" s="8" t="s">
        <v>231</v>
      </c>
      <c r="AX476" s="4" t="s">
        <v>231</v>
      </c>
      <c r="AY476" s="8" t="s">
        <v>231</v>
      </c>
      <c r="AZ476" s="7" t="s">
        <v>231</v>
      </c>
      <c r="BA476" s="7" t="s">
        <v>231</v>
      </c>
      <c r="BB476" s="7"/>
      <c r="BC476" s="4" t="s">
        <v>231</v>
      </c>
      <c r="BD476" s="8" t="s">
        <v>231</v>
      </c>
      <c r="BE476" s="4" t="s">
        <v>231</v>
      </c>
      <c r="BF476" s="8" t="s">
        <v>231</v>
      </c>
      <c r="BG476" s="7" t="s">
        <v>231</v>
      </c>
      <c r="BH476" s="7" t="s">
        <v>231</v>
      </c>
      <c r="BI476" s="7"/>
      <c r="BJ476" s="4">
        <v>20</v>
      </c>
      <c r="BK476" s="8">
        <v>289.18</v>
      </c>
      <c r="BL476" s="2" t="s">
        <v>2830</v>
      </c>
      <c r="BM476" s="7"/>
      <c r="BN476" s="7"/>
      <c r="BO476" s="4"/>
      <c r="BP476" s="8"/>
      <c r="BQ476" s="4"/>
      <c r="BR476" s="8"/>
      <c r="BS476" s="7"/>
      <c r="BT476" s="7"/>
      <c r="BU476" s="2" t="s">
        <v>2831</v>
      </c>
      <c r="BV476" s="2" t="s">
        <v>231</v>
      </c>
      <c r="BW476" s="2" t="s">
        <v>231</v>
      </c>
      <c r="BX476" s="2" t="s">
        <v>241</v>
      </c>
      <c r="BY476" s="2" t="s">
        <v>277</v>
      </c>
      <c r="BZ476" s="2" t="s">
        <v>243</v>
      </c>
      <c r="CA476" s="2" t="s">
        <v>822</v>
      </c>
      <c r="CB476" s="2" t="s">
        <v>926</v>
      </c>
      <c r="CC476" s="2" t="s">
        <v>244</v>
      </c>
      <c r="CD476" s="2" t="s">
        <v>231</v>
      </c>
      <c r="CE476" s="4">
        <v>197</v>
      </c>
      <c r="CF476" s="4"/>
      <c r="CG476" s="4"/>
      <c r="CH476" s="4"/>
      <c r="CI476" s="4"/>
      <c r="CJ476" s="4"/>
      <c r="CK476" s="4"/>
      <c r="CL476" s="4">
        <v>104</v>
      </c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</row>
    <row r="477">
      <c r="A477" s="2" t="s">
        <v>2832</v>
      </c>
      <c r="B477" s="2" t="s">
        <v>1004</v>
      </c>
      <c r="C477" s="2" t="s">
        <v>288</v>
      </c>
      <c r="D477" s="2" t="s">
        <v>1689</v>
      </c>
      <c r="E477" s="2" t="s">
        <v>1690</v>
      </c>
      <c r="F477" s="2" t="s">
        <v>2833</v>
      </c>
      <c r="G477" s="2" t="s">
        <v>2834</v>
      </c>
      <c r="H477" s="2" t="s">
        <v>2835</v>
      </c>
      <c r="I477" s="2" t="s">
        <v>2836</v>
      </c>
      <c r="J477" s="2" t="s">
        <v>807</v>
      </c>
      <c r="K477" s="2" t="s">
        <v>2837</v>
      </c>
      <c r="L477" s="3">
        <v>171</v>
      </c>
      <c r="M477" s="3">
        <v>179.55</v>
      </c>
      <c r="N477" s="3">
        <v>359</v>
      </c>
      <c r="O477" s="2" t="s">
        <v>243</v>
      </c>
      <c r="P477" s="2" t="s">
        <v>341</v>
      </c>
      <c r="Q477" s="2" t="s">
        <v>237</v>
      </c>
      <c r="R477" s="2" t="s">
        <v>231</v>
      </c>
      <c r="S477" s="2" t="s">
        <v>2838</v>
      </c>
      <c r="T477" s="2" t="s">
        <v>231</v>
      </c>
      <c r="U477" s="2" t="s">
        <v>231</v>
      </c>
      <c r="V477" s="2" t="s">
        <v>1685</v>
      </c>
      <c r="W477" s="2" t="s">
        <v>792</v>
      </c>
      <c r="X477" s="2" t="s">
        <v>231</v>
      </c>
      <c r="Y477" s="2" t="s">
        <v>274</v>
      </c>
      <c r="Z477" s="4">
        <v>31</v>
      </c>
      <c r="AA477" s="4">
        <f>=ROUNDDOWN(7.75,0)</f>
      </c>
      <c r="AB477" s="5">
        <v>4</v>
      </c>
      <c r="AC477" s="2" t="s">
        <v>231</v>
      </c>
      <c r="AD477" s="4"/>
      <c r="AE477" s="4"/>
      <c r="AF477" s="6">
        <v>65</v>
      </c>
      <c r="AG477" s="6">
        <v>48</v>
      </c>
      <c r="AH477" s="7">
        <v>0.9032</v>
      </c>
      <c r="AI477" s="4"/>
      <c r="AJ477" s="4">
        <f>=ROUNDDOWN({0},0)</f>
      </c>
      <c r="AK477" s="5"/>
      <c r="AL477" s="2" t="s">
        <v>231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>
        <v>12</v>
      </c>
      <c r="BK477" s="8">
        <v>1124.33</v>
      </c>
      <c r="BL477" s="2" t="s">
        <v>2839</v>
      </c>
      <c r="BM477" s="7"/>
      <c r="BN477" s="7"/>
      <c r="BO477" s="4"/>
      <c r="BP477" s="8"/>
      <c r="BQ477" s="4"/>
      <c r="BR477" s="8"/>
      <c r="BS477" s="7"/>
      <c r="BT477" s="7"/>
      <c r="BU477" s="2" t="s">
        <v>2840</v>
      </c>
      <c r="BV477" s="2" t="s">
        <v>231</v>
      </c>
      <c r="BW477" s="2" t="s">
        <v>231</v>
      </c>
      <c r="BX477" s="2" t="s">
        <v>241</v>
      </c>
      <c r="BY477" s="2" t="s">
        <v>277</v>
      </c>
      <c r="BZ477" s="2" t="s">
        <v>243</v>
      </c>
      <c r="CA477" s="2" t="s">
        <v>284</v>
      </c>
      <c r="CB477" s="2" t="s">
        <v>2841</v>
      </c>
      <c r="CC477" s="2" t="s">
        <v>244</v>
      </c>
      <c r="CD477" s="2" t="s">
        <v>231</v>
      </c>
      <c r="CE477" s="4"/>
      <c r="CF477" s="4">
        <v>31</v>
      </c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</row>
    <row r="478">
      <c r="A478" s="2" t="s">
        <v>2842</v>
      </c>
      <c r="B478" s="2" t="s">
        <v>226</v>
      </c>
      <c r="C478" s="2" t="s">
        <v>1299</v>
      </c>
      <c r="D478" s="2" t="s">
        <v>1549</v>
      </c>
      <c r="E478" s="2" t="s">
        <v>1550</v>
      </c>
      <c r="F478" s="2" t="s">
        <v>2843</v>
      </c>
      <c r="G478" s="2" t="s">
        <v>2843</v>
      </c>
      <c r="H478" s="2" t="s">
        <v>241</v>
      </c>
      <c r="I478" s="2" t="s">
        <v>2844</v>
      </c>
      <c r="J478" s="2" t="s">
        <v>2845</v>
      </c>
      <c r="K478" s="2" t="s">
        <v>2846</v>
      </c>
      <c r="L478" s="3">
        <v>37.72</v>
      </c>
      <c r="M478" s="3">
        <v>39.61</v>
      </c>
      <c r="N478" s="3">
        <v>81.99</v>
      </c>
      <c r="O478" s="2" t="s">
        <v>243</v>
      </c>
      <c r="P478" s="2" t="s">
        <v>1985</v>
      </c>
      <c r="Q478" s="2" t="s">
        <v>237</v>
      </c>
      <c r="R478" s="2" t="s">
        <v>231</v>
      </c>
      <c r="S478" s="2" t="s">
        <v>2847</v>
      </c>
      <c r="T478" s="2" t="s">
        <v>970</v>
      </c>
      <c r="U478" s="2" t="s">
        <v>231</v>
      </c>
      <c r="V478" s="2" t="s">
        <v>1304</v>
      </c>
      <c r="W478" s="2" t="s">
        <v>897</v>
      </c>
      <c r="X478" s="2" t="s">
        <v>971</v>
      </c>
      <c r="Y478" s="2" t="s">
        <v>2848</v>
      </c>
      <c r="Z478" s="4">
        <v>1178</v>
      </c>
      <c r="AA478" s="4">
        <f>=ROUNDDOWN(117.8,0)</f>
      </c>
      <c r="AB478" s="5">
        <v>10</v>
      </c>
      <c r="AC478" s="2" t="s">
        <v>231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231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>
        <v>2</v>
      </c>
      <c r="BK478" s="8">
        <v>79.2</v>
      </c>
      <c r="BL478" s="2" t="s">
        <v>2849</v>
      </c>
      <c r="BM478" s="7"/>
      <c r="BN478" s="7"/>
      <c r="BO478" s="4"/>
      <c r="BP478" s="8"/>
      <c r="BQ478" s="4"/>
      <c r="BR478" s="8"/>
      <c r="BS478" s="7"/>
      <c r="BT478" s="7"/>
      <c r="BU478" s="2" t="s">
        <v>2850</v>
      </c>
      <c r="BV478" s="2" t="s">
        <v>231</v>
      </c>
      <c r="BW478" s="2" t="s">
        <v>231</v>
      </c>
      <c r="BX478" s="2" t="s">
        <v>231</v>
      </c>
      <c r="BY478" s="2" t="s">
        <v>277</v>
      </c>
      <c r="BZ478" s="2" t="s">
        <v>243</v>
      </c>
      <c r="CA478" s="2" t="s">
        <v>2491</v>
      </c>
      <c r="CB478" s="2" t="s">
        <v>2851</v>
      </c>
      <c r="CC478" s="2" t="s">
        <v>244</v>
      </c>
      <c r="CD478" s="2" t="s">
        <v>231</v>
      </c>
      <c r="CE478" s="4">
        <v>1178</v>
      </c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</row>
    <row r="479">
      <c r="A479" s="2" t="s">
        <v>2852</v>
      </c>
      <c r="B479" s="2" t="s">
        <v>1004</v>
      </c>
      <c r="C479" s="2" t="s">
        <v>288</v>
      </c>
      <c r="D479" s="2" t="s">
        <v>1031</v>
      </c>
      <c r="E479" s="2" t="s">
        <v>1032</v>
      </c>
      <c r="F479" s="2" t="s">
        <v>2853</v>
      </c>
      <c r="G479" s="2" t="s">
        <v>2854</v>
      </c>
      <c r="H479" s="2" t="s">
        <v>2855</v>
      </c>
      <c r="I479" s="2" t="s">
        <v>2856</v>
      </c>
      <c r="J479" s="2" t="s">
        <v>807</v>
      </c>
      <c r="K479" s="2" t="s">
        <v>870</v>
      </c>
      <c r="L479" s="3">
        <v>465.5</v>
      </c>
      <c r="M479" s="3">
        <v>488.78</v>
      </c>
      <c r="N479" s="3">
        <v>979</v>
      </c>
      <c r="O479" s="2" t="s">
        <v>243</v>
      </c>
      <c r="P479" s="2" t="s">
        <v>1037</v>
      </c>
      <c r="Q479" s="2" t="s">
        <v>237</v>
      </c>
      <c r="R479" s="2" t="s">
        <v>16</v>
      </c>
      <c r="S479" s="2" t="s">
        <v>2857</v>
      </c>
      <c r="T479" s="2" t="s">
        <v>231</v>
      </c>
      <c r="U479" s="2" t="s">
        <v>791</v>
      </c>
      <c r="V479" s="2" t="s">
        <v>1685</v>
      </c>
      <c r="W479" s="2" t="s">
        <v>792</v>
      </c>
      <c r="X479" s="2" t="s">
        <v>231</v>
      </c>
      <c r="Y479" s="2" t="s">
        <v>2858</v>
      </c>
      <c r="Z479" s="4">
        <v>50</v>
      </c>
      <c r="AA479" s="4">
        <f>=ROUNDDOWN({0},0)</f>
      </c>
      <c r="AB479" s="5"/>
      <c r="AC479" s="2" t="s">
        <v>1315</v>
      </c>
      <c r="AD479" s="4">
        <v>50</v>
      </c>
      <c r="AE479" s="4">
        <v>117</v>
      </c>
      <c r="AF479" s="6"/>
      <c r="AG479" s="6"/>
      <c r="AH479" s="7">
        <v>1</v>
      </c>
      <c r="AI479" s="4"/>
      <c r="AJ479" s="4">
        <f>=ROUNDDOWN({0},0)</f>
      </c>
      <c r="AK479" s="5"/>
      <c r="AL479" s="2" t="s">
        <v>231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231</v>
      </c>
      <c r="BM479" s="7"/>
      <c r="BN479" s="7"/>
      <c r="BO479" s="4"/>
      <c r="BP479" s="8"/>
      <c r="BQ479" s="4"/>
      <c r="BR479" s="8"/>
      <c r="BS479" s="7"/>
      <c r="BT479" s="7"/>
      <c r="BU479" s="2" t="s">
        <v>2859</v>
      </c>
      <c r="BV479" s="2" t="s">
        <v>231</v>
      </c>
      <c r="BW479" s="2" t="s">
        <v>231</v>
      </c>
      <c r="BX479" s="2" t="s">
        <v>312</v>
      </c>
      <c r="BY479" s="2" t="s">
        <v>277</v>
      </c>
      <c r="BZ479" s="2" t="s">
        <v>243</v>
      </c>
      <c r="CA479" s="2" t="s">
        <v>1041</v>
      </c>
      <c r="CB479" s="2" t="s">
        <v>231</v>
      </c>
      <c r="CC479" s="2" t="s">
        <v>244</v>
      </c>
      <c r="CD479" s="2" t="s">
        <v>231</v>
      </c>
      <c r="CE479" s="4"/>
      <c r="CF479" s="4">
        <v>48</v>
      </c>
      <c r="CG479" s="4"/>
      <c r="CH479" s="4"/>
      <c r="CI479" s="4">
        <v>2</v>
      </c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>
        <v>50</v>
      </c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>
        <v>67</v>
      </c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</row>
    <row r="480">
      <c r="A480" s="2" t="s">
        <v>2860</v>
      </c>
      <c r="B480" s="2" t="s">
        <v>226</v>
      </c>
      <c r="C480" s="2" t="s">
        <v>825</v>
      </c>
      <c r="D480" s="2" t="s">
        <v>654</v>
      </c>
      <c r="E480" s="2" t="s">
        <v>890</v>
      </c>
      <c r="F480" s="2" t="s">
        <v>2861</v>
      </c>
      <c r="G480" s="2" t="s">
        <v>2862</v>
      </c>
      <c r="H480" s="2" t="s">
        <v>2862</v>
      </c>
      <c r="I480" s="2" t="s">
        <v>2863</v>
      </c>
      <c r="J480" s="2" t="s">
        <v>832</v>
      </c>
      <c r="K480" s="2" t="s">
        <v>486</v>
      </c>
      <c r="L480" s="3">
        <v>28.47</v>
      </c>
      <c r="M480" s="3">
        <v>29.89</v>
      </c>
      <c r="N480" s="3">
        <v>59.99</v>
      </c>
      <c r="O480" s="2" t="s">
        <v>243</v>
      </c>
      <c r="P480" s="2" t="s">
        <v>871</v>
      </c>
      <c r="Q480" s="2" t="s">
        <v>237</v>
      </c>
      <c r="R480" s="2" t="s">
        <v>231</v>
      </c>
      <c r="S480" s="2" t="s">
        <v>2864</v>
      </c>
      <c r="T480" s="2" t="s">
        <v>895</v>
      </c>
      <c r="U480" s="2" t="s">
        <v>791</v>
      </c>
      <c r="V480" s="2" t="s">
        <v>1752</v>
      </c>
      <c r="W480" s="2" t="s">
        <v>792</v>
      </c>
      <c r="X480" s="2" t="s">
        <v>691</v>
      </c>
      <c r="Y480" s="2" t="s">
        <v>2237</v>
      </c>
      <c r="Z480" s="4">
        <v>365</v>
      </c>
      <c r="AA480" s="4">
        <f>=ROUNDDOWN(16.5909090909091,0)</f>
      </c>
      <c r="AB480" s="5">
        <v>22</v>
      </c>
      <c r="AC480" s="2" t="s">
        <v>1128</v>
      </c>
      <c r="AD480" s="4">
        <v>80</v>
      </c>
      <c r="AE480" s="4">
        <v>550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231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>
        <v>47</v>
      </c>
      <c r="BK480" s="8">
        <v>1331.85</v>
      </c>
      <c r="BL480" s="2" t="s">
        <v>2865</v>
      </c>
      <c r="BM480" s="7"/>
      <c r="BN480" s="7"/>
      <c r="BO480" s="4"/>
      <c r="BP480" s="8"/>
      <c r="BQ480" s="4"/>
      <c r="BR480" s="8"/>
      <c r="BS480" s="7"/>
      <c r="BT480" s="7"/>
      <c r="BU480" s="2" t="s">
        <v>2866</v>
      </c>
      <c r="BV480" s="2" t="s">
        <v>231</v>
      </c>
      <c r="BW480" s="2" t="s">
        <v>231</v>
      </c>
      <c r="BX480" s="2" t="s">
        <v>231</v>
      </c>
      <c r="BY480" s="2" t="s">
        <v>277</v>
      </c>
      <c r="BZ480" s="2" t="s">
        <v>243</v>
      </c>
      <c r="CA480" s="2" t="s">
        <v>2867</v>
      </c>
      <c r="CB480" s="2" t="s">
        <v>2868</v>
      </c>
      <c r="CC480" s="2" t="s">
        <v>244</v>
      </c>
      <c r="CD480" s="2" t="s">
        <v>231</v>
      </c>
      <c r="CE480" s="4">
        <v>364</v>
      </c>
      <c r="CF480" s="4"/>
      <c r="CG480" s="4"/>
      <c r="CH480" s="4"/>
      <c r="CI480" s="4"/>
      <c r="CJ480" s="4"/>
      <c r="CK480" s="4"/>
      <c r="CL480" s="4">
        <v>1</v>
      </c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>
        <v>80</v>
      </c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>
        <v>170</v>
      </c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>
        <v>300</v>
      </c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</row>
    <row r="481">
      <c r="A481" s="2" t="s">
        <v>2869</v>
      </c>
      <c r="B481" s="2" t="s">
        <v>801</v>
      </c>
      <c r="C481" s="2" t="s">
        <v>815</v>
      </c>
      <c r="D481" s="2" t="s">
        <v>2228</v>
      </c>
      <c r="E481" s="2" t="s">
        <v>2229</v>
      </c>
      <c r="F481" s="2" t="s">
        <v>2870</v>
      </c>
      <c r="G481" s="2" t="s">
        <v>2870</v>
      </c>
      <c r="H481" s="2" t="s">
        <v>2870</v>
      </c>
      <c r="I481" s="2" t="s">
        <v>2871</v>
      </c>
      <c r="J481" s="2" t="s">
        <v>807</v>
      </c>
      <c r="K481" s="2" t="s">
        <v>2872</v>
      </c>
      <c r="L481" s="3">
        <v>86</v>
      </c>
      <c r="M481" s="3">
        <v>90.3</v>
      </c>
      <c r="N481" s="3">
        <v>179.99</v>
      </c>
      <c r="O481" s="2" t="s">
        <v>243</v>
      </c>
      <c r="P481" s="2" t="s">
        <v>236</v>
      </c>
      <c r="Q481" s="2" t="s">
        <v>237</v>
      </c>
      <c r="R481" s="2" t="s">
        <v>231</v>
      </c>
      <c r="S481" s="2" t="s">
        <v>231</v>
      </c>
      <c r="T481" s="2" t="s">
        <v>231</v>
      </c>
      <c r="U481" s="2" t="s">
        <v>327</v>
      </c>
      <c r="V481" s="2" t="s">
        <v>662</v>
      </c>
      <c r="W481" s="2" t="s">
        <v>808</v>
      </c>
      <c r="X481" s="2" t="s">
        <v>691</v>
      </c>
      <c r="Y481" s="2" t="s">
        <v>231</v>
      </c>
      <c r="Z481" s="4"/>
      <c r="AA481" s="4">
        <f>=ROUNDDOWN({0},0)</f>
      </c>
      <c r="AB481" s="5"/>
      <c r="AC481" s="2" t="s">
        <v>1137</v>
      </c>
      <c r="AD481" s="4">
        <v>100</v>
      </c>
      <c r="AE481" s="4">
        <v>100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231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231</v>
      </c>
      <c r="BM481" s="7"/>
      <c r="BN481" s="7"/>
      <c r="BO481" s="4"/>
      <c r="BP481" s="8"/>
      <c r="BQ481" s="4"/>
      <c r="BR481" s="8"/>
      <c r="BS481" s="7"/>
      <c r="BT481" s="7"/>
      <c r="BU481" s="2" t="s">
        <v>241</v>
      </c>
      <c r="BV481" s="2" t="s">
        <v>231</v>
      </c>
      <c r="BW481" s="2" t="s">
        <v>231</v>
      </c>
      <c r="BX481" s="2" t="s">
        <v>241</v>
      </c>
      <c r="BY481" s="2" t="s">
        <v>242</v>
      </c>
      <c r="BZ481" s="2" t="s">
        <v>243</v>
      </c>
      <c r="CA481" s="2" t="s">
        <v>231</v>
      </c>
      <c r="CB481" s="2" t="s">
        <v>231</v>
      </c>
      <c r="CC481" s="2" t="s">
        <v>244</v>
      </c>
      <c r="CD481" s="2" t="s">
        <v>231</v>
      </c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>
        <v>100</v>
      </c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</row>
    <row r="482">
      <c r="A482" s="2" t="s">
        <v>2873</v>
      </c>
      <c r="B482" s="2" t="s">
        <v>1004</v>
      </c>
      <c r="C482" s="2" t="s">
        <v>288</v>
      </c>
      <c r="D482" s="2" t="s">
        <v>1917</v>
      </c>
      <c r="E482" s="2" t="s">
        <v>1918</v>
      </c>
      <c r="F482" s="2" t="s">
        <v>2874</v>
      </c>
      <c r="G482" s="2" t="s">
        <v>2875</v>
      </c>
      <c r="H482" s="2" t="s">
        <v>2876</v>
      </c>
      <c r="I482" s="2" t="s">
        <v>2877</v>
      </c>
      <c r="J482" s="2" t="s">
        <v>807</v>
      </c>
      <c r="K482" s="2" t="s">
        <v>269</v>
      </c>
      <c r="L482" s="3">
        <v>80.75</v>
      </c>
      <c r="M482" s="3">
        <v>84.79</v>
      </c>
      <c r="N482" s="3">
        <v>169</v>
      </c>
      <c r="O482" s="2" t="s">
        <v>243</v>
      </c>
      <c r="P482" s="2" t="s">
        <v>1985</v>
      </c>
      <c r="Q482" s="2" t="s">
        <v>237</v>
      </c>
      <c r="R482" s="2" t="s">
        <v>231</v>
      </c>
      <c r="S482" s="2" t="s">
        <v>2878</v>
      </c>
      <c r="T482" s="2" t="s">
        <v>231</v>
      </c>
      <c r="U482" s="2" t="s">
        <v>231</v>
      </c>
      <c r="V482" s="2" t="s">
        <v>239</v>
      </c>
      <c r="W482" s="2" t="s">
        <v>691</v>
      </c>
      <c r="X482" s="2" t="s">
        <v>231</v>
      </c>
      <c r="Y482" s="2" t="s">
        <v>274</v>
      </c>
      <c r="Z482" s="4">
        <v>95</v>
      </c>
      <c r="AA482" s="4">
        <f>=ROUNDDOWN(63.3333333333333,0)</f>
      </c>
      <c r="AB482" s="5">
        <v>1.5</v>
      </c>
      <c r="AC482" s="2" t="s">
        <v>2530</v>
      </c>
      <c r="AD482" s="4">
        <v>90</v>
      </c>
      <c r="AE482" s="4">
        <v>90</v>
      </c>
      <c r="AF482" s="6">
        <v>74</v>
      </c>
      <c r="AG482" s="6"/>
      <c r="AH482" s="7">
        <v>1</v>
      </c>
      <c r="AI482" s="4"/>
      <c r="AJ482" s="4">
        <f>=ROUNDDOWN({0},0)</f>
      </c>
      <c r="AK482" s="5"/>
      <c r="AL482" s="2" t="s">
        <v>231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>
        <v>7</v>
      </c>
      <c r="BK482" s="8">
        <v>600.98</v>
      </c>
      <c r="BL482" s="2" t="s">
        <v>810</v>
      </c>
      <c r="BM482" s="7"/>
      <c r="BN482" s="7"/>
      <c r="BO482" s="4"/>
      <c r="BP482" s="8"/>
      <c r="BQ482" s="4"/>
      <c r="BR482" s="8"/>
      <c r="BS482" s="7"/>
      <c r="BT482" s="7"/>
      <c r="BU482" s="2" t="s">
        <v>2879</v>
      </c>
      <c r="BV482" s="2" t="s">
        <v>231</v>
      </c>
      <c r="BW482" s="2" t="s">
        <v>231</v>
      </c>
      <c r="BX482" s="2" t="s">
        <v>231</v>
      </c>
      <c r="BY482" s="2" t="s">
        <v>277</v>
      </c>
      <c r="BZ482" s="2" t="s">
        <v>243</v>
      </c>
      <c r="CA482" s="2" t="s">
        <v>2880</v>
      </c>
      <c r="CB482" s="2" t="s">
        <v>2881</v>
      </c>
      <c r="CC482" s="2" t="s">
        <v>244</v>
      </c>
      <c r="CD482" s="2" t="s">
        <v>231</v>
      </c>
      <c r="CE482" s="4"/>
      <c r="CF482" s="4">
        <v>95</v>
      </c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>
        <v>90</v>
      </c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</row>
    <row r="483">
      <c r="A483" s="2" t="s">
        <v>2882</v>
      </c>
      <c r="B483" s="2" t="s">
        <v>1004</v>
      </c>
      <c r="C483" s="2" t="s">
        <v>288</v>
      </c>
      <c r="D483" s="2" t="s">
        <v>1689</v>
      </c>
      <c r="E483" s="2" t="s">
        <v>1690</v>
      </c>
      <c r="F483" s="2" t="s">
        <v>2883</v>
      </c>
      <c r="G483" s="2" t="s">
        <v>2884</v>
      </c>
      <c r="H483" s="2" t="s">
        <v>2885</v>
      </c>
      <c r="I483" s="2" t="s">
        <v>2886</v>
      </c>
      <c r="J483" s="2" t="s">
        <v>807</v>
      </c>
      <c r="K483" s="2" t="s">
        <v>253</v>
      </c>
      <c r="L483" s="3">
        <v>162.45</v>
      </c>
      <c r="M483" s="3">
        <v>170.57</v>
      </c>
      <c r="N483" s="3">
        <v>339</v>
      </c>
      <c r="O483" s="2" t="s">
        <v>243</v>
      </c>
      <c r="P483" s="2" t="s">
        <v>270</v>
      </c>
      <c r="Q483" s="2" t="s">
        <v>237</v>
      </c>
      <c r="R483" s="2" t="s">
        <v>231</v>
      </c>
      <c r="S483" s="2" t="s">
        <v>2887</v>
      </c>
      <c r="T483" s="2" t="s">
        <v>231</v>
      </c>
      <c r="U483" s="2" t="s">
        <v>231</v>
      </c>
      <c r="V483" s="2" t="s">
        <v>1685</v>
      </c>
      <c r="W483" s="2" t="s">
        <v>691</v>
      </c>
      <c r="X483" s="2" t="s">
        <v>231</v>
      </c>
      <c r="Y483" s="2" t="s">
        <v>274</v>
      </c>
      <c r="Z483" s="4">
        <v>160</v>
      </c>
      <c r="AA483" s="4">
        <f>=ROUNDDOWN(53.3333333333333,0)</f>
      </c>
      <c r="AB483" s="5">
        <v>3</v>
      </c>
      <c r="AC483" s="2" t="s">
        <v>2888</v>
      </c>
      <c r="AD483" s="4">
        <v>136</v>
      </c>
      <c r="AE483" s="4">
        <v>136</v>
      </c>
      <c r="AF483" s="6">
        <v>74</v>
      </c>
      <c r="AG483" s="6"/>
      <c r="AH483" s="7">
        <v>1</v>
      </c>
      <c r="AI483" s="4"/>
      <c r="AJ483" s="4">
        <f>=ROUNDDOWN({0},0)</f>
      </c>
      <c r="AK483" s="5"/>
      <c r="AL483" s="2" t="s">
        <v>231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>
        <v>9</v>
      </c>
      <c r="BK483" s="8">
        <v>1582.82</v>
      </c>
      <c r="BL483" s="2" t="s">
        <v>2889</v>
      </c>
      <c r="BM483" s="7"/>
      <c r="BN483" s="7"/>
      <c r="BO483" s="4"/>
      <c r="BP483" s="8"/>
      <c r="BQ483" s="4"/>
      <c r="BR483" s="8"/>
      <c r="BS483" s="7"/>
      <c r="BT483" s="7"/>
      <c r="BU483" s="2" t="s">
        <v>2890</v>
      </c>
      <c r="BV483" s="2" t="s">
        <v>231</v>
      </c>
      <c r="BW483" s="2" t="s">
        <v>231</v>
      </c>
      <c r="BX483" s="2" t="s">
        <v>1812</v>
      </c>
      <c r="BY483" s="2" t="s">
        <v>277</v>
      </c>
      <c r="BZ483" s="2" t="s">
        <v>243</v>
      </c>
      <c r="CA483" s="2" t="s">
        <v>284</v>
      </c>
      <c r="CB483" s="2" t="s">
        <v>1523</v>
      </c>
      <c r="CC483" s="2" t="s">
        <v>244</v>
      </c>
      <c r="CD483" s="2" t="s">
        <v>231</v>
      </c>
      <c r="CE483" s="4"/>
      <c r="CF483" s="4">
        <v>160</v>
      </c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>
        <v>136</v>
      </c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</row>
    <row r="484">
      <c r="A484" s="2" t="s">
        <v>2891</v>
      </c>
      <c r="B484" s="2" t="s">
        <v>824</v>
      </c>
      <c r="C484" s="2" t="s">
        <v>1051</v>
      </c>
      <c r="D484" s="2" t="s">
        <v>826</v>
      </c>
      <c r="E484" s="2" t="s">
        <v>827</v>
      </c>
      <c r="F484" s="2" t="s">
        <v>2892</v>
      </c>
      <c r="G484" s="2" t="s">
        <v>2893</v>
      </c>
      <c r="H484" s="2" t="s">
        <v>2894</v>
      </c>
      <c r="I484" s="2" t="s">
        <v>2895</v>
      </c>
      <c r="J484" s="2" t="s">
        <v>832</v>
      </c>
      <c r="K484" s="2" t="s">
        <v>269</v>
      </c>
      <c r="L484" s="3">
        <v>46.53</v>
      </c>
      <c r="M484" s="3">
        <v>48.86</v>
      </c>
      <c r="N484" s="3">
        <v>89.99</v>
      </c>
      <c r="O484" s="2" t="s">
        <v>243</v>
      </c>
      <c r="P484" s="2" t="s">
        <v>270</v>
      </c>
      <c r="Q484" s="2" t="s">
        <v>237</v>
      </c>
      <c r="R484" s="2" t="s">
        <v>231</v>
      </c>
      <c r="S484" s="2" t="s">
        <v>2896</v>
      </c>
      <c r="T484" s="2" t="s">
        <v>362</v>
      </c>
      <c r="U484" s="2" t="s">
        <v>661</v>
      </c>
      <c r="V484" s="2" t="s">
        <v>239</v>
      </c>
      <c r="W484" s="2" t="s">
        <v>2897</v>
      </c>
      <c r="X484" s="2" t="s">
        <v>2898</v>
      </c>
      <c r="Y484" s="2" t="s">
        <v>2899</v>
      </c>
      <c r="Z484" s="4">
        <v>172</v>
      </c>
      <c r="AA484" s="4">
        <f>=ROUNDDOWN(57.3333333333333,0)</f>
      </c>
      <c r="AB484" s="5">
        <v>3</v>
      </c>
      <c r="AC484" s="2" t="s">
        <v>2444</v>
      </c>
      <c r="AD484" s="4">
        <v>160</v>
      </c>
      <c r="AE484" s="4">
        <v>160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231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231</v>
      </c>
      <c r="AW484" s="8" t="s">
        <v>231</v>
      </c>
      <c r="AX484" s="4" t="s">
        <v>231</v>
      </c>
      <c r="AY484" s="8" t="s">
        <v>231</v>
      </c>
      <c r="AZ484" s="7" t="s">
        <v>231</v>
      </c>
      <c r="BA484" s="7" t="s">
        <v>231</v>
      </c>
      <c r="BB484" s="7"/>
      <c r="BC484" s="4" t="s">
        <v>231</v>
      </c>
      <c r="BD484" s="8" t="s">
        <v>231</v>
      </c>
      <c r="BE484" s="4" t="s">
        <v>231</v>
      </c>
      <c r="BF484" s="8" t="s">
        <v>231</v>
      </c>
      <c r="BG484" s="7" t="s">
        <v>231</v>
      </c>
      <c r="BH484" s="7" t="s">
        <v>231</v>
      </c>
      <c r="BI484" s="7"/>
      <c r="BJ484" s="4">
        <v>11</v>
      </c>
      <c r="BK484" s="8">
        <v>536.38</v>
      </c>
      <c r="BL484" s="2" t="s">
        <v>2900</v>
      </c>
      <c r="BM484" s="7"/>
      <c r="BN484" s="7"/>
      <c r="BO484" s="4"/>
      <c r="BP484" s="8"/>
      <c r="BQ484" s="4"/>
      <c r="BR484" s="8"/>
      <c r="BS484" s="7"/>
      <c r="BT484" s="7"/>
      <c r="BU484" s="2" t="s">
        <v>2901</v>
      </c>
      <c r="BV484" s="2" t="s">
        <v>231</v>
      </c>
      <c r="BW484" s="2" t="s">
        <v>231</v>
      </c>
      <c r="BX484" s="2" t="s">
        <v>231</v>
      </c>
      <c r="BY484" s="2" t="s">
        <v>277</v>
      </c>
      <c r="BZ484" s="2" t="s">
        <v>243</v>
      </c>
      <c r="CA484" s="2" t="s">
        <v>2902</v>
      </c>
      <c r="CB484" s="2" t="s">
        <v>2903</v>
      </c>
      <c r="CC484" s="2" t="s">
        <v>244</v>
      </c>
      <c r="CD484" s="2" t="s">
        <v>231</v>
      </c>
      <c r="CE484" s="4">
        <v>172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>
        <v>160</v>
      </c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</row>
    <row r="485">
      <c r="A485" s="2" t="s">
        <v>2904</v>
      </c>
      <c r="B485" s="2" t="s">
        <v>824</v>
      </c>
      <c r="C485" s="2" t="s">
        <v>1051</v>
      </c>
      <c r="D485" s="2" t="s">
        <v>826</v>
      </c>
      <c r="E485" s="2" t="s">
        <v>827</v>
      </c>
      <c r="F485" s="2" t="s">
        <v>2892</v>
      </c>
      <c r="G485" s="2" t="s">
        <v>2893</v>
      </c>
      <c r="H485" s="2" t="s">
        <v>2894</v>
      </c>
      <c r="I485" s="2" t="s">
        <v>2895</v>
      </c>
      <c r="J485" s="2" t="s">
        <v>669</v>
      </c>
      <c r="K485" s="2" t="s">
        <v>269</v>
      </c>
      <c r="L485" s="3">
        <v>72</v>
      </c>
      <c r="M485" s="3">
        <v>75.6</v>
      </c>
      <c r="N485" s="3">
        <v>139.99</v>
      </c>
      <c r="O485" s="2" t="s">
        <v>243</v>
      </c>
      <c r="P485" s="2" t="s">
        <v>270</v>
      </c>
      <c r="Q485" s="2" t="s">
        <v>237</v>
      </c>
      <c r="R485" s="2" t="s">
        <v>231</v>
      </c>
      <c r="S485" s="2" t="s">
        <v>2896</v>
      </c>
      <c r="T485" s="2" t="s">
        <v>362</v>
      </c>
      <c r="U485" s="2" t="s">
        <v>700</v>
      </c>
      <c r="V485" s="2" t="s">
        <v>239</v>
      </c>
      <c r="W485" s="2" t="s">
        <v>2897</v>
      </c>
      <c r="X485" s="2" t="s">
        <v>2898</v>
      </c>
      <c r="Y485" s="2" t="s">
        <v>2899</v>
      </c>
      <c r="Z485" s="4">
        <v>93</v>
      </c>
      <c r="AA485" s="4">
        <f>=ROUNDDOWN(46.5,0)</f>
      </c>
      <c r="AB485" s="5">
        <v>2</v>
      </c>
      <c r="AC485" s="2" t="s">
        <v>2444</v>
      </c>
      <c r="AD485" s="4">
        <v>30</v>
      </c>
      <c r="AE485" s="4">
        <v>30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231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231</v>
      </c>
      <c r="AW485" s="8" t="s">
        <v>231</v>
      </c>
      <c r="AX485" s="4" t="s">
        <v>231</v>
      </c>
      <c r="AY485" s="8" t="s">
        <v>231</v>
      </c>
      <c r="AZ485" s="7" t="s">
        <v>231</v>
      </c>
      <c r="BA485" s="7" t="s">
        <v>231</v>
      </c>
      <c r="BB485" s="7"/>
      <c r="BC485" s="4" t="s">
        <v>231</v>
      </c>
      <c r="BD485" s="8" t="s">
        <v>231</v>
      </c>
      <c r="BE485" s="4" t="s">
        <v>231</v>
      </c>
      <c r="BF485" s="8" t="s">
        <v>231</v>
      </c>
      <c r="BG485" s="7" t="s">
        <v>231</v>
      </c>
      <c r="BH485" s="7" t="s">
        <v>231</v>
      </c>
      <c r="BI485" s="7"/>
      <c r="BJ485" s="4">
        <v>3</v>
      </c>
      <c r="BK485" s="8">
        <v>194.13</v>
      </c>
      <c r="BL485" s="2" t="s">
        <v>2905</v>
      </c>
      <c r="BM485" s="7"/>
      <c r="BN485" s="7"/>
      <c r="BO485" s="4"/>
      <c r="BP485" s="8"/>
      <c r="BQ485" s="4"/>
      <c r="BR485" s="8"/>
      <c r="BS485" s="7"/>
      <c r="BT485" s="7"/>
      <c r="BU485" s="2" t="s">
        <v>2906</v>
      </c>
      <c r="BV485" s="2" t="s">
        <v>231</v>
      </c>
      <c r="BW485" s="2" t="s">
        <v>231</v>
      </c>
      <c r="BX485" s="2" t="s">
        <v>231</v>
      </c>
      <c r="BY485" s="2" t="s">
        <v>277</v>
      </c>
      <c r="BZ485" s="2" t="s">
        <v>243</v>
      </c>
      <c r="CA485" s="2" t="s">
        <v>2902</v>
      </c>
      <c r="CB485" s="2" t="s">
        <v>2907</v>
      </c>
      <c r="CC485" s="2" t="s">
        <v>244</v>
      </c>
      <c r="CD485" s="2" t="s">
        <v>231</v>
      </c>
      <c r="CE485" s="4">
        <v>93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>
        <v>30</v>
      </c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</row>
    <row r="486">
      <c r="A486" s="2" t="s">
        <v>2908</v>
      </c>
      <c r="B486" s="2" t="s">
        <v>824</v>
      </c>
      <c r="C486" s="2" t="s">
        <v>1051</v>
      </c>
      <c r="D486" s="2" t="s">
        <v>654</v>
      </c>
      <c r="E486" s="2" t="s">
        <v>655</v>
      </c>
      <c r="F486" s="2" t="s">
        <v>2892</v>
      </c>
      <c r="G486" s="2" t="s">
        <v>2893</v>
      </c>
      <c r="H486" s="2" t="s">
        <v>2894</v>
      </c>
      <c r="I486" s="2" t="s">
        <v>2909</v>
      </c>
      <c r="J486" s="2" t="s">
        <v>832</v>
      </c>
      <c r="K486" s="2" t="s">
        <v>682</v>
      </c>
      <c r="L486" s="3">
        <v>52.88</v>
      </c>
      <c r="M486" s="3">
        <v>55.52</v>
      </c>
      <c r="N486" s="3">
        <v>109.99</v>
      </c>
      <c r="O486" s="2" t="s">
        <v>243</v>
      </c>
      <c r="P486" s="2" t="s">
        <v>270</v>
      </c>
      <c r="Q486" s="2" t="s">
        <v>237</v>
      </c>
      <c r="R486" s="2" t="s">
        <v>231</v>
      </c>
      <c r="S486" s="2" t="s">
        <v>2910</v>
      </c>
      <c r="T486" s="2" t="s">
        <v>362</v>
      </c>
      <c r="U486" s="2" t="s">
        <v>661</v>
      </c>
      <c r="V486" s="2" t="s">
        <v>239</v>
      </c>
      <c r="W486" s="2" t="s">
        <v>2897</v>
      </c>
      <c r="X486" s="2" t="s">
        <v>2898</v>
      </c>
      <c r="Y486" s="2" t="s">
        <v>2911</v>
      </c>
      <c r="Z486" s="4">
        <v>171</v>
      </c>
      <c r="AA486" s="4">
        <f>=ROUNDDOWN(28.5,0)</f>
      </c>
      <c r="AB486" s="5">
        <v>6</v>
      </c>
      <c r="AC486" s="2" t="s">
        <v>2510</v>
      </c>
      <c r="AD486" s="4">
        <v>180</v>
      </c>
      <c r="AE486" s="4">
        <v>180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231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231</v>
      </c>
      <c r="AW486" s="8" t="s">
        <v>231</v>
      </c>
      <c r="AX486" s="4" t="s">
        <v>231</v>
      </c>
      <c r="AY486" s="8" t="s">
        <v>231</v>
      </c>
      <c r="AZ486" s="7" t="s">
        <v>231</v>
      </c>
      <c r="BA486" s="7" t="s">
        <v>231</v>
      </c>
      <c r="BB486" s="7" t="s">
        <v>231</v>
      </c>
      <c r="BC486" s="4" t="s">
        <v>231</v>
      </c>
      <c r="BD486" s="8" t="s">
        <v>231</v>
      </c>
      <c r="BE486" s="4" t="s">
        <v>231</v>
      </c>
      <c r="BF486" s="8" t="s">
        <v>231</v>
      </c>
      <c r="BG486" s="7" t="s">
        <v>231</v>
      </c>
      <c r="BH486" s="7" t="s">
        <v>231</v>
      </c>
      <c r="BI486" s="7"/>
      <c r="BJ486" s="4">
        <v>13</v>
      </c>
      <c r="BK486" s="8">
        <v>778.69</v>
      </c>
      <c r="BL486" s="2" t="s">
        <v>2912</v>
      </c>
      <c r="BM486" s="7"/>
      <c r="BN486" s="7"/>
      <c r="BO486" s="4"/>
      <c r="BP486" s="8"/>
      <c r="BQ486" s="4"/>
      <c r="BR486" s="8"/>
      <c r="BS486" s="7"/>
      <c r="BT486" s="7"/>
      <c r="BU486" s="2" t="s">
        <v>2913</v>
      </c>
      <c r="BV486" s="2" t="s">
        <v>231</v>
      </c>
      <c r="BW486" s="2" t="s">
        <v>231</v>
      </c>
      <c r="BX486" s="2" t="s">
        <v>231</v>
      </c>
      <c r="BY486" s="2" t="s">
        <v>277</v>
      </c>
      <c r="BZ486" s="2" t="s">
        <v>243</v>
      </c>
      <c r="CA486" s="2" t="s">
        <v>2914</v>
      </c>
      <c r="CB486" s="2" t="s">
        <v>2355</v>
      </c>
      <c r="CC486" s="2" t="s">
        <v>244</v>
      </c>
      <c r="CD486" s="2" t="s">
        <v>231</v>
      </c>
      <c r="CE486" s="4">
        <v>171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>
        <v>180</v>
      </c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</row>
    <row r="487">
      <c r="A487" s="2" t="s">
        <v>2915</v>
      </c>
      <c r="B487" s="2" t="s">
        <v>824</v>
      </c>
      <c r="C487" s="2" t="s">
        <v>1051</v>
      </c>
      <c r="D487" s="2" t="s">
        <v>826</v>
      </c>
      <c r="E487" s="2" t="s">
        <v>827</v>
      </c>
      <c r="F487" s="2" t="s">
        <v>2892</v>
      </c>
      <c r="G487" s="2" t="s">
        <v>2893</v>
      </c>
      <c r="H487" s="2" t="s">
        <v>2894</v>
      </c>
      <c r="I487" s="2" t="s">
        <v>2895</v>
      </c>
      <c r="J487" s="2" t="s">
        <v>832</v>
      </c>
      <c r="K487" s="2" t="s">
        <v>682</v>
      </c>
      <c r="L487" s="3">
        <v>46.53</v>
      </c>
      <c r="M487" s="3">
        <v>48.86</v>
      </c>
      <c r="N487" s="3">
        <v>89.99</v>
      </c>
      <c r="O487" s="2" t="s">
        <v>243</v>
      </c>
      <c r="P487" s="2" t="s">
        <v>270</v>
      </c>
      <c r="Q487" s="2" t="s">
        <v>237</v>
      </c>
      <c r="R487" s="2" t="s">
        <v>231</v>
      </c>
      <c r="S487" s="2" t="s">
        <v>2910</v>
      </c>
      <c r="T487" s="2" t="s">
        <v>362</v>
      </c>
      <c r="U487" s="2" t="s">
        <v>661</v>
      </c>
      <c r="V487" s="2" t="s">
        <v>239</v>
      </c>
      <c r="W487" s="2" t="s">
        <v>2897</v>
      </c>
      <c r="X487" s="2" t="s">
        <v>2898</v>
      </c>
      <c r="Y487" s="2" t="s">
        <v>2916</v>
      </c>
      <c r="Z487" s="4">
        <v>339</v>
      </c>
      <c r="AA487" s="4">
        <f>=ROUNDDOWN(169.5,0)</f>
      </c>
      <c r="AB487" s="5">
        <v>2</v>
      </c>
      <c r="AC487" s="2" t="s">
        <v>231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231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231</v>
      </c>
      <c r="AW487" s="8" t="s">
        <v>231</v>
      </c>
      <c r="AX487" s="4" t="s">
        <v>231</v>
      </c>
      <c r="AY487" s="8" t="s">
        <v>231</v>
      </c>
      <c r="AZ487" s="7" t="s">
        <v>231</v>
      </c>
      <c r="BA487" s="7" t="s">
        <v>231</v>
      </c>
      <c r="BB487" s="7" t="s">
        <v>231</v>
      </c>
      <c r="BC487" s="4" t="s">
        <v>231</v>
      </c>
      <c r="BD487" s="8" t="s">
        <v>231</v>
      </c>
      <c r="BE487" s="4" t="s">
        <v>231</v>
      </c>
      <c r="BF487" s="8" t="s">
        <v>231</v>
      </c>
      <c r="BG487" s="7" t="s">
        <v>231</v>
      </c>
      <c r="BH487" s="7" t="s">
        <v>231</v>
      </c>
      <c r="BI487" s="7"/>
      <c r="BJ487" s="4"/>
      <c r="BK487" s="8"/>
      <c r="BL487" s="2" t="s">
        <v>838</v>
      </c>
      <c r="BM487" s="7"/>
      <c r="BN487" s="7"/>
      <c r="BO487" s="4"/>
      <c r="BP487" s="8"/>
      <c r="BQ487" s="4"/>
      <c r="BR487" s="8"/>
      <c r="BS487" s="7"/>
      <c r="BT487" s="7"/>
      <c r="BU487" s="2" t="s">
        <v>2917</v>
      </c>
      <c r="BV487" s="2" t="s">
        <v>231</v>
      </c>
      <c r="BW487" s="2" t="s">
        <v>231</v>
      </c>
      <c r="BX487" s="2" t="s">
        <v>231</v>
      </c>
      <c r="BY487" s="2" t="s">
        <v>277</v>
      </c>
      <c r="BZ487" s="2" t="s">
        <v>243</v>
      </c>
      <c r="CA487" s="2" t="s">
        <v>2918</v>
      </c>
      <c r="CB487" s="2" t="s">
        <v>2919</v>
      </c>
      <c r="CC487" s="2" t="s">
        <v>244</v>
      </c>
      <c r="CD487" s="2" t="s">
        <v>231</v>
      </c>
      <c r="CE487" s="4">
        <v>339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</row>
    <row r="488">
      <c r="A488" s="2" t="s">
        <v>2920</v>
      </c>
      <c r="B488" s="2" t="s">
        <v>824</v>
      </c>
      <c r="C488" s="2" t="s">
        <v>1051</v>
      </c>
      <c r="D488" s="2" t="s">
        <v>654</v>
      </c>
      <c r="E488" s="2" t="s">
        <v>655</v>
      </c>
      <c r="F488" s="2" t="s">
        <v>2892</v>
      </c>
      <c r="G488" s="2" t="s">
        <v>2893</v>
      </c>
      <c r="H488" s="2" t="s">
        <v>2894</v>
      </c>
      <c r="I488" s="2" t="s">
        <v>2909</v>
      </c>
      <c r="J488" s="2" t="s">
        <v>658</v>
      </c>
      <c r="K488" s="2" t="s">
        <v>682</v>
      </c>
      <c r="L488" s="3">
        <v>66.96</v>
      </c>
      <c r="M488" s="3">
        <v>70.31</v>
      </c>
      <c r="N488" s="3">
        <v>139.99</v>
      </c>
      <c r="O488" s="2" t="s">
        <v>243</v>
      </c>
      <c r="P488" s="2" t="s">
        <v>270</v>
      </c>
      <c r="Q488" s="2" t="s">
        <v>237</v>
      </c>
      <c r="R488" s="2" t="s">
        <v>231</v>
      </c>
      <c r="S488" s="2" t="s">
        <v>2910</v>
      </c>
      <c r="T488" s="2" t="s">
        <v>362</v>
      </c>
      <c r="U488" s="2" t="s">
        <v>700</v>
      </c>
      <c r="V488" s="2" t="s">
        <v>239</v>
      </c>
      <c r="W488" s="2" t="s">
        <v>2897</v>
      </c>
      <c r="X488" s="2" t="s">
        <v>2898</v>
      </c>
      <c r="Y488" s="2" t="s">
        <v>2911</v>
      </c>
      <c r="Z488" s="4">
        <v>173</v>
      </c>
      <c r="AA488" s="4">
        <f>=ROUNDDOWN(17.3,0)</f>
      </c>
      <c r="AB488" s="5">
        <v>10</v>
      </c>
      <c r="AC488" s="2" t="s">
        <v>1705</v>
      </c>
      <c r="AD488" s="4">
        <v>90</v>
      </c>
      <c r="AE488" s="4">
        <v>390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231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231</v>
      </c>
      <c r="AW488" s="8" t="s">
        <v>231</v>
      </c>
      <c r="AX488" s="4" t="s">
        <v>231</v>
      </c>
      <c r="AY488" s="8" t="s">
        <v>231</v>
      </c>
      <c r="AZ488" s="7" t="s">
        <v>231</v>
      </c>
      <c r="BA488" s="7" t="s">
        <v>231</v>
      </c>
      <c r="BB488" s="7"/>
      <c r="BC488" s="4" t="s">
        <v>231</v>
      </c>
      <c r="BD488" s="8" t="s">
        <v>231</v>
      </c>
      <c r="BE488" s="4" t="s">
        <v>231</v>
      </c>
      <c r="BF488" s="8" t="s">
        <v>231</v>
      </c>
      <c r="BG488" s="7" t="s">
        <v>231</v>
      </c>
      <c r="BH488" s="7" t="s">
        <v>231</v>
      </c>
      <c r="BI488" s="7"/>
      <c r="BJ488" s="4">
        <v>13</v>
      </c>
      <c r="BK488" s="8">
        <v>1009.26</v>
      </c>
      <c r="BL488" s="2" t="s">
        <v>2921</v>
      </c>
      <c r="BM488" s="7"/>
      <c r="BN488" s="7"/>
      <c r="BO488" s="4"/>
      <c r="BP488" s="8"/>
      <c r="BQ488" s="4"/>
      <c r="BR488" s="8"/>
      <c r="BS488" s="7"/>
      <c r="BT488" s="7"/>
      <c r="BU488" s="2" t="s">
        <v>2922</v>
      </c>
      <c r="BV488" s="2" t="s">
        <v>231</v>
      </c>
      <c r="BW488" s="2" t="s">
        <v>231</v>
      </c>
      <c r="BX488" s="2" t="s">
        <v>231</v>
      </c>
      <c r="BY488" s="2" t="s">
        <v>277</v>
      </c>
      <c r="BZ488" s="2" t="s">
        <v>243</v>
      </c>
      <c r="CA488" s="2" t="s">
        <v>2923</v>
      </c>
      <c r="CB488" s="2" t="s">
        <v>2355</v>
      </c>
      <c r="CC488" s="2" t="s">
        <v>244</v>
      </c>
      <c r="CD488" s="2" t="s">
        <v>231</v>
      </c>
      <c r="CE488" s="4">
        <v>173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>
        <v>90</v>
      </c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>
        <v>300</v>
      </c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</row>
    <row r="489">
      <c r="A489" s="2" t="s">
        <v>2924</v>
      </c>
      <c r="B489" s="2" t="s">
        <v>824</v>
      </c>
      <c r="C489" s="2" t="s">
        <v>1051</v>
      </c>
      <c r="D489" s="2" t="s">
        <v>826</v>
      </c>
      <c r="E489" s="2" t="s">
        <v>827</v>
      </c>
      <c r="F489" s="2" t="s">
        <v>2892</v>
      </c>
      <c r="G489" s="2" t="s">
        <v>2893</v>
      </c>
      <c r="H489" s="2" t="s">
        <v>2894</v>
      </c>
      <c r="I489" s="2" t="s">
        <v>2895</v>
      </c>
      <c r="J489" s="2" t="s">
        <v>669</v>
      </c>
      <c r="K489" s="2" t="s">
        <v>682</v>
      </c>
      <c r="L489" s="3">
        <v>72</v>
      </c>
      <c r="M489" s="3">
        <v>75.6</v>
      </c>
      <c r="N489" s="3">
        <v>139.99</v>
      </c>
      <c r="O489" s="2" t="s">
        <v>243</v>
      </c>
      <c r="P489" s="2" t="s">
        <v>270</v>
      </c>
      <c r="Q489" s="2" t="s">
        <v>237</v>
      </c>
      <c r="R489" s="2" t="s">
        <v>231</v>
      </c>
      <c r="S489" s="2" t="s">
        <v>2910</v>
      </c>
      <c r="T489" s="2" t="s">
        <v>362</v>
      </c>
      <c r="U489" s="2" t="s">
        <v>700</v>
      </c>
      <c r="V489" s="2" t="s">
        <v>239</v>
      </c>
      <c r="W489" s="2" t="s">
        <v>2897</v>
      </c>
      <c r="X489" s="2" t="s">
        <v>2898</v>
      </c>
      <c r="Y489" s="2" t="s">
        <v>2916</v>
      </c>
      <c r="Z489" s="4">
        <v>119</v>
      </c>
      <c r="AA489" s="4">
        <f>=ROUNDDOWN(39.6666666666667,0)</f>
      </c>
      <c r="AB489" s="5">
        <v>3</v>
      </c>
      <c r="AC489" s="2" t="s">
        <v>1705</v>
      </c>
      <c r="AD489" s="4">
        <v>34</v>
      </c>
      <c r="AE489" s="4">
        <v>34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231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231</v>
      </c>
      <c r="AW489" s="8" t="s">
        <v>231</v>
      </c>
      <c r="AX489" s="4" t="s">
        <v>231</v>
      </c>
      <c r="AY489" s="8" t="s">
        <v>231</v>
      </c>
      <c r="AZ489" s="7" t="s">
        <v>231</v>
      </c>
      <c r="BA489" s="7" t="s">
        <v>231</v>
      </c>
      <c r="BB489" s="7"/>
      <c r="BC489" s="4" t="s">
        <v>231</v>
      </c>
      <c r="BD489" s="8" t="s">
        <v>231</v>
      </c>
      <c r="BE489" s="4" t="s">
        <v>231</v>
      </c>
      <c r="BF489" s="8" t="s">
        <v>231</v>
      </c>
      <c r="BG489" s="7" t="s">
        <v>231</v>
      </c>
      <c r="BH489" s="7" t="s">
        <v>231</v>
      </c>
      <c r="BI489" s="7"/>
      <c r="BJ489" s="4">
        <v>6</v>
      </c>
      <c r="BK489" s="8">
        <v>469.15</v>
      </c>
      <c r="BL489" s="2" t="s">
        <v>2865</v>
      </c>
      <c r="BM489" s="7"/>
      <c r="BN489" s="7"/>
      <c r="BO489" s="4"/>
      <c r="BP489" s="8"/>
      <c r="BQ489" s="4"/>
      <c r="BR489" s="8"/>
      <c r="BS489" s="7"/>
      <c r="BT489" s="7"/>
      <c r="BU489" s="2" t="s">
        <v>2925</v>
      </c>
      <c r="BV489" s="2" t="s">
        <v>231</v>
      </c>
      <c r="BW489" s="2" t="s">
        <v>231</v>
      </c>
      <c r="BX489" s="2" t="s">
        <v>231</v>
      </c>
      <c r="BY489" s="2" t="s">
        <v>277</v>
      </c>
      <c r="BZ489" s="2" t="s">
        <v>243</v>
      </c>
      <c r="CA489" s="2" t="s">
        <v>2918</v>
      </c>
      <c r="CB489" s="2" t="s">
        <v>2926</v>
      </c>
      <c r="CC489" s="2" t="s">
        <v>244</v>
      </c>
      <c r="CD489" s="2" t="s">
        <v>231</v>
      </c>
      <c r="CE489" s="4">
        <v>119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>
        <v>34</v>
      </c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</row>
    <row r="490">
      <c r="A490" s="2" t="s">
        <v>2927</v>
      </c>
      <c r="B490" s="2" t="s">
        <v>824</v>
      </c>
      <c r="C490" s="2" t="s">
        <v>1051</v>
      </c>
      <c r="D490" s="2" t="s">
        <v>826</v>
      </c>
      <c r="E490" s="2" t="s">
        <v>827</v>
      </c>
      <c r="F490" s="2" t="s">
        <v>2892</v>
      </c>
      <c r="G490" s="2" t="s">
        <v>2893</v>
      </c>
      <c r="H490" s="2" t="s">
        <v>2894</v>
      </c>
      <c r="I490" s="2" t="s">
        <v>2895</v>
      </c>
      <c r="J490" s="2" t="s">
        <v>669</v>
      </c>
      <c r="K490" s="2" t="s">
        <v>253</v>
      </c>
      <c r="L490" s="3">
        <v>72</v>
      </c>
      <c r="M490" s="3">
        <v>75.6</v>
      </c>
      <c r="N490" s="3">
        <v>139.99</v>
      </c>
      <c r="O490" s="2" t="s">
        <v>243</v>
      </c>
      <c r="P490" s="2" t="s">
        <v>270</v>
      </c>
      <c r="Q490" s="2" t="s">
        <v>237</v>
      </c>
      <c r="R490" s="2" t="s">
        <v>231</v>
      </c>
      <c r="S490" s="2" t="s">
        <v>2928</v>
      </c>
      <c r="T490" s="2" t="s">
        <v>362</v>
      </c>
      <c r="U490" s="2" t="s">
        <v>700</v>
      </c>
      <c r="V490" s="2" t="s">
        <v>239</v>
      </c>
      <c r="W490" s="2" t="s">
        <v>2897</v>
      </c>
      <c r="X490" s="2" t="s">
        <v>2898</v>
      </c>
      <c r="Y490" s="2" t="s">
        <v>2899</v>
      </c>
      <c r="Z490" s="4">
        <v>170</v>
      </c>
      <c r="AA490" s="4">
        <f>=ROUNDDOWN(56.6666666666667,0)</f>
      </c>
      <c r="AB490" s="5">
        <v>3</v>
      </c>
      <c r="AC490" s="2" t="s">
        <v>2929</v>
      </c>
      <c r="AD490" s="4">
        <v>30</v>
      </c>
      <c r="AE490" s="4">
        <v>30</v>
      </c>
      <c r="AF490" s="6">
        <v>66</v>
      </c>
      <c r="AG490" s="6">
        <v>49</v>
      </c>
      <c r="AH490" s="7">
        <v>1</v>
      </c>
      <c r="AI490" s="4"/>
      <c r="AJ490" s="4">
        <f>=ROUNDDOWN({0},0)</f>
      </c>
      <c r="AK490" s="5"/>
      <c r="AL490" s="2" t="s">
        <v>231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231</v>
      </c>
      <c r="BD490" s="8" t="s">
        <v>231</v>
      </c>
      <c r="BE490" s="4" t="s">
        <v>231</v>
      </c>
      <c r="BF490" s="8" t="s">
        <v>231</v>
      </c>
      <c r="BG490" s="7" t="s">
        <v>231</v>
      </c>
      <c r="BH490" s="7" t="s">
        <v>231</v>
      </c>
      <c r="BI490" s="7"/>
      <c r="BJ490" s="4">
        <v>3</v>
      </c>
      <c r="BK490" s="8">
        <v>221.34</v>
      </c>
      <c r="BL490" s="2" t="s">
        <v>2930</v>
      </c>
      <c r="BM490" s="7"/>
      <c r="BN490" s="7"/>
      <c r="BO490" s="4"/>
      <c r="BP490" s="8"/>
      <c r="BQ490" s="4"/>
      <c r="BR490" s="8"/>
      <c r="BS490" s="7"/>
      <c r="BT490" s="7"/>
      <c r="BU490" s="2" t="s">
        <v>2931</v>
      </c>
      <c r="BV490" s="2" t="s">
        <v>231</v>
      </c>
      <c r="BW490" s="2" t="s">
        <v>231</v>
      </c>
      <c r="BX490" s="2" t="s">
        <v>231</v>
      </c>
      <c r="BY490" s="2" t="s">
        <v>277</v>
      </c>
      <c r="BZ490" s="2" t="s">
        <v>243</v>
      </c>
      <c r="CA490" s="2" t="s">
        <v>2902</v>
      </c>
      <c r="CB490" s="2" t="s">
        <v>2932</v>
      </c>
      <c r="CC490" s="2" t="s">
        <v>244</v>
      </c>
      <c r="CD490" s="2" t="s">
        <v>231</v>
      </c>
      <c r="CE490" s="4">
        <v>10</v>
      </c>
      <c r="CF490" s="4">
        <v>133</v>
      </c>
      <c r="CG490" s="4"/>
      <c r="CH490" s="4"/>
      <c r="CI490" s="4">
        <v>27</v>
      </c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>
        <v>30</v>
      </c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</row>
    <row r="491">
      <c r="A491" s="2" t="s">
        <v>2933</v>
      </c>
      <c r="B491" s="2" t="s">
        <v>940</v>
      </c>
      <c r="C491" s="2" t="s">
        <v>1051</v>
      </c>
      <c r="D491" s="2" t="s">
        <v>1533</v>
      </c>
      <c r="E491" s="2" t="s">
        <v>1534</v>
      </c>
      <c r="F491" s="2" t="s">
        <v>2892</v>
      </c>
      <c r="G491" s="2" t="s">
        <v>2893</v>
      </c>
      <c r="H491" s="2" t="s">
        <v>2894</v>
      </c>
      <c r="I491" s="2" t="s">
        <v>2934</v>
      </c>
      <c r="J491" s="2" t="s">
        <v>2935</v>
      </c>
      <c r="K491" s="2" t="s">
        <v>2936</v>
      </c>
      <c r="L491" s="3">
        <v>19.8</v>
      </c>
      <c r="M491" s="3">
        <v>20.79</v>
      </c>
      <c r="N491" s="3">
        <v>44.99</v>
      </c>
      <c r="O491" s="2" t="s">
        <v>243</v>
      </c>
      <c r="P491" s="2" t="s">
        <v>270</v>
      </c>
      <c r="Q491" s="2" t="s">
        <v>237</v>
      </c>
      <c r="R491" s="2" t="s">
        <v>231</v>
      </c>
      <c r="S491" s="2" t="s">
        <v>2937</v>
      </c>
      <c r="T491" s="2" t="s">
        <v>231</v>
      </c>
      <c r="U491" s="2" t="s">
        <v>327</v>
      </c>
      <c r="V491" s="2" t="s">
        <v>239</v>
      </c>
      <c r="W491" s="2" t="s">
        <v>273</v>
      </c>
      <c r="X491" s="2" t="s">
        <v>2897</v>
      </c>
      <c r="Y491" s="2" t="s">
        <v>2938</v>
      </c>
      <c r="Z491" s="4">
        <v>187</v>
      </c>
      <c r="AA491" s="4">
        <f>=ROUNDDOWN(20.7777777777778,0)</f>
      </c>
      <c r="AB491" s="5">
        <v>9</v>
      </c>
      <c r="AC491" s="2" t="s">
        <v>1705</v>
      </c>
      <c r="AD491" s="4">
        <v>240</v>
      </c>
      <c r="AE491" s="4">
        <v>240</v>
      </c>
      <c r="AF491" s="6">
        <v>66</v>
      </c>
      <c r="AG491" s="6"/>
      <c r="AH491" s="7">
        <v>0.9032</v>
      </c>
      <c r="AI491" s="4"/>
      <c r="AJ491" s="4">
        <f>=ROUNDDOWN({0},0)</f>
      </c>
      <c r="AK491" s="5"/>
      <c r="AL491" s="2" t="s">
        <v>231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231</v>
      </c>
      <c r="BD491" s="8" t="s">
        <v>231</v>
      </c>
      <c r="BE491" s="4" t="s">
        <v>231</v>
      </c>
      <c r="BF491" s="8" t="s">
        <v>231</v>
      </c>
      <c r="BG491" s="7" t="s">
        <v>231</v>
      </c>
      <c r="BH491" s="7" t="s">
        <v>231</v>
      </c>
      <c r="BI491" s="7"/>
      <c r="BJ491" s="4">
        <v>14</v>
      </c>
      <c r="BK491" s="8">
        <v>304.25</v>
      </c>
      <c r="BL491" s="2" t="s">
        <v>2939</v>
      </c>
      <c r="BM491" s="7"/>
      <c r="BN491" s="7"/>
      <c r="BO491" s="4"/>
      <c r="BP491" s="8"/>
      <c r="BQ491" s="4"/>
      <c r="BR491" s="8"/>
      <c r="BS491" s="7"/>
      <c r="BT491" s="7"/>
      <c r="BU491" s="2" t="s">
        <v>2940</v>
      </c>
      <c r="BV491" s="2" t="s">
        <v>231</v>
      </c>
      <c r="BW491" s="2" t="s">
        <v>231</v>
      </c>
      <c r="BX491" s="2" t="s">
        <v>231</v>
      </c>
      <c r="BY491" s="2" t="s">
        <v>277</v>
      </c>
      <c r="BZ491" s="2" t="s">
        <v>243</v>
      </c>
      <c r="CA491" s="2" t="s">
        <v>2941</v>
      </c>
      <c r="CB491" s="2" t="s">
        <v>2942</v>
      </c>
      <c r="CC491" s="2" t="s">
        <v>244</v>
      </c>
      <c r="CD491" s="2" t="s">
        <v>231</v>
      </c>
      <c r="CE491" s="4">
        <v>183</v>
      </c>
      <c r="CF491" s="4"/>
      <c r="CG491" s="4"/>
      <c r="CH491" s="4"/>
      <c r="CI491" s="4"/>
      <c r="CJ491" s="4"/>
      <c r="CK491" s="4"/>
      <c r="CL491" s="4">
        <v>4</v>
      </c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>
        <v>240</v>
      </c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</row>
    <row r="492">
      <c r="A492" s="2" t="s">
        <v>2943</v>
      </c>
      <c r="B492" s="2" t="s">
        <v>940</v>
      </c>
      <c r="C492" s="2" t="s">
        <v>1051</v>
      </c>
      <c r="D492" s="2" t="s">
        <v>1533</v>
      </c>
      <c r="E492" s="2" t="s">
        <v>1534</v>
      </c>
      <c r="F492" s="2" t="s">
        <v>2892</v>
      </c>
      <c r="G492" s="2" t="s">
        <v>2893</v>
      </c>
      <c r="H492" s="2" t="s">
        <v>2894</v>
      </c>
      <c r="I492" s="2" t="s">
        <v>2944</v>
      </c>
      <c r="J492" s="2" t="s">
        <v>2935</v>
      </c>
      <c r="K492" s="2" t="s">
        <v>306</v>
      </c>
      <c r="L492" s="3">
        <v>19.8</v>
      </c>
      <c r="M492" s="3">
        <v>20.79</v>
      </c>
      <c r="N492" s="3">
        <v>44.99</v>
      </c>
      <c r="O492" s="2" t="s">
        <v>243</v>
      </c>
      <c r="P492" s="2" t="s">
        <v>270</v>
      </c>
      <c r="Q492" s="2" t="s">
        <v>237</v>
      </c>
      <c r="R492" s="2" t="s">
        <v>231</v>
      </c>
      <c r="S492" s="2" t="s">
        <v>2945</v>
      </c>
      <c r="T492" s="2" t="s">
        <v>362</v>
      </c>
      <c r="U492" s="2" t="s">
        <v>327</v>
      </c>
      <c r="V492" s="2" t="s">
        <v>239</v>
      </c>
      <c r="W492" s="2" t="s">
        <v>273</v>
      </c>
      <c r="X492" s="2" t="s">
        <v>2897</v>
      </c>
      <c r="Y492" s="2" t="s">
        <v>2946</v>
      </c>
      <c r="Z492" s="4">
        <v>381</v>
      </c>
      <c r="AA492" s="4">
        <f>=ROUNDDOWN(31.75,0)</f>
      </c>
      <c r="AB492" s="5">
        <v>12</v>
      </c>
      <c r="AC492" s="2" t="s">
        <v>1537</v>
      </c>
      <c r="AD492" s="4">
        <v>240</v>
      </c>
      <c r="AE492" s="4">
        <v>240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231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231</v>
      </c>
      <c r="BD492" s="8" t="s">
        <v>231</v>
      </c>
      <c r="BE492" s="4" t="s">
        <v>231</v>
      </c>
      <c r="BF492" s="8" t="s">
        <v>231</v>
      </c>
      <c r="BG492" s="7" t="s">
        <v>231</v>
      </c>
      <c r="BH492" s="7" t="s">
        <v>231</v>
      </c>
      <c r="BI492" s="7"/>
      <c r="BJ492" s="4">
        <v>87</v>
      </c>
      <c r="BK492" s="8">
        <v>1975.71</v>
      </c>
      <c r="BL492" s="2" t="s">
        <v>1283</v>
      </c>
      <c r="BM492" s="7"/>
      <c r="BN492" s="7"/>
      <c r="BO492" s="4"/>
      <c r="BP492" s="8"/>
      <c r="BQ492" s="4"/>
      <c r="BR492" s="8"/>
      <c r="BS492" s="7"/>
      <c r="BT492" s="7"/>
      <c r="BU492" s="2" t="s">
        <v>2947</v>
      </c>
      <c r="BV492" s="2" t="s">
        <v>231</v>
      </c>
      <c r="BW492" s="2" t="s">
        <v>231</v>
      </c>
      <c r="BX492" s="2" t="s">
        <v>231</v>
      </c>
      <c r="BY492" s="2" t="s">
        <v>277</v>
      </c>
      <c r="BZ492" s="2" t="s">
        <v>243</v>
      </c>
      <c r="CA492" s="2" t="s">
        <v>2948</v>
      </c>
      <c r="CB492" s="2" t="s">
        <v>2949</v>
      </c>
      <c r="CC492" s="2" t="s">
        <v>244</v>
      </c>
      <c r="CD492" s="2" t="s">
        <v>231</v>
      </c>
      <c r="CE492" s="4">
        <v>381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>
        <v>240</v>
      </c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</row>
    <row r="493">
      <c r="A493" s="2" t="s">
        <v>2950</v>
      </c>
      <c r="B493" s="2" t="s">
        <v>824</v>
      </c>
      <c r="C493" s="2" t="s">
        <v>1051</v>
      </c>
      <c r="D493" s="2" t="s">
        <v>826</v>
      </c>
      <c r="E493" s="2" t="s">
        <v>827</v>
      </c>
      <c r="F493" s="2" t="s">
        <v>2892</v>
      </c>
      <c r="G493" s="2" t="s">
        <v>2893</v>
      </c>
      <c r="H493" s="2" t="s">
        <v>2894</v>
      </c>
      <c r="I493" s="2" t="s">
        <v>2895</v>
      </c>
      <c r="J493" s="2" t="s">
        <v>832</v>
      </c>
      <c r="K493" s="2" t="s">
        <v>255</v>
      </c>
      <c r="L493" s="3">
        <v>46.53</v>
      </c>
      <c r="M493" s="3">
        <v>48.86</v>
      </c>
      <c r="N493" s="3">
        <v>89.99</v>
      </c>
      <c r="O493" s="2" t="s">
        <v>243</v>
      </c>
      <c r="P493" s="2" t="s">
        <v>270</v>
      </c>
      <c r="Q493" s="2" t="s">
        <v>237</v>
      </c>
      <c r="R493" s="2" t="s">
        <v>231</v>
      </c>
      <c r="S493" s="2" t="s">
        <v>2937</v>
      </c>
      <c r="T493" s="2" t="s">
        <v>362</v>
      </c>
      <c r="U493" s="2" t="s">
        <v>661</v>
      </c>
      <c r="V493" s="2" t="s">
        <v>239</v>
      </c>
      <c r="W493" s="2" t="s">
        <v>2897</v>
      </c>
      <c r="X493" s="2" t="s">
        <v>2898</v>
      </c>
      <c r="Y493" s="2" t="s">
        <v>2951</v>
      </c>
      <c r="Z493" s="4">
        <v>148</v>
      </c>
      <c r="AA493" s="4">
        <f>=ROUNDDOWN(49.3333333333333,0)</f>
      </c>
      <c r="AB493" s="5">
        <v>3</v>
      </c>
      <c r="AC493" s="2" t="s">
        <v>1705</v>
      </c>
      <c r="AD493" s="4">
        <v>30</v>
      </c>
      <c r="AE493" s="4">
        <v>95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231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231</v>
      </c>
      <c r="AW493" s="8" t="s">
        <v>231</v>
      </c>
      <c r="AX493" s="4" t="s">
        <v>231</v>
      </c>
      <c r="AY493" s="8" t="s">
        <v>231</v>
      </c>
      <c r="AZ493" s="7" t="s">
        <v>231</v>
      </c>
      <c r="BA493" s="7" t="s">
        <v>231</v>
      </c>
      <c r="BB493" s="7"/>
      <c r="BC493" s="4" t="s">
        <v>231</v>
      </c>
      <c r="BD493" s="8" t="s">
        <v>231</v>
      </c>
      <c r="BE493" s="4" t="s">
        <v>231</v>
      </c>
      <c r="BF493" s="8" t="s">
        <v>231</v>
      </c>
      <c r="BG493" s="7" t="s">
        <v>231</v>
      </c>
      <c r="BH493" s="7" t="s">
        <v>231</v>
      </c>
      <c r="BI493" s="7"/>
      <c r="BJ493" s="4">
        <v>1</v>
      </c>
      <c r="BK493" s="8">
        <v>52.4</v>
      </c>
      <c r="BL493" s="2" t="s">
        <v>1020</v>
      </c>
      <c r="BM493" s="7"/>
      <c r="BN493" s="7"/>
      <c r="BO493" s="4"/>
      <c r="BP493" s="8"/>
      <c r="BQ493" s="4"/>
      <c r="BR493" s="8"/>
      <c r="BS493" s="7"/>
      <c r="BT493" s="7"/>
      <c r="BU493" s="2" t="s">
        <v>2952</v>
      </c>
      <c r="BV493" s="2" t="s">
        <v>231</v>
      </c>
      <c r="BW493" s="2" t="s">
        <v>231</v>
      </c>
      <c r="BX493" s="2" t="s">
        <v>231</v>
      </c>
      <c r="BY493" s="2" t="s">
        <v>277</v>
      </c>
      <c r="BZ493" s="2" t="s">
        <v>243</v>
      </c>
      <c r="CA493" s="2" t="s">
        <v>2953</v>
      </c>
      <c r="CB493" s="2" t="s">
        <v>2954</v>
      </c>
      <c r="CC493" s="2" t="s">
        <v>244</v>
      </c>
      <c r="CD493" s="2" t="s">
        <v>231</v>
      </c>
      <c r="CE493" s="4">
        <v>148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>
        <v>30</v>
      </c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>
        <v>65</v>
      </c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</row>
    <row r="494">
      <c r="A494" s="2" t="s">
        <v>2955</v>
      </c>
      <c r="B494" s="2" t="s">
        <v>824</v>
      </c>
      <c r="C494" s="2" t="s">
        <v>1051</v>
      </c>
      <c r="D494" s="2" t="s">
        <v>826</v>
      </c>
      <c r="E494" s="2" t="s">
        <v>827</v>
      </c>
      <c r="F494" s="2" t="s">
        <v>2892</v>
      </c>
      <c r="G494" s="2" t="s">
        <v>2893</v>
      </c>
      <c r="H494" s="2" t="s">
        <v>2894</v>
      </c>
      <c r="I494" s="2" t="s">
        <v>2895</v>
      </c>
      <c r="J494" s="2" t="s">
        <v>658</v>
      </c>
      <c r="K494" s="2" t="s">
        <v>255</v>
      </c>
      <c r="L494" s="3">
        <v>63</v>
      </c>
      <c r="M494" s="3">
        <v>66.15</v>
      </c>
      <c r="N494" s="3">
        <v>119.99</v>
      </c>
      <c r="O494" s="2" t="s">
        <v>243</v>
      </c>
      <c r="P494" s="2" t="s">
        <v>270</v>
      </c>
      <c r="Q494" s="2" t="s">
        <v>237</v>
      </c>
      <c r="R494" s="2" t="s">
        <v>231</v>
      </c>
      <c r="S494" s="2" t="s">
        <v>2937</v>
      </c>
      <c r="T494" s="2" t="s">
        <v>362</v>
      </c>
      <c r="U494" s="2" t="s">
        <v>700</v>
      </c>
      <c r="V494" s="2" t="s">
        <v>239</v>
      </c>
      <c r="W494" s="2" t="s">
        <v>2897</v>
      </c>
      <c r="X494" s="2" t="s">
        <v>2898</v>
      </c>
      <c r="Y494" s="2" t="s">
        <v>2916</v>
      </c>
      <c r="Z494" s="4">
        <v>126</v>
      </c>
      <c r="AA494" s="4">
        <f>=ROUNDDOWN(31.5,0)</f>
      </c>
      <c r="AB494" s="5">
        <v>4</v>
      </c>
      <c r="AC494" s="2" t="s">
        <v>1705</v>
      </c>
      <c r="AD494" s="4">
        <v>40</v>
      </c>
      <c r="AE494" s="4">
        <v>85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231</v>
      </c>
      <c r="AW494" s="8" t="s">
        <v>231</v>
      </c>
      <c r="AX494" s="4" t="s">
        <v>231</v>
      </c>
      <c r="AY494" s="8" t="s">
        <v>231</v>
      </c>
      <c r="AZ494" s="7" t="s">
        <v>231</v>
      </c>
      <c r="BA494" s="7" t="s">
        <v>231</v>
      </c>
      <c r="BB494" s="7"/>
      <c r="BC494" s="4" t="s">
        <v>231</v>
      </c>
      <c r="BD494" s="8" t="s">
        <v>231</v>
      </c>
      <c r="BE494" s="4" t="s">
        <v>231</v>
      </c>
      <c r="BF494" s="8" t="s">
        <v>231</v>
      </c>
      <c r="BG494" s="7" t="s">
        <v>231</v>
      </c>
      <c r="BH494" s="7" t="s">
        <v>231</v>
      </c>
      <c r="BI494" s="7"/>
      <c r="BJ494" s="4">
        <v>4</v>
      </c>
      <c r="BK494" s="8">
        <v>245.33</v>
      </c>
      <c r="BL494" s="2" t="s">
        <v>2956</v>
      </c>
      <c r="BM494" s="7"/>
      <c r="BN494" s="7"/>
      <c r="BO494" s="4"/>
      <c r="BP494" s="8"/>
      <c r="BQ494" s="4"/>
      <c r="BR494" s="8"/>
      <c r="BS494" s="7"/>
      <c r="BT494" s="7"/>
      <c r="BU494" s="2" t="s">
        <v>2957</v>
      </c>
      <c r="BV494" s="2" t="s">
        <v>231</v>
      </c>
      <c r="BW494" s="2" t="s">
        <v>231</v>
      </c>
      <c r="BX494" s="2" t="s">
        <v>231</v>
      </c>
      <c r="BY494" s="2" t="s">
        <v>277</v>
      </c>
      <c r="BZ494" s="2" t="s">
        <v>243</v>
      </c>
      <c r="CA494" s="2" t="s">
        <v>2918</v>
      </c>
      <c r="CB494" s="2" t="s">
        <v>2958</v>
      </c>
      <c r="CC494" s="2" t="s">
        <v>244</v>
      </c>
      <c r="CD494" s="2" t="s">
        <v>231</v>
      </c>
      <c r="CE494" s="4">
        <v>126</v>
      </c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>
        <v>40</v>
      </c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>
        <v>45</v>
      </c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</row>
    <row r="495">
      <c r="A495" s="2" t="s">
        <v>2959</v>
      </c>
      <c r="B495" s="2" t="s">
        <v>824</v>
      </c>
      <c r="C495" s="2" t="s">
        <v>1051</v>
      </c>
      <c r="D495" s="2" t="s">
        <v>826</v>
      </c>
      <c r="E495" s="2" t="s">
        <v>827</v>
      </c>
      <c r="F495" s="2" t="s">
        <v>2892</v>
      </c>
      <c r="G495" s="2" t="s">
        <v>2893</v>
      </c>
      <c r="H495" s="2" t="s">
        <v>2894</v>
      </c>
      <c r="I495" s="2" t="s">
        <v>2895</v>
      </c>
      <c r="J495" s="2" t="s">
        <v>669</v>
      </c>
      <c r="K495" s="2" t="s">
        <v>255</v>
      </c>
      <c r="L495" s="3">
        <v>72</v>
      </c>
      <c r="M495" s="3">
        <v>75.6</v>
      </c>
      <c r="N495" s="3">
        <v>139.99</v>
      </c>
      <c r="O495" s="2" t="s">
        <v>243</v>
      </c>
      <c r="P495" s="2" t="s">
        <v>270</v>
      </c>
      <c r="Q495" s="2" t="s">
        <v>237</v>
      </c>
      <c r="R495" s="2" t="s">
        <v>231</v>
      </c>
      <c r="S495" s="2" t="s">
        <v>2937</v>
      </c>
      <c r="T495" s="2" t="s">
        <v>362</v>
      </c>
      <c r="U495" s="2" t="s">
        <v>700</v>
      </c>
      <c r="V495" s="2" t="s">
        <v>239</v>
      </c>
      <c r="W495" s="2" t="s">
        <v>2897</v>
      </c>
      <c r="X495" s="2" t="s">
        <v>2898</v>
      </c>
      <c r="Y495" s="2" t="s">
        <v>2916</v>
      </c>
      <c r="Z495" s="4">
        <v>48</v>
      </c>
      <c r="AA495" s="4">
        <f>=ROUNDDOWN(24,0)</f>
      </c>
      <c r="AB495" s="5">
        <v>2</v>
      </c>
      <c r="AC495" s="2" t="s">
        <v>1705</v>
      </c>
      <c r="AD495" s="4">
        <v>30</v>
      </c>
      <c r="AE495" s="4">
        <v>95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231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231</v>
      </c>
      <c r="AW495" s="8" t="s">
        <v>231</v>
      </c>
      <c r="AX495" s="4" t="s">
        <v>231</v>
      </c>
      <c r="AY495" s="8" t="s">
        <v>231</v>
      </c>
      <c r="AZ495" s="7" t="s">
        <v>231</v>
      </c>
      <c r="BA495" s="7" t="s">
        <v>231</v>
      </c>
      <c r="BB495" s="7"/>
      <c r="BC495" s="4" t="s">
        <v>231</v>
      </c>
      <c r="BD495" s="8" t="s">
        <v>231</v>
      </c>
      <c r="BE495" s="4" t="s">
        <v>231</v>
      </c>
      <c r="BF495" s="8" t="s">
        <v>231</v>
      </c>
      <c r="BG495" s="7" t="s">
        <v>231</v>
      </c>
      <c r="BH495" s="7" t="s">
        <v>231</v>
      </c>
      <c r="BI495" s="7"/>
      <c r="BJ495" s="4">
        <v>4</v>
      </c>
      <c r="BK495" s="8">
        <v>314.63</v>
      </c>
      <c r="BL495" s="2" t="s">
        <v>1291</v>
      </c>
      <c r="BM495" s="7"/>
      <c r="BN495" s="7"/>
      <c r="BO495" s="4"/>
      <c r="BP495" s="8"/>
      <c r="BQ495" s="4"/>
      <c r="BR495" s="8"/>
      <c r="BS495" s="7"/>
      <c r="BT495" s="7"/>
      <c r="BU495" s="2" t="s">
        <v>2960</v>
      </c>
      <c r="BV495" s="2" t="s">
        <v>231</v>
      </c>
      <c r="BW495" s="2" t="s">
        <v>231</v>
      </c>
      <c r="BX495" s="2" t="s">
        <v>231</v>
      </c>
      <c r="BY495" s="2" t="s">
        <v>277</v>
      </c>
      <c r="BZ495" s="2" t="s">
        <v>243</v>
      </c>
      <c r="CA495" s="2" t="s">
        <v>639</v>
      </c>
      <c r="CB495" s="2" t="s">
        <v>2961</v>
      </c>
      <c r="CC495" s="2" t="s">
        <v>244</v>
      </c>
      <c r="CD495" s="2" t="s">
        <v>231</v>
      </c>
      <c r="CE495" s="4">
        <v>48</v>
      </c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>
        <v>30</v>
      </c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>
        <v>65</v>
      </c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</row>
    <row r="496">
      <c r="A496" s="2" t="s">
        <v>2962</v>
      </c>
      <c r="B496" s="2" t="s">
        <v>824</v>
      </c>
      <c r="C496" s="2" t="s">
        <v>1051</v>
      </c>
      <c r="D496" s="2" t="s">
        <v>826</v>
      </c>
      <c r="E496" s="2" t="s">
        <v>827</v>
      </c>
      <c r="F496" s="2" t="s">
        <v>2892</v>
      </c>
      <c r="G496" s="2" t="s">
        <v>2893</v>
      </c>
      <c r="H496" s="2" t="s">
        <v>2894</v>
      </c>
      <c r="I496" s="2" t="s">
        <v>2895</v>
      </c>
      <c r="J496" s="2" t="s">
        <v>832</v>
      </c>
      <c r="K496" s="2" t="s">
        <v>2125</v>
      </c>
      <c r="L496" s="3">
        <v>46.53</v>
      </c>
      <c r="M496" s="3">
        <v>48.86</v>
      </c>
      <c r="N496" s="3">
        <v>89.99</v>
      </c>
      <c r="O496" s="2" t="s">
        <v>243</v>
      </c>
      <c r="P496" s="2" t="s">
        <v>871</v>
      </c>
      <c r="Q496" s="2" t="s">
        <v>237</v>
      </c>
      <c r="R496" s="2" t="s">
        <v>231</v>
      </c>
      <c r="S496" s="2" t="s">
        <v>2963</v>
      </c>
      <c r="T496" s="2" t="s">
        <v>362</v>
      </c>
      <c r="U496" s="2" t="s">
        <v>661</v>
      </c>
      <c r="V496" s="2" t="s">
        <v>239</v>
      </c>
      <c r="W496" s="2" t="s">
        <v>2897</v>
      </c>
      <c r="X496" s="2" t="s">
        <v>2898</v>
      </c>
      <c r="Y496" s="2" t="s">
        <v>2964</v>
      </c>
      <c r="Z496" s="4">
        <v>483</v>
      </c>
      <c r="AA496" s="4">
        <f>=ROUNDDOWN(96.6,0)</f>
      </c>
      <c r="AB496" s="5">
        <v>5</v>
      </c>
      <c r="AC496" s="2" t="s">
        <v>231</v>
      </c>
      <c r="AD496" s="4"/>
      <c r="AE496" s="4"/>
      <c r="AF496" s="6">
        <v>66</v>
      </c>
      <c r="AG496" s="6">
        <v>49</v>
      </c>
      <c r="AH496" s="7">
        <v>1</v>
      </c>
      <c r="AI496" s="4"/>
      <c r="AJ496" s="4">
        <f>=ROUNDDOWN({0},0)</f>
      </c>
      <c r="AK496" s="5"/>
      <c r="AL496" s="2" t="s">
        <v>231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231</v>
      </c>
      <c r="AW496" s="8" t="s">
        <v>231</v>
      </c>
      <c r="AX496" s="4" t="s">
        <v>231</v>
      </c>
      <c r="AY496" s="8" t="s">
        <v>231</v>
      </c>
      <c r="AZ496" s="7" t="s">
        <v>231</v>
      </c>
      <c r="BA496" s="7" t="s">
        <v>231</v>
      </c>
      <c r="BB496" s="7"/>
      <c r="BC496" s="4" t="s">
        <v>231</v>
      </c>
      <c r="BD496" s="8" t="s">
        <v>231</v>
      </c>
      <c r="BE496" s="4" t="s">
        <v>231</v>
      </c>
      <c r="BF496" s="8" t="s">
        <v>231</v>
      </c>
      <c r="BG496" s="7" t="s">
        <v>231</v>
      </c>
      <c r="BH496" s="7" t="s">
        <v>231</v>
      </c>
      <c r="BI496" s="7"/>
      <c r="BJ496" s="4">
        <v>14</v>
      </c>
      <c r="BK496" s="8">
        <v>644.11</v>
      </c>
      <c r="BL496" s="2" t="s">
        <v>2965</v>
      </c>
      <c r="BM496" s="7"/>
      <c r="BN496" s="7"/>
      <c r="BO496" s="4"/>
      <c r="BP496" s="8"/>
      <c r="BQ496" s="4"/>
      <c r="BR496" s="8"/>
      <c r="BS496" s="7"/>
      <c r="BT496" s="7"/>
      <c r="BU496" s="2" t="s">
        <v>2966</v>
      </c>
      <c r="BV496" s="2" t="s">
        <v>231</v>
      </c>
      <c r="BW496" s="2" t="s">
        <v>231</v>
      </c>
      <c r="BX496" s="2" t="s">
        <v>231</v>
      </c>
      <c r="BY496" s="2" t="s">
        <v>277</v>
      </c>
      <c r="BZ496" s="2" t="s">
        <v>243</v>
      </c>
      <c r="CA496" s="2" t="s">
        <v>2967</v>
      </c>
      <c r="CB496" s="2" t="s">
        <v>2968</v>
      </c>
      <c r="CC496" s="2" t="s">
        <v>244</v>
      </c>
      <c r="CD496" s="2" t="s">
        <v>231</v>
      </c>
      <c r="CE496" s="4">
        <v>316</v>
      </c>
      <c r="CF496" s="4"/>
      <c r="CG496" s="4"/>
      <c r="CH496" s="4"/>
      <c r="CI496" s="4">
        <v>167</v>
      </c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</row>
    <row r="497">
      <c r="A497" s="2" t="s">
        <v>2969</v>
      </c>
      <c r="B497" s="2" t="s">
        <v>824</v>
      </c>
      <c r="C497" s="2" t="s">
        <v>1051</v>
      </c>
      <c r="D497" s="2" t="s">
        <v>826</v>
      </c>
      <c r="E497" s="2" t="s">
        <v>827</v>
      </c>
      <c r="F497" s="2" t="s">
        <v>2892</v>
      </c>
      <c r="G497" s="2" t="s">
        <v>2893</v>
      </c>
      <c r="H497" s="2" t="s">
        <v>2894</v>
      </c>
      <c r="I497" s="2" t="s">
        <v>2895</v>
      </c>
      <c r="J497" s="2" t="s">
        <v>669</v>
      </c>
      <c r="K497" s="2" t="s">
        <v>2125</v>
      </c>
      <c r="L497" s="3">
        <v>72</v>
      </c>
      <c r="M497" s="3">
        <v>75.6</v>
      </c>
      <c r="N497" s="3">
        <v>139.99</v>
      </c>
      <c r="O497" s="2" t="s">
        <v>243</v>
      </c>
      <c r="P497" s="2" t="s">
        <v>871</v>
      </c>
      <c r="Q497" s="2" t="s">
        <v>237</v>
      </c>
      <c r="R497" s="2" t="s">
        <v>231</v>
      </c>
      <c r="S497" s="2" t="s">
        <v>2963</v>
      </c>
      <c r="T497" s="2" t="s">
        <v>362</v>
      </c>
      <c r="U497" s="2" t="s">
        <v>700</v>
      </c>
      <c r="V497" s="2" t="s">
        <v>239</v>
      </c>
      <c r="W497" s="2" t="s">
        <v>2897</v>
      </c>
      <c r="X497" s="2" t="s">
        <v>2898</v>
      </c>
      <c r="Y497" s="2" t="s">
        <v>2964</v>
      </c>
      <c r="Z497" s="4">
        <v>116</v>
      </c>
      <c r="AA497" s="4">
        <f>=ROUNDDOWN(38.6666666666667,0)</f>
      </c>
      <c r="AB497" s="5">
        <v>3</v>
      </c>
      <c r="AC497" s="2" t="s">
        <v>231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231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231</v>
      </c>
      <c r="AW497" s="8" t="s">
        <v>231</v>
      </c>
      <c r="AX497" s="4" t="s">
        <v>231</v>
      </c>
      <c r="AY497" s="8" t="s">
        <v>231</v>
      </c>
      <c r="AZ497" s="7" t="s">
        <v>231</v>
      </c>
      <c r="BA497" s="7" t="s">
        <v>231</v>
      </c>
      <c r="BB497" s="7"/>
      <c r="BC497" s="4" t="s">
        <v>231</v>
      </c>
      <c r="BD497" s="8" t="s">
        <v>231</v>
      </c>
      <c r="BE497" s="4" t="s">
        <v>231</v>
      </c>
      <c r="BF497" s="8" t="s">
        <v>231</v>
      </c>
      <c r="BG497" s="7" t="s">
        <v>231</v>
      </c>
      <c r="BH497" s="7" t="s">
        <v>231</v>
      </c>
      <c r="BI497" s="7"/>
      <c r="BJ497" s="4">
        <v>5</v>
      </c>
      <c r="BK497" s="8">
        <v>392.42</v>
      </c>
      <c r="BL497" s="2" t="s">
        <v>988</v>
      </c>
      <c r="BM497" s="7"/>
      <c r="BN497" s="7"/>
      <c r="BO497" s="4"/>
      <c r="BP497" s="8"/>
      <c r="BQ497" s="4"/>
      <c r="BR497" s="8"/>
      <c r="BS497" s="7"/>
      <c r="BT497" s="7"/>
      <c r="BU497" s="2" t="s">
        <v>2970</v>
      </c>
      <c r="BV497" s="2" t="s">
        <v>231</v>
      </c>
      <c r="BW497" s="2" t="s">
        <v>231</v>
      </c>
      <c r="BX497" s="2" t="s">
        <v>231</v>
      </c>
      <c r="BY497" s="2" t="s">
        <v>277</v>
      </c>
      <c r="BZ497" s="2" t="s">
        <v>243</v>
      </c>
      <c r="CA497" s="2" t="s">
        <v>2967</v>
      </c>
      <c r="CB497" s="2" t="s">
        <v>2971</v>
      </c>
      <c r="CC497" s="2" t="s">
        <v>244</v>
      </c>
      <c r="CD497" s="2" t="s">
        <v>231</v>
      </c>
      <c r="CE497" s="4">
        <v>116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</row>
    <row r="498">
      <c r="A498" s="2" t="s">
        <v>2972</v>
      </c>
      <c r="B498" s="2" t="s">
        <v>940</v>
      </c>
      <c r="C498" s="2" t="s">
        <v>1051</v>
      </c>
      <c r="D498" s="2" t="s">
        <v>1533</v>
      </c>
      <c r="E498" s="2" t="s">
        <v>1534</v>
      </c>
      <c r="F498" s="2" t="s">
        <v>2892</v>
      </c>
      <c r="G498" s="2" t="s">
        <v>2893</v>
      </c>
      <c r="H498" s="2" t="s">
        <v>2894</v>
      </c>
      <c r="I498" s="2" t="s">
        <v>2944</v>
      </c>
      <c r="J498" s="2" t="s">
        <v>2935</v>
      </c>
      <c r="K498" s="2" t="s">
        <v>2125</v>
      </c>
      <c r="L498" s="3">
        <v>19.8</v>
      </c>
      <c r="M498" s="3">
        <v>20.79</v>
      </c>
      <c r="N498" s="3">
        <v>44.99</v>
      </c>
      <c r="O498" s="2" t="s">
        <v>243</v>
      </c>
      <c r="P498" s="2" t="s">
        <v>270</v>
      </c>
      <c r="Q498" s="2" t="s">
        <v>237</v>
      </c>
      <c r="R498" s="2" t="s">
        <v>231</v>
      </c>
      <c r="S498" s="2" t="s">
        <v>2973</v>
      </c>
      <c r="T498" s="2" t="s">
        <v>362</v>
      </c>
      <c r="U498" s="2" t="s">
        <v>327</v>
      </c>
      <c r="V498" s="2" t="s">
        <v>239</v>
      </c>
      <c r="W498" s="2" t="s">
        <v>273</v>
      </c>
      <c r="X498" s="2" t="s">
        <v>2897</v>
      </c>
      <c r="Y498" s="2" t="s">
        <v>2946</v>
      </c>
      <c r="Z498" s="4">
        <v>287</v>
      </c>
      <c r="AA498" s="4">
        <f>=ROUNDDOWN(20.5,0)</f>
      </c>
      <c r="AB498" s="5">
        <v>14</v>
      </c>
      <c r="AC498" s="2" t="s">
        <v>2140</v>
      </c>
      <c r="AD498" s="4">
        <v>260</v>
      </c>
      <c r="AE498" s="4">
        <v>260</v>
      </c>
      <c r="AF498" s="6">
        <v>66</v>
      </c>
      <c r="AG498" s="6"/>
      <c r="AH498" s="7">
        <v>0.8065</v>
      </c>
      <c r="AI498" s="4"/>
      <c r="AJ498" s="4">
        <f>=ROUNDDOWN({0},0)</f>
      </c>
      <c r="AK498" s="5"/>
      <c r="AL498" s="2" t="s">
        <v>231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231</v>
      </c>
      <c r="AW498" s="8" t="s">
        <v>231</v>
      </c>
      <c r="AX498" s="4" t="s">
        <v>231</v>
      </c>
      <c r="AY498" s="8" t="s">
        <v>231</v>
      </c>
      <c r="AZ498" s="7" t="s">
        <v>231</v>
      </c>
      <c r="BA498" s="7" t="s">
        <v>231</v>
      </c>
      <c r="BB498" s="7"/>
      <c r="BC498" s="4" t="s">
        <v>231</v>
      </c>
      <c r="BD498" s="8" t="s">
        <v>231</v>
      </c>
      <c r="BE498" s="4" t="s">
        <v>231</v>
      </c>
      <c r="BF498" s="8" t="s">
        <v>231</v>
      </c>
      <c r="BG498" s="7" t="s">
        <v>231</v>
      </c>
      <c r="BH498" s="7" t="s">
        <v>231</v>
      </c>
      <c r="BI498" s="7"/>
      <c r="BJ498" s="4">
        <v>42</v>
      </c>
      <c r="BK498" s="8">
        <v>943.49</v>
      </c>
      <c r="BL498" s="2" t="s">
        <v>2974</v>
      </c>
      <c r="BM498" s="7"/>
      <c r="BN498" s="7"/>
      <c r="BO498" s="4"/>
      <c r="BP498" s="8"/>
      <c r="BQ498" s="4"/>
      <c r="BR498" s="8"/>
      <c r="BS498" s="7"/>
      <c r="BT498" s="7"/>
      <c r="BU498" s="2" t="s">
        <v>2975</v>
      </c>
      <c r="BV498" s="2" t="s">
        <v>231</v>
      </c>
      <c r="BW498" s="2" t="s">
        <v>231</v>
      </c>
      <c r="BX498" s="2" t="s">
        <v>231</v>
      </c>
      <c r="BY498" s="2" t="s">
        <v>277</v>
      </c>
      <c r="BZ498" s="2" t="s">
        <v>243</v>
      </c>
      <c r="CA498" s="2" t="s">
        <v>2946</v>
      </c>
      <c r="CB498" s="2" t="s">
        <v>2976</v>
      </c>
      <c r="CC498" s="2" t="s">
        <v>244</v>
      </c>
      <c r="CD498" s="2" t="s">
        <v>231</v>
      </c>
      <c r="CE498" s="4">
        <v>287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>
        <v>260</v>
      </c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</row>
    <row r="499">
      <c r="A499" s="2" t="s">
        <v>2977</v>
      </c>
      <c r="B499" s="2" t="s">
        <v>824</v>
      </c>
      <c r="C499" s="2" t="s">
        <v>1051</v>
      </c>
      <c r="D499" s="2" t="s">
        <v>654</v>
      </c>
      <c r="E499" s="2" t="s">
        <v>655</v>
      </c>
      <c r="F499" s="2" t="s">
        <v>2892</v>
      </c>
      <c r="G499" s="2" t="s">
        <v>2893</v>
      </c>
      <c r="H499" s="2" t="s">
        <v>2894</v>
      </c>
      <c r="I499" s="2" t="s">
        <v>2909</v>
      </c>
      <c r="J499" s="2" t="s">
        <v>832</v>
      </c>
      <c r="K499" s="2" t="s">
        <v>2978</v>
      </c>
      <c r="L499" s="3">
        <v>52.88</v>
      </c>
      <c r="M499" s="3">
        <v>55.52</v>
      </c>
      <c r="N499" s="3">
        <v>109.99</v>
      </c>
      <c r="O499" s="2" t="s">
        <v>243</v>
      </c>
      <c r="P499" s="2" t="s">
        <v>270</v>
      </c>
      <c r="Q499" s="2" t="s">
        <v>237</v>
      </c>
      <c r="R499" s="2" t="s">
        <v>231</v>
      </c>
      <c r="S499" s="2" t="s">
        <v>2979</v>
      </c>
      <c r="T499" s="2" t="s">
        <v>362</v>
      </c>
      <c r="U499" s="2" t="s">
        <v>661</v>
      </c>
      <c r="V499" s="2" t="s">
        <v>239</v>
      </c>
      <c r="W499" s="2" t="s">
        <v>2897</v>
      </c>
      <c r="X499" s="2" t="s">
        <v>971</v>
      </c>
      <c r="Y499" s="2" t="s">
        <v>2980</v>
      </c>
      <c r="Z499" s="4">
        <v>107</v>
      </c>
      <c r="AA499" s="4">
        <f>=ROUNDDOWN(26.75,0)</f>
      </c>
      <c r="AB499" s="5">
        <v>4</v>
      </c>
      <c r="AC499" s="2" t="s">
        <v>2981</v>
      </c>
      <c r="AD499" s="4">
        <v>120</v>
      </c>
      <c r="AE499" s="4">
        <v>160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231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231</v>
      </c>
      <c r="AW499" s="8" t="s">
        <v>231</v>
      </c>
      <c r="AX499" s="4" t="s">
        <v>231</v>
      </c>
      <c r="AY499" s="8" t="s">
        <v>231</v>
      </c>
      <c r="AZ499" s="7" t="s">
        <v>231</v>
      </c>
      <c r="BA499" s="7" t="s">
        <v>231</v>
      </c>
      <c r="BB499" s="7" t="s">
        <v>231</v>
      </c>
      <c r="BC499" s="4" t="s">
        <v>231</v>
      </c>
      <c r="BD499" s="8" t="s">
        <v>231</v>
      </c>
      <c r="BE499" s="4" t="s">
        <v>231</v>
      </c>
      <c r="BF499" s="8" t="s">
        <v>231</v>
      </c>
      <c r="BG499" s="7" t="s">
        <v>231</v>
      </c>
      <c r="BH499" s="7" t="s">
        <v>231</v>
      </c>
      <c r="BI499" s="7"/>
      <c r="BJ499" s="4">
        <v>16</v>
      </c>
      <c r="BK499" s="8">
        <v>942.07</v>
      </c>
      <c r="BL499" s="2" t="s">
        <v>810</v>
      </c>
      <c r="BM499" s="7"/>
      <c r="BN499" s="7"/>
      <c r="BO499" s="4"/>
      <c r="BP499" s="8"/>
      <c r="BQ499" s="4"/>
      <c r="BR499" s="8"/>
      <c r="BS499" s="7"/>
      <c r="BT499" s="7"/>
      <c r="BU499" s="2" t="s">
        <v>2982</v>
      </c>
      <c r="BV499" s="2" t="s">
        <v>231</v>
      </c>
      <c r="BW499" s="2" t="s">
        <v>231</v>
      </c>
      <c r="BX499" s="2" t="s">
        <v>241</v>
      </c>
      <c r="BY499" s="2" t="s">
        <v>277</v>
      </c>
      <c r="BZ499" s="2" t="s">
        <v>243</v>
      </c>
      <c r="CA499" s="2" t="s">
        <v>2983</v>
      </c>
      <c r="CB499" s="2" t="s">
        <v>231</v>
      </c>
      <c r="CC499" s="2" t="s">
        <v>244</v>
      </c>
      <c r="CD499" s="2" t="s">
        <v>231</v>
      </c>
      <c r="CE499" s="4">
        <v>107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>
        <v>120</v>
      </c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>
        <v>40</v>
      </c>
      <c r="HF499" s="4"/>
      <c r="HG499" s="4"/>
      <c r="HH499" s="4"/>
      <c r="HI499" s="4"/>
      <c r="HJ499" s="4"/>
      <c r="HK499" s="4"/>
      <c r="HL499" s="4"/>
    </row>
    <row r="500">
      <c r="A500" s="2" t="s">
        <v>2984</v>
      </c>
      <c r="B500" s="2" t="s">
        <v>824</v>
      </c>
      <c r="C500" s="2" t="s">
        <v>1051</v>
      </c>
      <c r="D500" s="2" t="s">
        <v>826</v>
      </c>
      <c r="E500" s="2" t="s">
        <v>827</v>
      </c>
      <c r="F500" s="2" t="s">
        <v>2892</v>
      </c>
      <c r="G500" s="2" t="s">
        <v>2893</v>
      </c>
      <c r="H500" s="2" t="s">
        <v>2894</v>
      </c>
      <c r="I500" s="2" t="s">
        <v>2895</v>
      </c>
      <c r="J500" s="2" t="s">
        <v>832</v>
      </c>
      <c r="K500" s="2" t="s">
        <v>2978</v>
      </c>
      <c r="L500" s="3">
        <v>46.53</v>
      </c>
      <c r="M500" s="3">
        <v>48.86</v>
      </c>
      <c r="N500" s="3">
        <v>89.99</v>
      </c>
      <c r="O500" s="2" t="s">
        <v>243</v>
      </c>
      <c r="P500" s="2" t="s">
        <v>270</v>
      </c>
      <c r="Q500" s="2" t="s">
        <v>237</v>
      </c>
      <c r="R500" s="2" t="s">
        <v>231</v>
      </c>
      <c r="S500" s="2" t="s">
        <v>2979</v>
      </c>
      <c r="T500" s="2" t="s">
        <v>362</v>
      </c>
      <c r="U500" s="2" t="s">
        <v>661</v>
      </c>
      <c r="V500" s="2" t="s">
        <v>239</v>
      </c>
      <c r="W500" s="2" t="s">
        <v>2897</v>
      </c>
      <c r="X500" s="2" t="s">
        <v>971</v>
      </c>
      <c r="Y500" s="2" t="s">
        <v>2980</v>
      </c>
      <c r="Z500" s="4">
        <v>48</v>
      </c>
      <c r="AA500" s="4">
        <f>=ROUNDDOWN(24,0)</f>
      </c>
      <c r="AB500" s="5">
        <v>2</v>
      </c>
      <c r="AC500" s="2" t="s">
        <v>2981</v>
      </c>
      <c r="AD500" s="4">
        <v>40</v>
      </c>
      <c r="AE500" s="4">
        <v>80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231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231</v>
      </c>
      <c r="AW500" s="8" t="s">
        <v>231</v>
      </c>
      <c r="AX500" s="4" t="s">
        <v>231</v>
      </c>
      <c r="AY500" s="8" t="s">
        <v>231</v>
      </c>
      <c r="AZ500" s="7" t="s">
        <v>231</v>
      </c>
      <c r="BA500" s="7" t="s">
        <v>231</v>
      </c>
      <c r="BB500" s="7" t="s">
        <v>231</v>
      </c>
      <c r="BC500" s="4" t="s">
        <v>231</v>
      </c>
      <c r="BD500" s="8" t="s">
        <v>231</v>
      </c>
      <c r="BE500" s="4" t="s">
        <v>231</v>
      </c>
      <c r="BF500" s="8" t="s">
        <v>231</v>
      </c>
      <c r="BG500" s="7" t="s">
        <v>231</v>
      </c>
      <c r="BH500" s="7" t="s">
        <v>231</v>
      </c>
      <c r="BI500" s="7"/>
      <c r="BJ500" s="4">
        <v>2</v>
      </c>
      <c r="BK500" s="8">
        <v>92.83</v>
      </c>
      <c r="BL500" s="2" t="s">
        <v>2225</v>
      </c>
      <c r="BM500" s="7"/>
      <c r="BN500" s="7"/>
      <c r="BO500" s="4"/>
      <c r="BP500" s="8"/>
      <c r="BQ500" s="4"/>
      <c r="BR500" s="8"/>
      <c r="BS500" s="7"/>
      <c r="BT500" s="7"/>
      <c r="BU500" s="2" t="s">
        <v>2985</v>
      </c>
      <c r="BV500" s="2" t="s">
        <v>231</v>
      </c>
      <c r="BW500" s="2" t="s">
        <v>231</v>
      </c>
      <c r="BX500" s="2" t="s">
        <v>241</v>
      </c>
      <c r="BY500" s="2" t="s">
        <v>277</v>
      </c>
      <c r="BZ500" s="2" t="s">
        <v>243</v>
      </c>
      <c r="CA500" s="2" t="s">
        <v>2986</v>
      </c>
      <c r="CB500" s="2" t="s">
        <v>1075</v>
      </c>
      <c r="CC500" s="2" t="s">
        <v>244</v>
      </c>
      <c r="CD500" s="2" t="s">
        <v>231</v>
      </c>
      <c r="CE500" s="4">
        <v>48</v>
      </c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>
        <v>40</v>
      </c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>
        <v>40</v>
      </c>
      <c r="HF500" s="4"/>
      <c r="HG500" s="4"/>
      <c r="HH500" s="4"/>
      <c r="HI500" s="4"/>
      <c r="HJ500" s="4"/>
      <c r="HK500" s="4"/>
      <c r="HL500" s="4"/>
    </row>
    <row r="501">
      <c r="A501" s="2" t="s">
        <v>2987</v>
      </c>
      <c r="B501" s="2" t="s">
        <v>824</v>
      </c>
      <c r="C501" s="2" t="s">
        <v>1051</v>
      </c>
      <c r="D501" s="2" t="s">
        <v>654</v>
      </c>
      <c r="E501" s="2" t="s">
        <v>655</v>
      </c>
      <c r="F501" s="2" t="s">
        <v>2892</v>
      </c>
      <c r="G501" s="2" t="s">
        <v>2893</v>
      </c>
      <c r="H501" s="2" t="s">
        <v>2894</v>
      </c>
      <c r="I501" s="2" t="s">
        <v>2909</v>
      </c>
      <c r="J501" s="2" t="s">
        <v>658</v>
      </c>
      <c r="K501" s="2" t="s">
        <v>2978</v>
      </c>
      <c r="L501" s="3">
        <v>66.96</v>
      </c>
      <c r="M501" s="3">
        <v>70.31</v>
      </c>
      <c r="N501" s="3">
        <v>139.99</v>
      </c>
      <c r="O501" s="2" t="s">
        <v>243</v>
      </c>
      <c r="P501" s="2" t="s">
        <v>270</v>
      </c>
      <c r="Q501" s="2" t="s">
        <v>237</v>
      </c>
      <c r="R501" s="2" t="s">
        <v>231</v>
      </c>
      <c r="S501" s="2" t="s">
        <v>2979</v>
      </c>
      <c r="T501" s="2" t="s">
        <v>362</v>
      </c>
      <c r="U501" s="2" t="s">
        <v>700</v>
      </c>
      <c r="V501" s="2" t="s">
        <v>239</v>
      </c>
      <c r="W501" s="2" t="s">
        <v>2897</v>
      </c>
      <c r="X501" s="2" t="s">
        <v>971</v>
      </c>
      <c r="Y501" s="2" t="s">
        <v>2980</v>
      </c>
      <c r="Z501" s="4">
        <v>200</v>
      </c>
      <c r="AA501" s="4">
        <f>=ROUNDDOWN(25,0)</f>
      </c>
      <c r="AB501" s="5">
        <v>8</v>
      </c>
      <c r="AC501" s="2" t="s">
        <v>2981</v>
      </c>
      <c r="AD501" s="4">
        <v>180</v>
      </c>
      <c r="AE501" s="4">
        <v>280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231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231</v>
      </c>
      <c r="AW501" s="8" t="s">
        <v>231</v>
      </c>
      <c r="AX501" s="4" t="s">
        <v>231</v>
      </c>
      <c r="AY501" s="8" t="s">
        <v>231</v>
      </c>
      <c r="AZ501" s="7" t="s">
        <v>231</v>
      </c>
      <c r="BA501" s="7" t="s">
        <v>231</v>
      </c>
      <c r="BB501" s="7"/>
      <c r="BC501" s="4" t="s">
        <v>231</v>
      </c>
      <c r="BD501" s="8" t="s">
        <v>231</v>
      </c>
      <c r="BE501" s="4" t="s">
        <v>231</v>
      </c>
      <c r="BF501" s="8" t="s">
        <v>231</v>
      </c>
      <c r="BG501" s="7" t="s">
        <v>231</v>
      </c>
      <c r="BH501" s="7" t="s">
        <v>231</v>
      </c>
      <c r="BI501" s="7"/>
      <c r="BJ501" s="4">
        <v>16</v>
      </c>
      <c r="BK501" s="8">
        <v>1165.05</v>
      </c>
      <c r="BL501" s="2" t="s">
        <v>2988</v>
      </c>
      <c r="BM501" s="7"/>
      <c r="BN501" s="7"/>
      <c r="BO501" s="4"/>
      <c r="BP501" s="8"/>
      <c r="BQ501" s="4"/>
      <c r="BR501" s="8"/>
      <c r="BS501" s="7"/>
      <c r="BT501" s="7"/>
      <c r="BU501" s="2" t="s">
        <v>2989</v>
      </c>
      <c r="BV501" s="2" t="s">
        <v>231</v>
      </c>
      <c r="BW501" s="2" t="s">
        <v>231</v>
      </c>
      <c r="BX501" s="2" t="s">
        <v>241</v>
      </c>
      <c r="BY501" s="2" t="s">
        <v>277</v>
      </c>
      <c r="BZ501" s="2" t="s">
        <v>243</v>
      </c>
      <c r="CA501" s="2" t="s">
        <v>2990</v>
      </c>
      <c r="CB501" s="2" t="s">
        <v>2991</v>
      </c>
      <c r="CC501" s="2" t="s">
        <v>244</v>
      </c>
      <c r="CD501" s="2" t="s">
        <v>231</v>
      </c>
      <c r="CE501" s="4">
        <v>200</v>
      </c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>
        <v>180</v>
      </c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>
        <v>100</v>
      </c>
      <c r="HF501" s="4"/>
      <c r="HG501" s="4"/>
      <c r="HH501" s="4"/>
      <c r="HI501" s="4"/>
      <c r="HJ501" s="4"/>
      <c r="HK501" s="4"/>
      <c r="HL501" s="4"/>
    </row>
    <row r="502">
      <c r="A502" s="2" t="s">
        <v>2992</v>
      </c>
      <c r="B502" s="2" t="s">
        <v>824</v>
      </c>
      <c r="C502" s="2" t="s">
        <v>1051</v>
      </c>
      <c r="D502" s="2" t="s">
        <v>654</v>
      </c>
      <c r="E502" s="2" t="s">
        <v>655</v>
      </c>
      <c r="F502" s="2" t="s">
        <v>2892</v>
      </c>
      <c r="G502" s="2" t="s">
        <v>2893</v>
      </c>
      <c r="H502" s="2" t="s">
        <v>2894</v>
      </c>
      <c r="I502" s="2" t="s">
        <v>2909</v>
      </c>
      <c r="J502" s="2" t="s">
        <v>669</v>
      </c>
      <c r="K502" s="2" t="s">
        <v>2978</v>
      </c>
      <c r="L502" s="3">
        <v>75.6</v>
      </c>
      <c r="M502" s="3">
        <v>79.38</v>
      </c>
      <c r="N502" s="3">
        <v>159.99</v>
      </c>
      <c r="O502" s="2" t="s">
        <v>243</v>
      </c>
      <c r="P502" s="2" t="s">
        <v>270</v>
      </c>
      <c r="Q502" s="2" t="s">
        <v>237</v>
      </c>
      <c r="R502" s="2" t="s">
        <v>231</v>
      </c>
      <c r="S502" s="2" t="s">
        <v>2979</v>
      </c>
      <c r="T502" s="2" t="s">
        <v>362</v>
      </c>
      <c r="U502" s="2" t="s">
        <v>700</v>
      </c>
      <c r="V502" s="2" t="s">
        <v>239</v>
      </c>
      <c r="W502" s="2" t="s">
        <v>2897</v>
      </c>
      <c r="X502" s="2" t="s">
        <v>971</v>
      </c>
      <c r="Y502" s="2" t="s">
        <v>2980</v>
      </c>
      <c r="Z502" s="4">
        <v>130</v>
      </c>
      <c r="AA502" s="4">
        <f>=ROUNDDOWN(32.5,0)</f>
      </c>
      <c r="AB502" s="5">
        <v>4</v>
      </c>
      <c r="AC502" s="2" t="s">
        <v>2981</v>
      </c>
      <c r="AD502" s="4">
        <v>50</v>
      </c>
      <c r="AE502" s="4">
        <v>90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231</v>
      </c>
      <c r="AW502" s="8" t="s">
        <v>231</v>
      </c>
      <c r="AX502" s="4" t="s">
        <v>231</v>
      </c>
      <c r="AY502" s="8" t="s">
        <v>231</v>
      </c>
      <c r="AZ502" s="7" t="s">
        <v>231</v>
      </c>
      <c r="BA502" s="7" t="s">
        <v>231</v>
      </c>
      <c r="BB502" s="7" t="s">
        <v>231</v>
      </c>
      <c r="BC502" s="4" t="s">
        <v>231</v>
      </c>
      <c r="BD502" s="8" t="s">
        <v>231</v>
      </c>
      <c r="BE502" s="4" t="s">
        <v>231</v>
      </c>
      <c r="BF502" s="8" t="s">
        <v>231</v>
      </c>
      <c r="BG502" s="7" t="s">
        <v>231</v>
      </c>
      <c r="BH502" s="7" t="s">
        <v>231</v>
      </c>
      <c r="BI502" s="7"/>
      <c r="BJ502" s="4">
        <v>1</v>
      </c>
      <c r="BK502" s="8">
        <v>79.3</v>
      </c>
      <c r="BL502" s="2" t="s">
        <v>628</v>
      </c>
      <c r="BM502" s="7"/>
      <c r="BN502" s="7"/>
      <c r="BO502" s="4"/>
      <c r="BP502" s="8"/>
      <c r="BQ502" s="4"/>
      <c r="BR502" s="8"/>
      <c r="BS502" s="7"/>
      <c r="BT502" s="7"/>
      <c r="BU502" s="2" t="s">
        <v>2993</v>
      </c>
      <c r="BV502" s="2" t="s">
        <v>231</v>
      </c>
      <c r="BW502" s="2" t="s">
        <v>231</v>
      </c>
      <c r="BX502" s="2" t="s">
        <v>241</v>
      </c>
      <c r="BY502" s="2" t="s">
        <v>277</v>
      </c>
      <c r="BZ502" s="2" t="s">
        <v>243</v>
      </c>
      <c r="CA502" s="2" t="s">
        <v>2983</v>
      </c>
      <c r="CB502" s="2" t="s">
        <v>2994</v>
      </c>
      <c r="CC502" s="2" t="s">
        <v>244</v>
      </c>
      <c r="CD502" s="2" t="s">
        <v>231</v>
      </c>
      <c r="CE502" s="4">
        <v>130</v>
      </c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>
        <v>50</v>
      </c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>
        <v>40</v>
      </c>
      <c r="HF502" s="4"/>
      <c r="HG502" s="4"/>
      <c r="HH502" s="4"/>
      <c r="HI502" s="4"/>
      <c r="HJ502" s="4"/>
      <c r="HK502" s="4"/>
      <c r="HL502" s="4"/>
    </row>
    <row r="503">
      <c r="A503" s="2" t="s">
        <v>2995</v>
      </c>
      <c r="B503" s="2" t="s">
        <v>824</v>
      </c>
      <c r="C503" s="2" t="s">
        <v>1051</v>
      </c>
      <c r="D503" s="2" t="s">
        <v>826</v>
      </c>
      <c r="E503" s="2" t="s">
        <v>827</v>
      </c>
      <c r="F503" s="2" t="s">
        <v>2892</v>
      </c>
      <c r="G503" s="2" t="s">
        <v>2893</v>
      </c>
      <c r="H503" s="2" t="s">
        <v>2894</v>
      </c>
      <c r="I503" s="2" t="s">
        <v>2895</v>
      </c>
      <c r="J503" s="2" t="s">
        <v>669</v>
      </c>
      <c r="K503" s="2" t="s">
        <v>2978</v>
      </c>
      <c r="L503" s="3">
        <v>72</v>
      </c>
      <c r="M503" s="3">
        <v>75.6</v>
      </c>
      <c r="N503" s="3">
        <v>139.99</v>
      </c>
      <c r="O503" s="2" t="s">
        <v>243</v>
      </c>
      <c r="P503" s="2" t="s">
        <v>270</v>
      </c>
      <c r="Q503" s="2" t="s">
        <v>237</v>
      </c>
      <c r="R503" s="2" t="s">
        <v>231</v>
      </c>
      <c r="S503" s="2" t="s">
        <v>2979</v>
      </c>
      <c r="T503" s="2" t="s">
        <v>362</v>
      </c>
      <c r="U503" s="2" t="s">
        <v>700</v>
      </c>
      <c r="V503" s="2" t="s">
        <v>239</v>
      </c>
      <c r="W503" s="2" t="s">
        <v>2897</v>
      </c>
      <c r="X503" s="2" t="s">
        <v>971</v>
      </c>
      <c r="Y503" s="2" t="s">
        <v>2980</v>
      </c>
      <c r="Z503" s="4">
        <v>52</v>
      </c>
      <c r="AA503" s="4">
        <f>=ROUNDDOWN(26,0)</f>
      </c>
      <c r="AB503" s="5">
        <v>2</v>
      </c>
      <c r="AC503" s="2" t="s">
        <v>2981</v>
      </c>
      <c r="AD503" s="4">
        <v>30</v>
      </c>
      <c r="AE503" s="4">
        <v>50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231</v>
      </c>
      <c r="AW503" s="8" t="s">
        <v>231</v>
      </c>
      <c r="AX503" s="4" t="s">
        <v>231</v>
      </c>
      <c r="AY503" s="8" t="s">
        <v>231</v>
      </c>
      <c r="AZ503" s="7" t="s">
        <v>231</v>
      </c>
      <c r="BA503" s="7" t="s">
        <v>231</v>
      </c>
      <c r="BB503" s="7" t="s">
        <v>231</v>
      </c>
      <c r="BC503" s="4" t="s">
        <v>231</v>
      </c>
      <c r="BD503" s="8" t="s">
        <v>231</v>
      </c>
      <c r="BE503" s="4" t="s">
        <v>231</v>
      </c>
      <c r="BF503" s="8" t="s">
        <v>231</v>
      </c>
      <c r="BG503" s="7" t="s">
        <v>231</v>
      </c>
      <c r="BH503" s="7" t="s">
        <v>231</v>
      </c>
      <c r="BI503" s="7"/>
      <c r="BJ503" s="4">
        <v>3</v>
      </c>
      <c r="BK503" s="8">
        <v>216.46</v>
      </c>
      <c r="BL503" s="2" t="s">
        <v>2996</v>
      </c>
      <c r="BM503" s="7"/>
      <c r="BN503" s="7"/>
      <c r="BO503" s="4"/>
      <c r="BP503" s="8"/>
      <c r="BQ503" s="4"/>
      <c r="BR503" s="8"/>
      <c r="BS503" s="7"/>
      <c r="BT503" s="7"/>
      <c r="BU503" s="2" t="s">
        <v>2997</v>
      </c>
      <c r="BV503" s="2" t="s">
        <v>231</v>
      </c>
      <c r="BW503" s="2" t="s">
        <v>231</v>
      </c>
      <c r="BX503" s="2" t="s">
        <v>241</v>
      </c>
      <c r="BY503" s="2" t="s">
        <v>277</v>
      </c>
      <c r="BZ503" s="2" t="s">
        <v>243</v>
      </c>
      <c r="CA503" s="2" t="s">
        <v>2986</v>
      </c>
      <c r="CB503" s="2" t="s">
        <v>231</v>
      </c>
      <c r="CC503" s="2" t="s">
        <v>244</v>
      </c>
      <c r="CD503" s="2" t="s">
        <v>231</v>
      </c>
      <c r="CE503" s="4">
        <v>52</v>
      </c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>
        <v>30</v>
      </c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>
        <v>20</v>
      </c>
      <c r="HF503" s="4"/>
      <c r="HG503" s="4"/>
      <c r="HH503" s="4"/>
      <c r="HI503" s="4"/>
      <c r="HJ503" s="4"/>
      <c r="HK503" s="4"/>
      <c r="HL503" s="4"/>
    </row>
    <row r="504">
      <c r="A504" s="2" t="s">
        <v>2998</v>
      </c>
      <c r="B504" s="2" t="s">
        <v>992</v>
      </c>
      <c r="C504" s="2" t="s">
        <v>288</v>
      </c>
      <c r="D504" s="2" t="s">
        <v>993</v>
      </c>
      <c r="E504" s="2" t="s">
        <v>994</v>
      </c>
      <c r="F504" s="2" t="s">
        <v>2892</v>
      </c>
      <c r="G504" s="2" t="s">
        <v>1844</v>
      </c>
      <c r="H504" s="2" t="s">
        <v>2999</v>
      </c>
      <c r="I504" s="2" t="s">
        <v>3000</v>
      </c>
      <c r="J504" s="2" t="s">
        <v>996</v>
      </c>
      <c r="K504" s="2" t="s">
        <v>1036</v>
      </c>
      <c r="L504" s="3">
        <v>16.65</v>
      </c>
      <c r="M504" s="3">
        <v>17.48</v>
      </c>
      <c r="N504" s="3">
        <v>36.99</v>
      </c>
      <c r="O504" s="2" t="s">
        <v>243</v>
      </c>
      <c r="P504" s="2" t="s">
        <v>341</v>
      </c>
      <c r="Q504" s="2" t="s">
        <v>237</v>
      </c>
      <c r="R504" s="2" t="s">
        <v>231</v>
      </c>
      <c r="S504" s="2" t="s">
        <v>3001</v>
      </c>
      <c r="T504" s="2" t="s">
        <v>231</v>
      </c>
      <c r="U504" s="2" t="s">
        <v>231</v>
      </c>
      <c r="V504" s="2" t="s">
        <v>987</v>
      </c>
      <c r="W504" s="2" t="s">
        <v>691</v>
      </c>
      <c r="X504" s="2" t="s">
        <v>1520</v>
      </c>
      <c r="Y504" s="2" t="s">
        <v>2971</v>
      </c>
      <c r="Z504" s="4">
        <v>180</v>
      </c>
      <c r="AA504" s="4">
        <f>=ROUNDDOWN(17.3076923076923,0)</f>
      </c>
      <c r="AB504" s="5">
        <v>10.4</v>
      </c>
      <c r="AC504" s="2" t="s">
        <v>701</v>
      </c>
      <c r="AD504" s="4">
        <v>376</v>
      </c>
      <c r="AE504" s="4">
        <v>376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231</v>
      </c>
      <c r="AW504" s="8" t="s">
        <v>231</v>
      </c>
      <c r="AX504" s="4" t="s">
        <v>231</v>
      </c>
      <c r="AY504" s="8" t="s">
        <v>231</v>
      </c>
      <c r="AZ504" s="7" t="s">
        <v>231</v>
      </c>
      <c r="BA504" s="7" t="s">
        <v>231</v>
      </c>
      <c r="BB504" s="7"/>
      <c r="BC504" s="4" t="s">
        <v>231</v>
      </c>
      <c r="BD504" s="8" t="s">
        <v>231</v>
      </c>
      <c r="BE504" s="4" t="s">
        <v>231</v>
      </c>
      <c r="BF504" s="8" t="s">
        <v>231</v>
      </c>
      <c r="BG504" s="7" t="s">
        <v>231</v>
      </c>
      <c r="BH504" s="7" t="s">
        <v>231</v>
      </c>
      <c r="BI504" s="7"/>
      <c r="BJ504" s="4">
        <v>44</v>
      </c>
      <c r="BK504" s="8">
        <v>684.21</v>
      </c>
      <c r="BL504" s="2" t="s">
        <v>3002</v>
      </c>
      <c r="BM504" s="7"/>
      <c r="BN504" s="7"/>
      <c r="BO504" s="4"/>
      <c r="BP504" s="8"/>
      <c r="BQ504" s="4"/>
      <c r="BR504" s="8"/>
      <c r="BS504" s="7"/>
      <c r="BT504" s="7"/>
      <c r="BU504" s="2" t="s">
        <v>3003</v>
      </c>
      <c r="BV504" s="2" t="s">
        <v>231</v>
      </c>
      <c r="BW504" s="2" t="s">
        <v>231</v>
      </c>
      <c r="BX504" s="2" t="s">
        <v>241</v>
      </c>
      <c r="BY504" s="2" t="s">
        <v>277</v>
      </c>
      <c r="BZ504" s="2" t="s">
        <v>243</v>
      </c>
      <c r="CA504" s="2" t="s">
        <v>3004</v>
      </c>
      <c r="CB504" s="2" t="s">
        <v>3005</v>
      </c>
      <c r="CC504" s="2" t="s">
        <v>244</v>
      </c>
      <c r="CD504" s="2" t="s">
        <v>231</v>
      </c>
      <c r="CE504" s="4">
        <v>180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>
        <v>376</v>
      </c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</row>
    <row r="505">
      <c r="A505" s="2" t="s">
        <v>3006</v>
      </c>
      <c r="B505" s="2" t="s">
        <v>992</v>
      </c>
      <c r="C505" s="2" t="s">
        <v>288</v>
      </c>
      <c r="D505" s="2" t="s">
        <v>993</v>
      </c>
      <c r="E505" s="2" t="s">
        <v>994</v>
      </c>
      <c r="F505" s="2" t="s">
        <v>2892</v>
      </c>
      <c r="G505" s="2" t="s">
        <v>1844</v>
      </c>
      <c r="H505" s="2" t="s">
        <v>2999</v>
      </c>
      <c r="I505" s="2" t="s">
        <v>3000</v>
      </c>
      <c r="J505" s="2" t="s">
        <v>1586</v>
      </c>
      <c r="K505" s="2" t="s">
        <v>1036</v>
      </c>
      <c r="L505" s="3">
        <v>18.8</v>
      </c>
      <c r="M505" s="3">
        <v>19.74</v>
      </c>
      <c r="N505" s="3">
        <v>39.99</v>
      </c>
      <c r="O505" s="2" t="s">
        <v>243</v>
      </c>
      <c r="P505" s="2" t="s">
        <v>341</v>
      </c>
      <c r="Q505" s="2" t="s">
        <v>237</v>
      </c>
      <c r="R505" s="2" t="s">
        <v>231</v>
      </c>
      <c r="S505" s="2" t="s">
        <v>3001</v>
      </c>
      <c r="T505" s="2" t="s">
        <v>231</v>
      </c>
      <c r="U505" s="2" t="s">
        <v>231</v>
      </c>
      <c r="V505" s="2" t="s">
        <v>987</v>
      </c>
      <c r="W505" s="2" t="s">
        <v>691</v>
      </c>
      <c r="X505" s="2" t="s">
        <v>1520</v>
      </c>
      <c r="Y505" s="2" t="s">
        <v>2971</v>
      </c>
      <c r="Z505" s="4">
        <v>81</v>
      </c>
      <c r="AA505" s="4">
        <f>=ROUNDDOWN(14.7272727272727,0)</f>
      </c>
      <c r="AB505" s="5">
        <v>5.5</v>
      </c>
      <c r="AC505" s="2" t="s">
        <v>701</v>
      </c>
      <c r="AD505" s="4">
        <v>148</v>
      </c>
      <c r="AE505" s="4">
        <v>148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231</v>
      </c>
      <c r="AW505" s="8" t="s">
        <v>231</v>
      </c>
      <c r="AX505" s="4" t="s">
        <v>231</v>
      </c>
      <c r="AY505" s="8" t="s">
        <v>231</v>
      </c>
      <c r="AZ505" s="7" t="s">
        <v>231</v>
      </c>
      <c r="BA505" s="7" t="s">
        <v>231</v>
      </c>
      <c r="BB505" s="7"/>
      <c r="BC505" s="4" t="s">
        <v>231</v>
      </c>
      <c r="BD505" s="8" t="s">
        <v>231</v>
      </c>
      <c r="BE505" s="4" t="s">
        <v>231</v>
      </c>
      <c r="BF505" s="8" t="s">
        <v>231</v>
      </c>
      <c r="BG505" s="7" t="s">
        <v>231</v>
      </c>
      <c r="BH505" s="7" t="s">
        <v>231</v>
      </c>
      <c r="BI505" s="7"/>
      <c r="BJ505" s="4">
        <v>45</v>
      </c>
      <c r="BK505" s="8">
        <v>772.76</v>
      </c>
      <c r="BL505" s="2" t="s">
        <v>3007</v>
      </c>
      <c r="BM505" s="7"/>
      <c r="BN505" s="7"/>
      <c r="BO505" s="4"/>
      <c r="BP505" s="8"/>
      <c r="BQ505" s="4"/>
      <c r="BR505" s="8"/>
      <c r="BS505" s="7"/>
      <c r="BT505" s="7"/>
      <c r="BU505" s="2" t="s">
        <v>3008</v>
      </c>
      <c r="BV505" s="2" t="s">
        <v>231</v>
      </c>
      <c r="BW505" s="2" t="s">
        <v>231</v>
      </c>
      <c r="BX505" s="2" t="s">
        <v>241</v>
      </c>
      <c r="BY505" s="2" t="s">
        <v>277</v>
      </c>
      <c r="BZ505" s="2" t="s">
        <v>243</v>
      </c>
      <c r="CA505" s="2" t="s">
        <v>3004</v>
      </c>
      <c r="CB505" s="2" t="s">
        <v>3009</v>
      </c>
      <c r="CC505" s="2" t="s">
        <v>244</v>
      </c>
      <c r="CD505" s="2" t="s">
        <v>231</v>
      </c>
      <c r="CE505" s="4">
        <v>81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>
        <v>148</v>
      </c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</row>
    <row r="506">
      <c r="A506" s="2" t="s">
        <v>3010</v>
      </c>
      <c r="B506" s="2" t="s">
        <v>226</v>
      </c>
      <c r="C506" s="2" t="s">
        <v>965</v>
      </c>
      <c r="D506" s="2" t="s">
        <v>654</v>
      </c>
      <c r="E506" s="2" t="s">
        <v>890</v>
      </c>
      <c r="F506" s="2" t="s">
        <v>3011</v>
      </c>
      <c r="G506" s="2" t="s">
        <v>3012</v>
      </c>
      <c r="H506" s="2" t="s">
        <v>3012</v>
      </c>
      <c r="I506" s="2" t="s">
        <v>3013</v>
      </c>
      <c r="J506" s="2" t="s">
        <v>302</v>
      </c>
      <c r="K506" s="2" t="s">
        <v>3014</v>
      </c>
      <c r="L506" s="3">
        <v>47.25</v>
      </c>
      <c r="M506" s="3">
        <v>49.61</v>
      </c>
      <c r="N506" s="3">
        <v>104.99</v>
      </c>
      <c r="O506" s="2" t="s">
        <v>243</v>
      </c>
      <c r="P506" s="2" t="s">
        <v>341</v>
      </c>
      <c r="Q506" s="2" t="s">
        <v>237</v>
      </c>
      <c r="R506" s="2" t="s">
        <v>231</v>
      </c>
      <c r="S506" s="2" t="s">
        <v>3015</v>
      </c>
      <c r="T506" s="2" t="s">
        <v>970</v>
      </c>
      <c r="U506" s="2" t="s">
        <v>835</v>
      </c>
      <c r="V506" s="2" t="s">
        <v>1304</v>
      </c>
      <c r="W506" s="2" t="s">
        <v>897</v>
      </c>
      <c r="X506" s="2" t="s">
        <v>971</v>
      </c>
      <c r="Y506" s="2" t="s">
        <v>3016</v>
      </c>
      <c r="Z506" s="4">
        <v>260</v>
      </c>
      <c r="AA506" s="4">
        <f>=ROUNDDOWN(43.3333333333333,0)</f>
      </c>
      <c r="AB506" s="5">
        <v>6</v>
      </c>
      <c r="AC506" s="2" t="s">
        <v>231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231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231</v>
      </c>
      <c r="BD506" s="8" t="s">
        <v>231</v>
      </c>
      <c r="BE506" s="4" t="s">
        <v>231</v>
      </c>
      <c r="BF506" s="8" t="s">
        <v>231</v>
      </c>
      <c r="BG506" s="7" t="s">
        <v>231</v>
      </c>
      <c r="BH506" s="7" t="s">
        <v>231</v>
      </c>
      <c r="BI506" s="7"/>
      <c r="BJ506" s="4">
        <v>1</v>
      </c>
      <c r="BK506" s="8">
        <v>35.06</v>
      </c>
      <c r="BL506" s="2" t="s">
        <v>628</v>
      </c>
      <c r="BM506" s="7"/>
      <c r="BN506" s="7"/>
      <c r="BO506" s="4"/>
      <c r="BP506" s="8"/>
      <c r="BQ506" s="4"/>
      <c r="BR506" s="8"/>
      <c r="BS506" s="7"/>
      <c r="BT506" s="7"/>
      <c r="BU506" s="2" t="s">
        <v>3017</v>
      </c>
      <c r="BV506" s="2" t="s">
        <v>231</v>
      </c>
      <c r="BW506" s="2" t="s">
        <v>231</v>
      </c>
      <c r="BX506" s="2" t="s">
        <v>231</v>
      </c>
      <c r="BY506" s="2" t="s">
        <v>277</v>
      </c>
      <c r="BZ506" s="2" t="s">
        <v>243</v>
      </c>
      <c r="CA506" s="2" t="s">
        <v>3016</v>
      </c>
      <c r="CB506" s="2" t="s">
        <v>3018</v>
      </c>
      <c r="CC506" s="2" t="s">
        <v>244</v>
      </c>
      <c r="CD506" s="2" t="s">
        <v>231</v>
      </c>
      <c r="CE506" s="4">
        <v>112</v>
      </c>
      <c r="CF506" s="4">
        <v>148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</row>
    <row r="507">
      <c r="A507" s="2" t="s">
        <v>3019</v>
      </c>
      <c r="B507" s="2" t="s">
        <v>1186</v>
      </c>
      <c r="C507" s="2" t="s">
        <v>1836</v>
      </c>
      <c r="D507" s="2" t="s">
        <v>654</v>
      </c>
      <c r="E507" s="2" t="s">
        <v>655</v>
      </c>
      <c r="F507" s="2" t="s">
        <v>3011</v>
      </c>
      <c r="G507" s="2" t="s">
        <v>3011</v>
      </c>
      <c r="H507" s="2" t="s">
        <v>3011</v>
      </c>
      <c r="I507" s="2" t="s">
        <v>3020</v>
      </c>
      <c r="J507" s="2" t="s">
        <v>669</v>
      </c>
      <c r="K507" s="2" t="s">
        <v>3021</v>
      </c>
      <c r="L507" s="3">
        <v>115.2</v>
      </c>
      <c r="M507" s="3">
        <v>120.96</v>
      </c>
      <c r="N507" s="3">
        <v>239.99</v>
      </c>
      <c r="O507" s="2" t="s">
        <v>235</v>
      </c>
      <c r="P507" s="2" t="s">
        <v>341</v>
      </c>
      <c r="Q507" s="2" t="s">
        <v>237</v>
      </c>
      <c r="R507" s="2" t="s">
        <v>231</v>
      </c>
      <c r="S507" s="2" t="s">
        <v>3022</v>
      </c>
      <c r="T507" s="2" t="s">
        <v>362</v>
      </c>
      <c r="U507" s="2" t="s">
        <v>661</v>
      </c>
      <c r="V507" s="2" t="s">
        <v>391</v>
      </c>
      <c r="W507" s="2" t="s">
        <v>363</v>
      </c>
      <c r="X507" s="2" t="s">
        <v>971</v>
      </c>
      <c r="Y507" s="2" t="s">
        <v>3023</v>
      </c>
      <c r="Z507" s="4">
        <v>135</v>
      </c>
      <c r="AA507" s="4">
        <f>=ROUNDDOWN(168.75,0)</f>
      </c>
      <c r="AB507" s="5">
        <v>0.8</v>
      </c>
      <c r="AC507" s="2" t="s">
        <v>231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231</v>
      </c>
      <c r="BD507" s="8" t="s">
        <v>231</v>
      </c>
      <c r="BE507" s="4" t="s">
        <v>231</v>
      </c>
      <c r="BF507" s="8" t="s">
        <v>231</v>
      </c>
      <c r="BG507" s="7" t="s">
        <v>231</v>
      </c>
      <c r="BH507" s="7" t="s">
        <v>231</v>
      </c>
      <c r="BI507" s="7"/>
      <c r="BJ507" s="4">
        <v>3</v>
      </c>
      <c r="BK507" s="8">
        <v>247.98</v>
      </c>
      <c r="BL507" s="2" t="s">
        <v>3024</v>
      </c>
      <c r="BM507" s="7"/>
      <c r="BN507" s="7"/>
      <c r="BO507" s="4"/>
      <c r="BP507" s="8"/>
      <c r="BQ507" s="4"/>
      <c r="BR507" s="8"/>
      <c r="BS507" s="7"/>
      <c r="BT507" s="7"/>
      <c r="BU507" s="2" t="s">
        <v>3025</v>
      </c>
      <c r="BV507" s="2" t="s">
        <v>231</v>
      </c>
      <c r="BW507" s="2" t="s">
        <v>231</v>
      </c>
      <c r="BX507" s="2" t="s">
        <v>231</v>
      </c>
      <c r="BY507" s="2" t="s">
        <v>277</v>
      </c>
      <c r="BZ507" s="2" t="s">
        <v>243</v>
      </c>
      <c r="CA507" s="2" t="s">
        <v>3026</v>
      </c>
      <c r="CB507" s="2" t="s">
        <v>3027</v>
      </c>
      <c r="CC507" s="2" t="s">
        <v>244</v>
      </c>
      <c r="CD507" s="2" t="s">
        <v>231</v>
      </c>
      <c r="CE507" s="4">
        <v>135</v>
      </c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</row>
    <row r="508">
      <c r="A508" s="2" t="s">
        <v>3028</v>
      </c>
      <c r="B508" s="2" t="s">
        <v>1004</v>
      </c>
      <c r="C508" s="2" t="s">
        <v>288</v>
      </c>
      <c r="D508" s="2" t="s">
        <v>1917</v>
      </c>
      <c r="E508" s="2" t="s">
        <v>1918</v>
      </c>
      <c r="F508" s="2" t="s">
        <v>3029</v>
      </c>
      <c r="G508" s="2" t="s">
        <v>3030</v>
      </c>
      <c r="H508" s="2" t="s">
        <v>3031</v>
      </c>
      <c r="I508" s="2" t="s">
        <v>3032</v>
      </c>
      <c r="J508" s="2" t="s">
        <v>807</v>
      </c>
      <c r="K508" s="2" t="s">
        <v>1136</v>
      </c>
      <c r="L508" s="3">
        <v>140</v>
      </c>
      <c r="M508" s="3">
        <v>147</v>
      </c>
      <c r="N508" s="3">
        <v>289</v>
      </c>
      <c r="O508" s="2" t="s">
        <v>243</v>
      </c>
      <c r="P508" s="2" t="s">
        <v>270</v>
      </c>
      <c r="Q508" s="2" t="s">
        <v>237</v>
      </c>
      <c r="R508" s="2" t="s">
        <v>231</v>
      </c>
      <c r="S508" s="2" t="s">
        <v>231</v>
      </c>
      <c r="T508" s="2" t="s">
        <v>231</v>
      </c>
      <c r="U508" s="2" t="s">
        <v>327</v>
      </c>
      <c r="V508" s="2" t="s">
        <v>662</v>
      </c>
      <c r="W508" s="2" t="s">
        <v>691</v>
      </c>
      <c r="X508" s="2" t="s">
        <v>299</v>
      </c>
      <c r="Y508" s="2" t="s">
        <v>963</v>
      </c>
      <c r="Z508" s="4"/>
      <c r="AA508" s="4">
        <f>=ROUNDDOWN({0},0)</f>
      </c>
      <c r="AB508" s="5">
        <v>12</v>
      </c>
      <c r="AC508" s="2" t="s">
        <v>2427</v>
      </c>
      <c r="AD508" s="4">
        <v>230</v>
      </c>
      <c r="AE508" s="4">
        <v>230</v>
      </c>
      <c r="AF508" s="6">
        <v>66</v>
      </c>
      <c r="AG508" s="6"/>
      <c r="AH508" s="7">
        <v>0</v>
      </c>
      <c r="AI508" s="4"/>
      <c r="AJ508" s="4">
        <f>=ROUNDDOWN({0},0)</f>
      </c>
      <c r="AK508" s="5"/>
      <c r="AL508" s="2" t="s">
        <v>231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231</v>
      </c>
      <c r="BM508" s="7"/>
      <c r="BN508" s="7"/>
      <c r="BO508" s="4"/>
      <c r="BP508" s="8"/>
      <c r="BQ508" s="4"/>
      <c r="BR508" s="8"/>
      <c r="BS508" s="7"/>
      <c r="BT508" s="7"/>
      <c r="BU508" s="2" t="s">
        <v>3033</v>
      </c>
      <c r="BV508" s="2" t="s">
        <v>231</v>
      </c>
      <c r="BW508" s="2" t="s">
        <v>231</v>
      </c>
      <c r="BX508" s="2" t="s">
        <v>241</v>
      </c>
      <c r="BY508" s="2" t="s">
        <v>277</v>
      </c>
      <c r="BZ508" s="2" t="s">
        <v>243</v>
      </c>
      <c r="CA508" s="2" t="s">
        <v>2990</v>
      </c>
      <c r="CB508" s="2" t="s">
        <v>3034</v>
      </c>
      <c r="CC508" s="2" t="s">
        <v>244</v>
      </c>
      <c r="CD508" s="2" t="s">
        <v>231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>
        <v>230</v>
      </c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</row>
    <row r="509">
      <c r="A509" s="2" t="s">
        <v>3035</v>
      </c>
      <c r="B509" s="2" t="s">
        <v>3036</v>
      </c>
      <c r="C509" s="2" t="s">
        <v>1233</v>
      </c>
      <c r="D509" s="2" t="s">
        <v>3037</v>
      </c>
      <c r="E509" s="2" t="s">
        <v>3038</v>
      </c>
      <c r="F509" s="2" t="s">
        <v>3039</v>
      </c>
      <c r="G509" s="2" t="s">
        <v>3039</v>
      </c>
      <c r="H509" s="2" t="s">
        <v>3039</v>
      </c>
      <c r="I509" s="2" t="s">
        <v>3040</v>
      </c>
      <c r="J509" s="2" t="s">
        <v>241</v>
      </c>
      <c r="K509" s="2" t="s">
        <v>3040</v>
      </c>
      <c r="L509" s="3">
        <v>7.42</v>
      </c>
      <c r="M509" s="3">
        <v>7.79</v>
      </c>
      <c r="N509" s="3">
        <v>15.99</v>
      </c>
      <c r="O509" s="2" t="s">
        <v>243</v>
      </c>
      <c r="P509" s="2" t="s">
        <v>236</v>
      </c>
      <c r="Q509" s="2" t="s">
        <v>237</v>
      </c>
      <c r="R509" s="2" t="s">
        <v>231</v>
      </c>
      <c r="S509" s="2" t="s">
        <v>231</v>
      </c>
      <c r="T509" s="2" t="s">
        <v>231</v>
      </c>
      <c r="U509" s="2" t="s">
        <v>327</v>
      </c>
      <c r="V509" s="2" t="s">
        <v>662</v>
      </c>
      <c r="W509" s="2" t="s">
        <v>273</v>
      </c>
      <c r="X509" s="2" t="s">
        <v>231</v>
      </c>
      <c r="Y509" s="2" t="s">
        <v>386</v>
      </c>
      <c r="Z509" s="4">
        <v>530</v>
      </c>
      <c r="AA509" s="4">
        <f>=ROUNDDOWN(23.0434782608696,0)</f>
      </c>
      <c r="AB509" s="5">
        <v>23</v>
      </c>
      <c r="AC509" s="2" t="s">
        <v>582</v>
      </c>
      <c r="AD509" s="4">
        <v>480</v>
      </c>
      <c r="AE509" s="4">
        <v>480</v>
      </c>
      <c r="AF509" s="6">
        <v>65</v>
      </c>
      <c r="AG509" s="6"/>
      <c r="AH509" s="7">
        <v>0.2581</v>
      </c>
      <c r="AI509" s="4"/>
      <c r="AJ509" s="4">
        <f>=ROUNDDOWN({0},0)</f>
      </c>
      <c r="AK509" s="5"/>
      <c r="AL509" s="2" t="s">
        <v>231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231</v>
      </c>
      <c r="BD509" s="8" t="s">
        <v>231</v>
      </c>
      <c r="BE509" s="4" t="s">
        <v>231</v>
      </c>
      <c r="BF509" s="8" t="s">
        <v>231</v>
      </c>
      <c r="BG509" s="7" t="s">
        <v>231</v>
      </c>
      <c r="BH509" s="7" t="s">
        <v>231</v>
      </c>
      <c r="BI509" s="7"/>
      <c r="BJ509" s="4"/>
      <c r="BK509" s="8"/>
      <c r="BL509" s="2" t="s">
        <v>231</v>
      </c>
      <c r="BM509" s="7"/>
      <c r="BN509" s="7"/>
      <c r="BO509" s="4"/>
      <c r="BP509" s="8"/>
      <c r="BQ509" s="4"/>
      <c r="BR509" s="8"/>
      <c r="BS509" s="7"/>
      <c r="BT509" s="7"/>
      <c r="BU509" s="2" t="s">
        <v>3041</v>
      </c>
      <c r="BV509" s="2" t="s">
        <v>231</v>
      </c>
      <c r="BW509" s="2" t="s">
        <v>231</v>
      </c>
      <c r="BX509" s="2" t="s">
        <v>241</v>
      </c>
      <c r="BY509" s="2" t="s">
        <v>277</v>
      </c>
      <c r="BZ509" s="2" t="s">
        <v>243</v>
      </c>
      <c r="CA509" s="2" t="s">
        <v>231</v>
      </c>
      <c r="CB509" s="2" t="s">
        <v>231</v>
      </c>
      <c r="CC509" s="2" t="s">
        <v>244</v>
      </c>
      <c r="CD509" s="2" t="s">
        <v>231</v>
      </c>
      <c r="CE509" s="4">
        <v>530</v>
      </c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>
        <v>480</v>
      </c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</row>
    <row r="510">
      <c r="A510" s="2" t="s">
        <v>3042</v>
      </c>
      <c r="B510" s="2" t="s">
        <v>3036</v>
      </c>
      <c r="C510" s="2" t="s">
        <v>1233</v>
      </c>
      <c r="D510" s="2" t="s">
        <v>3037</v>
      </c>
      <c r="E510" s="2" t="s">
        <v>3038</v>
      </c>
      <c r="F510" s="2" t="s">
        <v>3039</v>
      </c>
      <c r="G510" s="2" t="s">
        <v>3039</v>
      </c>
      <c r="H510" s="2" t="s">
        <v>3039</v>
      </c>
      <c r="I510" s="2" t="s">
        <v>3043</v>
      </c>
      <c r="J510" s="2" t="s">
        <v>807</v>
      </c>
      <c r="K510" s="2" t="s">
        <v>3044</v>
      </c>
      <c r="L510" s="3">
        <v>10.39</v>
      </c>
      <c r="M510" s="3">
        <v>10.91</v>
      </c>
      <c r="N510" s="3">
        <v>18.99</v>
      </c>
      <c r="O510" s="2" t="s">
        <v>243</v>
      </c>
      <c r="P510" s="2" t="s">
        <v>236</v>
      </c>
      <c r="Q510" s="2" t="s">
        <v>237</v>
      </c>
      <c r="R510" s="2" t="s">
        <v>231</v>
      </c>
      <c r="S510" s="2" t="s">
        <v>231</v>
      </c>
      <c r="T510" s="2" t="s">
        <v>231</v>
      </c>
      <c r="U510" s="2" t="s">
        <v>791</v>
      </c>
      <c r="V510" s="2" t="s">
        <v>662</v>
      </c>
      <c r="W510" s="2" t="s">
        <v>273</v>
      </c>
      <c r="X510" s="2" t="s">
        <v>231</v>
      </c>
      <c r="Y510" s="2" t="s">
        <v>3045</v>
      </c>
      <c r="Z510" s="4">
        <v>617</v>
      </c>
      <c r="AA510" s="4">
        <f>=ROUNDDOWN(154.25,0)</f>
      </c>
      <c r="AB510" s="5">
        <v>4</v>
      </c>
      <c r="AC510" s="2" t="s">
        <v>231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231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231</v>
      </c>
      <c r="BD510" s="8" t="s">
        <v>231</v>
      </c>
      <c r="BE510" s="4" t="s">
        <v>231</v>
      </c>
      <c r="BF510" s="8" t="s">
        <v>231</v>
      </c>
      <c r="BG510" s="7" t="s">
        <v>231</v>
      </c>
      <c r="BH510" s="7" t="s">
        <v>231</v>
      </c>
      <c r="BI510" s="7"/>
      <c r="BJ510" s="4">
        <v>1</v>
      </c>
      <c r="BK510" s="8">
        <v>11.95</v>
      </c>
      <c r="BL510" s="2" t="s">
        <v>2565</v>
      </c>
      <c r="BM510" s="7"/>
      <c r="BN510" s="7"/>
      <c r="BO510" s="4"/>
      <c r="BP510" s="8"/>
      <c r="BQ510" s="4"/>
      <c r="BR510" s="8"/>
      <c r="BS510" s="7"/>
      <c r="BT510" s="7"/>
      <c r="BU510" s="2" t="s">
        <v>3046</v>
      </c>
      <c r="BV510" s="2" t="s">
        <v>231</v>
      </c>
      <c r="BW510" s="2" t="s">
        <v>231</v>
      </c>
      <c r="BX510" s="2" t="s">
        <v>241</v>
      </c>
      <c r="BY510" s="2" t="s">
        <v>277</v>
      </c>
      <c r="BZ510" s="2" t="s">
        <v>243</v>
      </c>
      <c r="CA510" s="2" t="s">
        <v>1119</v>
      </c>
      <c r="CB510" s="2" t="s">
        <v>231</v>
      </c>
      <c r="CC510" s="2" t="s">
        <v>244</v>
      </c>
      <c r="CD510" s="2" t="s">
        <v>231</v>
      </c>
      <c r="CE510" s="4"/>
      <c r="CF510" s="4">
        <v>307</v>
      </c>
      <c r="CG510" s="4"/>
      <c r="CH510" s="4"/>
      <c r="CI510" s="4">
        <v>310</v>
      </c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</row>
    <row r="511">
      <c r="A511" s="2" t="s">
        <v>3047</v>
      </c>
      <c r="B511" s="2" t="s">
        <v>3036</v>
      </c>
      <c r="C511" s="2" t="s">
        <v>1233</v>
      </c>
      <c r="D511" s="2" t="s">
        <v>3037</v>
      </c>
      <c r="E511" s="2" t="s">
        <v>3038</v>
      </c>
      <c r="F511" s="2" t="s">
        <v>3039</v>
      </c>
      <c r="G511" s="2" t="s">
        <v>3039</v>
      </c>
      <c r="H511" s="2" t="s">
        <v>3039</v>
      </c>
      <c r="I511" s="2" t="s">
        <v>3048</v>
      </c>
      <c r="J511" s="2" t="s">
        <v>807</v>
      </c>
      <c r="K511" s="2" t="s">
        <v>3049</v>
      </c>
      <c r="L511" s="3">
        <v>6.36</v>
      </c>
      <c r="M511" s="3">
        <v>6.68</v>
      </c>
      <c r="N511" s="3">
        <v>12.99</v>
      </c>
      <c r="O511" s="2" t="s">
        <v>243</v>
      </c>
      <c r="P511" s="2" t="s">
        <v>236</v>
      </c>
      <c r="Q511" s="2" t="s">
        <v>237</v>
      </c>
      <c r="R511" s="2" t="s">
        <v>231</v>
      </c>
      <c r="S511" s="2" t="s">
        <v>231</v>
      </c>
      <c r="T511" s="2" t="s">
        <v>231</v>
      </c>
      <c r="U511" s="2" t="s">
        <v>327</v>
      </c>
      <c r="V511" s="2" t="s">
        <v>662</v>
      </c>
      <c r="W511" s="2" t="s">
        <v>273</v>
      </c>
      <c r="X511" s="2" t="s">
        <v>231</v>
      </c>
      <c r="Y511" s="2" t="s">
        <v>3045</v>
      </c>
      <c r="Z511" s="4">
        <v>274</v>
      </c>
      <c r="AA511" s="4">
        <f>=ROUNDDOWN(34.25,0)</f>
      </c>
      <c r="AB511" s="5">
        <v>8</v>
      </c>
      <c r="AC511" s="2" t="s">
        <v>231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231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231</v>
      </c>
      <c r="BD511" s="8" t="s">
        <v>231</v>
      </c>
      <c r="BE511" s="4" t="s">
        <v>231</v>
      </c>
      <c r="BF511" s="8" t="s">
        <v>231</v>
      </c>
      <c r="BG511" s="7" t="s">
        <v>231</v>
      </c>
      <c r="BH511" s="7" t="s">
        <v>231</v>
      </c>
      <c r="BI511" s="7"/>
      <c r="BJ511" s="4">
        <v>168</v>
      </c>
      <c r="BK511" s="8">
        <v>1228.08</v>
      </c>
      <c r="BL511" s="2" t="s">
        <v>3050</v>
      </c>
      <c r="BM511" s="7"/>
      <c r="BN511" s="7"/>
      <c r="BO511" s="4"/>
      <c r="BP511" s="8"/>
      <c r="BQ511" s="4"/>
      <c r="BR511" s="8"/>
      <c r="BS511" s="7"/>
      <c r="BT511" s="7"/>
      <c r="BU511" s="2" t="s">
        <v>3051</v>
      </c>
      <c r="BV511" s="2" t="s">
        <v>231</v>
      </c>
      <c r="BW511" s="2" t="s">
        <v>231</v>
      </c>
      <c r="BX511" s="2" t="s">
        <v>241</v>
      </c>
      <c r="BY511" s="2" t="s">
        <v>277</v>
      </c>
      <c r="BZ511" s="2" t="s">
        <v>243</v>
      </c>
      <c r="CA511" s="2" t="s">
        <v>1119</v>
      </c>
      <c r="CB511" s="2" t="s">
        <v>231</v>
      </c>
      <c r="CC511" s="2" t="s">
        <v>244</v>
      </c>
      <c r="CD511" s="2" t="s">
        <v>231</v>
      </c>
      <c r="CE511" s="4"/>
      <c r="CF511" s="4">
        <v>159</v>
      </c>
      <c r="CG511" s="4"/>
      <c r="CH511" s="4"/>
      <c r="CI511" s="4">
        <v>115</v>
      </c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</row>
    <row r="512">
      <c r="A512" s="2" t="s">
        <v>3052</v>
      </c>
      <c r="B512" s="2" t="s">
        <v>3036</v>
      </c>
      <c r="C512" s="2" t="s">
        <v>1233</v>
      </c>
      <c r="D512" s="2" t="s">
        <v>3037</v>
      </c>
      <c r="E512" s="2" t="s">
        <v>3038</v>
      </c>
      <c r="F512" s="2" t="s">
        <v>3039</v>
      </c>
      <c r="G512" s="2" t="s">
        <v>3039</v>
      </c>
      <c r="H512" s="2" t="s">
        <v>3039</v>
      </c>
      <c r="I512" s="2" t="s">
        <v>3053</v>
      </c>
      <c r="J512" s="2" t="s">
        <v>807</v>
      </c>
      <c r="K512" s="2" t="s">
        <v>3054</v>
      </c>
      <c r="L512" s="3">
        <v>9.54</v>
      </c>
      <c r="M512" s="3">
        <v>10.02</v>
      </c>
      <c r="N512" s="3">
        <v>18.99</v>
      </c>
      <c r="O512" s="2" t="s">
        <v>243</v>
      </c>
      <c r="P512" s="2" t="s">
        <v>236</v>
      </c>
      <c r="Q512" s="2" t="s">
        <v>237</v>
      </c>
      <c r="R512" s="2" t="s">
        <v>231</v>
      </c>
      <c r="S512" s="2" t="s">
        <v>231</v>
      </c>
      <c r="T512" s="2" t="s">
        <v>231</v>
      </c>
      <c r="U512" s="2" t="s">
        <v>791</v>
      </c>
      <c r="V512" s="2" t="s">
        <v>662</v>
      </c>
      <c r="W512" s="2" t="s">
        <v>273</v>
      </c>
      <c r="X512" s="2" t="s">
        <v>231</v>
      </c>
      <c r="Y512" s="2" t="s">
        <v>3045</v>
      </c>
      <c r="Z512" s="4">
        <v>598</v>
      </c>
      <c r="AA512" s="4">
        <f>=ROUNDDOWN(149.5,0)</f>
      </c>
      <c r="AB512" s="5">
        <v>4</v>
      </c>
      <c r="AC512" s="2" t="s">
        <v>231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231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231</v>
      </c>
      <c r="BD512" s="8" t="s">
        <v>231</v>
      </c>
      <c r="BE512" s="4" t="s">
        <v>231</v>
      </c>
      <c r="BF512" s="8" t="s">
        <v>231</v>
      </c>
      <c r="BG512" s="7" t="s">
        <v>231</v>
      </c>
      <c r="BH512" s="7" t="s">
        <v>231</v>
      </c>
      <c r="BI512" s="7"/>
      <c r="BJ512" s="4">
        <v>4</v>
      </c>
      <c r="BK512" s="8">
        <v>43.88</v>
      </c>
      <c r="BL512" s="2" t="s">
        <v>3055</v>
      </c>
      <c r="BM512" s="7"/>
      <c r="BN512" s="7"/>
      <c r="BO512" s="4"/>
      <c r="BP512" s="8"/>
      <c r="BQ512" s="4"/>
      <c r="BR512" s="8"/>
      <c r="BS512" s="7"/>
      <c r="BT512" s="7"/>
      <c r="BU512" s="2" t="s">
        <v>3056</v>
      </c>
      <c r="BV512" s="2" t="s">
        <v>231</v>
      </c>
      <c r="BW512" s="2" t="s">
        <v>231</v>
      </c>
      <c r="BX512" s="2" t="s">
        <v>241</v>
      </c>
      <c r="BY512" s="2" t="s">
        <v>277</v>
      </c>
      <c r="BZ512" s="2" t="s">
        <v>243</v>
      </c>
      <c r="CA512" s="2" t="s">
        <v>1119</v>
      </c>
      <c r="CB512" s="2" t="s">
        <v>231</v>
      </c>
      <c r="CC512" s="2" t="s">
        <v>244</v>
      </c>
      <c r="CD512" s="2" t="s">
        <v>231</v>
      </c>
      <c r="CE512" s="4"/>
      <c r="CF512" s="4">
        <v>296</v>
      </c>
      <c r="CG512" s="4"/>
      <c r="CH512" s="4"/>
      <c r="CI512" s="4">
        <v>302</v>
      </c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</row>
    <row r="513">
      <c r="A513" s="2" t="s">
        <v>3057</v>
      </c>
      <c r="B513" s="2" t="s">
        <v>3036</v>
      </c>
      <c r="C513" s="2" t="s">
        <v>1233</v>
      </c>
      <c r="D513" s="2" t="s">
        <v>3037</v>
      </c>
      <c r="E513" s="2" t="s">
        <v>3038</v>
      </c>
      <c r="F513" s="2" t="s">
        <v>3039</v>
      </c>
      <c r="G513" s="2" t="s">
        <v>3039</v>
      </c>
      <c r="H513" s="2" t="s">
        <v>3039</v>
      </c>
      <c r="I513" s="2" t="s">
        <v>3058</v>
      </c>
      <c r="J513" s="2" t="s">
        <v>807</v>
      </c>
      <c r="K513" s="2" t="s">
        <v>3059</v>
      </c>
      <c r="L513" s="3">
        <v>9.92</v>
      </c>
      <c r="M513" s="3">
        <v>10.42</v>
      </c>
      <c r="N513" s="3">
        <v>18.99</v>
      </c>
      <c r="O513" s="2" t="s">
        <v>243</v>
      </c>
      <c r="P513" s="2" t="s">
        <v>236</v>
      </c>
      <c r="Q513" s="2" t="s">
        <v>237</v>
      </c>
      <c r="R513" s="2" t="s">
        <v>231</v>
      </c>
      <c r="S513" s="2" t="s">
        <v>231</v>
      </c>
      <c r="T513" s="2" t="s">
        <v>231</v>
      </c>
      <c r="U513" s="2" t="s">
        <v>791</v>
      </c>
      <c r="V513" s="2" t="s">
        <v>662</v>
      </c>
      <c r="W513" s="2" t="s">
        <v>273</v>
      </c>
      <c r="X513" s="2" t="s">
        <v>231</v>
      </c>
      <c r="Y513" s="2" t="s">
        <v>3045</v>
      </c>
      <c r="Z513" s="4">
        <v>542</v>
      </c>
      <c r="AA513" s="4">
        <f>=ROUNDDOWN(108.4,0)</f>
      </c>
      <c r="AB513" s="5">
        <v>5</v>
      </c>
      <c r="AC513" s="2" t="s">
        <v>231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231</v>
      </c>
      <c r="BD513" s="8" t="s">
        <v>231</v>
      </c>
      <c r="BE513" s="4" t="s">
        <v>231</v>
      </c>
      <c r="BF513" s="8" t="s">
        <v>231</v>
      </c>
      <c r="BG513" s="7" t="s">
        <v>231</v>
      </c>
      <c r="BH513" s="7" t="s">
        <v>231</v>
      </c>
      <c r="BI513" s="7"/>
      <c r="BJ513" s="4">
        <v>7</v>
      </c>
      <c r="BK513" s="8">
        <v>79.87</v>
      </c>
      <c r="BL513" s="2" t="s">
        <v>2565</v>
      </c>
      <c r="BM513" s="7"/>
      <c r="BN513" s="7"/>
      <c r="BO513" s="4"/>
      <c r="BP513" s="8"/>
      <c r="BQ513" s="4"/>
      <c r="BR513" s="8"/>
      <c r="BS513" s="7"/>
      <c r="BT513" s="7"/>
      <c r="BU513" s="2" t="s">
        <v>3060</v>
      </c>
      <c r="BV513" s="2" t="s">
        <v>231</v>
      </c>
      <c r="BW513" s="2" t="s">
        <v>231</v>
      </c>
      <c r="BX513" s="2" t="s">
        <v>241</v>
      </c>
      <c r="BY513" s="2" t="s">
        <v>277</v>
      </c>
      <c r="BZ513" s="2" t="s">
        <v>243</v>
      </c>
      <c r="CA513" s="2" t="s">
        <v>1119</v>
      </c>
      <c r="CB513" s="2" t="s">
        <v>231</v>
      </c>
      <c r="CC513" s="2" t="s">
        <v>244</v>
      </c>
      <c r="CD513" s="2" t="s">
        <v>231</v>
      </c>
      <c r="CE513" s="4"/>
      <c r="CF513" s="4">
        <v>247</v>
      </c>
      <c r="CG513" s="4"/>
      <c r="CH513" s="4"/>
      <c r="CI513" s="4">
        <v>295</v>
      </c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</row>
    <row r="514">
      <c r="A514" s="2" t="s">
        <v>3061</v>
      </c>
      <c r="B514" s="2" t="s">
        <v>3036</v>
      </c>
      <c r="C514" s="2" t="s">
        <v>1233</v>
      </c>
      <c r="D514" s="2" t="s">
        <v>3037</v>
      </c>
      <c r="E514" s="2" t="s">
        <v>3038</v>
      </c>
      <c r="F514" s="2" t="s">
        <v>3039</v>
      </c>
      <c r="G514" s="2" t="s">
        <v>3039</v>
      </c>
      <c r="H514" s="2" t="s">
        <v>3039</v>
      </c>
      <c r="I514" s="2" t="s">
        <v>3062</v>
      </c>
      <c r="J514" s="2" t="s">
        <v>241</v>
      </c>
      <c r="K514" s="2" t="s">
        <v>3063</v>
      </c>
      <c r="L514" s="3">
        <v>7.37</v>
      </c>
      <c r="M514" s="3">
        <v>7.74</v>
      </c>
      <c r="N514" s="3">
        <v>15.99</v>
      </c>
      <c r="O514" s="2" t="s">
        <v>243</v>
      </c>
      <c r="P514" s="2" t="s">
        <v>236</v>
      </c>
      <c r="Q514" s="2" t="s">
        <v>237</v>
      </c>
      <c r="R514" s="2" t="s">
        <v>231</v>
      </c>
      <c r="S514" s="2" t="s">
        <v>231</v>
      </c>
      <c r="T514" s="2" t="s">
        <v>231</v>
      </c>
      <c r="U514" s="2" t="s">
        <v>327</v>
      </c>
      <c r="V514" s="2" t="s">
        <v>662</v>
      </c>
      <c r="W514" s="2" t="s">
        <v>273</v>
      </c>
      <c r="X514" s="2" t="s">
        <v>231</v>
      </c>
      <c r="Y514" s="2" t="s">
        <v>386</v>
      </c>
      <c r="Z514" s="4">
        <v>307</v>
      </c>
      <c r="AA514" s="4">
        <f>=ROUNDDOWN(76.75,0)</f>
      </c>
      <c r="AB514" s="5">
        <v>4</v>
      </c>
      <c r="AC514" s="2" t="s">
        <v>582</v>
      </c>
      <c r="AD514" s="4">
        <v>360</v>
      </c>
      <c r="AE514" s="4">
        <v>360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231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231</v>
      </c>
      <c r="BD514" s="8" t="s">
        <v>231</v>
      </c>
      <c r="BE514" s="4" t="s">
        <v>231</v>
      </c>
      <c r="BF514" s="8" t="s">
        <v>231</v>
      </c>
      <c r="BG514" s="7" t="s">
        <v>231</v>
      </c>
      <c r="BH514" s="7" t="s">
        <v>231</v>
      </c>
      <c r="BI514" s="7"/>
      <c r="BJ514" s="4"/>
      <c r="BK514" s="8"/>
      <c r="BL514" s="2" t="s">
        <v>231</v>
      </c>
      <c r="BM514" s="7"/>
      <c r="BN514" s="7"/>
      <c r="BO514" s="4"/>
      <c r="BP514" s="8"/>
      <c r="BQ514" s="4"/>
      <c r="BR514" s="8"/>
      <c r="BS514" s="7"/>
      <c r="BT514" s="7"/>
      <c r="BU514" s="2" t="s">
        <v>3064</v>
      </c>
      <c r="BV514" s="2" t="s">
        <v>231</v>
      </c>
      <c r="BW514" s="2" t="s">
        <v>231</v>
      </c>
      <c r="BX514" s="2" t="s">
        <v>241</v>
      </c>
      <c r="BY514" s="2" t="s">
        <v>277</v>
      </c>
      <c r="BZ514" s="2" t="s">
        <v>243</v>
      </c>
      <c r="CA514" s="2" t="s">
        <v>231</v>
      </c>
      <c r="CB514" s="2" t="s">
        <v>231</v>
      </c>
      <c r="CC514" s="2" t="s">
        <v>244</v>
      </c>
      <c r="CD514" s="2" t="s">
        <v>231</v>
      </c>
      <c r="CE514" s="4">
        <v>307</v>
      </c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>
        <v>360</v>
      </c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</row>
    <row r="515">
      <c r="A515" s="2" t="s">
        <v>3065</v>
      </c>
      <c r="B515" s="2" t="s">
        <v>3036</v>
      </c>
      <c r="C515" s="2" t="s">
        <v>1233</v>
      </c>
      <c r="D515" s="2" t="s">
        <v>3037</v>
      </c>
      <c r="E515" s="2" t="s">
        <v>3038</v>
      </c>
      <c r="F515" s="2" t="s">
        <v>3039</v>
      </c>
      <c r="G515" s="2" t="s">
        <v>3039</v>
      </c>
      <c r="H515" s="2" t="s">
        <v>3039</v>
      </c>
      <c r="I515" s="2" t="s">
        <v>3062</v>
      </c>
      <c r="J515" s="2" t="s">
        <v>241</v>
      </c>
      <c r="K515" s="2" t="s">
        <v>3066</v>
      </c>
      <c r="L515" s="3">
        <v>7.37</v>
      </c>
      <c r="M515" s="3">
        <v>7.74</v>
      </c>
      <c r="N515" s="3">
        <v>15.99</v>
      </c>
      <c r="O515" s="2" t="s">
        <v>243</v>
      </c>
      <c r="P515" s="2" t="s">
        <v>236</v>
      </c>
      <c r="Q515" s="2" t="s">
        <v>237</v>
      </c>
      <c r="R515" s="2" t="s">
        <v>231</v>
      </c>
      <c r="S515" s="2" t="s">
        <v>231</v>
      </c>
      <c r="T515" s="2" t="s">
        <v>231</v>
      </c>
      <c r="U515" s="2" t="s">
        <v>327</v>
      </c>
      <c r="V515" s="2" t="s">
        <v>662</v>
      </c>
      <c r="W515" s="2" t="s">
        <v>273</v>
      </c>
      <c r="X515" s="2" t="s">
        <v>231</v>
      </c>
      <c r="Y515" s="2" t="s">
        <v>386</v>
      </c>
      <c r="Z515" s="4">
        <v>250</v>
      </c>
      <c r="AA515" s="4">
        <f>=ROUNDDOWN(62.5,0)</f>
      </c>
      <c r="AB515" s="5">
        <v>4</v>
      </c>
      <c r="AC515" s="2" t="s">
        <v>582</v>
      </c>
      <c r="AD515" s="4">
        <v>360</v>
      </c>
      <c r="AE515" s="4">
        <v>360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231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231</v>
      </c>
      <c r="BD515" s="8" t="s">
        <v>231</v>
      </c>
      <c r="BE515" s="4" t="s">
        <v>231</v>
      </c>
      <c r="BF515" s="8" t="s">
        <v>231</v>
      </c>
      <c r="BG515" s="7" t="s">
        <v>231</v>
      </c>
      <c r="BH515" s="7" t="s">
        <v>231</v>
      </c>
      <c r="BI515" s="7"/>
      <c r="BJ515" s="4"/>
      <c r="BK515" s="8"/>
      <c r="BL515" s="2" t="s">
        <v>231</v>
      </c>
      <c r="BM515" s="7"/>
      <c r="BN515" s="7"/>
      <c r="BO515" s="4"/>
      <c r="BP515" s="8"/>
      <c r="BQ515" s="4"/>
      <c r="BR515" s="8"/>
      <c r="BS515" s="7"/>
      <c r="BT515" s="7"/>
      <c r="BU515" s="2" t="s">
        <v>3067</v>
      </c>
      <c r="BV515" s="2" t="s">
        <v>231</v>
      </c>
      <c r="BW515" s="2" t="s">
        <v>231</v>
      </c>
      <c r="BX515" s="2" t="s">
        <v>241</v>
      </c>
      <c r="BY515" s="2" t="s">
        <v>277</v>
      </c>
      <c r="BZ515" s="2" t="s">
        <v>243</v>
      </c>
      <c r="CA515" s="2" t="s">
        <v>231</v>
      </c>
      <c r="CB515" s="2" t="s">
        <v>231</v>
      </c>
      <c r="CC515" s="2" t="s">
        <v>244</v>
      </c>
      <c r="CD515" s="2" t="s">
        <v>231</v>
      </c>
      <c r="CE515" s="4">
        <v>250</v>
      </c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>
        <v>360</v>
      </c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</row>
    <row r="516">
      <c r="A516" s="2" t="s">
        <v>3068</v>
      </c>
      <c r="B516" s="2" t="s">
        <v>3036</v>
      </c>
      <c r="C516" s="2" t="s">
        <v>1233</v>
      </c>
      <c r="D516" s="2" t="s">
        <v>3037</v>
      </c>
      <c r="E516" s="2" t="s">
        <v>3038</v>
      </c>
      <c r="F516" s="2" t="s">
        <v>3039</v>
      </c>
      <c r="G516" s="2" t="s">
        <v>3039</v>
      </c>
      <c r="H516" s="2" t="s">
        <v>3039</v>
      </c>
      <c r="I516" s="2" t="s">
        <v>3069</v>
      </c>
      <c r="J516" s="2" t="s">
        <v>241</v>
      </c>
      <c r="K516" s="2" t="s">
        <v>3070</v>
      </c>
      <c r="L516" s="3">
        <v>7.08</v>
      </c>
      <c r="M516" s="3">
        <v>7.43</v>
      </c>
      <c r="N516" s="3">
        <v>15.99</v>
      </c>
      <c r="O516" s="2" t="s">
        <v>243</v>
      </c>
      <c r="P516" s="2" t="s">
        <v>236</v>
      </c>
      <c r="Q516" s="2" t="s">
        <v>237</v>
      </c>
      <c r="R516" s="2" t="s">
        <v>231</v>
      </c>
      <c r="S516" s="2" t="s">
        <v>231</v>
      </c>
      <c r="T516" s="2" t="s">
        <v>231</v>
      </c>
      <c r="U516" s="2" t="s">
        <v>327</v>
      </c>
      <c r="V516" s="2" t="s">
        <v>662</v>
      </c>
      <c r="W516" s="2" t="s">
        <v>273</v>
      </c>
      <c r="X516" s="2" t="s">
        <v>231</v>
      </c>
      <c r="Y516" s="2" t="s">
        <v>3071</v>
      </c>
      <c r="Z516" s="4">
        <v>385</v>
      </c>
      <c r="AA516" s="4">
        <f>=ROUNDDOWN(38.5,0)</f>
      </c>
      <c r="AB516" s="5">
        <v>10</v>
      </c>
      <c r="AC516" s="2" t="s">
        <v>582</v>
      </c>
      <c r="AD516" s="4">
        <v>588</v>
      </c>
      <c r="AE516" s="4">
        <v>588</v>
      </c>
      <c r="AF516" s="6">
        <v>65</v>
      </c>
      <c r="AG516" s="6"/>
      <c r="AH516" s="7">
        <v>0.871</v>
      </c>
      <c r="AI516" s="4"/>
      <c r="AJ516" s="4">
        <f>=ROUNDDOWN({0},0)</f>
      </c>
      <c r="AK516" s="5"/>
      <c r="AL516" s="2" t="s">
        <v>231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231</v>
      </c>
      <c r="BD516" s="8" t="s">
        <v>231</v>
      </c>
      <c r="BE516" s="4" t="s">
        <v>231</v>
      </c>
      <c r="BF516" s="8" t="s">
        <v>231</v>
      </c>
      <c r="BG516" s="7" t="s">
        <v>231</v>
      </c>
      <c r="BH516" s="7" t="s">
        <v>231</v>
      </c>
      <c r="BI516" s="7"/>
      <c r="BJ516" s="4">
        <v>12</v>
      </c>
      <c r="BK516" s="8">
        <v>132.48</v>
      </c>
      <c r="BL516" s="2" t="s">
        <v>1020</v>
      </c>
      <c r="BM516" s="7"/>
      <c r="BN516" s="7"/>
      <c r="BO516" s="4"/>
      <c r="BP516" s="8"/>
      <c r="BQ516" s="4"/>
      <c r="BR516" s="8"/>
      <c r="BS516" s="7"/>
      <c r="BT516" s="7"/>
      <c r="BU516" s="2" t="s">
        <v>3072</v>
      </c>
      <c r="BV516" s="2" t="s">
        <v>231</v>
      </c>
      <c r="BW516" s="2" t="s">
        <v>231</v>
      </c>
      <c r="BX516" s="2" t="s">
        <v>241</v>
      </c>
      <c r="BY516" s="2" t="s">
        <v>277</v>
      </c>
      <c r="BZ516" s="2" t="s">
        <v>243</v>
      </c>
      <c r="CA516" s="2" t="s">
        <v>231</v>
      </c>
      <c r="CB516" s="2" t="s">
        <v>231</v>
      </c>
      <c r="CC516" s="2" t="s">
        <v>244</v>
      </c>
      <c r="CD516" s="2" t="s">
        <v>231</v>
      </c>
      <c r="CE516" s="4">
        <v>385</v>
      </c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>
        <v>588</v>
      </c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</row>
    <row r="517">
      <c r="A517" s="2" t="s">
        <v>3073</v>
      </c>
      <c r="B517" s="2" t="s">
        <v>3036</v>
      </c>
      <c r="C517" s="2" t="s">
        <v>1233</v>
      </c>
      <c r="D517" s="2" t="s">
        <v>3037</v>
      </c>
      <c r="E517" s="2" t="s">
        <v>3038</v>
      </c>
      <c r="F517" s="2" t="s">
        <v>3039</v>
      </c>
      <c r="G517" s="2" t="s">
        <v>3039</v>
      </c>
      <c r="H517" s="2" t="s">
        <v>3039</v>
      </c>
      <c r="I517" s="2" t="s">
        <v>3074</v>
      </c>
      <c r="J517" s="2" t="s">
        <v>807</v>
      </c>
      <c r="K517" s="2" t="s">
        <v>1169</v>
      </c>
      <c r="L517" s="3">
        <v>8.06</v>
      </c>
      <c r="M517" s="3">
        <v>8.46</v>
      </c>
      <c r="N517" s="3">
        <v>14.99</v>
      </c>
      <c r="O517" s="2" t="s">
        <v>243</v>
      </c>
      <c r="P517" s="2" t="s">
        <v>236</v>
      </c>
      <c r="Q517" s="2" t="s">
        <v>237</v>
      </c>
      <c r="R517" s="2" t="s">
        <v>231</v>
      </c>
      <c r="S517" s="2" t="s">
        <v>231</v>
      </c>
      <c r="T517" s="2" t="s">
        <v>231</v>
      </c>
      <c r="U517" s="2" t="s">
        <v>327</v>
      </c>
      <c r="V517" s="2" t="s">
        <v>662</v>
      </c>
      <c r="W517" s="2" t="s">
        <v>273</v>
      </c>
      <c r="X517" s="2" t="s">
        <v>231</v>
      </c>
      <c r="Y517" s="2" t="s">
        <v>3045</v>
      </c>
      <c r="Z517" s="4">
        <v>252</v>
      </c>
      <c r="AA517" s="4">
        <f>=ROUNDDOWN(37.0588235294118,0)</f>
      </c>
      <c r="AB517" s="5">
        <v>6.8</v>
      </c>
      <c r="AC517" s="2" t="s">
        <v>231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231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231</v>
      </c>
      <c r="BD517" s="8" t="s">
        <v>231</v>
      </c>
      <c r="BE517" s="4" t="s">
        <v>231</v>
      </c>
      <c r="BF517" s="8" t="s">
        <v>231</v>
      </c>
      <c r="BG517" s="7" t="s">
        <v>231</v>
      </c>
      <c r="BH517" s="7" t="s">
        <v>231</v>
      </c>
      <c r="BI517" s="7"/>
      <c r="BJ517" s="4">
        <v>216</v>
      </c>
      <c r="BK517" s="8">
        <v>2002.32</v>
      </c>
      <c r="BL517" s="2" t="s">
        <v>2594</v>
      </c>
      <c r="BM517" s="7"/>
      <c r="BN517" s="7"/>
      <c r="BO517" s="4"/>
      <c r="BP517" s="8"/>
      <c r="BQ517" s="4"/>
      <c r="BR517" s="8"/>
      <c r="BS517" s="7"/>
      <c r="BT517" s="7"/>
      <c r="BU517" s="2" t="s">
        <v>3075</v>
      </c>
      <c r="BV517" s="2" t="s">
        <v>231</v>
      </c>
      <c r="BW517" s="2" t="s">
        <v>231</v>
      </c>
      <c r="BX517" s="2" t="s">
        <v>241</v>
      </c>
      <c r="BY517" s="2" t="s">
        <v>277</v>
      </c>
      <c r="BZ517" s="2" t="s">
        <v>243</v>
      </c>
      <c r="CA517" s="2" t="s">
        <v>1119</v>
      </c>
      <c r="CB517" s="2" t="s">
        <v>231</v>
      </c>
      <c r="CC517" s="2" t="s">
        <v>244</v>
      </c>
      <c r="CD517" s="2" t="s">
        <v>231</v>
      </c>
      <c r="CE517" s="4"/>
      <c r="CF517" s="4">
        <v>126</v>
      </c>
      <c r="CG517" s="4"/>
      <c r="CH517" s="4"/>
      <c r="CI517" s="4">
        <v>126</v>
      </c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</row>
    <row r="518">
      <c r="A518" s="2" t="s">
        <v>3076</v>
      </c>
      <c r="B518" s="2" t="s">
        <v>226</v>
      </c>
      <c r="C518" s="2" t="s">
        <v>1299</v>
      </c>
      <c r="D518" s="2" t="s">
        <v>228</v>
      </c>
      <c r="E518" s="2" t="s">
        <v>229</v>
      </c>
      <c r="F518" s="2" t="s">
        <v>3077</v>
      </c>
      <c r="G518" s="2" t="s">
        <v>3077</v>
      </c>
      <c r="H518" s="2" t="s">
        <v>3077</v>
      </c>
      <c r="I518" s="2" t="s">
        <v>3078</v>
      </c>
      <c r="J518" s="2" t="s">
        <v>658</v>
      </c>
      <c r="K518" s="2" t="s">
        <v>294</v>
      </c>
      <c r="L518" s="3">
        <v>23.04</v>
      </c>
      <c r="M518" s="3">
        <v>24.19</v>
      </c>
      <c r="N518" s="3">
        <v>49.99</v>
      </c>
      <c r="O518" s="2" t="s">
        <v>243</v>
      </c>
      <c r="P518" s="2" t="s">
        <v>270</v>
      </c>
      <c r="Q518" s="2" t="s">
        <v>237</v>
      </c>
      <c r="R518" s="2" t="s">
        <v>231</v>
      </c>
      <c r="S518" s="2" t="s">
        <v>3079</v>
      </c>
      <c r="T518" s="2" t="s">
        <v>970</v>
      </c>
      <c r="U518" s="2" t="s">
        <v>327</v>
      </c>
      <c r="V518" s="2" t="s">
        <v>239</v>
      </c>
      <c r="W518" s="2" t="s">
        <v>273</v>
      </c>
      <c r="X518" s="2" t="s">
        <v>971</v>
      </c>
      <c r="Y518" s="2" t="s">
        <v>3080</v>
      </c>
      <c r="Z518" s="4">
        <v>616</v>
      </c>
      <c r="AA518" s="4">
        <f>=ROUNDDOWN(102.666666666667,0)</f>
      </c>
      <c r="AB518" s="5">
        <v>6</v>
      </c>
      <c r="AC518" s="2" t="s">
        <v>2082</v>
      </c>
      <c r="AD518" s="4">
        <v>320</v>
      </c>
      <c r="AE518" s="4">
        <v>320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231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231</v>
      </c>
      <c r="AW518" s="8" t="s">
        <v>231</v>
      </c>
      <c r="AX518" s="4" t="s">
        <v>231</v>
      </c>
      <c r="AY518" s="8" t="s">
        <v>231</v>
      </c>
      <c r="AZ518" s="7" t="s">
        <v>231</v>
      </c>
      <c r="BA518" s="7" t="s">
        <v>231</v>
      </c>
      <c r="BB518" s="7"/>
      <c r="BC518" s="4" t="s">
        <v>231</v>
      </c>
      <c r="BD518" s="8" t="s">
        <v>231</v>
      </c>
      <c r="BE518" s="4" t="s">
        <v>231</v>
      </c>
      <c r="BF518" s="8" t="s">
        <v>231</v>
      </c>
      <c r="BG518" s="7" t="s">
        <v>231</v>
      </c>
      <c r="BH518" s="7" t="s">
        <v>231</v>
      </c>
      <c r="BI518" s="7"/>
      <c r="BJ518" s="4">
        <v>22</v>
      </c>
      <c r="BK518" s="8">
        <v>538.99</v>
      </c>
      <c r="BL518" s="2" t="s">
        <v>988</v>
      </c>
      <c r="BM518" s="7"/>
      <c r="BN518" s="7"/>
      <c r="BO518" s="4"/>
      <c r="BP518" s="8"/>
      <c r="BQ518" s="4"/>
      <c r="BR518" s="8"/>
      <c r="BS518" s="7"/>
      <c r="BT518" s="7"/>
      <c r="BU518" s="2" t="s">
        <v>3081</v>
      </c>
      <c r="BV518" s="2" t="s">
        <v>231</v>
      </c>
      <c r="BW518" s="2" t="s">
        <v>231</v>
      </c>
      <c r="BX518" s="2" t="s">
        <v>312</v>
      </c>
      <c r="BY518" s="2" t="s">
        <v>277</v>
      </c>
      <c r="BZ518" s="2" t="s">
        <v>243</v>
      </c>
      <c r="CA518" s="2" t="s">
        <v>3082</v>
      </c>
      <c r="CB518" s="2" t="s">
        <v>3083</v>
      </c>
      <c r="CC518" s="2" t="s">
        <v>244</v>
      </c>
      <c r="CD518" s="2" t="s">
        <v>231</v>
      </c>
      <c r="CE518" s="4">
        <v>616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>
        <v>320</v>
      </c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</row>
    <row r="519">
      <c r="A519" s="2" t="s">
        <v>3084</v>
      </c>
      <c r="B519" s="2" t="s">
        <v>226</v>
      </c>
      <c r="C519" s="2" t="s">
        <v>1299</v>
      </c>
      <c r="D519" s="2" t="s">
        <v>228</v>
      </c>
      <c r="E519" s="2" t="s">
        <v>229</v>
      </c>
      <c r="F519" s="2" t="s">
        <v>3077</v>
      </c>
      <c r="G519" s="2" t="s">
        <v>3077</v>
      </c>
      <c r="H519" s="2" t="s">
        <v>3077</v>
      </c>
      <c r="I519" s="2" t="s">
        <v>3078</v>
      </c>
      <c r="J519" s="2" t="s">
        <v>302</v>
      </c>
      <c r="K519" s="2" t="s">
        <v>294</v>
      </c>
      <c r="L519" s="3">
        <v>28.73</v>
      </c>
      <c r="M519" s="3">
        <v>30.17</v>
      </c>
      <c r="N519" s="3">
        <v>59.99</v>
      </c>
      <c r="O519" s="2" t="s">
        <v>243</v>
      </c>
      <c r="P519" s="2" t="s">
        <v>270</v>
      </c>
      <c r="Q519" s="2" t="s">
        <v>237</v>
      </c>
      <c r="R519" s="2" t="s">
        <v>231</v>
      </c>
      <c r="S519" s="2" t="s">
        <v>3079</v>
      </c>
      <c r="T519" s="2" t="s">
        <v>970</v>
      </c>
      <c r="U519" s="2" t="s">
        <v>327</v>
      </c>
      <c r="V519" s="2" t="s">
        <v>239</v>
      </c>
      <c r="W519" s="2" t="s">
        <v>273</v>
      </c>
      <c r="X519" s="2" t="s">
        <v>971</v>
      </c>
      <c r="Y519" s="2" t="s">
        <v>3080</v>
      </c>
      <c r="Z519" s="4">
        <v>435</v>
      </c>
      <c r="AA519" s="4">
        <f>=ROUNDDOWN(87,0)</f>
      </c>
      <c r="AB519" s="5">
        <v>5</v>
      </c>
      <c r="AC519" s="2" t="s">
        <v>2082</v>
      </c>
      <c r="AD519" s="4">
        <v>300</v>
      </c>
      <c r="AE519" s="4">
        <v>300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231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231</v>
      </c>
      <c r="AW519" s="8" t="s">
        <v>231</v>
      </c>
      <c r="AX519" s="4" t="s">
        <v>231</v>
      </c>
      <c r="AY519" s="8" t="s">
        <v>231</v>
      </c>
      <c r="AZ519" s="7" t="s">
        <v>231</v>
      </c>
      <c r="BA519" s="7" t="s">
        <v>231</v>
      </c>
      <c r="BB519" s="7"/>
      <c r="BC519" s="4" t="s">
        <v>231</v>
      </c>
      <c r="BD519" s="8" t="s">
        <v>231</v>
      </c>
      <c r="BE519" s="4" t="s">
        <v>231</v>
      </c>
      <c r="BF519" s="8" t="s">
        <v>231</v>
      </c>
      <c r="BG519" s="7" t="s">
        <v>231</v>
      </c>
      <c r="BH519" s="7" t="s">
        <v>231</v>
      </c>
      <c r="BI519" s="7"/>
      <c r="BJ519" s="4">
        <v>33</v>
      </c>
      <c r="BK519" s="8">
        <v>1047.69</v>
      </c>
      <c r="BL519" s="2" t="s">
        <v>3085</v>
      </c>
      <c r="BM519" s="7"/>
      <c r="BN519" s="7"/>
      <c r="BO519" s="4"/>
      <c r="BP519" s="8"/>
      <c r="BQ519" s="4"/>
      <c r="BR519" s="8"/>
      <c r="BS519" s="7"/>
      <c r="BT519" s="7"/>
      <c r="BU519" s="2" t="s">
        <v>3086</v>
      </c>
      <c r="BV519" s="2" t="s">
        <v>231</v>
      </c>
      <c r="BW519" s="2" t="s">
        <v>231</v>
      </c>
      <c r="BX519" s="2" t="s">
        <v>312</v>
      </c>
      <c r="BY519" s="2" t="s">
        <v>277</v>
      </c>
      <c r="BZ519" s="2" t="s">
        <v>243</v>
      </c>
      <c r="CA519" s="2" t="s">
        <v>3082</v>
      </c>
      <c r="CB519" s="2" t="s">
        <v>3087</v>
      </c>
      <c r="CC519" s="2" t="s">
        <v>244</v>
      </c>
      <c r="CD519" s="2" t="s">
        <v>231</v>
      </c>
      <c r="CE519" s="4">
        <v>435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>
        <v>300</v>
      </c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</row>
    <row r="520">
      <c r="A520" s="2" t="s">
        <v>3088</v>
      </c>
      <c r="B520" s="2" t="s">
        <v>226</v>
      </c>
      <c r="C520" s="2" t="s">
        <v>1299</v>
      </c>
      <c r="D520" s="2" t="s">
        <v>228</v>
      </c>
      <c r="E520" s="2" t="s">
        <v>229</v>
      </c>
      <c r="F520" s="2" t="s">
        <v>3077</v>
      </c>
      <c r="G520" s="2" t="s">
        <v>3077</v>
      </c>
      <c r="H520" s="2" t="s">
        <v>3077</v>
      </c>
      <c r="I520" s="2" t="s">
        <v>3078</v>
      </c>
      <c r="J520" s="2" t="s">
        <v>302</v>
      </c>
      <c r="K520" s="2" t="s">
        <v>1491</v>
      </c>
      <c r="L520" s="3">
        <v>28.73</v>
      </c>
      <c r="M520" s="3">
        <v>30.17</v>
      </c>
      <c r="N520" s="3">
        <v>59.99</v>
      </c>
      <c r="O520" s="2" t="s">
        <v>243</v>
      </c>
      <c r="P520" s="2" t="s">
        <v>270</v>
      </c>
      <c r="Q520" s="2" t="s">
        <v>237</v>
      </c>
      <c r="R520" s="2" t="s">
        <v>231</v>
      </c>
      <c r="S520" s="2" t="s">
        <v>3089</v>
      </c>
      <c r="T520" s="2" t="s">
        <v>970</v>
      </c>
      <c r="U520" s="2" t="s">
        <v>327</v>
      </c>
      <c r="V520" s="2" t="s">
        <v>239</v>
      </c>
      <c r="W520" s="2" t="s">
        <v>273</v>
      </c>
      <c r="X520" s="2" t="s">
        <v>971</v>
      </c>
      <c r="Y520" s="2" t="s">
        <v>3080</v>
      </c>
      <c r="Z520" s="4">
        <v>461</v>
      </c>
      <c r="AA520" s="4">
        <f>=ROUNDDOWN(51.2222222222222,0)</f>
      </c>
      <c r="AB520" s="5">
        <v>9</v>
      </c>
      <c r="AC520" s="2" t="s">
        <v>3090</v>
      </c>
      <c r="AD520" s="4">
        <v>350</v>
      </c>
      <c r="AE520" s="4">
        <v>350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231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231</v>
      </c>
      <c r="BD520" s="8" t="s">
        <v>231</v>
      </c>
      <c r="BE520" s="4" t="s">
        <v>231</v>
      </c>
      <c r="BF520" s="8" t="s">
        <v>231</v>
      </c>
      <c r="BG520" s="7" t="s">
        <v>231</v>
      </c>
      <c r="BH520" s="7" t="s">
        <v>231</v>
      </c>
      <c r="BI520" s="7"/>
      <c r="BJ520" s="4">
        <v>25</v>
      </c>
      <c r="BK520" s="8">
        <v>788.85</v>
      </c>
      <c r="BL520" s="2" t="s">
        <v>1283</v>
      </c>
      <c r="BM520" s="7"/>
      <c r="BN520" s="7"/>
      <c r="BO520" s="4"/>
      <c r="BP520" s="8"/>
      <c r="BQ520" s="4"/>
      <c r="BR520" s="8"/>
      <c r="BS520" s="7"/>
      <c r="BT520" s="7"/>
      <c r="BU520" s="2" t="s">
        <v>3091</v>
      </c>
      <c r="BV520" s="2" t="s">
        <v>231</v>
      </c>
      <c r="BW520" s="2" t="s">
        <v>231</v>
      </c>
      <c r="BX520" s="2" t="s">
        <v>312</v>
      </c>
      <c r="BY520" s="2" t="s">
        <v>277</v>
      </c>
      <c r="BZ520" s="2" t="s">
        <v>243</v>
      </c>
      <c r="CA520" s="2" t="s">
        <v>3082</v>
      </c>
      <c r="CB520" s="2" t="s">
        <v>663</v>
      </c>
      <c r="CC520" s="2" t="s">
        <v>244</v>
      </c>
      <c r="CD520" s="2" t="s">
        <v>231</v>
      </c>
      <c r="CE520" s="4">
        <v>461</v>
      </c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>
        <v>350</v>
      </c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</row>
    <row r="521">
      <c r="A521" s="2" t="s">
        <v>3092</v>
      </c>
      <c r="B521" s="2" t="s">
        <v>1186</v>
      </c>
      <c r="C521" s="2" t="s">
        <v>815</v>
      </c>
      <c r="D521" s="2" t="s">
        <v>654</v>
      </c>
      <c r="E521" s="2" t="s">
        <v>890</v>
      </c>
      <c r="F521" s="2" t="s">
        <v>3093</v>
      </c>
      <c r="G521" s="2" t="s">
        <v>3093</v>
      </c>
      <c r="H521" s="2" t="s">
        <v>3093</v>
      </c>
      <c r="I521" s="2" t="s">
        <v>3094</v>
      </c>
      <c r="J521" s="2" t="s">
        <v>658</v>
      </c>
      <c r="K521" s="2" t="s">
        <v>306</v>
      </c>
      <c r="L521" s="3">
        <v>59.42</v>
      </c>
      <c r="M521" s="3">
        <v>62.39</v>
      </c>
      <c r="N521" s="3">
        <v>129.99</v>
      </c>
      <c r="O521" s="2" t="s">
        <v>243</v>
      </c>
      <c r="P521" s="2" t="s">
        <v>236</v>
      </c>
      <c r="Q521" s="2" t="s">
        <v>237</v>
      </c>
      <c r="R521" s="2" t="s">
        <v>231</v>
      </c>
      <c r="S521" s="2" t="s">
        <v>3095</v>
      </c>
      <c r="T521" s="2" t="s">
        <v>362</v>
      </c>
      <c r="U521" s="2" t="s">
        <v>835</v>
      </c>
      <c r="V521" s="2" t="s">
        <v>987</v>
      </c>
      <c r="W521" s="2" t="s">
        <v>1745</v>
      </c>
      <c r="X521" s="2" t="s">
        <v>273</v>
      </c>
      <c r="Y521" s="2" t="s">
        <v>231</v>
      </c>
      <c r="Z521" s="4"/>
      <c r="AA521" s="4">
        <f>=ROUNDDOWN({0},0)</f>
      </c>
      <c r="AB521" s="5"/>
      <c r="AC521" s="2" t="s">
        <v>309</v>
      </c>
      <c r="AD521" s="4">
        <v>195</v>
      </c>
      <c r="AE521" s="4">
        <v>390</v>
      </c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231</v>
      </c>
      <c r="AW521" s="8" t="s">
        <v>231</v>
      </c>
      <c r="AX521" s="4" t="s">
        <v>231</v>
      </c>
      <c r="AY521" s="8" t="s">
        <v>231</v>
      </c>
      <c r="AZ521" s="7" t="s">
        <v>231</v>
      </c>
      <c r="BA521" s="7" t="s">
        <v>231</v>
      </c>
      <c r="BB521" s="7" t="s">
        <v>231</v>
      </c>
      <c r="BC521" s="4" t="s">
        <v>231</v>
      </c>
      <c r="BD521" s="8" t="s">
        <v>231</v>
      </c>
      <c r="BE521" s="4" t="s">
        <v>231</v>
      </c>
      <c r="BF521" s="8" t="s">
        <v>231</v>
      </c>
      <c r="BG521" s="7" t="s">
        <v>231</v>
      </c>
      <c r="BH521" s="7" t="s">
        <v>231</v>
      </c>
      <c r="BI521" s="7"/>
      <c r="BJ521" s="4"/>
      <c r="BK521" s="8"/>
      <c r="BL521" s="2" t="s">
        <v>231</v>
      </c>
      <c r="BM521" s="7"/>
      <c r="BN521" s="7"/>
      <c r="BO521" s="4"/>
      <c r="BP521" s="8"/>
      <c r="BQ521" s="4"/>
      <c r="BR521" s="8"/>
      <c r="BS521" s="7"/>
      <c r="BT521" s="7"/>
      <c r="BU521" s="2" t="s">
        <v>241</v>
      </c>
      <c r="BV521" s="2" t="s">
        <v>231</v>
      </c>
      <c r="BW521" s="2" t="s">
        <v>231</v>
      </c>
      <c r="BX521" s="2" t="s">
        <v>241</v>
      </c>
      <c r="BY521" s="2" t="s">
        <v>242</v>
      </c>
      <c r="BZ521" s="2" t="s">
        <v>243</v>
      </c>
      <c r="CA521" s="2" t="s">
        <v>231</v>
      </c>
      <c r="CB521" s="2" t="s">
        <v>231</v>
      </c>
      <c r="CC521" s="2" t="s">
        <v>244</v>
      </c>
      <c r="CD521" s="2" t="s">
        <v>231</v>
      </c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>
        <v>195</v>
      </c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>
        <v>195</v>
      </c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</row>
    <row r="522">
      <c r="A522" s="2" t="s">
        <v>3096</v>
      </c>
      <c r="B522" s="2" t="s">
        <v>1186</v>
      </c>
      <c r="C522" s="2" t="s">
        <v>815</v>
      </c>
      <c r="D522" s="2" t="s">
        <v>826</v>
      </c>
      <c r="E522" s="2" t="s">
        <v>1060</v>
      </c>
      <c r="F522" s="2" t="s">
        <v>3093</v>
      </c>
      <c r="G522" s="2" t="s">
        <v>3093</v>
      </c>
      <c r="H522" s="2" t="s">
        <v>3093</v>
      </c>
      <c r="I522" s="2" t="s">
        <v>3097</v>
      </c>
      <c r="J522" s="2" t="s">
        <v>658</v>
      </c>
      <c r="K522" s="2" t="s">
        <v>306</v>
      </c>
      <c r="L522" s="3">
        <v>45.71</v>
      </c>
      <c r="M522" s="3">
        <v>48</v>
      </c>
      <c r="N522" s="3">
        <v>99.99</v>
      </c>
      <c r="O522" s="2" t="s">
        <v>243</v>
      </c>
      <c r="P522" s="2" t="s">
        <v>236</v>
      </c>
      <c r="Q522" s="2" t="s">
        <v>237</v>
      </c>
      <c r="R522" s="2" t="s">
        <v>231</v>
      </c>
      <c r="S522" s="2" t="s">
        <v>3095</v>
      </c>
      <c r="T522" s="2" t="s">
        <v>362</v>
      </c>
      <c r="U522" s="2" t="s">
        <v>835</v>
      </c>
      <c r="V522" s="2" t="s">
        <v>987</v>
      </c>
      <c r="W522" s="2" t="s">
        <v>1745</v>
      </c>
      <c r="X522" s="2" t="s">
        <v>273</v>
      </c>
      <c r="Y522" s="2" t="s">
        <v>231</v>
      </c>
      <c r="Z522" s="4"/>
      <c r="AA522" s="4">
        <f>=ROUNDDOWN({0},0)</f>
      </c>
      <c r="AB522" s="5"/>
      <c r="AC522" s="2" t="s">
        <v>309</v>
      </c>
      <c r="AD522" s="4">
        <v>145</v>
      </c>
      <c r="AE522" s="4">
        <v>290</v>
      </c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231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231</v>
      </c>
      <c r="AW522" s="8" t="s">
        <v>231</v>
      </c>
      <c r="AX522" s="4" t="s">
        <v>231</v>
      </c>
      <c r="AY522" s="8" t="s">
        <v>231</v>
      </c>
      <c r="AZ522" s="7" t="s">
        <v>231</v>
      </c>
      <c r="BA522" s="7" t="s">
        <v>231</v>
      </c>
      <c r="BB522" s="7" t="s">
        <v>231</v>
      </c>
      <c r="BC522" s="4" t="s">
        <v>231</v>
      </c>
      <c r="BD522" s="8" t="s">
        <v>231</v>
      </c>
      <c r="BE522" s="4" t="s">
        <v>231</v>
      </c>
      <c r="BF522" s="8" t="s">
        <v>231</v>
      </c>
      <c r="BG522" s="7" t="s">
        <v>231</v>
      </c>
      <c r="BH522" s="7" t="s">
        <v>231</v>
      </c>
      <c r="BI522" s="7"/>
      <c r="BJ522" s="4"/>
      <c r="BK522" s="8"/>
      <c r="BL522" s="2" t="s">
        <v>231</v>
      </c>
      <c r="BM522" s="7"/>
      <c r="BN522" s="7"/>
      <c r="BO522" s="4"/>
      <c r="BP522" s="8"/>
      <c r="BQ522" s="4"/>
      <c r="BR522" s="8"/>
      <c r="BS522" s="7"/>
      <c r="BT522" s="7"/>
      <c r="BU522" s="2" t="s">
        <v>241</v>
      </c>
      <c r="BV522" s="2" t="s">
        <v>231</v>
      </c>
      <c r="BW522" s="2" t="s">
        <v>231</v>
      </c>
      <c r="BX522" s="2" t="s">
        <v>241</v>
      </c>
      <c r="BY522" s="2" t="s">
        <v>242</v>
      </c>
      <c r="BZ522" s="2" t="s">
        <v>243</v>
      </c>
      <c r="CA522" s="2" t="s">
        <v>231</v>
      </c>
      <c r="CB522" s="2" t="s">
        <v>231</v>
      </c>
      <c r="CC522" s="2" t="s">
        <v>244</v>
      </c>
      <c r="CD522" s="2" t="s">
        <v>231</v>
      </c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>
        <v>145</v>
      </c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>
        <v>145</v>
      </c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</row>
    <row r="523">
      <c r="A523" s="2" t="s">
        <v>3098</v>
      </c>
      <c r="B523" s="2" t="s">
        <v>1186</v>
      </c>
      <c r="C523" s="2" t="s">
        <v>815</v>
      </c>
      <c r="D523" s="2" t="s">
        <v>654</v>
      </c>
      <c r="E523" s="2" t="s">
        <v>890</v>
      </c>
      <c r="F523" s="2" t="s">
        <v>3093</v>
      </c>
      <c r="G523" s="2" t="s">
        <v>3093</v>
      </c>
      <c r="H523" s="2" t="s">
        <v>3093</v>
      </c>
      <c r="I523" s="2" t="s">
        <v>3094</v>
      </c>
      <c r="J523" s="2" t="s">
        <v>669</v>
      </c>
      <c r="K523" s="2" t="s">
        <v>306</v>
      </c>
      <c r="L523" s="3">
        <v>68.57</v>
      </c>
      <c r="M523" s="3">
        <v>72</v>
      </c>
      <c r="N523" s="3">
        <v>149.99</v>
      </c>
      <c r="O523" s="2" t="s">
        <v>243</v>
      </c>
      <c r="P523" s="2" t="s">
        <v>236</v>
      </c>
      <c r="Q523" s="2" t="s">
        <v>237</v>
      </c>
      <c r="R523" s="2" t="s">
        <v>231</v>
      </c>
      <c r="S523" s="2" t="s">
        <v>3095</v>
      </c>
      <c r="T523" s="2" t="s">
        <v>362</v>
      </c>
      <c r="U523" s="2" t="s">
        <v>835</v>
      </c>
      <c r="V523" s="2" t="s">
        <v>987</v>
      </c>
      <c r="W523" s="2" t="s">
        <v>1745</v>
      </c>
      <c r="X523" s="2" t="s">
        <v>273</v>
      </c>
      <c r="Y523" s="2" t="s">
        <v>231</v>
      </c>
      <c r="Z523" s="4"/>
      <c r="AA523" s="4">
        <f>=ROUNDDOWN({0},0)</f>
      </c>
      <c r="AB523" s="5"/>
      <c r="AC523" s="2" t="s">
        <v>309</v>
      </c>
      <c r="AD523" s="4">
        <v>140</v>
      </c>
      <c r="AE523" s="4">
        <v>280</v>
      </c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231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231</v>
      </c>
      <c r="AW523" s="8" t="s">
        <v>231</v>
      </c>
      <c r="AX523" s="4" t="s">
        <v>231</v>
      </c>
      <c r="AY523" s="8" t="s">
        <v>231</v>
      </c>
      <c r="AZ523" s="7" t="s">
        <v>231</v>
      </c>
      <c r="BA523" s="7" t="s">
        <v>231</v>
      </c>
      <c r="BB523" s="7" t="s">
        <v>231</v>
      </c>
      <c r="BC523" s="4" t="s">
        <v>231</v>
      </c>
      <c r="BD523" s="8" t="s">
        <v>231</v>
      </c>
      <c r="BE523" s="4" t="s">
        <v>231</v>
      </c>
      <c r="BF523" s="8" t="s">
        <v>231</v>
      </c>
      <c r="BG523" s="7" t="s">
        <v>231</v>
      </c>
      <c r="BH523" s="7" t="s">
        <v>231</v>
      </c>
      <c r="BI523" s="7"/>
      <c r="BJ523" s="4"/>
      <c r="BK523" s="8"/>
      <c r="BL523" s="2" t="s">
        <v>231</v>
      </c>
      <c r="BM523" s="7"/>
      <c r="BN523" s="7"/>
      <c r="BO523" s="4"/>
      <c r="BP523" s="8"/>
      <c r="BQ523" s="4"/>
      <c r="BR523" s="8"/>
      <c r="BS523" s="7"/>
      <c r="BT523" s="7"/>
      <c r="BU523" s="2" t="s">
        <v>241</v>
      </c>
      <c r="BV523" s="2" t="s">
        <v>231</v>
      </c>
      <c r="BW523" s="2" t="s">
        <v>231</v>
      </c>
      <c r="BX523" s="2" t="s">
        <v>241</v>
      </c>
      <c r="BY523" s="2" t="s">
        <v>242</v>
      </c>
      <c r="BZ523" s="2" t="s">
        <v>243</v>
      </c>
      <c r="CA523" s="2" t="s">
        <v>231</v>
      </c>
      <c r="CB523" s="2" t="s">
        <v>231</v>
      </c>
      <c r="CC523" s="2" t="s">
        <v>244</v>
      </c>
      <c r="CD523" s="2" t="s">
        <v>231</v>
      </c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>
        <v>140</v>
      </c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>
        <v>140</v>
      </c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</row>
    <row r="524">
      <c r="A524" s="2" t="s">
        <v>3099</v>
      </c>
      <c r="B524" s="2" t="s">
        <v>1186</v>
      </c>
      <c r="C524" s="2" t="s">
        <v>815</v>
      </c>
      <c r="D524" s="2" t="s">
        <v>826</v>
      </c>
      <c r="E524" s="2" t="s">
        <v>1060</v>
      </c>
      <c r="F524" s="2" t="s">
        <v>3093</v>
      </c>
      <c r="G524" s="2" t="s">
        <v>3093</v>
      </c>
      <c r="H524" s="2" t="s">
        <v>3093</v>
      </c>
      <c r="I524" s="2" t="s">
        <v>3097</v>
      </c>
      <c r="J524" s="2" t="s">
        <v>669</v>
      </c>
      <c r="K524" s="2" t="s">
        <v>306</v>
      </c>
      <c r="L524" s="3">
        <v>54.85</v>
      </c>
      <c r="M524" s="3">
        <v>57.59</v>
      </c>
      <c r="N524" s="3">
        <v>119.99</v>
      </c>
      <c r="O524" s="2" t="s">
        <v>243</v>
      </c>
      <c r="P524" s="2" t="s">
        <v>236</v>
      </c>
      <c r="Q524" s="2" t="s">
        <v>237</v>
      </c>
      <c r="R524" s="2" t="s">
        <v>231</v>
      </c>
      <c r="S524" s="2" t="s">
        <v>3095</v>
      </c>
      <c r="T524" s="2" t="s">
        <v>362</v>
      </c>
      <c r="U524" s="2" t="s">
        <v>835</v>
      </c>
      <c r="V524" s="2" t="s">
        <v>987</v>
      </c>
      <c r="W524" s="2" t="s">
        <v>1745</v>
      </c>
      <c r="X524" s="2" t="s">
        <v>273</v>
      </c>
      <c r="Y524" s="2" t="s">
        <v>231</v>
      </c>
      <c r="Z524" s="4"/>
      <c r="AA524" s="4">
        <f>=ROUNDDOWN({0},0)</f>
      </c>
      <c r="AB524" s="5"/>
      <c r="AC524" s="2" t="s">
        <v>309</v>
      </c>
      <c r="AD524" s="4">
        <v>120</v>
      </c>
      <c r="AE524" s="4">
        <v>240</v>
      </c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231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231</v>
      </c>
      <c r="AW524" s="8" t="s">
        <v>231</v>
      </c>
      <c r="AX524" s="4" t="s">
        <v>231</v>
      </c>
      <c r="AY524" s="8" t="s">
        <v>231</v>
      </c>
      <c r="AZ524" s="7" t="s">
        <v>231</v>
      </c>
      <c r="BA524" s="7" t="s">
        <v>231</v>
      </c>
      <c r="BB524" s="7" t="s">
        <v>231</v>
      </c>
      <c r="BC524" s="4" t="s">
        <v>231</v>
      </c>
      <c r="BD524" s="8" t="s">
        <v>231</v>
      </c>
      <c r="BE524" s="4" t="s">
        <v>231</v>
      </c>
      <c r="BF524" s="8" t="s">
        <v>231</v>
      </c>
      <c r="BG524" s="7" t="s">
        <v>231</v>
      </c>
      <c r="BH524" s="7" t="s">
        <v>231</v>
      </c>
      <c r="BI524" s="7"/>
      <c r="BJ524" s="4"/>
      <c r="BK524" s="8"/>
      <c r="BL524" s="2" t="s">
        <v>231</v>
      </c>
      <c r="BM524" s="7"/>
      <c r="BN524" s="7"/>
      <c r="BO524" s="4"/>
      <c r="BP524" s="8"/>
      <c r="BQ524" s="4"/>
      <c r="BR524" s="8"/>
      <c r="BS524" s="7"/>
      <c r="BT524" s="7"/>
      <c r="BU524" s="2" t="s">
        <v>241</v>
      </c>
      <c r="BV524" s="2" t="s">
        <v>231</v>
      </c>
      <c r="BW524" s="2" t="s">
        <v>231</v>
      </c>
      <c r="BX524" s="2" t="s">
        <v>241</v>
      </c>
      <c r="BY524" s="2" t="s">
        <v>242</v>
      </c>
      <c r="BZ524" s="2" t="s">
        <v>243</v>
      </c>
      <c r="CA524" s="2" t="s">
        <v>231</v>
      </c>
      <c r="CB524" s="2" t="s">
        <v>231</v>
      </c>
      <c r="CC524" s="2" t="s">
        <v>244</v>
      </c>
      <c r="CD524" s="2" t="s">
        <v>231</v>
      </c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>
        <v>120</v>
      </c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>
        <v>120</v>
      </c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</row>
    <row r="525">
      <c r="A525" s="2" t="s">
        <v>3100</v>
      </c>
      <c r="B525" s="2" t="s">
        <v>1004</v>
      </c>
      <c r="C525" s="2" t="s">
        <v>288</v>
      </c>
      <c r="D525" s="2" t="s">
        <v>1689</v>
      </c>
      <c r="E525" s="2" t="s">
        <v>1690</v>
      </c>
      <c r="F525" s="2" t="s">
        <v>3101</v>
      </c>
      <c r="G525" s="2" t="s">
        <v>3102</v>
      </c>
      <c r="H525" s="2" t="s">
        <v>3103</v>
      </c>
      <c r="I525" s="2" t="s">
        <v>3104</v>
      </c>
      <c r="J525" s="2" t="s">
        <v>807</v>
      </c>
      <c r="K525" s="2" t="s">
        <v>2321</v>
      </c>
      <c r="L525" s="3">
        <v>180.5</v>
      </c>
      <c r="M525" s="3">
        <v>189.52</v>
      </c>
      <c r="N525" s="3">
        <v>379</v>
      </c>
      <c r="O525" s="2" t="s">
        <v>243</v>
      </c>
      <c r="P525" s="2" t="s">
        <v>1985</v>
      </c>
      <c r="Q525" s="2" t="s">
        <v>237</v>
      </c>
      <c r="R525" s="2" t="s">
        <v>231</v>
      </c>
      <c r="S525" s="2" t="s">
        <v>231</v>
      </c>
      <c r="T525" s="2" t="s">
        <v>231</v>
      </c>
      <c r="U525" s="2" t="s">
        <v>231</v>
      </c>
      <c r="V525" s="2" t="s">
        <v>662</v>
      </c>
      <c r="W525" s="2" t="s">
        <v>691</v>
      </c>
      <c r="X525" s="2" t="s">
        <v>231</v>
      </c>
      <c r="Y525" s="2" t="s">
        <v>854</v>
      </c>
      <c r="Z525" s="4">
        <v>115</v>
      </c>
      <c r="AA525" s="4">
        <f>=ROUNDDOWN(54.7619047619048,0)</f>
      </c>
      <c r="AB525" s="5">
        <v>2.1</v>
      </c>
      <c r="AC525" s="2" t="s">
        <v>231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231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>
        <v>18</v>
      </c>
      <c r="BK525" s="8">
        <v>3160.39</v>
      </c>
      <c r="BL525" s="2" t="s">
        <v>3105</v>
      </c>
      <c r="BM525" s="7"/>
      <c r="BN525" s="7"/>
      <c r="BO525" s="4"/>
      <c r="BP525" s="8"/>
      <c r="BQ525" s="4"/>
      <c r="BR525" s="8"/>
      <c r="BS525" s="7"/>
      <c r="BT525" s="7"/>
      <c r="BU525" s="2" t="s">
        <v>3106</v>
      </c>
      <c r="BV525" s="2" t="s">
        <v>231</v>
      </c>
      <c r="BW525" s="2" t="s">
        <v>231</v>
      </c>
      <c r="BX525" s="2" t="s">
        <v>231</v>
      </c>
      <c r="BY525" s="2" t="s">
        <v>277</v>
      </c>
      <c r="BZ525" s="2" t="s">
        <v>243</v>
      </c>
      <c r="CA525" s="2" t="s">
        <v>854</v>
      </c>
      <c r="CB525" s="2" t="s">
        <v>3107</v>
      </c>
      <c r="CC525" s="2" t="s">
        <v>244</v>
      </c>
      <c r="CD525" s="2" t="s">
        <v>231</v>
      </c>
      <c r="CE525" s="4"/>
      <c r="CF525" s="4">
        <v>115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</row>
    <row r="526">
      <c r="A526" s="2" t="s">
        <v>3108</v>
      </c>
      <c r="B526" s="2" t="s">
        <v>1004</v>
      </c>
      <c r="C526" s="2" t="s">
        <v>288</v>
      </c>
      <c r="D526" s="2" t="s">
        <v>2130</v>
      </c>
      <c r="E526" s="2" t="s">
        <v>2131</v>
      </c>
      <c r="F526" s="2" t="s">
        <v>3109</v>
      </c>
      <c r="G526" s="2" t="s">
        <v>3110</v>
      </c>
      <c r="H526" s="2" t="s">
        <v>3111</v>
      </c>
      <c r="I526" s="2" t="s">
        <v>3112</v>
      </c>
      <c r="J526" s="2" t="s">
        <v>807</v>
      </c>
      <c r="K526" s="2" t="s">
        <v>1496</v>
      </c>
      <c r="L526" s="3">
        <v>243.68</v>
      </c>
      <c r="M526" s="3">
        <v>255.86</v>
      </c>
      <c r="N526" s="3">
        <v>509</v>
      </c>
      <c r="O526" s="2" t="s">
        <v>243</v>
      </c>
      <c r="P526" s="2" t="s">
        <v>341</v>
      </c>
      <c r="Q526" s="2" t="s">
        <v>237</v>
      </c>
      <c r="R526" s="2" t="s">
        <v>231</v>
      </c>
      <c r="S526" s="2" t="s">
        <v>231</v>
      </c>
      <c r="T526" s="2" t="s">
        <v>231</v>
      </c>
      <c r="U526" s="2" t="s">
        <v>327</v>
      </c>
      <c r="V526" s="2" t="s">
        <v>662</v>
      </c>
      <c r="W526" s="2" t="s">
        <v>273</v>
      </c>
      <c r="X526" s="2" t="s">
        <v>231</v>
      </c>
      <c r="Y526" s="2" t="s">
        <v>3113</v>
      </c>
      <c r="Z526" s="4">
        <v>31</v>
      </c>
      <c r="AA526" s="4">
        <f>=ROUNDDOWN(15.5,0)</f>
      </c>
      <c r="AB526" s="5">
        <v>2</v>
      </c>
      <c r="AC526" s="2" t="s">
        <v>231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231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>
        <v>3</v>
      </c>
      <c r="BK526" s="8">
        <v>597.33</v>
      </c>
      <c r="BL526" s="2" t="s">
        <v>3024</v>
      </c>
      <c r="BM526" s="7"/>
      <c r="BN526" s="7"/>
      <c r="BO526" s="4"/>
      <c r="BP526" s="8"/>
      <c r="BQ526" s="4"/>
      <c r="BR526" s="8"/>
      <c r="BS526" s="7"/>
      <c r="BT526" s="7"/>
      <c r="BU526" s="2" t="s">
        <v>3114</v>
      </c>
      <c r="BV526" s="2" t="s">
        <v>231</v>
      </c>
      <c r="BW526" s="2" t="s">
        <v>231</v>
      </c>
      <c r="BX526" s="2" t="s">
        <v>241</v>
      </c>
      <c r="BY526" s="2" t="s">
        <v>277</v>
      </c>
      <c r="BZ526" s="2" t="s">
        <v>243</v>
      </c>
      <c r="CA526" s="2" t="s">
        <v>2502</v>
      </c>
      <c r="CB526" s="2" t="s">
        <v>3115</v>
      </c>
      <c r="CC526" s="2" t="s">
        <v>244</v>
      </c>
      <c r="CD526" s="2" t="s">
        <v>231</v>
      </c>
      <c r="CE526" s="4"/>
      <c r="CF526" s="4">
        <v>31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</row>
    <row r="527">
      <c r="A527" s="2" t="s">
        <v>3116</v>
      </c>
      <c r="B527" s="2" t="s">
        <v>801</v>
      </c>
      <c r="C527" s="2" t="s">
        <v>815</v>
      </c>
      <c r="D527" s="2" t="s">
        <v>803</v>
      </c>
      <c r="E527" s="2" t="s">
        <v>804</v>
      </c>
      <c r="F527" s="2" t="s">
        <v>3117</v>
      </c>
      <c r="G527" s="2" t="s">
        <v>3117</v>
      </c>
      <c r="H527" s="2" t="s">
        <v>3117</v>
      </c>
      <c r="I527" s="2" t="s">
        <v>3118</v>
      </c>
      <c r="J527" s="2" t="s">
        <v>807</v>
      </c>
      <c r="K527" s="2" t="s">
        <v>3119</v>
      </c>
      <c r="L527" s="3">
        <v>145</v>
      </c>
      <c r="M527" s="3">
        <v>152.25</v>
      </c>
      <c r="N527" s="3">
        <v>299</v>
      </c>
      <c r="O527" s="2" t="s">
        <v>243</v>
      </c>
      <c r="P527" s="2" t="s">
        <v>236</v>
      </c>
      <c r="Q527" s="2" t="s">
        <v>237</v>
      </c>
      <c r="R527" s="2" t="s">
        <v>231</v>
      </c>
      <c r="S527" s="2" t="s">
        <v>231</v>
      </c>
      <c r="T527" s="2" t="s">
        <v>231</v>
      </c>
      <c r="U527" s="2" t="s">
        <v>327</v>
      </c>
      <c r="V527" s="2" t="s">
        <v>662</v>
      </c>
      <c r="W527" s="2" t="s">
        <v>691</v>
      </c>
      <c r="X527" s="2" t="s">
        <v>808</v>
      </c>
      <c r="Y527" s="2" t="s">
        <v>3034</v>
      </c>
      <c r="Z527" s="4">
        <v>92</v>
      </c>
      <c r="AA527" s="4">
        <f>=ROUNDDOWN(92,0)</f>
      </c>
      <c r="AB527" s="5">
        <v>1</v>
      </c>
      <c r="AC527" s="2" t="s">
        <v>231</v>
      </c>
      <c r="AD527" s="4"/>
      <c r="AE527" s="4"/>
      <c r="AF527" s="6">
        <v>63</v>
      </c>
      <c r="AG527" s="6"/>
      <c r="AH527" s="7">
        <v>1</v>
      </c>
      <c r="AI527" s="4"/>
      <c r="AJ527" s="4">
        <f>=ROUNDDOWN({0},0)</f>
      </c>
      <c r="AK527" s="5"/>
      <c r="AL527" s="2" t="s">
        <v>231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231</v>
      </c>
      <c r="BM527" s="7"/>
      <c r="BN527" s="7"/>
      <c r="BO527" s="4"/>
      <c r="BP527" s="8"/>
      <c r="BQ527" s="4"/>
      <c r="BR527" s="8"/>
      <c r="BS527" s="7"/>
      <c r="BT527" s="7"/>
      <c r="BU527" s="2" t="s">
        <v>3120</v>
      </c>
      <c r="BV527" s="2" t="s">
        <v>231</v>
      </c>
      <c r="BW527" s="2" t="s">
        <v>231</v>
      </c>
      <c r="BX527" s="2" t="s">
        <v>241</v>
      </c>
      <c r="BY527" s="2" t="s">
        <v>277</v>
      </c>
      <c r="BZ527" s="2" t="s">
        <v>243</v>
      </c>
      <c r="CA527" s="2" t="s">
        <v>3121</v>
      </c>
      <c r="CB527" s="2" t="s">
        <v>231</v>
      </c>
      <c r="CC527" s="2" t="s">
        <v>244</v>
      </c>
      <c r="CD527" s="2" t="s">
        <v>231</v>
      </c>
      <c r="CE527" s="4"/>
      <c r="CF527" s="4">
        <v>92</v>
      </c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</row>
    <row r="528">
      <c r="A528" s="2" t="s">
        <v>3122</v>
      </c>
      <c r="B528" s="2" t="s">
        <v>940</v>
      </c>
      <c r="C528" s="2" t="s">
        <v>1614</v>
      </c>
      <c r="D528" s="2" t="s">
        <v>1533</v>
      </c>
      <c r="E528" s="2" t="s">
        <v>1534</v>
      </c>
      <c r="F528" s="2" t="s">
        <v>3123</v>
      </c>
      <c r="G528" s="2" t="s">
        <v>3123</v>
      </c>
      <c r="H528" s="2" t="s">
        <v>3123</v>
      </c>
      <c r="I528" s="2" t="s">
        <v>3124</v>
      </c>
      <c r="J528" s="2" t="s">
        <v>3125</v>
      </c>
      <c r="K528" s="2" t="s">
        <v>234</v>
      </c>
      <c r="L528" s="3">
        <v>27.23</v>
      </c>
      <c r="M528" s="3">
        <v>28.59</v>
      </c>
      <c r="N528" s="3">
        <v>79.99</v>
      </c>
      <c r="O528" s="2" t="s">
        <v>243</v>
      </c>
      <c r="P528" s="2" t="s">
        <v>341</v>
      </c>
      <c r="Q528" s="2" t="s">
        <v>237</v>
      </c>
      <c r="R528" s="2" t="s">
        <v>231</v>
      </c>
      <c r="S528" s="2" t="s">
        <v>231</v>
      </c>
      <c r="T528" s="2" t="s">
        <v>231</v>
      </c>
      <c r="U528" s="2" t="s">
        <v>231</v>
      </c>
      <c r="V528" s="2" t="s">
        <v>239</v>
      </c>
      <c r="W528" s="2" t="s">
        <v>273</v>
      </c>
      <c r="X528" s="2" t="s">
        <v>231</v>
      </c>
      <c r="Y528" s="2" t="s">
        <v>2560</v>
      </c>
      <c r="Z528" s="4">
        <v>482</v>
      </c>
      <c r="AA528" s="4">
        <f>=ROUNDDOWN(482,0)</f>
      </c>
      <c r="AB528" s="5">
        <v>1</v>
      </c>
      <c r="AC528" s="2" t="s">
        <v>231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231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231</v>
      </c>
      <c r="BD528" s="8" t="s">
        <v>231</v>
      </c>
      <c r="BE528" s="4" t="s">
        <v>231</v>
      </c>
      <c r="BF528" s="8" t="s">
        <v>231</v>
      </c>
      <c r="BG528" s="7" t="s">
        <v>231</v>
      </c>
      <c r="BH528" s="7" t="s">
        <v>231</v>
      </c>
      <c r="BI528" s="7"/>
      <c r="BJ528" s="4">
        <v>2</v>
      </c>
      <c r="BK528" s="8">
        <v>55.18</v>
      </c>
      <c r="BL528" s="2" t="s">
        <v>1240</v>
      </c>
      <c r="BM528" s="7"/>
      <c r="BN528" s="7"/>
      <c r="BO528" s="4"/>
      <c r="BP528" s="8"/>
      <c r="BQ528" s="4"/>
      <c r="BR528" s="8"/>
      <c r="BS528" s="7"/>
      <c r="BT528" s="7"/>
      <c r="BU528" s="2" t="s">
        <v>3126</v>
      </c>
      <c r="BV528" s="2" t="s">
        <v>231</v>
      </c>
      <c r="BW528" s="2" t="s">
        <v>231</v>
      </c>
      <c r="BX528" s="2" t="s">
        <v>241</v>
      </c>
      <c r="BY528" s="2" t="s">
        <v>277</v>
      </c>
      <c r="BZ528" s="2" t="s">
        <v>243</v>
      </c>
      <c r="CA528" s="2" t="s">
        <v>947</v>
      </c>
      <c r="CB528" s="2" t="s">
        <v>3127</v>
      </c>
      <c r="CC528" s="2" t="s">
        <v>244</v>
      </c>
      <c r="CD528" s="2" t="s">
        <v>231</v>
      </c>
      <c r="CE528" s="4">
        <v>482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</row>
    <row r="529">
      <c r="A529" s="2" t="s">
        <v>3128</v>
      </c>
      <c r="B529" s="2" t="s">
        <v>940</v>
      </c>
      <c r="C529" s="2" t="s">
        <v>1614</v>
      </c>
      <c r="D529" s="2" t="s">
        <v>1533</v>
      </c>
      <c r="E529" s="2" t="s">
        <v>1534</v>
      </c>
      <c r="F529" s="2" t="s">
        <v>3123</v>
      </c>
      <c r="G529" s="2" t="s">
        <v>3123</v>
      </c>
      <c r="H529" s="2" t="s">
        <v>3123</v>
      </c>
      <c r="I529" s="2" t="s">
        <v>3124</v>
      </c>
      <c r="J529" s="2" t="s">
        <v>3125</v>
      </c>
      <c r="K529" s="2" t="s">
        <v>319</v>
      </c>
      <c r="L529" s="3">
        <v>27.23</v>
      </c>
      <c r="M529" s="3">
        <v>28.59</v>
      </c>
      <c r="N529" s="3">
        <v>79.99</v>
      </c>
      <c r="O529" s="2" t="s">
        <v>243</v>
      </c>
      <c r="P529" s="2" t="s">
        <v>341</v>
      </c>
      <c r="Q529" s="2" t="s">
        <v>237</v>
      </c>
      <c r="R529" s="2" t="s">
        <v>231</v>
      </c>
      <c r="S529" s="2" t="s">
        <v>231</v>
      </c>
      <c r="T529" s="2" t="s">
        <v>231</v>
      </c>
      <c r="U529" s="2" t="s">
        <v>231</v>
      </c>
      <c r="V529" s="2" t="s">
        <v>239</v>
      </c>
      <c r="W529" s="2" t="s">
        <v>273</v>
      </c>
      <c r="X529" s="2" t="s">
        <v>231</v>
      </c>
      <c r="Y529" s="2" t="s">
        <v>2560</v>
      </c>
      <c r="Z529" s="4">
        <v>415</v>
      </c>
      <c r="AA529" s="4">
        <f>=ROUNDDOWN(83,0)</f>
      </c>
      <c r="AB529" s="5">
        <v>5</v>
      </c>
      <c r="AC529" s="2" t="s">
        <v>231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231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231</v>
      </c>
      <c r="BD529" s="8" t="s">
        <v>231</v>
      </c>
      <c r="BE529" s="4" t="s">
        <v>231</v>
      </c>
      <c r="BF529" s="8" t="s">
        <v>231</v>
      </c>
      <c r="BG529" s="7" t="s">
        <v>231</v>
      </c>
      <c r="BH529" s="7" t="s">
        <v>231</v>
      </c>
      <c r="BI529" s="7"/>
      <c r="BJ529" s="4">
        <v>8</v>
      </c>
      <c r="BK529" s="8">
        <v>298.26</v>
      </c>
      <c r="BL529" s="2" t="s">
        <v>3129</v>
      </c>
      <c r="BM529" s="7"/>
      <c r="BN529" s="7"/>
      <c r="BO529" s="4"/>
      <c r="BP529" s="8"/>
      <c r="BQ529" s="4"/>
      <c r="BR529" s="8"/>
      <c r="BS529" s="7"/>
      <c r="BT529" s="7"/>
      <c r="BU529" s="2" t="s">
        <v>3130</v>
      </c>
      <c r="BV529" s="2" t="s">
        <v>231</v>
      </c>
      <c r="BW529" s="2" t="s">
        <v>231</v>
      </c>
      <c r="BX529" s="2" t="s">
        <v>241</v>
      </c>
      <c r="BY529" s="2" t="s">
        <v>277</v>
      </c>
      <c r="BZ529" s="2" t="s">
        <v>243</v>
      </c>
      <c r="CA529" s="2" t="s">
        <v>947</v>
      </c>
      <c r="CB529" s="2" t="s">
        <v>1399</v>
      </c>
      <c r="CC529" s="2" t="s">
        <v>244</v>
      </c>
      <c r="CD529" s="2" t="s">
        <v>231</v>
      </c>
      <c r="CE529" s="4">
        <v>415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</row>
    <row r="530">
      <c r="A530" s="2" t="s">
        <v>3131</v>
      </c>
      <c r="B530" s="2" t="s">
        <v>1186</v>
      </c>
      <c r="C530" s="2" t="s">
        <v>1614</v>
      </c>
      <c r="D530" s="2" t="s">
        <v>826</v>
      </c>
      <c r="E530" s="2" t="s">
        <v>827</v>
      </c>
      <c r="F530" s="2" t="s">
        <v>3132</v>
      </c>
      <c r="G530" s="2" t="s">
        <v>3132</v>
      </c>
      <c r="H530" s="2" t="s">
        <v>3132</v>
      </c>
      <c r="I530" s="2" t="s">
        <v>1616</v>
      </c>
      <c r="J530" s="2" t="s">
        <v>669</v>
      </c>
      <c r="K530" s="2" t="s">
        <v>269</v>
      </c>
      <c r="L530" s="3">
        <v>85.12</v>
      </c>
      <c r="M530" s="3">
        <v>89.38</v>
      </c>
      <c r="N530" s="3">
        <v>249.99</v>
      </c>
      <c r="O530" s="2" t="s">
        <v>243</v>
      </c>
      <c r="P530" s="2" t="s">
        <v>917</v>
      </c>
      <c r="Q530" s="2" t="s">
        <v>237</v>
      </c>
      <c r="R530" s="2" t="s">
        <v>231</v>
      </c>
      <c r="S530" s="2" t="s">
        <v>231</v>
      </c>
      <c r="T530" s="2" t="s">
        <v>362</v>
      </c>
      <c r="U530" s="2" t="s">
        <v>231</v>
      </c>
      <c r="V530" s="2" t="s">
        <v>391</v>
      </c>
      <c r="W530" s="2" t="s">
        <v>273</v>
      </c>
      <c r="X530" s="2" t="s">
        <v>231</v>
      </c>
      <c r="Y530" s="2" t="s">
        <v>3133</v>
      </c>
      <c r="Z530" s="4">
        <v>96</v>
      </c>
      <c r="AA530" s="4">
        <f>=ROUNDDOWN(48,0)</f>
      </c>
      <c r="AB530" s="5">
        <v>2</v>
      </c>
      <c r="AC530" s="2" t="s">
        <v>231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231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>
        <v>34</v>
      </c>
      <c r="BK530" s="8">
        <v>1771.28</v>
      </c>
      <c r="BL530" s="2" t="s">
        <v>3134</v>
      </c>
      <c r="BM530" s="7"/>
      <c r="BN530" s="7"/>
      <c r="BO530" s="4"/>
      <c r="BP530" s="8"/>
      <c r="BQ530" s="4"/>
      <c r="BR530" s="8"/>
      <c r="BS530" s="7"/>
      <c r="BT530" s="7"/>
      <c r="BU530" s="2" t="s">
        <v>3135</v>
      </c>
      <c r="BV530" s="2" t="s">
        <v>231</v>
      </c>
      <c r="BW530" s="2" t="s">
        <v>231</v>
      </c>
      <c r="BX530" s="2" t="s">
        <v>231</v>
      </c>
      <c r="BY530" s="2" t="s">
        <v>277</v>
      </c>
      <c r="BZ530" s="2" t="s">
        <v>243</v>
      </c>
      <c r="CA530" s="2" t="s">
        <v>1620</v>
      </c>
      <c r="CB530" s="2" t="s">
        <v>3136</v>
      </c>
      <c r="CC530" s="2" t="s">
        <v>244</v>
      </c>
      <c r="CD530" s="2" t="s">
        <v>231</v>
      </c>
      <c r="CE530" s="4">
        <v>96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</row>
    <row r="531">
      <c r="A531" s="2" t="s">
        <v>3137</v>
      </c>
      <c r="B531" s="2" t="s">
        <v>824</v>
      </c>
      <c r="C531" s="2" t="s">
        <v>1051</v>
      </c>
      <c r="D531" s="2" t="s">
        <v>654</v>
      </c>
      <c r="E531" s="2" t="s">
        <v>655</v>
      </c>
      <c r="F531" s="2" t="s">
        <v>3138</v>
      </c>
      <c r="G531" s="2" t="s">
        <v>3139</v>
      </c>
      <c r="H531" s="2" t="s">
        <v>3140</v>
      </c>
      <c r="I531" s="2" t="s">
        <v>3141</v>
      </c>
      <c r="J531" s="2" t="s">
        <v>832</v>
      </c>
      <c r="K531" s="2" t="s">
        <v>253</v>
      </c>
      <c r="L531" s="3">
        <v>51.75</v>
      </c>
      <c r="M531" s="3">
        <v>54.34</v>
      </c>
      <c r="N531" s="3">
        <v>109.99</v>
      </c>
      <c r="O531" s="2" t="s">
        <v>243</v>
      </c>
      <c r="P531" s="2" t="s">
        <v>341</v>
      </c>
      <c r="Q531" s="2" t="s">
        <v>237</v>
      </c>
      <c r="R531" s="2" t="s">
        <v>231</v>
      </c>
      <c r="S531" s="2" t="s">
        <v>3142</v>
      </c>
      <c r="T531" s="2" t="s">
        <v>362</v>
      </c>
      <c r="U531" s="2" t="s">
        <v>298</v>
      </c>
      <c r="V531" s="2" t="s">
        <v>391</v>
      </c>
      <c r="W531" s="2" t="s">
        <v>691</v>
      </c>
      <c r="X531" s="2" t="s">
        <v>273</v>
      </c>
      <c r="Y531" s="2" t="s">
        <v>3143</v>
      </c>
      <c r="Z531" s="4">
        <v>51</v>
      </c>
      <c r="AA531" s="4">
        <f>=ROUNDDOWN(36.4285714285714,0)</f>
      </c>
      <c r="AB531" s="5">
        <v>1.4</v>
      </c>
      <c r="AC531" s="2" t="s">
        <v>231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231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231</v>
      </c>
      <c r="AW531" s="8" t="s">
        <v>231</v>
      </c>
      <c r="AX531" s="4" t="s">
        <v>231</v>
      </c>
      <c r="AY531" s="8" t="s">
        <v>231</v>
      </c>
      <c r="AZ531" s="7" t="s">
        <v>231</v>
      </c>
      <c r="BA531" s="7" t="s">
        <v>231</v>
      </c>
      <c r="BB531" s="7" t="s">
        <v>231</v>
      </c>
      <c r="BC531" s="4" t="s">
        <v>231</v>
      </c>
      <c r="BD531" s="8" t="s">
        <v>231</v>
      </c>
      <c r="BE531" s="4" t="s">
        <v>231</v>
      </c>
      <c r="BF531" s="8" t="s">
        <v>231</v>
      </c>
      <c r="BG531" s="7" t="s">
        <v>231</v>
      </c>
      <c r="BH531" s="7" t="s">
        <v>231</v>
      </c>
      <c r="BI531" s="7"/>
      <c r="BJ531" s="4">
        <v>7</v>
      </c>
      <c r="BK531" s="8">
        <v>319.24</v>
      </c>
      <c r="BL531" s="2" t="s">
        <v>3144</v>
      </c>
      <c r="BM531" s="7"/>
      <c r="BN531" s="7"/>
      <c r="BO531" s="4"/>
      <c r="BP531" s="8"/>
      <c r="BQ531" s="4"/>
      <c r="BR531" s="8"/>
      <c r="BS531" s="7"/>
      <c r="BT531" s="7"/>
      <c r="BU531" s="2" t="s">
        <v>3145</v>
      </c>
      <c r="BV531" s="2" t="s">
        <v>231</v>
      </c>
      <c r="BW531" s="2" t="s">
        <v>231</v>
      </c>
      <c r="BX531" s="2" t="s">
        <v>231</v>
      </c>
      <c r="BY531" s="2" t="s">
        <v>277</v>
      </c>
      <c r="BZ531" s="2" t="s">
        <v>243</v>
      </c>
      <c r="CA531" s="2" t="s">
        <v>3146</v>
      </c>
      <c r="CB531" s="2" t="s">
        <v>3147</v>
      </c>
      <c r="CC531" s="2" t="s">
        <v>244</v>
      </c>
      <c r="CD531" s="2" t="s">
        <v>231</v>
      </c>
      <c r="CE531" s="4">
        <v>51</v>
      </c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</row>
    <row r="532">
      <c r="A532" s="2" t="s">
        <v>3148</v>
      </c>
      <c r="B532" s="2" t="s">
        <v>824</v>
      </c>
      <c r="C532" s="2" t="s">
        <v>1051</v>
      </c>
      <c r="D532" s="2" t="s">
        <v>826</v>
      </c>
      <c r="E532" s="2" t="s">
        <v>827</v>
      </c>
      <c r="F532" s="2" t="s">
        <v>3138</v>
      </c>
      <c r="G532" s="2" t="s">
        <v>3139</v>
      </c>
      <c r="H532" s="2" t="s">
        <v>3140</v>
      </c>
      <c r="I532" s="2" t="s">
        <v>3149</v>
      </c>
      <c r="J532" s="2" t="s">
        <v>832</v>
      </c>
      <c r="K532" s="2" t="s">
        <v>253</v>
      </c>
      <c r="L532" s="3">
        <v>51.7</v>
      </c>
      <c r="M532" s="3">
        <v>54.29</v>
      </c>
      <c r="N532" s="3">
        <v>109.99</v>
      </c>
      <c r="O532" s="2" t="s">
        <v>243</v>
      </c>
      <c r="P532" s="2" t="s">
        <v>341</v>
      </c>
      <c r="Q532" s="2" t="s">
        <v>237</v>
      </c>
      <c r="R532" s="2" t="s">
        <v>231</v>
      </c>
      <c r="S532" s="2" t="s">
        <v>3142</v>
      </c>
      <c r="T532" s="2" t="s">
        <v>362</v>
      </c>
      <c r="U532" s="2" t="s">
        <v>298</v>
      </c>
      <c r="V532" s="2" t="s">
        <v>391</v>
      </c>
      <c r="W532" s="2" t="s">
        <v>691</v>
      </c>
      <c r="X532" s="2" t="s">
        <v>273</v>
      </c>
      <c r="Y532" s="2" t="s">
        <v>3143</v>
      </c>
      <c r="Z532" s="4">
        <v>91</v>
      </c>
      <c r="AA532" s="4">
        <f>=ROUNDDOWN(91,0)</f>
      </c>
      <c r="AB532" s="5">
        <v>1</v>
      </c>
      <c r="AC532" s="2" t="s">
        <v>231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231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231</v>
      </c>
      <c r="AW532" s="8" t="s">
        <v>231</v>
      </c>
      <c r="AX532" s="4" t="s">
        <v>231</v>
      </c>
      <c r="AY532" s="8" t="s">
        <v>231</v>
      </c>
      <c r="AZ532" s="7" t="s">
        <v>231</v>
      </c>
      <c r="BA532" s="7" t="s">
        <v>231</v>
      </c>
      <c r="BB532" s="7" t="s">
        <v>231</v>
      </c>
      <c r="BC532" s="4" t="s">
        <v>231</v>
      </c>
      <c r="BD532" s="8" t="s">
        <v>231</v>
      </c>
      <c r="BE532" s="4" t="s">
        <v>231</v>
      </c>
      <c r="BF532" s="8" t="s">
        <v>231</v>
      </c>
      <c r="BG532" s="7" t="s">
        <v>231</v>
      </c>
      <c r="BH532" s="7" t="s">
        <v>231</v>
      </c>
      <c r="BI532" s="7"/>
      <c r="BJ532" s="4">
        <v>1</v>
      </c>
      <c r="BK532" s="8">
        <v>32.53</v>
      </c>
      <c r="BL532" s="2" t="s">
        <v>2392</v>
      </c>
      <c r="BM532" s="7"/>
      <c r="BN532" s="7"/>
      <c r="BO532" s="4"/>
      <c r="BP532" s="8"/>
      <c r="BQ532" s="4"/>
      <c r="BR532" s="8"/>
      <c r="BS532" s="7"/>
      <c r="BT532" s="7"/>
      <c r="BU532" s="2" t="s">
        <v>3150</v>
      </c>
      <c r="BV532" s="2" t="s">
        <v>231</v>
      </c>
      <c r="BW532" s="2" t="s">
        <v>231</v>
      </c>
      <c r="BX532" s="2" t="s">
        <v>231</v>
      </c>
      <c r="BY532" s="2" t="s">
        <v>277</v>
      </c>
      <c r="BZ532" s="2" t="s">
        <v>243</v>
      </c>
      <c r="CA532" s="2" t="s">
        <v>3146</v>
      </c>
      <c r="CB532" s="2" t="s">
        <v>3147</v>
      </c>
      <c r="CC532" s="2" t="s">
        <v>244</v>
      </c>
      <c r="CD532" s="2" t="s">
        <v>231</v>
      </c>
      <c r="CE532" s="4">
        <v>91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</row>
    <row r="533">
      <c r="A533" s="2" t="s">
        <v>3151</v>
      </c>
      <c r="B533" s="2" t="s">
        <v>824</v>
      </c>
      <c r="C533" s="2" t="s">
        <v>1051</v>
      </c>
      <c r="D533" s="2" t="s">
        <v>826</v>
      </c>
      <c r="E533" s="2" t="s">
        <v>827</v>
      </c>
      <c r="F533" s="2" t="s">
        <v>3138</v>
      </c>
      <c r="G533" s="2" t="s">
        <v>3139</v>
      </c>
      <c r="H533" s="2" t="s">
        <v>3140</v>
      </c>
      <c r="I533" s="2" t="s">
        <v>3152</v>
      </c>
      <c r="J533" s="2" t="s">
        <v>832</v>
      </c>
      <c r="K533" s="2" t="s">
        <v>255</v>
      </c>
      <c r="L533" s="3">
        <v>51.7</v>
      </c>
      <c r="M533" s="3">
        <v>54.29</v>
      </c>
      <c r="N533" s="3">
        <v>109.99</v>
      </c>
      <c r="O533" s="2" t="s">
        <v>243</v>
      </c>
      <c r="P533" s="2" t="s">
        <v>341</v>
      </c>
      <c r="Q533" s="2" t="s">
        <v>237</v>
      </c>
      <c r="R533" s="2" t="s">
        <v>231</v>
      </c>
      <c r="S533" s="2" t="s">
        <v>3153</v>
      </c>
      <c r="T533" s="2" t="s">
        <v>362</v>
      </c>
      <c r="U533" s="2" t="s">
        <v>298</v>
      </c>
      <c r="V533" s="2" t="s">
        <v>391</v>
      </c>
      <c r="W533" s="2" t="s">
        <v>691</v>
      </c>
      <c r="X533" s="2" t="s">
        <v>273</v>
      </c>
      <c r="Y533" s="2" t="s">
        <v>975</v>
      </c>
      <c r="Z533" s="4">
        <v>40</v>
      </c>
      <c r="AA533" s="4">
        <f>=ROUNDDOWN(57.1428571428571,0)</f>
      </c>
      <c r="AB533" s="5">
        <v>0.7</v>
      </c>
      <c r="AC533" s="2" t="s">
        <v>231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231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231</v>
      </c>
      <c r="BD533" s="8" t="s">
        <v>231</v>
      </c>
      <c r="BE533" s="4" t="s">
        <v>231</v>
      </c>
      <c r="BF533" s="8" t="s">
        <v>231</v>
      </c>
      <c r="BG533" s="7" t="s">
        <v>231</v>
      </c>
      <c r="BH533" s="7" t="s">
        <v>231</v>
      </c>
      <c r="BI533" s="7"/>
      <c r="BJ533" s="4">
        <v>3</v>
      </c>
      <c r="BK533" s="8">
        <v>162.66</v>
      </c>
      <c r="BL533" s="2" t="s">
        <v>843</v>
      </c>
      <c r="BM533" s="7"/>
      <c r="BN533" s="7"/>
      <c r="BO533" s="4"/>
      <c r="BP533" s="8"/>
      <c r="BQ533" s="4"/>
      <c r="BR533" s="8"/>
      <c r="BS533" s="7"/>
      <c r="BT533" s="7"/>
      <c r="BU533" s="2" t="s">
        <v>3154</v>
      </c>
      <c r="BV533" s="2" t="s">
        <v>231</v>
      </c>
      <c r="BW533" s="2" t="s">
        <v>231</v>
      </c>
      <c r="BX533" s="2" t="s">
        <v>231</v>
      </c>
      <c r="BY533" s="2" t="s">
        <v>277</v>
      </c>
      <c r="BZ533" s="2" t="s">
        <v>243</v>
      </c>
      <c r="CA533" s="2" t="s">
        <v>975</v>
      </c>
      <c r="CB533" s="2" t="s">
        <v>3155</v>
      </c>
      <c r="CC533" s="2" t="s">
        <v>244</v>
      </c>
      <c r="CD533" s="2" t="s">
        <v>231</v>
      </c>
      <c r="CE533" s="4">
        <v>40</v>
      </c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</row>
    <row r="534">
      <c r="A534" s="2" t="s">
        <v>3156</v>
      </c>
      <c r="B534" s="2" t="s">
        <v>1004</v>
      </c>
      <c r="C534" s="2" t="s">
        <v>288</v>
      </c>
      <c r="D534" s="2" t="s">
        <v>1031</v>
      </c>
      <c r="E534" s="2" t="s">
        <v>1032</v>
      </c>
      <c r="F534" s="2" t="s">
        <v>3157</v>
      </c>
      <c r="G534" s="2" t="s">
        <v>3158</v>
      </c>
      <c r="H534" s="2" t="s">
        <v>3159</v>
      </c>
      <c r="I534" s="2" t="s">
        <v>1035</v>
      </c>
      <c r="J534" s="2" t="s">
        <v>807</v>
      </c>
      <c r="K534" s="2" t="s">
        <v>1939</v>
      </c>
      <c r="L534" s="3">
        <v>465.5</v>
      </c>
      <c r="M534" s="3">
        <v>488.78</v>
      </c>
      <c r="N534" s="3">
        <v>979</v>
      </c>
      <c r="O534" s="2" t="s">
        <v>243</v>
      </c>
      <c r="P534" s="2" t="s">
        <v>1037</v>
      </c>
      <c r="Q534" s="2" t="s">
        <v>237</v>
      </c>
      <c r="R534" s="2" t="s">
        <v>16</v>
      </c>
      <c r="S534" s="2" t="s">
        <v>3160</v>
      </c>
      <c r="T534" s="2" t="s">
        <v>231</v>
      </c>
      <c r="U534" s="2" t="s">
        <v>791</v>
      </c>
      <c r="V534" s="2" t="s">
        <v>239</v>
      </c>
      <c r="W534" s="2" t="s">
        <v>792</v>
      </c>
      <c r="X534" s="2" t="s">
        <v>231</v>
      </c>
      <c r="Y534" s="2" t="s">
        <v>3161</v>
      </c>
      <c r="Z534" s="4">
        <v>13</v>
      </c>
      <c r="AA534" s="4">
        <f>=ROUNDDOWN({0},0)</f>
      </c>
      <c r="AB534" s="5"/>
      <c r="AC534" s="2" t="s">
        <v>3090</v>
      </c>
      <c r="AD534" s="4">
        <v>60</v>
      </c>
      <c r="AE534" s="4">
        <v>60</v>
      </c>
      <c r="AF534" s="6"/>
      <c r="AG534" s="6"/>
      <c r="AH534" s="7">
        <v>1</v>
      </c>
      <c r="AI534" s="4"/>
      <c r="AJ534" s="4">
        <f>=ROUNDDOWN({0},0)</f>
      </c>
      <c r="AK534" s="5"/>
      <c r="AL534" s="2" t="s">
        <v>231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231</v>
      </c>
      <c r="BM534" s="7"/>
      <c r="BN534" s="7"/>
      <c r="BO534" s="4"/>
      <c r="BP534" s="8"/>
      <c r="BQ534" s="4"/>
      <c r="BR534" s="8"/>
      <c r="BS534" s="7"/>
      <c r="BT534" s="7"/>
      <c r="BU534" s="2" t="s">
        <v>3162</v>
      </c>
      <c r="BV534" s="2" t="s">
        <v>231</v>
      </c>
      <c r="BW534" s="2" t="s">
        <v>231</v>
      </c>
      <c r="BX534" s="2" t="s">
        <v>241</v>
      </c>
      <c r="BY534" s="2" t="s">
        <v>277</v>
      </c>
      <c r="BZ534" s="2" t="s">
        <v>243</v>
      </c>
      <c r="CA534" s="2" t="s">
        <v>1041</v>
      </c>
      <c r="CB534" s="2" t="s">
        <v>231</v>
      </c>
      <c r="CC534" s="2" t="s">
        <v>244</v>
      </c>
      <c r="CD534" s="2" t="s">
        <v>231</v>
      </c>
      <c r="CE534" s="4"/>
      <c r="CF534" s="4">
        <v>13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>
        <v>60</v>
      </c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</row>
    <row r="535">
      <c r="A535" s="2" t="s">
        <v>3163</v>
      </c>
      <c r="B535" s="2" t="s">
        <v>262</v>
      </c>
      <c r="C535" s="2" t="s">
        <v>288</v>
      </c>
      <c r="D535" s="2" t="s">
        <v>228</v>
      </c>
      <c r="E535" s="2" t="s">
        <v>3164</v>
      </c>
      <c r="F535" s="2" t="s">
        <v>3165</v>
      </c>
      <c r="G535" s="2" t="s">
        <v>3166</v>
      </c>
      <c r="H535" s="2" t="s">
        <v>3166</v>
      </c>
      <c r="I535" s="2" t="s">
        <v>3167</v>
      </c>
      <c r="J535" s="2" t="s">
        <v>318</v>
      </c>
      <c r="K535" s="2" t="s">
        <v>985</v>
      </c>
      <c r="L535" s="3">
        <v>21.16</v>
      </c>
      <c r="M535" s="3">
        <v>22.22</v>
      </c>
      <c r="N535" s="3">
        <v>44.99</v>
      </c>
      <c r="O535" s="2" t="s">
        <v>243</v>
      </c>
      <c r="P535" s="2" t="s">
        <v>341</v>
      </c>
      <c r="Q535" s="2" t="s">
        <v>237</v>
      </c>
      <c r="R535" s="2" t="s">
        <v>231</v>
      </c>
      <c r="S535" s="2" t="s">
        <v>3168</v>
      </c>
      <c r="T535" s="2" t="s">
        <v>472</v>
      </c>
      <c r="U535" s="2" t="s">
        <v>231</v>
      </c>
      <c r="V535" s="2" t="s">
        <v>239</v>
      </c>
      <c r="W535" s="2" t="s">
        <v>273</v>
      </c>
      <c r="X535" s="2" t="s">
        <v>231</v>
      </c>
      <c r="Y535" s="2" t="s">
        <v>274</v>
      </c>
      <c r="Z535" s="4">
        <v>91</v>
      </c>
      <c r="AA535" s="4">
        <f>=ROUNDDOWN(15.1666666666667,0)</f>
      </c>
      <c r="AB535" s="5">
        <v>6</v>
      </c>
      <c r="AC535" s="2" t="s">
        <v>231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231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231</v>
      </c>
      <c r="BD535" s="8" t="s">
        <v>231</v>
      </c>
      <c r="BE535" s="4" t="s">
        <v>231</v>
      </c>
      <c r="BF535" s="8" t="s">
        <v>231</v>
      </c>
      <c r="BG535" s="7" t="s">
        <v>231</v>
      </c>
      <c r="BH535" s="7" t="s">
        <v>231</v>
      </c>
      <c r="BI535" s="7"/>
      <c r="BJ535" s="4">
        <v>60</v>
      </c>
      <c r="BK535" s="8">
        <v>1078.47</v>
      </c>
      <c r="BL535" s="2" t="s">
        <v>3169</v>
      </c>
      <c r="BM535" s="7"/>
      <c r="BN535" s="7"/>
      <c r="BO535" s="4"/>
      <c r="BP535" s="8"/>
      <c r="BQ535" s="4"/>
      <c r="BR535" s="8"/>
      <c r="BS535" s="7"/>
      <c r="BT535" s="7"/>
      <c r="BU535" s="2" t="s">
        <v>3170</v>
      </c>
      <c r="BV535" s="2" t="s">
        <v>231</v>
      </c>
      <c r="BW535" s="2" t="s">
        <v>231</v>
      </c>
      <c r="BX535" s="2" t="s">
        <v>231</v>
      </c>
      <c r="BY535" s="2" t="s">
        <v>277</v>
      </c>
      <c r="BZ535" s="2" t="s">
        <v>243</v>
      </c>
      <c r="CA535" s="2" t="s">
        <v>284</v>
      </c>
      <c r="CB535" s="2" t="s">
        <v>3171</v>
      </c>
      <c r="CC535" s="2" t="s">
        <v>244</v>
      </c>
      <c r="CD535" s="2" t="s">
        <v>231</v>
      </c>
      <c r="CE535" s="4">
        <v>91</v>
      </c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</row>
    <row r="536">
      <c r="A536" s="2" t="s">
        <v>3172</v>
      </c>
      <c r="B536" s="2" t="s">
        <v>262</v>
      </c>
      <c r="C536" s="2" t="s">
        <v>288</v>
      </c>
      <c r="D536" s="2" t="s">
        <v>228</v>
      </c>
      <c r="E536" s="2" t="s">
        <v>3164</v>
      </c>
      <c r="F536" s="2" t="s">
        <v>3165</v>
      </c>
      <c r="G536" s="2" t="s">
        <v>3166</v>
      </c>
      <c r="H536" s="2" t="s">
        <v>3166</v>
      </c>
      <c r="I536" s="2" t="s">
        <v>3167</v>
      </c>
      <c r="J536" s="2" t="s">
        <v>658</v>
      </c>
      <c r="K536" s="2" t="s">
        <v>682</v>
      </c>
      <c r="L536" s="3">
        <v>25.67</v>
      </c>
      <c r="M536" s="3">
        <v>26.95</v>
      </c>
      <c r="N536" s="3">
        <v>54.99</v>
      </c>
      <c r="O536" s="2" t="s">
        <v>243</v>
      </c>
      <c r="P536" s="2" t="s">
        <v>270</v>
      </c>
      <c r="Q536" s="2" t="s">
        <v>237</v>
      </c>
      <c r="R536" s="2" t="s">
        <v>231</v>
      </c>
      <c r="S536" s="2" t="s">
        <v>3173</v>
      </c>
      <c r="T536" s="2" t="s">
        <v>472</v>
      </c>
      <c r="U536" s="2" t="s">
        <v>327</v>
      </c>
      <c r="V536" s="2" t="s">
        <v>239</v>
      </c>
      <c r="W536" s="2" t="s">
        <v>273</v>
      </c>
      <c r="X536" s="2" t="s">
        <v>231</v>
      </c>
      <c r="Y536" s="2" t="s">
        <v>3174</v>
      </c>
      <c r="Z536" s="4">
        <v>251</v>
      </c>
      <c r="AA536" s="4">
        <f>=ROUNDDOWN(19.3076923076923,0)</f>
      </c>
      <c r="AB536" s="5">
        <v>13</v>
      </c>
      <c r="AC536" s="2" t="s">
        <v>876</v>
      </c>
      <c r="AD536" s="4">
        <v>30</v>
      </c>
      <c r="AE536" s="4">
        <v>315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231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231</v>
      </c>
      <c r="BD536" s="8" t="s">
        <v>231</v>
      </c>
      <c r="BE536" s="4" t="s">
        <v>231</v>
      </c>
      <c r="BF536" s="8" t="s">
        <v>231</v>
      </c>
      <c r="BG536" s="7" t="s">
        <v>231</v>
      </c>
      <c r="BH536" s="7" t="s">
        <v>231</v>
      </c>
      <c r="BI536" s="7"/>
      <c r="BJ536" s="4">
        <v>63</v>
      </c>
      <c r="BK536" s="8">
        <v>1625.58</v>
      </c>
      <c r="BL536" s="2" t="s">
        <v>1283</v>
      </c>
      <c r="BM536" s="7"/>
      <c r="BN536" s="7"/>
      <c r="BO536" s="4"/>
      <c r="BP536" s="8"/>
      <c r="BQ536" s="4"/>
      <c r="BR536" s="8"/>
      <c r="BS536" s="7"/>
      <c r="BT536" s="7"/>
      <c r="BU536" s="2" t="s">
        <v>3175</v>
      </c>
      <c r="BV536" s="2" t="s">
        <v>231</v>
      </c>
      <c r="BW536" s="2" t="s">
        <v>231</v>
      </c>
      <c r="BX536" s="2" t="s">
        <v>231</v>
      </c>
      <c r="BY536" s="2" t="s">
        <v>277</v>
      </c>
      <c r="BZ536" s="2" t="s">
        <v>243</v>
      </c>
      <c r="CA536" s="2" t="s">
        <v>3174</v>
      </c>
      <c r="CB536" s="2" t="s">
        <v>3176</v>
      </c>
      <c r="CC536" s="2" t="s">
        <v>244</v>
      </c>
      <c r="CD536" s="2" t="s">
        <v>231</v>
      </c>
      <c r="CE536" s="4">
        <v>251</v>
      </c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>
        <v>30</v>
      </c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>
        <v>160</v>
      </c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>
        <v>125</v>
      </c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</row>
    <row r="537">
      <c r="A537" s="2" t="s">
        <v>3177</v>
      </c>
      <c r="B537" s="2" t="s">
        <v>262</v>
      </c>
      <c r="C537" s="2" t="s">
        <v>288</v>
      </c>
      <c r="D537" s="2" t="s">
        <v>228</v>
      </c>
      <c r="E537" s="2" t="s">
        <v>3164</v>
      </c>
      <c r="F537" s="2" t="s">
        <v>3165</v>
      </c>
      <c r="G537" s="2" t="s">
        <v>3166</v>
      </c>
      <c r="H537" s="2" t="s">
        <v>3166</v>
      </c>
      <c r="I537" s="2" t="s">
        <v>3167</v>
      </c>
      <c r="J537" s="2" t="s">
        <v>318</v>
      </c>
      <c r="K537" s="2" t="s">
        <v>306</v>
      </c>
      <c r="L537" s="3">
        <v>21.16</v>
      </c>
      <c r="M537" s="3">
        <v>22.22</v>
      </c>
      <c r="N537" s="3">
        <v>44.99</v>
      </c>
      <c r="O537" s="2" t="s">
        <v>243</v>
      </c>
      <c r="P537" s="2" t="s">
        <v>341</v>
      </c>
      <c r="Q537" s="2" t="s">
        <v>237</v>
      </c>
      <c r="R537" s="2" t="s">
        <v>231</v>
      </c>
      <c r="S537" s="2" t="s">
        <v>3178</v>
      </c>
      <c r="T537" s="2" t="s">
        <v>472</v>
      </c>
      <c r="U537" s="2" t="s">
        <v>231</v>
      </c>
      <c r="V537" s="2" t="s">
        <v>239</v>
      </c>
      <c r="W537" s="2" t="s">
        <v>273</v>
      </c>
      <c r="X537" s="2" t="s">
        <v>231</v>
      </c>
      <c r="Y537" s="2" t="s">
        <v>274</v>
      </c>
      <c r="Z537" s="4">
        <v>311</v>
      </c>
      <c r="AA537" s="4">
        <f>=ROUNDDOWN(25.9166666666667,0)</f>
      </c>
      <c r="AB537" s="5">
        <v>12</v>
      </c>
      <c r="AC537" s="2" t="s">
        <v>231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231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231</v>
      </c>
      <c r="BD537" s="8" t="s">
        <v>231</v>
      </c>
      <c r="BE537" s="4" t="s">
        <v>231</v>
      </c>
      <c r="BF537" s="8" t="s">
        <v>231</v>
      </c>
      <c r="BG537" s="7" t="s">
        <v>231</v>
      </c>
      <c r="BH537" s="7" t="s">
        <v>231</v>
      </c>
      <c r="BI537" s="7"/>
      <c r="BJ537" s="4">
        <v>23</v>
      </c>
      <c r="BK537" s="8">
        <v>508.03</v>
      </c>
      <c r="BL537" s="2" t="s">
        <v>3179</v>
      </c>
      <c r="BM537" s="7"/>
      <c r="BN537" s="7"/>
      <c r="BO537" s="4"/>
      <c r="BP537" s="8"/>
      <c r="BQ537" s="4"/>
      <c r="BR537" s="8"/>
      <c r="BS537" s="7"/>
      <c r="BT537" s="7"/>
      <c r="BU537" s="2" t="s">
        <v>3180</v>
      </c>
      <c r="BV537" s="2" t="s">
        <v>231</v>
      </c>
      <c r="BW537" s="2" t="s">
        <v>231</v>
      </c>
      <c r="BX537" s="2" t="s">
        <v>231</v>
      </c>
      <c r="BY537" s="2" t="s">
        <v>277</v>
      </c>
      <c r="BZ537" s="2" t="s">
        <v>243</v>
      </c>
      <c r="CA537" s="2" t="s">
        <v>284</v>
      </c>
      <c r="CB537" s="2" t="s">
        <v>3181</v>
      </c>
      <c r="CC537" s="2" t="s">
        <v>244</v>
      </c>
      <c r="CD537" s="2" t="s">
        <v>231</v>
      </c>
      <c r="CE537" s="4">
        <v>311</v>
      </c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</row>
    <row r="538">
      <c r="A538" s="2" t="s">
        <v>3182</v>
      </c>
      <c r="B538" s="2" t="s">
        <v>262</v>
      </c>
      <c r="C538" s="2" t="s">
        <v>288</v>
      </c>
      <c r="D538" s="2" t="s">
        <v>228</v>
      </c>
      <c r="E538" s="2" t="s">
        <v>3164</v>
      </c>
      <c r="F538" s="2" t="s">
        <v>3165</v>
      </c>
      <c r="G538" s="2" t="s">
        <v>3166</v>
      </c>
      <c r="H538" s="2" t="s">
        <v>3166</v>
      </c>
      <c r="I538" s="2" t="s">
        <v>3167</v>
      </c>
      <c r="J538" s="2" t="s">
        <v>318</v>
      </c>
      <c r="K538" s="2" t="s">
        <v>452</v>
      </c>
      <c r="L538" s="3">
        <v>21.16</v>
      </c>
      <c r="M538" s="3">
        <v>22.22</v>
      </c>
      <c r="N538" s="3">
        <v>44.99</v>
      </c>
      <c r="O538" s="2" t="s">
        <v>243</v>
      </c>
      <c r="P538" s="2" t="s">
        <v>341</v>
      </c>
      <c r="Q538" s="2" t="s">
        <v>237</v>
      </c>
      <c r="R538" s="2" t="s">
        <v>231</v>
      </c>
      <c r="S538" s="2" t="s">
        <v>3183</v>
      </c>
      <c r="T538" s="2" t="s">
        <v>472</v>
      </c>
      <c r="U538" s="2" t="s">
        <v>231</v>
      </c>
      <c r="V538" s="2" t="s">
        <v>239</v>
      </c>
      <c r="W538" s="2" t="s">
        <v>273</v>
      </c>
      <c r="X538" s="2" t="s">
        <v>231</v>
      </c>
      <c r="Y538" s="2" t="s">
        <v>274</v>
      </c>
      <c r="Z538" s="4">
        <v>275</v>
      </c>
      <c r="AA538" s="4">
        <f>=ROUNDDOWN(39.2857142857143,0)</f>
      </c>
      <c r="AB538" s="5">
        <v>7</v>
      </c>
      <c r="AC538" s="2" t="s">
        <v>3184</v>
      </c>
      <c r="AD538" s="4">
        <v>70</v>
      </c>
      <c r="AE538" s="4">
        <v>70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231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231</v>
      </c>
      <c r="BD538" s="8" t="s">
        <v>231</v>
      </c>
      <c r="BE538" s="4" t="s">
        <v>231</v>
      </c>
      <c r="BF538" s="8" t="s">
        <v>231</v>
      </c>
      <c r="BG538" s="7" t="s">
        <v>231</v>
      </c>
      <c r="BH538" s="7" t="s">
        <v>231</v>
      </c>
      <c r="BI538" s="7"/>
      <c r="BJ538" s="4">
        <v>14</v>
      </c>
      <c r="BK538" s="8">
        <v>288.75</v>
      </c>
      <c r="BL538" s="2" t="s">
        <v>3185</v>
      </c>
      <c r="BM538" s="7"/>
      <c r="BN538" s="7"/>
      <c r="BO538" s="4"/>
      <c r="BP538" s="8"/>
      <c r="BQ538" s="4"/>
      <c r="BR538" s="8"/>
      <c r="BS538" s="7"/>
      <c r="BT538" s="7"/>
      <c r="BU538" s="2" t="s">
        <v>3186</v>
      </c>
      <c r="BV538" s="2" t="s">
        <v>231</v>
      </c>
      <c r="BW538" s="2" t="s">
        <v>231</v>
      </c>
      <c r="BX538" s="2" t="s">
        <v>231</v>
      </c>
      <c r="BY538" s="2" t="s">
        <v>277</v>
      </c>
      <c r="BZ538" s="2" t="s">
        <v>243</v>
      </c>
      <c r="CA538" s="2" t="s">
        <v>284</v>
      </c>
      <c r="CB538" s="2" t="s">
        <v>3187</v>
      </c>
      <c r="CC538" s="2" t="s">
        <v>244</v>
      </c>
      <c r="CD538" s="2" t="s">
        <v>231</v>
      </c>
      <c r="CE538" s="4">
        <v>275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>
        <v>70</v>
      </c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</row>
    <row r="539">
      <c r="A539" s="2" t="s">
        <v>3188</v>
      </c>
      <c r="B539" s="2" t="s">
        <v>801</v>
      </c>
      <c r="C539" s="2" t="s">
        <v>867</v>
      </c>
      <c r="D539" s="2" t="s">
        <v>803</v>
      </c>
      <c r="E539" s="2" t="s">
        <v>804</v>
      </c>
      <c r="F539" s="2" t="s">
        <v>3189</v>
      </c>
      <c r="G539" s="2" t="s">
        <v>3189</v>
      </c>
      <c r="H539" s="2" t="s">
        <v>3189</v>
      </c>
      <c r="I539" s="2" t="s">
        <v>3190</v>
      </c>
      <c r="J539" s="2" t="s">
        <v>807</v>
      </c>
      <c r="K539" s="2" t="s">
        <v>1118</v>
      </c>
      <c r="L539" s="3">
        <v>89.1</v>
      </c>
      <c r="M539" s="3">
        <v>93.56</v>
      </c>
      <c r="N539" s="3">
        <v>209</v>
      </c>
      <c r="O539" s="2" t="s">
        <v>243</v>
      </c>
      <c r="P539" s="2" t="s">
        <v>341</v>
      </c>
      <c r="Q539" s="2" t="s">
        <v>237</v>
      </c>
      <c r="R539" s="2" t="s">
        <v>231</v>
      </c>
      <c r="S539" s="2" t="s">
        <v>231</v>
      </c>
      <c r="T539" s="2" t="s">
        <v>231</v>
      </c>
      <c r="U539" s="2" t="s">
        <v>327</v>
      </c>
      <c r="V539" s="2" t="s">
        <v>662</v>
      </c>
      <c r="W539" s="2" t="s">
        <v>792</v>
      </c>
      <c r="X539" s="2" t="s">
        <v>874</v>
      </c>
      <c r="Y539" s="2" t="s">
        <v>1422</v>
      </c>
      <c r="Z539" s="4">
        <v>72</v>
      </c>
      <c r="AA539" s="4">
        <f>=ROUNDDOWN(72,0)</f>
      </c>
      <c r="AB539" s="5">
        <v>1</v>
      </c>
      <c r="AC539" s="2" t="s">
        <v>231</v>
      </c>
      <c r="AD539" s="4"/>
      <c r="AE539" s="4"/>
      <c r="AF539" s="6">
        <v>63</v>
      </c>
      <c r="AG539" s="6"/>
      <c r="AH539" s="7">
        <v>1</v>
      </c>
      <c r="AI539" s="4"/>
      <c r="AJ539" s="4">
        <f>=ROUNDDOWN({0},0)</f>
      </c>
      <c r="AK539" s="5"/>
      <c r="AL539" s="2" t="s">
        <v>231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>
        <v>2</v>
      </c>
      <c r="BK539" s="8">
        <v>119.19</v>
      </c>
      <c r="BL539" s="2" t="s">
        <v>3191</v>
      </c>
      <c r="BM539" s="7"/>
      <c r="BN539" s="7"/>
      <c r="BO539" s="4"/>
      <c r="BP539" s="8"/>
      <c r="BQ539" s="4"/>
      <c r="BR539" s="8"/>
      <c r="BS539" s="7"/>
      <c r="BT539" s="7"/>
      <c r="BU539" s="2" t="s">
        <v>3192</v>
      </c>
      <c r="BV539" s="2" t="s">
        <v>231</v>
      </c>
      <c r="BW539" s="2" t="s">
        <v>231</v>
      </c>
      <c r="BX539" s="2" t="s">
        <v>231</v>
      </c>
      <c r="BY539" s="2" t="s">
        <v>277</v>
      </c>
      <c r="BZ539" s="2" t="s">
        <v>243</v>
      </c>
      <c r="CA539" s="2" t="s">
        <v>1425</v>
      </c>
      <c r="CB539" s="2" t="s">
        <v>948</v>
      </c>
      <c r="CC539" s="2" t="s">
        <v>244</v>
      </c>
      <c r="CD539" s="2" t="s">
        <v>231</v>
      </c>
      <c r="CE539" s="4"/>
      <c r="CF539" s="4">
        <v>72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</row>
    <row r="540">
      <c r="A540" s="2" t="s">
        <v>3193</v>
      </c>
      <c r="B540" s="2" t="s">
        <v>1389</v>
      </c>
      <c r="C540" s="2" t="s">
        <v>288</v>
      </c>
      <c r="D540" s="2" t="s">
        <v>1389</v>
      </c>
      <c r="E540" s="2" t="s">
        <v>1389</v>
      </c>
      <c r="F540" s="2" t="s">
        <v>3194</v>
      </c>
      <c r="G540" s="2" t="s">
        <v>3195</v>
      </c>
      <c r="H540" s="2" t="s">
        <v>3196</v>
      </c>
      <c r="I540" s="2" t="s">
        <v>3197</v>
      </c>
      <c r="J540" s="2" t="s">
        <v>1401</v>
      </c>
      <c r="K540" s="2" t="s">
        <v>1136</v>
      </c>
      <c r="L540" s="3">
        <v>109.14</v>
      </c>
      <c r="M540" s="3">
        <v>114.6</v>
      </c>
      <c r="N540" s="3">
        <v>244.99</v>
      </c>
      <c r="O540" s="2" t="s">
        <v>243</v>
      </c>
      <c r="P540" s="2" t="s">
        <v>341</v>
      </c>
      <c r="Q540" s="2" t="s">
        <v>237</v>
      </c>
      <c r="R540" s="2" t="s">
        <v>231</v>
      </c>
      <c r="S540" s="2" t="s">
        <v>231</v>
      </c>
      <c r="T540" s="2" t="s">
        <v>231</v>
      </c>
      <c r="U540" s="2" t="s">
        <v>327</v>
      </c>
      <c r="V540" s="2" t="s">
        <v>239</v>
      </c>
      <c r="W540" s="2" t="s">
        <v>691</v>
      </c>
      <c r="X540" s="2" t="s">
        <v>231</v>
      </c>
      <c r="Y540" s="2" t="s">
        <v>3198</v>
      </c>
      <c r="Z540" s="4">
        <v>286</v>
      </c>
      <c r="AA540" s="4">
        <f>=ROUNDDOWN({0},0)</f>
      </c>
      <c r="AB540" s="5"/>
      <c r="AC540" s="2" t="s">
        <v>231</v>
      </c>
      <c r="AD540" s="4"/>
      <c r="AE540" s="4"/>
      <c r="AF540" s="6">
        <v>63</v>
      </c>
      <c r="AG540" s="6"/>
      <c r="AH540" s="7">
        <v>1</v>
      </c>
      <c r="AI540" s="4"/>
      <c r="AJ540" s="4">
        <f>=ROUNDDOWN({0},0)</f>
      </c>
      <c r="AK540" s="5"/>
      <c r="AL540" s="2" t="s">
        <v>231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231</v>
      </c>
      <c r="AW540" s="8" t="s">
        <v>231</v>
      </c>
      <c r="AX540" s="4" t="s">
        <v>231</v>
      </c>
      <c r="AY540" s="8" t="s">
        <v>231</v>
      </c>
      <c r="AZ540" s="7" t="s">
        <v>231</v>
      </c>
      <c r="BA540" s="7" t="s">
        <v>231</v>
      </c>
      <c r="BB540" s="7"/>
      <c r="BC540" s="4" t="s">
        <v>231</v>
      </c>
      <c r="BD540" s="8" t="s">
        <v>231</v>
      </c>
      <c r="BE540" s="4" t="s">
        <v>231</v>
      </c>
      <c r="BF540" s="8" t="s">
        <v>231</v>
      </c>
      <c r="BG540" s="7" t="s">
        <v>231</v>
      </c>
      <c r="BH540" s="7" t="s">
        <v>231</v>
      </c>
      <c r="BI540" s="7"/>
      <c r="BJ540" s="4"/>
      <c r="BK540" s="8"/>
      <c r="BL540" s="2" t="s">
        <v>231</v>
      </c>
      <c r="BM540" s="7"/>
      <c r="BN540" s="7"/>
      <c r="BO540" s="4"/>
      <c r="BP540" s="8"/>
      <c r="BQ540" s="4"/>
      <c r="BR540" s="8"/>
      <c r="BS540" s="7"/>
      <c r="BT540" s="7"/>
      <c r="BU540" s="2" t="s">
        <v>3199</v>
      </c>
      <c r="BV540" s="2" t="s">
        <v>231</v>
      </c>
      <c r="BW540" s="2" t="s">
        <v>231</v>
      </c>
      <c r="BX540" s="2" t="s">
        <v>231</v>
      </c>
      <c r="BY540" s="2" t="s">
        <v>277</v>
      </c>
      <c r="BZ540" s="2" t="s">
        <v>243</v>
      </c>
      <c r="CA540" s="2" t="s">
        <v>3200</v>
      </c>
      <c r="CB540" s="2" t="s">
        <v>3201</v>
      </c>
      <c r="CC540" s="2" t="s">
        <v>244</v>
      </c>
      <c r="CD540" s="2" t="s">
        <v>231</v>
      </c>
      <c r="CE540" s="4"/>
      <c r="CF540" s="4">
        <v>286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</row>
    <row r="541">
      <c r="A541" s="2" t="s">
        <v>3202</v>
      </c>
      <c r="B541" s="2" t="s">
        <v>1389</v>
      </c>
      <c r="C541" s="2" t="s">
        <v>288</v>
      </c>
      <c r="D541" s="2" t="s">
        <v>1389</v>
      </c>
      <c r="E541" s="2" t="s">
        <v>1389</v>
      </c>
      <c r="F541" s="2" t="s">
        <v>3194</v>
      </c>
      <c r="G541" s="2" t="s">
        <v>3195</v>
      </c>
      <c r="H541" s="2" t="s">
        <v>3196</v>
      </c>
      <c r="I541" s="2" t="s">
        <v>3197</v>
      </c>
      <c r="J541" s="2" t="s">
        <v>3203</v>
      </c>
      <c r="K541" s="2" t="s">
        <v>1136</v>
      </c>
      <c r="L541" s="3">
        <v>23.53</v>
      </c>
      <c r="M541" s="3">
        <v>24.71</v>
      </c>
      <c r="N541" s="3">
        <v>54.99</v>
      </c>
      <c r="O541" s="2" t="s">
        <v>243</v>
      </c>
      <c r="P541" s="2" t="s">
        <v>341</v>
      </c>
      <c r="Q541" s="2" t="s">
        <v>237</v>
      </c>
      <c r="R541" s="2" t="s">
        <v>231</v>
      </c>
      <c r="S541" s="2" t="s">
        <v>231</v>
      </c>
      <c r="T541" s="2" t="s">
        <v>231</v>
      </c>
      <c r="U541" s="2" t="s">
        <v>327</v>
      </c>
      <c r="V541" s="2" t="s">
        <v>239</v>
      </c>
      <c r="W541" s="2" t="s">
        <v>691</v>
      </c>
      <c r="X541" s="2" t="s">
        <v>231</v>
      </c>
      <c r="Y541" s="2" t="s">
        <v>3198</v>
      </c>
      <c r="Z541" s="4">
        <v>161</v>
      </c>
      <c r="AA541" s="4">
        <f>=ROUNDDOWN({0},0)</f>
      </c>
      <c r="AB541" s="5"/>
      <c r="AC541" s="2" t="s">
        <v>231</v>
      </c>
      <c r="AD541" s="4"/>
      <c r="AE541" s="4"/>
      <c r="AF541" s="6">
        <v>63</v>
      </c>
      <c r="AG541" s="6"/>
      <c r="AH541" s="7">
        <v>1</v>
      </c>
      <c r="AI541" s="4"/>
      <c r="AJ541" s="4">
        <f>=ROUNDDOWN({0},0)</f>
      </c>
      <c r="AK541" s="5"/>
      <c r="AL541" s="2" t="s">
        <v>231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231</v>
      </c>
      <c r="AW541" s="8" t="s">
        <v>231</v>
      </c>
      <c r="AX541" s="4" t="s">
        <v>231</v>
      </c>
      <c r="AY541" s="8" t="s">
        <v>231</v>
      </c>
      <c r="AZ541" s="7" t="s">
        <v>231</v>
      </c>
      <c r="BA541" s="7" t="s">
        <v>231</v>
      </c>
      <c r="BB541" s="7"/>
      <c r="BC541" s="4" t="s">
        <v>231</v>
      </c>
      <c r="BD541" s="8" t="s">
        <v>231</v>
      </c>
      <c r="BE541" s="4" t="s">
        <v>231</v>
      </c>
      <c r="BF541" s="8" t="s">
        <v>231</v>
      </c>
      <c r="BG541" s="7" t="s">
        <v>231</v>
      </c>
      <c r="BH541" s="7" t="s">
        <v>231</v>
      </c>
      <c r="BI541" s="7"/>
      <c r="BJ541" s="4"/>
      <c r="BK541" s="8"/>
      <c r="BL541" s="2" t="s">
        <v>231</v>
      </c>
      <c r="BM541" s="7"/>
      <c r="BN541" s="7"/>
      <c r="BO541" s="4"/>
      <c r="BP541" s="8"/>
      <c r="BQ541" s="4"/>
      <c r="BR541" s="8"/>
      <c r="BS541" s="7"/>
      <c r="BT541" s="7"/>
      <c r="BU541" s="2" t="s">
        <v>3204</v>
      </c>
      <c r="BV541" s="2" t="s">
        <v>231</v>
      </c>
      <c r="BW541" s="2" t="s">
        <v>231</v>
      </c>
      <c r="BX541" s="2" t="s">
        <v>231</v>
      </c>
      <c r="BY541" s="2" t="s">
        <v>277</v>
      </c>
      <c r="BZ541" s="2" t="s">
        <v>243</v>
      </c>
      <c r="CA541" s="2" t="s">
        <v>3200</v>
      </c>
      <c r="CB541" s="2" t="s">
        <v>231</v>
      </c>
      <c r="CC541" s="2" t="s">
        <v>244</v>
      </c>
      <c r="CD541" s="2" t="s">
        <v>231</v>
      </c>
      <c r="CE541" s="4"/>
      <c r="CF541" s="4">
        <v>161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</row>
    <row r="542">
      <c r="A542" s="2" t="s">
        <v>3205</v>
      </c>
      <c r="B542" s="2" t="s">
        <v>1389</v>
      </c>
      <c r="C542" s="2" t="s">
        <v>288</v>
      </c>
      <c r="D542" s="2" t="s">
        <v>1389</v>
      </c>
      <c r="E542" s="2" t="s">
        <v>1389</v>
      </c>
      <c r="F542" s="2" t="s">
        <v>3194</v>
      </c>
      <c r="G542" s="2" t="s">
        <v>3195</v>
      </c>
      <c r="H542" s="2" t="s">
        <v>3196</v>
      </c>
      <c r="I542" s="2" t="s">
        <v>3197</v>
      </c>
      <c r="J542" s="2" t="s">
        <v>3206</v>
      </c>
      <c r="K542" s="2" t="s">
        <v>253</v>
      </c>
      <c r="L542" s="3">
        <v>45.2</v>
      </c>
      <c r="M542" s="3">
        <v>47.46</v>
      </c>
      <c r="N542" s="3">
        <v>104.99</v>
      </c>
      <c r="O542" s="2" t="s">
        <v>243</v>
      </c>
      <c r="P542" s="2" t="s">
        <v>341</v>
      </c>
      <c r="Q542" s="2" t="s">
        <v>237</v>
      </c>
      <c r="R542" s="2" t="s">
        <v>231</v>
      </c>
      <c r="S542" s="2" t="s">
        <v>231</v>
      </c>
      <c r="T542" s="2" t="s">
        <v>231</v>
      </c>
      <c r="U542" s="2" t="s">
        <v>327</v>
      </c>
      <c r="V542" s="2" t="s">
        <v>239</v>
      </c>
      <c r="W542" s="2" t="s">
        <v>691</v>
      </c>
      <c r="X542" s="2" t="s">
        <v>231</v>
      </c>
      <c r="Y542" s="2" t="s">
        <v>3198</v>
      </c>
      <c r="Z542" s="4">
        <v>131</v>
      </c>
      <c r="AA542" s="4">
        <f>=ROUNDDOWN({0},0)</f>
      </c>
      <c r="AB542" s="5"/>
      <c r="AC542" s="2" t="s">
        <v>231</v>
      </c>
      <c r="AD542" s="4"/>
      <c r="AE542" s="4"/>
      <c r="AF542" s="6">
        <v>63</v>
      </c>
      <c r="AG542" s="6"/>
      <c r="AH542" s="7">
        <v>1</v>
      </c>
      <c r="AI542" s="4"/>
      <c r="AJ542" s="4">
        <f>=ROUNDDOWN({0},0)</f>
      </c>
      <c r="AK542" s="5"/>
      <c r="AL542" s="2" t="s">
        <v>231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231</v>
      </c>
      <c r="AW542" s="8" t="s">
        <v>231</v>
      </c>
      <c r="AX542" s="4" t="s">
        <v>231</v>
      </c>
      <c r="AY542" s="8" t="s">
        <v>231</v>
      </c>
      <c r="AZ542" s="7" t="s">
        <v>231</v>
      </c>
      <c r="BA542" s="7" t="s">
        <v>231</v>
      </c>
      <c r="BB542" s="7"/>
      <c r="BC542" s="4" t="s">
        <v>231</v>
      </c>
      <c r="BD542" s="8" t="s">
        <v>231</v>
      </c>
      <c r="BE542" s="4" t="s">
        <v>231</v>
      </c>
      <c r="BF542" s="8" t="s">
        <v>231</v>
      </c>
      <c r="BG542" s="7" t="s">
        <v>231</v>
      </c>
      <c r="BH542" s="7" t="s">
        <v>231</v>
      </c>
      <c r="BI542" s="7"/>
      <c r="BJ542" s="4"/>
      <c r="BK542" s="8"/>
      <c r="BL542" s="2" t="s">
        <v>937</v>
      </c>
      <c r="BM542" s="7"/>
      <c r="BN542" s="7"/>
      <c r="BO542" s="4"/>
      <c r="BP542" s="8"/>
      <c r="BQ542" s="4"/>
      <c r="BR542" s="8"/>
      <c r="BS542" s="7"/>
      <c r="BT542" s="7"/>
      <c r="BU542" s="2" t="s">
        <v>3207</v>
      </c>
      <c r="BV542" s="2" t="s">
        <v>231</v>
      </c>
      <c r="BW542" s="2" t="s">
        <v>231</v>
      </c>
      <c r="BX542" s="2" t="s">
        <v>231</v>
      </c>
      <c r="BY542" s="2" t="s">
        <v>277</v>
      </c>
      <c r="BZ542" s="2" t="s">
        <v>243</v>
      </c>
      <c r="CA542" s="2" t="s">
        <v>3200</v>
      </c>
      <c r="CB542" s="2" t="s">
        <v>1436</v>
      </c>
      <c r="CC542" s="2" t="s">
        <v>244</v>
      </c>
      <c r="CD542" s="2" t="s">
        <v>231</v>
      </c>
      <c r="CE542" s="4"/>
      <c r="CF542" s="4">
        <v>131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</row>
    <row r="543">
      <c r="A543" s="2" t="s">
        <v>3208</v>
      </c>
      <c r="B543" s="2" t="s">
        <v>1389</v>
      </c>
      <c r="C543" s="2" t="s">
        <v>288</v>
      </c>
      <c r="D543" s="2" t="s">
        <v>1389</v>
      </c>
      <c r="E543" s="2" t="s">
        <v>1389</v>
      </c>
      <c r="F543" s="2" t="s">
        <v>3194</v>
      </c>
      <c r="G543" s="2" t="s">
        <v>3195</v>
      </c>
      <c r="H543" s="2" t="s">
        <v>3196</v>
      </c>
      <c r="I543" s="2" t="s">
        <v>3197</v>
      </c>
      <c r="J543" s="2" t="s">
        <v>1393</v>
      </c>
      <c r="K543" s="2" t="s">
        <v>253</v>
      </c>
      <c r="L543" s="3">
        <v>69.98</v>
      </c>
      <c r="M543" s="3">
        <v>73.48</v>
      </c>
      <c r="N543" s="3">
        <v>159.99</v>
      </c>
      <c r="O543" s="2" t="s">
        <v>243</v>
      </c>
      <c r="P543" s="2" t="s">
        <v>341</v>
      </c>
      <c r="Q543" s="2" t="s">
        <v>237</v>
      </c>
      <c r="R543" s="2" t="s">
        <v>231</v>
      </c>
      <c r="S543" s="2" t="s">
        <v>231</v>
      </c>
      <c r="T543" s="2" t="s">
        <v>231</v>
      </c>
      <c r="U543" s="2" t="s">
        <v>327</v>
      </c>
      <c r="V543" s="2" t="s">
        <v>239</v>
      </c>
      <c r="W543" s="2" t="s">
        <v>691</v>
      </c>
      <c r="X543" s="2" t="s">
        <v>231</v>
      </c>
      <c r="Y543" s="2" t="s">
        <v>3198</v>
      </c>
      <c r="Z543" s="4">
        <v>269</v>
      </c>
      <c r="AA543" s="4">
        <f>=ROUNDDOWN({0},0)</f>
      </c>
      <c r="AB543" s="5"/>
      <c r="AC543" s="2" t="s">
        <v>231</v>
      </c>
      <c r="AD543" s="4"/>
      <c r="AE543" s="4"/>
      <c r="AF543" s="6">
        <v>63</v>
      </c>
      <c r="AG543" s="6"/>
      <c r="AH543" s="7">
        <v>1</v>
      </c>
      <c r="AI543" s="4"/>
      <c r="AJ543" s="4">
        <f>=ROUNDDOWN({0},0)</f>
      </c>
      <c r="AK543" s="5"/>
      <c r="AL543" s="2" t="s">
        <v>231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231</v>
      </c>
      <c r="AW543" s="8" t="s">
        <v>231</v>
      </c>
      <c r="AX543" s="4" t="s">
        <v>231</v>
      </c>
      <c r="AY543" s="8" t="s">
        <v>231</v>
      </c>
      <c r="AZ543" s="7" t="s">
        <v>231</v>
      </c>
      <c r="BA543" s="7" t="s">
        <v>231</v>
      </c>
      <c r="BB543" s="7"/>
      <c r="BC543" s="4" t="s">
        <v>231</v>
      </c>
      <c r="BD543" s="8" t="s">
        <v>231</v>
      </c>
      <c r="BE543" s="4" t="s">
        <v>231</v>
      </c>
      <c r="BF543" s="8" t="s">
        <v>231</v>
      </c>
      <c r="BG543" s="7" t="s">
        <v>231</v>
      </c>
      <c r="BH543" s="7" t="s">
        <v>231</v>
      </c>
      <c r="BI543" s="7"/>
      <c r="BJ543" s="4"/>
      <c r="BK543" s="8"/>
      <c r="BL543" s="2" t="s">
        <v>3209</v>
      </c>
      <c r="BM543" s="7"/>
      <c r="BN543" s="7"/>
      <c r="BO543" s="4"/>
      <c r="BP543" s="8"/>
      <c r="BQ543" s="4"/>
      <c r="BR543" s="8"/>
      <c r="BS543" s="7"/>
      <c r="BT543" s="7"/>
      <c r="BU543" s="2" t="s">
        <v>3210</v>
      </c>
      <c r="BV543" s="2" t="s">
        <v>231</v>
      </c>
      <c r="BW543" s="2" t="s">
        <v>231</v>
      </c>
      <c r="BX543" s="2" t="s">
        <v>231</v>
      </c>
      <c r="BY543" s="2" t="s">
        <v>277</v>
      </c>
      <c r="BZ543" s="2" t="s">
        <v>243</v>
      </c>
      <c r="CA543" s="2" t="s">
        <v>3200</v>
      </c>
      <c r="CB543" s="2" t="s">
        <v>2983</v>
      </c>
      <c r="CC543" s="2" t="s">
        <v>244</v>
      </c>
      <c r="CD543" s="2" t="s">
        <v>231</v>
      </c>
      <c r="CE543" s="4"/>
      <c r="CF543" s="4">
        <v>269</v>
      </c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</row>
    <row r="544">
      <c r="A544" s="2" t="s">
        <v>3211</v>
      </c>
      <c r="B544" s="2" t="s">
        <v>1389</v>
      </c>
      <c r="C544" s="2" t="s">
        <v>288</v>
      </c>
      <c r="D544" s="2" t="s">
        <v>1389</v>
      </c>
      <c r="E544" s="2" t="s">
        <v>1389</v>
      </c>
      <c r="F544" s="2" t="s">
        <v>3194</v>
      </c>
      <c r="G544" s="2" t="s">
        <v>3195</v>
      </c>
      <c r="H544" s="2" t="s">
        <v>3196</v>
      </c>
      <c r="I544" s="2" t="s">
        <v>3197</v>
      </c>
      <c r="J544" s="2" t="s">
        <v>1401</v>
      </c>
      <c r="K544" s="2" t="s">
        <v>253</v>
      </c>
      <c r="L544" s="3">
        <v>109.14</v>
      </c>
      <c r="M544" s="3">
        <v>114.6</v>
      </c>
      <c r="N544" s="3">
        <v>244.99</v>
      </c>
      <c r="O544" s="2" t="s">
        <v>243</v>
      </c>
      <c r="P544" s="2" t="s">
        <v>341</v>
      </c>
      <c r="Q544" s="2" t="s">
        <v>237</v>
      </c>
      <c r="R544" s="2" t="s">
        <v>231</v>
      </c>
      <c r="S544" s="2" t="s">
        <v>231</v>
      </c>
      <c r="T544" s="2" t="s">
        <v>231</v>
      </c>
      <c r="U544" s="2" t="s">
        <v>327</v>
      </c>
      <c r="V544" s="2" t="s">
        <v>239</v>
      </c>
      <c r="W544" s="2" t="s">
        <v>691</v>
      </c>
      <c r="X544" s="2" t="s">
        <v>231</v>
      </c>
      <c r="Y544" s="2" t="s">
        <v>3198</v>
      </c>
      <c r="Z544" s="4">
        <v>279</v>
      </c>
      <c r="AA544" s="4">
        <f>=ROUNDDOWN(930,0)</f>
      </c>
      <c r="AB544" s="5">
        <v>0.3</v>
      </c>
      <c r="AC544" s="2" t="s">
        <v>231</v>
      </c>
      <c r="AD544" s="4"/>
      <c r="AE544" s="4"/>
      <c r="AF544" s="6">
        <v>63</v>
      </c>
      <c r="AG544" s="6"/>
      <c r="AH544" s="7">
        <v>1</v>
      </c>
      <c r="AI544" s="4"/>
      <c r="AJ544" s="4">
        <f>=ROUNDDOWN({0},0)</f>
      </c>
      <c r="AK544" s="5"/>
      <c r="AL544" s="2" t="s">
        <v>231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231</v>
      </c>
      <c r="AW544" s="8" t="s">
        <v>231</v>
      </c>
      <c r="AX544" s="4" t="s">
        <v>231</v>
      </c>
      <c r="AY544" s="8" t="s">
        <v>231</v>
      </c>
      <c r="AZ544" s="7" t="s">
        <v>231</v>
      </c>
      <c r="BA544" s="7" t="s">
        <v>231</v>
      </c>
      <c r="BB544" s="7"/>
      <c r="BC544" s="4" t="s">
        <v>231</v>
      </c>
      <c r="BD544" s="8" t="s">
        <v>231</v>
      </c>
      <c r="BE544" s="4" t="s">
        <v>231</v>
      </c>
      <c r="BF544" s="8" t="s">
        <v>231</v>
      </c>
      <c r="BG544" s="7" t="s">
        <v>231</v>
      </c>
      <c r="BH544" s="7" t="s">
        <v>231</v>
      </c>
      <c r="BI544" s="7"/>
      <c r="BJ544" s="4"/>
      <c r="BK544" s="8"/>
      <c r="BL544" s="2" t="s">
        <v>231</v>
      </c>
      <c r="BM544" s="7"/>
      <c r="BN544" s="7"/>
      <c r="BO544" s="4"/>
      <c r="BP544" s="8"/>
      <c r="BQ544" s="4"/>
      <c r="BR544" s="8"/>
      <c r="BS544" s="7"/>
      <c r="BT544" s="7"/>
      <c r="BU544" s="2" t="s">
        <v>3212</v>
      </c>
      <c r="BV544" s="2" t="s">
        <v>231</v>
      </c>
      <c r="BW544" s="2" t="s">
        <v>231</v>
      </c>
      <c r="BX544" s="2" t="s">
        <v>231</v>
      </c>
      <c r="BY544" s="2" t="s">
        <v>277</v>
      </c>
      <c r="BZ544" s="2" t="s">
        <v>243</v>
      </c>
      <c r="CA544" s="2" t="s">
        <v>3200</v>
      </c>
      <c r="CB544" s="2" t="s">
        <v>3213</v>
      </c>
      <c r="CC544" s="2" t="s">
        <v>244</v>
      </c>
      <c r="CD544" s="2" t="s">
        <v>231</v>
      </c>
      <c r="CE544" s="4"/>
      <c r="CF544" s="4">
        <v>279</v>
      </c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</row>
    <row r="545">
      <c r="A545" s="2" t="s">
        <v>3214</v>
      </c>
      <c r="B545" s="2" t="s">
        <v>1389</v>
      </c>
      <c r="C545" s="2" t="s">
        <v>288</v>
      </c>
      <c r="D545" s="2" t="s">
        <v>1389</v>
      </c>
      <c r="E545" s="2" t="s">
        <v>1389</v>
      </c>
      <c r="F545" s="2" t="s">
        <v>3194</v>
      </c>
      <c r="G545" s="2" t="s">
        <v>3195</v>
      </c>
      <c r="H545" s="2" t="s">
        <v>3196</v>
      </c>
      <c r="I545" s="2" t="s">
        <v>3197</v>
      </c>
      <c r="J545" s="2" t="s">
        <v>3203</v>
      </c>
      <c r="K545" s="2" t="s">
        <v>253</v>
      </c>
      <c r="L545" s="3">
        <v>23.53</v>
      </c>
      <c r="M545" s="3">
        <v>24.71</v>
      </c>
      <c r="N545" s="3">
        <v>54.99</v>
      </c>
      <c r="O545" s="2" t="s">
        <v>243</v>
      </c>
      <c r="P545" s="2" t="s">
        <v>341</v>
      </c>
      <c r="Q545" s="2" t="s">
        <v>237</v>
      </c>
      <c r="R545" s="2" t="s">
        <v>231</v>
      </c>
      <c r="S545" s="2" t="s">
        <v>231</v>
      </c>
      <c r="T545" s="2" t="s">
        <v>231</v>
      </c>
      <c r="U545" s="2" t="s">
        <v>327</v>
      </c>
      <c r="V545" s="2" t="s">
        <v>239</v>
      </c>
      <c r="W545" s="2" t="s">
        <v>691</v>
      </c>
      <c r="X545" s="2" t="s">
        <v>231</v>
      </c>
      <c r="Y545" s="2" t="s">
        <v>3198</v>
      </c>
      <c r="Z545" s="4">
        <v>161</v>
      </c>
      <c r="AA545" s="4">
        <f>=ROUNDDOWN({0},0)</f>
      </c>
      <c r="AB545" s="5"/>
      <c r="AC545" s="2" t="s">
        <v>231</v>
      </c>
      <c r="AD545" s="4"/>
      <c r="AE545" s="4"/>
      <c r="AF545" s="6">
        <v>63</v>
      </c>
      <c r="AG545" s="6"/>
      <c r="AH545" s="7">
        <v>1</v>
      </c>
      <c r="AI545" s="4"/>
      <c r="AJ545" s="4">
        <f>=ROUNDDOWN({0},0)</f>
      </c>
      <c r="AK545" s="5"/>
      <c r="AL545" s="2" t="s">
        <v>231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231</v>
      </c>
      <c r="AW545" s="8" t="s">
        <v>231</v>
      </c>
      <c r="AX545" s="4" t="s">
        <v>231</v>
      </c>
      <c r="AY545" s="8" t="s">
        <v>231</v>
      </c>
      <c r="AZ545" s="7" t="s">
        <v>231</v>
      </c>
      <c r="BA545" s="7" t="s">
        <v>231</v>
      </c>
      <c r="BB545" s="7"/>
      <c r="BC545" s="4" t="s">
        <v>231</v>
      </c>
      <c r="BD545" s="8" t="s">
        <v>231</v>
      </c>
      <c r="BE545" s="4" t="s">
        <v>231</v>
      </c>
      <c r="BF545" s="8" t="s">
        <v>231</v>
      </c>
      <c r="BG545" s="7" t="s">
        <v>231</v>
      </c>
      <c r="BH545" s="7" t="s">
        <v>231</v>
      </c>
      <c r="BI545" s="7"/>
      <c r="BJ545" s="4"/>
      <c r="BK545" s="8"/>
      <c r="BL545" s="2" t="s">
        <v>937</v>
      </c>
      <c r="BM545" s="7"/>
      <c r="BN545" s="7"/>
      <c r="BO545" s="4"/>
      <c r="BP545" s="8"/>
      <c r="BQ545" s="4"/>
      <c r="BR545" s="8"/>
      <c r="BS545" s="7"/>
      <c r="BT545" s="7"/>
      <c r="BU545" s="2" t="s">
        <v>3215</v>
      </c>
      <c r="BV545" s="2" t="s">
        <v>231</v>
      </c>
      <c r="BW545" s="2" t="s">
        <v>231</v>
      </c>
      <c r="BX545" s="2" t="s">
        <v>231</v>
      </c>
      <c r="BY545" s="2" t="s">
        <v>277</v>
      </c>
      <c r="BZ545" s="2" t="s">
        <v>243</v>
      </c>
      <c r="CA545" s="2" t="s">
        <v>3200</v>
      </c>
      <c r="CB545" s="2" t="s">
        <v>231</v>
      </c>
      <c r="CC545" s="2" t="s">
        <v>244</v>
      </c>
      <c r="CD545" s="2" t="s">
        <v>231</v>
      </c>
      <c r="CE545" s="4"/>
      <c r="CF545" s="4">
        <v>161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</row>
    <row r="546">
      <c r="A546" s="2" t="s">
        <v>3216</v>
      </c>
      <c r="B546" s="2" t="s">
        <v>824</v>
      </c>
      <c r="C546" s="2" t="s">
        <v>825</v>
      </c>
      <c r="D546" s="2" t="s">
        <v>654</v>
      </c>
      <c r="E546" s="2" t="s">
        <v>890</v>
      </c>
      <c r="F546" s="2" t="s">
        <v>3217</v>
      </c>
      <c r="G546" s="2" t="s">
        <v>3218</v>
      </c>
      <c r="H546" s="2" t="s">
        <v>3219</v>
      </c>
      <c r="I546" s="2" t="s">
        <v>3220</v>
      </c>
      <c r="J546" s="2" t="s">
        <v>832</v>
      </c>
      <c r="K546" s="2" t="s">
        <v>3221</v>
      </c>
      <c r="L546" s="3">
        <v>28.57</v>
      </c>
      <c r="M546" s="3">
        <v>30</v>
      </c>
      <c r="N546" s="3">
        <v>59.99</v>
      </c>
      <c r="O546" s="2" t="s">
        <v>235</v>
      </c>
      <c r="P546" s="2" t="s">
        <v>341</v>
      </c>
      <c r="Q546" s="2" t="s">
        <v>237</v>
      </c>
      <c r="R546" s="2" t="s">
        <v>231</v>
      </c>
      <c r="S546" s="2" t="s">
        <v>3222</v>
      </c>
      <c r="T546" s="2" t="s">
        <v>472</v>
      </c>
      <c r="U546" s="2" t="s">
        <v>791</v>
      </c>
      <c r="V546" s="2" t="s">
        <v>3223</v>
      </c>
      <c r="W546" s="2" t="s">
        <v>691</v>
      </c>
      <c r="X546" s="2" t="s">
        <v>3224</v>
      </c>
      <c r="Y546" s="2" t="s">
        <v>3225</v>
      </c>
      <c r="Z546" s="4">
        <v>92</v>
      </c>
      <c r="AA546" s="4">
        <f>=ROUNDDOWN(92,0)</f>
      </c>
      <c r="AB546" s="5">
        <v>1</v>
      </c>
      <c r="AC546" s="2" t="s">
        <v>231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231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231</v>
      </c>
      <c r="AW546" s="8" t="s">
        <v>231</v>
      </c>
      <c r="AX546" s="4" t="s">
        <v>231</v>
      </c>
      <c r="AY546" s="8" t="s">
        <v>231</v>
      </c>
      <c r="AZ546" s="7" t="s">
        <v>231</v>
      </c>
      <c r="BA546" s="7" t="s">
        <v>231</v>
      </c>
      <c r="BB546" s="7"/>
      <c r="BC546" s="4" t="s">
        <v>231</v>
      </c>
      <c r="BD546" s="8" t="s">
        <v>231</v>
      </c>
      <c r="BE546" s="4" t="s">
        <v>231</v>
      </c>
      <c r="BF546" s="8" t="s">
        <v>231</v>
      </c>
      <c r="BG546" s="7" t="s">
        <v>231</v>
      </c>
      <c r="BH546" s="7" t="s">
        <v>231</v>
      </c>
      <c r="BI546" s="7"/>
      <c r="BJ546" s="4">
        <v>5</v>
      </c>
      <c r="BK546" s="8">
        <v>97.2</v>
      </c>
      <c r="BL546" s="2" t="s">
        <v>399</v>
      </c>
      <c r="BM546" s="7"/>
      <c r="BN546" s="7"/>
      <c r="BO546" s="4"/>
      <c r="BP546" s="8"/>
      <c r="BQ546" s="4"/>
      <c r="BR546" s="8"/>
      <c r="BS546" s="7"/>
      <c r="BT546" s="7"/>
      <c r="BU546" s="2" t="s">
        <v>3226</v>
      </c>
      <c r="BV546" s="2" t="s">
        <v>231</v>
      </c>
      <c r="BW546" s="2" t="s">
        <v>231</v>
      </c>
      <c r="BX546" s="2" t="s">
        <v>231</v>
      </c>
      <c r="BY546" s="2" t="s">
        <v>277</v>
      </c>
      <c r="BZ546" s="2" t="s">
        <v>243</v>
      </c>
      <c r="CA546" s="2" t="s">
        <v>3133</v>
      </c>
      <c r="CB546" s="2" t="s">
        <v>1999</v>
      </c>
      <c r="CC546" s="2" t="s">
        <v>244</v>
      </c>
      <c r="CD546" s="2" t="s">
        <v>231</v>
      </c>
      <c r="CE546" s="4">
        <v>92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</row>
    <row r="547">
      <c r="A547" s="2" t="s">
        <v>3227</v>
      </c>
      <c r="B547" s="2" t="s">
        <v>824</v>
      </c>
      <c r="C547" s="2" t="s">
        <v>825</v>
      </c>
      <c r="D547" s="2" t="s">
        <v>826</v>
      </c>
      <c r="E547" s="2" t="s">
        <v>1060</v>
      </c>
      <c r="F547" s="2" t="s">
        <v>3217</v>
      </c>
      <c r="G547" s="2" t="s">
        <v>3218</v>
      </c>
      <c r="H547" s="2" t="s">
        <v>3219</v>
      </c>
      <c r="I547" s="2" t="s">
        <v>3228</v>
      </c>
      <c r="J547" s="2" t="s">
        <v>658</v>
      </c>
      <c r="K547" s="2" t="s">
        <v>3221</v>
      </c>
      <c r="L547" s="3">
        <v>28.57</v>
      </c>
      <c r="M547" s="3">
        <v>30</v>
      </c>
      <c r="N547" s="3">
        <v>59.99</v>
      </c>
      <c r="O547" s="2" t="s">
        <v>243</v>
      </c>
      <c r="P547" s="2" t="s">
        <v>341</v>
      </c>
      <c r="Q547" s="2" t="s">
        <v>237</v>
      </c>
      <c r="R547" s="2" t="s">
        <v>231</v>
      </c>
      <c r="S547" s="2" t="s">
        <v>3222</v>
      </c>
      <c r="T547" s="2" t="s">
        <v>472</v>
      </c>
      <c r="U547" s="2" t="s">
        <v>835</v>
      </c>
      <c r="V547" s="2" t="s">
        <v>3223</v>
      </c>
      <c r="W547" s="2" t="s">
        <v>691</v>
      </c>
      <c r="X547" s="2" t="s">
        <v>3224</v>
      </c>
      <c r="Y547" s="2" t="s">
        <v>3225</v>
      </c>
      <c r="Z547" s="4">
        <v>25</v>
      </c>
      <c r="AA547" s="4">
        <f>=ROUNDDOWN(25,0)</f>
      </c>
      <c r="AB547" s="5">
        <v>1</v>
      </c>
      <c r="AC547" s="2" t="s">
        <v>231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231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231</v>
      </c>
      <c r="AW547" s="8" t="s">
        <v>231</v>
      </c>
      <c r="AX547" s="4" t="s">
        <v>231</v>
      </c>
      <c r="AY547" s="8" t="s">
        <v>231</v>
      </c>
      <c r="AZ547" s="7" t="s">
        <v>231</v>
      </c>
      <c r="BA547" s="7" t="s">
        <v>231</v>
      </c>
      <c r="BB547" s="7"/>
      <c r="BC547" s="4" t="s">
        <v>231</v>
      </c>
      <c r="BD547" s="8" t="s">
        <v>231</v>
      </c>
      <c r="BE547" s="4" t="s">
        <v>231</v>
      </c>
      <c r="BF547" s="8" t="s">
        <v>231</v>
      </c>
      <c r="BG547" s="7" t="s">
        <v>231</v>
      </c>
      <c r="BH547" s="7" t="s">
        <v>231</v>
      </c>
      <c r="BI547" s="7"/>
      <c r="BJ547" s="4">
        <v>4</v>
      </c>
      <c r="BK547" s="8">
        <v>77.76</v>
      </c>
      <c r="BL547" s="2" t="s">
        <v>1423</v>
      </c>
      <c r="BM547" s="7"/>
      <c r="BN547" s="7"/>
      <c r="BO547" s="4"/>
      <c r="BP547" s="8"/>
      <c r="BQ547" s="4"/>
      <c r="BR547" s="8"/>
      <c r="BS547" s="7"/>
      <c r="BT547" s="7"/>
      <c r="BU547" s="2" t="s">
        <v>3229</v>
      </c>
      <c r="BV547" s="2" t="s">
        <v>231</v>
      </c>
      <c r="BW547" s="2" t="s">
        <v>231</v>
      </c>
      <c r="BX547" s="2" t="s">
        <v>231</v>
      </c>
      <c r="BY547" s="2" t="s">
        <v>277</v>
      </c>
      <c r="BZ547" s="2" t="s">
        <v>243</v>
      </c>
      <c r="CA547" s="2" t="s">
        <v>3133</v>
      </c>
      <c r="CB547" s="2" t="s">
        <v>2074</v>
      </c>
      <c r="CC547" s="2" t="s">
        <v>244</v>
      </c>
      <c r="CD547" s="2" t="s">
        <v>231</v>
      </c>
      <c r="CE547" s="4">
        <v>25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</row>
    <row r="548">
      <c r="A548" s="2" t="s">
        <v>3230</v>
      </c>
      <c r="B548" s="2" t="s">
        <v>1004</v>
      </c>
      <c r="C548" s="2" t="s">
        <v>288</v>
      </c>
      <c r="D548" s="2" t="s">
        <v>1031</v>
      </c>
      <c r="E548" s="2" t="s">
        <v>1032</v>
      </c>
      <c r="F548" s="2" t="s">
        <v>3231</v>
      </c>
      <c r="G548" s="2" t="s">
        <v>3232</v>
      </c>
      <c r="H548" s="2" t="s">
        <v>3233</v>
      </c>
      <c r="I548" s="2" t="s">
        <v>3234</v>
      </c>
      <c r="J548" s="2" t="s">
        <v>807</v>
      </c>
      <c r="K548" s="2" t="s">
        <v>901</v>
      </c>
      <c r="L548" s="3">
        <v>202.3</v>
      </c>
      <c r="M548" s="3">
        <v>212.42</v>
      </c>
      <c r="N548" s="3">
        <v>429</v>
      </c>
      <c r="O548" s="2" t="s">
        <v>243</v>
      </c>
      <c r="P548" s="2" t="s">
        <v>270</v>
      </c>
      <c r="Q548" s="2" t="s">
        <v>237</v>
      </c>
      <c r="R548" s="2" t="s">
        <v>231</v>
      </c>
      <c r="S548" s="2" t="s">
        <v>231</v>
      </c>
      <c r="T548" s="2" t="s">
        <v>231</v>
      </c>
      <c r="U548" s="2" t="s">
        <v>231</v>
      </c>
      <c r="V548" s="2" t="s">
        <v>239</v>
      </c>
      <c r="W548" s="2" t="s">
        <v>792</v>
      </c>
      <c r="X548" s="2" t="s">
        <v>676</v>
      </c>
      <c r="Y548" s="2" t="s">
        <v>2406</v>
      </c>
      <c r="Z548" s="4"/>
      <c r="AA548" s="4">
        <f>=ROUNDDOWN({0},0)</f>
      </c>
      <c r="AB548" s="5">
        <v>16</v>
      </c>
      <c r="AC548" s="2" t="s">
        <v>1137</v>
      </c>
      <c r="AD548" s="4">
        <v>135</v>
      </c>
      <c r="AE548" s="4">
        <v>405</v>
      </c>
      <c r="AF548" s="6">
        <v>74</v>
      </c>
      <c r="AG548" s="6"/>
      <c r="AH548" s="7">
        <v>0.2903</v>
      </c>
      <c r="AI548" s="4"/>
      <c r="AJ548" s="4">
        <f>=ROUNDDOWN({0},0)</f>
      </c>
      <c r="AK548" s="5"/>
      <c r="AL548" s="2" t="s">
        <v>231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231</v>
      </c>
      <c r="BD548" s="8" t="s">
        <v>231</v>
      </c>
      <c r="BE548" s="4" t="s">
        <v>231</v>
      </c>
      <c r="BF548" s="8" t="s">
        <v>231</v>
      </c>
      <c r="BG548" s="7" t="s">
        <v>231</v>
      </c>
      <c r="BH548" s="7" t="s">
        <v>231</v>
      </c>
      <c r="BI548" s="7"/>
      <c r="BJ548" s="4">
        <v>9</v>
      </c>
      <c r="BK548" s="8">
        <v>1804.16</v>
      </c>
      <c r="BL548" s="2" t="s">
        <v>2343</v>
      </c>
      <c r="BM548" s="7"/>
      <c r="BN548" s="7"/>
      <c r="BO548" s="4"/>
      <c r="BP548" s="8"/>
      <c r="BQ548" s="4"/>
      <c r="BR548" s="8"/>
      <c r="BS548" s="7"/>
      <c r="BT548" s="7"/>
      <c r="BU548" s="2" t="s">
        <v>3235</v>
      </c>
      <c r="BV548" s="2" t="s">
        <v>231</v>
      </c>
      <c r="BW548" s="2" t="s">
        <v>231</v>
      </c>
      <c r="BX548" s="2" t="s">
        <v>1812</v>
      </c>
      <c r="BY548" s="2" t="s">
        <v>277</v>
      </c>
      <c r="BZ548" s="2" t="s">
        <v>243</v>
      </c>
      <c r="CA548" s="2" t="s">
        <v>1612</v>
      </c>
      <c r="CB548" s="2" t="s">
        <v>446</v>
      </c>
      <c r="CC548" s="2" t="s">
        <v>244</v>
      </c>
      <c r="CD548" s="2" t="s">
        <v>231</v>
      </c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>
        <v>135</v>
      </c>
      <c r="DL548" s="4"/>
      <c r="DM548" s="4"/>
      <c r="DN548" s="4"/>
      <c r="DO548" s="4"/>
      <c r="DP548" s="4"/>
      <c r="DQ548" s="4"/>
      <c r="DR548" s="4"/>
      <c r="DS548" s="4"/>
      <c r="DT548" s="4">
        <v>135</v>
      </c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>
        <v>135</v>
      </c>
      <c r="HG548" s="4"/>
      <c r="HH548" s="4"/>
      <c r="HI548" s="4"/>
      <c r="HJ548" s="4"/>
      <c r="HK548" s="4"/>
      <c r="HL548" s="4"/>
    </row>
    <row r="549">
      <c r="A549" s="2" t="s">
        <v>3236</v>
      </c>
      <c r="B549" s="2" t="s">
        <v>1004</v>
      </c>
      <c r="C549" s="2" t="s">
        <v>288</v>
      </c>
      <c r="D549" s="2" t="s">
        <v>1031</v>
      </c>
      <c r="E549" s="2" t="s">
        <v>1032</v>
      </c>
      <c r="F549" s="2" t="s">
        <v>3231</v>
      </c>
      <c r="G549" s="2" t="s">
        <v>3232</v>
      </c>
      <c r="H549" s="2" t="s">
        <v>3233</v>
      </c>
      <c r="I549" s="2" t="s">
        <v>3234</v>
      </c>
      <c r="J549" s="2" t="s">
        <v>807</v>
      </c>
      <c r="K549" s="2" t="s">
        <v>3237</v>
      </c>
      <c r="L549" s="3">
        <v>202.3</v>
      </c>
      <c r="M549" s="3">
        <v>212.42</v>
      </c>
      <c r="N549" s="3">
        <v>429</v>
      </c>
      <c r="O549" s="2" t="s">
        <v>243</v>
      </c>
      <c r="P549" s="2" t="s">
        <v>270</v>
      </c>
      <c r="Q549" s="2" t="s">
        <v>237</v>
      </c>
      <c r="R549" s="2" t="s">
        <v>231</v>
      </c>
      <c r="S549" s="2" t="s">
        <v>3238</v>
      </c>
      <c r="T549" s="2" t="s">
        <v>231</v>
      </c>
      <c r="U549" s="2" t="s">
        <v>231</v>
      </c>
      <c r="V549" s="2" t="s">
        <v>239</v>
      </c>
      <c r="W549" s="2" t="s">
        <v>792</v>
      </c>
      <c r="X549" s="2" t="s">
        <v>231</v>
      </c>
      <c r="Y549" s="2" t="s">
        <v>3239</v>
      </c>
      <c r="Z549" s="4">
        <v>91</v>
      </c>
      <c r="AA549" s="4">
        <f>=ROUNDDOWN(33.7037037037037,0)</f>
      </c>
      <c r="AB549" s="5">
        <v>2.7</v>
      </c>
      <c r="AC549" s="2" t="s">
        <v>1137</v>
      </c>
      <c r="AD549" s="4">
        <v>35</v>
      </c>
      <c r="AE549" s="4">
        <v>35</v>
      </c>
      <c r="AF549" s="6">
        <v>74</v>
      </c>
      <c r="AG549" s="6">
        <v>60</v>
      </c>
      <c r="AH549" s="7">
        <v>1</v>
      </c>
      <c r="AI549" s="4"/>
      <c r="AJ549" s="4">
        <f>=ROUNDDOWN({0},0)</f>
      </c>
      <c r="AK549" s="5"/>
      <c r="AL549" s="2" t="s">
        <v>231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231</v>
      </c>
      <c r="BD549" s="8" t="s">
        <v>231</v>
      </c>
      <c r="BE549" s="4" t="s">
        <v>231</v>
      </c>
      <c r="BF549" s="8" t="s">
        <v>231</v>
      </c>
      <c r="BG549" s="7" t="s">
        <v>231</v>
      </c>
      <c r="BH549" s="7" t="s">
        <v>231</v>
      </c>
      <c r="BI549" s="7"/>
      <c r="BJ549" s="4">
        <v>47</v>
      </c>
      <c r="BK549" s="8">
        <v>7529.79</v>
      </c>
      <c r="BL549" s="2" t="s">
        <v>3240</v>
      </c>
      <c r="BM549" s="7"/>
      <c r="BN549" s="7"/>
      <c r="BO549" s="4"/>
      <c r="BP549" s="8"/>
      <c r="BQ549" s="4"/>
      <c r="BR549" s="8"/>
      <c r="BS549" s="7"/>
      <c r="BT549" s="7"/>
      <c r="BU549" s="2" t="s">
        <v>3241</v>
      </c>
      <c r="BV549" s="2" t="s">
        <v>231</v>
      </c>
      <c r="BW549" s="2" t="s">
        <v>231</v>
      </c>
      <c r="BX549" s="2" t="s">
        <v>1812</v>
      </c>
      <c r="BY549" s="2" t="s">
        <v>277</v>
      </c>
      <c r="BZ549" s="2" t="s">
        <v>243</v>
      </c>
      <c r="CA549" s="2" t="s">
        <v>1027</v>
      </c>
      <c r="CB549" s="2" t="s">
        <v>3242</v>
      </c>
      <c r="CC549" s="2" t="s">
        <v>244</v>
      </c>
      <c r="CD549" s="2" t="s">
        <v>231</v>
      </c>
      <c r="CE549" s="4"/>
      <c r="CF549" s="4">
        <v>91</v>
      </c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>
        <v>35</v>
      </c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</row>
    <row r="550">
      <c r="A550" s="2" t="s">
        <v>3243</v>
      </c>
      <c r="B550" s="2" t="s">
        <v>1186</v>
      </c>
      <c r="C550" s="2" t="s">
        <v>288</v>
      </c>
      <c r="D550" s="2" t="s">
        <v>654</v>
      </c>
      <c r="E550" s="2" t="s">
        <v>655</v>
      </c>
      <c r="F550" s="2" t="s">
        <v>3244</v>
      </c>
      <c r="G550" s="2" t="s">
        <v>3245</v>
      </c>
      <c r="H550" s="2" t="s">
        <v>3246</v>
      </c>
      <c r="I550" s="2" t="s">
        <v>3247</v>
      </c>
      <c r="J550" s="2" t="s">
        <v>669</v>
      </c>
      <c r="K550" s="2" t="s">
        <v>985</v>
      </c>
      <c r="L550" s="3">
        <v>42.85</v>
      </c>
      <c r="M550" s="3">
        <v>44.99</v>
      </c>
      <c r="N550" s="3">
        <v>89.99</v>
      </c>
      <c r="O550" s="2" t="s">
        <v>243</v>
      </c>
      <c r="P550" s="2" t="s">
        <v>270</v>
      </c>
      <c r="Q550" s="2" t="s">
        <v>237</v>
      </c>
      <c r="R550" s="2" t="s">
        <v>231</v>
      </c>
      <c r="S550" s="2" t="s">
        <v>3248</v>
      </c>
      <c r="T550" s="2" t="s">
        <v>472</v>
      </c>
      <c r="U550" s="2" t="s">
        <v>661</v>
      </c>
      <c r="V550" s="2" t="s">
        <v>1192</v>
      </c>
      <c r="W550" s="2" t="s">
        <v>2897</v>
      </c>
      <c r="X550" s="2" t="s">
        <v>896</v>
      </c>
      <c r="Y550" s="2" t="s">
        <v>1399</v>
      </c>
      <c r="Z550" s="4">
        <v>230</v>
      </c>
      <c r="AA550" s="4">
        <f>=ROUNDDOWN(15.3333333333333,0)</f>
      </c>
      <c r="AB550" s="5">
        <v>15</v>
      </c>
      <c r="AC550" s="2" t="s">
        <v>582</v>
      </c>
      <c r="AD550" s="4">
        <v>280</v>
      </c>
      <c r="AE550" s="4">
        <v>280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231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231</v>
      </c>
      <c r="BD550" s="8" t="s">
        <v>231</v>
      </c>
      <c r="BE550" s="4" t="s">
        <v>231</v>
      </c>
      <c r="BF550" s="8" t="s">
        <v>231</v>
      </c>
      <c r="BG550" s="7" t="s">
        <v>231</v>
      </c>
      <c r="BH550" s="7" t="s">
        <v>231</v>
      </c>
      <c r="BI550" s="7"/>
      <c r="BJ550" s="4">
        <v>44</v>
      </c>
      <c r="BK550" s="8">
        <v>2003.71</v>
      </c>
      <c r="BL550" s="2" t="s">
        <v>3249</v>
      </c>
      <c r="BM550" s="7"/>
      <c r="BN550" s="7"/>
      <c r="BO550" s="4"/>
      <c r="BP550" s="8"/>
      <c r="BQ550" s="4"/>
      <c r="BR550" s="8"/>
      <c r="BS550" s="7"/>
      <c r="BT550" s="7"/>
      <c r="BU550" s="2" t="s">
        <v>3250</v>
      </c>
      <c r="BV550" s="2" t="s">
        <v>231</v>
      </c>
      <c r="BW550" s="2" t="s">
        <v>231</v>
      </c>
      <c r="BX550" s="2" t="s">
        <v>231</v>
      </c>
      <c r="BY550" s="2" t="s">
        <v>277</v>
      </c>
      <c r="BZ550" s="2" t="s">
        <v>243</v>
      </c>
      <c r="CA550" s="2" t="s">
        <v>445</v>
      </c>
      <c r="CB550" s="2" t="s">
        <v>3251</v>
      </c>
      <c r="CC550" s="2" t="s">
        <v>244</v>
      </c>
      <c r="CD550" s="2" t="s">
        <v>231</v>
      </c>
      <c r="CE550" s="4">
        <v>230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>
        <v>280</v>
      </c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</row>
    <row r="551">
      <c r="A551" s="2" t="s">
        <v>3252</v>
      </c>
      <c r="B551" s="2" t="s">
        <v>1186</v>
      </c>
      <c r="C551" s="2" t="s">
        <v>288</v>
      </c>
      <c r="D551" s="2" t="s">
        <v>654</v>
      </c>
      <c r="E551" s="2" t="s">
        <v>655</v>
      </c>
      <c r="F551" s="2" t="s">
        <v>3244</v>
      </c>
      <c r="G551" s="2" t="s">
        <v>3245</v>
      </c>
      <c r="H551" s="2" t="s">
        <v>3246</v>
      </c>
      <c r="I551" s="2" t="s">
        <v>3247</v>
      </c>
      <c r="J551" s="2" t="s">
        <v>669</v>
      </c>
      <c r="K551" s="2" t="s">
        <v>1491</v>
      </c>
      <c r="L551" s="3">
        <v>42.85</v>
      </c>
      <c r="M551" s="3">
        <v>44.99</v>
      </c>
      <c r="N551" s="3">
        <v>89.99</v>
      </c>
      <c r="O551" s="2" t="s">
        <v>243</v>
      </c>
      <c r="P551" s="2" t="s">
        <v>270</v>
      </c>
      <c r="Q551" s="2" t="s">
        <v>237</v>
      </c>
      <c r="R551" s="2" t="s">
        <v>231</v>
      </c>
      <c r="S551" s="2" t="s">
        <v>3253</v>
      </c>
      <c r="T551" s="2" t="s">
        <v>472</v>
      </c>
      <c r="U551" s="2" t="s">
        <v>661</v>
      </c>
      <c r="V551" s="2" t="s">
        <v>1192</v>
      </c>
      <c r="W551" s="2" t="s">
        <v>2897</v>
      </c>
      <c r="X551" s="2" t="s">
        <v>896</v>
      </c>
      <c r="Y551" s="2" t="s">
        <v>3254</v>
      </c>
      <c r="Z551" s="4">
        <v>426</v>
      </c>
      <c r="AA551" s="4">
        <f>=ROUNDDOWN(25.0588235294118,0)</f>
      </c>
      <c r="AB551" s="5">
        <v>17</v>
      </c>
      <c r="AC551" s="2" t="s">
        <v>582</v>
      </c>
      <c r="AD551" s="4">
        <v>170</v>
      </c>
      <c r="AE551" s="4">
        <v>170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231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231</v>
      </c>
      <c r="BD551" s="8" t="s">
        <v>231</v>
      </c>
      <c r="BE551" s="4" t="s">
        <v>231</v>
      </c>
      <c r="BF551" s="8" t="s">
        <v>231</v>
      </c>
      <c r="BG551" s="7" t="s">
        <v>231</v>
      </c>
      <c r="BH551" s="7" t="s">
        <v>231</v>
      </c>
      <c r="BI551" s="7"/>
      <c r="BJ551" s="4">
        <v>40</v>
      </c>
      <c r="BK551" s="8">
        <v>1887.87</v>
      </c>
      <c r="BL551" s="2" t="s">
        <v>3255</v>
      </c>
      <c r="BM551" s="7"/>
      <c r="BN551" s="7"/>
      <c r="BO551" s="4"/>
      <c r="BP551" s="8"/>
      <c r="BQ551" s="4"/>
      <c r="BR551" s="8"/>
      <c r="BS551" s="7"/>
      <c r="BT551" s="7"/>
      <c r="BU551" s="2" t="s">
        <v>3256</v>
      </c>
      <c r="BV551" s="2" t="s">
        <v>231</v>
      </c>
      <c r="BW551" s="2" t="s">
        <v>231</v>
      </c>
      <c r="BX551" s="2" t="s">
        <v>231</v>
      </c>
      <c r="BY551" s="2" t="s">
        <v>277</v>
      </c>
      <c r="BZ551" s="2" t="s">
        <v>243</v>
      </c>
      <c r="CA551" s="2" t="s">
        <v>3257</v>
      </c>
      <c r="CB551" s="2" t="s">
        <v>2325</v>
      </c>
      <c r="CC551" s="2" t="s">
        <v>244</v>
      </c>
      <c r="CD551" s="2" t="s">
        <v>231</v>
      </c>
      <c r="CE551" s="4">
        <v>426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>
        <v>170</v>
      </c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</row>
    <row r="552">
      <c r="A552" s="2" t="s">
        <v>3258</v>
      </c>
      <c r="B552" s="2" t="s">
        <v>1186</v>
      </c>
      <c r="C552" s="2" t="s">
        <v>815</v>
      </c>
      <c r="D552" s="2" t="s">
        <v>1139</v>
      </c>
      <c r="E552" s="2" t="s">
        <v>1140</v>
      </c>
      <c r="F552" s="2" t="s">
        <v>3259</v>
      </c>
      <c r="G552" s="2" t="s">
        <v>231</v>
      </c>
      <c r="H552" s="2" t="s">
        <v>231</v>
      </c>
      <c r="I552" s="2" t="s">
        <v>3260</v>
      </c>
      <c r="J552" s="2" t="s">
        <v>2478</v>
      </c>
      <c r="K552" s="2" t="s">
        <v>452</v>
      </c>
      <c r="L552" s="3">
        <v>14.4</v>
      </c>
      <c r="M552" s="3">
        <v>15.12</v>
      </c>
      <c r="N552" s="3">
        <v>34.99</v>
      </c>
      <c r="O552" s="2" t="s">
        <v>243</v>
      </c>
      <c r="P552" s="2" t="s">
        <v>341</v>
      </c>
      <c r="Q552" s="2" t="s">
        <v>237</v>
      </c>
      <c r="R552" s="2" t="s">
        <v>231</v>
      </c>
      <c r="S552" s="2" t="s">
        <v>3261</v>
      </c>
      <c r="T552" s="2" t="s">
        <v>231</v>
      </c>
      <c r="U552" s="2" t="s">
        <v>231</v>
      </c>
      <c r="V552" s="2" t="s">
        <v>987</v>
      </c>
      <c r="W552" s="2" t="s">
        <v>273</v>
      </c>
      <c r="X552" s="2" t="s">
        <v>808</v>
      </c>
      <c r="Y552" s="2" t="s">
        <v>274</v>
      </c>
      <c r="Z552" s="4">
        <v>218</v>
      </c>
      <c r="AA552" s="4">
        <f>=ROUNDDOWN(49.5454545454545,0)</f>
      </c>
      <c r="AB552" s="5">
        <v>4.4</v>
      </c>
      <c r="AC552" s="2" t="s">
        <v>231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231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>
        <v>20</v>
      </c>
      <c r="BK552" s="8">
        <v>205.21</v>
      </c>
      <c r="BL552" s="2" t="s">
        <v>3262</v>
      </c>
      <c r="BM552" s="7"/>
      <c r="BN552" s="7"/>
      <c r="BO552" s="4"/>
      <c r="BP552" s="8"/>
      <c r="BQ552" s="4"/>
      <c r="BR552" s="8"/>
      <c r="BS552" s="7"/>
      <c r="BT552" s="7"/>
      <c r="BU552" s="2" t="s">
        <v>3263</v>
      </c>
      <c r="BV552" s="2" t="s">
        <v>231</v>
      </c>
      <c r="BW552" s="2" t="s">
        <v>231</v>
      </c>
      <c r="BX552" s="2" t="s">
        <v>231</v>
      </c>
      <c r="BY552" s="2" t="s">
        <v>277</v>
      </c>
      <c r="BZ552" s="2" t="s">
        <v>243</v>
      </c>
      <c r="CA552" s="2" t="s">
        <v>284</v>
      </c>
      <c r="CB552" s="2" t="s">
        <v>3264</v>
      </c>
      <c r="CC552" s="2" t="s">
        <v>244</v>
      </c>
      <c r="CD552" s="2" t="s">
        <v>231</v>
      </c>
      <c r="CE552" s="4">
        <v>218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</row>
    <row r="553">
      <c r="A553" s="2" t="s">
        <v>3265</v>
      </c>
      <c r="B553" s="2" t="s">
        <v>1004</v>
      </c>
      <c r="C553" s="2" t="s">
        <v>867</v>
      </c>
      <c r="D553" s="2" t="s">
        <v>1837</v>
      </c>
      <c r="E553" s="2" t="s">
        <v>2264</v>
      </c>
      <c r="F553" s="2" t="s">
        <v>1845</v>
      </c>
      <c r="G553" s="2" t="s">
        <v>1845</v>
      </c>
      <c r="H553" s="2" t="s">
        <v>1845</v>
      </c>
      <c r="I553" s="2" t="s">
        <v>3266</v>
      </c>
      <c r="J553" s="2" t="s">
        <v>807</v>
      </c>
      <c r="K553" s="2" t="s">
        <v>294</v>
      </c>
      <c r="L553" s="3">
        <v>160</v>
      </c>
      <c r="M553" s="3">
        <v>168</v>
      </c>
      <c r="N553" s="3">
        <v>339</v>
      </c>
      <c r="O553" s="2" t="s">
        <v>235</v>
      </c>
      <c r="P553" s="2" t="s">
        <v>341</v>
      </c>
      <c r="Q553" s="2" t="s">
        <v>237</v>
      </c>
      <c r="R553" s="2" t="s">
        <v>231</v>
      </c>
      <c r="S553" s="2" t="s">
        <v>231</v>
      </c>
      <c r="T553" s="2" t="s">
        <v>231</v>
      </c>
      <c r="U553" s="2" t="s">
        <v>327</v>
      </c>
      <c r="V553" s="2" t="s">
        <v>239</v>
      </c>
      <c r="W553" s="2" t="s">
        <v>691</v>
      </c>
      <c r="X553" s="2" t="s">
        <v>1694</v>
      </c>
      <c r="Y553" s="2" t="s">
        <v>841</v>
      </c>
      <c r="Z553" s="4">
        <v>178</v>
      </c>
      <c r="AA553" s="4">
        <f>=ROUNDDOWN({0},0)</f>
      </c>
      <c r="AB553" s="5"/>
      <c r="AC553" s="2" t="s">
        <v>231</v>
      </c>
      <c r="AD553" s="4"/>
      <c r="AE553" s="4"/>
      <c r="AF553" s="6">
        <v>74</v>
      </c>
      <c r="AG553" s="6">
        <v>60</v>
      </c>
      <c r="AH553" s="7">
        <v>1</v>
      </c>
      <c r="AI553" s="4"/>
      <c r="AJ553" s="4">
        <f>=ROUNDDOWN({0},0)</f>
      </c>
      <c r="AK553" s="5"/>
      <c r="AL553" s="2" t="s">
        <v>231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231</v>
      </c>
      <c r="BM553" s="7"/>
      <c r="BN553" s="7"/>
      <c r="BO553" s="4"/>
      <c r="BP553" s="8"/>
      <c r="BQ553" s="4"/>
      <c r="BR553" s="8"/>
      <c r="BS553" s="7"/>
      <c r="BT553" s="7"/>
      <c r="BU553" s="2" t="s">
        <v>3267</v>
      </c>
      <c r="BV553" s="2" t="s">
        <v>231</v>
      </c>
      <c r="BW553" s="2" t="s">
        <v>231</v>
      </c>
      <c r="BX553" s="2" t="s">
        <v>231</v>
      </c>
      <c r="BY553" s="2" t="s">
        <v>277</v>
      </c>
      <c r="BZ553" s="2" t="s">
        <v>243</v>
      </c>
      <c r="CA553" s="2" t="s">
        <v>3268</v>
      </c>
      <c r="CB553" s="2" t="s">
        <v>3269</v>
      </c>
      <c r="CC553" s="2" t="s">
        <v>244</v>
      </c>
      <c r="CD553" s="2" t="s">
        <v>231</v>
      </c>
      <c r="CE553" s="4"/>
      <c r="CF553" s="4">
        <v>133</v>
      </c>
      <c r="CG553" s="4"/>
      <c r="CH553" s="4"/>
      <c r="CI553" s="4">
        <v>45</v>
      </c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</row>
    <row r="554">
      <c r="A554" s="2" t="s">
        <v>3270</v>
      </c>
      <c r="B554" s="2" t="s">
        <v>1004</v>
      </c>
      <c r="C554" s="2" t="s">
        <v>288</v>
      </c>
      <c r="D554" s="2" t="s">
        <v>1917</v>
      </c>
      <c r="E554" s="2" t="s">
        <v>1918</v>
      </c>
      <c r="F554" s="2" t="s">
        <v>3271</v>
      </c>
      <c r="G554" s="2" t="s">
        <v>3272</v>
      </c>
      <c r="H554" s="2" t="s">
        <v>3273</v>
      </c>
      <c r="I554" s="2" t="s">
        <v>3274</v>
      </c>
      <c r="J554" s="2" t="s">
        <v>807</v>
      </c>
      <c r="K554" s="2" t="s">
        <v>1136</v>
      </c>
      <c r="L554" s="3">
        <v>379.26</v>
      </c>
      <c r="M554" s="3">
        <v>398.22</v>
      </c>
      <c r="N554" s="3">
        <v>799</v>
      </c>
      <c r="O554" s="2" t="s">
        <v>243</v>
      </c>
      <c r="P554" s="2" t="s">
        <v>1037</v>
      </c>
      <c r="Q554" s="2" t="s">
        <v>237</v>
      </c>
      <c r="R554" s="2" t="s">
        <v>231</v>
      </c>
      <c r="S554" s="2" t="s">
        <v>3275</v>
      </c>
      <c r="T554" s="2" t="s">
        <v>231</v>
      </c>
      <c r="U554" s="2" t="s">
        <v>791</v>
      </c>
      <c r="V554" s="2" t="s">
        <v>239</v>
      </c>
      <c r="W554" s="2" t="s">
        <v>792</v>
      </c>
      <c r="X554" s="2" t="s">
        <v>231</v>
      </c>
      <c r="Y554" s="2" t="s">
        <v>3276</v>
      </c>
      <c r="Z554" s="4">
        <v>39</v>
      </c>
      <c r="AA554" s="4">
        <f>=ROUNDDOWN(14.4444444444444,0)</f>
      </c>
      <c r="AB554" s="5">
        <v>2.7</v>
      </c>
      <c r="AC554" s="2" t="s">
        <v>3277</v>
      </c>
      <c r="AD554" s="4">
        <v>49</v>
      </c>
      <c r="AE554" s="4">
        <v>204</v>
      </c>
      <c r="AF554" s="6"/>
      <c r="AG554" s="6"/>
      <c r="AH554" s="7">
        <v>1</v>
      </c>
      <c r="AI554" s="4"/>
      <c r="AJ554" s="4">
        <f>=ROUNDDOWN({0},0)</f>
      </c>
      <c r="AK554" s="5"/>
      <c r="AL554" s="2" t="s">
        <v>1137</v>
      </c>
      <c r="AM554" s="4">
        <v>115</v>
      </c>
      <c r="AN554" s="4">
        <v>115</v>
      </c>
      <c r="AO554" s="7">
        <v>0</v>
      </c>
      <c r="AP554" s="4"/>
      <c r="AQ554" s="8"/>
      <c r="AR554" s="4"/>
      <c r="AS554" s="8"/>
      <c r="AT554" s="7"/>
      <c r="AU554" s="7"/>
      <c r="AV554" s="4" t="s">
        <v>231</v>
      </c>
      <c r="AW554" s="8" t="s">
        <v>231</v>
      </c>
      <c r="AX554" s="4" t="s">
        <v>231</v>
      </c>
      <c r="AY554" s="8" t="s">
        <v>231</v>
      </c>
      <c r="AZ554" s="7" t="s">
        <v>231</v>
      </c>
      <c r="BA554" s="7" t="s">
        <v>231</v>
      </c>
      <c r="BB554" s="7" t="s">
        <v>231</v>
      </c>
      <c r="BC554" s="4" t="s">
        <v>231</v>
      </c>
      <c r="BD554" s="8" t="s">
        <v>231</v>
      </c>
      <c r="BE554" s="4" t="s">
        <v>231</v>
      </c>
      <c r="BF554" s="8" t="s">
        <v>231</v>
      </c>
      <c r="BG554" s="7" t="s">
        <v>231</v>
      </c>
      <c r="BH554" s="7" t="s">
        <v>231</v>
      </c>
      <c r="BI554" s="7"/>
      <c r="BJ554" s="4">
        <v>16</v>
      </c>
      <c r="BK554" s="8">
        <v>5586.5</v>
      </c>
      <c r="BL554" s="2" t="s">
        <v>628</v>
      </c>
      <c r="BM554" s="7"/>
      <c r="BN554" s="7"/>
      <c r="BO554" s="4"/>
      <c r="BP554" s="8"/>
      <c r="BQ554" s="4"/>
      <c r="BR554" s="8"/>
      <c r="BS554" s="7"/>
      <c r="BT554" s="7"/>
      <c r="BU554" s="2" t="s">
        <v>3278</v>
      </c>
      <c r="BV554" s="2" t="s">
        <v>231</v>
      </c>
      <c r="BW554" s="2" t="s">
        <v>231</v>
      </c>
      <c r="BX554" s="2" t="s">
        <v>241</v>
      </c>
      <c r="BY554" s="2" t="s">
        <v>277</v>
      </c>
      <c r="BZ554" s="2" t="s">
        <v>243</v>
      </c>
      <c r="CA554" s="2" t="s">
        <v>3279</v>
      </c>
      <c r="CB554" s="2" t="s">
        <v>231</v>
      </c>
      <c r="CC554" s="2" t="s">
        <v>244</v>
      </c>
      <c r="CD554" s="2" t="s">
        <v>231</v>
      </c>
      <c r="CE554" s="4"/>
      <c r="CF554" s="4">
        <v>39</v>
      </c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>
        <v>49</v>
      </c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>
        <v>130</v>
      </c>
      <c r="FF554" s="4">
        <v>25</v>
      </c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>
        <v>115</v>
      </c>
      <c r="HH554" s="4"/>
      <c r="HI554" s="4"/>
      <c r="HJ554" s="4"/>
      <c r="HK554" s="4"/>
      <c r="HL554" s="4"/>
    </row>
    <row r="555">
      <c r="A555" s="2" t="s">
        <v>3280</v>
      </c>
      <c r="B555" s="2" t="s">
        <v>1004</v>
      </c>
      <c r="C555" s="2" t="s">
        <v>288</v>
      </c>
      <c r="D555" s="2" t="s">
        <v>1922</v>
      </c>
      <c r="E555" s="2" t="s">
        <v>2538</v>
      </c>
      <c r="F555" s="2" t="s">
        <v>3271</v>
      </c>
      <c r="G555" s="2" t="s">
        <v>3272</v>
      </c>
      <c r="H555" s="2" t="s">
        <v>3273</v>
      </c>
      <c r="I555" s="2" t="s">
        <v>3281</v>
      </c>
      <c r="J555" s="2" t="s">
        <v>807</v>
      </c>
      <c r="K555" s="2" t="s">
        <v>1136</v>
      </c>
      <c r="L555" s="3">
        <v>335.16</v>
      </c>
      <c r="M555" s="3">
        <v>351.92</v>
      </c>
      <c r="N555" s="3">
        <v>699</v>
      </c>
      <c r="O555" s="2" t="s">
        <v>243</v>
      </c>
      <c r="P555" s="2" t="s">
        <v>1037</v>
      </c>
      <c r="Q555" s="2" t="s">
        <v>231</v>
      </c>
      <c r="R555" s="2" t="s">
        <v>231</v>
      </c>
      <c r="S555" s="2" t="s">
        <v>3275</v>
      </c>
      <c r="T555" s="2" t="s">
        <v>231</v>
      </c>
      <c r="U555" s="2" t="s">
        <v>791</v>
      </c>
      <c r="V555" s="2" t="s">
        <v>239</v>
      </c>
      <c r="W555" s="2" t="s">
        <v>792</v>
      </c>
      <c r="X555" s="2" t="s">
        <v>231</v>
      </c>
      <c r="Y555" s="2" t="s">
        <v>3276</v>
      </c>
      <c r="Z555" s="4">
        <v>181</v>
      </c>
      <c r="AA555" s="4">
        <f>=ROUNDDOWN({0},0)</f>
      </c>
      <c r="AB555" s="5"/>
      <c r="AC555" s="2" t="s">
        <v>3282</v>
      </c>
      <c r="AD555" s="4">
        <v>35</v>
      </c>
      <c r="AE555" s="4">
        <v>35</v>
      </c>
      <c r="AF555" s="6"/>
      <c r="AG555" s="6"/>
      <c r="AH555" s="7">
        <v>1</v>
      </c>
      <c r="AI555" s="4"/>
      <c r="AJ555" s="4">
        <f>=ROUNDDOWN({0},0)</f>
      </c>
      <c r="AK555" s="5"/>
      <c r="AL555" s="2" t="s">
        <v>1315</v>
      </c>
      <c r="AM555" s="4">
        <v>180</v>
      </c>
      <c r="AN555" s="4">
        <v>180</v>
      </c>
      <c r="AO555" s="7">
        <v>0</v>
      </c>
      <c r="AP555" s="4"/>
      <c r="AQ555" s="8"/>
      <c r="AR555" s="4"/>
      <c r="AS555" s="8"/>
      <c r="AT555" s="7"/>
      <c r="AU555" s="7"/>
      <c r="AV555" s="4" t="s">
        <v>231</v>
      </c>
      <c r="AW555" s="8" t="s">
        <v>231</v>
      </c>
      <c r="AX555" s="4" t="s">
        <v>231</v>
      </c>
      <c r="AY555" s="8" t="s">
        <v>231</v>
      </c>
      <c r="AZ555" s="7" t="s">
        <v>231</v>
      </c>
      <c r="BA555" s="7" t="s">
        <v>231</v>
      </c>
      <c r="BB555" s="7" t="s">
        <v>231</v>
      </c>
      <c r="BC555" s="4" t="s">
        <v>231</v>
      </c>
      <c r="BD555" s="8" t="s">
        <v>231</v>
      </c>
      <c r="BE555" s="4" t="s">
        <v>231</v>
      </c>
      <c r="BF555" s="8" t="s">
        <v>231</v>
      </c>
      <c r="BG555" s="7" t="s">
        <v>231</v>
      </c>
      <c r="BH555" s="7" t="s">
        <v>231</v>
      </c>
      <c r="BI555" s="7"/>
      <c r="BJ555" s="4"/>
      <c r="BK555" s="8"/>
      <c r="BL555" s="2" t="s">
        <v>231</v>
      </c>
      <c r="BM555" s="7"/>
      <c r="BN555" s="7"/>
      <c r="BO555" s="4"/>
      <c r="BP555" s="8"/>
      <c r="BQ555" s="4"/>
      <c r="BR555" s="8"/>
      <c r="BS555" s="7"/>
      <c r="BT555" s="7"/>
      <c r="BU555" s="2" t="s">
        <v>3283</v>
      </c>
      <c r="BV555" s="2" t="s">
        <v>231</v>
      </c>
      <c r="BW555" s="2" t="s">
        <v>231</v>
      </c>
      <c r="BX555" s="2" t="s">
        <v>241</v>
      </c>
      <c r="BY555" s="2" t="s">
        <v>277</v>
      </c>
      <c r="BZ555" s="2" t="s">
        <v>243</v>
      </c>
      <c r="CA555" s="2" t="s">
        <v>3284</v>
      </c>
      <c r="CB555" s="2" t="s">
        <v>231</v>
      </c>
      <c r="CC555" s="2" t="s">
        <v>244</v>
      </c>
      <c r="CD555" s="2" t="s">
        <v>231</v>
      </c>
      <c r="CE555" s="4"/>
      <c r="CF555" s="4">
        <v>158</v>
      </c>
      <c r="CG555" s="4"/>
      <c r="CH555" s="4"/>
      <c r="CI555" s="4">
        <v>23</v>
      </c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>
        <v>35</v>
      </c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>
        <v>180</v>
      </c>
      <c r="HK555" s="4"/>
      <c r="HL555" s="4"/>
    </row>
    <row r="556">
      <c r="A556" s="2" t="s">
        <v>3285</v>
      </c>
      <c r="B556" s="2" t="s">
        <v>1004</v>
      </c>
      <c r="C556" s="2" t="s">
        <v>288</v>
      </c>
      <c r="D556" s="2" t="s">
        <v>1917</v>
      </c>
      <c r="E556" s="2" t="s">
        <v>1918</v>
      </c>
      <c r="F556" s="2" t="s">
        <v>3271</v>
      </c>
      <c r="G556" s="2" t="s">
        <v>3272</v>
      </c>
      <c r="H556" s="2" t="s">
        <v>3273</v>
      </c>
      <c r="I556" s="2" t="s">
        <v>3286</v>
      </c>
      <c r="J556" s="2" t="s">
        <v>807</v>
      </c>
      <c r="K556" s="2" t="s">
        <v>747</v>
      </c>
      <c r="L556" s="3">
        <v>193.5</v>
      </c>
      <c r="M556" s="3">
        <v>203.18</v>
      </c>
      <c r="N556" s="3">
        <v>399</v>
      </c>
      <c r="O556" s="2" t="s">
        <v>243</v>
      </c>
      <c r="P556" s="2" t="s">
        <v>270</v>
      </c>
      <c r="Q556" s="2" t="s">
        <v>237</v>
      </c>
      <c r="R556" s="2" t="s">
        <v>231</v>
      </c>
      <c r="S556" s="2" t="s">
        <v>231</v>
      </c>
      <c r="T556" s="2" t="s">
        <v>231</v>
      </c>
      <c r="U556" s="2" t="s">
        <v>327</v>
      </c>
      <c r="V556" s="2" t="s">
        <v>239</v>
      </c>
      <c r="W556" s="2" t="s">
        <v>792</v>
      </c>
      <c r="X556" s="2" t="s">
        <v>231</v>
      </c>
      <c r="Y556" s="2" t="s">
        <v>3287</v>
      </c>
      <c r="Z556" s="4">
        <v>69</v>
      </c>
      <c r="AA556" s="4">
        <f>=ROUNDDOWN({0},0)</f>
      </c>
      <c r="AB556" s="5"/>
      <c r="AC556" s="2" t="s">
        <v>3288</v>
      </c>
      <c r="AD556" s="4">
        <v>127</v>
      </c>
      <c r="AE556" s="4">
        <v>150</v>
      </c>
      <c r="AF556" s="6">
        <v>66</v>
      </c>
      <c r="AG556" s="6">
        <v>49</v>
      </c>
      <c r="AH556" s="7">
        <v>1</v>
      </c>
      <c r="AI556" s="4"/>
      <c r="AJ556" s="4">
        <f>=ROUNDDOWN({0},0)</f>
      </c>
      <c r="AK556" s="5"/>
      <c r="AL556" s="2" t="s">
        <v>231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231</v>
      </c>
      <c r="AW556" s="8" t="s">
        <v>231</v>
      </c>
      <c r="AX556" s="4" t="s">
        <v>231</v>
      </c>
      <c r="AY556" s="8" t="s">
        <v>231</v>
      </c>
      <c r="AZ556" s="7" t="s">
        <v>231</v>
      </c>
      <c r="BA556" s="7" t="s">
        <v>231</v>
      </c>
      <c r="BB556" s="7" t="s">
        <v>231</v>
      </c>
      <c r="BC556" s="4" t="s">
        <v>231</v>
      </c>
      <c r="BD556" s="8" t="s">
        <v>231</v>
      </c>
      <c r="BE556" s="4" t="s">
        <v>231</v>
      </c>
      <c r="BF556" s="8" t="s">
        <v>231</v>
      </c>
      <c r="BG556" s="7" t="s">
        <v>231</v>
      </c>
      <c r="BH556" s="7" t="s">
        <v>231</v>
      </c>
      <c r="BI556" s="7"/>
      <c r="BJ556" s="4">
        <v>40</v>
      </c>
      <c r="BK556" s="8">
        <v>7103.97</v>
      </c>
      <c r="BL556" s="2" t="s">
        <v>3289</v>
      </c>
      <c r="BM556" s="7"/>
      <c r="BN556" s="7"/>
      <c r="BO556" s="4"/>
      <c r="BP556" s="8"/>
      <c r="BQ556" s="4"/>
      <c r="BR556" s="8"/>
      <c r="BS556" s="7"/>
      <c r="BT556" s="7"/>
      <c r="BU556" s="2" t="s">
        <v>3290</v>
      </c>
      <c r="BV556" s="2" t="s">
        <v>231</v>
      </c>
      <c r="BW556" s="2" t="s">
        <v>231</v>
      </c>
      <c r="BX556" s="2" t="s">
        <v>1812</v>
      </c>
      <c r="BY556" s="2" t="s">
        <v>277</v>
      </c>
      <c r="BZ556" s="2" t="s">
        <v>243</v>
      </c>
      <c r="CA556" s="2" t="s">
        <v>3291</v>
      </c>
      <c r="CB556" s="2" t="s">
        <v>3292</v>
      </c>
      <c r="CC556" s="2" t="s">
        <v>244</v>
      </c>
      <c r="CD556" s="2" t="s">
        <v>231</v>
      </c>
      <c r="CE556" s="4"/>
      <c r="CF556" s="4">
        <v>67</v>
      </c>
      <c r="CG556" s="4"/>
      <c r="CH556" s="4"/>
      <c r="CI556" s="4">
        <v>2</v>
      </c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>
        <v>127</v>
      </c>
      <c r="DO556" s="4"/>
      <c r="DP556" s="4"/>
      <c r="DQ556" s="4"/>
      <c r="DR556" s="4"/>
      <c r="DS556" s="4"/>
      <c r="DT556" s="4"/>
      <c r="DU556" s="4">
        <v>23</v>
      </c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</row>
    <row r="557">
      <c r="A557" s="2" t="s">
        <v>3293</v>
      </c>
      <c r="B557" s="2" t="s">
        <v>1004</v>
      </c>
      <c r="C557" s="2" t="s">
        <v>288</v>
      </c>
      <c r="D557" s="2" t="s">
        <v>1922</v>
      </c>
      <c r="E557" s="2" t="s">
        <v>2538</v>
      </c>
      <c r="F557" s="2" t="s">
        <v>3271</v>
      </c>
      <c r="G557" s="2" t="s">
        <v>3272</v>
      </c>
      <c r="H557" s="2" t="s">
        <v>3273</v>
      </c>
      <c r="I557" s="2" t="s">
        <v>3281</v>
      </c>
      <c r="J557" s="2" t="s">
        <v>807</v>
      </c>
      <c r="K557" s="2" t="s">
        <v>747</v>
      </c>
      <c r="L557" s="3">
        <v>335.16</v>
      </c>
      <c r="M557" s="3">
        <v>351.92</v>
      </c>
      <c r="N557" s="3">
        <v>699</v>
      </c>
      <c r="O557" s="2" t="s">
        <v>243</v>
      </c>
      <c r="P557" s="2" t="s">
        <v>1037</v>
      </c>
      <c r="Q557" s="2" t="s">
        <v>231</v>
      </c>
      <c r="R557" s="2" t="s">
        <v>231</v>
      </c>
      <c r="S557" s="2" t="s">
        <v>231</v>
      </c>
      <c r="T557" s="2" t="s">
        <v>231</v>
      </c>
      <c r="U557" s="2" t="s">
        <v>791</v>
      </c>
      <c r="V557" s="2" t="s">
        <v>239</v>
      </c>
      <c r="W557" s="2" t="s">
        <v>792</v>
      </c>
      <c r="X557" s="2" t="s">
        <v>231</v>
      </c>
      <c r="Y557" s="2" t="s">
        <v>3294</v>
      </c>
      <c r="Z557" s="4">
        <v>54</v>
      </c>
      <c r="AA557" s="4">
        <f>=ROUNDDOWN({0},0)</f>
      </c>
      <c r="AB557" s="5"/>
      <c r="AC557" s="2" t="s">
        <v>3295</v>
      </c>
      <c r="AD557" s="4">
        <v>110</v>
      </c>
      <c r="AE557" s="4">
        <v>110</v>
      </c>
      <c r="AF557" s="6"/>
      <c r="AG557" s="6"/>
      <c r="AH557" s="7">
        <v>1</v>
      </c>
      <c r="AI557" s="4"/>
      <c r="AJ557" s="4">
        <f>=ROUNDDOWN({0},0)</f>
      </c>
      <c r="AK557" s="5"/>
      <c r="AL557" s="2" t="s">
        <v>231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231</v>
      </c>
      <c r="AW557" s="8" t="s">
        <v>231</v>
      </c>
      <c r="AX557" s="4" t="s">
        <v>231</v>
      </c>
      <c r="AY557" s="8" t="s">
        <v>231</v>
      </c>
      <c r="AZ557" s="7" t="s">
        <v>231</v>
      </c>
      <c r="BA557" s="7" t="s">
        <v>231</v>
      </c>
      <c r="BB557" s="7" t="s">
        <v>231</v>
      </c>
      <c r="BC557" s="4" t="s">
        <v>231</v>
      </c>
      <c r="BD557" s="8" t="s">
        <v>231</v>
      </c>
      <c r="BE557" s="4" t="s">
        <v>231</v>
      </c>
      <c r="BF557" s="8" t="s">
        <v>231</v>
      </c>
      <c r="BG557" s="7" t="s">
        <v>231</v>
      </c>
      <c r="BH557" s="7" t="s">
        <v>231</v>
      </c>
      <c r="BI557" s="7"/>
      <c r="BJ557" s="4"/>
      <c r="BK557" s="8"/>
      <c r="BL557" s="2" t="s">
        <v>231</v>
      </c>
      <c r="BM557" s="7"/>
      <c r="BN557" s="7"/>
      <c r="BO557" s="4"/>
      <c r="BP557" s="8"/>
      <c r="BQ557" s="4"/>
      <c r="BR557" s="8"/>
      <c r="BS557" s="7"/>
      <c r="BT557" s="7"/>
      <c r="BU557" s="2" t="s">
        <v>3296</v>
      </c>
      <c r="BV557" s="2" t="s">
        <v>231</v>
      </c>
      <c r="BW557" s="2" t="s">
        <v>231</v>
      </c>
      <c r="BX557" s="2" t="s">
        <v>241</v>
      </c>
      <c r="BY557" s="2" t="s">
        <v>277</v>
      </c>
      <c r="BZ557" s="2" t="s">
        <v>243</v>
      </c>
      <c r="CA557" s="2" t="s">
        <v>3284</v>
      </c>
      <c r="CB557" s="2" t="s">
        <v>231</v>
      </c>
      <c r="CC557" s="2" t="s">
        <v>244</v>
      </c>
      <c r="CD557" s="2" t="s">
        <v>231</v>
      </c>
      <c r="CE557" s="4"/>
      <c r="CF557" s="4">
        <v>54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>
        <v>110</v>
      </c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</row>
    <row r="558">
      <c r="A558" s="2" t="s">
        <v>3297</v>
      </c>
      <c r="B558" s="2" t="s">
        <v>1004</v>
      </c>
      <c r="C558" s="2" t="s">
        <v>288</v>
      </c>
      <c r="D558" s="2" t="s">
        <v>1922</v>
      </c>
      <c r="E558" s="2" t="s">
        <v>2538</v>
      </c>
      <c r="F558" s="2" t="s">
        <v>3271</v>
      </c>
      <c r="G558" s="2" t="s">
        <v>3272</v>
      </c>
      <c r="H558" s="2" t="s">
        <v>3273</v>
      </c>
      <c r="I558" s="2" t="s">
        <v>3281</v>
      </c>
      <c r="J558" s="2" t="s">
        <v>807</v>
      </c>
      <c r="K558" s="2" t="s">
        <v>3298</v>
      </c>
      <c r="L558" s="3">
        <v>335.16</v>
      </c>
      <c r="M558" s="3">
        <v>351.92</v>
      </c>
      <c r="N558" s="3">
        <v>699</v>
      </c>
      <c r="O558" s="2" t="s">
        <v>243</v>
      </c>
      <c r="P558" s="2" t="s">
        <v>1037</v>
      </c>
      <c r="Q558" s="2" t="s">
        <v>231</v>
      </c>
      <c r="R558" s="2" t="s">
        <v>231</v>
      </c>
      <c r="S558" s="2" t="s">
        <v>231</v>
      </c>
      <c r="T558" s="2" t="s">
        <v>231</v>
      </c>
      <c r="U558" s="2" t="s">
        <v>791</v>
      </c>
      <c r="V558" s="2" t="s">
        <v>239</v>
      </c>
      <c r="W558" s="2" t="s">
        <v>792</v>
      </c>
      <c r="X558" s="2" t="s">
        <v>273</v>
      </c>
      <c r="Y558" s="2" t="s">
        <v>3299</v>
      </c>
      <c r="Z558" s="4"/>
      <c r="AA558" s="4">
        <f>=ROUNDDOWN({0},0)</f>
      </c>
      <c r="AB558" s="5"/>
      <c r="AC558" s="2" t="s">
        <v>911</v>
      </c>
      <c r="AD558" s="4">
        <v>50</v>
      </c>
      <c r="AE558" s="4">
        <v>100</v>
      </c>
      <c r="AF558" s="6"/>
      <c r="AG558" s="6"/>
      <c r="AH558" s="7">
        <v>0</v>
      </c>
      <c r="AI558" s="4"/>
      <c r="AJ558" s="4">
        <f>=ROUNDDOWN({0},0)</f>
      </c>
      <c r="AK558" s="5"/>
      <c r="AL558" s="2" t="s">
        <v>231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231</v>
      </c>
      <c r="BD558" s="8" t="s">
        <v>231</v>
      </c>
      <c r="BE558" s="4" t="s">
        <v>231</v>
      </c>
      <c r="BF558" s="8" t="s">
        <v>231</v>
      </c>
      <c r="BG558" s="7" t="s">
        <v>231</v>
      </c>
      <c r="BH558" s="7" t="s">
        <v>231</v>
      </c>
      <c r="BI558" s="7"/>
      <c r="BJ558" s="4"/>
      <c r="BK558" s="8"/>
      <c r="BL558" s="2" t="s">
        <v>231</v>
      </c>
      <c r="BM558" s="7"/>
      <c r="BN558" s="7"/>
      <c r="BO558" s="4"/>
      <c r="BP558" s="8"/>
      <c r="BQ558" s="4"/>
      <c r="BR558" s="8"/>
      <c r="BS558" s="7"/>
      <c r="BT558" s="7"/>
      <c r="BU558" s="2" t="s">
        <v>241</v>
      </c>
      <c r="BV558" s="2" t="s">
        <v>231</v>
      </c>
      <c r="BW558" s="2" t="s">
        <v>231</v>
      </c>
      <c r="BX558" s="2" t="s">
        <v>241</v>
      </c>
      <c r="BY558" s="2" t="s">
        <v>242</v>
      </c>
      <c r="BZ558" s="2" t="s">
        <v>243</v>
      </c>
      <c r="CA558" s="2" t="s">
        <v>231</v>
      </c>
      <c r="CB558" s="2" t="s">
        <v>231</v>
      </c>
      <c r="CC558" s="2" t="s">
        <v>244</v>
      </c>
      <c r="CD558" s="2" t="s">
        <v>231</v>
      </c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>
        <v>50</v>
      </c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>
        <v>50</v>
      </c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</row>
    <row r="559">
      <c r="A559" s="2" t="s">
        <v>3300</v>
      </c>
      <c r="B559" s="2" t="s">
        <v>1004</v>
      </c>
      <c r="C559" s="2" t="s">
        <v>288</v>
      </c>
      <c r="D559" s="2" t="s">
        <v>1917</v>
      </c>
      <c r="E559" s="2" t="s">
        <v>1918</v>
      </c>
      <c r="F559" s="2" t="s">
        <v>3271</v>
      </c>
      <c r="G559" s="2" t="s">
        <v>3272</v>
      </c>
      <c r="H559" s="2" t="s">
        <v>3273</v>
      </c>
      <c r="I559" s="2" t="s">
        <v>3274</v>
      </c>
      <c r="J559" s="2" t="s">
        <v>807</v>
      </c>
      <c r="K559" s="2" t="s">
        <v>255</v>
      </c>
      <c r="L559" s="3">
        <v>379.26</v>
      </c>
      <c r="M559" s="3">
        <v>398.22</v>
      </c>
      <c r="N559" s="3">
        <v>799</v>
      </c>
      <c r="O559" s="2" t="s">
        <v>243</v>
      </c>
      <c r="P559" s="2" t="s">
        <v>1037</v>
      </c>
      <c r="Q559" s="2" t="s">
        <v>231</v>
      </c>
      <c r="R559" s="2" t="s">
        <v>231</v>
      </c>
      <c r="S559" s="2" t="s">
        <v>231</v>
      </c>
      <c r="T559" s="2" t="s">
        <v>231</v>
      </c>
      <c r="U559" s="2" t="s">
        <v>791</v>
      </c>
      <c r="V559" s="2" t="s">
        <v>662</v>
      </c>
      <c r="W559" s="2" t="s">
        <v>792</v>
      </c>
      <c r="X559" s="2" t="s">
        <v>231</v>
      </c>
      <c r="Y559" s="2" t="s">
        <v>1379</v>
      </c>
      <c r="Z559" s="4">
        <v>143</v>
      </c>
      <c r="AA559" s="4">
        <f>=ROUNDDOWN(71.5,0)</f>
      </c>
      <c r="AB559" s="5">
        <v>2</v>
      </c>
      <c r="AC559" s="2" t="s">
        <v>3277</v>
      </c>
      <c r="AD559" s="4">
        <v>60</v>
      </c>
      <c r="AE559" s="4">
        <v>124</v>
      </c>
      <c r="AF559" s="6"/>
      <c r="AG559" s="6"/>
      <c r="AH559" s="7">
        <v>1</v>
      </c>
      <c r="AI559" s="4"/>
      <c r="AJ559" s="4">
        <f>=ROUNDDOWN({0},0)</f>
      </c>
      <c r="AK559" s="5"/>
      <c r="AL559" s="2" t="s">
        <v>231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231</v>
      </c>
      <c r="BD559" s="8" t="s">
        <v>231</v>
      </c>
      <c r="BE559" s="4" t="s">
        <v>231</v>
      </c>
      <c r="BF559" s="8" t="s">
        <v>231</v>
      </c>
      <c r="BG559" s="7" t="s">
        <v>231</v>
      </c>
      <c r="BH559" s="7" t="s">
        <v>231</v>
      </c>
      <c r="BI559" s="7"/>
      <c r="BJ559" s="4">
        <v>10</v>
      </c>
      <c r="BK559" s="8">
        <v>3937.64</v>
      </c>
      <c r="BL559" s="2" t="s">
        <v>628</v>
      </c>
      <c r="BM559" s="7"/>
      <c r="BN559" s="7"/>
      <c r="BO559" s="4"/>
      <c r="BP559" s="8"/>
      <c r="BQ559" s="4"/>
      <c r="BR559" s="8"/>
      <c r="BS559" s="7"/>
      <c r="BT559" s="7"/>
      <c r="BU559" s="2" t="s">
        <v>3301</v>
      </c>
      <c r="BV559" s="2" t="s">
        <v>231</v>
      </c>
      <c r="BW559" s="2" t="s">
        <v>231</v>
      </c>
      <c r="BX559" s="2" t="s">
        <v>241</v>
      </c>
      <c r="BY559" s="2" t="s">
        <v>277</v>
      </c>
      <c r="BZ559" s="2" t="s">
        <v>243</v>
      </c>
      <c r="CA559" s="2" t="s">
        <v>3279</v>
      </c>
      <c r="CB559" s="2" t="s">
        <v>231</v>
      </c>
      <c r="CC559" s="2" t="s">
        <v>244</v>
      </c>
      <c r="CD559" s="2" t="s">
        <v>231</v>
      </c>
      <c r="CE559" s="4"/>
      <c r="CF559" s="4">
        <v>142</v>
      </c>
      <c r="CG559" s="4"/>
      <c r="CH559" s="4"/>
      <c r="CI559" s="4">
        <v>1</v>
      </c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>
        <v>60</v>
      </c>
      <c r="DD559" s="4"/>
      <c r="DE559" s="4"/>
      <c r="DF559" s="4"/>
      <c r="DG559" s="4"/>
      <c r="DH559" s="4"/>
      <c r="DI559" s="4"/>
      <c r="DJ559" s="4"/>
      <c r="DK559" s="4">
        <v>35</v>
      </c>
      <c r="DL559" s="4"/>
      <c r="DM559" s="4"/>
      <c r="DN559" s="4"/>
      <c r="DO559" s="4"/>
      <c r="DP559" s="4"/>
      <c r="DQ559" s="4"/>
      <c r="DR559" s="4"/>
      <c r="DS559" s="4"/>
      <c r="DT559" s="4"/>
      <c r="DU559" s="4">
        <v>29</v>
      </c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</row>
    <row r="560">
      <c r="A560" s="2" t="s">
        <v>3302</v>
      </c>
      <c r="B560" s="2" t="s">
        <v>226</v>
      </c>
      <c r="C560" s="2" t="s">
        <v>288</v>
      </c>
      <c r="D560" s="2" t="s">
        <v>228</v>
      </c>
      <c r="E560" s="2" t="s">
        <v>229</v>
      </c>
      <c r="F560" s="2" t="s">
        <v>3303</v>
      </c>
      <c r="G560" s="2" t="s">
        <v>3303</v>
      </c>
      <c r="H560" s="2" t="s">
        <v>3303</v>
      </c>
      <c r="I560" s="2" t="s">
        <v>229</v>
      </c>
      <c r="J560" s="2" t="s">
        <v>318</v>
      </c>
      <c r="K560" s="2" t="s">
        <v>269</v>
      </c>
      <c r="L560" s="3">
        <v>12.85</v>
      </c>
      <c r="M560" s="3">
        <v>13.49</v>
      </c>
      <c r="N560" s="3">
        <v>29.99</v>
      </c>
      <c r="O560" s="2" t="s">
        <v>243</v>
      </c>
      <c r="P560" s="2" t="s">
        <v>236</v>
      </c>
      <c r="Q560" s="2" t="s">
        <v>237</v>
      </c>
      <c r="R560" s="2" t="s">
        <v>231</v>
      </c>
      <c r="S560" s="2" t="s">
        <v>3304</v>
      </c>
      <c r="T560" s="2" t="s">
        <v>1630</v>
      </c>
      <c r="U560" s="2" t="s">
        <v>327</v>
      </c>
      <c r="V560" s="2" t="s">
        <v>987</v>
      </c>
      <c r="W560" s="2" t="s">
        <v>676</v>
      </c>
      <c r="X560" s="2" t="s">
        <v>792</v>
      </c>
      <c r="Y560" s="2" t="s">
        <v>3201</v>
      </c>
      <c r="Z560" s="4">
        <v>214</v>
      </c>
      <c r="AA560" s="4">
        <f>=ROUNDDOWN(21.4,0)</f>
      </c>
      <c r="AB560" s="5">
        <v>10</v>
      </c>
      <c r="AC560" s="2" t="s">
        <v>1664</v>
      </c>
      <c r="AD560" s="4">
        <v>100</v>
      </c>
      <c r="AE560" s="4">
        <v>200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231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231</v>
      </c>
      <c r="AW560" s="8" t="s">
        <v>231</v>
      </c>
      <c r="AX560" s="4" t="s">
        <v>231</v>
      </c>
      <c r="AY560" s="8" t="s">
        <v>231</v>
      </c>
      <c r="AZ560" s="7" t="s">
        <v>231</v>
      </c>
      <c r="BA560" s="7" t="s">
        <v>231</v>
      </c>
      <c r="BB560" s="7"/>
      <c r="BC560" s="4" t="s">
        <v>231</v>
      </c>
      <c r="BD560" s="8" t="s">
        <v>231</v>
      </c>
      <c r="BE560" s="4" t="s">
        <v>231</v>
      </c>
      <c r="BF560" s="8" t="s">
        <v>231</v>
      </c>
      <c r="BG560" s="7" t="s">
        <v>231</v>
      </c>
      <c r="BH560" s="7" t="s">
        <v>231</v>
      </c>
      <c r="BI560" s="7"/>
      <c r="BJ560" s="4">
        <v>17</v>
      </c>
      <c r="BK560" s="8">
        <v>249.37</v>
      </c>
      <c r="BL560" s="2" t="s">
        <v>3305</v>
      </c>
      <c r="BM560" s="7"/>
      <c r="BN560" s="7"/>
      <c r="BO560" s="4"/>
      <c r="BP560" s="8"/>
      <c r="BQ560" s="4"/>
      <c r="BR560" s="8"/>
      <c r="BS560" s="7"/>
      <c r="BT560" s="7"/>
      <c r="BU560" s="2" t="s">
        <v>3306</v>
      </c>
      <c r="BV560" s="2" t="s">
        <v>231</v>
      </c>
      <c r="BW560" s="2" t="s">
        <v>231</v>
      </c>
      <c r="BX560" s="2" t="s">
        <v>241</v>
      </c>
      <c r="BY560" s="2" t="s">
        <v>277</v>
      </c>
      <c r="BZ560" s="2" t="s">
        <v>243</v>
      </c>
      <c r="CA560" s="2" t="s">
        <v>3201</v>
      </c>
      <c r="CB560" s="2" t="s">
        <v>231</v>
      </c>
      <c r="CC560" s="2" t="s">
        <v>244</v>
      </c>
      <c r="CD560" s="2" t="s">
        <v>231</v>
      </c>
      <c r="CE560" s="4">
        <v>214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>
        <v>100</v>
      </c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>
        <v>100</v>
      </c>
      <c r="HF560" s="4"/>
      <c r="HG560" s="4"/>
      <c r="HH560" s="4"/>
      <c r="HI560" s="4"/>
      <c r="HJ560" s="4"/>
      <c r="HK560" s="4"/>
      <c r="HL560" s="4"/>
    </row>
    <row r="561">
      <c r="A561" s="2" t="s">
        <v>3307</v>
      </c>
      <c r="B561" s="2" t="s">
        <v>226</v>
      </c>
      <c r="C561" s="2" t="s">
        <v>288</v>
      </c>
      <c r="D561" s="2" t="s">
        <v>228</v>
      </c>
      <c r="E561" s="2" t="s">
        <v>229</v>
      </c>
      <c r="F561" s="2" t="s">
        <v>3303</v>
      </c>
      <c r="G561" s="2" t="s">
        <v>3303</v>
      </c>
      <c r="H561" s="2" t="s">
        <v>3303</v>
      </c>
      <c r="I561" s="2" t="s">
        <v>229</v>
      </c>
      <c r="J561" s="2" t="s">
        <v>658</v>
      </c>
      <c r="K561" s="2" t="s">
        <v>269</v>
      </c>
      <c r="L561" s="3">
        <v>16</v>
      </c>
      <c r="M561" s="3">
        <v>16.8</v>
      </c>
      <c r="N561" s="3">
        <v>34.99</v>
      </c>
      <c r="O561" s="2" t="s">
        <v>243</v>
      </c>
      <c r="P561" s="2" t="s">
        <v>236</v>
      </c>
      <c r="Q561" s="2" t="s">
        <v>237</v>
      </c>
      <c r="R561" s="2" t="s">
        <v>231</v>
      </c>
      <c r="S561" s="2" t="s">
        <v>3304</v>
      </c>
      <c r="T561" s="2" t="s">
        <v>1630</v>
      </c>
      <c r="U561" s="2" t="s">
        <v>327</v>
      </c>
      <c r="V561" s="2" t="s">
        <v>987</v>
      </c>
      <c r="W561" s="2" t="s">
        <v>676</v>
      </c>
      <c r="X561" s="2" t="s">
        <v>792</v>
      </c>
      <c r="Y561" s="2" t="s">
        <v>3308</v>
      </c>
      <c r="Z561" s="4">
        <v>252</v>
      </c>
      <c r="AA561" s="4">
        <f>=ROUNDDOWN(13.2631578947368,0)</f>
      </c>
      <c r="AB561" s="5">
        <v>19</v>
      </c>
      <c r="AC561" s="2" t="s">
        <v>1664</v>
      </c>
      <c r="AD561" s="4">
        <v>300</v>
      </c>
      <c r="AE561" s="4">
        <v>500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231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231</v>
      </c>
      <c r="AW561" s="8" t="s">
        <v>231</v>
      </c>
      <c r="AX561" s="4" t="s">
        <v>231</v>
      </c>
      <c r="AY561" s="8" t="s">
        <v>231</v>
      </c>
      <c r="AZ561" s="7" t="s">
        <v>231</v>
      </c>
      <c r="BA561" s="7" t="s">
        <v>231</v>
      </c>
      <c r="BB561" s="7"/>
      <c r="BC561" s="4" t="s">
        <v>231</v>
      </c>
      <c r="BD561" s="8" t="s">
        <v>231</v>
      </c>
      <c r="BE561" s="4" t="s">
        <v>231</v>
      </c>
      <c r="BF561" s="8" t="s">
        <v>231</v>
      </c>
      <c r="BG561" s="7" t="s">
        <v>231</v>
      </c>
      <c r="BH561" s="7" t="s">
        <v>231</v>
      </c>
      <c r="BI561" s="7"/>
      <c r="BJ561" s="4">
        <v>58</v>
      </c>
      <c r="BK561" s="8">
        <v>1059.36</v>
      </c>
      <c r="BL561" s="2" t="s">
        <v>3309</v>
      </c>
      <c r="BM561" s="7"/>
      <c r="BN561" s="7"/>
      <c r="BO561" s="4"/>
      <c r="BP561" s="8"/>
      <c r="BQ561" s="4"/>
      <c r="BR561" s="8"/>
      <c r="BS561" s="7"/>
      <c r="BT561" s="7"/>
      <c r="BU561" s="2" t="s">
        <v>3310</v>
      </c>
      <c r="BV561" s="2" t="s">
        <v>231</v>
      </c>
      <c r="BW561" s="2" t="s">
        <v>231</v>
      </c>
      <c r="BX561" s="2" t="s">
        <v>241</v>
      </c>
      <c r="BY561" s="2" t="s">
        <v>277</v>
      </c>
      <c r="BZ561" s="2" t="s">
        <v>243</v>
      </c>
      <c r="CA561" s="2" t="s">
        <v>3201</v>
      </c>
      <c r="CB561" s="2" t="s">
        <v>231</v>
      </c>
      <c r="CC561" s="2" t="s">
        <v>244</v>
      </c>
      <c r="CD561" s="2" t="s">
        <v>231</v>
      </c>
      <c r="CE561" s="4">
        <v>252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>
        <v>300</v>
      </c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>
        <v>200</v>
      </c>
      <c r="HF561" s="4"/>
      <c r="HG561" s="4"/>
      <c r="HH561" s="4"/>
      <c r="HI561" s="4"/>
      <c r="HJ561" s="4"/>
      <c r="HK561" s="4"/>
      <c r="HL561" s="4"/>
    </row>
    <row r="562">
      <c r="A562" s="2" t="s">
        <v>3311</v>
      </c>
      <c r="B562" s="2" t="s">
        <v>226</v>
      </c>
      <c r="C562" s="2" t="s">
        <v>288</v>
      </c>
      <c r="D562" s="2" t="s">
        <v>228</v>
      </c>
      <c r="E562" s="2" t="s">
        <v>229</v>
      </c>
      <c r="F562" s="2" t="s">
        <v>3303</v>
      </c>
      <c r="G562" s="2" t="s">
        <v>3303</v>
      </c>
      <c r="H562" s="2" t="s">
        <v>3303</v>
      </c>
      <c r="I562" s="2" t="s">
        <v>229</v>
      </c>
      <c r="J562" s="2" t="s">
        <v>302</v>
      </c>
      <c r="K562" s="2" t="s">
        <v>269</v>
      </c>
      <c r="L562" s="3">
        <v>18.28</v>
      </c>
      <c r="M562" s="3">
        <v>19.19</v>
      </c>
      <c r="N562" s="3">
        <v>39.99</v>
      </c>
      <c r="O562" s="2" t="s">
        <v>243</v>
      </c>
      <c r="P562" s="2" t="s">
        <v>236</v>
      </c>
      <c r="Q562" s="2" t="s">
        <v>237</v>
      </c>
      <c r="R562" s="2" t="s">
        <v>231</v>
      </c>
      <c r="S562" s="2" t="s">
        <v>3304</v>
      </c>
      <c r="T562" s="2" t="s">
        <v>1630</v>
      </c>
      <c r="U562" s="2" t="s">
        <v>327</v>
      </c>
      <c r="V562" s="2" t="s">
        <v>987</v>
      </c>
      <c r="W562" s="2" t="s">
        <v>676</v>
      </c>
      <c r="X562" s="2" t="s">
        <v>792</v>
      </c>
      <c r="Y562" s="2" t="s">
        <v>3201</v>
      </c>
      <c r="Z562" s="4">
        <v>212</v>
      </c>
      <c r="AA562" s="4">
        <f>=ROUNDDOWN(19.2727272727273,0)</f>
      </c>
      <c r="AB562" s="5">
        <v>11</v>
      </c>
      <c r="AC562" s="2" t="s">
        <v>1664</v>
      </c>
      <c r="AD562" s="4">
        <v>100</v>
      </c>
      <c r="AE562" s="4">
        <v>220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231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231</v>
      </c>
      <c r="AW562" s="8" t="s">
        <v>231</v>
      </c>
      <c r="AX562" s="4" t="s">
        <v>231</v>
      </c>
      <c r="AY562" s="8" t="s">
        <v>231</v>
      </c>
      <c r="AZ562" s="7" t="s">
        <v>231</v>
      </c>
      <c r="BA562" s="7" t="s">
        <v>231</v>
      </c>
      <c r="BB562" s="7"/>
      <c r="BC562" s="4" t="s">
        <v>231</v>
      </c>
      <c r="BD562" s="8" t="s">
        <v>231</v>
      </c>
      <c r="BE562" s="4" t="s">
        <v>231</v>
      </c>
      <c r="BF562" s="8" t="s">
        <v>231</v>
      </c>
      <c r="BG562" s="7" t="s">
        <v>231</v>
      </c>
      <c r="BH562" s="7" t="s">
        <v>231</v>
      </c>
      <c r="BI562" s="7"/>
      <c r="BJ562" s="4">
        <v>22</v>
      </c>
      <c r="BK562" s="8">
        <v>457.51</v>
      </c>
      <c r="BL562" s="2" t="s">
        <v>3312</v>
      </c>
      <c r="BM562" s="7"/>
      <c r="BN562" s="7"/>
      <c r="BO562" s="4"/>
      <c r="BP562" s="8"/>
      <c r="BQ562" s="4"/>
      <c r="BR562" s="8"/>
      <c r="BS562" s="7"/>
      <c r="BT562" s="7"/>
      <c r="BU562" s="2" t="s">
        <v>3313</v>
      </c>
      <c r="BV562" s="2" t="s">
        <v>231</v>
      </c>
      <c r="BW562" s="2" t="s">
        <v>231</v>
      </c>
      <c r="BX562" s="2" t="s">
        <v>241</v>
      </c>
      <c r="BY562" s="2" t="s">
        <v>277</v>
      </c>
      <c r="BZ562" s="2" t="s">
        <v>243</v>
      </c>
      <c r="CA562" s="2" t="s">
        <v>3201</v>
      </c>
      <c r="CB562" s="2" t="s">
        <v>231</v>
      </c>
      <c r="CC562" s="2" t="s">
        <v>244</v>
      </c>
      <c r="CD562" s="2" t="s">
        <v>231</v>
      </c>
      <c r="CE562" s="4">
        <v>212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>
        <v>100</v>
      </c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>
        <v>120</v>
      </c>
      <c r="HF562" s="4"/>
      <c r="HG562" s="4"/>
      <c r="HH562" s="4"/>
      <c r="HI562" s="4"/>
      <c r="HJ562" s="4"/>
      <c r="HK562" s="4"/>
      <c r="HL562" s="4"/>
    </row>
    <row r="563">
      <c r="A563" s="2" t="s">
        <v>3314</v>
      </c>
      <c r="B563" s="2" t="s">
        <v>226</v>
      </c>
      <c r="C563" s="2" t="s">
        <v>288</v>
      </c>
      <c r="D563" s="2" t="s">
        <v>228</v>
      </c>
      <c r="E563" s="2" t="s">
        <v>229</v>
      </c>
      <c r="F563" s="2" t="s">
        <v>3303</v>
      </c>
      <c r="G563" s="2" t="s">
        <v>3303</v>
      </c>
      <c r="H563" s="2" t="s">
        <v>3303</v>
      </c>
      <c r="I563" s="2" t="s">
        <v>229</v>
      </c>
      <c r="J563" s="2" t="s">
        <v>318</v>
      </c>
      <c r="K563" s="2" t="s">
        <v>901</v>
      </c>
      <c r="L563" s="3">
        <v>12.85</v>
      </c>
      <c r="M563" s="3">
        <v>13.49</v>
      </c>
      <c r="N563" s="3">
        <v>29.99</v>
      </c>
      <c r="O563" s="2" t="s">
        <v>243</v>
      </c>
      <c r="P563" s="2" t="s">
        <v>236</v>
      </c>
      <c r="Q563" s="2" t="s">
        <v>237</v>
      </c>
      <c r="R563" s="2" t="s">
        <v>231</v>
      </c>
      <c r="S563" s="2" t="s">
        <v>3315</v>
      </c>
      <c r="T563" s="2" t="s">
        <v>1630</v>
      </c>
      <c r="U563" s="2" t="s">
        <v>327</v>
      </c>
      <c r="V563" s="2" t="s">
        <v>987</v>
      </c>
      <c r="W563" s="2" t="s">
        <v>676</v>
      </c>
      <c r="X563" s="2" t="s">
        <v>792</v>
      </c>
      <c r="Y563" s="2" t="s">
        <v>3308</v>
      </c>
      <c r="Z563" s="4">
        <v>226</v>
      </c>
      <c r="AA563" s="4">
        <f>=ROUNDDOWN(322.857142857143,0)</f>
      </c>
      <c r="AB563" s="5">
        <v>0.7</v>
      </c>
      <c r="AC563" s="2" t="s">
        <v>231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231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231</v>
      </c>
      <c r="AW563" s="8" t="s">
        <v>231</v>
      </c>
      <c r="AX563" s="4" t="s">
        <v>231</v>
      </c>
      <c r="AY563" s="8" t="s">
        <v>231</v>
      </c>
      <c r="AZ563" s="7" t="s">
        <v>231</v>
      </c>
      <c r="BA563" s="7" t="s">
        <v>231</v>
      </c>
      <c r="BB563" s="7"/>
      <c r="BC563" s="4" t="s">
        <v>231</v>
      </c>
      <c r="BD563" s="8" t="s">
        <v>231</v>
      </c>
      <c r="BE563" s="4" t="s">
        <v>231</v>
      </c>
      <c r="BF563" s="8" t="s">
        <v>231</v>
      </c>
      <c r="BG563" s="7" t="s">
        <v>231</v>
      </c>
      <c r="BH563" s="7" t="s">
        <v>231</v>
      </c>
      <c r="BI563" s="7"/>
      <c r="BJ563" s="4">
        <v>7</v>
      </c>
      <c r="BK563" s="8">
        <v>102.62</v>
      </c>
      <c r="BL563" s="2" t="s">
        <v>374</v>
      </c>
      <c r="BM563" s="7"/>
      <c r="BN563" s="7"/>
      <c r="BO563" s="4"/>
      <c r="BP563" s="8"/>
      <c r="BQ563" s="4"/>
      <c r="BR563" s="8"/>
      <c r="BS563" s="7"/>
      <c r="BT563" s="7"/>
      <c r="BU563" s="2" t="s">
        <v>3316</v>
      </c>
      <c r="BV563" s="2" t="s">
        <v>231</v>
      </c>
      <c r="BW563" s="2" t="s">
        <v>231</v>
      </c>
      <c r="BX563" s="2" t="s">
        <v>241</v>
      </c>
      <c r="BY563" s="2" t="s">
        <v>277</v>
      </c>
      <c r="BZ563" s="2" t="s">
        <v>243</v>
      </c>
      <c r="CA563" s="2" t="s">
        <v>3201</v>
      </c>
      <c r="CB563" s="2" t="s">
        <v>231</v>
      </c>
      <c r="CC563" s="2" t="s">
        <v>244</v>
      </c>
      <c r="CD563" s="2" t="s">
        <v>231</v>
      </c>
      <c r="CE563" s="4">
        <v>226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</row>
    <row r="564">
      <c r="A564" s="2" t="s">
        <v>3317</v>
      </c>
      <c r="B564" s="2" t="s">
        <v>226</v>
      </c>
      <c r="C564" s="2" t="s">
        <v>288</v>
      </c>
      <c r="D564" s="2" t="s">
        <v>228</v>
      </c>
      <c r="E564" s="2" t="s">
        <v>229</v>
      </c>
      <c r="F564" s="2" t="s">
        <v>3303</v>
      </c>
      <c r="G564" s="2" t="s">
        <v>3303</v>
      </c>
      <c r="H564" s="2" t="s">
        <v>3303</v>
      </c>
      <c r="I564" s="2" t="s">
        <v>229</v>
      </c>
      <c r="J564" s="2" t="s">
        <v>302</v>
      </c>
      <c r="K564" s="2" t="s">
        <v>901</v>
      </c>
      <c r="L564" s="3">
        <v>18.28</v>
      </c>
      <c r="M564" s="3">
        <v>19.19</v>
      </c>
      <c r="N564" s="3">
        <v>39.99</v>
      </c>
      <c r="O564" s="2" t="s">
        <v>243</v>
      </c>
      <c r="P564" s="2" t="s">
        <v>236</v>
      </c>
      <c r="Q564" s="2" t="s">
        <v>237</v>
      </c>
      <c r="R564" s="2" t="s">
        <v>231</v>
      </c>
      <c r="S564" s="2" t="s">
        <v>3315</v>
      </c>
      <c r="T564" s="2" t="s">
        <v>1630</v>
      </c>
      <c r="U564" s="2" t="s">
        <v>327</v>
      </c>
      <c r="V564" s="2" t="s">
        <v>987</v>
      </c>
      <c r="W564" s="2" t="s">
        <v>676</v>
      </c>
      <c r="X564" s="2" t="s">
        <v>792</v>
      </c>
      <c r="Y564" s="2" t="s">
        <v>3308</v>
      </c>
      <c r="Z564" s="4">
        <v>271</v>
      </c>
      <c r="AA564" s="4">
        <f>=ROUNDDOWN(45.1666666666667,0)</f>
      </c>
      <c r="AB564" s="5">
        <v>6</v>
      </c>
      <c r="AC564" s="2" t="s">
        <v>231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231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231</v>
      </c>
      <c r="AW564" s="8" t="s">
        <v>231</v>
      </c>
      <c r="AX564" s="4" t="s">
        <v>231</v>
      </c>
      <c r="AY564" s="8" t="s">
        <v>231</v>
      </c>
      <c r="AZ564" s="7" t="s">
        <v>231</v>
      </c>
      <c r="BA564" s="7" t="s">
        <v>231</v>
      </c>
      <c r="BB564" s="7"/>
      <c r="BC564" s="4" t="s">
        <v>231</v>
      </c>
      <c r="BD564" s="8" t="s">
        <v>231</v>
      </c>
      <c r="BE564" s="4" t="s">
        <v>231</v>
      </c>
      <c r="BF564" s="8" t="s">
        <v>231</v>
      </c>
      <c r="BG564" s="7" t="s">
        <v>231</v>
      </c>
      <c r="BH564" s="7" t="s">
        <v>231</v>
      </c>
      <c r="BI564" s="7"/>
      <c r="BJ564" s="4">
        <v>6</v>
      </c>
      <c r="BK564" s="8">
        <v>125.83</v>
      </c>
      <c r="BL564" s="2" t="s">
        <v>374</v>
      </c>
      <c r="BM564" s="7"/>
      <c r="BN564" s="7"/>
      <c r="BO564" s="4"/>
      <c r="BP564" s="8"/>
      <c r="BQ564" s="4"/>
      <c r="BR564" s="8"/>
      <c r="BS564" s="7"/>
      <c r="BT564" s="7"/>
      <c r="BU564" s="2" t="s">
        <v>3318</v>
      </c>
      <c r="BV564" s="2" t="s">
        <v>231</v>
      </c>
      <c r="BW564" s="2" t="s">
        <v>231</v>
      </c>
      <c r="BX564" s="2" t="s">
        <v>241</v>
      </c>
      <c r="BY564" s="2" t="s">
        <v>277</v>
      </c>
      <c r="BZ564" s="2" t="s">
        <v>243</v>
      </c>
      <c r="CA564" s="2" t="s">
        <v>3201</v>
      </c>
      <c r="CB564" s="2" t="s">
        <v>231</v>
      </c>
      <c r="CC564" s="2" t="s">
        <v>244</v>
      </c>
      <c r="CD564" s="2" t="s">
        <v>231</v>
      </c>
      <c r="CE564" s="4">
        <v>271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</row>
    <row r="565">
      <c r="A565" s="2" t="s">
        <v>3319</v>
      </c>
      <c r="B565" s="2" t="s">
        <v>226</v>
      </c>
      <c r="C565" s="2" t="s">
        <v>288</v>
      </c>
      <c r="D565" s="2" t="s">
        <v>228</v>
      </c>
      <c r="E565" s="2" t="s">
        <v>229</v>
      </c>
      <c r="F565" s="2" t="s">
        <v>3303</v>
      </c>
      <c r="G565" s="2" t="s">
        <v>3303</v>
      </c>
      <c r="H565" s="2" t="s">
        <v>3303</v>
      </c>
      <c r="I565" s="2" t="s">
        <v>229</v>
      </c>
      <c r="J565" s="2" t="s">
        <v>318</v>
      </c>
      <c r="K565" s="2" t="s">
        <v>253</v>
      </c>
      <c r="L565" s="3">
        <v>12.85</v>
      </c>
      <c r="M565" s="3">
        <v>13.49</v>
      </c>
      <c r="N565" s="3">
        <v>29.99</v>
      </c>
      <c r="O565" s="2" t="s">
        <v>243</v>
      </c>
      <c r="P565" s="2" t="s">
        <v>236</v>
      </c>
      <c r="Q565" s="2" t="s">
        <v>237</v>
      </c>
      <c r="R565" s="2" t="s">
        <v>231</v>
      </c>
      <c r="S565" s="2" t="s">
        <v>3320</v>
      </c>
      <c r="T565" s="2" t="s">
        <v>1630</v>
      </c>
      <c r="U565" s="2" t="s">
        <v>327</v>
      </c>
      <c r="V565" s="2" t="s">
        <v>987</v>
      </c>
      <c r="W565" s="2" t="s">
        <v>676</v>
      </c>
      <c r="X565" s="2" t="s">
        <v>792</v>
      </c>
      <c r="Y565" s="2" t="s">
        <v>3201</v>
      </c>
      <c r="Z565" s="4">
        <v>215</v>
      </c>
      <c r="AA565" s="4">
        <f>=ROUNDDOWN(30.7142857142857,0)</f>
      </c>
      <c r="AB565" s="5">
        <v>7</v>
      </c>
      <c r="AC565" s="2" t="s">
        <v>1664</v>
      </c>
      <c r="AD565" s="4">
        <v>50</v>
      </c>
      <c r="AE565" s="4">
        <v>80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231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231</v>
      </c>
      <c r="AW565" s="8" t="s">
        <v>231</v>
      </c>
      <c r="AX565" s="4" t="s">
        <v>231</v>
      </c>
      <c r="AY565" s="8" t="s">
        <v>231</v>
      </c>
      <c r="AZ565" s="7" t="s">
        <v>231</v>
      </c>
      <c r="BA565" s="7" t="s">
        <v>231</v>
      </c>
      <c r="BB565" s="7"/>
      <c r="BC565" s="4" t="s">
        <v>231</v>
      </c>
      <c r="BD565" s="8" t="s">
        <v>231</v>
      </c>
      <c r="BE565" s="4" t="s">
        <v>231</v>
      </c>
      <c r="BF565" s="8" t="s">
        <v>231</v>
      </c>
      <c r="BG565" s="7" t="s">
        <v>231</v>
      </c>
      <c r="BH565" s="7" t="s">
        <v>231</v>
      </c>
      <c r="BI565" s="7"/>
      <c r="BJ565" s="4">
        <v>22</v>
      </c>
      <c r="BK565" s="8">
        <v>322.03</v>
      </c>
      <c r="BL565" s="2" t="s">
        <v>3312</v>
      </c>
      <c r="BM565" s="7"/>
      <c r="BN565" s="7"/>
      <c r="BO565" s="4"/>
      <c r="BP565" s="8"/>
      <c r="BQ565" s="4"/>
      <c r="BR565" s="8"/>
      <c r="BS565" s="7"/>
      <c r="BT565" s="7"/>
      <c r="BU565" s="2" t="s">
        <v>3321</v>
      </c>
      <c r="BV565" s="2" t="s">
        <v>231</v>
      </c>
      <c r="BW565" s="2" t="s">
        <v>231</v>
      </c>
      <c r="BX565" s="2" t="s">
        <v>241</v>
      </c>
      <c r="BY565" s="2" t="s">
        <v>277</v>
      </c>
      <c r="BZ565" s="2" t="s">
        <v>243</v>
      </c>
      <c r="CA565" s="2" t="s">
        <v>3201</v>
      </c>
      <c r="CB565" s="2" t="s">
        <v>231</v>
      </c>
      <c r="CC565" s="2" t="s">
        <v>244</v>
      </c>
      <c r="CD565" s="2" t="s">
        <v>231</v>
      </c>
      <c r="CE565" s="4">
        <v>215</v>
      </c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>
        <v>50</v>
      </c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>
        <v>30</v>
      </c>
      <c r="HF565" s="4"/>
      <c r="HG565" s="4"/>
      <c r="HH565" s="4"/>
      <c r="HI565" s="4"/>
      <c r="HJ565" s="4"/>
      <c r="HK565" s="4"/>
      <c r="HL565" s="4"/>
    </row>
    <row r="566">
      <c r="A566" s="2" t="s">
        <v>3322</v>
      </c>
      <c r="B566" s="2" t="s">
        <v>226</v>
      </c>
      <c r="C566" s="2" t="s">
        <v>288</v>
      </c>
      <c r="D566" s="2" t="s">
        <v>228</v>
      </c>
      <c r="E566" s="2" t="s">
        <v>229</v>
      </c>
      <c r="F566" s="2" t="s">
        <v>3303</v>
      </c>
      <c r="G566" s="2" t="s">
        <v>3303</v>
      </c>
      <c r="H566" s="2" t="s">
        <v>3303</v>
      </c>
      <c r="I566" s="2" t="s">
        <v>229</v>
      </c>
      <c r="J566" s="2" t="s">
        <v>658</v>
      </c>
      <c r="K566" s="2" t="s">
        <v>253</v>
      </c>
      <c r="L566" s="3">
        <v>16</v>
      </c>
      <c r="M566" s="3">
        <v>16.8</v>
      </c>
      <c r="N566" s="3">
        <v>34.99</v>
      </c>
      <c r="O566" s="2" t="s">
        <v>243</v>
      </c>
      <c r="P566" s="2" t="s">
        <v>236</v>
      </c>
      <c r="Q566" s="2" t="s">
        <v>237</v>
      </c>
      <c r="R566" s="2" t="s">
        <v>231</v>
      </c>
      <c r="S566" s="2" t="s">
        <v>3320</v>
      </c>
      <c r="T566" s="2" t="s">
        <v>1630</v>
      </c>
      <c r="U566" s="2" t="s">
        <v>327</v>
      </c>
      <c r="V566" s="2" t="s">
        <v>987</v>
      </c>
      <c r="W566" s="2" t="s">
        <v>676</v>
      </c>
      <c r="X566" s="2" t="s">
        <v>792</v>
      </c>
      <c r="Y566" s="2" t="s">
        <v>3201</v>
      </c>
      <c r="Z566" s="4">
        <v>220</v>
      </c>
      <c r="AA566" s="4">
        <f>=ROUNDDOWN(15.7142857142857,0)</f>
      </c>
      <c r="AB566" s="5">
        <v>14</v>
      </c>
      <c r="AC566" s="2" t="s">
        <v>1664</v>
      </c>
      <c r="AD566" s="4">
        <v>300</v>
      </c>
      <c r="AE566" s="4">
        <v>500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231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231</v>
      </c>
      <c r="AW566" s="8" t="s">
        <v>231</v>
      </c>
      <c r="AX566" s="4" t="s">
        <v>231</v>
      </c>
      <c r="AY566" s="8" t="s">
        <v>231</v>
      </c>
      <c r="AZ566" s="7" t="s">
        <v>231</v>
      </c>
      <c r="BA566" s="7" t="s">
        <v>231</v>
      </c>
      <c r="BB566" s="7"/>
      <c r="BC566" s="4" t="s">
        <v>231</v>
      </c>
      <c r="BD566" s="8" t="s">
        <v>231</v>
      </c>
      <c r="BE566" s="4" t="s">
        <v>231</v>
      </c>
      <c r="BF566" s="8" t="s">
        <v>231</v>
      </c>
      <c r="BG566" s="7" t="s">
        <v>231</v>
      </c>
      <c r="BH566" s="7" t="s">
        <v>231</v>
      </c>
      <c r="BI566" s="7"/>
      <c r="BJ566" s="4">
        <v>53</v>
      </c>
      <c r="BK566" s="8">
        <v>966.42</v>
      </c>
      <c r="BL566" s="2" t="s">
        <v>3312</v>
      </c>
      <c r="BM566" s="7"/>
      <c r="BN566" s="7"/>
      <c r="BO566" s="4"/>
      <c r="BP566" s="8"/>
      <c r="BQ566" s="4"/>
      <c r="BR566" s="8"/>
      <c r="BS566" s="7"/>
      <c r="BT566" s="7"/>
      <c r="BU566" s="2" t="s">
        <v>3323</v>
      </c>
      <c r="BV566" s="2" t="s">
        <v>231</v>
      </c>
      <c r="BW566" s="2" t="s">
        <v>231</v>
      </c>
      <c r="BX566" s="2" t="s">
        <v>241</v>
      </c>
      <c r="BY566" s="2" t="s">
        <v>277</v>
      </c>
      <c r="BZ566" s="2" t="s">
        <v>243</v>
      </c>
      <c r="CA566" s="2" t="s">
        <v>3201</v>
      </c>
      <c r="CB566" s="2" t="s">
        <v>231</v>
      </c>
      <c r="CC566" s="2" t="s">
        <v>244</v>
      </c>
      <c r="CD566" s="2" t="s">
        <v>231</v>
      </c>
      <c r="CE566" s="4">
        <v>220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>
        <v>300</v>
      </c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>
        <v>200</v>
      </c>
      <c r="HF566" s="4"/>
      <c r="HG566" s="4"/>
      <c r="HH566" s="4"/>
      <c r="HI566" s="4"/>
      <c r="HJ566" s="4"/>
      <c r="HK566" s="4"/>
      <c r="HL566" s="4"/>
    </row>
    <row r="567">
      <c r="A567" s="2" t="s">
        <v>3324</v>
      </c>
      <c r="B567" s="2" t="s">
        <v>226</v>
      </c>
      <c r="C567" s="2" t="s">
        <v>288</v>
      </c>
      <c r="D567" s="2" t="s">
        <v>228</v>
      </c>
      <c r="E567" s="2" t="s">
        <v>229</v>
      </c>
      <c r="F567" s="2" t="s">
        <v>3303</v>
      </c>
      <c r="G567" s="2" t="s">
        <v>3303</v>
      </c>
      <c r="H567" s="2" t="s">
        <v>3303</v>
      </c>
      <c r="I567" s="2" t="s">
        <v>229</v>
      </c>
      <c r="J567" s="2" t="s">
        <v>318</v>
      </c>
      <c r="K567" s="2" t="s">
        <v>1513</v>
      </c>
      <c r="L567" s="3">
        <v>12.85</v>
      </c>
      <c r="M567" s="3">
        <v>13.49</v>
      </c>
      <c r="N567" s="3">
        <v>29.99</v>
      </c>
      <c r="O567" s="2" t="s">
        <v>243</v>
      </c>
      <c r="P567" s="2" t="s">
        <v>236</v>
      </c>
      <c r="Q567" s="2" t="s">
        <v>237</v>
      </c>
      <c r="R567" s="2" t="s">
        <v>231</v>
      </c>
      <c r="S567" s="2" t="s">
        <v>3325</v>
      </c>
      <c r="T567" s="2" t="s">
        <v>1630</v>
      </c>
      <c r="U567" s="2" t="s">
        <v>327</v>
      </c>
      <c r="V567" s="2" t="s">
        <v>987</v>
      </c>
      <c r="W567" s="2" t="s">
        <v>676</v>
      </c>
      <c r="X567" s="2" t="s">
        <v>792</v>
      </c>
      <c r="Y567" s="2" t="s">
        <v>3201</v>
      </c>
      <c r="Z567" s="4">
        <v>233</v>
      </c>
      <c r="AA567" s="4">
        <f>=ROUNDDOWN(38.8333333333333,0)</f>
      </c>
      <c r="AB567" s="5">
        <v>6</v>
      </c>
      <c r="AC567" s="2" t="s">
        <v>231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231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231</v>
      </c>
      <c r="AW567" s="8" t="s">
        <v>231</v>
      </c>
      <c r="AX567" s="4" t="s">
        <v>231</v>
      </c>
      <c r="AY567" s="8" t="s">
        <v>231</v>
      </c>
      <c r="AZ567" s="7" t="s">
        <v>231</v>
      </c>
      <c r="BA567" s="7" t="s">
        <v>231</v>
      </c>
      <c r="BB567" s="7"/>
      <c r="BC567" s="4" t="s">
        <v>231</v>
      </c>
      <c r="BD567" s="8" t="s">
        <v>231</v>
      </c>
      <c r="BE567" s="4" t="s">
        <v>231</v>
      </c>
      <c r="BF567" s="8" t="s">
        <v>231</v>
      </c>
      <c r="BG567" s="7" t="s">
        <v>231</v>
      </c>
      <c r="BH567" s="7" t="s">
        <v>231</v>
      </c>
      <c r="BI567" s="7"/>
      <c r="BJ567" s="4">
        <v>6</v>
      </c>
      <c r="BK567" s="8">
        <v>87.84</v>
      </c>
      <c r="BL567" s="2" t="s">
        <v>374</v>
      </c>
      <c r="BM567" s="7"/>
      <c r="BN567" s="7"/>
      <c r="BO567" s="4"/>
      <c r="BP567" s="8"/>
      <c r="BQ567" s="4"/>
      <c r="BR567" s="8"/>
      <c r="BS567" s="7"/>
      <c r="BT567" s="7"/>
      <c r="BU567" s="2" t="s">
        <v>3326</v>
      </c>
      <c r="BV567" s="2" t="s">
        <v>231</v>
      </c>
      <c r="BW567" s="2" t="s">
        <v>231</v>
      </c>
      <c r="BX567" s="2" t="s">
        <v>241</v>
      </c>
      <c r="BY567" s="2" t="s">
        <v>277</v>
      </c>
      <c r="BZ567" s="2" t="s">
        <v>243</v>
      </c>
      <c r="CA567" s="2" t="s">
        <v>3201</v>
      </c>
      <c r="CB567" s="2" t="s">
        <v>231</v>
      </c>
      <c r="CC567" s="2" t="s">
        <v>244</v>
      </c>
      <c r="CD567" s="2" t="s">
        <v>231</v>
      </c>
      <c r="CE567" s="4">
        <v>233</v>
      </c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</row>
    <row r="568">
      <c r="A568" s="2" t="s">
        <v>3327</v>
      </c>
      <c r="B568" s="2" t="s">
        <v>226</v>
      </c>
      <c r="C568" s="2" t="s">
        <v>288</v>
      </c>
      <c r="D568" s="2" t="s">
        <v>228</v>
      </c>
      <c r="E568" s="2" t="s">
        <v>229</v>
      </c>
      <c r="F568" s="2" t="s">
        <v>3303</v>
      </c>
      <c r="G568" s="2" t="s">
        <v>3303</v>
      </c>
      <c r="H568" s="2" t="s">
        <v>3303</v>
      </c>
      <c r="I568" s="2" t="s">
        <v>229</v>
      </c>
      <c r="J568" s="2" t="s">
        <v>658</v>
      </c>
      <c r="K568" s="2" t="s">
        <v>1513</v>
      </c>
      <c r="L568" s="3">
        <v>16</v>
      </c>
      <c r="M568" s="3">
        <v>16.8</v>
      </c>
      <c r="N568" s="3">
        <v>34.99</v>
      </c>
      <c r="O568" s="2" t="s">
        <v>243</v>
      </c>
      <c r="P568" s="2" t="s">
        <v>236</v>
      </c>
      <c r="Q568" s="2" t="s">
        <v>237</v>
      </c>
      <c r="R568" s="2" t="s">
        <v>231</v>
      </c>
      <c r="S568" s="2" t="s">
        <v>3325</v>
      </c>
      <c r="T568" s="2" t="s">
        <v>1630</v>
      </c>
      <c r="U568" s="2" t="s">
        <v>327</v>
      </c>
      <c r="V568" s="2" t="s">
        <v>987</v>
      </c>
      <c r="W568" s="2" t="s">
        <v>676</v>
      </c>
      <c r="X568" s="2" t="s">
        <v>792</v>
      </c>
      <c r="Y568" s="2" t="s">
        <v>3308</v>
      </c>
      <c r="Z568" s="4">
        <v>342</v>
      </c>
      <c r="AA568" s="4">
        <f>=ROUNDDOWN(48.8571428571429,0)</f>
      </c>
      <c r="AB568" s="5">
        <v>7</v>
      </c>
      <c r="AC568" s="2" t="s">
        <v>231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231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231</v>
      </c>
      <c r="AW568" s="8" t="s">
        <v>231</v>
      </c>
      <c r="AX568" s="4" t="s">
        <v>231</v>
      </c>
      <c r="AY568" s="8" t="s">
        <v>231</v>
      </c>
      <c r="AZ568" s="7" t="s">
        <v>231</v>
      </c>
      <c r="BA568" s="7" t="s">
        <v>231</v>
      </c>
      <c r="BB568" s="7"/>
      <c r="BC568" s="4" t="s">
        <v>231</v>
      </c>
      <c r="BD568" s="8" t="s">
        <v>231</v>
      </c>
      <c r="BE568" s="4" t="s">
        <v>231</v>
      </c>
      <c r="BF568" s="8" t="s">
        <v>231</v>
      </c>
      <c r="BG568" s="7" t="s">
        <v>231</v>
      </c>
      <c r="BH568" s="7" t="s">
        <v>231</v>
      </c>
      <c r="BI568" s="7"/>
      <c r="BJ568" s="4">
        <v>14</v>
      </c>
      <c r="BK568" s="8">
        <v>256.3</v>
      </c>
      <c r="BL568" s="2" t="s">
        <v>3305</v>
      </c>
      <c r="BM568" s="7"/>
      <c r="BN568" s="7"/>
      <c r="BO568" s="4"/>
      <c r="BP568" s="8"/>
      <c r="BQ568" s="4"/>
      <c r="BR568" s="8"/>
      <c r="BS568" s="7"/>
      <c r="BT568" s="7"/>
      <c r="BU568" s="2" t="s">
        <v>3328</v>
      </c>
      <c r="BV568" s="2" t="s">
        <v>231</v>
      </c>
      <c r="BW568" s="2" t="s">
        <v>231</v>
      </c>
      <c r="BX568" s="2" t="s">
        <v>241</v>
      </c>
      <c r="BY568" s="2" t="s">
        <v>277</v>
      </c>
      <c r="BZ568" s="2" t="s">
        <v>243</v>
      </c>
      <c r="CA568" s="2" t="s">
        <v>3201</v>
      </c>
      <c r="CB568" s="2" t="s">
        <v>231</v>
      </c>
      <c r="CC568" s="2" t="s">
        <v>244</v>
      </c>
      <c r="CD568" s="2" t="s">
        <v>231</v>
      </c>
      <c r="CE568" s="4">
        <v>342</v>
      </c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</row>
    <row r="569">
      <c r="A569" s="2" t="s">
        <v>3329</v>
      </c>
      <c r="B569" s="2" t="s">
        <v>226</v>
      </c>
      <c r="C569" s="2" t="s">
        <v>288</v>
      </c>
      <c r="D569" s="2" t="s">
        <v>228</v>
      </c>
      <c r="E569" s="2" t="s">
        <v>229</v>
      </c>
      <c r="F569" s="2" t="s">
        <v>3303</v>
      </c>
      <c r="G569" s="2" t="s">
        <v>3303</v>
      </c>
      <c r="H569" s="2" t="s">
        <v>3303</v>
      </c>
      <c r="I569" s="2" t="s">
        <v>229</v>
      </c>
      <c r="J569" s="2" t="s">
        <v>302</v>
      </c>
      <c r="K569" s="2" t="s">
        <v>1513</v>
      </c>
      <c r="L569" s="3">
        <v>18.28</v>
      </c>
      <c r="M569" s="3">
        <v>19.19</v>
      </c>
      <c r="N569" s="3">
        <v>39.99</v>
      </c>
      <c r="O569" s="2" t="s">
        <v>243</v>
      </c>
      <c r="P569" s="2" t="s">
        <v>236</v>
      </c>
      <c r="Q569" s="2" t="s">
        <v>237</v>
      </c>
      <c r="R569" s="2" t="s">
        <v>231</v>
      </c>
      <c r="S569" s="2" t="s">
        <v>3325</v>
      </c>
      <c r="T569" s="2" t="s">
        <v>1630</v>
      </c>
      <c r="U569" s="2" t="s">
        <v>327</v>
      </c>
      <c r="V569" s="2" t="s">
        <v>987</v>
      </c>
      <c r="W569" s="2" t="s">
        <v>676</v>
      </c>
      <c r="X569" s="2" t="s">
        <v>792</v>
      </c>
      <c r="Y569" s="2" t="s">
        <v>3201</v>
      </c>
      <c r="Z569" s="4">
        <v>177</v>
      </c>
      <c r="AA569" s="4">
        <f>=ROUNDDOWN(29.5,0)</f>
      </c>
      <c r="AB569" s="5">
        <v>6</v>
      </c>
      <c r="AC569" s="2" t="s">
        <v>231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231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231</v>
      </c>
      <c r="AW569" s="8" t="s">
        <v>231</v>
      </c>
      <c r="AX569" s="4" t="s">
        <v>231</v>
      </c>
      <c r="AY569" s="8" t="s">
        <v>231</v>
      </c>
      <c r="AZ569" s="7" t="s">
        <v>231</v>
      </c>
      <c r="BA569" s="7" t="s">
        <v>231</v>
      </c>
      <c r="BB569" s="7"/>
      <c r="BC569" s="4" t="s">
        <v>231</v>
      </c>
      <c r="BD569" s="8" t="s">
        <v>231</v>
      </c>
      <c r="BE569" s="4" t="s">
        <v>231</v>
      </c>
      <c r="BF569" s="8" t="s">
        <v>231</v>
      </c>
      <c r="BG569" s="7" t="s">
        <v>231</v>
      </c>
      <c r="BH569" s="7" t="s">
        <v>231</v>
      </c>
      <c r="BI569" s="7"/>
      <c r="BJ569" s="4">
        <v>16</v>
      </c>
      <c r="BK569" s="8">
        <v>335.16</v>
      </c>
      <c r="BL569" s="2" t="s">
        <v>3305</v>
      </c>
      <c r="BM569" s="7"/>
      <c r="BN569" s="7"/>
      <c r="BO569" s="4"/>
      <c r="BP569" s="8"/>
      <c r="BQ569" s="4"/>
      <c r="BR569" s="8"/>
      <c r="BS569" s="7"/>
      <c r="BT569" s="7"/>
      <c r="BU569" s="2" t="s">
        <v>3330</v>
      </c>
      <c r="BV569" s="2" t="s">
        <v>231</v>
      </c>
      <c r="BW569" s="2" t="s">
        <v>231</v>
      </c>
      <c r="BX569" s="2" t="s">
        <v>241</v>
      </c>
      <c r="BY569" s="2" t="s">
        <v>277</v>
      </c>
      <c r="BZ569" s="2" t="s">
        <v>243</v>
      </c>
      <c r="CA569" s="2" t="s">
        <v>3201</v>
      </c>
      <c r="CB569" s="2" t="s">
        <v>231</v>
      </c>
      <c r="CC569" s="2" t="s">
        <v>244</v>
      </c>
      <c r="CD569" s="2" t="s">
        <v>231</v>
      </c>
      <c r="CE569" s="4">
        <v>177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</row>
    <row r="570">
      <c r="A570" s="2" t="s">
        <v>3331</v>
      </c>
      <c r="B570" s="2" t="s">
        <v>847</v>
      </c>
      <c r="C570" s="2" t="s">
        <v>288</v>
      </c>
      <c r="D570" s="2" t="s">
        <v>882</v>
      </c>
      <c r="E570" s="2" t="s">
        <v>2623</v>
      </c>
      <c r="F570" s="2" t="s">
        <v>3332</v>
      </c>
      <c r="G570" s="2" t="s">
        <v>3332</v>
      </c>
      <c r="H570" s="2" t="s">
        <v>3332</v>
      </c>
      <c r="I570" s="2" t="s">
        <v>3333</v>
      </c>
      <c r="J570" s="2" t="s">
        <v>807</v>
      </c>
      <c r="K570" s="2" t="s">
        <v>3221</v>
      </c>
      <c r="L570" s="3">
        <v>21.85</v>
      </c>
      <c r="M570" s="3">
        <v>22.94</v>
      </c>
      <c r="N570" s="3">
        <v>50.99</v>
      </c>
      <c r="O570" s="2" t="s">
        <v>243</v>
      </c>
      <c r="P570" s="2" t="s">
        <v>341</v>
      </c>
      <c r="Q570" s="2" t="s">
        <v>237</v>
      </c>
      <c r="R570" s="2" t="s">
        <v>231</v>
      </c>
      <c r="S570" s="2" t="s">
        <v>3334</v>
      </c>
      <c r="T570" s="2" t="s">
        <v>231</v>
      </c>
      <c r="U570" s="2" t="s">
        <v>791</v>
      </c>
      <c r="V570" s="2" t="s">
        <v>1192</v>
      </c>
      <c r="W570" s="2" t="s">
        <v>273</v>
      </c>
      <c r="X570" s="2" t="s">
        <v>691</v>
      </c>
      <c r="Y570" s="2" t="s">
        <v>3335</v>
      </c>
      <c r="Z570" s="4">
        <v>15</v>
      </c>
      <c r="AA570" s="4">
        <f>=ROUNDDOWN(7.14285714285714,0)</f>
      </c>
      <c r="AB570" s="5">
        <v>2.1</v>
      </c>
      <c r="AC570" s="2" t="s">
        <v>231</v>
      </c>
      <c r="AD570" s="4"/>
      <c r="AE570" s="4"/>
      <c r="AF570" s="6">
        <v>63</v>
      </c>
      <c r="AG570" s="6"/>
      <c r="AH570" s="7">
        <v>1</v>
      </c>
      <c r="AI570" s="4"/>
      <c r="AJ570" s="4">
        <f>=ROUNDDOWN({0},0)</f>
      </c>
      <c r="AK570" s="5"/>
      <c r="AL570" s="2" t="s">
        <v>231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>
        <v>10</v>
      </c>
      <c r="BK570" s="8">
        <v>222.94</v>
      </c>
      <c r="BL570" s="2" t="s">
        <v>3336</v>
      </c>
      <c r="BM570" s="7"/>
      <c r="BN570" s="7"/>
      <c r="BO570" s="4"/>
      <c r="BP570" s="8"/>
      <c r="BQ570" s="4"/>
      <c r="BR570" s="8"/>
      <c r="BS570" s="7"/>
      <c r="BT570" s="7"/>
      <c r="BU570" s="2" t="s">
        <v>3337</v>
      </c>
      <c r="BV570" s="2" t="s">
        <v>231</v>
      </c>
      <c r="BW570" s="2" t="s">
        <v>231</v>
      </c>
      <c r="BX570" s="2" t="s">
        <v>231</v>
      </c>
      <c r="BY570" s="2" t="s">
        <v>277</v>
      </c>
      <c r="BZ570" s="2" t="s">
        <v>243</v>
      </c>
      <c r="CA570" s="2" t="s">
        <v>3338</v>
      </c>
      <c r="CB570" s="2" t="s">
        <v>3339</v>
      </c>
      <c r="CC570" s="2" t="s">
        <v>244</v>
      </c>
      <c r="CD570" s="2" t="s">
        <v>231</v>
      </c>
      <c r="CE570" s="4"/>
      <c r="CF570" s="4">
        <v>15</v>
      </c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</row>
    <row r="571">
      <c r="A571" s="2" t="s">
        <v>3340</v>
      </c>
      <c r="B571" s="2" t="s">
        <v>824</v>
      </c>
      <c r="C571" s="2" t="s">
        <v>825</v>
      </c>
      <c r="D571" s="2" t="s">
        <v>826</v>
      </c>
      <c r="E571" s="2" t="s">
        <v>1060</v>
      </c>
      <c r="F571" s="2" t="s">
        <v>3341</v>
      </c>
      <c r="G571" s="2" t="s">
        <v>3342</v>
      </c>
      <c r="H571" s="2" t="s">
        <v>3343</v>
      </c>
      <c r="I571" s="2" t="s">
        <v>3344</v>
      </c>
      <c r="J571" s="2" t="s">
        <v>832</v>
      </c>
      <c r="K571" s="2" t="s">
        <v>3345</v>
      </c>
      <c r="L571" s="3">
        <v>23.8</v>
      </c>
      <c r="M571" s="3">
        <v>24.99</v>
      </c>
      <c r="N571" s="3">
        <v>49.99</v>
      </c>
      <c r="O571" s="2" t="s">
        <v>243</v>
      </c>
      <c r="P571" s="2" t="s">
        <v>236</v>
      </c>
      <c r="Q571" s="2" t="s">
        <v>237</v>
      </c>
      <c r="R571" s="2" t="s">
        <v>231</v>
      </c>
      <c r="S571" s="2" t="s">
        <v>3346</v>
      </c>
      <c r="T571" s="2" t="s">
        <v>895</v>
      </c>
      <c r="U571" s="2" t="s">
        <v>791</v>
      </c>
      <c r="V571" s="2" t="s">
        <v>836</v>
      </c>
      <c r="W571" s="2" t="s">
        <v>691</v>
      </c>
      <c r="X571" s="2" t="s">
        <v>231</v>
      </c>
      <c r="Y571" s="2" t="s">
        <v>3347</v>
      </c>
      <c r="Z571" s="4">
        <v>134</v>
      </c>
      <c r="AA571" s="4">
        <f>=ROUNDDOWN(26.8,0)</f>
      </c>
      <c r="AB571" s="5">
        <v>5</v>
      </c>
      <c r="AC571" s="2" t="s">
        <v>2510</v>
      </c>
      <c r="AD571" s="4">
        <v>140</v>
      </c>
      <c r="AE571" s="4">
        <v>140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231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231</v>
      </c>
      <c r="AW571" s="8" t="s">
        <v>231</v>
      </c>
      <c r="AX571" s="4" t="s">
        <v>231</v>
      </c>
      <c r="AY571" s="8" t="s">
        <v>231</v>
      </c>
      <c r="AZ571" s="7" t="s">
        <v>231</v>
      </c>
      <c r="BA571" s="7" t="s">
        <v>231</v>
      </c>
      <c r="BB571" s="7"/>
      <c r="BC571" s="4" t="s">
        <v>231</v>
      </c>
      <c r="BD571" s="8" t="s">
        <v>231</v>
      </c>
      <c r="BE571" s="4" t="s">
        <v>231</v>
      </c>
      <c r="BF571" s="8" t="s">
        <v>231</v>
      </c>
      <c r="BG571" s="7" t="s">
        <v>231</v>
      </c>
      <c r="BH571" s="7" t="s">
        <v>231</v>
      </c>
      <c r="BI571" s="7"/>
      <c r="BJ571" s="4">
        <v>1</v>
      </c>
      <c r="BK571" s="8">
        <v>27.37</v>
      </c>
      <c r="BL571" s="2" t="s">
        <v>1020</v>
      </c>
      <c r="BM571" s="7"/>
      <c r="BN571" s="7"/>
      <c r="BO571" s="4"/>
      <c r="BP571" s="8"/>
      <c r="BQ571" s="4"/>
      <c r="BR571" s="8"/>
      <c r="BS571" s="7"/>
      <c r="BT571" s="7"/>
      <c r="BU571" s="2" t="s">
        <v>3348</v>
      </c>
      <c r="BV571" s="2" t="s">
        <v>231</v>
      </c>
      <c r="BW571" s="2" t="s">
        <v>231</v>
      </c>
      <c r="BX571" s="2" t="s">
        <v>241</v>
      </c>
      <c r="BY571" s="2" t="s">
        <v>277</v>
      </c>
      <c r="BZ571" s="2" t="s">
        <v>243</v>
      </c>
      <c r="CA571" s="2" t="s">
        <v>3349</v>
      </c>
      <c r="CB571" s="2" t="s">
        <v>231</v>
      </c>
      <c r="CC571" s="2" t="s">
        <v>244</v>
      </c>
      <c r="CD571" s="2" t="s">
        <v>231</v>
      </c>
      <c r="CE571" s="4">
        <v>134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>
        <v>140</v>
      </c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</row>
    <row r="572">
      <c r="A572" s="2" t="s">
        <v>3350</v>
      </c>
      <c r="B572" s="2" t="s">
        <v>824</v>
      </c>
      <c r="C572" s="2" t="s">
        <v>825</v>
      </c>
      <c r="D572" s="2" t="s">
        <v>826</v>
      </c>
      <c r="E572" s="2" t="s">
        <v>1060</v>
      </c>
      <c r="F572" s="2" t="s">
        <v>3341</v>
      </c>
      <c r="G572" s="2" t="s">
        <v>3342</v>
      </c>
      <c r="H572" s="2" t="s">
        <v>3343</v>
      </c>
      <c r="I572" s="2" t="s">
        <v>3344</v>
      </c>
      <c r="J572" s="2" t="s">
        <v>669</v>
      </c>
      <c r="K572" s="2" t="s">
        <v>3345</v>
      </c>
      <c r="L572" s="3">
        <v>38.09</v>
      </c>
      <c r="M572" s="3">
        <v>39.99</v>
      </c>
      <c r="N572" s="3">
        <v>79.99</v>
      </c>
      <c r="O572" s="2" t="s">
        <v>243</v>
      </c>
      <c r="P572" s="2" t="s">
        <v>236</v>
      </c>
      <c r="Q572" s="2" t="s">
        <v>237</v>
      </c>
      <c r="R572" s="2" t="s">
        <v>231</v>
      </c>
      <c r="S572" s="2" t="s">
        <v>3346</v>
      </c>
      <c r="T572" s="2" t="s">
        <v>895</v>
      </c>
      <c r="U572" s="2" t="s">
        <v>835</v>
      </c>
      <c r="V572" s="2" t="s">
        <v>836</v>
      </c>
      <c r="W572" s="2" t="s">
        <v>691</v>
      </c>
      <c r="X572" s="2" t="s">
        <v>231</v>
      </c>
      <c r="Y572" s="2" t="s">
        <v>3347</v>
      </c>
      <c r="Z572" s="4">
        <v>108</v>
      </c>
      <c r="AA572" s="4">
        <f>=ROUNDDOWN(18,0)</f>
      </c>
      <c r="AB572" s="5">
        <v>6</v>
      </c>
      <c r="AC572" s="2" t="s">
        <v>2510</v>
      </c>
      <c r="AD572" s="4">
        <v>120</v>
      </c>
      <c r="AE572" s="4">
        <v>120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231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231</v>
      </c>
      <c r="AW572" s="8" t="s">
        <v>231</v>
      </c>
      <c r="AX572" s="4" t="s">
        <v>231</v>
      </c>
      <c r="AY572" s="8" t="s">
        <v>231</v>
      </c>
      <c r="AZ572" s="7" t="s">
        <v>231</v>
      </c>
      <c r="BA572" s="7" t="s">
        <v>231</v>
      </c>
      <c r="BB572" s="7"/>
      <c r="BC572" s="4" t="s">
        <v>231</v>
      </c>
      <c r="BD572" s="8" t="s">
        <v>231</v>
      </c>
      <c r="BE572" s="4" t="s">
        <v>231</v>
      </c>
      <c r="BF572" s="8" t="s">
        <v>231</v>
      </c>
      <c r="BG572" s="7" t="s">
        <v>231</v>
      </c>
      <c r="BH572" s="7" t="s">
        <v>231</v>
      </c>
      <c r="BI572" s="7"/>
      <c r="BJ572" s="4">
        <v>1</v>
      </c>
      <c r="BK572" s="8">
        <v>43.19</v>
      </c>
      <c r="BL572" s="2" t="s">
        <v>465</v>
      </c>
      <c r="BM572" s="7"/>
      <c r="BN572" s="7"/>
      <c r="BO572" s="4"/>
      <c r="BP572" s="8"/>
      <c r="BQ572" s="4"/>
      <c r="BR572" s="8"/>
      <c r="BS572" s="7"/>
      <c r="BT572" s="7"/>
      <c r="BU572" s="2" t="s">
        <v>3351</v>
      </c>
      <c r="BV572" s="2" t="s">
        <v>231</v>
      </c>
      <c r="BW572" s="2" t="s">
        <v>231</v>
      </c>
      <c r="BX572" s="2" t="s">
        <v>241</v>
      </c>
      <c r="BY572" s="2" t="s">
        <v>277</v>
      </c>
      <c r="BZ572" s="2" t="s">
        <v>243</v>
      </c>
      <c r="CA572" s="2" t="s">
        <v>3349</v>
      </c>
      <c r="CB572" s="2" t="s">
        <v>231</v>
      </c>
      <c r="CC572" s="2" t="s">
        <v>244</v>
      </c>
      <c r="CD572" s="2" t="s">
        <v>231</v>
      </c>
      <c r="CE572" s="4">
        <v>108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>
        <v>120</v>
      </c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</row>
    <row r="573">
      <c r="A573" s="2" t="s">
        <v>3352</v>
      </c>
      <c r="B573" s="2" t="s">
        <v>824</v>
      </c>
      <c r="C573" s="2" t="s">
        <v>825</v>
      </c>
      <c r="D573" s="2" t="s">
        <v>826</v>
      </c>
      <c r="E573" s="2" t="s">
        <v>827</v>
      </c>
      <c r="F573" s="2" t="s">
        <v>3353</v>
      </c>
      <c r="G573" s="2" t="s">
        <v>1189</v>
      </c>
      <c r="H573" s="2" t="s">
        <v>3354</v>
      </c>
      <c r="I573" s="2" t="s">
        <v>3355</v>
      </c>
      <c r="J573" s="2" t="s">
        <v>669</v>
      </c>
      <c r="K573" s="2" t="s">
        <v>985</v>
      </c>
      <c r="L573" s="3">
        <v>31.5</v>
      </c>
      <c r="M573" s="3">
        <v>33.08</v>
      </c>
      <c r="N573" s="3">
        <v>74.99</v>
      </c>
      <c r="O573" s="2" t="s">
        <v>243</v>
      </c>
      <c r="P573" s="2" t="s">
        <v>270</v>
      </c>
      <c r="Q573" s="2" t="s">
        <v>237</v>
      </c>
      <c r="R573" s="2" t="s">
        <v>231</v>
      </c>
      <c r="S573" s="2" t="s">
        <v>3356</v>
      </c>
      <c r="T573" s="2" t="s">
        <v>472</v>
      </c>
      <c r="U573" s="2" t="s">
        <v>298</v>
      </c>
      <c r="V573" s="2" t="s">
        <v>836</v>
      </c>
      <c r="W573" s="2" t="s">
        <v>691</v>
      </c>
      <c r="X573" s="2" t="s">
        <v>273</v>
      </c>
      <c r="Y573" s="2" t="s">
        <v>2342</v>
      </c>
      <c r="Z573" s="4">
        <v>290</v>
      </c>
      <c r="AA573" s="4">
        <f>=ROUNDDOWN(48.3333333333333,0)</f>
      </c>
      <c r="AB573" s="5">
        <v>6</v>
      </c>
      <c r="AC573" s="2" t="s">
        <v>231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231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231</v>
      </c>
      <c r="BD573" s="8" t="s">
        <v>231</v>
      </c>
      <c r="BE573" s="4" t="s">
        <v>231</v>
      </c>
      <c r="BF573" s="8" t="s">
        <v>231</v>
      </c>
      <c r="BG573" s="7" t="s">
        <v>231</v>
      </c>
      <c r="BH573" s="7" t="s">
        <v>231</v>
      </c>
      <c r="BI573" s="7"/>
      <c r="BJ573" s="4">
        <v>13</v>
      </c>
      <c r="BK573" s="8">
        <v>429.52</v>
      </c>
      <c r="BL573" s="2" t="s">
        <v>2900</v>
      </c>
      <c r="BM573" s="7"/>
      <c r="BN573" s="7"/>
      <c r="BO573" s="4"/>
      <c r="BP573" s="8"/>
      <c r="BQ573" s="4"/>
      <c r="BR573" s="8"/>
      <c r="BS573" s="7"/>
      <c r="BT573" s="7"/>
      <c r="BU573" s="2" t="s">
        <v>3357</v>
      </c>
      <c r="BV573" s="2" t="s">
        <v>231</v>
      </c>
      <c r="BW573" s="2" t="s">
        <v>231</v>
      </c>
      <c r="BX573" s="2" t="s">
        <v>231</v>
      </c>
      <c r="BY573" s="2" t="s">
        <v>277</v>
      </c>
      <c r="BZ573" s="2" t="s">
        <v>243</v>
      </c>
      <c r="CA573" s="2" t="s">
        <v>2342</v>
      </c>
      <c r="CB573" s="2" t="s">
        <v>3358</v>
      </c>
      <c r="CC573" s="2" t="s">
        <v>244</v>
      </c>
      <c r="CD573" s="2" t="s">
        <v>231</v>
      </c>
      <c r="CE573" s="4">
        <v>290</v>
      </c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</row>
    <row r="574">
      <c r="A574" s="2" t="s">
        <v>3359</v>
      </c>
      <c r="B574" s="2" t="s">
        <v>824</v>
      </c>
      <c r="C574" s="2" t="s">
        <v>825</v>
      </c>
      <c r="D574" s="2" t="s">
        <v>654</v>
      </c>
      <c r="E574" s="2" t="s">
        <v>655</v>
      </c>
      <c r="F574" s="2" t="s">
        <v>3353</v>
      </c>
      <c r="G574" s="2" t="s">
        <v>1189</v>
      </c>
      <c r="H574" s="2" t="s">
        <v>3354</v>
      </c>
      <c r="I574" s="2" t="s">
        <v>3360</v>
      </c>
      <c r="J574" s="2" t="s">
        <v>832</v>
      </c>
      <c r="K574" s="2" t="s">
        <v>682</v>
      </c>
      <c r="L574" s="3">
        <v>31.25</v>
      </c>
      <c r="M574" s="3">
        <v>32.81</v>
      </c>
      <c r="N574" s="3">
        <v>69.99</v>
      </c>
      <c r="O574" s="2" t="s">
        <v>243</v>
      </c>
      <c r="P574" s="2" t="s">
        <v>270</v>
      </c>
      <c r="Q574" s="2" t="s">
        <v>237</v>
      </c>
      <c r="R574" s="2" t="s">
        <v>231</v>
      </c>
      <c r="S574" s="2" t="s">
        <v>3361</v>
      </c>
      <c r="T574" s="2" t="s">
        <v>472</v>
      </c>
      <c r="U574" s="2" t="s">
        <v>835</v>
      </c>
      <c r="V574" s="2" t="s">
        <v>836</v>
      </c>
      <c r="W574" s="2" t="s">
        <v>691</v>
      </c>
      <c r="X574" s="2" t="s">
        <v>273</v>
      </c>
      <c r="Y574" s="2" t="s">
        <v>231</v>
      </c>
      <c r="Z574" s="4"/>
      <c r="AA574" s="4">
        <f>=ROUNDDOWN({0},0)</f>
      </c>
      <c r="AB574" s="5"/>
      <c r="AC574" s="2" t="s">
        <v>701</v>
      </c>
      <c r="AD574" s="4">
        <v>145</v>
      </c>
      <c r="AE574" s="4">
        <v>290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231</v>
      </c>
      <c r="AW574" s="8" t="s">
        <v>231</v>
      </c>
      <c r="AX574" s="4" t="s">
        <v>231</v>
      </c>
      <c r="AY574" s="8" t="s">
        <v>231</v>
      </c>
      <c r="AZ574" s="7" t="s">
        <v>231</v>
      </c>
      <c r="BA574" s="7" t="s">
        <v>231</v>
      </c>
      <c r="BB574" s="7" t="s">
        <v>231</v>
      </c>
      <c r="BC574" s="4" t="s">
        <v>231</v>
      </c>
      <c r="BD574" s="8" t="s">
        <v>231</v>
      </c>
      <c r="BE574" s="4" t="s">
        <v>231</v>
      </c>
      <c r="BF574" s="8" t="s">
        <v>231</v>
      </c>
      <c r="BG574" s="7" t="s">
        <v>231</v>
      </c>
      <c r="BH574" s="7" t="s">
        <v>231</v>
      </c>
      <c r="BI574" s="7"/>
      <c r="BJ574" s="4"/>
      <c r="BK574" s="8"/>
      <c r="BL574" s="2" t="s">
        <v>231</v>
      </c>
      <c r="BM574" s="7"/>
      <c r="BN574" s="7"/>
      <c r="BO574" s="4"/>
      <c r="BP574" s="8"/>
      <c r="BQ574" s="4"/>
      <c r="BR574" s="8"/>
      <c r="BS574" s="7"/>
      <c r="BT574" s="7"/>
      <c r="BU574" s="2" t="s">
        <v>241</v>
      </c>
      <c r="BV574" s="2" t="s">
        <v>231</v>
      </c>
      <c r="BW574" s="2" t="s">
        <v>231</v>
      </c>
      <c r="BX574" s="2" t="s">
        <v>312</v>
      </c>
      <c r="BY574" s="2" t="s">
        <v>242</v>
      </c>
      <c r="BZ574" s="2" t="s">
        <v>243</v>
      </c>
      <c r="CA574" s="2" t="s">
        <v>231</v>
      </c>
      <c r="CB574" s="2" t="s">
        <v>231</v>
      </c>
      <c r="CC574" s="2" t="s">
        <v>244</v>
      </c>
      <c r="CD574" s="2" t="s">
        <v>231</v>
      </c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>
        <v>145</v>
      </c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>
        <v>145</v>
      </c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</row>
    <row r="575">
      <c r="A575" s="2" t="s">
        <v>3362</v>
      </c>
      <c r="B575" s="2" t="s">
        <v>824</v>
      </c>
      <c r="C575" s="2" t="s">
        <v>825</v>
      </c>
      <c r="D575" s="2" t="s">
        <v>826</v>
      </c>
      <c r="E575" s="2" t="s">
        <v>827</v>
      </c>
      <c r="F575" s="2" t="s">
        <v>3353</v>
      </c>
      <c r="G575" s="2" t="s">
        <v>1189</v>
      </c>
      <c r="H575" s="2" t="s">
        <v>3354</v>
      </c>
      <c r="I575" s="2" t="s">
        <v>3355</v>
      </c>
      <c r="J575" s="2" t="s">
        <v>832</v>
      </c>
      <c r="K575" s="2" t="s">
        <v>682</v>
      </c>
      <c r="L575" s="3">
        <v>23.96</v>
      </c>
      <c r="M575" s="3">
        <v>25.16</v>
      </c>
      <c r="N575" s="3">
        <v>54.99</v>
      </c>
      <c r="O575" s="2" t="s">
        <v>243</v>
      </c>
      <c r="P575" s="2" t="s">
        <v>236</v>
      </c>
      <c r="Q575" s="2" t="s">
        <v>237</v>
      </c>
      <c r="R575" s="2" t="s">
        <v>231</v>
      </c>
      <c r="S575" s="2" t="s">
        <v>3361</v>
      </c>
      <c r="T575" s="2" t="s">
        <v>472</v>
      </c>
      <c r="U575" s="2" t="s">
        <v>835</v>
      </c>
      <c r="V575" s="2" t="s">
        <v>836</v>
      </c>
      <c r="W575" s="2" t="s">
        <v>691</v>
      </c>
      <c r="X575" s="2" t="s">
        <v>273</v>
      </c>
      <c r="Y575" s="2" t="s">
        <v>231</v>
      </c>
      <c r="Z575" s="4"/>
      <c r="AA575" s="4">
        <f>=ROUNDDOWN({0},0)</f>
      </c>
      <c r="AB575" s="5"/>
      <c r="AC575" s="2" t="s">
        <v>701</v>
      </c>
      <c r="AD575" s="4">
        <v>30</v>
      </c>
      <c r="AE575" s="4">
        <v>60</v>
      </c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231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231</v>
      </c>
      <c r="AW575" s="8" t="s">
        <v>231</v>
      </c>
      <c r="AX575" s="4" t="s">
        <v>231</v>
      </c>
      <c r="AY575" s="8" t="s">
        <v>231</v>
      </c>
      <c r="AZ575" s="7" t="s">
        <v>231</v>
      </c>
      <c r="BA575" s="7" t="s">
        <v>231</v>
      </c>
      <c r="BB575" s="7" t="s">
        <v>231</v>
      </c>
      <c r="BC575" s="4" t="s">
        <v>231</v>
      </c>
      <c r="BD575" s="8" t="s">
        <v>231</v>
      </c>
      <c r="BE575" s="4" t="s">
        <v>231</v>
      </c>
      <c r="BF575" s="8" t="s">
        <v>231</v>
      </c>
      <c r="BG575" s="7" t="s">
        <v>231</v>
      </c>
      <c r="BH575" s="7" t="s">
        <v>231</v>
      </c>
      <c r="BI575" s="7"/>
      <c r="BJ575" s="4"/>
      <c r="BK575" s="8"/>
      <c r="BL575" s="2" t="s">
        <v>231</v>
      </c>
      <c r="BM575" s="7"/>
      <c r="BN575" s="7"/>
      <c r="BO575" s="4"/>
      <c r="BP575" s="8"/>
      <c r="BQ575" s="4"/>
      <c r="BR575" s="8"/>
      <c r="BS575" s="7"/>
      <c r="BT575" s="7"/>
      <c r="BU575" s="2" t="s">
        <v>241</v>
      </c>
      <c r="BV575" s="2" t="s">
        <v>231</v>
      </c>
      <c r="BW575" s="2" t="s">
        <v>231</v>
      </c>
      <c r="BX575" s="2" t="s">
        <v>241</v>
      </c>
      <c r="BY575" s="2" t="s">
        <v>242</v>
      </c>
      <c r="BZ575" s="2" t="s">
        <v>243</v>
      </c>
      <c r="CA575" s="2" t="s">
        <v>231</v>
      </c>
      <c r="CB575" s="2" t="s">
        <v>231</v>
      </c>
      <c r="CC575" s="2" t="s">
        <v>244</v>
      </c>
      <c r="CD575" s="2" t="s">
        <v>231</v>
      </c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>
        <v>30</v>
      </c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>
        <v>30</v>
      </c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</row>
    <row r="576">
      <c r="A576" s="2" t="s">
        <v>3363</v>
      </c>
      <c r="B576" s="2" t="s">
        <v>824</v>
      </c>
      <c r="C576" s="2" t="s">
        <v>825</v>
      </c>
      <c r="D576" s="2" t="s">
        <v>654</v>
      </c>
      <c r="E576" s="2" t="s">
        <v>655</v>
      </c>
      <c r="F576" s="2" t="s">
        <v>3353</v>
      </c>
      <c r="G576" s="2" t="s">
        <v>1189</v>
      </c>
      <c r="H576" s="2" t="s">
        <v>3354</v>
      </c>
      <c r="I576" s="2" t="s">
        <v>3360</v>
      </c>
      <c r="J576" s="2" t="s">
        <v>658</v>
      </c>
      <c r="K576" s="2" t="s">
        <v>682</v>
      </c>
      <c r="L576" s="3">
        <v>36.67</v>
      </c>
      <c r="M576" s="3">
        <v>38.5</v>
      </c>
      <c r="N576" s="3">
        <v>79.99</v>
      </c>
      <c r="O576" s="2" t="s">
        <v>243</v>
      </c>
      <c r="P576" s="2" t="s">
        <v>270</v>
      </c>
      <c r="Q576" s="2" t="s">
        <v>237</v>
      </c>
      <c r="R576" s="2" t="s">
        <v>231</v>
      </c>
      <c r="S576" s="2" t="s">
        <v>3361</v>
      </c>
      <c r="T576" s="2" t="s">
        <v>472</v>
      </c>
      <c r="U576" s="2" t="s">
        <v>298</v>
      </c>
      <c r="V576" s="2" t="s">
        <v>836</v>
      </c>
      <c r="W576" s="2" t="s">
        <v>691</v>
      </c>
      <c r="X576" s="2" t="s">
        <v>273</v>
      </c>
      <c r="Y576" s="2" t="s">
        <v>231</v>
      </c>
      <c r="Z576" s="4"/>
      <c r="AA576" s="4">
        <f>=ROUNDDOWN({0},0)</f>
      </c>
      <c r="AB576" s="5"/>
      <c r="AC576" s="2" t="s">
        <v>701</v>
      </c>
      <c r="AD576" s="4">
        <v>265</v>
      </c>
      <c r="AE576" s="4">
        <v>530</v>
      </c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231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231</v>
      </c>
      <c r="AW576" s="8" t="s">
        <v>231</v>
      </c>
      <c r="AX576" s="4" t="s">
        <v>231</v>
      </c>
      <c r="AY576" s="8" t="s">
        <v>231</v>
      </c>
      <c r="AZ576" s="7" t="s">
        <v>231</v>
      </c>
      <c r="BA576" s="7" t="s">
        <v>231</v>
      </c>
      <c r="BB576" s="7" t="s">
        <v>231</v>
      </c>
      <c r="BC576" s="4" t="s">
        <v>231</v>
      </c>
      <c r="BD576" s="8" t="s">
        <v>231</v>
      </c>
      <c r="BE576" s="4" t="s">
        <v>231</v>
      </c>
      <c r="BF576" s="8" t="s">
        <v>231</v>
      </c>
      <c r="BG576" s="7" t="s">
        <v>231</v>
      </c>
      <c r="BH576" s="7" t="s">
        <v>231</v>
      </c>
      <c r="BI576" s="7"/>
      <c r="BJ576" s="4"/>
      <c r="BK576" s="8"/>
      <c r="BL576" s="2" t="s">
        <v>231</v>
      </c>
      <c r="BM576" s="7"/>
      <c r="BN576" s="7"/>
      <c r="BO576" s="4"/>
      <c r="BP576" s="8"/>
      <c r="BQ576" s="4"/>
      <c r="BR576" s="8"/>
      <c r="BS576" s="7"/>
      <c r="BT576" s="7"/>
      <c r="BU576" s="2" t="s">
        <v>241</v>
      </c>
      <c r="BV576" s="2" t="s">
        <v>231</v>
      </c>
      <c r="BW576" s="2" t="s">
        <v>231</v>
      </c>
      <c r="BX576" s="2" t="s">
        <v>312</v>
      </c>
      <c r="BY576" s="2" t="s">
        <v>242</v>
      </c>
      <c r="BZ576" s="2" t="s">
        <v>243</v>
      </c>
      <c r="CA576" s="2" t="s">
        <v>231</v>
      </c>
      <c r="CB576" s="2" t="s">
        <v>231</v>
      </c>
      <c r="CC576" s="2" t="s">
        <v>244</v>
      </c>
      <c r="CD576" s="2" t="s">
        <v>231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>
        <v>265</v>
      </c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>
        <v>265</v>
      </c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</row>
    <row r="577">
      <c r="A577" s="2" t="s">
        <v>3364</v>
      </c>
      <c r="B577" s="2" t="s">
        <v>824</v>
      </c>
      <c r="C577" s="2" t="s">
        <v>825</v>
      </c>
      <c r="D577" s="2" t="s">
        <v>826</v>
      </c>
      <c r="E577" s="2" t="s">
        <v>827</v>
      </c>
      <c r="F577" s="2" t="s">
        <v>3353</v>
      </c>
      <c r="G577" s="2" t="s">
        <v>1189</v>
      </c>
      <c r="H577" s="2" t="s">
        <v>3354</v>
      </c>
      <c r="I577" s="2" t="s">
        <v>3355</v>
      </c>
      <c r="J577" s="2" t="s">
        <v>658</v>
      </c>
      <c r="K577" s="2" t="s">
        <v>682</v>
      </c>
      <c r="L577" s="3">
        <v>28.76</v>
      </c>
      <c r="M577" s="3">
        <v>30.2</v>
      </c>
      <c r="N577" s="3">
        <v>64.99</v>
      </c>
      <c r="O577" s="2" t="s">
        <v>243</v>
      </c>
      <c r="P577" s="2" t="s">
        <v>236</v>
      </c>
      <c r="Q577" s="2" t="s">
        <v>237</v>
      </c>
      <c r="R577" s="2" t="s">
        <v>231</v>
      </c>
      <c r="S577" s="2" t="s">
        <v>3361</v>
      </c>
      <c r="T577" s="2" t="s">
        <v>472</v>
      </c>
      <c r="U577" s="2" t="s">
        <v>298</v>
      </c>
      <c r="V577" s="2" t="s">
        <v>836</v>
      </c>
      <c r="W577" s="2" t="s">
        <v>691</v>
      </c>
      <c r="X577" s="2" t="s">
        <v>273</v>
      </c>
      <c r="Y577" s="2" t="s">
        <v>231</v>
      </c>
      <c r="Z577" s="4"/>
      <c r="AA577" s="4">
        <f>=ROUNDDOWN({0},0)</f>
      </c>
      <c r="AB577" s="5"/>
      <c r="AC577" s="2" t="s">
        <v>701</v>
      </c>
      <c r="AD577" s="4">
        <v>45</v>
      </c>
      <c r="AE577" s="4">
        <v>90</v>
      </c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231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231</v>
      </c>
      <c r="AW577" s="8" t="s">
        <v>231</v>
      </c>
      <c r="AX577" s="4" t="s">
        <v>231</v>
      </c>
      <c r="AY577" s="8" t="s">
        <v>231</v>
      </c>
      <c r="AZ577" s="7" t="s">
        <v>231</v>
      </c>
      <c r="BA577" s="7" t="s">
        <v>231</v>
      </c>
      <c r="BB577" s="7" t="s">
        <v>231</v>
      </c>
      <c r="BC577" s="4" t="s">
        <v>231</v>
      </c>
      <c r="BD577" s="8" t="s">
        <v>231</v>
      </c>
      <c r="BE577" s="4" t="s">
        <v>231</v>
      </c>
      <c r="BF577" s="8" t="s">
        <v>231</v>
      </c>
      <c r="BG577" s="7" t="s">
        <v>231</v>
      </c>
      <c r="BH577" s="7" t="s">
        <v>231</v>
      </c>
      <c r="BI577" s="7"/>
      <c r="BJ577" s="4"/>
      <c r="BK577" s="8"/>
      <c r="BL577" s="2" t="s">
        <v>231</v>
      </c>
      <c r="BM577" s="7"/>
      <c r="BN577" s="7"/>
      <c r="BO577" s="4"/>
      <c r="BP577" s="8"/>
      <c r="BQ577" s="4"/>
      <c r="BR577" s="8"/>
      <c r="BS577" s="7"/>
      <c r="BT577" s="7"/>
      <c r="BU577" s="2" t="s">
        <v>241</v>
      </c>
      <c r="BV577" s="2" t="s">
        <v>231</v>
      </c>
      <c r="BW577" s="2" t="s">
        <v>231</v>
      </c>
      <c r="BX577" s="2" t="s">
        <v>241</v>
      </c>
      <c r="BY577" s="2" t="s">
        <v>242</v>
      </c>
      <c r="BZ577" s="2" t="s">
        <v>243</v>
      </c>
      <c r="CA577" s="2" t="s">
        <v>231</v>
      </c>
      <c r="CB577" s="2" t="s">
        <v>231</v>
      </c>
      <c r="CC577" s="2" t="s">
        <v>244</v>
      </c>
      <c r="CD577" s="2" t="s">
        <v>231</v>
      </c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>
        <v>45</v>
      </c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>
        <v>45</v>
      </c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</row>
    <row r="578">
      <c r="A578" s="2" t="s">
        <v>3365</v>
      </c>
      <c r="B578" s="2" t="s">
        <v>824</v>
      </c>
      <c r="C578" s="2" t="s">
        <v>825</v>
      </c>
      <c r="D578" s="2" t="s">
        <v>654</v>
      </c>
      <c r="E578" s="2" t="s">
        <v>655</v>
      </c>
      <c r="F578" s="2" t="s">
        <v>3353</v>
      </c>
      <c r="G578" s="2" t="s">
        <v>1189</v>
      </c>
      <c r="H578" s="2" t="s">
        <v>3354</v>
      </c>
      <c r="I578" s="2" t="s">
        <v>3360</v>
      </c>
      <c r="J578" s="2" t="s">
        <v>669</v>
      </c>
      <c r="K578" s="2" t="s">
        <v>682</v>
      </c>
      <c r="L578" s="3">
        <v>39.5</v>
      </c>
      <c r="M578" s="3">
        <v>41.48</v>
      </c>
      <c r="N578" s="3">
        <v>89.99</v>
      </c>
      <c r="O578" s="2" t="s">
        <v>243</v>
      </c>
      <c r="P578" s="2" t="s">
        <v>270</v>
      </c>
      <c r="Q578" s="2" t="s">
        <v>237</v>
      </c>
      <c r="R578" s="2" t="s">
        <v>231</v>
      </c>
      <c r="S578" s="2" t="s">
        <v>3361</v>
      </c>
      <c r="T578" s="2" t="s">
        <v>472</v>
      </c>
      <c r="U578" s="2" t="s">
        <v>298</v>
      </c>
      <c r="V578" s="2" t="s">
        <v>836</v>
      </c>
      <c r="W578" s="2" t="s">
        <v>691</v>
      </c>
      <c r="X578" s="2" t="s">
        <v>273</v>
      </c>
      <c r="Y578" s="2" t="s">
        <v>231</v>
      </c>
      <c r="Z578" s="4"/>
      <c r="AA578" s="4">
        <f>=ROUNDDOWN({0},0)</f>
      </c>
      <c r="AB578" s="5"/>
      <c r="AC578" s="2" t="s">
        <v>701</v>
      </c>
      <c r="AD578" s="4">
        <v>90</v>
      </c>
      <c r="AE578" s="4">
        <v>180</v>
      </c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231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231</v>
      </c>
      <c r="AW578" s="8" t="s">
        <v>231</v>
      </c>
      <c r="AX578" s="4" t="s">
        <v>231</v>
      </c>
      <c r="AY578" s="8" t="s">
        <v>231</v>
      </c>
      <c r="AZ578" s="7" t="s">
        <v>231</v>
      </c>
      <c r="BA578" s="7" t="s">
        <v>231</v>
      </c>
      <c r="BB578" s="7" t="s">
        <v>231</v>
      </c>
      <c r="BC578" s="4" t="s">
        <v>231</v>
      </c>
      <c r="BD578" s="8" t="s">
        <v>231</v>
      </c>
      <c r="BE578" s="4" t="s">
        <v>231</v>
      </c>
      <c r="BF578" s="8" t="s">
        <v>231</v>
      </c>
      <c r="BG578" s="7" t="s">
        <v>231</v>
      </c>
      <c r="BH578" s="7" t="s">
        <v>231</v>
      </c>
      <c r="BI578" s="7"/>
      <c r="BJ578" s="4"/>
      <c r="BK578" s="8"/>
      <c r="BL578" s="2" t="s">
        <v>231</v>
      </c>
      <c r="BM578" s="7"/>
      <c r="BN578" s="7"/>
      <c r="BO578" s="4"/>
      <c r="BP578" s="8"/>
      <c r="BQ578" s="4"/>
      <c r="BR578" s="8"/>
      <c r="BS578" s="7"/>
      <c r="BT578" s="7"/>
      <c r="BU578" s="2" t="s">
        <v>241</v>
      </c>
      <c r="BV578" s="2" t="s">
        <v>231</v>
      </c>
      <c r="BW578" s="2" t="s">
        <v>231</v>
      </c>
      <c r="BX578" s="2" t="s">
        <v>312</v>
      </c>
      <c r="BY578" s="2" t="s">
        <v>242</v>
      </c>
      <c r="BZ578" s="2" t="s">
        <v>243</v>
      </c>
      <c r="CA578" s="2" t="s">
        <v>231</v>
      </c>
      <c r="CB578" s="2" t="s">
        <v>231</v>
      </c>
      <c r="CC578" s="2" t="s">
        <v>244</v>
      </c>
      <c r="CD578" s="2" t="s">
        <v>231</v>
      </c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>
        <v>90</v>
      </c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>
        <v>90</v>
      </c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</row>
    <row r="579">
      <c r="A579" s="2" t="s">
        <v>3366</v>
      </c>
      <c r="B579" s="2" t="s">
        <v>824</v>
      </c>
      <c r="C579" s="2" t="s">
        <v>825</v>
      </c>
      <c r="D579" s="2" t="s">
        <v>826</v>
      </c>
      <c r="E579" s="2" t="s">
        <v>827</v>
      </c>
      <c r="F579" s="2" t="s">
        <v>3353</v>
      </c>
      <c r="G579" s="2" t="s">
        <v>1189</v>
      </c>
      <c r="H579" s="2" t="s">
        <v>3354</v>
      </c>
      <c r="I579" s="2" t="s">
        <v>3355</v>
      </c>
      <c r="J579" s="2" t="s">
        <v>669</v>
      </c>
      <c r="K579" s="2" t="s">
        <v>682</v>
      </c>
      <c r="L579" s="3">
        <v>31.5</v>
      </c>
      <c r="M579" s="3">
        <v>33.08</v>
      </c>
      <c r="N579" s="3">
        <v>74.99</v>
      </c>
      <c r="O579" s="2" t="s">
        <v>243</v>
      </c>
      <c r="P579" s="2" t="s">
        <v>236</v>
      </c>
      <c r="Q579" s="2" t="s">
        <v>237</v>
      </c>
      <c r="R579" s="2" t="s">
        <v>231</v>
      </c>
      <c r="S579" s="2" t="s">
        <v>3361</v>
      </c>
      <c r="T579" s="2" t="s">
        <v>472</v>
      </c>
      <c r="U579" s="2" t="s">
        <v>298</v>
      </c>
      <c r="V579" s="2" t="s">
        <v>836</v>
      </c>
      <c r="W579" s="2" t="s">
        <v>691</v>
      </c>
      <c r="X579" s="2" t="s">
        <v>273</v>
      </c>
      <c r="Y579" s="2" t="s">
        <v>231</v>
      </c>
      <c r="Z579" s="4"/>
      <c r="AA579" s="4">
        <f>=ROUNDDOWN({0},0)</f>
      </c>
      <c r="AB579" s="5"/>
      <c r="AC579" s="2" t="s">
        <v>701</v>
      </c>
      <c r="AD579" s="4">
        <v>25</v>
      </c>
      <c r="AE579" s="4">
        <v>50</v>
      </c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231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231</v>
      </c>
      <c r="AW579" s="8" t="s">
        <v>231</v>
      </c>
      <c r="AX579" s="4" t="s">
        <v>231</v>
      </c>
      <c r="AY579" s="8" t="s">
        <v>231</v>
      </c>
      <c r="AZ579" s="7" t="s">
        <v>231</v>
      </c>
      <c r="BA579" s="7" t="s">
        <v>231</v>
      </c>
      <c r="BB579" s="7" t="s">
        <v>231</v>
      </c>
      <c r="BC579" s="4" t="s">
        <v>231</v>
      </c>
      <c r="BD579" s="8" t="s">
        <v>231</v>
      </c>
      <c r="BE579" s="4" t="s">
        <v>231</v>
      </c>
      <c r="BF579" s="8" t="s">
        <v>231</v>
      </c>
      <c r="BG579" s="7" t="s">
        <v>231</v>
      </c>
      <c r="BH579" s="7" t="s">
        <v>231</v>
      </c>
      <c r="BI579" s="7"/>
      <c r="BJ579" s="4"/>
      <c r="BK579" s="8"/>
      <c r="BL579" s="2" t="s">
        <v>231</v>
      </c>
      <c r="BM579" s="7"/>
      <c r="BN579" s="7"/>
      <c r="BO579" s="4"/>
      <c r="BP579" s="8"/>
      <c r="BQ579" s="4"/>
      <c r="BR579" s="8"/>
      <c r="BS579" s="7"/>
      <c r="BT579" s="7"/>
      <c r="BU579" s="2" t="s">
        <v>241</v>
      </c>
      <c r="BV579" s="2" t="s">
        <v>231</v>
      </c>
      <c r="BW579" s="2" t="s">
        <v>231</v>
      </c>
      <c r="BX579" s="2" t="s">
        <v>241</v>
      </c>
      <c r="BY579" s="2" t="s">
        <v>242</v>
      </c>
      <c r="BZ579" s="2" t="s">
        <v>243</v>
      </c>
      <c r="CA579" s="2" t="s">
        <v>231</v>
      </c>
      <c r="CB579" s="2" t="s">
        <v>231</v>
      </c>
      <c r="CC579" s="2" t="s">
        <v>244</v>
      </c>
      <c r="CD579" s="2" t="s">
        <v>231</v>
      </c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>
        <v>25</v>
      </c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>
        <v>25</v>
      </c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</row>
    <row r="580">
      <c r="A580" s="2" t="s">
        <v>3367</v>
      </c>
      <c r="B580" s="2" t="s">
        <v>824</v>
      </c>
      <c r="C580" s="2" t="s">
        <v>825</v>
      </c>
      <c r="D580" s="2" t="s">
        <v>654</v>
      </c>
      <c r="E580" s="2" t="s">
        <v>655</v>
      </c>
      <c r="F580" s="2" t="s">
        <v>3353</v>
      </c>
      <c r="G580" s="2" t="s">
        <v>1189</v>
      </c>
      <c r="H580" s="2" t="s">
        <v>3354</v>
      </c>
      <c r="I580" s="2" t="s">
        <v>3360</v>
      </c>
      <c r="J580" s="2" t="s">
        <v>832</v>
      </c>
      <c r="K580" s="2" t="s">
        <v>1677</v>
      </c>
      <c r="L580" s="3">
        <v>31.25</v>
      </c>
      <c r="M580" s="3">
        <v>32.81</v>
      </c>
      <c r="N580" s="3">
        <v>69.99</v>
      </c>
      <c r="O580" s="2" t="s">
        <v>243</v>
      </c>
      <c r="P580" s="2" t="s">
        <v>1281</v>
      </c>
      <c r="Q580" s="2" t="s">
        <v>237</v>
      </c>
      <c r="R580" s="2" t="s">
        <v>231</v>
      </c>
      <c r="S580" s="2" t="s">
        <v>3368</v>
      </c>
      <c r="T580" s="2" t="s">
        <v>472</v>
      </c>
      <c r="U580" s="2" t="s">
        <v>835</v>
      </c>
      <c r="V580" s="2" t="s">
        <v>836</v>
      </c>
      <c r="W580" s="2" t="s">
        <v>691</v>
      </c>
      <c r="X580" s="2" t="s">
        <v>273</v>
      </c>
      <c r="Y580" s="2" t="s">
        <v>2515</v>
      </c>
      <c r="Z580" s="4">
        <v>867</v>
      </c>
      <c r="AA580" s="4">
        <f>=ROUNDDOWN(54.1875,0)</f>
      </c>
      <c r="AB580" s="5">
        <v>16</v>
      </c>
      <c r="AC580" s="2" t="s">
        <v>2082</v>
      </c>
      <c r="AD580" s="4">
        <v>300</v>
      </c>
      <c r="AE580" s="4">
        <v>300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231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231</v>
      </c>
      <c r="AW580" s="8" t="s">
        <v>231</v>
      </c>
      <c r="AX580" s="4" t="s">
        <v>231</v>
      </c>
      <c r="AY580" s="8" t="s">
        <v>231</v>
      </c>
      <c r="AZ580" s="7" t="s">
        <v>231</v>
      </c>
      <c r="BA580" s="7" t="s">
        <v>231</v>
      </c>
      <c r="BB580" s="7"/>
      <c r="BC580" s="4" t="s">
        <v>231</v>
      </c>
      <c r="BD580" s="8" t="s">
        <v>231</v>
      </c>
      <c r="BE580" s="4" t="s">
        <v>231</v>
      </c>
      <c r="BF580" s="8" t="s">
        <v>231</v>
      </c>
      <c r="BG580" s="7" t="s">
        <v>231</v>
      </c>
      <c r="BH580" s="7" t="s">
        <v>231</v>
      </c>
      <c r="BI580" s="7"/>
      <c r="BJ580" s="4">
        <v>29</v>
      </c>
      <c r="BK580" s="8">
        <v>951.75</v>
      </c>
      <c r="BL580" s="2" t="s">
        <v>3369</v>
      </c>
      <c r="BM580" s="7"/>
      <c r="BN580" s="7"/>
      <c r="BO580" s="4"/>
      <c r="BP580" s="8"/>
      <c r="BQ580" s="4"/>
      <c r="BR580" s="8"/>
      <c r="BS580" s="7"/>
      <c r="BT580" s="7"/>
      <c r="BU580" s="2" t="s">
        <v>3370</v>
      </c>
      <c r="BV580" s="2" t="s">
        <v>231</v>
      </c>
      <c r="BW580" s="2" t="s">
        <v>231</v>
      </c>
      <c r="BX580" s="2" t="s">
        <v>312</v>
      </c>
      <c r="BY580" s="2" t="s">
        <v>277</v>
      </c>
      <c r="BZ580" s="2" t="s">
        <v>243</v>
      </c>
      <c r="CA580" s="2" t="s">
        <v>2100</v>
      </c>
      <c r="CB580" s="2" t="s">
        <v>3083</v>
      </c>
      <c r="CC580" s="2" t="s">
        <v>244</v>
      </c>
      <c r="CD580" s="2" t="s">
        <v>231</v>
      </c>
      <c r="CE580" s="4">
        <v>662</v>
      </c>
      <c r="CF580" s="4"/>
      <c r="CG580" s="4"/>
      <c r="CH580" s="4"/>
      <c r="CI580" s="4">
        <v>205</v>
      </c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>
        <v>300</v>
      </c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</row>
    <row r="581">
      <c r="A581" s="2" t="s">
        <v>3371</v>
      </c>
      <c r="B581" s="2" t="s">
        <v>824</v>
      </c>
      <c r="C581" s="2" t="s">
        <v>825</v>
      </c>
      <c r="D581" s="2" t="s">
        <v>826</v>
      </c>
      <c r="E581" s="2" t="s">
        <v>827</v>
      </c>
      <c r="F581" s="2" t="s">
        <v>3353</v>
      </c>
      <c r="G581" s="2" t="s">
        <v>1189</v>
      </c>
      <c r="H581" s="2" t="s">
        <v>3354</v>
      </c>
      <c r="I581" s="2" t="s">
        <v>3355</v>
      </c>
      <c r="J581" s="2" t="s">
        <v>669</v>
      </c>
      <c r="K581" s="2" t="s">
        <v>1677</v>
      </c>
      <c r="L581" s="3">
        <v>31.5</v>
      </c>
      <c r="M581" s="3">
        <v>33.08</v>
      </c>
      <c r="N581" s="3">
        <v>74.99</v>
      </c>
      <c r="O581" s="2" t="s">
        <v>243</v>
      </c>
      <c r="P581" s="2" t="s">
        <v>270</v>
      </c>
      <c r="Q581" s="2" t="s">
        <v>237</v>
      </c>
      <c r="R581" s="2" t="s">
        <v>231</v>
      </c>
      <c r="S581" s="2" t="s">
        <v>3368</v>
      </c>
      <c r="T581" s="2" t="s">
        <v>472</v>
      </c>
      <c r="U581" s="2" t="s">
        <v>298</v>
      </c>
      <c r="V581" s="2" t="s">
        <v>836</v>
      </c>
      <c r="W581" s="2" t="s">
        <v>691</v>
      </c>
      <c r="X581" s="2" t="s">
        <v>273</v>
      </c>
      <c r="Y581" s="2" t="s">
        <v>2515</v>
      </c>
      <c r="Z581" s="4">
        <v>178</v>
      </c>
      <c r="AA581" s="4">
        <f>=ROUNDDOWN(35.6,0)</f>
      </c>
      <c r="AB581" s="5">
        <v>5</v>
      </c>
      <c r="AC581" s="2" t="s">
        <v>2082</v>
      </c>
      <c r="AD581" s="4">
        <v>30</v>
      </c>
      <c r="AE581" s="4">
        <v>30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231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231</v>
      </c>
      <c r="AW581" s="8" t="s">
        <v>231</v>
      </c>
      <c r="AX581" s="4" t="s">
        <v>231</v>
      </c>
      <c r="AY581" s="8" t="s">
        <v>231</v>
      </c>
      <c r="AZ581" s="7" t="s">
        <v>231</v>
      </c>
      <c r="BA581" s="7" t="s">
        <v>231</v>
      </c>
      <c r="BB581" s="7"/>
      <c r="BC581" s="4" t="s">
        <v>231</v>
      </c>
      <c r="BD581" s="8" t="s">
        <v>231</v>
      </c>
      <c r="BE581" s="4" t="s">
        <v>231</v>
      </c>
      <c r="BF581" s="8" t="s">
        <v>231</v>
      </c>
      <c r="BG581" s="7" t="s">
        <v>231</v>
      </c>
      <c r="BH581" s="7" t="s">
        <v>231</v>
      </c>
      <c r="BI581" s="7"/>
      <c r="BJ581" s="4">
        <v>5</v>
      </c>
      <c r="BK581" s="8">
        <v>160.09</v>
      </c>
      <c r="BL581" s="2" t="s">
        <v>1240</v>
      </c>
      <c r="BM581" s="7"/>
      <c r="BN581" s="7"/>
      <c r="BO581" s="4"/>
      <c r="BP581" s="8"/>
      <c r="BQ581" s="4"/>
      <c r="BR581" s="8"/>
      <c r="BS581" s="7"/>
      <c r="BT581" s="7"/>
      <c r="BU581" s="2" t="s">
        <v>3372</v>
      </c>
      <c r="BV581" s="2" t="s">
        <v>231</v>
      </c>
      <c r="BW581" s="2" t="s">
        <v>231</v>
      </c>
      <c r="BX581" s="2" t="s">
        <v>231</v>
      </c>
      <c r="BY581" s="2" t="s">
        <v>277</v>
      </c>
      <c r="BZ581" s="2" t="s">
        <v>243</v>
      </c>
      <c r="CA581" s="2" t="s">
        <v>2745</v>
      </c>
      <c r="CB581" s="2" t="s">
        <v>3358</v>
      </c>
      <c r="CC581" s="2" t="s">
        <v>244</v>
      </c>
      <c r="CD581" s="2" t="s">
        <v>231</v>
      </c>
      <c r="CE581" s="4">
        <v>129</v>
      </c>
      <c r="CF581" s="4"/>
      <c r="CG581" s="4"/>
      <c r="CH581" s="4"/>
      <c r="CI581" s="4">
        <v>49</v>
      </c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>
        <v>30</v>
      </c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</row>
    <row r="582">
      <c r="A582" s="2" t="s">
        <v>3373</v>
      </c>
      <c r="B582" s="2" t="s">
        <v>992</v>
      </c>
      <c r="C582" s="2" t="s">
        <v>1439</v>
      </c>
      <c r="D582" s="2" t="s">
        <v>993</v>
      </c>
      <c r="E582" s="2" t="s">
        <v>994</v>
      </c>
      <c r="F582" s="2" t="s">
        <v>3374</v>
      </c>
      <c r="G582" s="2" t="s">
        <v>3375</v>
      </c>
      <c r="H582" s="2" t="s">
        <v>3376</v>
      </c>
      <c r="I582" s="2" t="s">
        <v>3377</v>
      </c>
      <c r="J582" s="2" t="s">
        <v>996</v>
      </c>
      <c r="K582" s="2" t="s">
        <v>3378</v>
      </c>
      <c r="L582" s="3">
        <v>22.5</v>
      </c>
      <c r="M582" s="3">
        <v>23.62</v>
      </c>
      <c r="N582" s="3">
        <v>49.99</v>
      </c>
      <c r="O582" s="2" t="s">
        <v>243</v>
      </c>
      <c r="P582" s="2" t="s">
        <v>270</v>
      </c>
      <c r="Q582" s="2" t="s">
        <v>237</v>
      </c>
      <c r="R582" s="2" t="s">
        <v>231</v>
      </c>
      <c r="S582" s="2" t="s">
        <v>3379</v>
      </c>
      <c r="T582" s="2" t="s">
        <v>231</v>
      </c>
      <c r="U582" s="2" t="s">
        <v>327</v>
      </c>
      <c r="V582" s="2" t="s">
        <v>836</v>
      </c>
      <c r="W582" s="2" t="s">
        <v>299</v>
      </c>
      <c r="X582" s="2" t="s">
        <v>998</v>
      </c>
      <c r="Y582" s="2" t="s">
        <v>3380</v>
      </c>
      <c r="Z582" s="4">
        <v>271</v>
      </c>
      <c r="AA582" s="4">
        <f>=ROUNDDOWN(38.7142857142857,0)</f>
      </c>
      <c r="AB582" s="5">
        <v>7</v>
      </c>
      <c r="AC582" s="2" t="s">
        <v>220</v>
      </c>
      <c r="AD582" s="4">
        <v>160</v>
      </c>
      <c r="AE582" s="4">
        <v>160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231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231</v>
      </c>
      <c r="BD582" s="8" t="s">
        <v>231</v>
      </c>
      <c r="BE582" s="4" t="s">
        <v>231</v>
      </c>
      <c r="BF582" s="8" t="s">
        <v>231</v>
      </c>
      <c r="BG582" s="7" t="s">
        <v>231</v>
      </c>
      <c r="BH582" s="7" t="s">
        <v>231</v>
      </c>
      <c r="BI582" s="7"/>
      <c r="BJ582" s="4">
        <v>18</v>
      </c>
      <c r="BK582" s="8">
        <v>427.8</v>
      </c>
      <c r="BL582" s="2" t="s">
        <v>3381</v>
      </c>
      <c r="BM582" s="7"/>
      <c r="BN582" s="7"/>
      <c r="BO582" s="4"/>
      <c r="BP582" s="8"/>
      <c r="BQ582" s="4"/>
      <c r="BR582" s="8"/>
      <c r="BS582" s="7"/>
      <c r="BT582" s="7"/>
      <c r="BU582" s="2" t="s">
        <v>3382</v>
      </c>
      <c r="BV582" s="2" t="s">
        <v>231</v>
      </c>
      <c r="BW582" s="2" t="s">
        <v>231</v>
      </c>
      <c r="BX582" s="2" t="s">
        <v>231</v>
      </c>
      <c r="BY582" s="2" t="s">
        <v>277</v>
      </c>
      <c r="BZ582" s="2" t="s">
        <v>243</v>
      </c>
      <c r="CA582" s="2" t="s">
        <v>3380</v>
      </c>
      <c r="CB582" s="2" t="s">
        <v>3383</v>
      </c>
      <c r="CC582" s="2" t="s">
        <v>244</v>
      </c>
      <c r="CD582" s="2" t="s">
        <v>231</v>
      </c>
      <c r="CE582" s="4">
        <v>271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>
        <v>160</v>
      </c>
      <c r="HD582" s="4"/>
      <c r="HE582" s="4"/>
      <c r="HF582" s="4"/>
      <c r="HG582" s="4"/>
      <c r="HH582" s="4"/>
      <c r="HI582" s="4"/>
      <c r="HJ582" s="4"/>
      <c r="HK582" s="4"/>
      <c r="HL582" s="4"/>
    </row>
    <row r="583">
      <c r="A583" s="2" t="s">
        <v>3384</v>
      </c>
      <c r="B583" s="2" t="s">
        <v>992</v>
      </c>
      <c r="C583" s="2" t="s">
        <v>1439</v>
      </c>
      <c r="D583" s="2" t="s">
        <v>1525</v>
      </c>
      <c r="E583" s="2" t="s">
        <v>1526</v>
      </c>
      <c r="F583" s="2" t="s">
        <v>3374</v>
      </c>
      <c r="G583" s="2" t="s">
        <v>3375</v>
      </c>
      <c r="H583" s="2" t="s">
        <v>3376</v>
      </c>
      <c r="I583" s="2" t="s">
        <v>3385</v>
      </c>
      <c r="J583" s="2" t="s">
        <v>3386</v>
      </c>
      <c r="K583" s="2" t="s">
        <v>319</v>
      </c>
      <c r="L583" s="3">
        <v>17.1</v>
      </c>
      <c r="M583" s="3">
        <v>17.96</v>
      </c>
      <c r="N583" s="3">
        <v>37.99</v>
      </c>
      <c r="O583" s="2" t="s">
        <v>243</v>
      </c>
      <c r="P583" s="2" t="s">
        <v>341</v>
      </c>
      <c r="Q583" s="2" t="s">
        <v>237</v>
      </c>
      <c r="R583" s="2" t="s">
        <v>231</v>
      </c>
      <c r="S583" s="2" t="s">
        <v>3387</v>
      </c>
      <c r="T583" s="2" t="s">
        <v>231</v>
      </c>
      <c r="U583" s="2" t="s">
        <v>327</v>
      </c>
      <c r="V583" s="2" t="s">
        <v>836</v>
      </c>
      <c r="W583" s="2" t="s">
        <v>299</v>
      </c>
      <c r="X583" s="2" t="s">
        <v>231</v>
      </c>
      <c r="Y583" s="2" t="s">
        <v>1617</v>
      </c>
      <c r="Z583" s="4">
        <v>15</v>
      </c>
      <c r="AA583" s="4">
        <f>=ROUNDDOWN(6,0)</f>
      </c>
      <c r="AB583" s="5">
        <v>2.5</v>
      </c>
      <c r="AC583" s="2" t="s">
        <v>231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231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231</v>
      </c>
      <c r="BD583" s="8" t="s">
        <v>231</v>
      </c>
      <c r="BE583" s="4" t="s">
        <v>231</v>
      </c>
      <c r="BF583" s="8" t="s">
        <v>231</v>
      </c>
      <c r="BG583" s="7" t="s">
        <v>231</v>
      </c>
      <c r="BH583" s="7" t="s">
        <v>231</v>
      </c>
      <c r="BI583" s="7"/>
      <c r="BJ583" s="4">
        <v>11</v>
      </c>
      <c r="BK583" s="8">
        <v>188.21</v>
      </c>
      <c r="BL583" s="2" t="s">
        <v>2996</v>
      </c>
      <c r="BM583" s="7"/>
      <c r="BN583" s="7"/>
      <c r="BO583" s="4"/>
      <c r="BP583" s="8"/>
      <c r="BQ583" s="4"/>
      <c r="BR583" s="8"/>
      <c r="BS583" s="7"/>
      <c r="BT583" s="7"/>
      <c r="BU583" s="2" t="s">
        <v>3388</v>
      </c>
      <c r="BV583" s="2" t="s">
        <v>231</v>
      </c>
      <c r="BW583" s="2" t="s">
        <v>231</v>
      </c>
      <c r="BX583" s="2" t="s">
        <v>231</v>
      </c>
      <c r="BY583" s="2" t="s">
        <v>277</v>
      </c>
      <c r="BZ583" s="2" t="s">
        <v>243</v>
      </c>
      <c r="CA583" s="2" t="s">
        <v>3339</v>
      </c>
      <c r="CB583" s="2" t="s">
        <v>2742</v>
      </c>
      <c r="CC583" s="2" t="s">
        <v>244</v>
      </c>
      <c r="CD583" s="2" t="s">
        <v>231</v>
      </c>
      <c r="CE583" s="4">
        <v>15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</row>
    <row r="584">
      <c r="A584" s="2" t="s">
        <v>3389</v>
      </c>
      <c r="B584" s="2" t="s">
        <v>992</v>
      </c>
      <c r="C584" s="2" t="s">
        <v>288</v>
      </c>
      <c r="D584" s="2" t="s">
        <v>993</v>
      </c>
      <c r="E584" s="2" t="s">
        <v>3390</v>
      </c>
      <c r="F584" s="2" t="s">
        <v>3391</v>
      </c>
      <c r="G584" s="2" t="s">
        <v>3392</v>
      </c>
      <c r="H584" s="2" t="s">
        <v>3393</v>
      </c>
      <c r="I584" s="2" t="s">
        <v>3394</v>
      </c>
      <c r="J584" s="2" t="s">
        <v>3395</v>
      </c>
      <c r="K584" s="2" t="s">
        <v>253</v>
      </c>
      <c r="L584" s="3">
        <v>23.77</v>
      </c>
      <c r="M584" s="3">
        <v>24.96</v>
      </c>
      <c r="N584" s="3">
        <v>54.99</v>
      </c>
      <c r="O584" s="2" t="s">
        <v>243</v>
      </c>
      <c r="P584" s="2" t="s">
        <v>270</v>
      </c>
      <c r="Q584" s="2" t="s">
        <v>237</v>
      </c>
      <c r="R584" s="2" t="s">
        <v>231</v>
      </c>
      <c r="S584" s="2" t="s">
        <v>3396</v>
      </c>
      <c r="T584" s="2" t="s">
        <v>231</v>
      </c>
      <c r="U584" s="2" t="s">
        <v>791</v>
      </c>
      <c r="V584" s="2" t="s">
        <v>381</v>
      </c>
      <c r="W584" s="2" t="s">
        <v>691</v>
      </c>
      <c r="X584" s="2" t="s">
        <v>2042</v>
      </c>
      <c r="Y584" s="2" t="s">
        <v>2821</v>
      </c>
      <c r="Z584" s="4">
        <v>221</v>
      </c>
      <c r="AA584" s="4">
        <f>=ROUNDDOWN(6.5,0)</f>
      </c>
      <c r="AB584" s="5">
        <v>34</v>
      </c>
      <c r="AC584" s="2" t="s">
        <v>1137</v>
      </c>
      <c r="AD584" s="4">
        <v>212</v>
      </c>
      <c r="AE584" s="4">
        <v>1086</v>
      </c>
      <c r="AF584" s="6">
        <v>65</v>
      </c>
      <c r="AG584" s="6"/>
      <c r="AH584" s="7">
        <v>0.2258</v>
      </c>
      <c r="AI584" s="4"/>
      <c r="AJ584" s="4">
        <f>=ROUNDDOWN({0},0)</f>
      </c>
      <c r="AK584" s="5"/>
      <c r="AL584" s="2" t="s">
        <v>231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231</v>
      </c>
      <c r="BM584" s="7"/>
      <c r="BN584" s="7"/>
      <c r="BO584" s="4"/>
      <c r="BP584" s="8"/>
      <c r="BQ584" s="4"/>
      <c r="BR584" s="8"/>
      <c r="BS584" s="7"/>
      <c r="BT584" s="7"/>
      <c r="BU584" s="2" t="s">
        <v>3397</v>
      </c>
      <c r="BV584" s="2" t="s">
        <v>231</v>
      </c>
      <c r="BW584" s="2" t="s">
        <v>231</v>
      </c>
      <c r="BX584" s="2" t="s">
        <v>312</v>
      </c>
      <c r="BY584" s="2" t="s">
        <v>277</v>
      </c>
      <c r="BZ584" s="2" t="s">
        <v>243</v>
      </c>
      <c r="CA584" s="2" t="s">
        <v>2821</v>
      </c>
      <c r="CB584" s="2" t="s">
        <v>3398</v>
      </c>
      <c r="CC584" s="2" t="s">
        <v>244</v>
      </c>
      <c r="CD584" s="2" t="s">
        <v>231</v>
      </c>
      <c r="CE584" s="4">
        <v>221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>
        <v>212</v>
      </c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>
        <v>120</v>
      </c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>
        <v>600</v>
      </c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>
        <v>154</v>
      </c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</row>
    <row r="585">
      <c r="A585" s="2" t="s">
        <v>3399</v>
      </c>
      <c r="B585" s="2" t="s">
        <v>1186</v>
      </c>
      <c r="C585" s="2" t="s">
        <v>288</v>
      </c>
      <c r="D585" s="2" t="s">
        <v>1462</v>
      </c>
      <c r="E585" s="2" t="s">
        <v>1884</v>
      </c>
      <c r="F585" s="2" t="s">
        <v>3400</v>
      </c>
      <c r="G585" s="2" t="s">
        <v>3401</v>
      </c>
      <c r="H585" s="2" t="s">
        <v>1179</v>
      </c>
      <c r="I585" s="2" t="s">
        <v>3402</v>
      </c>
      <c r="J585" s="2" t="s">
        <v>669</v>
      </c>
      <c r="K585" s="2" t="s">
        <v>319</v>
      </c>
      <c r="L585" s="3">
        <v>57.6</v>
      </c>
      <c r="M585" s="3">
        <v>60.47</v>
      </c>
      <c r="N585" s="3">
        <v>119.99</v>
      </c>
      <c r="O585" s="2" t="s">
        <v>243</v>
      </c>
      <c r="P585" s="2" t="s">
        <v>270</v>
      </c>
      <c r="Q585" s="2" t="s">
        <v>237</v>
      </c>
      <c r="R585" s="2" t="s">
        <v>231</v>
      </c>
      <c r="S585" s="2" t="s">
        <v>3403</v>
      </c>
      <c r="T585" s="2" t="s">
        <v>231</v>
      </c>
      <c r="U585" s="2" t="s">
        <v>298</v>
      </c>
      <c r="V585" s="2" t="s">
        <v>239</v>
      </c>
      <c r="W585" s="2" t="s">
        <v>2897</v>
      </c>
      <c r="X585" s="2" t="s">
        <v>3404</v>
      </c>
      <c r="Y585" s="2" t="s">
        <v>274</v>
      </c>
      <c r="Z585" s="4">
        <v>327</v>
      </c>
      <c r="AA585" s="4">
        <f>=ROUNDDOWN(21.8,0)</f>
      </c>
      <c r="AB585" s="5">
        <v>15</v>
      </c>
      <c r="AC585" s="2" t="s">
        <v>3405</v>
      </c>
      <c r="AD585" s="4">
        <v>30</v>
      </c>
      <c r="AE585" s="4">
        <v>160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231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>
        <v>50</v>
      </c>
      <c r="BK585" s="8">
        <v>3046.32</v>
      </c>
      <c r="BL585" s="2" t="s">
        <v>1657</v>
      </c>
      <c r="BM585" s="7"/>
      <c r="BN585" s="7"/>
      <c r="BO585" s="4"/>
      <c r="BP585" s="8"/>
      <c r="BQ585" s="4"/>
      <c r="BR585" s="8"/>
      <c r="BS585" s="7"/>
      <c r="BT585" s="7"/>
      <c r="BU585" s="2" t="s">
        <v>3406</v>
      </c>
      <c r="BV585" s="2" t="s">
        <v>231</v>
      </c>
      <c r="BW585" s="2" t="s">
        <v>231</v>
      </c>
      <c r="BX585" s="2" t="s">
        <v>231</v>
      </c>
      <c r="BY585" s="2" t="s">
        <v>277</v>
      </c>
      <c r="BZ585" s="2" t="s">
        <v>243</v>
      </c>
      <c r="CA585" s="2" t="s">
        <v>284</v>
      </c>
      <c r="CB585" s="2" t="s">
        <v>990</v>
      </c>
      <c r="CC585" s="2" t="s">
        <v>244</v>
      </c>
      <c r="CD585" s="2" t="s">
        <v>231</v>
      </c>
      <c r="CE585" s="4">
        <v>220</v>
      </c>
      <c r="CF585" s="4"/>
      <c r="CG585" s="4"/>
      <c r="CH585" s="4"/>
      <c r="CI585" s="4">
        <v>107</v>
      </c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>
        <v>30</v>
      </c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>
        <v>130</v>
      </c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</row>
    <row r="586">
      <c r="A586" s="2" t="s">
        <v>3407</v>
      </c>
      <c r="B586" s="2" t="s">
        <v>992</v>
      </c>
      <c r="C586" s="2" t="s">
        <v>288</v>
      </c>
      <c r="D586" s="2" t="s">
        <v>993</v>
      </c>
      <c r="E586" s="2" t="s">
        <v>3390</v>
      </c>
      <c r="F586" s="2" t="s">
        <v>3408</v>
      </c>
      <c r="G586" s="2" t="s">
        <v>3409</v>
      </c>
      <c r="H586" s="2" t="s">
        <v>3410</v>
      </c>
      <c r="I586" s="2" t="s">
        <v>3411</v>
      </c>
      <c r="J586" s="2" t="s">
        <v>3412</v>
      </c>
      <c r="K586" s="2" t="s">
        <v>306</v>
      </c>
      <c r="L586" s="3">
        <v>13.23</v>
      </c>
      <c r="M586" s="3">
        <v>13.89</v>
      </c>
      <c r="N586" s="3">
        <v>26.99</v>
      </c>
      <c r="O586" s="2" t="s">
        <v>243</v>
      </c>
      <c r="P586" s="2" t="s">
        <v>270</v>
      </c>
      <c r="Q586" s="2" t="s">
        <v>237</v>
      </c>
      <c r="R586" s="2" t="s">
        <v>231</v>
      </c>
      <c r="S586" s="2" t="s">
        <v>3413</v>
      </c>
      <c r="T586" s="2" t="s">
        <v>472</v>
      </c>
      <c r="U586" s="2" t="s">
        <v>327</v>
      </c>
      <c r="V586" s="2" t="s">
        <v>239</v>
      </c>
      <c r="W586" s="2" t="s">
        <v>792</v>
      </c>
      <c r="X586" s="2" t="s">
        <v>2042</v>
      </c>
      <c r="Y586" s="2" t="s">
        <v>3414</v>
      </c>
      <c r="Z586" s="4">
        <v>237</v>
      </c>
      <c r="AA586" s="4">
        <f>=ROUNDDOWN(21.5454545454545,0)</f>
      </c>
      <c r="AB586" s="5">
        <v>11</v>
      </c>
      <c r="AC586" s="2" t="s">
        <v>3415</v>
      </c>
      <c r="AD586" s="4">
        <v>88</v>
      </c>
      <c r="AE586" s="4">
        <v>88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231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>
        <v>43</v>
      </c>
      <c r="BK586" s="8">
        <v>570.77</v>
      </c>
      <c r="BL586" s="2" t="s">
        <v>3416</v>
      </c>
      <c r="BM586" s="7"/>
      <c r="BN586" s="7"/>
      <c r="BO586" s="4"/>
      <c r="BP586" s="8"/>
      <c r="BQ586" s="4"/>
      <c r="BR586" s="8"/>
      <c r="BS586" s="7"/>
      <c r="BT586" s="7"/>
      <c r="BU586" s="2" t="s">
        <v>3417</v>
      </c>
      <c r="BV586" s="2" t="s">
        <v>231</v>
      </c>
      <c r="BW586" s="2" t="s">
        <v>231</v>
      </c>
      <c r="BX586" s="2" t="s">
        <v>231</v>
      </c>
      <c r="BY586" s="2" t="s">
        <v>277</v>
      </c>
      <c r="BZ586" s="2" t="s">
        <v>243</v>
      </c>
      <c r="CA586" s="2" t="s">
        <v>3418</v>
      </c>
      <c r="CB586" s="2" t="s">
        <v>1153</v>
      </c>
      <c r="CC586" s="2" t="s">
        <v>244</v>
      </c>
      <c r="CD586" s="2" t="s">
        <v>231</v>
      </c>
      <c r="CE586" s="4">
        <v>236</v>
      </c>
      <c r="CF586" s="4">
        <v>1</v>
      </c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>
        <v>88</v>
      </c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</row>
    <row r="587">
      <c r="A587" s="2" t="s">
        <v>3419</v>
      </c>
      <c r="B587" s="2" t="s">
        <v>1389</v>
      </c>
      <c r="C587" s="2" t="s">
        <v>288</v>
      </c>
      <c r="D587" s="2" t="s">
        <v>1389</v>
      </c>
      <c r="E587" s="2" t="s">
        <v>1389</v>
      </c>
      <c r="F587" s="2" t="s">
        <v>3420</v>
      </c>
      <c r="G587" s="2" t="s">
        <v>3421</v>
      </c>
      <c r="H587" s="2" t="s">
        <v>3422</v>
      </c>
      <c r="I587" s="2" t="s">
        <v>3423</v>
      </c>
      <c r="J587" s="2" t="s">
        <v>1393</v>
      </c>
      <c r="K587" s="2" t="s">
        <v>2031</v>
      </c>
      <c r="L587" s="3">
        <v>59</v>
      </c>
      <c r="M587" s="3">
        <v>61.95</v>
      </c>
      <c r="N587" s="3">
        <v>139.99</v>
      </c>
      <c r="O587" s="2" t="s">
        <v>243</v>
      </c>
      <c r="P587" s="2" t="s">
        <v>341</v>
      </c>
      <c r="Q587" s="2" t="s">
        <v>237</v>
      </c>
      <c r="R587" s="2" t="s">
        <v>231</v>
      </c>
      <c r="S587" s="2" t="s">
        <v>3424</v>
      </c>
      <c r="T587" s="2" t="s">
        <v>231</v>
      </c>
      <c r="U587" s="2" t="s">
        <v>327</v>
      </c>
      <c r="V587" s="2" t="s">
        <v>1986</v>
      </c>
      <c r="W587" s="2" t="s">
        <v>2541</v>
      </c>
      <c r="X587" s="2" t="s">
        <v>231</v>
      </c>
      <c r="Y587" s="2" t="s">
        <v>2033</v>
      </c>
      <c r="Z587" s="4">
        <v>50</v>
      </c>
      <c r="AA587" s="4">
        <f>=ROUNDDOWN(55.5555555555556,0)</f>
      </c>
      <c r="AB587" s="5">
        <v>0.9</v>
      </c>
      <c r="AC587" s="2" t="s">
        <v>231</v>
      </c>
      <c r="AD587" s="4"/>
      <c r="AE587" s="4"/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231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231</v>
      </c>
      <c r="AW587" s="8" t="s">
        <v>231</v>
      </c>
      <c r="AX587" s="4" t="s">
        <v>231</v>
      </c>
      <c r="AY587" s="8" t="s">
        <v>231</v>
      </c>
      <c r="AZ587" s="7" t="s">
        <v>231</v>
      </c>
      <c r="BA587" s="7" t="s">
        <v>231</v>
      </c>
      <c r="BB587" s="7"/>
      <c r="BC587" s="4" t="s">
        <v>231</v>
      </c>
      <c r="BD587" s="8" t="s">
        <v>231</v>
      </c>
      <c r="BE587" s="4" t="s">
        <v>231</v>
      </c>
      <c r="BF587" s="8" t="s">
        <v>231</v>
      </c>
      <c r="BG587" s="7" t="s">
        <v>231</v>
      </c>
      <c r="BH587" s="7" t="s">
        <v>231</v>
      </c>
      <c r="BI587" s="7"/>
      <c r="BJ587" s="4"/>
      <c r="BK587" s="8"/>
      <c r="BL587" s="2" t="s">
        <v>231</v>
      </c>
      <c r="BM587" s="7"/>
      <c r="BN587" s="7"/>
      <c r="BO587" s="4"/>
      <c r="BP587" s="8"/>
      <c r="BQ587" s="4"/>
      <c r="BR587" s="8"/>
      <c r="BS587" s="7"/>
      <c r="BT587" s="7"/>
      <c r="BU587" s="2" t="s">
        <v>3425</v>
      </c>
      <c r="BV587" s="2" t="s">
        <v>231</v>
      </c>
      <c r="BW587" s="2" t="s">
        <v>231</v>
      </c>
      <c r="BX587" s="2" t="s">
        <v>231</v>
      </c>
      <c r="BY587" s="2" t="s">
        <v>277</v>
      </c>
      <c r="BZ587" s="2" t="s">
        <v>243</v>
      </c>
      <c r="CA587" s="2" t="s">
        <v>2035</v>
      </c>
      <c r="CB587" s="2" t="s">
        <v>231</v>
      </c>
      <c r="CC587" s="2" t="s">
        <v>244</v>
      </c>
      <c r="CD587" s="2" t="s">
        <v>231</v>
      </c>
      <c r="CE587" s="4"/>
      <c r="CF587" s="4">
        <v>50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</row>
    <row r="588">
      <c r="A588" s="2" t="s">
        <v>3426</v>
      </c>
      <c r="B588" s="2" t="s">
        <v>1389</v>
      </c>
      <c r="C588" s="2" t="s">
        <v>288</v>
      </c>
      <c r="D588" s="2" t="s">
        <v>1389</v>
      </c>
      <c r="E588" s="2" t="s">
        <v>1389</v>
      </c>
      <c r="F588" s="2" t="s">
        <v>3420</v>
      </c>
      <c r="G588" s="2" t="s">
        <v>3421</v>
      </c>
      <c r="H588" s="2" t="s">
        <v>3422</v>
      </c>
      <c r="I588" s="2" t="s">
        <v>3423</v>
      </c>
      <c r="J588" s="2" t="s">
        <v>1401</v>
      </c>
      <c r="K588" s="2" t="s">
        <v>2031</v>
      </c>
      <c r="L588" s="3">
        <v>94</v>
      </c>
      <c r="M588" s="3">
        <v>98.7</v>
      </c>
      <c r="N588" s="3">
        <v>209.99</v>
      </c>
      <c r="O588" s="2" t="s">
        <v>243</v>
      </c>
      <c r="P588" s="2" t="s">
        <v>341</v>
      </c>
      <c r="Q588" s="2" t="s">
        <v>237</v>
      </c>
      <c r="R588" s="2" t="s">
        <v>231</v>
      </c>
      <c r="S588" s="2" t="s">
        <v>3424</v>
      </c>
      <c r="T588" s="2" t="s">
        <v>231</v>
      </c>
      <c r="U588" s="2" t="s">
        <v>327</v>
      </c>
      <c r="V588" s="2" t="s">
        <v>1986</v>
      </c>
      <c r="W588" s="2" t="s">
        <v>2541</v>
      </c>
      <c r="X588" s="2" t="s">
        <v>231</v>
      </c>
      <c r="Y588" s="2" t="s">
        <v>2033</v>
      </c>
      <c r="Z588" s="4">
        <v>54</v>
      </c>
      <c r="AA588" s="4">
        <f>=ROUNDDOWN({0},0)</f>
      </c>
      <c r="AB588" s="5"/>
      <c r="AC588" s="2" t="s">
        <v>231</v>
      </c>
      <c r="AD588" s="4"/>
      <c r="AE588" s="4"/>
      <c r="AF588" s="6">
        <v>63</v>
      </c>
      <c r="AG588" s="6"/>
      <c r="AH588" s="7">
        <v>1</v>
      </c>
      <c r="AI588" s="4"/>
      <c r="AJ588" s="4">
        <f>=ROUNDDOWN({0},0)</f>
      </c>
      <c r="AK588" s="5"/>
      <c r="AL588" s="2" t="s">
        <v>231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231</v>
      </c>
      <c r="AW588" s="8" t="s">
        <v>231</v>
      </c>
      <c r="AX588" s="4" t="s">
        <v>231</v>
      </c>
      <c r="AY588" s="8" t="s">
        <v>231</v>
      </c>
      <c r="AZ588" s="7" t="s">
        <v>231</v>
      </c>
      <c r="BA588" s="7" t="s">
        <v>231</v>
      </c>
      <c r="BB588" s="7"/>
      <c r="BC588" s="4" t="s">
        <v>231</v>
      </c>
      <c r="BD588" s="8" t="s">
        <v>231</v>
      </c>
      <c r="BE588" s="4" t="s">
        <v>231</v>
      </c>
      <c r="BF588" s="8" t="s">
        <v>231</v>
      </c>
      <c r="BG588" s="7" t="s">
        <v>231</v>
      </c>
      <c r="BH588" s="7" t="s">
        <v>231</v>
      </c>
      <c r="BI588" s="7"/>
      <c r="BJ588" s="4"/>
      <c r="BK588" s="8"/>
      <c r="BL588" s="2" t="s">
        <v>1306</v>
      </c>
      <c r="BM588" s="7"/>
      <c r="BN588" s="7"/>
      <c r="BO588" s="4"/>
      <c r="BP588" s="8"/>
      <c r="BQ588" s="4"/>
      <c r="BR588" s="8"/>
      <c r="BS588" s="7"/>
      <c r="BT588" s="7"/>
      <c r="BU588" s="2" t="s">
        <v>3427</v>
      </c>
      <c r="BV588" s="2" t="s">
        <v>231</v>
      </c>
      <c r="BW588" s="2" t="s">
        <v>231</v>
      </c>
      <c r="BX588" s="2" t="s">
        <v>231</v>
      </c>
      <c r="BY588" s="2" t="s">
        <v>277</v>
      </c>
      <c r="BZ588" s="2" t="s">
        <v>243</v>
      </c>
      <c r="CA588" s="2" t="s">
        <v>2035</v>
      </c>
      <c r="CB588" s="2" t="s">
        <v>231</v>
      </c>
      <c r="CC588" s="2" t="s">
        <v>244</v>
      </c>
      <c r="CD588" s="2" t="s">
        <v>231</v>
      </c>
      <c r="CE588" s="4"/>
      <c r="CF588" s="4">
        <v>54</v>
      </c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</row>
    <row r="589">
      <c r="A589" s="2" t="s">
        <v>3428</v>
      </c>
      <c r="B589" s="2" t="s">
        <v>1389</v>
      </c>
      <c r="C589" s="2" t="s">
        <v>288</v>
      </c>
      <c r="D589" s="2" t="s">
        <v>1389</v>
      </c>
      <c r="E589" s="2" t="s">
        <v>1389</v>
      </c>
      <c r="F589" s="2" t="s">
        <v>3420</v>
      </c>
      <c r="G589" s="2" t="s">
        <v>3421</v>
      </c>
      <c r="H589" s="2" t="s">
        <v>3422</v>
      </c>
      <c r="I589" s="2" t="s">
        <v>3423</v>
      </c>
      <c r="J589" s="2" t="s">
        <v>2039</v>
      </c>
      <c r="K589" s="2" t="s">
        <v>2031</v>
      </c>
      <c r="L589" s="3">
        <v>125</v>
      </c>
      <c r="M589" s="3">
        <v>131.25</v>
      </c>
      <c r="N589" s="3">
        <v>279.98</v>
      </c>
      <c r="O589" s="2" t="s">
        <v>243</v>
      </c>
      <c r="P589" s="2" t="s">
        <v>341</v>
      </c>
      <c r="Q589" s="2" t="s">
        <v>237</v>
      </c>
      <c r="R589" s="2" t="s">
        <v>231</v>
      </c>
      <c r="S589" s="2" t="s">
        <v>3424</v>
      </c>
      <c r="T589" s="2" t="s">
        <v>231</v>
      </c>
      <c r="U589" s="2" t="s">
        <v>327</v>
      </c>
      <c r="V589" s="2" t="s">
        <v>1986</v>
      </c>
      <c r="W589" s="2" t="s">
        <v>2541</v>
      </c>
      <c r="X589" s="2" t="s">
        <v>231</v>
      </c>
      <c r="Y589" s="2" t="s">
        <v>2033</v>
      </c>
      <c r="Z589" s="4">
        <v>102</v>
      </c>
      <c r="AA589" s="4">
        <f>=ROUNDDOWN(1020,0)</f>
      </c>
      <c r="AB589" s="5">
        <v>0.1</v>
      </c>
      <c r="AC589" s="2" t="s">
        <v>231</v>
      </c>
      <c r="AD589" s="4"/>
      <c r="AE589" s="4"/>
      <c r="AF589" s="6">
        <v>63</v>
      </c>
      <c r="AG589" s="6"/>
      <c r="AH589" s="7">
        <v>1</v>
      </c>
      <c r="AI589" s="4"/>
      <c r="AJ589" s="4">
        <f>=ROUNDDOWN({0},0)</f>
      </c>
      <c r="AK589" s="5"/>
      <c r="AL589" s="2" t="s">
        <v>231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231</v>
      </c>
      <c r="AW589" s="8" t="s">
        <v>231</v>
      </c>
      <c r="AX589" s="4" t="s">
        <v>231</v>
      </c>
      <c r="AY589" s="8" t="s">
        <v>231</v>
      </c>
      <c r="AZ589" s="7" t="s">
        <v>231</v>
      </c>
      <c r="BA589" s="7" t="s">
        <v>231</v>
      </c>
      <c r="BB589" s="7"/>
      <c r="BC589" s="4" t="s">
        <v>231</v>
      </c>
      <c r="BD589" s="8" t="s">
        <v>231</v>
      </c>
      <c r="BE589" s="4" t="s">
        <v>231</v>
      </c>
      <c r="BF589" s="8" t="s">
        <v>231</v>
      </c>
      <c r="BG589" s="7" t="s">
        <v>231</v>
      </c>
      <c r="BH589" s="7" t="s">
        <v>231</v>
      </c>
      <c r="BI589" s="7"/>
      <c r="BJ589" s="4"/>
      <c r="BK589" s="8"/>
      <c r="BL589" s="2" t="s">
        <v>231</v>
      </c>
      <c r="BM589" s="7"/>
      <c r="BN589" s="7"/>
      <c r="BO589" s="4"/>
      <c r="BP589" s="8"/>
      <c r="BQ589" s="4"/>
      <c r="BR589" s="8"/>
      <c r="BS589" s="7"/>
      <c r="BT589" s="7"/>
      <c r="BU589" s="2" t="s">
        <v>3429</v>
      </c>
      <c r="BV589" s="2" t="s">
        <v>231</v>
      </c>
      <c r="BW589" s="2" t="s">
        <v>231</v>
      </c>
      <c r="BX589" s="2" t="s">
        <v>231</v>
      </c>
      <c r="BY589" s="2" t="s">
        <v>277</v>
      </c>
      <c r="BZ589" s="2" t="s">
        <v>243</v>
      </c>
      <c r="CA589" s="2" t="s">
        <v>2035</v>
      </c>
      <c r="CB589" s="2" t="s">
        <v>3349</v>
      </c>
      <c r="CC589" s="2" t="s">
        <v>244</v>
      </c>
      <c r="CD589" s="2" t="s">
        <v>231</v>
      </c>
      <c r="CE589" s="4"/>
      <c r="CF589" s="4">
        <v>102</v>
      </c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</row>
    <row r="590">
      <c r="A590" s="2" t="s">
        <v>3430</v>
      </c>
      <c r="B590" s="2" t="s">
        <v>940</v>
      </c>
      <c r="C590" s="2" t="s">
        <v>288</v>
      </c>
      <c r="D590" s="2" t="s">
        <v>1533</v>
      </c>
      <c r="E590" s="2" t="s">
        <v>1534</v>
      </c>
      <c r="F590" s="2" t="s">
        <v>3431</v>
      </c>
      <c r="G590" s="2" t="s">
        <v>3432</v>
      </c>
      <c r="H590" s="2" t="s">
        <v>3433</v>
      </c>
      <c r="I590" s="2" t="s">
        <v>3434</v>
      </c>
      <c r="J590" s="2" t="s">
        <v>1536</v>
      </c>
      <c r="K590" s="2" t="s">
        <v>306</v>
      </c>
      <c r="L590" s="3">
        <v>18.8</v>
      </c>
      <c r="M590" s="3">
        <v>19.74</v>
      </c>
      <c r="N590" s="3">
        <v>42.99</v>
      </c>
      <c r="O590" s="2" t="s">
        <v>243</v>
      </c>
      <c r="P590" s="2" t="s">
        <v>341</v>
      </c>
      <c r="Q590" s="2" t="s">
        <v>237</v>
      </c>
      <c r="R590" s="2" t="s">
        <v>231</v>
      </c>
      <c r="S590" s="2" t="s">
        <v>3435</v>
      </c>
      <c r="T590" s="2" t="s">
        <v>362</v>
      </c>
      <c r="U590" s="2" t="s">
        <v>327</v>
      </c>
      <c r="V590" s="2" t="s">
        <v>1192</v>
      </c>
      <c r="W590" s="2" t="s">
        <v>2897</v>
      </c>
      <c r="X590" s="2" t="s">
        <v>273</v>
      </c>
      <c r="Y590" s="2" t="s">
        <v>3436</v>
      </c>
      <c r="Z590" s="4">
        <v>152</v>
      </c>
      <c r="AA590" s="4">
        <f>=ROUNDDOWN(42.2222222222222,0)</f>
      </c>
      <c r="AB590" s="5">
        <v>3.6</v>
      </c>
      <c r="AC590" s="2" t="s">
        <v>231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231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>
        <v>16</v>
      </c>
      <c r="BK590" s="8">
        <v>255.21</v>
      </c>
      <c r="BL590" s="2" t="s">
        <v>3437</v>
      </c>
      <c r="BM590" s="7"/>
      <c r="BN590" s="7"/>
      <c r="BO590" s="4"/>
      <c r="BP590" s="8"/>
      <c r="BQ590" s="4"/>
      <c r="BR590" s="8"/>
      <c r="BS590" s="7"/>
      <c r="BT590" s="7"/>
      <c r="BU590" s="2" t="s">
        <v>3438</v>
      </c>
      <c r="BV590" s="2" t="s">
        <v>231</v>
      </c>
      <c r="BW590" s="2" t="s">
        <v>231</v>
      </c>
      <c r="BX590" s="2" t="s">
        <v>231</v>
      </c>
      <c r="BY590" s="2" t="s">
        <v>277</v>
      </c>
      <c r="BZ590" s="2" t="s">
        <v>243</v>
      </c>
      <c r="CA590" s="2" t="s">
        <v>3439</v>
      </c>
      <c r="CB590" s="2" t="s">
        <v>3440</v>
      </c>
      <c r="CC590" s="2" t="s">
        <v>244</v>
      </c>
      <c r="CD590" s="2" t="s">
        <v>231</v>
      </c>
      <c r="CE590" s="4">
        <v>152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</row>
    <row r="591">
      <c r="A591" s="2" t="s">
        <v>3441</v>
      </c>
      <c r="B591" s="2" t="s">
        <v>801</v>
      </c>
      <c r="C591" s="2" t="s">
        <v>867</v>
      </c>
      <c r="D591" s="2" t="s">
        <v>2228</v>
      </c>
      <c r="E591" s="2" t="s">
        <v>2229</v>
      </c>
      <c r="F591" s="2" t="s">
        <v>3442</v>
      </c>
      <c r="G591" s="2" t="s">
        <v>3442</v>
      </c>
      <c r="H591" s="2" t="s">
        <v>3442</v>
      </c>
      <c r="I591" s="2" t="s">
        <v>3443</v>
      </c>
      <c r="J591" s="2" t="s">
        <v>807</v>
      </c>
      <c r="K591" s="2" t="s">
        <v>294</v>
      </c>
      <c r="L591" s="3">
        <v>121.5</v>
      </c>
      <c r="M591" s="3">
        <v>127.58</v>
      </c>
      <c r="N591" s="3">
        <v>279.99</v>
      </c>
      <c r="O591" s="2" t="s">
        <v>243</v>
      </c>
      <c r="P591" s="2" t="s">
        <v>341</v>
      </c>
      <c r="Q591" s="2" t="s">
        <v>237</v>
      </c>
      <c r="R591" s="2" t="s">
        <v>231</v>
      </c>
      <c r="S591" s="2" t="s">
        <v>231</v>
      </c>
      <c r="T591" s="2" t="s">
        <v>231</v>
      </c>
      <c r="U591" s="2" t="s">
        <v>327</v>
      </c>
      <c r="V591" s="2" t="s">
        <v>662</v>
      </c>
      <c r="W591" s="2" t="s">
        <v>691</v>
      </c>
      <c r="X591" s="2" t="s">
        <v>1694</v>
      </c>
      <c r="Y591" s="2" t="s">
        <v>1422</v>
      </c>
      <c r="Z591" s="4">
        <v>84</v>
      </c>
      <c r="AA591" s="4">
        <f>=ROUNDDOWN(84,0)</f>
      </c>
      <c r="AB591" s="5">
        <v>1</v>
      </c>
      <c r="AC591" s="2" t="s">
        <v>231</v>
      </c>
      <c r="AD591" s="4"/>
      <c r="AE591" s="4"/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231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>
        <v>1</v>
      </c>
      <c r="BK591" s="8">
        <v>130.41</v>
      </c>
      <c r="BL591" s="2" t="s">
        <v>2343</v>
      </c>
      <c r="BM591" s="7"/>
      <c r="BN591" s="7"/>
      <c r="BO591" s="4"/>
      <c r="BP591" s="8"/>
      <c r="BQ591" s="4"/>
      <c r="BR591" s="8"/>
      <c r="BS591" s="7"/>
      <c r="BT591" s="7"/>
      <c r="BU591" s="2" t="s">
        <v>3444</v>
      </c>
      <c r="BV591" s="2" t="s">
        <v>231</v>
      </c>
      <c r="BW591" s="2" t="s">
        <v>231</v>
      </c>
      <c r="BX591" s="2" t="s">
        <v>241</v>
      </c>
      <c r="BY591" s="2" t="s">
        <v>277</v>
      </c>
      <c r="BZ591" s="2" t="s">
        <v>243</v>
      </c>
      <c r="CA591" s="2" t="s">
        <v>3445</v>
      </c>
      <c r="CB591" s="2" t="s">
        <v>3446</v>
      </c>
      <c r="CC591" s="2" t="s">
        <v>244</v>
      </c>
      <c r="CD591" s="2" t="s">
        <v>231</v>
      </c>
      <c r="CE591" s="4"/>
      <c r="CF591" s="4">
        <v>84</v>
      </c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</row>
    <row r="592">
      <c r="A592" s="2" t="s">
        <v>3447</v>
      </c>
      <c r="B592" s="2" t="s">
        <v>226</v>
      </c>
      <c r="C592" s="2" t="s">
        <v>288</v>
      </c>
      <c r="D592" s="2" t="s">
        <v>1624</v>
      </c>
      <c r="E592" s="2" t="s">
        <v>2589</v>
      </c>
      <c r="F592" s="2" t="s">
        <v>3448</v>
      </c>
      <c r="G592" s="2" t="s">
        <v>3448</v>
      </c>
      <c r="H592" s="2" t="s">
        <v>3448</v>
      </c>
      <c r="I592" s="2" t="s">
        <v>2589</v>
      </c>
      <c r="J592" s="2" t="s">
        <v>1554</v>
      </c>
      <c r="K592" s="2" t="s">
        <v>901</v>
      </c>
      <c r="L592" s="3">
        <v>42.34</v>
      </c>
      <c r="M592" s="3">
        <v>44.46</v>
      </c>
      <c r="N592" s="3">
        <v>84.99</v>
      </c>
      <c r="O592" s="2" t="s">
        <v>243</v>
      </c>
      <c r="P592" s="2" t="s">
        <v>270</v>
      </c>
      <c r="Q592" s="2" t="s">
        <v>237</v>
      </c>
      <c r="R592" s="2" t="s">
        <v>231</v>
      </c>
      <c r="S592" s="2" t="s">
        <v>3449</v>
      </c>
      <c r="T592" s="2" t="s">
        <v>231</v>
      </c>
      <c r="U592" s="2" t="s">
        <v>327</v>
      </c>
      <c r="V592" s="2" t="s">
        <v>239</v>
      </c>
      <c r="W592" s="2" t="s">
        <v>273</v>
      </c>
      <c r="X592" s="2" t="s">
        <v>299</v>
      </c>
      <c r="Y592" s="2" t="s">
        <v>671</v>
      </c>
      <c r="Z592" s="4">
        <v>476</v>
      </c>
      <c r="AA592" s="4">
        <f>=ROUNDDOWN(23.8,0)</f>
      </c>
      <c r="AB592" s="5">
        <v>20</v>
      </c>
      <c r="AC592" s="2" t="s">
        <v>2082</v>
      </c>
      <c r="AD592" s="4">
        <v>400</v>
      </c>
      <c r="AE592" s="4">
        <v>400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231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231</v>
      </c>
      <c r="BD592" s="8" t="s">
        <v>231</v>
      </c>
      <c r="BE592" s="4" t="s">
        <v>231</v>
      </c>
      <c r="BF592" s="8" t="s">
        <v>231</v>
      </c>
      <c r="BG592" s="7" t="s">
        <v>231</v>
      </c>
      <c r="BH592" s="7" t="s">
        <v>231</v>
      </c>
      <c r="BI592" s="7"/>
      <c r="BJ592" s="4">
        <v>68</v>
      </c>
      <c r="BK592" s="8">
        <v>2975.39</v>
      </c>
      <c r="BL592" s="2" t="s">
        <v>3450</v>
      </c>
      <c r="BM592" s="7"/>
      <c r="BN592" s="7"/>
      <c r="BO592" s="4"/>
      <c r="BP592" s="8"/>
      <c r="BQ592" s="4"/>
      <c r="BR592" s="8"/>
      <c r="BS592" s="7"/>
      <c r="BT592" s="7"/>
      <c r="BU592" s="2" t="s">
        <v>3451</v>
      </c>
      <c r="BV592" s="2" t="s">
        <v>231</v>
      </c>
      <c r="BW592" s="2" t="s">
        <v>231</v>
      </c>
      <c r="BX592" s="2" t="s">
        <v>231</v>
      </c>
      <c r="BY592" s="2" t="s">
        <v>277</v>
      </c>
      <c r="BZ592" s="2" t="s">
        <v>243</v>
      </c>
      <c r="CA592" s="2" t="s">
        <v>387</v>
      </c>
      <c r="CB592" s="2" t="s">
        <v>3452</v>
      </c>
      <c r="CC592" s="2" t="s">
        <v>244</v>
      </c>
      <c r="CD592" s="2" t="s">
        <v>231</v>
      </c>
      <c r="CE592" s="4">
        <v>476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>
        <v>400</v>
      </c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</row>
    <row r="593">
      <c r="A593" s="2" t="s">
        <v>3453</v>
      </c>
      <c r="B593" s="2" t="s">
        <v>226</v>
      </c>
      <c r="C593" s="2" t="s">
        <v>288</v>
      </c>
      <c r="D593" s="2" t="s">
        <v>1624</v>
      </c>
      <c r="E593" s="2" t="s">
        <v>2589</v>
      </c>
      <c r="F593" s="2" t="s">
        <v>3448</v>
      </c>
      <c r="G593" s="2" t="s">
        <v>3448</v>
      </c>
      <c r="H593" s="2" t="s">
        <v>3448</v>
      </c>
      <c r="I593" s="2" t="s">
        <v>2589</v>
      </c>
      <c r="J593" s="2" t="s">
        <v>1554</v>
      </c>
      <c r="K593" s="2" t="s">
        <v>306</v>
      </c>
      <c r="L593" s="3">
        <v>42.34</v>
      </c>
      <c r="M593" s="3">
        <v>44.46</v>
      </c>
      <c r="N593" s="3">
        <v>84.99</v>
      </c>
      <c r="O593" s="2" t="s">
        <v>243</v>
      </c>
      <c r="P593" s="2" t="s">
        <v>1332</v>
      </c>
      <c r="Q593" s="2" t="s">
        <v>237</v>
      </c>
      <c r="R593" s="2" t="s">
        <v>231</v>
      </c>
      <c r="S593" s="2" t="s">
        <v>3454</v>
      </c>
      <c r="T593" s="2" t="s">
        <v>231</v>
      </c>
      <c r="U593" s="2" t="s">
        <v>327</v>
      </c>
      <c r="V593" s="2" t="s">
        <v>239</v>
      </c>
      <c r="W593" s="2" t="s">
        <v>273</v>
      </c>
      <c r="X593" s="2" t="s">
        <v>299</v>
      </c>
      <c r="Y593" s="2" t="s">
        <v>3455</v>
      </c>
      <c r="Z593" s="4">
        <v>714</v>
      </c>
      <c r="AA593" s="4">
        <f>=ROUNDDOWN(21,0)</f>
      </c>
      <c r="AB593" s="5">
        <v>34</v>
      </c>
      <c r="AC593" s="2" t="s">
        <v>2082</v>
      </c>
      <c r="AD593" s="4">
        <v>400</v>
      </c>
      <c r="AE593" s="4">
        <v>900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231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231</v>
      </c>
      <c r="BD593" s="8" t="s">
        <v>231</v>
      </c>
      <c r="BE593" s="4" t="s">
        <v>231</v>
      </c>
      <c r="BF593" s="8" t="s">
        <v>231</v>
      </c>
      <c r="BG593" s="7" t="s">
        <v>231</v>
      </c>
      <c r="BH593" s="7" t="s">
        <v>231</v>
      </c>
      <c r="BI593" s="7"/>
      <c r="BJ593" s="4">
        <v>128</v>
      </c>
      <c r="BK593" s="8">
        <v>5962.91</v>
      </c>
      <c r="BL593" s="2" t="s">
        <v>3456</v>
      </c>
      <c r="BM593" s="7"/>
      <c r="BN593" s="7"/>
      <c r="BO593" s="4"/>
      <c r="BP593" s="8"/>
      <c r="BQ593" s="4"/>
      <c r="BR593" s="8"/>
      <c r="BS593" s="7"/>
      <c r="BT593" s="7"/>
      <c r="BU593" s="2" t="s">
        <v>3457</v>
      </c>
      <c r="BV593" s="2" t="s">
        <v>231</v>
      </c>
      <c r="BW593" s="2" t="s">
        <v>231</v>
      </c>
      <c r="BX593" s="2" t="s">
        <v>231</v>
      </c>
      <c r="BY593" s="2" t="s">
        <v>277</v>
      </c>
      <c r="BZ593" s="2" t="s">
        <v>243</v>
      </c>
      <c r="CA593" s="2" t="s">
        <v>3458</v>
      </c>
      <c r="CB593" s="2" t="s">
        <v>3459</v>
      </c>
      <c r="CC593" s="2" t="s">
        <v>244</v>
      </c>
      <c r="CD593" s="2" t="s">
        <v>231</v>
      </c>
      <c r="CE593" s="4">
        <v>714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>
        <v>400</v>
      </c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>
        <v>500</v>
      </c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</row>
    <row r="594">
      <c r="A594" s="2" t="s">
        <v>3460</v>
      </c>
      <c r="B594" s="2" t="s">
        <v>1186</v>
      </c>
      <c r="C594" s="2" t="s">
        <v>3461</v>
      </c>
      <c r="D594" s="2" t="s">
        <v>1139</v>
      </c>
      <c r="E594" s="2" t="s">
        <v>1140</v>
      </c>
      <c r="F594" s="2" t="s">
        <v>3462</v>
      </c>
      <c r="G594" s="2" t="s">
        <v>231</v>
      </c>
      <c r="H594" s="2" t="s">
        <v>231</v>
      </c>
      <c r="I594" s="2" t="s">
        <v>3463</v>
      </c>
      <c r="J594" s="2" t="s">
        <v>3464</v>
      </c>
      <c r="K594" s="2" t="s">
        <v>870</v>
      </c>
      <c r="L594" s="3">
        <v>22.5</v>
      </c>
      <c r="M594" s="3">
        <v>23.62</v>
      </c>
      <c r="N594" s="3">
        <v>44.99</v>
      </c>
      <c r="O594" s="2" t="s">
        <v>243</v>
      </c>
      <c r="P594" s="2" t="s">
        <v>341</v>
      </c>
      <c r="Q594" s="2" t="s">
        <v>237</v>
      </c>
      <c r="R594" s="2" t="s">
        <v>231</v>
      </c>
      <c r="S594" s="2" t="s">
        <v>3465</v>
      </c>
      <c r="T594" s="2" t="s">
        <v>231</v>
      </c>
      <c r="U594" s="2" t="s">
        <v>231</v>
      </c>
      <c r="V594" s="2" t="s">
        <v>987</v>
      </c>
      <c r="W594" s="2" t="s">
        <v>2541</v>
      </c>
      <c r="X594" s="2" t="s">
        <v>273</v>
      </c>
      <c r="Y594" s="2" t="s">
        <v>274</v>
      </c>
      <c r="Z594" s="4">
        <v>8</v>
      </c>
      <c r="AA594" s="4">
        <f>=ROUNDDOWN(16,0)</f>
      </c>
      <c r="AB594" s="5">
        <v>0.5</v>
      </c>
      <c r="AC594" s="2" t="s">
        <v>231</v>
      </c>
      <c r="AD594" s="4"/>
      <c r="AE594" s="4"/>
      <c r="AF594" s="6">
        <v>68</v>
      </c>
      <c r="AG594" s="6"/>
      <c r="AH594" s="7">
        <v>1</v>
      </c>
      <c r="AI594" s="4"/>
      <c r="AJ594" s="4">
        <f>=ROUNDDOWN({0},0)</f>
      </c>
      <c r="AK594" s="5"/>
      <c r="AL594" s="2" t="s">
        <v>231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>
        <v>2</v>
      </c>
      <c r="BK594" s="8">
        <v>22.36</v>
      </c>
      <c r="BL594" s="2" t="s">
        <v>1020</v>
      </c>
      <c r="BM594" s="7"/>
      <c r="BN594" s="7"/>
      <c r="BO594" s="4"/>
      <c r="BP594" s="8"/>
      <c r="BQ594" s="4"/>
      <c r="BR594" s="8"/>
      <c r="BS594" s="7"/>
      <c r="BT594" s="7"/>
      <c r="BU594" s="2" t="s">
        <v>3466</v>
      </c>
      <c r="BV594" s="2" t="s">
        <v>231</v>
      </c>
      <c r="BW594" s="2" t="s">
        <v>231</v>
      </c>
      <c r="BX594" s="2" t="s">
        <v>231</v>
      </c>
      <c r="BY594" s="2" t="s">
        <v>277</v>
      </c>
      <c r="BZ594" s="2" t="s">
        <v>243</v>
      </c>
      <c r="CA594" s="2" t="s">
        <v>2052</v>
      </c>
      <c r="CB594" s="2" t="s">
        <v>3467</v>
      </c>
      <c r="CC594" s="2" t="s">
        <v>244</v>
      </c>
      <c r="CD594" s="2" t="s">
        <v>231</v>
      </c>
      <c r="CE594" s="4">
        <v>8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</row>
    <row r="595">
      <c r="A595" s="2" t="s">
        <v>3468</v>
      </c>
      <c r="B595" s="2" t="s">
        <v>1004</v>
      </c>
      <c r="C595" s="2" t="s">
        <v>1105</v>
      </c>
      <c r="D595" s="2" t="s">
        <v>1912</v>
      </c>
      <c r="E595" s="2" t="s">
        <v>2523</v>
      </c>
      <c r="F595" s="2" t="s">
        <v>3469</v>
      </c>
      <c r="G595" s="2" t="s">
        <v>3469</v>
      </c>
      <c r="H595" s="2" t="s">
        <v>3469</v>
      </c>
      <c r="I595" s="2" t="s">
        <v>3470</v>
      </c>
      <c r="J595" s="2" t="s">
        <v>807</v>
      </c>
      <c r="K595" s="2" t="s">
        <v>234</v>
      </c>
      <c r="L595" s="3">
        <v>64.69</v>
      </c>
      <c r="M595" s="3">
        <v>67.92</v>
      </c>
      <c r="N595" s="3">
        <v>129.99</v>
      </c>
      <c r="O595" s="2" t="s">
        <v>235</v>
      </c>
      <c r="P595" s="2" t="s">
        <v>341</v>
      </c>
      <c r="Q595" s="2" t="s">
        <v>237</v>
      </c>
      <c r="R595" s="2" t="s">
        <v>231</v>
      </c>
      <c r="S595" s="2" t="s">
        <v>231</v>
      </c>
      <c r="T595" s="2" t="s">
        <v>231</v>
      </c>
      <c r="U595" s="2" t="s">
        <v>231</v>
      </c>
      <c r="V595" s="2" t="s">
        <v>662</v>
      </c>
      <c r="W595" s="2" t="s">
        <v>792</v>
      </c>
      <c r="X595" s="2" t="s">
        <v>231</v>
      </c>
      <c r="Y595" s="2" t="s">
        <v>3471</v>
      </c>
      <c r="Z595" s="4">
        <v>96</v>
      </c>
      <c r="AA595" s="4">
        <f>=ROUNDDOWN(96,0)</f>
      </c>
      <c r="AB595" s="5">
        <v>1</v>
      </c>
      <c r="AC595" s="2" t="s">
        <v>231</v>
      </c>
      <c r="AD595" s="4"/>
      <c r="AE595" s="4"/>
      <c r="AF595" s="6">
        <v>75</v>
      </c>
      <c r="AG595" s="6"/>
      <c r="AH595" s="7">
        <v>1</v>
      </c>
      <c r="AI595" s="4"/>
      <c r="AJ595" s="4">
        <f>=ROUNDDOWN({0},0)</f>
      </c>
      <c r="AK595" s="5"/>
      <c r="AL595" s="2" t="s">
        <v>231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>
        <v>25</v>
      </c>
      <c r="BK595" s="8">
        <v>902.54</v>
      </c>
      <c r="BL595" s="2" t="s">
        <v>3472</v>
      </c>
      <c r="BM595" s="7"/>
      <c r="BN595" s="7"/>
      <c r="BO595" s="4"/>
      <c r="BP595" s="8"/>
      <c r="BQ595" s="4"/>
      <c r="BR595" s="8"/>
      <c r="BS595" s="7"/>
      <c r="BT595" s="7"/>
      <c r="BU595" s="2" t="s">
        <v>3473</v>
      </c>
      <c r="BV595" s="2" t="s">
        <v>231</v>
      </c>
      <c r="BW595" s="2" t="s">
        <v>231</v>
      </c>
      <c r="BX595" s="2" t="s">
        <v>231</v>
      </c>
      <c r="BY595" s="2" t="s">
        <v>277</v>
      </c>
      <c r="BZ595" s="2" t="s">
        <v>243</v>
      </c>
      <c r="CA595" s="2" t="s">
        <v>3474</v>
      </c>
      <c r="CB595" s="2" t="s">
        <v>3475</v>
      </c>
      <c r="CC595" s="2" t="s">
        <v>244</v>
      </c>
      <c r="CD595" s="2" t="s">
        <v>231</v>
      </c>
      <c r="CE595" s="4"/>
      <c r="CF595" s="4">
        <v>96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</row>
    <row r="596">
      <c r="A596" s="2" t="s">
        <v>3476</v>
      </c>
      <c r="B596" s="2" t="s">
        <v>287</v>
      </c>
      <c r="C596" s="2" t="s">
        <v>825</v>
      </c>
      <c r="D596" s="2" t="s">
        <v>289</v>
      </c>
      <c r="E596" s="2" t="s">
        <v>290</v>
      </c>
      <c r="F596" s="2" t="s">
        <v>3477</v>
      </c>
      <c r="G596" s="2" t="s">
        <v>3477</v>
      </c>
      <c r="H596" s="2" t="s">
        <v>3477</v>
      </c>
      <c r="I596" s="2" t="s">
        <v>3478</v>
      </c>
      <c r="J596" s="2" t="s">
        <v>318</v>
      </c>
      <c r="K596" s="2" t="s">
        <v>985</v>
      </c>
      <c r="L596" s="3">
        <v>12.96</v>
      </c>
      <c r="M596" s="3">
        <v>13.61</v>
      </c>
      <c r="N596" s="3">
        <v>26.99</v>
      </c>
      <c r="O596" s="2" t="s">
        <v>250</v>
      </c>
      <c r="P596" s="2" t="s">
        <v>341</v>
      </c>
      <c r="Q596" s="2" t="s">
        <v>237</v>
      </c>
      <c r="R596" s="2" t="s">
        <v>231</v>
      </c>
      <c r="S596" s="2" t="s">
        <v>3479</v>
      </c>
      <c r="T596" s="2" t="s">
        <v>472</v>
      </c>
      <c r="U596" s="2" t="s">
        <v>231</v>
      </c>
      <c r="V596" s="2" t="s">
        <v>987</v>
      </c>
      <c r="W596" s="2" t="s">
        <v>273</v>
      </c>
      <c r="X596" s="2" t="s">
        <v>231</v>
      </c>
      <c r="Y596" s="2" t="s">
        <v>274</v>
      </c>
      <c r="Z596" s="4">
        <v>279</v>
      </c>
      <c r="AA596" s="4">
        <f>=ROUNDDOWN(139.5,0)</f>
      </c>
      <c r="AB596" s="5">
        <v>2</v>
      </c>
      <c r="AC596" s="2" t="s">
        <v>231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231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231</v>
      </c>
      <c r="BD596" s="8" t="s">
        <v>231</v>
      </c>
      <c r="BE596" s="4" t="s">
        <v>231</v>
      </c>
      <c r="BF596" s="8" t="s">
        <v>231</v>
      </c>
      <c r="BG596" s="7" t="s">
        <v>231</v>
      </c>
      <c r="BH596" s="7" t="s">
        <v>231</v>
      </c>
      <c r="BI596" s="7"/>
      <c r="BJ596" s="4">
        <v>8</v>
      </c>
      <c r="BK596" s="8">
        <v>103.76</v>
      </c>
      <c r="BL596" s="2" t="s">
        <v>3480</v>
      </c>
      <c r="BM596" s="7"/>
      <c r="BN596" s="7"/>
      <c r="BO596" s="4"/>
      <c r="BP596" s="8"/>
      <c r="BQ596" s="4"/>
      <c r="BR596" s="8"/>
      <c r="BS596" s="7"/>
      <c r="BT596" s="7"/>
      <c r="BU596" s="2" t="s">
        <v>3481</v>
      </c>
      <c r="BV596" s="2" t="s">
        <v>231</v>
      </c>
      <c r="BW596" s="2" t="s">
        <v>231</v>
      </c>
      <c r="BX596" s="2" t="s">
        <v>231</v>
      </c>
      <c r="BY596" s="2" t="s">
        <v>277</v>
      </c>
      <c r="BZ596" s="2" t="s">
        <v>243</v>
      </c>
      <c r="CA596" s="2" t="s">
        <v>284</v>
      </c>
      <c r="CB596" s="2" t="s">
        <v>3482</v>
      </c>
      <c r="CC596" s="2" t="s">
        <v>244</v>
      </c>
      <c r="CD596" s="2" t="s">
        <v>231</v>
      </c>
      <c r="CE596" s="4">
        <v>279</v>
      </c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</row>
    <row r="597">
      <c r="A597" s="2" t="s">
        <v>3483</v>
      </c>
      <c r="B597" s="2" t="s">
        <v>287</v>
      </c>
      <c r="C597" s="2" t="s">
        <v>825</v>
      </c>
      <c r="D597" s="2" t="s">
        <v>289</v>
      </c>
      <c r="E597" s="2" t="s">
        <v>290</v>
      </c>
      <c r="F597" s="2" t="s">
        <v>3477</v>
      </c>
      <c r="G597" s="2" t="s">
        <v>3477</v>
      </c>
      <c r="H597" s="2" t="s">
        <v>3477</v>
      </c>
      <c r="I597" s="2" t="s">
        <v>3478</v>
      </c>
      <c r="J597" s="2" t="s">
        <v>318</v>
      </c>
      <c r="K597" s="2" t="s">
        <v>778</v>
      </c>
      <c r="L597" s="3">
        <v>12.96</v>
      </c>
      <c r="M597" s="3">
        <v>13.61</v>
      </c>
      <c r="N597" s="3">
        <v>26.99</v>
      </c>
      <c r="O597" s="2" t="s">
        <v>250</v>
      </c>
      <c r="P597" s="2" t="s">
        <v>341</v>
      </c>
      <c r="Q597" s="2" t="s">
        <v>237</v>
      </c>
      <c r="R597" s="2" t="s">
        <v>231</v>
      </c>
      <c r="S597" s="2" t="s">
        <v>3484</v>
      </c>
      <c r="T597" s="2" t="s">
        <v>472</v>
      </c>
      <c r="U597" s="2" t="s">
        <v>231</v>
      </c>
      <c r="V597" s="2" t="s">
        <v>987</v>
      </c>
      <c r="W597" s="2" t="s">
        <v>691</v>
      </c>
      <c r="X597" s="2" t="s">
        <v>231</v>
      </c>
      <c r="Y597" s="2" t="s">
        <v>274</v>
      </c>
      <c r="Z597" s="4">
        <v>18</v>
      </c>
      <c r="AA597" s="4">
        <f>=ROUNDDOWN(18,0)</f>
      </c>
      <c r="AB597" s="5">
        <v>1</v>
      </c>
      <c r="AC597" s="2" t="s">
        <v>231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231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231</v>
      </c>
      <c r="BD597" s="8" t="s">
        <v>231</v>
      </c>
      <c r="BE597" s="4" t="s">
        <v>231</v>
      </c>
      <c r="BF597" s="8" t="s">
        <v>231</v>
      </c>
      <c r="BG597" s="7" t="s">
        <v>231</v>
      </c>
      <c r="BH597" s="7" t="s">
        <v>231</v>
      </c>
      <c r="BI597" s="7"/>
      <c r="BJ597" s="4">
        <v>6</v>
      </c>
      <c r="BK597" s="8">
        <v>77.72</v>
      </c>
      <c r="BL597" s="2" t="s">
        <v>3485</v>
      </c>
      <c r="BM597" s="7"/>
      <c r="BN597" s="7"/>
      <c r="BO597" s="4"/>
      <c r="BP597" s="8"/>
      <c r="BQ597" s="4"/>
      <c r="BR597" s="8"/>
      <c r="BS597" s="7"/>
      <c r="BT597" s="7"/>
      <c r="BU597" s="2" t="s">
        <v>3486</v>
      </c>
      <c r="BV597" s="2" t="s">
        <v>231</v>
      </c>
      <c r="BW597" s="2" t="s">
        <v>231</v>
      </c>
      <c r="BX597" s="2" t="s">
        <v>231</v>
      </c>
      <c r="BY597" s="2" t="s">
        <v>277</v>
      </c>
      <c r="BZ597" s="2" t="s">
        <v>243</v>
      </c>
      <c r="CA597" s="2" t="s">
        <v>3487</v>
      </c>
      <c r="CB597" s="2" t="s">
        <v>3488</v>
      </c>
      <c r="CC597" s="2" t="s">
        <v>244</v>
      </c>
      <c r="CD597" s="2" t="s">
        <v>231</v>
      </c>
      <c r="CE597" s="4">
        <v>18</v>
      </c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</row>
    <row r="598">
      <c r="A598" s="2" t="s">
        <v>3489</v>
      </c>
      <c r="B598" s="2" t="s">
        <v>801</v>
      </c>
      <c r="C598" s="2" t="s">
        <v>1105</v>
      </c>
      <c r="D598" s="2" t="s">
        <v>1114</v>
      </c>
      <c r="E598" s="2" t="s">
        <v>1115</v>
      </c>
      <c r="F598" s="2" t="s">
        <v>3490</v>
      </c>
      <c r="G598" s="2" t="s">
        <v>3490</v>
      </c>
      <c r="H598" s="2" t="s">
        <v>3490</v>
      </c>
      <c r="I598" s="2" t="s">
        <v>3491</v>
      </c>
      <c r="J598" s="2" t="s">
        <v>807</v>
      </c>
      <c r="K598" s="2" t="s">
        <v>698</v>
      </c>
      <c r="L598" s="3">
        <v>24.8</v>
      </c>
      <c r="M598" s="3">
        <v>26.04</v>
      </c>
      <c r="N598" s="3">
        <v>49.99</v>
      </c>
      <c r="O598" s="2" t="s">
        <v>243</v>
      </c>
      <c r="P598" s="2" t="s">
        <v>236</v>
      </c>
      <c r="Q598" s="2" t="s">
        <v>237</v>
      </c>
      <c r="R598" s="2" t="s">
        <v>231</v>
      </c>
      <c r="S598" s="2" t="s">
        <v>231</v>
      </c>
      <c r="T598" s="2" t="s">
        <v>231</v>
      </c>
      <c r="U598" s="2" t="s">
        <v>327</v>
      </c>
      <c r="V598" s="2" t="s">
        <v>662</v>
      </c>
      <c r="W598" s="2" t="s">
        <v>792</v>
      </c>
      <c r="X598" s="2" t="s">
        <v>273</v>
      </c>
      <c r="Y598" s="2" t="s">
        <v>231</v>
      </c>
      <c r="Z598" s="4"/>
      <c r="AA598" s="4">
        <f>=ROUNDDOWN({0},0)</f>
      </c>
      <c r="AB598" s="5"/>
      <c r="AC598" s="2" t="s">
        <v>794</v>
      </c>
      <c r="AD598" s="4">
        <v>100</v>
      </c>
      <c r="AE598" s="4">
        <v>100</v>
      </c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231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231</v>
      </c>
      <c r="BM598" s="7"/>
      <c r="BN598" s="7"/>
      <c r="BO598" s="4"/>
      <c r="BP598" s="8"/>
      <c r="BQ598" s="4"/>
      <c r="BR598" s="8"/>
      <c r="BS598" s="7"/>
      <c r="BT598" s="7"/>
      <c r="BU598" s="2" t="s">
        <v>241</v>
      </c>
      <c r="BV598" s="2" t="s">
        <v>231</v>
      </c>
      <c r="BW598" s="2" t="s">
        <v>231</v>
      </c>
      <c r="BX598" s="2" t="s">
        <v>241</v>
      </c>
      <c r="BY598" s="2" t="s">
        <v>242</v>
      </c>
      <c r="BZ598" s="2" t="s">
        <v>243</v>
      </c>
      <c r="CA598" s="2" t="s">
        <v>231</v>
      </c>
      <c r="CB598" s="2" t="s">
        <v>231</v>
      </c>
      <c r="CC598" s="2" t="s">
        <v>244</v>
      </c>
      <c r="CD598" s="2" t="s">
        <v>231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>
        <v>100</v>
      </c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</row>
    <row r="599">
      <c r="A599" s="2" t="s">
        <v>3492</v>
      </c>
      <c r="B599" s="2" t="s">
        <v>226</v>
      </c>
      <c r="C599" s="2" t="s">
        <v>288</v>
      </c>
      <c r="D599" s="2" t="s">
        <v>1624</v>
      </c>
      <c r="E599" s="2" t="s">
        <v>2589</v>
      </c>
      <c r="F599" s="2" t="s">
        <v>3493</v>
      </c>
      <c r="G599" s="2" t="s">
        <v>3494</v>
      </c>
      <c r="H599" s="2" t="s">
        <v>3494</v>
      </c>
      <c r="I599" s="2" t="s">
        <v>3495</v>
      </c>
      <c r="J599" s="2" t="s">
        <v>1554</v>
      </c>
      <c r="K599" s="2" t="s">
        <v>253</v>
      </c>
      <c r="L599" s="3">
        <v>17.86</v>
      </c>
      <c r="M599" s="3">
        <v>18.75</v>
      </c>
      <c r="N599" s="3">
        <v>39.99</v>
      </c>
      <c r="O599" s="2" t="s">
        <v>243</v>
      </c>
      <c r="P599" s="2" t="s">
        <v>270</v>
      </c>
      <c r="Q599" s="2" t="s">
        <v>237</v>
      </c>
      <c r="R599" s="2" t="s">
        <v>231</v>
      </c>
      <c r="S599" s="2" t="s">
        <v>3496</v>
      </c>
      <c r="T599" s="2" t="s">
        <v>231</v>
      </c>
      <c r="U599" s="2" t="s">
        <v>327</v>
      </c>
      <c r="V599" s="2" t="s">
        <v>836</v>
      </c>
      <c r="W599" s="2" t="s">
        <v>1829</v>
      </c>
      <c r="X599" s="2" t="s">
        <v>231</v>
      </c>
      <c r="Y599" s="2" t="s">
        <v>3497</v>
      </c>
      <c r="Z599" s="4">
        <v>560</v>
      </c>
      <c r="AA599" s="4">
        <f>=ROUNDDOWN(43.0769230769231,0)</f>
      </c>
      <c r="AB599" s="5">
        <v>13</v>
      </c>
      <c r="AC599" s="2" t="s">
        <v>636</v>
      </c>
      <c r="AD599" s="4">
        <v>279</v>
      </c>
      <c r="AE599" s="4">
        <v>279</v>
      </c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231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231</v>
      </c>
      <c r="BD599" s="8" t="s">
        <v>231</v>
      </c>
      <c r="BE599" s="4" t="s">
        <v>231</v>
      </c>
      <c r="BF599" s="8" t="s">
        <v>231</v>
      </c>
      <c r="BG599" s="7" t="s">
        <v>231</v>
      </c>
      <c r="BH599" s="7" t="s">
        <v>231</v>
      </c>
      <c r="BI599" s="7"/>
      <c r="BJ599" s="4">
        <v>37</v>
      </c>
      <c r="BK599" s="8">
        <v>720.92</v>
      </c>
      <c r="BL599" s="2" t="s">
        <v>3498</v>
      </c>
      <c r="BM599" s="7"/>
      <c r="BN599" s="7"/>
      <c r="BO599" s="4"/>
      <c r="BP599" s="8"/>
      <c r="BQ599" s="4"/>
      <c r="BR599" s="8"/>
      <c r="BS599" s="7"/>
      <c r="BT599" s="7"/>
      <c r="BU599" s="2" t="s">
        <v>3499</v>
      </c>
      <c r="BV599" s="2" t="s">
        <v>231</v>
      </c>
      <c r="BW599" s="2" t="s">
        <v>231</v>
      </c>
      <c r="BX599" s="2" t="s">
        <v>231</v>
      </c>
      <c r="BY599" s="2" t="s">
        <v>277</v>
      </c>
      <c r="BZ599" s="2" t="s">
        <v>243</v>
      </c>
      <c r="CA599" s="2" t="s">
        <v>3500</v>
      </c>
      <c r="CB599" s="2" t="s">
        <v>3501</v>
      </c>
      <c r="CC599" s="2" t="s">
        <v>244</v>
      </c>
      <c r="CD599" s="2" t="s">
        <v>231</v>
      </c>
      <c r="CE599" s="4">
        <v>560</v>
      </c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>
        <v>279</v>
      </c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</row>
    <row r="600">
      <c r="A600" s="2" t="s">
        <v>3502</v>
      </c>
      <c r="B600" s="2" t="s">
        <v>824</v>
      </c>
      <c r="C600" s="2" t="s">
        <v>1221</v>
      </c>
      <c r="D600" s="2" t="s">
        <v>654</v>
      </c>
      <c r="E600" s="2" t="s">
        <v>655</v>
      </c>
      <c r="F600" s="2" t="s">
        <v>3493</v>
      </c>
      <c r="G600" s="2" t="s">
        <v>3503</v>
      </c>
      <c r="H600" s="2" t="s">
        <v>3504</v>
      </c>
      <c r="I600" s="2" t="s">
        <v>984</v>
      </c>
      <c r="J600" s="2" t="s">
        <v>669</v>
      </c>
      <c r="K600" s="2" t="s">
        <v>723</v>
      </c>
      <c r="L600" s="3">
        <v>41.48</v>
      </c>
      <c r="M600" s="3">
        <v>43.55</v>
      </c>
      <c r="N600" s="3">
        <v>89.99</v>
      </c>
      <c r="O600" s="2" t="s">
        <v>243</v>
      </c>
      <c r="P600" s="2" t="s">
        <v>1281</v>
      </c>
      <c r="Q600" s="2" t="s">
        <v>237</v>
      </c>
      <c r="R600" s="2" t="s">
        <v>231</v>
      </c>
      <c r="S600" s="2" t="s">
        <v>3505</v>
      </c>
      <c r="T600" s="2" t="s">
        <v>472</v>
      </c>
      <c r="U600" s="2" t="s">
        <v>298</v>
      </c>
      <c r="V600" s="2" t="s">
        <v>2195</v>
      </c>
      <c r="W600" s="2" t="s">
        <v>691</v>
      </c>
      <c r="X600" s="2" t="s">
        <v>299</v>
      </c>
      <c r="Y600" s="2" t="s">
        <v>274</v>
      </c>
      <c r="Z600" s="4">
        <v>248</v>
      </c>
      <c r="AA600" s="4">
        <f>=ROUNDDOWN(17.7142857142857,0)</f>
      </c>
      <c r="AB600" s="5">
        <v>14</v>
      </c>
      <c r="AC600" s="2" t="s">
        <v>2672</v>
      </c>
      <c r="AD600" s="4">
        <v>100</v>
      </c>
      <c r="AE600" s="4">
        <v>410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231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231</v>
      </c>
      <c r="BD600" s="8" t="s">
        <v>231</v>
      </c>
      <c r="BE600" s="4" t="s">
        <v>231</v>
      </c>
      <c r="BF600" s="8" t="s">
        <v>231</v>
      </c>
      <c r="BG600" s="7" t="s">
        <v>231</v>
      </c>
      <c r="BH600" s="7" t="s">
        <v>231</v>
      </c>
      <c r="BI600" s="7"/>
      <c r="BJ600" s="4">
        <v>39</v>
      </c>
      <c r="BK600" s="8">
        <v>1752.59</v>
      </c>
      <c r="BL600" s="2" t="s">
        <v>3506</v>
      </c>
      <c r="BM600" s="7"/>
      <c r="BN600" s="7"/>
      <c r="BO600" s="4"/>
      <c r="BP600" s="8"/>
      <c r="BQ600" s="4"/>
      <c r="BR600" s="8"/>
      <c r="BS600" s="7"/>
      <c r="BT600" s="7"/>
      <c r="BU600" s="2" t="s">
        <v>3507</v>
      </c>
      <c r="BV600" s="2" t="s">
        <v>231</v>
      </c>
      <c r="BW600" s="2" t="s">
        <v>231</v>
      </c>
      <c r="BX600" s="2" t="s">
        <v>231</v>
      </c>
      <c r="BY600" s="2" t="s">
        <v>277</v>
      </c>
      <c r="BZ600" s="2" t="s">
        <v>243</v>
      </c>
      <c r="CA600" s="2" t="s">
        <v>284</v>
      </c>
      <c r="CB600" s="2" t="s">
        <v>1494</v>
      </c>
      <c r="CC600" s="2" t="s">
        <v>244</v>
      </c>
      <c r="CD600" s="2" t="s">
        <v>231</v>
      </c>
      <c r="CE600" s="4">
        <v>248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>
        <v>100</v>
      </c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>
        <v>160</v>
      </c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>
        <v>150</v>
      </c>
      <c r="HF600" s="4"/>
      <c r="HG600" s="4"/>
      <c r="HH600" s="4"/>
      <c r="HI600" s="4"/>
      <c r="HJ600" s="4"/>
      <c r="HK600" s="4"/>
      <c r="HL600" s="4"/>
    </row>
    <row r="601">
      <c r="A601" s="2" t="s">
        <v>3508</v>
      </c>
      <c r="B601" s="2" t="s">
        <v>824</v>
      </c>
      <c r="C601" s="2" t="s">
        <v>825</v>
      </c>
      <c r="D601" s="2" t="s">
        <v>654</v>
      </c>
      <c r="E601" s="2" t="s">
        <v>655</v>
      </c>
      <c r="F601" s="2" t="s">
        <v>3504</v>
      </c>
      <c r="G601" s="2" t="s">
        <v>3509</v>
      </c>
      <c r="H601" s="2" t="s">
        <v>3510</v>
      </c>
      <c r="I601" s="2" t="s">
        <v>3511</v>
      </c>
      <c r="J601" s="2" t="s">
        <v>832</v>
      </c>
      <c r="K601" s="2" t="s">
        <v>269</v>
      </c>
      <c r="L601" s="3">
        <v>23.8</v>
      </c>
      <c r="M601" s="3">
        <v>24.99</v>
      </c>
      <c r="N601" s="3">
        <v>49.99</v>
      </c>
      <c r="O601" s="2" t="s">
        <v>243</v>
      </c>
      <c r="P601" s="2" t="s">
        <v>236</v>
      </c>
      <c r="Q601" s="2" t="s">
        <v>237</v>
      </c>
      <c r="R601" s="2" t="s">
        <v>231</v>
      </c>
      <c r="S601" s="2" t="s">
        <v>3512</v>
      </c>
      <c r="T601" s="2" t="s">
        <v>472</v>
      </c>
      <c r="U601" s="2" t="s">
        <v>298</v>
      </c>
      <c r="V601" s="2" t="s">
        <v>1986</v>
      </c>
      <c r="W601" s="2" t="s">
        <v>971</v>
      </c>
      <c r="X601" s="2" t="s">
        <v>231</v>
      </c>
      <c r="Y601" s="2" t="s">
        <v>2637</v>
      </c>
      <c r="Z601" s="4">
        <v>217</v>
      </c>
      <c r="AA601" s="4">
        <f>=ROUNDDOWN(310,0)</f>
      </c>
      <c r="AB601" s="5">
        <v>0.7</v>
      </c>
      <c r="AC601" s="2" t="s">
        <v>231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231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231</v>
      </c>
      <c r="AW601" s="8" t="s">
        <v>231</v>
      </c>
      <c r="AX601" s="4" t="s">
        <v>231</v>
      </c>
      <c r="AY601" s="8" t="s">
        <v>231</v>
      </c>
      <c r="AZ601" s="7" t="s">
        <v>231</v>
      </c>
      <c r="BA601" s="7" t="s">
        <v>231</v>
      </c>
      <c r="BB601" s="7" t="s">
        <v>231</v>
      </c>
      <c r="BC601" s="4" t="s">
        <v>231</v>
      </c>
      <c r="BD601" s="8" t="s">
        <v>231</v>
      </c>
      <c r="BE601" s="4" t="s">
        <v>231</v>
      </c>
      <c r="BF601" s="8" t="s">
        <v>231</v>
      </c>
      <c r="BG601" s="7" t="s">
        <v>231</v>
      </c>
      <c r="BH601" s="7" t="s">
        <v>231</v>
      </c>
      <c r="BI601" s="7"/>
      <c r="BJ601" s="4">
        <v>7</v>
      </c>
      <c r="BK601" s="8">
        <v>220.18</v>
      </c>
      <c r="BL601" s="2" t="s">
        <v>3513</v>
      </c>
      <c r="BM601" s="7"/>
      <c r="BN601" s="7"/>
      <c r="BO601" s="4"/>
      <c r="BP601" s="8"/>
      <c r="BQ601" s="4"/>
      <c r="BR601" s="8"/>
      <c r="BS601" s="7"/>
      <c r="BT601" s="7"/>
      <c r="BU601" s="2" t="s">
        <v>3514</v>
      </c>
      <c r="BV601" s="2" t="s">
        <v>231</v>
      </c>
      <c r="BW601" s="2" t="s">
        <v>231</v>
      </c>
      <c r="BX601" s="2" t="s">
        <v>241</v>
      </c>
      <c r="BY601" s="2" t="s">
        <v>277</v>
      </c>
      <c r="BZ601" s="2" t="s">
        <v>243</v>
      </c>
      <c r="CA601" s="2" t="s">
        <v>3201</v>
      </c>
      <c r="CB601" s="2" t="s">
        <v>231</v>
      </c>
      <c r="CC601" s="2" t="s">
        <v>244</v>
      </c>
      <c r="CD601" s="2" t="s">
        <v>231</v>
      </c>
      <c r="CE601" s="4">
        <v>217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</row>
    <row r="602">
      <c r="A602" s="2" t="s">
        <v>3515</v>
      </c>
      <c r="B602" s="2" t="s">
        <v>824</v>
      </c>
      <c r="C602" s="2" t="s">
        <v>825</v>
      </c>
      <c r="D602" s="2" t="s">
        <v>826</v>
      </c>
      <c r="E602" s="2" t="s">
        <v>1060</v>
      </c>
      <c r="F602" s="2" t="s">
        <v>3504</v>
      </c>
      <c r="G602" s="2" t="s">
        <v>3509</v>
      </c>
      <c r="H602" s="2" t="s">
        <v>3510</v>
      </c>
      <c r="I602" s="2" t="s">
        <v>3516</v>
      </c>
      <c r="J602" s="2" t="s">
        <v>832</v>
      </c>
      <c r="K602" s="2" t="s">
        <v>269</v>
      </c>
      <c r="L602" s="3">
        <v>14.28</v>
      </c>
      <c r="M602" s="3">
        <v>14.99</v>
      </c>
      <c r="N602" s="3">
        <v>29.99</v>
      </c>
      <c r="O602" s="2" t="s">
        <v>243</v>
      </c>
      <c r="P602" s="2" t="s">
        <v>236</v>
      </c>
      <c r="Q602" s="2" t="s">
        <v>237</v>
      </c>
      <c r="R602" s="2" t="s">
        <v>231</v>
      </c>
      <c r="S602" s="2" t="s">
        <v>3512</v>
      </c>
      <c r="T602" s="2" t="s">
        <v>472</v>
      </c>
      <c r="U602" s="2" t="s">
        <v>791</v>
      </c>
      <c r="V602" s="2" t="s">
        <v>1986</v>
      </c>
      <c r="W602" s="2" t="s">
        <v>971</v>
      </c>
      <c r="X602" s="2" t="s">
        <v>231</v>
      </c>
      <c r="Y602" s="2" t="s">
        <v>2637</v>
      </c>
      <c r="Z602" s="4">
        <v>96</v>
      </c>
      <c r="AA602" s="4">
        <f>=ROUNDDOWN(106.666666666667,0)</f>
      </c>
      <c r="AB602" s="5">
        <v>0.9</v>
      </c>
      <c r="AC602" s="2" t="s">
        <v>231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231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231</v>
      </c>
      <c r="AW602" s="8" t="s">
        <v>231</v>
      </c>
      <c r="AX602" s="4" t="s">
        <v>231</v>
      </c>
      <c r="AY602" s="8" t="s">
        <v>231</v>
      </c>
      <c r="AZ602" s="7" t="s">
        <v>231</v>
      </c>
      <c r="BA602" s="7" t="s">
        <v>231</v>
      </c>
      <c r="BB602" s="7" t="s">
        <v>231</v>
      </c>
      <c r="BC602" s="4" t="s">
        <v>231</v>
      </c>
      <c r="BD602" s="8" t="s">
        <v>231</v>
      </c>
      <c r="BE602" s="4" t="s">
        <v>231</v>
      </c>
      <c r="BF602" s="8" t="s">
        <v>231</v>
      </c>
      <c r="BG602" s="7" t="s">
        <v>231</v>
      </c>
      <c r="BH602" s="7" t="s">
        <v>231</v>
      </c>
      <c r="BI602" s="7"/>
      <c r="BJ602" s="4"/>
      <c r="BK602" s="8"/>
      <c r="BL602" s="2" t="s">
        <v>231</v>
      </c>
      <c r="BM602" s="7"/>
      <c r="BN602" s="7"/>
      <c r="BO602" s="4"/>
      <c r="BP602" s="8"/>
      <c r="BQ602" s="4"/>
      <c r="BR602" s="8"/>
      <c r="BS602" s="7"/>
      <c r="BT602" s="7"/>
      <c r="BU602" s="2" t="s">
        <v>3517</v>
      </c>
      <c r="BV602" s="2" t="s">
        <v>231</v>
      </c>
      <c r="BW602" s="2" t="s">
        <v>231</v>
      </c>
      <c r="BX602" s="2" t="s">
        <v>241</v>
      </c>
      <c r="BY602" s="2" t="s">
        <v>277</v>
      </c>
      <c r="BZ602" s="2" t="s">
        <v>243</v>
      </c>
      <c r="CA602" s="2" t="s">
        <v>3349</v>
      </c>
      <c r="CB602" s="2" t="s">
        <v>231</v>
      </c>
      <c r="CC602" s="2" t="s">
        <v>244</v>
      </c>
      <c r="CD602" s="2" t="s">
        <v>231</v>
      </c>
      <c r="CE602" s="4">
        <v>96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</row>
    <row r="603">
      <c r="A603" s="2" t="s">
        <v>3518</v>
      </c>
      <c r="B603" s="2" t="s">
        <v>824</v>
      </c>
      <c r="C603" s="2" t="s">
        <v>825</v>
      </c>
      <c r="D603" s="2" t="s">
        <v>654</v>
      </c>
      <c r="E603" s="2" t="s">
        <v>655</v>
      </c>
      <c r="F603" s="2" t="s">
        <v>3504</v>
      </c>
      <c r="G603" s="2" t="s">
        <v>3509</v>
      </c>
      <c r="H603" s="2" t="s">
        <v>3510</v>
      </c>
      <c r="I603" s="2" t="s">
        <v>3511</v>
      </c>
      <c r="J603" s="2" t="s">
        <v>658</v>
      </c>
      <c r="K603" s="2" t="s">
        <v>269</v>
      </c>
      <c r="L603" s="3">
        <v>28.57</v>
      </c>
      <c r="M603" s="3">
        <v>30</v>
      </c>
      <c r="N603" s="3">
        <v>59.99</v>
      </c>
      <c r="O603" s="2" t="s">
        <v>243</v>
      </c>
      <c r="P603" s="2" t="s">
        <v>236</v>
      </c>
      <c r="Q603" s="2" t="s">
        <v>237</v>
      </c>
      <c r="R603" s="2" t="s">
        <v>231</v>
      </c>
      <c r="S603" s="2" t="s">
        <v>3512</v>
      </c>
      <c r="T603" s="2" t="s">
        <v>472</v>
      </c>
      <c r="U603" s="2" t="s">
        <v>661</v>
      </c>
      <c r="V603" s="2" t="s">
        <v>1986</v>
      </c>
      <c r="W603" s="2" t="s">
        <v>971</v>
      </c>
      <c r="X603" s="2" t="s">
        <v>231</v>
      </c>
      <c r="Y603" s="2" t="s">
        <v>2637</v>
      </c>
      <c r="Z603" s="4">
        <v>316</v>
      </c>
      <c r="AA603" s="4">
        <f>=ROUNDDOWN(108.965517241379,0)</f>
      </c>
      <c r="AB603" s="5">
        <v>2.9</v>
      </c>
      <c r="AC603" s="2" t="s">
        <v>231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231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231</v>
      </c>
      <c r="AW603" s="8" t="s">
        <v>231</v>
      </c>
      <c r="AX603" s="4" t="s">
        <v>231</v>
      </c>
      <c r="AY603" s="8" t="s">
        <v>231</v>
      </c>
      <c r="AZ603" s="7" t="s">
        <v>231</v>
      </c>
      <c r="BA603" s="7" t="s">
        <v>231</v>
      </c>
      <c r="BB603" s="7"/>
      <c r="BC603" s="4" t="s">
        <v>231</v>
      </c>
      <c r="BD603" s="8" t="s">
        <v>231</v>
      </c>
      <c r="BE603" s="4" t="s">
        <v>231</v>
      </c>
      <c r="BF603" s="8" t="s">
        <v>231</v>
      </c>
      <c r="BG603" s="7" t="s">
        <v>231</v>
      </c>
      <c r="BH603" s="7" t="s">
        <v>231</v>
      </c>
      <c r="BI603" s="7"/>
      <c r="BJ603" s="4">
        <v>7</v>
      </c>
      <c r="BK603" s="8">
        <v>244.05</v>
      </c>
      <c r="BL603" s="2" t="s">
        <v>3519</v>
      </c>
      <c r="BM603" s="7"/>
      <c r="BN603" s="7"/>
      <c r="BO603" s="4"/>
      <c r="BP603" s="8"/>
      <c r="BQ603" s="4"/>
      <c r="BR603" s="8"/>
      <c r="BS603" s="7"/>
      <c r="BT603" s="7"/>
      <c r="BU603" s="2" t="s">
        <v>3520</v>
      </c>
      <c r="BV603" s="2" t="s">
        <v>231</v>
      </c>
      <c r="BW603" s="2" t="s">
        <v>231</v>
      </c>
      <c r="BX603" s="2" t="s">
        <v>241</v>
      </c>
      <c r="BY603" s="2" t="s">
        <v>277</v>
      </c>
      <c r="BZ603" s="2" t="s">
        <v>243</v>
      </c>
      <c r="CA603" s="2" t="s">
        <v>3201</v>
      </c>
      <c r="CB603" s="2" t="s">
        <v>3284</v>
      </c>
      <c r="CC603" s="2" t="s">
        <v>244</v>
      </c>
      <c r="CD603" s="2" t="s">
        <v>231</v>
      </c>
      <c r="CE603" s="4">
        <v>316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</row>
    <row r="604">
      <c r="A604" s="2" t="s">
        <v>3521</v>
      </c>
      <c r="B604" s="2" t="s">
        <v>1004</v>
      </c>
      <c r="C604" s="2" t="s">
        <v>867</v>
      </c>
      <c r="D604" s="2" t="s">
        <v>1031</v>
      </c>
      <c r="E604" s="2" t="s">
        <v>1032</v>
      </c>
      <c r="F604" s="2" t="s">
        <v>2298</v>
      </c>
      <c r="G604" s="2" t="s">
        <v>2298</v>
      </c>
      <c r="H604" s="2" t="s">
        <v>2298</v>
      </c>
      <c r="I604" s="2" t="s">
        <v>3522</v>
      </c>
      <c r="J604" s="2" t="s">
        <v>807</v>
      </c>
      <c r="K604" s="2" t="s">
        <v>1496</v>
      </c>
      <c r="L604" s="3">
        <v>255</v>
      </c>
      <c r="M604" s="3">
        <v>267.75</v>
      </c>
      <c r="N604" s="3">
        <v>549</v>
      </c>
      <c r="O604" s="2" t="s">
        <v>243</v>
      </c>
      <c r="P604" s="2" t="s">
        <v>236</v>
      </c>
      <c r="Q604" s="2" t="s">
        <v>237</v>
      </c>
      <c r="R604" s="2" t="s">
        <v>231</v>
      </c>
      <c r="S604" s="2" t="s">
        <v>231</v>
      </c>
      <c r="T604" s="2" t="s">
        <v>231</v>
      </c>
      <c r="U604" s="2" t="s">
        <v>327</v>
      </c>
      <c r="V604" s="2" t="s">
        <v>662</v>
      </c>
      <c r="W604" s="2" t="s">
        <v>896</v>
      </c>
      <c r="X604" s="2" t="s">
        <v>874</v>
      </c>
      <c r="Y604" s="2" t="s">
        <v>2637</v>
      </c>
      <c r="Z604" s="4">
        <v>142</v>
      </c>
      <c r="AA604" s="4">
        <f>=ROUNDDOWN(28.4,0)</f>
      </c>
      <c r="AB604" s="5">
        <v>5</v>
      </c>
      <c r="AC604" s="2" t="s">
        <v>231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231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>
        <v>8</v>
      </c>
      <c r="BK604" s="8">
        <v>2427.97</v>
      </c>
      <c r="BL604" s="2" t="s">
        <v>2343</v>
      </c>
      <c r="BM604" s="7"/>
      <c r="BN604" s="7"/>
      <c r="BO604" s="4"/>
      <c r="BP604" s="8"/>
      <c r="BQ604" s="4"/>
      <c r="BR604" s="8"/>
      <c r="BS604" s="7"/>
      <c r="BT604" s="7"/>
      <c r="BU604" s="2" t="s">
        <v>3523</v>
      </c>
      <c r="BV604" s="2" t="s">
        <v>231</v>
      </c>
      <c r="BW604" s="2" t="s">
        <v>231</v>
      </c>
      <c r="BX604" s="2" t="s">
        <v>241</v>
      </c>
      <c r="BY604" s="2" t="s">
        <v>277</v>
      </c>
      <c r="BZ604" s="2" t="s">
        <v>243</v>
      </c>
      <c r="CA604" s="2" t="s">
        <v>3349</v>
      </c>
      <c r="CB604" s="2" t="s">
        <v>231</v>
      </c>
      <c r="CC604" s="2" t="s">
        <v>244</v>
      </c>
      <c r="CD604" s="2" t="s">
        <v>231</v>
      </c>
      <c r="CE604" s="4"/>
      <c r="CF604" s="4">
        <v>142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</row>
    <row r="605">
      <c r="A605" s="2" t="s">
        <v>3524</v>
      </c>
      <c r="B605" s="2" t="s">
        <v>1004</v>
      </c>
      <c r="C605" s="2" t="s">
        <v>288</v>
      </c>
      <c r="D605" s="2" t="s">
        <v>1031</v>
      </c>
      <c r="E605" s="2" t="s">
        <v>1032</v>
      </c>
      <c r="F605" s="2" t="s">
        <v>3525</v>
      </c>
      <c r="G605" s="2" t="s">
        <v>3526</v>
      </c>
      <c r="H605" s="2" t="s">
        <v>3493</v>
      </c>
      <c r="I605" s="2" t="s">
        <v>3527</v>
      </c>
      <c r="J605" s="2" t="s">
        <v>807</v>
      </c>
      <c r="K605" s="2" t="s">
        <v>253</v>
      </c>
      <c r="L605" s="3">
        <v>262.5</v>
      </c>
      <c r="M605" s="3">
        <v>275.63</v>
      </c>
      <c r="N605" s="3">
        <v>549</v>
      </c>
      <c r="O605" s="2" t="s">
        <v>235</v>
      </c>
      <c r="P605" s="2" t="s">
        <v>341</v>
      </c>
      <c r="Q605" s="2" t="s">
        <v>237</v>
      </c>
      <c r="R605" s="2" t="s">
        <v>231</v>
      </c>
      <c r="S605" s="2" t="s">
        <v>231</v>
      </c>
      <c r="T605" s="2" t="s">
        <v>231</v>
      </c>
      <c r="U605" s="2" t="s">
        <v>231</v>
      </c>
      <c r="V605" s="2" t="s">
        <v>662</v>
      </c>
      <c r="W605" s="2" t="s">
        <v>792</v>
      </c>
      <c r="X605" s="2" t="s">
        <v>691</v>
      </c>
      <c r="Y605" s="2" t="s">
        <v>3528</v>
      </c>
      <c r="Z605" s="4">
        <v>48</v>
      </c>
      <c r="AA605" s="4">
        <f>=ROUNDDOWN(34.2857142857143,0)</f>
      </c>
      <c r="AB605" s="5">
        <v>1.4</v>
      </c>
      <c r="AC605" s="2" t="s">
        <v>231</v>
      </c>
      <c r="AD605" s="4"/>
      <c r="AE605" s="4"/>
      <c r="AF605" s="6">
        <v>74</v>
      </c>
      <c r="AG605" s="6"/>
      <c r="AH605" s="7">
        <v>1</v>
      </c>
      <c r="AI605" s="4"/>
      <c r="AJ605" s="4">
        <f>=ROUNDDOWN({0},0)</f>
      </c>
      <c r="AK605" s="5"/>
      <c r="AL605" s="2" t="s">
        <v>231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>
        <v>3</v>
      </c>
      <c r="BK605" s="8">
        <v>573.31</v>
      </c>
      <c r="BL605" s="2" t="s">
        <v>3529</v>
      </c>
      <c r="BM605" s="7"/>
      <c r="BN605" s="7"/>
      <c r="BO605" s="4"/>
      <c r="BP605" s="8"/>
      <c r="BQ605" s="4"/>
      <c r="BR605" s="8"/>
      <c r="BS605" s="7"/>
      <c r="BT605" s="7"/>
      <c r="BU605" s="2" t="s">
        <v>3530</v>
      </c>
      <c r="BV605" s="2" t="s">
        <v>231</v>
      </c>
      <c r="BW605" s="2" t="s">
        <v>231</v>
      </c>
      <c r="BX605" s="2" t="s">
        <v>231</v>
      </c>
      <c r="BY605" s="2" t="s">
        <v>277</v>
      </c>
      <c r="BZ605" s="2" t="s">
        <v>243</v>
      </c>
      <c r="CA605" s="2" t="s">
        <v>1049</v>
      </c>
      <c r="CB605" s="2" t="s">
        <v>2701</v>
      </c>
      <c r="CC605" s="2" t="s">
        <v>244</v>
      </c>
      <c r="CD605" s="2" t="s">
        <v>231</v>
      </c>
      <c r="CE605" s="4"/>
      <c r="CF605" s="4">
        <v>48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</row>
    <row r="606">
      <c r="A606" s="2" t="s">
        <v>3531</v>
      </c>
      <c r="B606" s="2" t="s">
        <v>226</v>
      </c>
      <c r="C606" s="2" t="s">
        <v>288</v>
      </c>
      <c r="D606" s="2" t="s">
        <v>1624</v>
      </c>
      <c r="E606" s="2" t="s">
        <v>2589</v>
      </c>
      <c r="F606" s="2" t="s">
        <v>3532</v>
      </c>
      <c r="G606" s="2" t="s">
        <v>3533</v>
      </c>
      <c r="H606" s="2" t="s">
        <v>3533</v>
      </c>
      <c r="I606" s="2" t="s">
        <v>3534</v>
      </c>
      <c r="J606" s="2" t="s">
        <v>1554</v>
      </c>
      <c r="K606" s="2" t="s">
        <v>486</v>
      </c>
      <c r="L606" s="3">
        <v>20.57</v>
      </c>
      <c r="M606" s="3">
        <v>21.6</v>
      </c>
      <c r="N606" s="3">
        <v>44.99</v>
      </c>
      <c r="O606" s="2" t="s">
        <v>235</v>
      </c>
      <c r="P606" s="2" t="s">
        <v>341</v>
      </c>
      <c r="Q606" s="2" t="s">
        <v>237</v>
      </c>
      <c r="R606" s="2" t="s">
        <v>231</v>
      </c>
      <c r="S606" s="2" t="s">
        <v>3535</v>
      </c>
      <c r="T606" s="2" t="s">
        <v>895</v>
      </c>
      <c r="U606" s="2" t="s">
        <v>327</v>
      </c>
      <c r="V606" s="2" t="s">
        <v>239</v>
      </c>
      <c r="W606" s="2" t="s">
        <v>299</v>
      </c>
      <c r="X606" s="2" t="s">
        <v>971</v>
      </c>
      <c r="Y606" s="2" t="s">
        <v>1404</v>
      </c>
      <c r="Z606" s="4"/>
      <c r="AA606" s="4">
        <f>=ROUNDDOWN({0},0)</f>
      </c>
      <c r="AB606" s="5">
        <v>8</v>
      </c>
      <c r="AC606" s="2" t="s">
        <v>231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231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231</v>
      </c>
      <c r="BD606" s="8" t="s">
        <v>231</v>
      </c>
      <c r="BE606" s="4" t="s">
        <v>231</v>
      </c>
      <c r="BF606" s="8" t="s">
        <v>231</v>
      </c>
      <c r="BG606" s="7" t="s">
        <v>231</v>
      </c>
      <c r="BH606" s="7" t="s">
        <v>231</v>
      </c>
      <c r="BI606" s="7"/>
      <c r="BJ606" s="4"/>
      <c r="BK606" s="8"/>
      <c r="BL606" s="2" t="s">
        <v>1731</v>
      </c>
      <c r="BM606" s="7"/>
      <c r="BN606" s="7"/>
      <c r="BO606" s="4"/>
      <c r="BP606" s="8"/>
      <c r="BQ606" s="4"/>
      <c r="BR606" s="8"/>
      <c r="BS606" s="7"/>
      <c r="BT606" s="7"/>
      <c r="BU606" s="2" t="s">
        <v>3536</v>
      </c>
      <c r="BV606" s="2" t="s">
        <v>231</v>
      </c>
      <c r="BW606" s="2" t="s">
        <v>231</v>
      </c>
      <c r="BX606" s="2" t="s">
        <v>231</v>
      </c>
      <c r="BY606" s="2" t="s">
        <v>277</v>
      </c>
      <c r="BZ606" s="2" t="s">
        <v>243</v>
      </c>
      <c r="CA606" s="2" t="s">
        <v>3537</v>
      </c>
      <c r="CB606" s="2" t="s">
        <v>3538</v>
      </c>
      <c r="CC606" s="2" t="s">
        <v>244</v>
      </c>
      <c r="CD606" s="2" t="s">
        <v>231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</row>
    <row r="607">
      <c r="A607" s="2" t="s">
        <v>3539</v>
      </c>
      <c r="B607" s="2" t="s">
        <v>226</v>
      </c>
      <c r="C607" s="2" t="s">
        <v>288</v>
      </c>
      <c r="D607" s="2" t="s">
        <v>1624</v>
      </c>
      <c r="E607" s="2" t="s">
        <v>2589</v>
      </c>
      <c r="F607" s="2" t="s">
        <v>3532</v>
      </c>
      <c r="G607" s="2" t="s">
        <v>3533</v>
      </c>
      <c r="H607" s="2" t="s">
        <v>3533</v>
      </c>
      <c r="I607" s="2" t="s">
        <v>3534</v>
      </c>
      <c r="J607" s="2" t="s">
        <v>1554</v>
      </c>
      <c r="K607" s="2" t="s">
        <v>306</v>
      </c>
      <c r="L607" s="3">
        <v>20.57</v>
      </c>
      <c r="M607" s="3">
        <v>21.6</v>
      </c>
      <c r="N607" s="3">
        <v>44.99</v>
      </c>
      <c r="O607" s="2" t="s">
        <v>235</v>
      </c>
      <c r="P607" s="2" t="s">
        <v>341</v>
      </c>
      <c r="Q607" s="2" t="s">
        <v>237</v>
      </c>
      <c r="R607" s="2" t="s">
        <v>231</v>
      </c>
      <c r="S607" s="2" t="s">
        <v>3540</v>
      </c>
      <c r="T607" s="2" t="s">
        <v>895</v>
      </c>
      <c r="U607" s="2" t="s">
        <v>327</v>
      </c>
      <c r="V607" s="2" t="s">
        <v>239</v>
      </c>
      <c r="W607" s="2" t="s">
        <v>299</v>
      </c>
      <c r="X607" s="2" t="s">
        <v>971</v>
      </c>
      <c r="Y607" s="2" t="s">
        <v>1404</v>
      </c>
      <c r="Z607" s="4"/>
      <c r="AA607" s="4">
        <f>=ROUNDDOWN({0},0)</f>
      </c>
      <c r="AB607" s="5">
        <v>3.6</v>
      </c>
      <c r="AC607" s="2" t="s">
        <v>231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231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231</v>
      </c>
      <c r="BD607" s="8" t="s">
        <v>231</v>
      </c>
      <c r="BE607" s="4" t="s">
        <v>231</v>
      </c>
      <c r="BF607" s="8" t="s">
        <v>231</v>
      </c>
      <c r="BG607" s="7" t="s">
        <v>231</v>
      </c>
      <c r="BH607" s="7" t="s">
        <v>231</v>
      </c>
      <c r="BI607" s="7"/>
      <c r="BJ607" s="4"/>
      <c r="BK607" s="8"/>
      <c r="BL607" s="2" t="s">
        <v>3541</v>
      </c>
      <c r="BM607" s="7"/>
      <c r="BN607" s="7"/>
      <c r="BO607" s="4"/>
      <c r="BP607" s="8"/>
      <c r="BQ607" s="4"/>
      <c r="BR607" s="8"/>
      <c r="BS607" s="7"/>
      <c r="BT607" s="7"/>
      <c r="BU607" s="2" t="s">
        <v>3542</v>
      </c>
      <c r="BV607" s="2" t="s">
        <v>231</v>
      </c>
      <c r="BW607" s="2" t="s">
        <v>231</v>
      </c>
      <c r="BX607" s="2" t="s">
        <v>231</v>
      </c>
      <c r="BY607" s="2" t="s">
        <v>277</v>
      </c>
      <c r="BZ607" s="2" t="s">
        <v>243</v>
      </c>
      <c r="CA607" s="2" t="s">
        <v>3537</v>
      </c>
      <c r="CB607" s="2" t="s">
        <v>3543</v>
      </c>
      <c r="CC607" s="2" t="s">
        <v>244</v>
      </c>
      <c r="CD607" s="2" t="s">
        <v>231</v>
      </c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</row>
    <row r="608">
      <c r="A608" s="2" t="s">
        <v>3544</v>
      </c>
      <c r="B608" s="2" t="s">
        <v>1004</v>
      </c>
      <c r="C608" s="2" t="s">
        <v>815</v>
      </c>
      <c r="D608" s="2" t="s">
        <v>1295</v>
      </c>
      <c r="E608" s="2" t="s">
        <v>2253</v>
      </c>
      <c r="F608" s="2" t="s">
        <v>3545</v>
      </c>
      <c r="G608" s="2" t="s">
        <v>3545</v>
      </c>
      <c r="H608" s="2" t="s">
        <v>3545</v>
      </c>
      <c r="I608" s="2" t="s">
        <v>3546</v>
      </c>
      <c r="J608" s="2" t="s">
        <v>293</v>
      </c>
      <c r="K608" s="2" t="s">
        <v>3547</v>
      </c>
      <c r="L608" s="3">
        <v>552</v>
      </c>
      <c r="M608" s="3">
        <v>579.6</v>
      </c>
      <c r="N608" s="3">
        <v>1149</v>
      </c>
      <c r="O608" s="2" t="s">
        <v>243</v>
      </c>
      <c r="P608" s="2" t="s">
        <v>1915</v>
      </c>
      <c r="Q608" s="2" t="s">
        <v>231</v>
      </c>
      <c r="R608" s="2" t="s">
        <v>231</v>
      </c>
      <c r="S608" s="2" t="s">
        <v>231</v>
      </c>
      <c r="T608" s="2" t="s">
        <v>231</v>
      </c>
      <c r="U608" s="2" t="s">
        <v>327</v>
      </c>
      <c r="V608" s="2" t="s">
        <v>239</v>
      </c>
      <c r="W608" s="2" t="s">
        <v>691</v>
      </c>
      <c r="X608" s="2" t="s">
        <v>273</v>
      </c>
      <c r="Y608" s="2" t="s">
        <v>231</v>
      </c>
      <c r="Z608" s="4"/>
      <c r="AA608" s="4">
        <f>=ROUNDDOWN({0},0)</f>
      </c>
      <c r="AB608" s="5"/>
      <c r="AC608" s="2" t="s">
        <v>3548</v>
      </c>
      <c r="AD608" s="4">
        <v>142</v>
      </c>
      <c r="AE608" s="4">
        <v>142</v>
      </c>
      <c r="AF608" s="6">
        <v>74</v>
      </c>
      <c r="AG608" s="6"/>
      <c r="AH608" s="7">
        <v>0</v>
      </c>
      <c r="AI608" s="4"/>
      <c r="AJ608" s="4">
        <f>=ROUNDDOWN({0},0)</f>
      </c>
      <c r="AK608" s="5"/>
      <c r="AL608" s="2" t="s">
        <v>231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231</v>
      </c>
      <c r="BM608" s="7"/>
      <c r="BN608" s="7"/>
      <c r="BO608" s="4"/>
      <c r="BP608" s="8"/>
      <c r="BQ608" s="4"/>
      <c r="BR608" s="8"/>
      <c r="BS608" s="7"/>
      <c r="BT608" s="7"/>
      <c r="BU608" s="2" t="s">
        <v>241</v>
      </c>
      <c r="BV608" s="2" t="s">
        <v>231</v>
      </c>
      <c r="BW608" s="2" t="s">
        <v>231</v>
      </c>
      <c r="BX608" s="2" t="s">
        <v>241</v>
      </c>
      <c r="BY608" s="2" t="s">
        <v>242</v>
      </c>
      <c r="BZ608" s="2" t="s">
        <v>243</v>
      </c>
      <c r="CA608" s="2" t="s">
        <v>231</v>
      </c>
      <c r="CB608" s="2" t="s">
        <v>231</v>
      </c>
      <c r="CC608" s="2" t="s">
        <v>244</v>
      </c>
      <c r="CD608" s="2" t="s">
        <v>231</v>
      </c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>
        <v>142</v>
      </c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</row>
    <row r="609">
      <c r="A609" s="2" t="s">
        <v>3549</v>
      </c>
      <c r="B609" s="2" t="s">
        <v>1004</v>
      </c>
      <c r="C609" s="2" t="s">
        <v>288</v>
      </c>
      <c r="D609" s="2" t="s">
        <v>1917</v>
      </c>
      <c r="E609" s="2" t="s">
        <v>2495</v>
      </c>
      <c r="F609" s="2" t="s">
        <v>3550</v>
      </c>
      <c r="G609" s="2" t="s">
        <v>3551</v>
      </c>
      <c r="H609" s="2" t="s">
        <v>3552</v>
      </c>
      <c r="I609" s="2" t="s">
        <v>1918</v>
      </c>
      <c r="J609" s="2" t="s">
        <v>807</v>
      </c>
      <c r="K609" s="2" t="s">
        <v>269</v>
      </c>
      <c r="L609" s="3">
        <v>138</v>
      </c>
      <c r="M609" s="3">
        <v>144.9</v>
      </c>
      <c r="N609" s="3">
        <v>289</v>
      </c>
      <c r="O609" s="2" t="s">
        <v>250</v>
      </c>
      <c r="P609" s="2" t="s">
        <v>341</v>
      </c>
      <c r="Q609" s="2" t="s">
        <v>237</v>
      </c>
      <c r="R609" s="2" t="s">
        <v>231</v>
      </c>
      <c r="S609" s="2" t="s">
        <v>3553</v>
      </c>
      <c r="T609" s="2" t="s">
        <v>231</v>
      </c>
      <c r="U609" s="2" t="s">
        <v>231</v>
      </c>
      <c r="V609" s="2" t="s">
        <v>239</v>
      </c>
      <c r="W609" s="2" t="s">
        <v>691</v>
      </c>
      <c r="X609" s="2" t="s">
        <v>231</v>
      </c>
      <c r="Y609" s="2" t="s">
        <v>274</v>
      </c>
      <c r="Z609" s="4"/>
      <c r="AA609" s="4">
        <f>=ROUNDDOWN({0},0)</f>
      </c>
      <c r="AB609" s="5"/>
      <c r="AC609" s="2" t="s">
        <v>231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231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3554</v>
      </c>
      <c r="BM609" s="7"/>
      <c r="BN609" s="7"/>
      <c r="BO609" s="4"/>
      <c r="BP609" s="8"/>
      <c r="BQ609" s="4"/>
      <c r="BR609" s="8"/>
      <c r="BS609" s="7"/>
      <c r="BT609" s="7"/>
      <c r="BU609" s="2" t="s">
        <v>3555</v>
      </c>
      <c r="BV609" s="2" t="s">
        <v>231</v>
      </c>
      <c r="BW609" s="2" t="s">
        <v>231</v>
      </c>
      <c r="BX609" s="2" t="s">
        <v>231</v>
      </c>
      <c r="BY609" s="2" t="s">
        <v>277</v>
      </c>
      <c r="BZ609" s="2" t="s">
        <v>243</v>
      </c>
      <c r="CA609" s="2" t="s">
        <v>284</v>
      </c>
      <c r="CB609" s="2" t="s">
        <v>3556</v>
      </c>
      <c r="CC609" s="2" t="s">
        <v>244</v>
      </c>
      <c r="CD609" s="2" t="s">
        <v>231</v>
      </c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</row>
    <row r="610">
      <c r="A610" s="2" t="s">
        <v>3557</v>
      </c>
      <c r="B610" s="2" t="s">
        <v>1186</v>
      </c>
      <c r="C610" s="2" t="s">
        <v>1980</v>
      </c>
      <c r="D610" s="2" t="s">
        <v>3558</v>
      </c>
      <c r="E610" s="2" t="s">
        <v>3559</v>
      </c>
      <c r="F610" s="2" t="s">
        <v>3560</v>
      </c>
      <c r="G610" s="2" t="s">
        <v>3560</v>
      </c>
      <c r="H610" s="2" t="s">
        <v>3560</v>
      </c>
      <c r="I610" s="2" t="s">
        <v>3561</v>
      </c>
      <c r="J610" s="2" t="s">
        <v>2759</v>
      </c>
      <c r="K610" s="2" t="s">
        <v>698</v>
      </c>
      <c r="L610" s="3">
        <v>24.76</v>
      </c>
      <c r="M610" s="3">
        <v>26</v>
      </c>
      <c r="N610" s="3">
        <v>79.99</v>
      </c>
      <c r="O610" s="2" t="s">
        <v>243</v>
      </c>
      <c r="P610" s="2" t="s">
        <v>1985</v>
      </c>
      <c r="Q610" s="2" t="s">
        <v>237</v>
      </c>
      <c r="R610" s="2" t="s">
        <v>231</v>
      </c>
      <c r="S610" s="2" t="s">
        <v>231</v>
      </c>
      <c r="T610" s="2" t="s">
        <v>231</v>
      </c>
      <c r="U610" s="2" t="s">
        <v>327</v>
      </c>
      <c r="V610" s="2" t="s">
        <v>987</v>
      </c>
      <c r="W610" s="2" t="s">
        <v>676</v>
      </c>
      <c r="X610" s="2" t="s">
        <v>231</v>
      </c>
      <c r="Y610" s="2" t="s">
        <v>1992</v>
      </c>
      <c r="Z610" s="4">
        <v>163</v>
      </c>
      <c r="AA610" s="4">
        <f>=ROUNDDOWN(81.5,0)</f>
      </c>
      <c r="AB610" s="5">
        <v>2</v>
      </c>
      <c r="AC610" s="2" t="s">
        <v>231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231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231</v>
      </c>
      <c r="BD610" s="8" t="s">
        <v>231</v>
      </c>
      <c r="BE610" s="4" t="s">
        <v>231</v>
      </c>
      <c r="BF610" s="8" t="s">
        <v>231</v>
      </c>
      <c r="BG610" s="7" t="s">
        <v>231</v>
      </c>
      <c r="BH610" s="7" t="s">
        <v>231</v>
      </c>
      <c r="BI610" s="7"/>
      <c r="BJ610" s="4">
        <v>2</v>
      </c>
      <c r="BK610" s="8">
        <v>64.8</v>
      </c>
      <c r="BL610" s="2" t="s">
        <v>2343</v>
      </c>
      <c r="BM610" s="7"/>
      <c r="BN610" s="7"/>
      <c r="BO610" s="4"/>
      <c r="BP610" s="8"/>
      <c r="BQ610" s="4"/>
      <c r="BR610" s="8"/>
      <c r="BS610" s="7"/>
      <c r="BT610" s="7"/>
      <c r="BU610" s="2" t="s">
        <v>3562</v>
      </c>
      <c r="BV610" s="2" t="s">
        <v>231</v>
      </c>
      <c r="BW610" s="2" t="s">
        <v>231</v>
      </c>
      <c r="BX610" s="2" t="s">
        <v>231</v>
      </c>
      <c r="BY610" s="2" t="s">
        <v>277</v>
      </c>
      <c r="BZ610" s="2" t="s">
        <v>243</v>
      </c>
      <c r="CA610" s="2" t="s">
        <v>1620</v>
      </c>
      <c r="CB610" s="2" t="s">
        <v>822</v>
      </c>
      <c r="CC610" s="2" t="s">
        <v>244</v>
      </c>
      <c r="CD610" s="2" t="s">
        <v>231</v>
      </c>
      <c r="CE610" s="4">
        <v>163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</row>
    <row r="611">
      <c r="A611" s="2" t="s">
        <v>3563</v>
      </c>
      <c r="B611" s="2" t="s">
        <v>1186</v>
      </c>
      <c r="C611" s="2" t="s">
        <v>1980</v>
      </c>
      <c r="D611" s="2" t="s">
        <v>3558</v>
      </c>
      <c r="E611" s="2" t="s">
        <v>3559</v>
      </c>
      <c r="F611" s="2" t="s">
        <v>3560</v>
      </c>
      <c r="G611" s="2" t="s">
        <v>3560</v>
      </c>
      <c r="H611" s="2" t="s">
        <v>3560</v>
      </c>
      <c r="I611" s="2" t="s">
        <v>3561</v>
      </c>
      <c r="J611" s="2" t="s">
        <v>2759</v>
      </c>
      <c r="K611" s="2" t="s">
        <v>255</v>
      </c>
      <c r="L611" s="3">
        <v>24.76</v>
      </c>
      <c r="M611" s="3">
        <v>26</v>
      </c>
      <c r="N611" s="3">
        <v>79.99</v>
      </c>
      <c r="O611" s="2" t="s">
        <v>243</v>
      </c>
      <c r="P611" s="2" t="s">
        <v>270</v>
      </c>
      <c r="Q611" s="2" t="s">
        <v>237</v>
      </c>
      <c r="R611" s="2" t="s">
        <v>231</v>
      </c>
      <c r="S611" s="2" t="s">
        <v>231</v>
      </c>
      <c r="T611" s="2" t="s">
        <v>231</v>
      </c>
      <c r="U611" s="2" t="s">
        <v>327</v>
      </c>
      <c r="V611" s="2" t="s">
        <v>987</v>
      </c>
      <c r="W611" s="2" t="s">
        <v>676</v>
      </c>
      <c r="X611" s="2" t="s">
        <v>231</v>
      </c>
      <c r="Y611" s="2" t="s">
        <v>1992</v>
      </c>
      <c r="Z611" s="4"/>
      <c r="AA611" s="4">
        <f>=ROUNDDOWN({0},0)</f>
      </c>
      <c r="AB611" s="5">
        <v>4</v>
      </c>
      <c r="AC611" s="2" t="s">
        <v>1695</v>
      </c>
      <c r="AD611" s="4">
        <v>280</v>
      </c>
      <c r="AE611" s="4">
        <v>280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231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231</v>
      </c>
      <c r="BD611" s="8" t="s">
        <v>231</v>
      </c>
      <c r="BE611" s="4" t="s">
        <v>231</v>
      </c>
      <c r="BF611" s="8" t="s">
        <v>231</v>
      </c>
      <c r="BG611" s="7" t="s">
        <v>231</v>
      </c>
      <c r="BH611" s="7" t="s">
        <v>231</v>
      </c>
      <c r="BI611" s="7"/>
      <c r="BJ611" s="4">
        <v>1</v>
      </c>
      <c r="BK611" s="8">
        <v>67.99</v>
      </c>
      <c r="BL611" s="2" t="s">
        <v>3564</v>
      </c>
      <c r="BM611" s="7"/>
      <c r="BN611" s="7"/>
      <c r="BO611" s="4"/>
      <c r="BP611" s="8"/>
      <c r="BQ611" s="4"/>
      <c r="BR611" s="8"/>
      <c r="BS611" s="7"/>
      <c r="BT611" s="7"/>
      <c r="BU611" s="2" t="s">
        <v>3565</v>
      </c>
      <c r="BV611" s="2" t="s">
        <v>231</v>
      </c>
      <c r="BW611" s="2" t="s">
        <v>231</v>
      </c>
      <c r="BX611" s="2" t="s">
        <v>231</v>
      </c>
      <c r="BY611" s="2" t="s">
        <v>277</v>
      </c>
      <c r="BZ611" s="2" t="s">
        <v>243</v>
      </c>
      <c r="CA611" s="2" t="s">
        <v>1620</v>
      </c>
      <c r="CB611" s="2" t="s">
        <v>2403</v>
      </c>
      <c r="CC611" s="2" t="s">
        <v>244</v>
      </c>
      <c r="CD611" s="2" t="s">
        <v>231</v>
      </c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>
        <v>280</v>
      </c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</row>
    <row r="612">
      <c r="A612" s="2" t="s">
        <v>3566</v>
      </c>
      <c r="B612" s="2" t="s">
        <v>824</v>
      </c>
      <c r="C612" s="2" t="s">
        <v>3567</v>
      </c>
      <c r="D612" s="2" t="s">
        <v>1462</v>
      </c>
      <c r="E612" s="2" t="s">
        <v>3568</v>
      </c>
      <c r="F612" s="2" t="s">
        <v>3569</v>
      </c>
      <c r="G612" s="2" t="s">
        <v>3570</v>
      </c>
      <c r="H612" s="2" t="s">
        <v>3571</v>
      </c>
      <c r="I612" s="2" t="s">
        <v>3572</v>
      </c>
      <c r="J612" s="2" t="s">
        <v>3573</v>
      </c>
      <c r="K612" s="2" t="s">
        <v>269</v>
      </c>
      <c r="L612" s="3">
        <v>50</v>
      </c>
      <c r="M612" s="3">
        <v>52.5</v>
      </c>
      <c r="N612" s="3">
        <v>99.99</v>
      </c>
      <c r="O612" s="2" t="s">
        <v>243</v>
      </c>
      <c r="P612" s="2" t="s">
        <v>270</v>
      </c>
      <c r="Q612" s="2" t="s">
        <v>237</v>
      </c>
      <c r="R612" s="2" t="s">
        <v>231</v>
      </c>
      <c r="S612" s="2" t="s">
        <v>3574</v>
      </c>
      <c r="T612" s="2" t="s">
        <v>362</v>
      </c>
      <c r="U612" s="2" t="s">
        <v>765</v>
      </c>
      <c r="V612" s="2" t="s">
        <v>1685</v>
      </c>
      <c r="W612" s="2" t="s">
        <v>273</v>
      </c>
      <c r="X612" s="2" t="s">
        <v>231</v>
      </c>
      <c r="Y612" s="2" t="s">
        <v>3575</v>
      </c>
      <c r="Z612" s="4">
        <v>214</v>
      </c>
      <c r="AA612" s="4">
        <f>=ROUNDDOWN(26.75,0)</f>
      </c>
      <c r="AB612" s="5">
        <v>8</v>
      </c>
      <c r="AC612" s="2" t="s">
        <v>582</v>
      </c>
      <c r="AD612" s="4">
        <v>60</v>
      </c>
      <c r="AE612" s="4">
        <v>170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231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>
        <v>21</v>
      </c>
      <c r="BK612" s="8">
        <v>1134.39</v>
      </c>
      <c r="BL612" s="2" t="s">
        <v>3576</v>
      </c>
      <c r="BM612" s="7"/>
      <c r="BN612" s="7"/>
      <c r="BO612" s="4"/>
      <c r="BP612" s="8"/>
      <c r="BQ612" s="4"/>
      <c r="BR612" s="8"/>
      <c r="BS612" s="7"/>
      <c r="BT612" s="7"/>
      <c r="BU612" s="2" t="s">
        <v>3577</v>
      </c>
      <c r="BV612" s="2" t="s">
        <v>231</v>
      </c>
      <c r="BW612" s="2" t="s">
        <v>231</v>
      </c>
      <c r="BX612" s="2" t="s">
        <v>231</v>
      </c>
      <c r="BY612" s="2" t="s">
        <v>277</v>
      </c>
      <c r="BZ612" s="2" t="s">
        <v>243</v>
      </c>
      <c r="CA612" s="2" t="s">
        <v>3578</v>
      </c>
      <c r="CB612" s="2" t="s">
        <v>3579</v>
      </c>
      <c r="CC612" s="2" t="s">
        <v>244</v>
      </c>
      <c r="CD612" s="2" t="s">
        <v>231</v>
      </c>
      <c r="CE612" s="4">
        <v>214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>
        <v>60</v>
      </c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>
        <v>110</v>
      </c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</row>
    <row r="613">
      <c r="A613" s="2" t="s">
        <v>3580</v>
      </c>
      <c r="B613" s="2" t="s">
        <v>1186</v>
      </c>
      <c r="C613" s="2" t="s">
        <v>1836</v>
      </c>
      <c r="D613" s="2" t="s">
        <v>654</v>
      </c>
      <c r="E613" s="2" t="s">
        <v>655</v>
      </c>
      <c r="F613" s="2" t="s">
        <v>3581</v>
      </c>
      <c r="G613" s="2" t="s">
        <v>3581</v>
      </c>
      <c r="H613" s="2" t="s">
        <v>3581</v>
      </c>
      <c r="I613" s="2" t="s">
        <v>3582</v>
      </c>
      <c r="J613" s="2" t="s">
        <v>318</v>
      </c>
      <c r="K613" s="2" t="s">
        <v>985</v>
      </c>
      <c r="L613" s="3">
        <v>80</v>
      </c>
      <c r="M613" s="3">
        <v>83.99</v>
      </c>
      <c r="N613" s="3">
        <v>174.99</v>
      </c>
      <c r="O613" s="2" t="s">
        <v>243</v>
      </c>
      <c r="P613" s="2" t="s">
        <v>1281</v>
      </c>
      <c r="Q613" s="2" t="s">
        <v>237</v>
      </c>
      <c r="R613" s="2" t="s">
        <v>231</v>
      </c>
      <c r="S613" s="2" t="s">
        <v>3583</v>
      </c>
      <c r="T613" s="2" t="s">
        <v>231</v>
      </c>
      <c r="U613" s="2" t="s">
        <v>231</v>
      </c>
      <c r="V613" s="2" t="s">
        <v>363</v>
      </c>
      <c r="W613" s="2" t="s">
        <v>363</v>
      </c>
      <c r="X613" s="2" t="s">
        <v>971</v>
      </c>
      <c r="Y613" s="2" t="s">
        <v>274</v>
      </c>
      <c r="Z613" s="4">
        <v>81</v>
      </c>
      <c r="AA613" s="4">
        <f>=ROUNDDOWN(40.5,0)</f>
      </c>
      <c r="AB613" s="5">
        <v>2</v>
      </c>
      <c r="AC613" s="2" t="s">
        <v>477</v>
      </c>
      <c r="AD613" s="4">
        <v>7</v>
      </c>
      <c r="AE613" s="4">
        <v>7</v>
      </c>
      <c r="AF613" s="6">
        <v>68</v>
      </c>
      <c r="AG613" s="6"/>
      <c r="AH613" s="7">
        <v>1</v>
      </c>
      <c r="AI613" s="4"/>
      <c r="AJ613" s="4">
        <f>=ROUNDDOWN({0},0)</f>
      </c>
      <c r="AK613" s="5"/>
      <c r="AL613" s="2" t="s">
        <v>231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231</v>
      </c>
      <c r="AW613" s="8" t="s">
        <v>231</v>
      </c>
      <c r="AX613" s="4" t="s">
        <v>231</v>
      </c>
      <c r="AY613" s="8" t="s">
        <v>231</v>
      </c>
      <c r="AZ613" s="7" t="s">
        <v>231</v>
      </c>
      <c r="BA613" s="7" t="s">
        <v>231</v>
      </c>
      <c r="BB613" s="7"/>
      <c r="BC613" s="4" t="s">
        <v>231</v>
      </c>
      <c r="BD613" s="8" t="s">
        <v>231</v>
      </c>
      <c r="BE613" s="4" t="s">
        <v>231</v>
      </c>
      <c r="BF613" s="8" t="s">
        <v>231</v>
      </c>
      <c r="BG613" s="7" t="s">
        <v>231</v>
      </c>
      <c r="BH613" s="7" t="s">
        <v>231</v>
      </c>
      <c r="BI613" s="7"/>
      <c r="BJ613" s="4">
        <v>7</v>
      </c>
      <c r="BK613" s="8">
        <v>584.13</v>
      </c>
      <c r="BL613" s="2" t="s">
        <v>3584</v>
      </c>
      <c r="BM613" s="7"/>
      <c r="BN613" s="7"/>
      <c r="BO613" s="4"/>
      <c r="BP613" s="8"/>
      <c r="BQ613" s="4"/>
      <c r="BR613" s="8"/>
      <c r="BS613" s="7"/>
      <c r="BT613" s="7"/>
      <c r="BU613" s="2" t="s">
        <v>3585</v>
      </c>
      <c r="BV613" s="2" t="s">
        <v>231</v>
      </c>
      <c r="BW613" s="2" t="s">
        <v>231</v>
      </c>
      <c r="BX613" s="2" t="s">
        <v>231</v>
      </c>
      <c r="BY613" s="2" t="s">
        <v>277</v>
      </c>
      <c r="BZ613" s="2" t="s">
        <v>243</v>
      </c>
      <c r="CA613" s="2" t="s">
        <v>284</v>
      </c>
      <c r="CB613" s="2" t="s">
        <v>467</v>
      </c>
      <c r="CC613" s="2" t="s">
        <v>244</v>
      </c>
      <c r="CD613" s="2" t="s">
        <v>231</v>
      </c>
      <c r="CE613" s="4">
        <v>81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>
        <v>7</v>
      </c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</row>
    <row r="614">
      <c r="A614" s="2" t="s">
        <v>3586</v>
      </c>
      <c r="B614" s="2" t="s">
        <v>1186</v>
      </c>
      <c r="C614" s="2" t="s">
        <v>1836</v>
      </c>
      <c r="D614" s="2" t="s">
        <v>654</v>
      </c>
      <c r="E614" s="2" t="s">
        <v>655</v>
      </c>
      <c r="F614" s="2" t="s">
        <v>3581</v>
      </c>
      <c r="G614" s="2" t="s">
        <v>3581</v>
      </c>
      <c r="H614" s="2" t="s">
        <v>3581</v>
      </c>
      <c r="I614" s="2" t="s">
        <v>3582</v>
      </c>
      <c r="J614" s="2" t="s">
        <v>304</v>
      </c>
      <c r="K614" s="2" t="s">
        <v>985</v>
      </c>
      <c r="L614" s="3">
        <v>110</v>
      </c>
      <c r="M614" s="3">
        <v>115.49</v>
      </c>
      <c r="N614" s="3">
        <v>234.99</v>
      </c>
      <c r="O614" s="2" t="s">
        <v>243</v>
      </c>
      <c r="P614" s="2" t="s">
        <v>1281</v>
      </c>
      <c r="Q614" s="2" t="s">
        <v>237</v>
      </c>
      <c r="R614" s="2" t="s">
        <v>231</v>
      </c>
      <c r="S614" s="2" t="s">
        <v>3583</v>
      </c>
      <c r="T614" s="2" t="s">
        <v>231</v>
      </c>
      <c r="U614" s="2" t="s">
        <v>231</v>
      </c>
      <c r="V614" s="2" t="s">
        <v>363</v>
      </c>
      <c r="W614" s="2" t="s">
        <v>363</v>
      </c>
      <c r="X614" s="2" t="s">
        <v>971</v>
      </c>
      <c r="Y614" s="2" t="s">
        <v>274</v>
      </c>
      <c r="Z614" s="4"/>
      <c r="AA614" s="4">
        <f>=ROUNDDOWN({0},0)</f>
      </c>
      <c r="AB614" s="5">
        <v>5</v>
      </c>
      <c r="AC614" s="2" t="s">
        <v>477</v>
      </c>
      <c r="AD614" s="4">
        <v>60</v>
      </c>
      <c r="AE614" s="4">
        <v>140</v>
      </c>
      <c r="AF614" s="6">
        <v>68</v>
      </c>
      <c r="AG614" s="6"/>
      <c r="AH614" s="7">
        <v>0.1613</v>
      </c>
      <c r="AI614" s="4"/>
      <c r="AJ614" s="4">
        <f>=ROUNDDOWN({0},0)</f>
      </c>
      <c r="AK614" s="5"/>
      <c r="AL614" s="2" t="s">
        <v>231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231</v>
      </c>
      <c r="AW614" s="8" t="s">
        <v>231</v>
      </c>
      <c r="AX614" s="4" t="s">
        <v>231</v>
      </c>
      <c r="AY614" s="8" t="s">
        <v>231</v>
      </c>
      <c r="AZ614" s="7" t="s">
        <v>231</v>
      </c>
      <c r="BA614" s="7" t="s">
        <v>231</v>
      </c>
      <c r="BB614" s="7"/>
      <c r="BC614" s="4" t="s">
        <v>231</v>
      </c>
      <c r="BD614" s="8" t="s">
        <v>231</v>
      </c>
      <c r="BE614" s="4" t="s">
        <v>231</v>
      </c>
      <c r="BF614" s="8" t="s">
        <v>231</v>
      </c>
      <c r="BG614" s="7" t="s">
        <v>231</v>
      </c>
      <c r="BH614" s="7" t="s">
        <v>231</v>
      </c>
      <c r="BI614" s="7"/>
      <c r="BJ614" s="4">
        <v>12</v>
      </c>
      <c r="BK614" s="8">
        <v>1466.78</v>
      </c>
      <c r="BL614" s="2" t="s">
        <v>3587</v>
      </c>
      <c r="BM614" s="7"/>
      <c r="BN614" s="7"/>
      <c r="BO614" s="4"/>
      <c r="BP614" s="8"/>
      <c r="BQ614" s="4"/>
      <c r="BR614" s="8"/>
      <c r="BS614" s="7"/>
      <c r="BT614" s="7"/>
      <c r="BU614" s="2" t="s">
        <v>3588</v>
      </c>
      <c r="BV614" s="2" t="s">
        <v>231</v>
      </c>
      <c r="BW614" s="2" t="s">
        <v>231</v>
      </c>
      <c r="BX614" s="2" t="s">
        <v>231</v>
      </c>
      <c r="BY614" s="2" t="s">
        <v>277</v>
      </c>
      <c r="BZ614" s="2" t="s">
        <v>243</v>
      </c>
      <c r="CA614" s="2" t="s">
        <v>3589</v>
      </c>
      <c r="CB614" s="2" t="s">
        <v>3590</v>
      </c>
      <c r="CC614" s="2" t="s">
        <v>244</v>
      </c>
      <c r="CD614" s="2" t="s">
        <v>231</v>
      </c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>
        <v>60</v>
      </c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>
        <v>30</v>
      </c>
      <c r="FS614" s="4"/>
      <c r="FT614" s="4"/>
      <c r="FU614" s="4"/>
      <c r="FV614" s="4"/>
      <c r="FW614" s="4"/>
      <c r="FX614" s="4"/>
      <c r="FY614" s="4">
        <v>50</v>
      </c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</row>
    <row r="615">
      <c r="A615" s="2" t="s">
        <v>3591</v>
      </c>
      <c r="B615" s="2" t="s">
        <v>1186</v>
      </c>
      <c r="C615" s="2" t="s">
        <v>1836</v>
      </c>
      <c r="D615" s="2" t="s">
        <v>654</v>
      </c>
      <c r="E615" s="2" t="s">
        <v>655</v>
      </c>
      <c r="F615" s="2" t="s">
        <v>3581</v>
      </c>
      <c r="G615" s="2" t="s">
        <v>3581</v>
      </c>
      <c r="H615" s="2" t="s">
        <v>3581</v>
      </c>
      <c r="I615" s="2" t="s">
        <v>3592</v>
      </c>
      <c r="J615" s="2" t="s">
        <v>281</v>
      </c>
      <c r="K615" s="2" t="s">
        <v>547</v>
      </c>
      <c r="L615" s="3">
        <v>100</v>
      </c>
      <c r="M615" s="3">
        <v>104.99</v>
      </c>
      <c r="N615" s="3">
        <v>214.99</v>
      </c>
      <c r="O615" s="2" t="s">
        <v>243</v>
      </c>
      <c r="P615" s="2" t="s">
        <v>270</v>
      </c>
      <c r="Q615" s="2" t="s">
        <v>237</v>
      </c>
      <c r="R615" s="2" t="s">
        <v>231</v>
      </c>
      <c r="S615" s="2" t="s">
        <v>3593</v>
      </c>
      <c r="T615" s="2" t="s">
        <v>231</v>
      </c>
      <c r="U615" s="2" t="s">
        <v>765</v>
      </c>
      <c r="V615" s="2" t="s">
        <v>363</v>
      </c>
      <c r="W615" s="2" t="s">
        <v>363</v>
      </c>
      <c r="X615" s="2" t="s">
        <v>971</v>
      </c>
      <c r="Y615" s="2" t="s">
        <v>274</v>
      </c>
      <c r="Z615" s="4">
        <v>61</v>
      </c>
      <c r="AA615" s="4">
        <f>=ROUNDDOWN(61,0)</f>
      </c>
      <c r="AB615" s="5">
        <v>1</v>
      </c>
      <c r="AC615" s="2" t="s">
        <v>231</v>
      </c>
      <c r="AD615" s="4"/>
      <c r="AE615" s="4"/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231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231</v>
      </c>
      <c r="BD615" s="8" t="s">
        <v>231</v>
      </c>
      <c r="BE615" s="4" t="s">
        <v>231</v>
      </c>
      <c r="BF615" s="8" t="s">
        <v>231</v>
      </c>
      <c r="BG615" s="7" t="s">
        <v>231</v>
      </c>
      <c r="BH615" s="7" t="s">
        <v>231</v>
      </c>
      <c r="BI615" s="7"/>
      <c r="BJ615" s="4">
        <v>1</v>
      </c>
      <c r="BK615" s="8">
        <v>110</v>
      </c>
      <c r="BL615" s="2" t="s">
        <v>609</v>
      </c>
      <c r="BM615" s="7"/>
      <c r="BN615" s="7"/>
      <c r="BO615" s="4"/>
      <c r="BP615" s="8"/>
      <c r="BQ615" s="4"/>
      <c r="BR615" s="8"/>
      <c r="BS615" s="7"/>
      <c r="BT615" s="7"/>
      <c r="BU615" s="2" t="s">
        <v>3594</v>
      </c>
      <c r="BV615" s="2" t="s">
        <v>231</v>
      </c>
      <c r="BW615" s="2" t="s">
        <v>231</v>
      </c>
      <c r="BX615" s="2" t="s">
        <v>231</v>
      </c>
      <c r="BY615" s="2" t="s">
        <v>277</v>
      </c>
      <c r="BZ615" s="2" t="s">
        <v>243</v>
      </c>
      <c r="CA615" s="2" t="s">
        <v>284</v>
      </c>
      <c r="CB615" s="2" t="s">
        <v>534</v>
      </c>
      <c r="CC615" s="2" t="s">
        <v>244</v>
      </c>
      <c r="CD615" s="2" t="s">
        <v>231</v>
      </c>
      <c r="CE615" s="4">
        <v>61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</row>
    <row r="616">
      <c r="A616" s="2" t="s">
        <v>3595</v>
      </c>
      <c r="B616" s="2" t="s">
        <v>1186</v>
      </c>
      <c r="C616" s="2" t="s">
        <v>3461</v>
      </c>
      <c r="D616" s="2" t="s">
        <v>3558</v>
      </c>
      <c r="E616" s="2" t="s">
        <v>3559</v>
      </c>
      <c r="F616" s="2" t="s">
        <v>3596</v>
      </c>
      <c r="G616" s="2" t="s">
        <v>3596</v>
      </c>
      <c r="H616" s="2" t="s">
        <v>3596</v>
      </c>
      <c r="I616" s="2" t="s">
        <v>3597</v>
      </c>
      <c r="J616" s="2" t="s">
        <v>3598</v>
      </c>
      <c r="K616" s="2" t="s">
        <v>253</v>
      </c>
      <c r="L616" s="3">
        <v>18</v>
      </c>
      <c r="M616" s="3">
        <v>18.9</v>
      </c>
      <c r="N616" s="3">
        <v>39.99</v>
      </c>
      <c r="O616" s="2" t="s">
        <v>243</v>
      </c>
      <c r="P616" s="2" t="s">
        <v>341</v>
      </c>
      <c r="Q616" s="2" t="s">
        <v>237</v>
      </c>
      <c r="R616" s="2" t="s">
        <v>231</v>
      </c>
      <c r="S616" s="2" t="s">
        <v>3599</v>
      </c>
      <c r="T616" s="2" t="s">
        <v>472</v>
      </c>
      <c r="U616" s="2" t="s">
        <v>327</v>
      </c>
      <c r="V616" s="2" t="s">
        <v>239</v>
      </c>
      <c r="W616" s="2" t="s">
        <v>273</v>
      </c>
      <c r="X616" s="2" t="s">
        <v>691</v>
      </c>
      <c r="Y616" s="2" t="s">
        <v>3600</v>
      </c>
      <c r="Z616" s="4">
        <v>287</v>
      </c>
      <c r="AA616" s="4">
        <f>=ROUNDDOWN(287,0)</f>
      </c>
      <c r="AB616" s="5">
        <v>1</v>
      </c>
      <c r="AC616" s="2" t="s">
        <v>231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231</v>
      </c>
      <c r="BD616" s="8" t="s">
        <v>231</v>
      </c>
      <c r="BE616" s="4" t="s">
        <v>231</v>
      </c>
      <c r="BF616" s="8" t="s">
        <v>231</v>
      </c>
      <c r="BG616" s="7" t="s">
        <v>231</v>
      </c>
      <c r="BH616" s="7" t="s">
        <v>231</v>
      </c>
      <c r="BI616" s="7"/>
      <c r="BJ616" s="4">
        <v>2</v>
      </c>
      <c r="BK616" s="8">
        <v>39.68</v>
      </c>
      <c r="BL616" s="2" t="s">
        <v>3601</v>
      </c>
      <c r="BM616" s="7"/>
      <c r="BN616" s="7"/>
      <c r="BO616" s="4"/>
      <c r="BP616" s="8"/>
      <c r="BQ616" s="4"/>
      <c r="BR616" s="8"/>
      <c r="BS616" s="7"/>
      <c r="BT616" s="7"/>
      <c r="BU616" s="2" t="s">
        <v>3602</v>
      </c>
      <c r="BV616" s="2" t="s">
        <v>231</v>
      </c>
      <c r="BW616" s="2" t="s">
        <v>231</v>
      </c>
      <c r="BX616" s="2" t="s">
        <v>231</v>
      </c>
      <c r="BY616" s="2" t="s">
        <v>277</v>
      </c>
      <c r="BZ616" s="2" t="s">
        <v>243</v>
      </c>
      <c r="CA616" s="2" t="s">
        <v>3436</v>
      </c>
      <c r="CB616" s="2" t="s">
        <v>3603</v>
      </c>
      <c r="CC616" s="2" t="s">
        <v>244</v>
      </c>
      <c r="CD616" s="2" t="s">
        <v>231</v>
      </c>
      <c r="CE616" s="4">
        <v>287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</row>
    <row r="617">
      <c r="A617" s="2" t="s">
        <v>3604</v>
      </c>
      <c r="B617" s="2" t="s">
        <v>1186</v>
      </c>
      <c r="C617" s="2" t="s">
        <v>3461</v>
      </c>
      <c r="D617" s="2" t="s">
        <v>654</v>
      </c>
      <c r="E617" s="2" t="s">
        <v>890</v>
      </c>
      <c r="F617" s="2" t="s">
        <v>3596</v>
      </c>
      <c r="G617" s="2" t="s">
        <v>3596</v>
      </c>
      <c r="H617" s="2" t="s">
        <v>3596</v>
      </c>
      <c r="I617" s="2" t="s">
        <v>3605</v>
      </c>
      <c r="J617" s="2" t="s">
        <v>658</v>
      </c>
      <c r="K617" s="2" t="s">
        <v>319</v>
      </c>
      <c r="L617" s="3">
        <v>72</v>
      </c>
      <c r="M617" s="3">
        <v>75.6</v>
      </c>
      <c r="N617" s="3">
        <v>159.99</v>
      </c>
      <c r="O617" s="2" t="s">
        <v>243</v>
      </c>
      <c r="P617" s="2" t="s">
        <v>270</v>
      </c>
      <c r="Q617" s="2" t="s">
        <v>237</v>
      </c>
      <c r="R617" s="2" t="s">
        <v>231</v>
      </c>
      <c r="S617" s="2" t="s">
        <v>3606</v>
      </c>
      <c r="T617" s="2" t="s">
        <v>472</v>
      </c>
      <c r="U617" s="2" t="s">
        <v>835</v>
      </c>
      <c r="V617" s="2" t="s">
        <v>239</v>
      </c>
      <c r="W617" s="2" t="s">
        <v>273</v>
      </c>
      <c r="X617" s="2" t="s">
        <v>691</v>
      </c>
      <c r="Y617" s="2" t="s">
        <v>3600</v>
      </c>
      <c r="Z617" s="4">
        <v>29</v>
      </c>
      <c r="AA617" s="4">
        <f>=ROUNDDOWN(9.66666666666667,0)</f>
      </c>
      <c r="AB617" s="5">
        <v>3</v>
      </c>
      <c r="AC617" s="2" t="s">
        <v>2140</v>
      </c>
      <c r="AD617" s="4">
        <v>38</v>
      </c>
      <c r="AE617" s="4">
        <v>113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231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231</v>
      </c>
      <c r="AW617" s="8" t="s">
        <v>231</v>
      </c>
      <c r="AX617" s="4" t="s">
        <v>231</v>
      </c>
      <c r="AY617" s="8" t="s">
        <v>231</v>
      </c>
      <c r="AZ617" s="7" t="s">
        <v>231</v>
      </c>
      <c r="BA617" s="7" t="s">
        <v>231</v>
      </c>
      <c r="BB617" s="7"/>
      <c r="BC617" s="4" t="s">
        <v>231</v>
      </c>
      <c r="BD617" s="8" t="s">
        <v>231</v>
      </c>
      <c r="BE617" s="4" t="s">
        <v>231</v>
      </c>
      <c r="BF617" s="8" t="s">
        <v>231</v>
      </c>
      <c r="BG617" s="7" t="s">
        <v>231</v>
      </c>
      <c r="BH617" s="7" t="s">
        <v>231</v>
      </c>
      <c r="BI617" s="7"/>
      <c r="BJ617" s="4">
        <v>20</v>
      </c>
      <c r="BK617" s="8">
        <v>1522.08</v>
      </c>
      <c r="BL617" s="2" t="s">
        <v>3607</v>
      </c>
      <c r="BM617" s="7"/>
      <c r="BN617" s="7"/>
      <c r="BO617" s="4"/>
      <c r="BP617" s="8"/>
      <c r="BQ617" s="4"/>
      <c r="BR617" s="8"/>
      <c r="BS617" s="7"/>
      <c r="BT617" s="7"/>
      <c r="BU617" s="2" t="s">
        <v>3608</v>
      </c>
      <c r="BV617" s="2" t="s">
        <v>231</v>
      </c>
      <c r="BW617" s="2" t="s">
        <v>231</v>
      </c>
      <c r="BX617" s="2" t="s">
        <v>231</v>
      </c>
      <c r="BY617" s="2" t="s">
        <v>277</v>
      </c>
      <c r="BZ617" s="2" t="s">
        <v>243</v>
      </c>
      <c r="CA617" s="2" t="s">
        <v>3436</v>
      </c>
      <c r="CB617" s="2" t="s">
        <v>3609</v>
      </c>
      <c r="CC617" s="2" t="s">
        <v>244</v>
      </c>
      <c r="CD617" s="2" t="s">
        <v>231</v>
      </c>
      <c r="CE617" s="4">
        <v>29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>
        <v>38</v>
      </c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>
        <v>75</v>
      </c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</row>
    <row r="618">
      <c r="A618" s="2" t="s">
        <v>3610</v>
      </c>
      <c r="B618" s="2" t="s">
        <v>1186</v>
      </c>
      <c r="C618" s="2" t="s">
        <v>3461</v>
      </c>
      <c r="D618" s="2" t="s">
        <v>826</v>
      </c>
      <c r="E618" s="2" t="s">
        <v>1060</v>
      </c>
      <c r="F618" s="2" t="s">
        <v>3596</v>
      </c>
      <c r="G618" s="2" t="s">
        <v>3596</v>
      </c>
      <c r="H618" s="2" t="s">
        <v>3596</v>
      </c>
      <c r="I618" s="2" t="s">
        <v>3611</v>
      </c>
      <c r="J618" s="2" t="s">
        <v>669</v>
      </c>
      <c r="K618" s="2" t="s">
        <v>319</v>
      </c>
      <c r="L618" s="3">
        <v>76.5</v>
      </c>
      <c r="M618" s="3">
        <v>80.33</v>
      </c>
      <c r="N618" s="3">
        <v>169.99</v>
      </c>
      <c r="O618" s="2" t="s">
        <v>243</v>
      </c>
      <c r="P618" s="2" t="s">
        <v>270</v>
      </c>
      <c r="Q618" s="2" t="s">
        <v>237</v>
      </c>
      <c r="R618" s="2" t="s">
        <v>231</v>
      </c>
      <c r="S618" s="2" t="s">
        <v>3606</v>
      </c>
      <c r="T618" s="2" t="s">
        <v>472</v>
      </c>
      <c r="U618" s="2" t="s">
        <v>835</v>
      </c>
      <c r="V618" s="2" t="s">
        <v>239</v>
      </c>
      <c r="W618" s="2" t="s">
        <v>273</v>
      </c>
      <c r="X618" s="2" t="s">
        <v>691</v>
      </c>
      <c r="Y618" s="2" t="s">
        <v>3600</v>
      </c>
      <c r="Z618" s="4">
        <v>99</v>
      </c>
      <c r="AA618" s="4">
        <f>=ROUNDDOWN(49.5,0)</f>
      </c>
      <c r="AB618" s="5">
        <v>2</v>
      </c>
      <c r="AC618" s="2" t="s">
        <v>582</v>
      </c>
      <c r="AD618" s="4">
        <v>55</v>
      </c>
      <c r="AE618" s="4">
        <v>55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231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231</v>
      </c>
      <c r="AW618" s="8" t="s">
        <v>231</v>
      </c>
      <c r="AX618" s="4" t="s">
        <v>231</v>
      </c>
      <c r="AY618" s="8" t="s">
        <v>231</v>
      </c>
      <c r="AZ618" s="7" t="s">
        <v>231</v>
      </c>
      <c r="BA618" s="7" t="s">
        <v>231</v>
      </c>
      <c r="BB618" s="7"/>
      <c r="BC618" s="4" t="s">
        <v>231</v>
      </c>
      <c r="BD618" s="8" t="s">
        <v>231</v>
      </c>
      <c r="BE618" s="4" t="s">
        <v>231</v>
      </c>
      <c r="BF618" s="8" t="s">
        <v>231</v>
      </c>
      <c r="BG618" s="7" t="s">
        <v>231</v>
      </c>
      <c r="BH618" s="7" t="s">
        <v>231</v>
      </c>
      <c r="BI618" s="7"/>
      <c r="BJ618" s="4">
        <v>11</v>
      </c>
      <c r="BK618" s="8">
        <v>887.61</v>
      </c>
      <c r="BL618" s="2" t="s">
        <v>3612</v>
      </c>
      <c r="BM618" s="7"/>
      <c r="BN618" s="7"/>
      <c r="BO618" s="4"/>
      <c r="BP618" s="8"/>
      <c r="BQ618" s="4"/>
      <c r="BR618" s="8"/>
      <c r="BS618" s="7"/>
      <c r="BT618" s="7"/>
      <c r="BU618" s="2" t="s">
        <v>3613</v>
      </c>
      <c r="BV618" s="2" t="s">
        <v>231</v>
      </c>
      <c r="BW618" s="2" t="s">
        <v>231</v>
      </c>
      <c r="BX618" s="2" t="s">
        <v>231</v>
      </c>
      <c r="BY618" s="2" t="s">
        <v>277</v>
      </c>
      <c r="BZ618" s="2" t="s">
        <v>243</v>
      </c>
      <c r="CA618" s="2" t="s">
        <v>3436</v>
      </c>
      <c r="CB618" s="2" t="s">
        <v>3614</v>
      </c>
      <c r="CC618" s="2" t="s">
        <v>244</v>
      </c>
      <c r="CD618" s="2" t="s">
        <v>231</v>
      </c>
      <c r="CE618" s="4">
        <v>99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>
        <v>55</v>
      </c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</row>
    <row r="619">
      <c r="A619" s="2" t="s">
        <v>3615</v>
      </c>
      <c r="B619" s="2" t="s">
        <v>262</v>
      </c>
      <c r="C619" s="2" t="s">
        <v>288</v>
      </c>
      <c r="D619" s="2" t="s">
        <v>228</v>
      </c>
      <c r="E619" s="2" t="s">
        <v>3164</v>
      </c>
      <c r="F619" s="2" t="s">
        <v>3616</v>
      </c>
      <c r="G619" s="2" t="s">
        <v>3617</v>
      </c>
      <c r="H619" s="2" t="s">
        <v>3617</v>
      </c>
      <c r="I619" s="2" t="s">
        <v>3618</v>
      </c>
      <c r="J619" s="2" t="s">
        <v>832</v>
      </c>
      <c r="K619" s="2" t="s">
        <v>294</v>
      </c>
      <c r="L619" s="3">
        <v>20.47</v>
      </c>
      <c r="M619" s="3">
        <v>21.49</v>
      </c>
      <c r="N619" s="3">
        <v>44.99</v>
      </c>
      <c r="O619" s="2" t="s">
        <v>243</v>
      </c>
      <c r="P619" s="2" t="s">
        <v>270</v>
      </c>
      <c r="Q619" s="2" t="s">
        <v>237</v>
      </c>
      <c r="R619" s="2" t="s">
        <v>231</v>
      </c>
      <c r="S619" s="2" t="s">
        <v>3619</v>
      </c>
      <c r="T619" s="2" t="s">
        <v>472</v>
      </c>
      <c r="U619" s="2" t="s">
        <v>327</v>
      </c>
      <c r="V619" s="2" t="s">
        <v>239</v>
      </c>
      <c r="W619" s="2" t="s">
        <v>273</v>
      </c>
      <c r="X619" s="2" t="s">
        <v>971</v>
      </c>
      <c r="Y619" s="2" t="s">
        <v>1697</v>
      </c>
      <c r="Z619" s="4">
        <v>149</v>
      </c>
      <c r="AA619" s="4">
        <f>=ROUNDDOWN(24.8333333333333,0)</f>
      </c>
      <c r="AB619" s="5">
        <v>6</v>
      </c>
      <c r="AC619" s="2" t="s">
        <v>1664</v>
      </c>
      <c r="AD619" s="4">
        <v>100</v>
      </c>
      <c r="AE619" s="4">
        <v>130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231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231</v>
      </c>
      <c r="BD619" s="8" t="s">
        <v>231</v>
      </c>
      <c r="BE619" s="4" t="s">
        <v>231</v>
      </c>
      <c r="BF619" s="8" t="s">
        <v>231</v>
      </c>
      <c r="BG619" s="7" t="s">
        <v>231</v>
      </c>
      <c r="BH619" s="7" t="s">
        <v>231</v>
      </c>
      <c r="BI619" s="7"/>
      <c r="BJ619" s="4">
        <v>13</v>
      </c>
      <c r="BK619" s="8">
        <v>316.91</v>
      </c>
      <c r="BL619" s="2" t="s">
        <v>3620</v>
      </c>
      <c r="BM619" s="7"/>
      <c r="BN619" s="7"/>
      <c r="BO619" s="4"/>
      <c r="BP619" s="8"/>
      <c r="BQ619" s="4"/>
      <c r="BR619" s="8"/>
      <c r="BS619" s="7"/>
      <c r="BT619" s="7"/>
      <c r="BU619" s="2" t="s">
        <v>3621</v>
      </c>
      <c r="BV619" s="2" t="s">
        <v>231</v>
      </c>
      <c r="BW619" s="2" t="s">
        <v>231</v>
      </c>
      <c r="BX619" s="2" t="s">
        <v>231</v>
      </c>
      <c r="BY619" s="2" t="s">
        <v>277</v>
      </c>
      <c r="BZ619" s="2" t="s">
        <v>243</v>
      </c>
      <c r="CA619" s="2" t="s">
        <v>1855</v>
      </c>
      <c r="CB619" s="2" t="s">
        <v>3622</v>
      </c>
      <c r="CC619" s="2" t="s">
        <v>244</v>
      </c>
      <c r="CD619" s="2" t="s">
        <v>231</v>
      </c>
      <c r="CE619" s="4">
        <v>149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>
        <v>100</v>
      </c>
      <c r="FW619" s="4"/>
      <c r="FX619" s="4"/>
      <c r="FY619" s="4"/>
      <c r="FZ619" s="4"/>
      <c r="GA619" s="4"/>
      <c r="GB619" s="4"/>
      <c r="GC619" s="4"/>
      <c r="GD619" s="4"/>
      <c r="GE619" s="4">
        <v>30</v>
      </c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</row>
    <row r="620">
      <c r="A620" s="2" t="s">
        <v>3623</v>
      </c>
      <c r="B620" s="2" t="s">
        <v>262</v>
      </c>
      <c r="C620" s="2" t="s">
        <v>288</v>
      </c>
      <c r="D620" s="2" t="s">
        <v>228</v>
      </c>
      <c r="E620" s="2" t="s">
        <v>3164</v>
      </c>
      <c r="F620" s="2" t="s">
        <v>3616</v>
      </c>
      <c r="G620" s="2" t="s">
        <v>3617</v>
      </c>
      <c r="H620" s="2" t="s">
        <v>3617</v>
      </c>
      <c r="I620" s="2" t="s">
        <v>3618</v>
      </c>
      <c r="J620" s="2" t="s">
        <v>302</v>
      </c>
      <c r="K620" s="2" t="s">
        <v>1932</v>
      </c>
      <c r="L620" s="3">
        <v>28.11</v>
      </c>
      <c r="M620" s="3">
        <v>29.52</v>
      </c>
      <c r="N620" s="3">
        <v>64.99</v>
      </c>
      <c r="O620" s="2" t="s">
        <v>243</v>
      </c>
      <c r="P620" s="2" t="s">
        <v>270</v>
      </c>
      <c r="Q620" s="2" t="s">
        <v>237</v>
      </c>
      <c r="R620" s="2" t="s">
        <v>231</v>
      </c>
      <c r="S620" s="2" t="s">
        <v>3624</v>
      </c>
      <c r="T620" s="2" t="s">
        <v>1630</v>
      </c>
      <c r="U620" s="2" t="s">
        <v>327</v>
      </c>
      <c r="V620" s="2" t="s">
        <v>239</v>
      </c>
      <c r="W620" s="2" t="s">
        <v>273</v>
      </c>
      <c r="X620" s="2" t="s">
        <v>971</v>
      </c>
      <c r="Y620" s="2" t="s">
        <v>3625</v>
      </c>
      <c r="Z620" s="4">
        <v>131</v>
      </c>
      <c r="AA620" s="4">
        <f>=ROUNDDOWN(26.2,0)</f>
      </c>
      <c r="AB620" s="5">
        <v>5</v>
      </c>
      <c r="AC620" s="2" t="s">
        <v>321</v>
      </c>
      <c r="AD620" s="4">
        <v>50</v>
      </c>
      <c r="AE620" s="4">
        <v>140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231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231</v>
      </c>
      <c r="BD620" s="8" t="s">
        <v>231</v>
      </c>
      <c r="BE620" s="4" t="s">
        <v>231</v>
      </c>
      <c r="BF620" s="8" t="s">
        <v>231</v>
      </c>
      <c r="BG620" s="7" t="s">
        <v>231</v>
      </c>
      <c r="BH620" s="7" t="s">
        <v>231</v>
      </c>
      <c r="BI620" s="7"/>
      <c r="BJ620" s="4">
        <v>14</v>
      </c>
      <c r="BK620" s="8">
        <v>424.19</v>
      </c>
      <c r="BL620" s="2" t="s">
        <v>3626</v>
      </c>
      <c r="BM620" s="7"/>
      <c r="BN620" s="7"/>
      <c r="BO620" s="4"/>
      <c r="BP620" s="8"/>
      <c r="BQ620" s="4"/>
      <c r="BR620" s="8"/>
      <c r="BS620" s="7"/>
      <c r="BT620" s="7"/>
      <c r="BU620" s="2" t="s">
        <v>3627</v>
      </c>
      <c r="BV620" s="2" t="s">
        <v>231</v>
      </c>
      <c r="BW620" s="2" t="s">
        <v>231</v>
      </c>
      <c r="BX620" s="2" t="s">
        <v>231</v>
      </c>
      <c r="BY620" s="2" t="s">
        <v>277</v>
      </c>
      <c r="BZ620" s="2" t="s">
        <v>243</v>
      </c>
      <c r="CA620" s="2" t="s">
        <v>3026</v>
      </c>
      <c r="CB620" s="2" t="s">
        <v>3628</v>
      </c>
      <c r="CC620" s="2" t="s">
        <v>244</v>
      </c>
      <c r="CD620" s="2" t="s">
        <v>231</v>
      </c>
      <c r="CE620" s="4">
        <v>131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>
        <v>50</v>
      </c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>
        <v>90</v>
      </c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</row>
    <row r="621">
      <c r="A621" s="2" t="s">
        <v>3629</v>
      </c>
      <c r="B621" s="2" t="s">
        <v>262</v>
      </c>
      <c r="C621" s="2" t="s">
        <v>288</v>
      </c>
      <c r="D621" s="2" t="s">
        <v>228</v>
      </c>
      <c r="E621" s="2" t="s">
        <v>3164</v>
      </c>
      <c r="F621" s="2" t="s">
        <v>3616</v>
      </c>
      <c r="G621" s="2" t="s">
        <v>3617</v>
      </c>
      <c r="H621" s="2" t="s">
        <v>3617</v>
      </c>
      <c r="I621" s="2" t="s">
        <v>3618</v>
      </c>
      <c r="J621" s="2" t="s">
        <v>832</v>
      </c>
      <c r="K621" s="2" t="s">
        <v>306</v>
      </c>
      <c r="L621" s="3">
        <v>20.47</v>
      </c>
      <c r="M621" s="3">
        <v>21.49</v>
      </c>
      <c r="N621" s="3">
        <v>44.99</v>
      </c>
      <c r="O621" s="2" t="s">
        <v>243</v>
      </c>
      <c r="P621" s="2" t="s">
        <v>270</v>
      </c>
      <c r="Q621" s="2" t="s">
        <v>237</v>
      </c>
      <c r="R621" s="2" t="s">
        <v>231</v>
      </c>
      <c r="S621" s="2" t="s">
        <v>3630</v>
      </c>
      <c r="T621" s="2" t="s">
        <v>1630</v>
      </c>
      <c r="U621" s="2" t="s">
        <v>327</v>
      </c>
      <c r="V621" s="2" t="s">
        <v>239</v>
      </c>
      <c r="W621" s="2" t="s">
        <v>273</v>
      </c>
      <c r="X621" s="2" t="s">
        <v>971</v>
      </c>
      <c r="Y621" s="2" t="s">
        <v>3631</v>
      </c>
      <c r="Z621" s="4">
        <v>394</v>
      </c>
      <c r="AA621" s="4">
        <f>=ROUNDDOWN(30.3076923076923,0)</f>
      </c>
      <c r="AB621" s="5">
        <v>13</v>
      </c>
      <c r="AC621" s="2" t="s">
        <v>2049</v>
      </c>
      <c r="AD621" s="4">
        <v>130</v>
      </c>
      <c r="AE621" s="4">
        <v>130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231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231</v>
      </c>
      <c r="BD621" s="8" t="s">
        <v>231</v>
      </c>
      <c r="BE621" s="4" t="s">
        <v>231</v>
      </c>
      <c r="BF621" s="8" t="s">
        <v>231</v>
      </c>
      <c r="BG621" s="7" t="s">
        <v>231</v>
      </c>
      <c r="BH621" s="7" t="s">
        <v>231</v>
      </c>
      <c r="BI621" s="7"/>
      <c r="BJ621" s="4">
        <v>35</v>
      </c>
      <c r="BK621" s="8">
        <v>757.3</v>
      </c>
      <c r="BL621" s="2" t="s">
        <v>3632</v>
      </c>
      <c r="BM621" s="7"/>
      <c r="BN621" s="7"/>
      <c r="BO621" s="4"/>
      <c r="BP621" s="8"/>
      <c r="BQ621" s="4"/>
      <c r="BR621" s="8"/>
      <c r="BS621" s="7"/>
      <c r="BT621" s="7"/>
      <c r="BU621" s="2" t="s">
        <v>3633</v>
      </c>
      <c r="BV621" s="2" t="s">
        <v>231</v>
      </c>
      <c r="BW621" s="2" t="s">
        <v>231</v>
      </c>
      <c r="BX621" s="2" t="s">
        <v>231</v>
      </c>
      <c r="BY621" s="2" t="s">
        <v>277</v>
      </c>
      <c r="BZ621" s="2" t="s">
        <v>243</v>
      </c>
      <c r="CA621" s="2" t="s">
        <v>3634</v>
      </c>
      <c r="CB621" s="2" t="s">
        <v>3635</v>
      </c>
      <c r="CC621" s="2" t="s">
        <v>244</v>
      </c>
      <c r="CD621" s="2" t="s">
        <v>231</v>
      </c>
      <c r="CE621" s="4">
        <v>394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>
        <v>130</v>
      </c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</row>
    <row r="622">
      <c r="A622" s="2" t="s">
        <v>3636</v>
      </c>
      <c r="B622" s="2" t="s">
        <v>262</v>
      </c>
      <c r="C622" s="2" t="s">
        <v>288</v>
      </c>
      <c r="D622" s="2" t="s">
        <v>228</v>
      </c>
      <c r="E622" s="2" t="s">
        <v>3164</v>
      </c>
      <c r="F622" s="2" t="s">
        <v>3616</v>
      </c>
      <c r="G622" s="2" t="s">
        <v>3617</v>
      </c>
      <c r="H622" s="2" t="s">
        <v>3617</v>
      </c>
      <c r="I622" s="2" t="s">
        <v>3618</v>
      </c>
      <c r="J622" s="2" t="s">
        <v>302</v>
      </c>
      <c r="K622" s="2" t="s">
        <v>255</v>
      </c>
      <c r="L622" s="3">
        <v>28.11</v>
      </c>
      <c r="M622" s="3">
        <v>29.52</v>
      </c>
      <c r="N622" s="3">
        <v>64.99</v>
      </c>
      <c r="O622" s="2" t="s">
        <v>243</v>
      </c>
      <c r="P622" s="2" t="s">
        <v>270</v>
      </c>
      <c r="Q622" s="2" t="s">
        <v>237</v>
      </c>
      <c r="R622" s="2" t="s">
        <v>231</v>
      </c>
      <c r="S622" s="2" t="s">
        <v>3637</v>
      </c>
      <c r="T622" s="2" t="s">
        <v>1630</v>
      </c>
      <c r="U622" s="2" t="s">
        <v>327</v>
      </c>
      <c r="V622" s="2" t="s">
        <v>239</v>
      </c>
      <c r="W622" s="2" t="s">
        <v>273</v>
      </c>
      <c r="X622" s="2" t="s">
        <v>971</v>
      </c>
      <c r="Y622" s="2" t="s">
        <v>3631</v>
      </c>
      <c r="Z622" s="4">
        <v>229</v>
      </c>
      <c r="AA622" s="4">
        <f>=ROUNDDOWN(20.8181818181818,0)</f>
      </c>
      <c r="AB622" s="5">
        <v>11</v>
      </c>
      <c r="AC622" s="2" t="s">
        <v>406</v>
      </c>
      <c r="AD622" s="4">
        <v>100</v>
      </c>
      <c r="AE622" s="4">
        <v>310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231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231</v>
      </c>
      <c r="BD622" s="8" t="s">
        <v>231</v>
      </c>
      <c r="BE622" s="4" t="s">
        <v>231</v>
      </c>
      <c r="BF622" s="8" t="s">
        <v>231</v>
      </c>
      <c r="BG622" s="7" t="s">
        <v>231</v>
      </c>
      <c r="BH622" s="7" t="s">
        <v>231</v>
      </c>
      <c r="BI622" s="7"/>
      <c r="BJ622" s="4">
        <v>41</v>
      </c>
      <c r="BK622" s="8">
        <v>1261.27</v>
      </c>
      <c r="BL622" s="2" t="s">
        <v>3638</v>
      </c>
      <c r="BM622" s="7"/>
      <c r="BN622" s="7"/>
      <c r="BO622" s="4"/>
      <c r="BP622" s="8"/>
      <c r="BQ622" s="4"/>
      <c r="BR622" s="8"/>
      <c r="BS622" s="7"/>
      <c r="BT622" s="7"/>
      <c r="BU622" s="2" t="s">
        <v>3639</v>
      </c>
      <c r="BV622" s="2" t="s">
        <v>231</v>
      </c>
      <c r="BW622" s="2" t="s">
        <v>231</v>
      </c>
      <c r="BX622" s="2" t="s">
        <v>231</v>
      </c>
      <c r="BY622" s="2" t="s">
        <v>277</v>
      </c>
      <c r="BZ622" s="2" t="s">
        <v>243</v>
      </c>
      <c r="CA622" s="2" t="s">
        <v>3634</v>
      </c>
      <c r="CB622" s="2" t="s">
        <v>3640</v>
      </c>
      <c r="CC622" s="2" t="s">
        <v>244</v>
      </c>
      <c r="CD622" s="2" t="s">
        <v>231</v>
      </c>
      <c r="CE622" s="4">
        <v>229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>
        <v>100</v>
      </c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>
        <v>130</v>
      </c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>
        <v>80</v>
      </c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</row>
    <row r="623">
      <c r="A623" s="2" t="s">
        <v>3641</v>
      </c>
      <c r="B623" s="2" t="s">
        <v>801</v>
      </c>
      <c r="C623" s="2" t="s">
        <v>802</v>
      </c>
      <c r="D623" s="2" t="s">
        <v>1114</v>
      </c>
      <c r="E623" s="2" t="s">
        <v>1115</v>
      </c>
      <c r="F623" s="2" t="s">
        <v>2170</v>
      </c>
      <c r="G623" s="2" t="s">
        <v>2170</v>
      </c>
      <c r="H623" s="2" t="s">
        <v>2170</v>
      </c>
      <c r="I623" s="2" t="s">
        <v>3642</v>
      </c>
      <c r="J623" s="2" t="s">
        <v>807</v>
      </c>
      <c r="K623" s="2" t="s">
        <v>306</v>
      </c>
      <c r="L623" s="3">
        <v>81.97</v>
      </c>
      <c r="M623" s="3">
        <v>86.07</v>
      </c>
      <c r="N623" s="3">
        <v>189.99</v>
      </c>
      <c r="O623" s="2" t="s">
        <v>243</v>
      </c>
      <c r="P623" s="2" t="s">
        <v>270</v>
      </c>
      <c r="Q623" s="2" t="s">
        <v>237</v>
      </c>
      <c r="R623" s="2" t="s">
        <v>231</v>
      </c>
      <c r="S623" s="2" t="s">
        <v>3643</v>
      </c>
      <c r="T623" s="2" t="s">
        <v>231</v>
      </c>
      <c r="U623" s="2" t="s">
        <v>231</v>
      </c>
      <c r="V623" s="2" t="s">
        <v>239</v>
      </c>
      <c r="W623" s="2" t="s">
        <v>792</v>
      </c>
      <c r="X623" s="2" t="s">
        <v>231</v>
      </c>
      <c r="Y623" s="2" t="s">
        <v>274</v>
      </c>
      <c r="Z623" s="4">
        <v>3</v>
      </c>
      <c r="AA623" s="4">
        <f>=ROUNDDOWN(0.2,0)</f>
      </c>
      <c r="AB623" s="5">
        <v>15</v>
      </c>
      <c r="AC623" s="2" t="s">
        <v>3644</v>
      </c>
      <c r="AD623" s="4">
        <v>300</v>
      </c>
      <c r="AE623" s="4">
        <v>300</v>
      </c>
      <c r="AF623" s="6">
        <v>65</v>
      </c>
      <c r="AG623" s="6"/>
      <c r="AH623" s="7">
        <v>0.1935</v>
      </c>
      <c r="AI623" s="4"/>
      <c r="AJ623" s="4">
        <f>=ROUNDDOWN({0},0)</f>
      </c>
      <c r="AK623" s="5"/>
      <c r="AL623" s="2" t="s">
        <v>231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>
        <v>24</v>
      </c>
      <c r="BK623" s="8">
        <v>1773.52</v>
      </c>
      <c r="BL623" s="2" t="s">
        <v>1013</v>
      </c>
      <c r="BM623" s="7"/>
      <c r="BN623" s="7"/>
      <c r="BO623" s="4"/>
      <c r="BP623" s="8"/>
      <c r="BQ623" s="4"/>
      <c r="BR623" s="8"/>
      <c r="BS623" s="7"/>
      <c r="BT623" s="7"/>
      <c r="BU623" s="2" t="s">
        <v>3645</v>
      </c>
      <c r="BV623" s="2" t="s">
        <v>231</v>
      </c>
      <c r="BW623" s="2" t="s">
        <v>231</v>
      </c>
      <c r="BX623" s="2" t="s">
        <v>231</v>
      </c>
      <c r="BY623" s="2" t="s">
        <v>277</v>
      </c>
      <c r="BZ623" s="2" t="s">
        <v>243</v>
      </c>
      <c r="CA623" s="2" t="s">
        <v>355</v>
      </c>
      <c r="CB623" s="2" t="s">
        <v>2967</v>
      </c>
      <c r="CC623" s="2" t="s">
        <v>244</v>
      </c>
      <c r="CD623" s="2" t="s">
        <v>231</v>
      </c>
      <c r="CE623" s="4"/>
      <c r="CF623" s="4">
        <v>3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>
        <v>300</v>
      </c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</row>
    <row r="624">
      <c r="A624" s="2" t="s">
        <v>3646</v>
      </c>
      <c r="B624" s="2" t="s">
        <v>1004</v>
      </c>
      <c r="C624" s="2" t="s">
        <v>288</v>
      </c>
      <c r="D624" s="2" t="s">
        <v>1917</v>
      </c>
      <c r="E624" s="2" t="s">
        <v>2495</v>
      </c>
      <c r="F624" s="2" t="s">
        <v>3647</v>
      </c>
      <c r="G624" s="2" t="s">
        <v>3648</v>
      </c>
      <c r="H624" s="2" t="s">
        <v>3649</v>
      </c>
      <c r="I624" s="2" t="s">
        <v>3650</v>
      </c>
      <c r="J624" s="2" t="s">
        <v>807</v>
      </c>
      <c r="K624" s="2" t="s">
        <v>269</v>
      </c>
      <c r="L624" s="3">
        <v>99.75</v>
      </c>
      <c r="M624" s="3">
        <v>104.74</v>
      </c>
      <c r="N624" s="3">
        <v>209</v>
      </c>
      <c r="O624" s="2" t="s">
        <v>250</v>
      </c>
      <c r="P624" s="2" t="s">
        <v>341</v>
      </c>
      <c r="Q624" s="2" t="s">
        <v>237</v>
      </c>
      <c r="R624" s="2" t="s">
        <v>231</v>
      </c>
      <c r="S624" s="2" t="s">
        <v>3651</v>
      </c>
      <c r="T624" s="2" t="s">
        <v>231</v>
      </c>
      <c r="U624" s="2" t="s">
        <v>231</v>
      </c>
      <c r="V624" s="2" t="s">
        <v>239</v>
      </c>
      <c r="W624" s="2" t="s">
        <v>792</v>
      </c>
      <c r="X624" s="2" t="s">
        <v>231</v>
      </c>
      <c r="Y624" s="2" t="s">
        <v>1946</v>
      </c>
      <c r="Z624" s="4"/>
      <c r="AA624" s="4">
        <f>=ROUNDDOWN({0},0)</f>
      </c>
      <c r="AB624" s="5">
        <v>1.9</v>
      </c>
      <c r="AC624" s="2" t="s">
        <v>231</v>
      </c>
      <c r="AD624" s="4"/>
      <c r="AE624" s="4"/>
      <c r="AF624" s="6">
        <v>75</v>
      </c>
      <c r="AG624" s="6">
        <v>66</v>
      </c>
      <c r="AH624" s="7">
        <v>0</v>
      </c>
      <c r="AI624" s="4"/>
      <c r="AJ624" s="4">
        <f>=ROUNDDOWN({0},0)</f>
      </c>
      <c r="AK624" s="5"/>
      <c r="AL624" s="2" t="s">
        <v>231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231</v>
      </c>
      <c r="BD624" s="8" t="s">
        <v>231</v>
      </c>
      <c r="BE624" s="4" t="s">
        <v>231</v>
      </c>
      <c r="BF624" s="8" t="s">
        <v>231</v>
      </c>
      <c r="BG624" s="7" t="s">
        <v>231</v>
      </c>
      <c r="BH624" s="7" t="s">
        <v>231</v>
      </c>
      <c r="BI624" s="7"/>
      <c r="BJ624" s="4"/>
      <c r="BK624" s="8"/>
      <c r="BL624" s="2" t="s">
        <v>3652</v>
      </c>
      <c r="BM624" s="7"/>
      <c r="BN624" s="7"/>
      <c r="BO624" s="4"/>
      <c r="BP624" s="8"/>
      <c r="BQ624" s="4"/>
      <c r="BR624" s="8"/>
      <c r="BS624" s="7"/>
      <c r="BT624" s="7"/>
      <c r="BU624" s="2" t="s">
        <v>3653</v>
      </c>
      <c r="BV624" s="2" t="s">
        <v>231</v>
      </c>
      <c r="BW624" s="2" t="s">
        <v>231</v>
      </c>
      <c r="BX624" s="2" t="s">
        <v>231</v>
      </c>
      <c r="BY624" s="2" t="s">
        <v>277</v>
      </c>
      <c r="BZ624" s="2" t="s">
        <v>243</v>
      </c>
      <c r="CA624" s="2" t="s">
        <v>2880</v>
      </c>
      <c r="CB624" s="2" t="s">
        <v>2816</v>
      </c>
      <c r="CC624" s="2" t="s">
        <v>244</v>
      </c>
      <c r="CD624" s="2" t="s">
        <v>231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</row>
    <row r="625">
      <c r="A625" s="2" t="s">
        <v>3654</v>
      </c>
      <c r="B625" s="2" t="s">
        <v>1004</v>
      </c>
      <c r="C625" s="2" t="s">
        <v>288</v>
      </c>
      <c r="D625" s="2" t="s">
        <v>1917</v>
      </c>
      <c r="E625" s="2" t="s">
        <v>2495</v>
      </c>
      <c r="F625" s="2" t="s">
        <v>3647</v>
      </c>
      <c r="G625" s="2" t="s">
        <v>3648</v>
      </c>
      <c r="H625" s="2" t="s">
        <v>3649</v>
      </c>
      <c r="I625" s="2" t="s">
        <v>3650</v>
      </c>
      <c r="J625" s="2" t="s">
        <v>807</v>
      </c>
      <c r="K625" s="2" t="s">
        <v>1136</v>
      </c>
      <c r="L625" s="3">
        <v>99.75</v>
      </c>
      <c r="M625" s="3">
        <v>104.74</v>
      </c>
      <c r="N625" s="3">
        <v>209</v>
      </c>
      <c r="O625" s="2" t="s">
        <v>243</v>
      </c>
      <c r="P625" s="2" t="s">
        <v>270</v>
      </c>
      <c r="Q625" s="2" t="s">
        <v>237</v>
      </c>
      <c r="R625" s="2" t="s">
        <v>231</v>
      </c>
      <c r="S625" s="2" t="s">
        <v>3655</v>
      </c>
      <c r="T625" s="2" t="s">
        <v>231</v>
      </c>
      <c r="U625" s="2" t="s">
        <v>231</v>
      </c>
      <c r="V625" s="2" t="s">
        <v>239</v>
      </c>
      <c r="W625" s="2" t="s">
        <v>792</v>
      </c>
      <c r="X625" s="2" t="s">
        <v>231</v>
      </c>
      <c r="Y625" s="2" t="s">
        <v>1946</v>
      </c>
      <c r="Z625" s="4">
        <v>191</v>
      </c>
      <c r="AA625" s="4">
        <f>=ROUNDDOWN(47.75,0)</f>
      </c>
      <c r="AB625" s="5">
        <v>4</v>
      </c>
      <c r="AC625" s="2" t="s">
        <v>3656</v>
      </c>
      <c r="AD625" s="4">
        <v>30</v>
      </c>
      <c r="AE625" s="4">
        <v>200</v>
      </c>
      <c r="AF625" s="6">
        <v>76</v>
      </c>
      <c r="AG625" s="6">
        <v>67</v>
      </c>
      <c r="AH625" s="7">
        <v>1</v>
      </c>
      <c r="AI625" s="4"/>
      <c r="AJ625" s="4">
        <f>=ROUNDDOWN({0},0)</f>
      </c>
      <c r="AK625" s="5"/>
      <c r="AL625" s="2" t="s">
        <v>231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231</v>
      </c>
      <c r="BD625" s="8" t="s">
        <v>231</v>
      </c>
      <c r="BE625" s="4" t="s">
        <v>231</v>
      </c>
      <c r="BF625" s="8" t="s">
        <v>231</v>
      </c>
      <c r="BG625" s="7" t="s">
        <v>231</v>
      </c>
      <c r="BH625" s="7" t="s">
        <v>231</v>
      </c>
      <c r="BI625" s="7"/>
      <c r="BJ625" s="4">
        <v>20</v>
      </c>
      <c r="BK625" s="8">
        <v>1962.41</v>
      </c>
      <c r="BL625" s="2" t="s">
        <v>3657</v>
      </c>
      <c r="BM625" s="7"/>
      <c r="BN625" s="7"/>
      <c r="BO625" s="4"/>
      <c r="BP625" s="8"/>
      <c r="BQ625" s="4"/>
      <c r="BR625" s="8"/>
      <c r="BS625" s="7"/>
      <c r="BT625" s="7"/>
      <c r="BU625" s="2" t="s">
        <v>3658</v>
      </c>
      <c r="BV625" s="2" t="s">
        <v>231</v>
      </c>
      <c r="BW625" s="2" t="s">
        <v>231</v>
      </c>
      <c r="BX625" s="2" t="s">
        <v>1812</v>
      </c>
      <c r="BY625" s="2" t="s">
        <v>277</v>
      </c>
      <c r="BZ625" s="2" t="s">
        <v>243</v>
      </c>
      <c r="CA625" s="2" t="s">
        <v>2880</v>
      </c>
      <c r="CB625" s="2" t="s">
        <v>3659</v>
      </c>
      <c r="CC625" s="2" t="s">
        <v>244</v>
      </c>
      <c r="CD625" s="2" t="s">
        <v>231</v>
      </c>
      <c r="CE625" s="4"/>
      <c r="CF625" s="4">
        <v>191</v>
      </c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>
        <v>30</v>
      </c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>
        <v>170</v>
      </c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</row>
    <row r="626">
      <c r="A626" s="2" t="s">
        <v>3660</v>
      </c>
      <c r="B626" s="2" t="s">
        <v>1004</v>
      </c>
      <c r="C626" s="2" t="s">
        <v>288</v>
      </c>
      <c r="D626" s="2" t="s">
        <v>1917</v>
      </c>
      <c r="E626" s="2" t="s">
        <v>2495</v>
      </c>
      <c r="F626" s="2" t="s">
        <v>3647</v>
      </c>
      <c r="G626" s="2" t="s">
        <v>3648</v>
      </c>
      <c r="H626" s="2" t="s">
        <v>3649</v>
      </c>
      <c r="I626" s="2" t="s">
        <v>3650</v>
      </c>
      <c r="J626" s="2" t="s">
        <v>807</v>
      </c>
      <c r="K626" s="2" t="s">
        <v>253</v>
      </c>
      <c r="L626" s="3">
        <v>99.75</v>
      </c>
      <c r="M626" s="3">
        <v>104.74</v>
      </c>
      <c r="N626" s="3">
        <v>209</v>
      </c>
      <c r="O626" s="2" t="s">
        <v>235</v>
      </c>
      <c r="P626" s="2" t="s">
        <v>341</v>
      </c>
      <c r="Q626" s="2" t="s">
        <v>237</v>
      </c>
      <c r="R626" s="2" t="s">
        <v>231</v>
      </c>
      <c r="S626" s="2" t="s">
        <v>3661</v>
      </c>
      <c r="T626" s="2" t="s">
        <v>231</v>
      </c>
      <c r="U626" s="2" t="s">
        <v>231</v>
      </c>
      <c r="V626" s="2" t="s">
        <v>239</v>
      </c>
      <c r="W626" s="2" t="s">
        <v>792</v>
      </c>
      <c r="X626" s="2" t="s">
        <v>231</v>
      </c>
      <c r="Y626" s="2" t="s">
        <v>274</v>
      </c>
      <c r="Z626" s="4">
        <v>29</v>
      </c>
      <c r="AA626" s="4">
        <f>=ROUNDDOWN(13.1818181818182,0)</f>
      </c>
      <c r="AB626" s="5">
        <v>2.2</v>
      </c>
      <c r="AC626" s="2" t="s">
        <v>231</v>
      </c>
      <c r="AD626" s="4"/>
      <c r="AE626" s="4"/>
      <c r="AF626" s="6">
        <v>75</v>
      </c>
      <c r="AG626" s="6">
        <v>66</v>
      </c>
      <c r="AH626" s="7">
        <v>1</v>
      </c>
      <c r="AI626" s="4"/>
      <c r="AJ626" s="4">
        <f>=ROUNDDOWN({0},0)</f>
      </c>
      <c r="AK626" s="5"/>
      <c r="AL626" s="2" t="s">
        <v>231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231</v>
      </c>
      <c r="BD626" s="8" t="s">
        <v>231</v>
      </c>
      <c r="BE626" s="4" t="s">
        <v>231</v>
      </c>
      <c r="BF626" s="8" t="s">
        <v>231</v>
      </c>
      <c r="BG626" s="7" t="s">
        <v>231</v>
      </c>
      <c r="BH626" s="7" t="s">
        <v>231</v>
      </c>
      <c r="BI626" s="7"/>
      <c r="BJ626" s="4">
        <v>9</v>
      </c>
      <c r="BK626" s="8">
        <v>464.58</v>
      </c>
      <c r="BL626" s="2" t="s">
        <v>3662</v>
      </c>
      <c r="BM626" s="7"/>
      <c r="BN626" s="7"/>
      <c r="BO626" s="4"/>
      <c r="BP626" s="8"/>
      <c r="BQ626" s="4"/>
      <c r="BR626" s="8"/>
      <c r="BS626" s="7"/>
      <c r="BT626" s="7"/>
      <c r="BU626" s="2" t="s">
        <v>3663</v>
      </c>
      <c r="BV626" s="2" t="s">
        <v>231</v>
      </c>
      <c r="BW626" s="2" t="s">
        <v>231</v>
      </c>
      <c r="BX626" s="2" t="s">
        <v>231</v>
      </c>
      <c r="BY626" s="2" t="s">
        <v>277</v>
      </c>
      <c r="BZ626" s="2" t="s">
        <v>243</v>
      </c>
      <c r="CA626" s="2" t="s">
        <v>2880</v>
      </c>
      <c r="CB626" s="2" t="s">
        <v>3664</v>
      </c>
      <c r="CC626" s="2" t="s">
        <v>244</v>
      </c>
      <c r="CD626" s="2" t="s">
        <v>231</v>
      </c>
      <c r="CE626" s="4"/>
      <c r="CF626" s="4">
        <v>29</v>
      </c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</row>
    <row r="627">
      <c r="A627" s="2" t="s">
        <v>3665</v>
      </c>
      <c r="B627" s="2" t="s">
        <v>992</v>
      </c>
      <c r="C627" s="2" t="s">
        <v>1105</v>
      </c>
      <c r="D627" s="2" t="s">
        <v>993</v>
      </c>
      <c r="E627" s="2" t="s">
        <v>1157</v>
      </c>
      <c r="F627" s="2" t="s">
        <v>3666</v>
      </c>
      <c r="G627" s="2" t="s">
        <v>3667</v>
      </c>
      <c r="H627" s="2" t="s">
        <v>3029</v>
      </c>
      <c r="I627" s="2" t="s">
        <v>3668</v>
      </c>
      <c r="J627" s="2" t="s">
        <v>3669</v>
      </c>
      <c r="K627" s="2" t="s">
        <v>682</v>
      </c>
      <c r="L627" s="3">
        <v>17.02</v>
      </c>
      <c r="M627" s="3">
        <v>17.87</v>
      </c>
      <c r="N627" s="3">
        <v>36.99</v>
      </c>
      <c r="O627" s="2" t="s">
        <v>243</v>
      </c>
      <c r="P627" s="2" t="s">
        <v>341</v>
      </c>
      <c r="Q627" s="2" t="s">
        <v>237</v>
      </c>
      <c r="R627" s="2" t="s">
        <v>231</v>
      </c>
      <c r="S627" s="2" t="s">
        <v>3670</v>
      </c>
      <c r="T627" s="2" t="s">
        <v>3671</v>
      </c>
      <c r="U627" s="2" t="s">
        <v>791</v>
      </c>
      <c r="V627" s="2" t="s">
        <v>239</v>
      </c>
      <c r="W627" s="2" t="s">
        <v>691</v>
      </c>
      <c r="X627" s="2" t="s">
        <v>3672</v>
      </c>
      <c r="Y627" s="2" t="s">
        <v>3673</v>
      </c>
      <c r="Z627" s="4">
        <v>91</v>
      </c>
      <c r="AA627" s="4">
        <f>=ROUNDDOWN(39.5652173913043,0)</f>
      </c>
      <c r="AB627" s="5">
        <v>2.3</v>
      </c>
      <c r="AC627" s="2" t="s">
        <v>231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231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231</v>
      </c>
      <c r="BD627" s="8" t="s">
        <v>231</v>
      </c>
      <c r="BE627" s="4" t="s">
        <v>231</v>
      </c>
      <c r="BF627" s="8" t="s">
        <v>231</v>
      </c>
      <c r="BG627" s="7" t="s">
        <v>231</v>
      </c>
      <c r="BH627" s="7" t="s">
        <v>231</v>
      </c>
      <c r="BI627" s="7"/>
      <c r="BJ627" s="4">
        <v>11</v>
      </c>
      <c r="BK627" s="8">
        <v>209.93</v>
      </c>
      <c r="BL627" s="2" t="s">
        <v>3674</v>
      </c>
      <c r="BM627" s="7"/>
      <c r="BN627" s="7"/>
      <c r="BO627" s="4"/>
      <c r="BP627" s="8"/>
      <c r="BQ627" s="4"/>
      <c r="BR627" s="8"/>
      <c r="BS627" s="7"/>
      <c r="BT627" s="7"/>
      <c r="BU627" s="2" t="s">
        <v>3675</v>
      </c>
      <c r="BV627" s="2" t="s">
        <v>231</v>
      </c>
      <c r="BW627" s="2" t="s">
        <v>231</v>
      </c>
      <c r="BX627" s="2" t="s">
        <v>241</v>
      </c>
      <c r="BY627" s="2" t="s">
        <v>277</v>
      </c>
      <c r="BZ627" s="2" t="s">
        <v>243</v>
      </c>
      <c r="CA627" s="2" t="s">
        <v>3673</v>
      </c>
      <c r="CB627" s="2" t="s">
        <v>3676</v>
      </c>
      <c r="CC627" s="2" t="s">
        <v>244</v>
      </c>
      <c r="CD627" s="2" t="s">
        <v>231</v>
      </c>
      <c r="CE627" s="4">
        <v>91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</row>
    <row r="628">
      <c r="A628" s="2" t="s">
        <v>3677</v>
      </c>
      <c r="B628" s="2" t="s">
        <v>992</v>
      </c>
      <c r="C628" s="2" t="s">
        <v>1105</v>
      </c>
      <c r="D628" s="2" t="s">
        <v>993</v>
      </c>
      <c r="E628" s="2" t="s">
        <v>1157</v>
      </c>
      <c r="F628" s="2" t="s">
        <v>3666</v>
      </c>
      <c r="G628" s="2" t="s">
        <v>3667</v>
      </c>
      <c r="H628" s="2" t="s">
        <v>3029</v>
      </c>
      <c r="I628" s="2" t="s">
        <v>3668</v>
      </c>
      <c r="J628" s="2" t="s">
        <v>3678</v>
      </c>
      <c r="K628" s="2" t="s">
        <v>1491</v>
      </c>
      <c r="L628" s="3">
        <v>19.32</v>
      </c>
      <c r="M628" s="3">
        <v>20.29</v>
      </c>
      <c r="N628" s="3">
        <v>41.99</v>
      </c>
      <c r="O628" s="2" t="s">
        <v>243</v>
      </c>
      <c r="P628" s="2" t="s">
        <v>236</v>
      </c>
      <c r="Q628" s="2" t="s">
        <v>237</v>
      </c>
      <c r="R628" s="2" t="s">
        <v>231</v>
      </c>
      <c r="S628" s="2" t="s">
        <v>3679</v>
      </c>
      <c r="T628" s="2" t="s">
        <v>3671</v>
      </c>
      <c r="U628" s="2" t="s">
        <v>791</v>
      </c>
      <c r="V628" s="2" t="s">
        <v>239</v>
      </c>
      <c r="W628" s="2" t="s">
        <v>691</v>
      </c>
      <c r="X628" s="2" t="s">
        <v>3672</v>
      </c>
      <c r="Y628" s="2" t="s">
        <v>3115</v>
      </c>
      <c r="Z628" s="4">
        <v>111</v>
      </c>
      <c r="AA628" s="4">
        <f>=ROUNDDOWN(55.5,0)</f>
      </c>
      <c r="AB628" s="5">
        <v>2</v>
      </c>
      <c r="AC628" s="2" t="s">
        <v>231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231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231</v>
      </c>
      <c r="AW628" s="8" t="s">
        <v>231</v>
      </c>
      <c r="AX628" s="4" t="s">
        <v>231</v>
      </c>
      <c r="AY628" s="8" t="s">
        <v>231</v>
      </c>
      <c r="AZ628" s="7" t="s">
        <v>231</v>
      </c>
      <c r="BA628" s="7" t="s">
        <v>231</v>
      </c>
      <c r="BB628" s="7"/>
      <c r="BC628" s="4" t="s">
        <v>231</v>
      </c>
      <c r="BD628" s="8" t="s">
        <v>231</v>
      </c>
      <c r="BE628" s="4" t="s">
        <v>231</v>
      </c>
      <c r="BF628" s="8" t="s">
        <v>231</v>
      </c>
      <c r="BG628" s="7" t="s">
        <v>231</v>
      </c>
      <c r="BH628" s="7" t="s">
        <v>231</v>
      </c>
      <c r="BI628" s="7"/>
      <c r="BJ628" s="4">
        <v>6</v>
      </c>
      <c r="BK628" s="8">
        <v>125.52</v>
      </c>
      <c r="BL628" s="2" t="s">
        <v>1013</v>
      </c>
      <c r="BM628" s="7"/>
      <c r="BN628" s="7"/>
      <c r="BO628" s="4"/>
      <c r="BP628" s="8"/>
      <c r="BQ628" s="4"/>
      <c r="BR628" s="8"/>
      <c r="BS628" s="7"/>
      <c r="BT628" s="7"/>
      <c r="BU628" s="2" t="s">
        <v>3680</v>
      </c>
      <c r="BV628" s="2" t="s">
        <v>231</v>
      </c>
      <c r="BW628" s="2" t="s">
        <v>231</v>
      </c>
      <c r="BX628" s="2" t="s">
        <v>231</v>
      </c>
      <c r="BY628" s="2" t="s">
        <v>277</v>
      </c>
      <c r="BZ628" s="2" t="s">
        <v>243</v>
      </c>
      <c r="CA628" s="2" t="s">
        <v>3681</v>
      </c>
      <c r="CB628" s="2" t="s">
        <v>2664</v>
      </c>
      <c r="CC628" s="2" t="s">
        <v>244</v>
      </c>
      <c r="CD628" s="2" t="s">
        <v>231</v>
      </c>
      <c r="CE628" s="4">
        <v>111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</row>
    <row r="629">
      <c r="A629" s="2" t="s">
        <v>3682</v>
      </c>
      <c r="B629" s="2" t="s">
        <v>992</v>
      </c>
      <c r="C629" s="2" t="s">
        <v>1105</v>
      </c>
      <c r="D629" s="2" t="s">
        <v>993</v>
      </c>
      <c r="E629" s="2" t="s">
        <v>1157</v>
      </c>
      <c r="F629" s="2" t="s">
        <v>3666</v>
      </c>
      <c r="G629" s="2" t="s">
        <v>3667</v>
      </c>
      <c r="H629" s="2" t="s">
        <v>3029</v>
      </c>
      <c r="I629" s="2" t="s">
        <v>3668</v>
      </c>
      <c r="J629" s="2" t="s">
        <v>3683</v>
      </c>
      <c r="K629" s="2" t="s">
        <v>1491</v>
      </c>
      <c r="L629" s="3">
        <v>22.09</v>
      </c>
      <c r="M629" s="3">
        <v>23.19</v>
      </c>
      <c r="N629" s="3">
        <v>46.99</v>
      </c>
      <c r="O629" s="2" t="s">
        <v>243</v>
      </c>
      <c r="P629" s="2" t="s">
        <v>236</v>
      </c>
      <c r="Q629" s="2" t="s">
        <v>237</v>
      </c>
      <c r="R629" s="2" t="s">
        <v>231</v>
      </c>
      <c r="S629" s="2" t="s">
        <v>3684</v>
      </c>
      <c r="T629" s="2" t="s">
        <v>3671</v>
      </c>
      <c r="U629" s="2" t="s">
        <v>791</v>
      </c>
      <c r="V629" s="2" t="s">
        <v>239</v>
      </c>
      <c r="W629" s="2" t="s">
        <v>691</v>
      </c>
      <c r="X629" s="2" t="s">
        <v>3672</v>
      </c>
      <c r="Y629" s="2" t="s">
        <v>3115</v>
      </c>
      <c r="Z629" s="4">
        <v>139</v>
      </c>
      <c r="AA629" s="4">
        <f>=ROUNDDOWN(69.5,0)</f>
      </c>
      <c r="AB629" s="5">
        <v>2</v>
      </c>
      <c r="AC629" s="2" t="s">
        <v>231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231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231</v>
      </c>
      <c r="AW629" s="8" t="s">
        <v>231</v>
      </c>
      <c r="AX629" s="4" t="s">
        <v>231</v>
      </c>
      <c r="AY629" s="8" t="s">
        <v>231</v>
      </c>
      <c r="AZ629" s="7" t="s">
        <v>231</v>
      </c>
      <c r="BA629" s="7" t="s">
        <v>231</v>
      </c>
      <c r="BB629" s="7"/>
      <c r="BC629" s="4" t="s">
        <v>231</v>
      </c>
      <c r="BD629" s="8" t="s">
        <v>231</v>
      </c>
      <c r="BE629" s="4" t="s">
        <v>231</v>
      </c>
      <c r="BF629" s="8" t="s">
        <v>231</v>
      </c>
      <c r="BG629" s="7" t="s">
        <v>231</v>
      </c>
      <c r="BH629" s="7" t="s">
        <v>231</v>
      </c>
      <c r="BI629" s="7"/>
      <c r="BJ629" s="4">
        <v>5</v>
      </c>
      <c r="BK629" s="8">
        <v>123.04</v>
      </c>
      <c r="BL629" s="2" t="s">
        <v>3685</v>
      </c>
      <c r="BM629" s="7"/>
      <c r="BN629" s="7"/>
      <c r="BO629" s="4"/>
      <c r="BP629" s="8"/>
      <c r="BQ629" s="4"/>
      <c r="BR629" s="8"/>
      <c r="BS629" s="7"/>
      <c r="BT629" s="7"/>
      <c r="BU629" s="2" t="s">
        <v>3686</v>
      </c>
      <c r="BV629" s="2" t="s">
        <v>231</v>
      </c>
      <c r="BW629" s="2" t="s">
        <v>231</v>
      </c>
      <c r="BX629" s="2" t="s">
        <v>231</v>
      </c>
      <c r="BY629" s="2" t="s">
        <v>277</v>
      </c>
      <c r="BZ629" s="2" t="s">
        <v>243</v>
      </c>
      <c r="CA629" s="2" t="s">
        <v>3681</v>
      </c>
      <c r="CB629" s="2" t="s">
        <v>3687</v>
      </c>
      <c r="CC629" s="2" t="s">
        <v>244</v>
      </c>
      <c r="CD629" s="2" t="s">
        <v>231</v>
      </c>
      <c r="CE629" s="4">
        <v>139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</row>
    <row r="630">
      <c r="A630" s="2" t="s">
        <v>3688</v>
      </c>
      <c r="B630" s="2" t="s">
        <v>992</v>
      </c>
      <c r="C630" s="2" t="s">
        <v>1105</v>
      </c>
      <c r="D630" s="2" t="s">
        <v>993</v>
      </c>
      <c r="E630" s="2" t="s">
        <v>1157</v>
      </c>
      <c r="F630" s="2" t="s">
        <v>3666</v>
      </c>
      <c r="G630" s="2" t="s">
        <v>3667</v>
      </c>
      <c r="H630" s="2" t="s">
        <v>3029</v>
      </c>
      <c r="I630" s="2" t="s">
        <v>3668</v>
      </c>
      <c r="J630" s="2" t="s">
        <v>3678</v>
      </c>
      <c r="K630" s="2" t="s">
        <v>3689</v>
      </c>
      <c r="L630" s="3">
        <v>19.32</v>
      </c>
      <c r="M630" s="3">
        <v>20.29</v>
      </c>
      <c r="N630" s="3">
        <v>41.99</v>
      </c>
      <c r="O630" s="2" t="s">
        <v>243</v>
      </c>
      <c r="P630" s="2" t="s">
        <v>236</v>
      </c>
      <c r="Q630" s="2" t="s">
        <v>237</v>
      </c>
      <c r="R630" s="2" t="s">
        <v>231</v>
      </c>
      <c r="S630" s="2" t="s">
        <v>3690</v>
      </c>
      <c r="T630" s="2" t="s">
        <v>3671</v>
      </c>
      <c r="U630" s="2" t="s">
        <v>791</v>
      </c>
      <c r="V630" s="2" t="s">
        <v>239</v>
      </c>
      <c r="W630" s="2" t="s">
        <v>691</v>
      </c>
      <c r="X630" s="2" t="s">
        <v>3672</v>
      </c>
      <c r="Y630" s="2" t="s">
        <v>3691</v>
      </c>
      <c r="Z630" s="4">
        <v>100</v>
      </c>
      <c r="AA630" s="4">
        <f>=ROUNDDOWN({0},0)</f>
      </c>
      <c r="AB630" s="5"/>
      <c r="AC630" s="2" t="s">
        <v>911</v>
      </c>
      <c r="AD630" s="4">
        <v>128</v>
      </c>
      <c r="AE630" s="4">
        <v>128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231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231</v>
      </c>
      <c r="AW630" s="8" t="s">
        <v>231</v>
      </c>
      <c r="AX630" s="4" t="s">
        <v>231</v>
      </c>
      <c r="AY630" s="8" t="s">
        <v>231</v>
      </c>
      <c r="AZ630" s="7" t="s">
        <v>231</v>
      </c>
      <c r="BA630" s="7" t="s">
        <v>231</v>
      </c>
      <c r="BB630" s="7"/>
      <c r="BC630" s="4" t="s">
        <v>231</v>
      </c>
      <c r="BD630" s="8" t="s">
        <v>231</v>
      </c>
      <c r="BE630" s="4" t="s">
        <v>231</v>
      </c>
      <c r="BF630" s="8" t="s">
        <v>231</v>
      </c>
      <c r="BG630" s="7" t="s">
        <v>231</v>
      </c>
      <c r="BH630" s="7" t="s">
        <v>231</v>
      </c>
      <c r="BI630" s="7"/>
      <c r="BJ630" s="4"/>
      <c r="BK630" s="8"/>
      <c r="BL630" s="2" t="s">
        <v>231</v>
      </c>
      <c r="BM630" s="7"/>
      <c r="BN630" s="7"/>
      <c r="BO630" s="4"/>
      <c r="BP630" s="8"/>
      <c r="BQ630" s="4"/>
      <c r="BR630" s="8"/>
      <c r="BS630" s="7"/>
      <c r="BT630" s="7"/>
      <c r="BU630" s="2" t="s">
        <v>3692</v>
      </c>
      <c r="BV630" s="2" t="s">
        <v>231</v>
      </c>
      <c r="BW630" s="2" t="s">
        <v>231</v>
      </c>
      <c r="BX630" s="2" t="s">
        <v>241</v>
      </c>
      <c r="BY630" s="2" t="s">
        <v>277</v>
      </c>
      <c r="BZ630" s="2" t="s">
        <v>243</v>
      </c>
      <c r="CA630" s="2" t="s">
        <v>3693</v>
      </c>
      <c r="CB630" s="2" t="s">
        <v>231</v>
      </c>
      <c r="CC630" s="2" t="s">
        <v>244</v>
      </c>
      <c r="CD630" s="2" t="s">
        <v>231</v>
      </c>
      <c r="CE630" s="4">
        <v>100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>
        <v>128</v>
      </c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</row>
    <row r="631">
      <c r="A631" s="2" t="s">
        <v>3694</v>
      </c>
      <c r="B631" s="2" t="s">
        <v>992</v>
      </c>
      <c r="C631" s="2" t="s">
        <v>1105</v>
      </c>
      <c r="D631" s="2" t="s">
        <v>993</v>
      </c>
      <c r="E631" s="2" t="s">
        <v>1157</v>
      </c>
      <c r="F631" s="2" t="s">
        <v>3666</v>
      </c>
      <c r="G631" s="2" t="s">
        <v>3667</v>
      </c>
      <c r="H631" s="2" t="s">
        <v>3029</v>
      </c>
      <c r="I631" s="2" t="s">
        <v>3668</v>
      </c>
      <c r="J631" s="2" t="s">
        <v>3683</v>
      </c>
      <c r="K631" s="2" t="s">
        <v>3689</v>
      </c>
      <c r="L631" s="3">
        <v>22.09</v>
      </c>
      <c r="M631" s="3">
        <v>23.19</v>
      </c>
      <c r="N631" s="3">
        <v>46.99</v>
      </c>
      <c r="O631" s="2" t="s">
        <v>243</v>
      </c>
      <c r="P631" s="2" t="s">
        <v>236</v>
      </c>
      <c r="Q631" s="2" t="s">
        <v>237</v>
      </c>
      <c r="R631" s="2" t="s">
        <v>231</v>
      </c>
      <c r="S631" s="2" t="s">
        <v>3690</v>
      </c>
      <c r="T631" s="2" t="s">
        <v>3671</v>
      </c>
      <c r="U631" s="2" t="s">
        <v>791</v>
      </c>
      <c r="V631" s="2" t="s">
        <v>239</v>
      </c>
      <c r="W631" s="2" t="s">
        <v>691</v>
      </c>
      <c r="X631" s="2" t="s">
        <v>3672</v>
      </c>
      <c r="Y631" s="2" t="s">
        <v>3691</v>
      </c>
      <c r="Z631" s="4">
        <v>92</v>
      </c>
      <c r="AA631" s="4">
        <f>=ROUNDDOWN({0},0)</f>
      </c>
      <c r="AB631" s="5"/>
      <c r="AC631" s="2" t="s">
        <v>911</v>
      </c>
      <c r="AD631" s="4">
        <v>152</v>
      </c>
      <c r="AE631" s="4">
        <v>152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231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231</v>
      </c>
      <c r="AW631" s="8" t="s">
        <v>231</v>
      </c>
      <c r="AX631" s="4" t="s">
        <v>231</v>
      </c>
      <c r="AY631" s="8" t="s">
        <v>231</v>
      </c>
      <c r="AZ631" s="7" t="s">
        <v>231</v>
      </c>
      <c r="BA631" s="7" t="s">
        <v>231</v>
      </c>
      <c r="BB631" s="7"/>
      <c r="BC631" s="4" t="s">
        <v>231</v>
      </c>
      <c r="BD631" s="8" t="s">
        <v>231</v>
      </c>
      <c r="BE631" s="4" t="s">
        <v>231</v>
      </c>
      <c r="BF631" s="8" t="s">
        <v>231</v>
      </c>
      <c r="BG631" s="7" t="s">
        <v>231</v>
      </c>
      <c r="BH631" s="7" t="s">
        <v>231</v>
      </c>
      <c r="BI631" s="7"/>
      <c r="BJ631" s="4"/>
      <c r="BK631" s="8"/>
      <c r="BL631" s="2" t="s">
        <v>231</v>
      </c>
      <c r="BM631" s="7"/>
      <c r="BN631" s="7"/>
      <c r="BO631" s="4"/>
      <c r="BP631" s="8"/>
      <c r="BQ631" s="4"/>
      <c r="BR631" s="8"/>
      <c r="BS631" s="7"/>
      <c r="BT631" s="7"/>
      <c r="BU631" s="2" t="s">
        <v>3695</v>
      </c>
      <c r="BV631" s="2" t="s">
        <v>231</v>
      </c>
      <c r="BW631" s="2" t="s">
        <v>231</v>
      </c>
      <c r="BX631" s="2" t="s">
        <v>241</v>
      </c>
      <c r="BY631" s="2" t="s">
        <v>277</v>
      </c>
      <c r="BZ631" s="2" t="s">
        <v>243</v>
      </c>
      <c r="CA631" s="2" t="s">
        <v>3693</v>
      </c>
      <c r="CB631" s="2" t="s">
        <v>231</v>
      </c>
      <c r="CC631" s="2" t="s">
        <v>244</v>
      </c>
      <c r="CD631" s="2" t="s">
        <v>231</v>
      </c>
      <c r="CE631" s="4">
        <v>92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>
        <v>152</v>
      </c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</row>
    <row r="632">
      <c r="A632" s="2" t="s">
        <v>3696</v>
      </c>
      <c r="B632" s="2" t="s">
        <v>992</v>
      </c>
      <c r="C632" s="2" t="s">
        <v>1105</v>
      </c>
      <c r="D632" s="2" t="s">
        <v>993</v>
      </c>
      <c r="E632" s="2" t="s">
        <v>1157</v>
      </c>
      <c r="F632" s="2" t="s">
        <v>3666</v>
      </c>
      <c r="G632" s="2" t="s">
        <v>3667</v>
      </c>
      <c r="H632" s="2" t="s">
        <v>3029</v>
      </c>
      <c r="I632" s="2" t="s">
        <v>3668</v>
      </c>
      <c r="J632" s="2" t="s">
        <v>3669</v>
      </c>
      <c r="K632" s="2" t="s">
        <v>306</v>
      </c>
      <c r="L632" s="3">
        <v>17.02</v>
      </c>
      <c r="M632" s="3">
        <v>17.87</v>
      </c>
      <c r="N632" s="3">
        <v>36.99</v>
      </c>
      <c r="O632" s="2" t="s">
        <v>243</v>
      </c>
      <c r="P632" s="2" t="s">
        <v>871</v>
      </c>
      <c r="Q632" s="2" t="s">
        <v>237</v>
      </c>
      <c r="R632" s="2" t="s">
        <v>231</v>
      </c>
      <c r="S632" s="2" t="s">
        <v>3697</v>
      </c>
      <c r="T632" s="2" t="s">
        <v>3671</v>
      </c>
      <c r="U632" s="2" t="s">
        <v>791</v>
      </c>
      <c r="V632" s="2" t="s">
        <v>239</v>
      </c>
      <c r="W632" s="2" t="s">
        <v>691</v>
      </c>
      <c r="X632" s="2" t="s">
        <v>3672</v>
      </c>
      <c r="Y632" s="2" t="s">
        <v>3698</v>
      </c>
      <c r="Z632" s="4">
        <v>145</v>
      </c>
      <c r="AA632" s="4">
        <f>=ROUNDDOWN(18.8311688311688,0)</f>
      </c>
      <c r="AB632" s="5">
        <v>7.7</v>
      </c>
      <c r="AC632" s="2" t="s">
        <v>1705</v>
      </c>
      <c r="AD632" s="4">
        <v>92</v>
      </c>
      <c r="AE632" s="4">
        <v>188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231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231</v>
      </c>
      <c r="BD632" s="8" t="s">
        <v>231</v>
      </c>
      <c r="BE632" s="4" t="s">
        <v>231</v>
      </c>
      <c r="BF632" s="8" t="s">
        <v>231</v>
      </c>
      <c r="BG632" s="7" t="s">
        <v>231</v>
      </c>
      <c r="BH632" s="7" t="s">
        <v>231</v>
      </c>
      <c r="BI632" s="7"/>
      <c r="BJ632" s="4">
        <v>40</v>
      </c>
      <c r="BK632" s="8">
        <v>712.37</v>
      </c>
      <c r="BL632" s="2" t="s">
        <v>3699</v>
      </c>
      <c r="BM632" s="7"/>
      <c r="BN632" s="7"/>
      <c r="BO632" s="4"/>
      <c r="BP632" s="8"/>
      <c r="BQ632" s="4"/>
      <c r="BR632" s="8"/>
      <c r="BS632" s="7"/>
      <c r="BT632" s="7"/>
      <c r="BU632" s="2" t="s">
        <v>3700</v>
      </c>
      <c r="BV632" s="2" t="s">
        <v>231</v>
      </c>
      <c r="BW632" s="2" t="s">
        <v>231</v>
      </c>
      <c r="BX632" s="2" t="s">
        <v>241</v>
      </c>
      <c r="BY632" s="2" t="s">
        <v>277</v>
      </c>
      <c r="BZ632" s="2" t="s">
        <v>243</v>
      </c>
      <c r="CA632" s="2" t="s">
        <v>3701</v>
      </c>
      <c r="CB632" s="2" t="s">
        <v>3702</v>
      </c>
      <c r="CC632" s="2" t="s">
        <v>244</v>
      </c>
      <c r="CD632" s="2" t="s">
        <v>231</v>
      </c>
      <c r="CE632" s="4">
        <v>145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>
        <v>92</v>
      </c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>
        <v>96</v>
      </c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</row>
    <row r="633">
      <c r="A633" s="2" t="s">
        <v>3703</v>
      </c>
      <c r="B633" s="2" t="s">
        <v>992</v>
      </c>
      <c r="C633" s="2" t="s">
        <v>1105</v>
      </c>
      <c r="D633" s="2" t="s">
        <v>993</v>
      </c>
      <c r="E633" s="2" t="s">
        <v>1157</v>
      </c>
      <c r="F633" s="2" t="s">
        <v>3666</v>
      </c>
      <c r="G633" s="2" t="s">
        <v>3667</v>
      </c>
      <c r="H633" s="2" t="s">
        <v>3029</v>
      </c>
      <c r="I633" s="2" t="s">
        <v>3668</v>
      </c>
      <c r="J633" s="2" t="s">
        <v>3669</v>
      </c>
      <c r="K633" s="2" t="s">
        <v>255</v>
      </c>
      <c r="L633" s="3">
        <v>17.02</v>
      </c>
      <c r="M633" s="3">
        <v>17.87</v>
      </c>
      <c r="N633" s="3">
        <v>36.99</v>
      </c>
      <c r="O633" s="2" t="s">
        <v>243</v>
      </c>
      <c r="P633" s="2" t="s">
        <v>270</v>
      </c>
      <c r="Q633" s="2" t="s">
        <v>237</v>
      </c>
      <c r="R633" s="2" t="s">
        <v>231</v>
      </c>
      <c r="S633" s="2" t="s">
        <v>3704</v>
      </c>
      <c r="T633" s="2" t="s">
        <v>3671</v>
      </c>
      <c r="U633" s="2" t="s">
        <v>791</v>
      </c>
      <c r="V633" s="2" t="s">
        <v>239</v>
      </c>
      <c r="W633" s="2" t="s">
        <v>691</v>
      </c>
      <c r="X633" s="2" t="s">
        <v>3672</v>
      </c>
      <c r="Y633" s="2" t="s">
        <v>3698</v>
      </c>
      <c r="Z633" s="4">
        <v>87</v>
      </c>
      <c r="AA633" s="4">
        <f>=ROUNDDOWN(29,0)</f>
      </c>
      <c r="AB633" s="5">
        <v>3</v>
      </c>
      <c r="AC633" s="2" t="s">
        <v>1705</v>
      </c>
      <c r="AD633" s="4">
        <v>52</v>
      </c>
      <c r="AE633" s="4">
        <v>104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231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231</v>
      </c>
      <c r="AW633" s="8" t="s">
        <v>231</v>
      </c>
      <c r="AX633" s="4" t="s">
        <v>231</v>
      </c>
      <c r="AY633" s="8" t="s">
        <v>231</v>
      </c>
      <c r="AZ633" s="7" t="s">
        <v>231</v>
      </c>
      <c r="BA633" s="7" t="s">
        <v>231</v>
      </c>
      <c r="BB633" s="7"/>
      <c r="BC633" s="4" t="s">
        <v>231</v>
      </c>
      <c r="BD633" s="8" t="s">
        <v>231</v>
      </c>
      <c r="BE633" s="4" t="s">
        <v>231</v>
      </c>
      <c r="BF633" s="8" t="s">
        <v>231</v>
      </c>
      <c r="BG633" s="7" t="s">
        <v>231</v>
      </c>
      <c r="BH633" s="7" t="s">
        <v>231</v>
      </c>
      <c r="BI633" s="7"/>
      <c r="BJ633" s="4">
        <v>3</v>
      </c>
      <c r="BK633" s="8">
        <v>62.27</v>
      </c>
      <c r="BL633" s="2" t="s">
        <v>3705</v>
      </c>
      <c r="BM633" s="7"/>
      <c r="BN633" s="7"/>
      <c r="BO633" s="4"/>
      <c r="BP633" s="8"/>
      <c r="BQ633" s="4"/>
      <c r="BR633" s="8"/>
      <c r="BS633" s="7"/>
      <c r="BT633" s="7"/>
      <c r="BU633" s="2" t="s">
        <v>3706</v>
      </c>
      <c r="BV633" s="2" t="s">
        <v>231</v>
      </c>
      <c r="BW633" s="2" t="s">
        <v>231</v>
      </c>
      <c r="BX633" s="2" t="s">
        <v>241</v>
      </c>
      <c r="BY633" s="2" t="s">
        <v>277</v>
      </c>
      <c r="BZ633" s="2" t="s">
        <v>243</v>
      </c>
      <c r="CA633" s="2" t="s">
        <v>3701</v>
      </c>
      <c r="CB633" s="2" t="s">
        <v>3707</v>
      </c>
      <c r="CC633" s="2" t="s">
        <v>244</v>
      </c>
      <c r="CD633" s="2" t="s">
        <v>231</v>
      </c>
      <c r="CE633" s="4">
        <v>87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>
        <v>52</v>
      </c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>
        <v>52</v>
      </c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</row>
    <row r="634">
      <c r="A634" s="2" t="s">
        <v>3708</v>
      </c>
      <c r="B634" s="2" t="s">
        <v>992</v>
      </c>
      <c r="C634" s="2" t="s">
        <v>1105</v>
      </c>
      <c r="D634" s="2" t="s">
        <v>993</v>
      </c>
      <c r="E634" s="2" t="s">
        <v>1157</v>
      </c>
      <c r="F634" s="2" t="s">
        <v>3666</v>
      </c>
      <c r="G634" s="2" t="s">
        <v>3667</v>
      </c>
      <c r="H634" s="2" t="s">
        <v>3029</v>
      </c>
      <c r="I634" s="2" t="s">
        <v>3668</v>
      </c>
      <c r="J634" s="2" t="s">
        <v>3678</v>
      </c>
      <c r="K634" s="2" t="s">
        <v>255</v>
      </c>
      <c r="L634" s="3">
        <v>19.32</v>
      </c>
      <c r="M634" s="3">
        <v>20.29</v>
      </c>
      <c r="N634" s="3">
        <v>41.99</v>
      </c>
      <c r="O634" s="2" t="s">
        <v>243</v>
      </c>
      <c r="P634" s="2" t="s">
        <v>270</v>
      </c>
      <c r="Q634" s="2" t="s">
        <v>237</v>
      </c>
      <c r="R634" s="2" t="s">
        <v>231</v>
      </c>
      <c r="S634" s="2" t="s">
        <v>3704</v>
      </c>
      <c r="T634" s="2" t="s">
        <v>3671</v>
      </c>
      <c r="U634" s="2" t="s">
        <v>791</v>
      </c>
      <c r="V634" s="2" t="s">
        <v>239</v>
      </c>
      <c r="W634" s="2" t="s">
        <v>691</v>
      </c>
      <c r="X634" s="2" t="s">
        <v>3672</v>
      </c>
      <c r="Y634" s="2" t="s">
        <v>3698</v>
      </c>
      <c r="Z634" s="4">
        <v>164</v>
      </c>
      <c r="AA634" s="4">
        <f>=ROUNDDOWN(20.5,0)</f>
      </c>
      <c r="AB634" s="5">
        <v>8</v>
      </c>
      <c r="AC634" s="2" t="s">
        <v>1705</v>
      </c>
      <c r="AD634" s="4">
        <v>76</v>
      </c>
      <c r="AE634" s="4">
        <v>276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231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231</v>
      </c>
      <c r="AW634" s="8" t="s">
        <v>231</v>
      </c>
      <c r="AX634" s="4" t="s">
        <v>231</v>
      </c>
      <c r="AY634" s="8" t="s">
        <v>231</v>
      </c>
      <c r="AZ634" s="7" t="s">
        <v>231</v>
      </c>
      <c r="BA634" s="7" t="s">
        <v>231</v>
      </c>
      <c r="BB634" s="7"/>
      <c r="BC634" s="4" t="s">
        <v>231</v>
      </c>
      <c r="BD634" s="8" t="s">
        <v>231</v>
      </c>
      <c r="BE634" s="4" t="s">
        <v>231</v>
      </c>
      <c r="BF634" s="8" t="s">
        <v>231</v>
      </c>
      <c r="BG634" s="7" t="s">
        <v>231</v>
      </c>
      <c r="BH634" s="7" t="s">
        <v>231</v>
      </c>
      <c r="BI634" s="7"/>
      <c r="BJ634" s="4">
        <v>18</v>
      </c>
      <c r="BK634" s="8">
        <v>373.38</v>
      </c>
      <c r="BL634" s="2" t="s">
        <v>3709</v>
      </c>
      <c r="BM634" s="7"/>
      <c r="BN634" s="7"/>
      <c r="BO634" s="4"/>
      <c r="BP634" s="8"/>
      <c r="BQ634" s="4"/>
      <c r="BR634" s="8"/>
      <c r="BS634" s="7"/>
      <c r="BT634" s="7"/>
      <c r="BU634" s="2" t="s">
        <v>3710</v>
      </c>
      <c r="BV634" s="2" t="s">
        <v>231</v>
      </c>
      <c r="BW634" s="2" t="s">
        <v>231</v>
      </c>
      <c r="BX634" s="2" t="s">
        <v>241</v>
      </c>
      <c r="BY634" s="2" t="s">
        <v>277</v>
      </c>
      <c r="BZ634" s="2" t="s">
        <v>243</v>
      </c>
      <c r="CA634" s="2" t="s">
        <v>3701</v>
      </c>
      <c r="CB634" s="2" t="s">
        <v>3711</v>
      </c>
      <c r="CC634" s="2" t="s">
        <v>244</v>
      </c>
      <c r="CD634" s="2" t="s">
        <v>231</v>
      </c>
      <c r="CE634" s="4">
        <v>164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>
        <v>76</v>
      </c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>
        <v>200</v>
      </c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</row>
    <row r="635">
      <c r="A635" s="2" t="s">
        <v>3712</v>
      </c>
      <c r="B635" s="2" t="s">
        <v>992</v>
      </c>
      <c r="C635" s="2" t="s">
        <v>1105</v>
      </c>
      <c r="D635" s="2" t="s">
        <v>993</v>
      </c>
      <c r="E635" s="2" t="s">
        <v>1157</v>
      </c>
      <c r="F635" s="2" t="s">
        <v>3666</v>
      </c>
      <c r="G635" s="2" t="s">
        <v>3667</v>
      </c>
      <c r="H635" s="2" t="s">
        <v>3029</v>
      </c>
      <c r="I635" s="2" t="s">
        <v>3668</v>
      </c>
      <c r="J635" s="2" t="s">
        <v>3678</v>
      </c>
      <c r="K635" s="2" t="s">
        <v>3713</v>
      </c>
      <c r="L635" s="3">
        <v>19.32</v>
      </c>
      <c r="M635" s="3">
        <v>20.29</v>
      </c>
      <c r="N635" s="3">
        <v>41.99</v>
      </c>
      <c r="O635" s="2" t="s">
        <v>243</v>
      </c>
      <c r="P635" s="2" t="s">
        <v>236</v>
      </c>
      <c r="Q635" s="2" t="s">
        <v>237</v>
      </c>
      <c r="R635" s="2" t="s">
        <v>231</v>
      </c>
      <c r="S635" s="2" t="s">
        <v>3714</v>
      </c>
      <c r="T635" s="2" t="s">
        <v>3671</v>
      </c>
      <c r="U635" s="2" t="s">
        <v>791</v>
      </c>
      <c r="V635" s="2" t="s">
        <v>239</v>
      </c>
      <c r="W635" s="2" t="s">
        <v>691</v>
      </c>
      <c r="X635" s="2" t="s">
        <v>3672</v>
      </c>
      <c r="Y635" s="2" t="s">
        <v>3691</v>
      </c>
      <c r="Z635" s="4">
        <v>180</v>
      </c>
      <c r="AA635" s="4">
        <f>=ROUNDDOWN({0},0)</f>
      </c>
      <c r="AB635" s="5"/>
      <c r="AC635" s="2" t="s">
        <v>911</v>
      </c>
      <c r="AD635" s="4">
        <v>232</v>
      </c>
      <c r="AE635" s="4">
        <v>232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231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231</v>
      </c>
      <c r="AW635" s="8" t="s">
        <v>231</v>
      </c>
      <c r="AX635" s="4" t="s">
        <v>231</v>
      </c>
      <c r="AY635" s="8" t="s">
        <v>231</v>
      </c>
      <c r="AZ635" s="7" t="s">
        <v>231</v>
      </c>
      <c r="BA635" s="7" t="s">
        <v>231</v>
      </c>
      <c r="BB635" s="7"/>
      <c r="BC635" s="4" t="s">
        <v>231</v>
      </c>
      <c r="BD635" s="8" t="s">
        <v>231</v>
      </c>
      <c r="BE635" s="4" t="s">
        <v>231</v>
      </c>
      <c r="BF635" s="8" t="s">
        <v>231</v>
      </c>
      <c r="BG635" s="7" t="s">
        <v>231</v>
      </c>
      <c r="BH635" s="7" t="s">
        <v>231</v>
      </c>
      <c r="BI635" s="7"/>
      <c r="BJ635" s="4"/>
      <c r="BK635" s="8"/>
      <c r="BL635" s="2" t="s">
        <v>231</v>
      </c>
      <c r="BM635" s="7"/>
      <c r="BN635" s="7"/>
      <c r="BO635" s="4"/>
      <c r="BP635" s="8"/>
      <c r="BQ635" s="4"/>
      <c r="BR635" s="8"/>
      <c r="BS635" s="7"/>
      <c r="BT635" s="7"/>
      <c r="BU635" s="2" t="s">
        <v>3715</v>
      </c>
      <c r="BV635" s="2" t="s">
        <v>231</v>
      </c>
      <c r="BW635" s="2" t="s">
        <v>231</v>
      </c>
      <c r="BX635" s="2" t="s">
        <v>241</v>
      </c>
      <c r="BY635" s="2" t="s">
        <v>277</v>
      </c>
      <c r="BZ635" s="2" t="s">
        <v>243</v>
      </c>
      <c r="CA635" s="2" t="s">
        <v>3693</v>
      </c>
      <c r="CB635" s="2" t="s">
        <v>231</v>
      </c>
      <c r="CC635" s="2" t="s">
        <v>244</v>
      </c>
      <c r="CD635" s="2" t="s">
        <v>231</v>
      </c>
      <c r="CE635" s="4">
        <v>180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>
        <v>232</v>
      </c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</row>
    <row r="636">
      <c r="A636" s="2" t="s">
        <v>3716</v>
      </c>
      <c r="B636" s="2" t="s">
        <v>992</v>
      </c>
      <c r="C636" s="2" t="s">
        <v>1105</v>
      </c>
      <c r="D636" s="2" t="s">
        <v>993</v>
      </c>
      <c r="E636" s="2" t="s">
        <v>1157</v>
      </c>
      <c r="F636" s="2" t="s">
        <v>3666</v>
      </c>
      <c r="G636" s="2" t="s">
        <v>3667</v>
      </c>
      <c r="H636" s="2" t="s">
        <v>3029</v>
      </c>
      <c r="I636" s="2" t="s">
        <v>3668</v>
      </c>
      <c r="J636" s="2" t="s">
        <v>3683</v>
      </c>
      <c r="K636" s="2" t="s">
        <v>3713</v>
      </c>
      <c r="L636" s="3">
        <v>22.09</v>
      </c>
      <c r="M636" s="3">
        <v>23.19</v>
      </c>
      <c r="N636" s="3">
        <v>46.99</v>
      </c>
      <c r="O636" s="2" t="s">
        <v>243</v>
      </c>
      <c r="P636" s="2" t="s">
        <v>236</v>
      </c>
      <c r="Q636" s="2" t="s">
        <v>237</v>
      </c>
      <c r="R636" s="2" t="s">
        <v>231</v>
      </c>
      <c r="S636" s="2" t="s">
        <v>3714</v>
      </c>
      <c r="T636" s="2" t="s">
        <v>3671</v>
      </c>
      <c r="U636" s="2" t="s">
        <v>791</v>
      </c>
      <c r="V636" s="2" t="s">
        <v>239</v>
      </c>
      <c r="W636" s="2" t="s">
        <v>691</v>
      </c>
      <c r="X636" s="2" t="s">
        <v>3672</v>
      </c>
      <c r="Y636" s="2" t="s">
        <v>3691</v>
      </c>
      <c r="Z636" s="4">
        <v>140</v>
      </c>
      <c r="AA636" s="4">
        <f>=ROUNDDOWN({0},0)</f>
      </c>
      <c r="AB636" s="5"/>
      <c r="AC636" s="2" t="s">
        <v>911</v>
      </c>
      <c r="AD636" s="4">
        <v>200</v>
      </c>
      <c r="AE636" s="4">
        <v>200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231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231</v>
      </c>
      <c r="AW636" s="8" t="s">
        <v>231</v>
      </c>
      <c r="AX636" s="4" t="s">
        <v>231</v>
      </c>
      <c r="AY636" s="8" t="s">
        <v>231</v>
      </c>
      <c r="AZ636" s="7" t="s">
        <v>231</v>
      </c>
      <c r="BA636" s="7" t="s">
        <v>231</v>
      </c>
      <c r="BB636" s="7"/>
      <c r="BC636" s="4" t="s">
        <v>231</v>
      </c>
      <c r="BD636" s="8" t="s">
        <v>231</v>
      </c>
      <c r="BE636" s="4" t="s">
        <v>231</v>
      </c>
      <c r="BF636" s="8" t="s">
        <v>231</v>
      </c>
      <c r="BG636" s="7" t="s">
        <v>231</v>
      </c>
      <c r="BH636" s="7" t="s">
        <v>231</v>
      </c>
      <c r="BI636" s="7"/>
      <c r="BJ636" s="4"/>
      <c r="BK636" s="8"/>
      <c r="BL636" s="2" t="s">
        <v>231</v>
      </c>
      <c r="BM636" s="7"/>
      <c r="BN636" s="7"/>
      <c r="BO636" s="4"/>
      <c r="BP636" s="8"/>
      <c r="BQ636" s="4"/>
      <c r="BR636" s="8"/>
      <c r="BS636" s="7"/>
      <c r="BT636" s="7"/>
      <c r="BU636" s="2" t="s">
        <v>3717</v>
      </c>
      <c r="BV636" s="2" t="s">
        <v>231</v>
      </c>
      <c r="BW636" s="2" t="s">
        <v>231</v>
      </c>
      <c r="BX636" s="2" t="s">
        <v>241</v>
      </c>
      <c r="BY636" s="2" t="s">
        <v>277</v>
      </c>
      <c r="BZ636" s="2" t="s">
        <v>243</v>
      </c>
      <c r="CA636" s="2" t="s">
        <v>3693</v>
      </c>
      <c r="CB636" s="2" t="s">
        <v>231</v>
      </c>
      <c r="CC636" s="2" t="s">
        <v>244</v>
      </c>
      <c r="CD636" s="2" t="s">
        <v>231</v>
      </c>
      <c r="CE636" s="4">
        <v>140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>
        <v>200</v>
      </c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</row>
    <row r="637">
      <c r="A637" s="2" t="s">
        <v>3718</v>
      </c>
      <c r="B637" s="2" t="s">
        <v>1004</v>
      </c>
      <c r="C637" s="2" t="s">
        <v>288</v>
      </c>
      <c r="D637" s="2" t="s">
        <v>1689</v>
      </c>
      <c r="E637" s="2" t="s">
        <v>1690</v>
      </c>
      <c r="F637" s="2" t="s">
        <v>3719</v>
      </c>
      <c r="G637" s="2" t="s">
        <v>3139</v>
      </c>
      <c r="H637" s="2" t="s">
        <v>3720</v>
      </c>
      <c r="I637" s="2" t="s">
        <v>3721</v>
      </c>
      <c r="J637" s="2" t="s">
        <v>807</v>
      </c>
      <c r="K637" s="2" t="s">
        <v>269</v>
      </c>
      <c r="L637" s="3">
        <v>180.5</v>
      </c>
      <c r="M637" s="3">
        <v>189.52</v>
      </c>
      <c r="N637" s="3">
        <v>379</v>
      </c>
      <c r="O637" s="2" t="s">
        <v>243</v>
      </c>
      <c r="P637" s="2" t="s">
        <v>270</v>
      </c>
      <c r="Q637" s="2" t="s">
        <v>237</v>
      </c>
      <c r="R637" s="2" t="s">
        <v>231</v>
      </c>
      <c r="S637" s="2" t="s">
        <v>3722</v>
      </c>
      <c r="T637" s="2" t="s">
        <v>231</v>
      </c>
      <c r="U637" s="2" t="s">
        <v>231</v>
      </c>
      <c r="V637" s="2" t="s">
        <v>239</v>
      </c>
      <c r="W637" s="2" t="s">
        <v>792</v>
      </c>
      <c r="X637" s="2" t="s">
        <v>231</v>
      </c>
      <c r="Y637" s="2" t="s">
        <v>274</v>
      </c>
      <c r="Z637" s="4">
        <v>64</v>
      </c>
      <c r="AA637" s="4">
        <f>=ROUNDDOWN(12.8,0)</f>
      </c>
      <c r="AB637" s="5">
        <v>5</v>
      </c>
      <c r="AC637" s="2" t="s">
        <v>3723</v>
      </c>
      <c r="AD637" s="4">
        <v>62</v>
      </c>
      <c r="AE637" s="4">
        <v>62</v>
      </c>
      <c r="AF637" s="6">
        <v>66</v>
      </c>
      <c r="AG637" s="6">
        <v>49</v>
      </c>
      <c r="AH637" s="7">
        <v>1</v>
      </c>
      <c r="AI637" s="4"/>
      <c r="AJ637" s="4">
        <f>=ROUNDDOWN({0},0)</f>
      </c>
      <c r="AK637" s="5"/>
      <c r="AL637" s="2" t="s">
        <v>231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231</v>
      </c>
      <c r="BD637" s="8" t="s">
        <v>231</v>
      </c>
      <c r="BE637" s="4" t="s">
        <v>231</v>
      </c>
      <c r="BF637" s="8" t="s">
        <v>231</v>
      </c>
      <c r="BG637" s="7" t="s">
        <v>231</v>
      </c>
      <c r="BH637" s="7" t="s">
        <v>231</v>
      </c>
      <c r="BI637" s="7"/>
      <c r="BJ637" s="4">
        <v>9</v>
      </c>
      <c r="BK637" s="8">
        <v>1591.17</v>
      </c>
      <c r="BL637" s="2" t="s">
        <v>3724</v>
      </c>
      <c r="BM637" s="7"/>
      <c r="BN637" s="7"/>
      <c r="BO637" s="4"/>
      <c r="BP637" s="8"/>
      <c r="BQ637" s="4"/>
      <c r="BR637" s="8"/>
      <c r="BS637" s="7"/>
      <c r="BT637" s="7"/>
      <c r="BU637" s="2" t="s">
        <v>3725</v>
      </c>
      <c r="BV637" s="2" t="s">
        <v>231</v>
      </c>
      <c r="BW637" s="2" t="s">
        <v>231</v>
      </c>
      <c r="BX637" s="2" t="s">
        <v>231</v>
      </c>
      <c r="BY637" s="2" t="s">
        <v>277</v>
      </c>
      <c r="BZ637" s="2" t="s">
        <v>243</v>
      </c>
      <c r="CA637" s="2" t="s">
        <v>284</v>
      </c>
      <c r="CB637" s="2" t="s">
        <v>3726</v>
      </c>
      <c r="CC637" s="2" t="s">
        <v>244</v>
      </c>
      <c r="CD637" s="2" t="s">
        <v>231</v>
      </c>
      <c r="CE637" s="4"/>
      <c r="CF637" s="4">
        <v>64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>
        <v>62</v>
      </c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</row>
    <row r="638">
      <c r="A638" s="2" t="s">
        <v>3727</v>
      </c>
      <c r="B638" s="2" t="s">
        <v>1004</v>
      </c>
      <c r="C638" s="2" t="s">
        <v>288</v>
      </c>
      <c r="D638" s="2" t="s">
        <v>1689</v>
      </c>
      <c r="E638" s="2" t="s">
        <v>1690</v>
      </c>
      <c r="F638" s="2" t="s">
        <v>3719</v>
      </c>
      <c r="G638" s="2" t="s">
        <v>3139</v>
      </c>
      <c r="H638" s="2" t="s">
        <v>3720</v>
      </c>
      <c r="I638" s="2" t="s">
        <v>3721</v>
      </c>
      <c r="J638" s="2" t="s">
        <v>807</v>
      </c>
      <c r="K638" s="2" t="s">
        <v>253</v>
      </c>
      <c r="L638" s="3">
        <v>180.5</v>
      </c>
      <c r="M638" s="3">
        <v>189.52</v>
      </c>
      <c r="N638" s="3">
        <v>379</v>
      </c>
      <c r="O638" s="2" t="s">
        <v>243</v>
      </c>
      <c r="P638" s="2" t="s">
        <v>270</v>
      </c>
      <c r="Q638" s="2" t="s">
        <v>237</v>
      </c>
      <c r="R638" s="2" t="s">
        <v>231</v>
      </c>
      <c r="S638" s="2" t="s">
        <v>3728</v>
      </c>
      <c r="T638" s="2" t="s">
        <v>231</v>
      </c>
      <c r="U638" s="2" t="s">
        <v>231</v>
      </c>
      <c r="V638" s="2" t="s">
        <v>239</v>
      </c>
      <c r="W638" s="2" t="s">
        <v>792</v>
      </c>
      <c r="X638" s="2" t="s">
        <v>231</v>
      </c>
      <c r="Y638" s="2" t="s">
        <v>274</v>
      </c>
      <c r="Z638" s="4">
        <v>126</v>
      </c>
      <c r="AA638" s="4">
        <f>=ROUNDDOWN(21,0)</f>
      </c>
      <c r="AB638" s="5">
        <v>6</v>
      </c>
      <c r="AC638" s="2" t="s">
        <v>231</v>
      </c>
      <c r="AD638" s="4"/>
      <c r="AE638" s="4"/>
      <c r="AF638" s="6">
        <v>66</v>
      </c>
      <c r="AG638" s="6">
        <v>49</v>
      </c>
      <c r="AH638" s="7">
        <v>1</v>
      </c>
      <c r="AI638" s="4"/>
      <c r="AJ638" s="4">
        <f>=ROUNDDOWN({0},0)</f>
      </c>
      <c r="AK638" s="5"/>
      <c r="AL638" s="2" t="s">
        <v>231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231</v>
      </c>
      <c r="BD638" s="8" t="s">
        <v>231</v>
      </c>
      <c r="BE638" s="4" t="s">
        <v>231</v>
      </c>
      <c r="BF638" s="8" t="s">
        <v>231</v>
      </c>
      <c r="BG638" s="7" t="s">
        <v>231</v>
      </c>
      <c r="BH638" s="7" t="s">
        <v>231</v>
      </c>
      <c r="BI638" s="7"/>
      <c r="BJ638" s="4">
        <v>9</v>
      </c>
      <c r="BK638" s="8">
        <v>1506.75</v>
      </c>
      <c r="BL638" s="2" t="s">
        <v>3240</v>
      </c>
      <c r="BM638" s="7"/>
      <c r="BN638" s="7"/>
      <c r="BO638" s="4"/>
      <c r="BP638" s="8"/>
      <c r="BQ638" s="4"/>
      <c r="BR638" s="8"/>
      <c r="BS638" s="7"/>
      <c r="BT638" s="7"/>
      <c r="BU638" s="2" t="s">
        <v>3729</v>
      </c>
      <c r="BV638" s="2" t="s">
        <v>231</v>
      </c>
      <c r="BW638" s="2" t="s">
        <v>231</v>
      </c>
      <c r="BX638" s="2" t="s">
        <v>231</v>
      </c>
      <c r="BY638" s="2" t="s">
        <v>277</v>
      </c>
      <c r="BZ638" s="2" t="s">
        <v>243</v>
      </c>
      <c r="CA638" s="2" t="s">
        <v>284</v>
      </c>
      <c r="CB638" s="2" t="s">
        <v>3730</v>
      </c>
      <c r="CC638" s="2" t="s">
        <v>244</v>
      </c>
      <c r="CD638" s="2" t="s">
        <v>231</v>
      </c>
      <c r="CE638" s="4"/>
      <c r="CF638" s="4">
        <v>115</v>
      </c>
      <c r="CG638" s="4"/>
      <c r="CH638" s="4"/>
      <c r="CI638" s="4">
        <v>11</v>
      </c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</row>
    <row r="639">
      <c r="A639" s="2" t="s">
        <v>3731</v>
      </c>
      <c r="B639" s="2" t="s">
        <v>1004</v>
      </c>
      <c r="C639" s="2" t="s">
        <v>288</v>
      </c>
      <c r="D639" s="2" t="s">
        <v>1689</v>
      </c>
      <c r="E639" s="2" t="s">
        <v>1690</v>
      </c>
      <c r="F639" s="2" t="s">
        <v>3719</v>
      </c>
      <c r="G639" s="2" t="s">
        <v>3139</v>
      </c>
      <c r="H639" s="2" t="s">
        <v>3720</v>
      </c>
      <c r="I639" s="2" t="s">
        <v>3721</v>
      </c>
      <c r="J639" s="2" t="s">
        <v>807</v>
      </c>
      <c r="K639" s="2" t="s">
        <v>3732</v>
      </c>
      <c r="L639" s="3">
        <v>180.5</v>
      </c>
      <c r="M639" s="3">
        <v>189.52</v>
      </c>
      <c r="N639" s="3">
        <v>379</v>
      </c>
      <c r="O639" s="2" t="s">
        <v>243</v>
      </c>
      <c r="P639" s="2" t="s">
        <v>270</v>
      </c>
      <c r="Q639" s="2" t="s">
        <v>237</v>
      </c>
      <c r="R639" s="2" t="s">
        <v>231</v>
      </c>
      <c r="S639" s="2" t="s">
        <v>3733</v>
      </c>
      <c r="T639" s="2" t="s">
        <v>231</v>
      </c>
      <c r="U639" s="2" t="s">
        <v>231</v>
      </c>
      <c r="V639" s="2" t="s">
        <v>239</v>
      </c>
      <c r="W639" s="2" t="s">
        <v>792</v>
      </c>
      <c r="X639" s="2" t="s">
        <v>231</v>
      </c>
      <c r="Y639" s="2" t="s">
        <v>274</v>
      </c>
      <c r="Z639" s="4">
        <v>1</v>
      </c>
      <c r="AA639" s="4">
        <f>=ROUNDDOWN(0.142857142857143,0)</f>
      </c>
      <c r="AB639" s="5">
        <v>7</v>
      </c>
      <c r="AC639" s="2" t="s">
        <v>3090</v>
      </c>
      <c r="AD639" s="4">
        <v>78</v>
      </c>
      <c r="AE639" s="4">
        <v>148</v>
      </c>
      <c r="AF639" s="6">
        <v>66</v>
      </c>
      <c r="AG639" s="6"/>
      <c r="AH639" s="7">
        <v>0</v>
      </c>
      <c r="AI639" s="4"/>
      <c r="AJ639" s="4">
        <f>=ROUNDDOWN({0},0)</f>
      </c>
      <c r="AK639" s="5"/>
      <c r="AL639" s="2" t="s">
        <v>231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231</v>
      </c>
      <c r="BD639" s="8" t="s">
        <v>231</v>
      </c>
      <c r="BE639" s="4" t="s">
        <v>231</v>
      </c>
      <c r="BF639" s="8" t="s">
        <v>231</v>
      </c>
      <c r="BG639" s="7" t="s">
        <v>231</v>
      </c>
      <c r="BH639" s="7" t="s">
        <v>231</v>
      </c>
      <c r="BI639" s="7"/>
      <c r="BJ639" s="4">
        <v>2</v>
      </c>
      <c r="BK639" s="8">
        <v>330.74</v>
      </c>
      <c r="BL639" s="2" t="s">
        <v>3734</v>
      </c>
      <c r="BM639" s="7"/>
      <c r="BN639" s="7"/>
      <c r="BO639" s="4"/>
      <c r="BP639" s="8"/>
      <c r="BQ639" s="4"/>
      <c r="BR639" s="8"/>
      <c r="BS639" s="7"/>
      <c r="BT639" s="7"/>
      <c r="BU639" s="2" t="s">
        <v>3735</v>
      </c>
      <c r="BV639" s="2" t="s">
        <v>231</v>
      </c>
      <c r="BW639" s="2" t="s">
        <v>231</v>
      </c>
      <c r="BX639" s="2" t="s">
        <v>231</v>
      </c>
      <c r="BY639" s="2" t="s">
        <v>277</v>
      </c>
      <c r="BZ639" s="2" t="s">
        <v>243</v>
      </c>
      <c r="CA639" s="2" t="s">
        <v>284</v>
      </c>
      <c r="CB639" s="2" t="s">
        <v>3736</v>
      </c>
      <c r="CC639" s="2" t="s">
        <v>244</v>
      </c>
      <c r="CD639" s="2" t="s">
        <v>231</v>
      </c>
      <c r="CE639" s="4"/>
      <c r="CF639" s="4">
        <v>1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>
        <v>78</v>
      </c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>
        <v>70</v>
      </c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</row>
    <row r="640">
      <c r="A640" s="2" t="s">
        <v>3737</v>
      </c>
      <c r="B640" s="2" t="s">
        <v>287</v>
      </c>
      <c r="C640" s="2" t="s">
        <v>1051</v>
      </c>
      <c r="D640" s="2" t="s">
        <v>289</v>
      </c>
      <c r="E640" s="2" t="s">
        <v>290</v>
      </c>
      <c r="F640" s="2" t="s">
        <v>3738</v>
      </c>
      <c r="G640" s="2" t="s">
        <v>3738</v>
      </c>
      <c r="H640" s="2" t="s">
        <v>3738</v>
      </c>
      <c r="I640" s="2" t="s">
        <v>3739</v>
      </c>
      <c r="J640" s="2" t="s">
        <v>318</v>
      </c>
      <c r="K640" s="2" t="s">
        <v>294</v>
      </c>
      <c r="L640" s="3">
        <v>21</v>
      </c>
      <c r="M640" s="3">
        <v>22.05</v>
      </c>
      <c r="N640" s="3">
        <v>44.99</v>
      </c>
      <c r="O640" s="2" t="s">
        <v>243</v>
      </c>
      <c r="P640" s="2" t="s">
        <v>270</v>
      </c>
      <c r="Q640" s="2" t="s">
        <v>237</v>
      </c>
      <c r="R640" s="2" t="s">
        <v>231</v>
      </c>
      <c r="S640" s="2" t="s">
        <v>3740</v>
      </c>
      <c r="T640" s="2" t="s">
        <v>3741</v>
      </c>
      <c r="U640" s="2" t="s">
        <v>835</v>
      </c>
      <c r="V640" s="2" t="s">
        <v>239</v>
      </c>
      <c r="W640" s="2" t="s">
        <v>273</v>
      </c>
      <c r="X640" s="2" t="s">
        <v>231</v>
      </c>
      <c r="Y640" s="2" t="s">
        <v>3742</v>
      </c>
      <c r="Z640" s="4">
        <v>109</v>
      </c>
      <c r="AA640" s="4">
        <f>=ROUNDDOWN(27.25,0)</f>
      </c>
      <c r="AB640" s="5">
        <v>4</v>
      </c>
      <c r="AC640" s="2" t="s">
        <v>231</v>
      </c>
      <c r="AD640" s="4"/>
      <c r="AE640" s="4"/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231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231</v>
      </c>
      <c r="AW640" s="8" t="s">
        <v>231</v>
      </c>
      <c r="AX640" s="4" t="s">
        <v>231</v>
      </c>
      <c r="AY640" s="8" t="s">
        <v>231</v>
      </c>
      <c r="AZ640" s="7" t="s">
        <v>231</v>
      </c>
      <c r="BA640" s="7" t="s">
        <v>231</v>
      </c>
      <c r="BB640" s="7"/>
      <c r="BC640" s="4" t="s">
        <v>231</v>
      </c>
      <c r="BD640" s="8" t="s">
        <v>231</v>
      </c>
      <c r="BE640" s="4" t="s">
        <v>231</v>
      </c>
      <c r="BF640" s="8" t="s">
        <v>231</v>
      </c>
      <c r="BG640" s="7" t="s">
        <v>231</v>
      </c>
      <c r="BH640" s="7" t="s">
        <v>231</v>
      </c>
      <c r="BI640" s="7"/>
      <c r="BJ640" s="4">
        <v>15</v>
      </c>
      <c r="BK640" s="8">
        <v>358.25</v>
      </c>
      <c r="BL640" s="2" t="s">
        <v>3743</v>
      </c>
      <c r="BM640" s="7"/>
      <c r="BN640" s="7"/>
      <c r="BO640" s="4"/>
      <c r="BP640" s="8"/>
      <c r="BQ640" s="4"/>
      <c r="BR640" s="8"/>
      <c r="BS640" s="7"/>
      <c r="BT640" s="7"/>
      <c r="BU640" s="2" t="s">
        <v>3744</v>
      </c>
      <c r="BV640" s="2" t="s">
        <v>231</v>
      </c>
      <c r="BW640" s="2" t="s">
        <v>231</v>
      </c>
      <c r="BX640" s="2" t="s">
        <v>231</v>
      </c>
      <c r="BY640" s="2" t="s">
        <v>277</v>
      </c>
      <c r="BZ640" s="2" t="s">
        <v>243</v>
      </c>
      <c r="CA640" s="2" t="s">
        <v>3745</v>
      </c>
      <c r="CB640" s="2" t="s">
        <v>3746</v>
      </c>
      <c r="CC640" s="2" t="s">
        <v>244</v>
      </c>
      <c r="CD640" s="2" t="s">
        <v>231</v>
      </c>
      <c r="CE640" s="4">
        <v>109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</row>
    <row r="641">
      <c r="A641" s="2" t="s">
        <v>3747</v>
      </c>
      <c r="B641" s="2" t="s">
        <v>287</v>
      </c>
      <c r="C641" s="2" t="s">
        <v>1051</v>
      </c>
      <c r="D641" s="2" t="s">
        <v>289</v>
      </c>
      <c r="E641" s="2" t="s">
        <v>290</v>
      </c>
      <c r="F641" s="2" t="s">
        <v>3738</v>
      </c>
      <c r="G641" s="2" t="s">
        <v>3738</v>
      </c>
      <c r="H641" s="2" t="s">
        <v>3738</v>
      </c>
      <c r="I641" s="2" t="s">
        <v>3739</v>
      </c>
      <c r="J641" s="2" t="s">
        <v>281</v>
      </c>
      <c r="K641" s="2" t="s">
        <v>294</v>
      </c>
      <c r="L641" s="3">
        <v>25.5</v>
      </c>
      <c r="M641" s="3">
        <v>26.78</v>
      </c>
      <c r="N641" s="3">
        <v>54.99</v>
      </c>
      <c r="O641" s="2" t="s">
        <v>243</v>
      </c>
      <c r="P641" s="2" t="s">
        <v>270</v>
      </c>
      <c r="Q641" s="2" t="s">
        <v>237</v>
      </c>
      <c r="R641" s="2" t="s">
        <v>231</v>
      </c>
      <c r="S641" s="2" t="s">
        <v>3740</v>
      </c>
      <c r="T641" s="2" t="s">
        <v>3741</v>
      </c>
      <c r="U641" s="2" t="s">
        <v>298</v>
      </c>
      <c r="V641" s="2" t="s">
        <v>239</v>
      </c>
      <c r="W641" s="2" t="s">
        <v>273</v>
      </c>
      <c r="X641" s="2" t="s">
        <v>231</v>
      </c>
      <c r="Y641" s="2" t="s">
        <v>3742</v>
      </c>
      <c r="Z641" s="4">
        <v>92</v>
      </c>
      <c r="AA641" s="4">
        <f>=ROUNDDOWN(18.4,0)</f>
      </c>
      <c r="AB641" s="5">
        <v>5</v>
      </c>
      <c r="AC641" s="2" t="s">
        <v>231</v>
      </c>
      <c r="AD641" s="4"/>
      <c r="AE641" s="4"/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231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231</v>
      </c>
      <c r="AW641" s="8" t="s">
        <v>231</v>
      </c>
      <c r="AX641" s="4" t="s">
        <v>231</v>
      </c>
      <c r="AY641" s="8" t="s">
        <v>231</v>
      </c>
      <c r="AZ641" s="7" t="s">
        <v>231</v>
      </c>
      <c r="BA641" s="7" t="s">
        <v>231</v>
      </c>
      <c r="BB641" s="7"/>
      <c r="BC641" s="4" t="s">
        <v>231</v>
      </c>
      <c r="BD641" s="8" t="s">
        <v>231</v>
      </c>
      <c r="BE641" s="4" t="s">
        <v>231</v>
      </c>
      <c r="BF641" s="8" t="s">
        <v>231</v>
      </c>
      <c r="BG641" s="7" t="s">
        <v>231</v>
      </c>
      <c r="BH641" s="7" t="s">
        <v>231</v>
      </c>
      <c r="BI641" s="7"/>
      <c r="BJ641" s="4">
        <v>9</v>
      </c>
      <c r="BK641" s="8">
        <v>258.65</v>
      </c>
      <c r="BL641" s="2" t="s">
        <v>369</v>
      </c>
      <c r="BM641" s="7"/>
      <c r="BN641" s="7"/>
      <c r="BO641" s="4"/>
      <c r="BP641" s="8"/>
      <c r="BQ641" s="4"/>
      <c r="BR641" s="8"/>
      <c r="BS641" s="7"/>
      <c r="BT641" s="7"/>
      <c r="BU641" s="2" t="s">
        <v>3748</v>
      </c>
      <c r="BV641" s="2" t="s">
        <v>231</v>
      </c>
      <c r="BW641" s="2" t="s">
        <v>231</v>
      </c>
      <c r="BX641" s="2" t="s">
        <v>231</v>
      </c>
      <c r="BY641" s="2" t="s">
        <v>277</v>
      </c>
      <c r="BZ641" s="2" t="s">
        <v>243</v>
      </c>
      <c r="CA641" s="2" t="s">
        <v>3745</v>
      </c>
      <c r="CB641" s="2" t="s">
        <v>2468</v>
      </c>
      <c r="CC641" s="2" t="s">
        <v>244</v>
      </c>
      <c r="CD641" s="2" t="s">
        <v>231</v>
      </c>
      <c r="CE641" s="4">
        <v>92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</row>
    <row r="642">
      <c r="A642" s="2" t="s">
        <v>3749</v>
      </c>
      <c r="B642" s="2" t="s">
        <v>262</v>
      </c>
      <c r="C642" s="2" t="s">
        <v>1051</v>
      </c>
      <c r="D642" s="2" t="s">
        <v>654</v>
      </c>
      <c r="E642" s="2" t="s">
        <v>1212</v>
      </c>
      <c r="F642" s="2" t="s">
        <v>3738</v>
      </c>
      <c r="G642" s="2" t="s">
        <v>3738</v>
      </c>
      <c r="H642" s="2" t="s">
        <v>3738</v>
      </c>
      <c r="I642" s="2" t="s">
        <v>3750</v>
      </c>
      <c r="J642" s="2" t="s">
        <v>669</v>
      </c>
      <c r="K642" s="2" t="s">
        <v>294</v>
      </c>
      <c r="L642" s="3">
        <v>28.57</v>
      </c>
      <c r="M642" s="3">
        <v>30</v>
      </c>
      <c r="N642" s="3">
        <v>59.99</v>
      </c>
      <c r="O642" s="2" t="s">
        <v>243</v>
      </c>
      <c r="P642" s="2" t="s">
        <v>270</v>
      </c>
      <c r="Q642" s="2" t="s">
        <v>237</v>
      </c>
      <c r="R642" s="2" t="s">
        <v>231</v>
      </c>
      <c r="S642" s="2" t="s">
        <v>3751</v>
      </c>
      <c r="T642" s="2" t="s">
        <v>3741</v>
      </c>
      <c r="U642" s="2" t="s">
        <v>327</v>
      </c>
      <c r="V642" s="2" t="s">
        <v>239</v>
      </c>
      <c r="W642" s="2" t="s">
        <v>273</v>
      </c>
      <c r="X642" s="2" t="s">
        <v>231</v>
      </c>
      <c r="Y642" s="2" t="s">
        <v>3752</v>
      </c>
      <c r="Z642" s="4">
        <v>282</v>
      </c>
      <c r="AA642" s="4">
        <f>=ROUNDDOWN(31.3333333333333,0)</f>
      </c>
      <c r="AB642" s="5">
        <v>9</v>
      </c>
      <c r="AC642" s="2" t="s">
        <v>3693</v>
      </c>
      <c r="AD642" s="4">
        <v>67</v>
      </c>
      <c r="AE642" s="4">
        <v>67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231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231</v>
      </c>
      <c r="AW642" s="8" t="s">
        <v>231</v>
      </c>
      <c r="AX642" s="4" t="s">
        <v>231</v>
      </c>
      <c r="AY642" s="8" t="s">
        <v>231</v>
      </c>
      <c r="AZ642" s="7" t="s">
        <v>231</v>
      </c>
      <c r="BA642" s="7" t="s">
        <v>231</v>
      </c>
      <c r="BB642" s="7"/>
      <c r="BC642" s="4" t="s">
        <v>231</v>
      </c>
      <c r="BD642" s="8" t="s">
        <v>231</v>
      </c>
      <c r="BE642" s="4" t="s">
        <v>231</v>
      </c>
      <c r="BF642" s="8" t="s">
        <v>231</v>
      </c>
      <c r="BG642" s="7" t="s">
        <v>231</v>
      </c>
      <c r="BH642" s="7" t="s">
        <v>231</v>
      </c>
      <c r="BI642" s="7"/>
      <c r="BJ642" s="4">
        <v>27</v>
      </c>
      <c r="BK642" s="8">
        <v>857.26</v>
      </c>
      <c r="BL642" s="2" t="s">
        <v>3753</v>
      </c>
      <c r="BM642" s="7"/>
      <c r="BN642" s="7"/>
      <c r="BO642" s="4"/>
      <c r="BP642" s="8"/>
      <c r="BQ642" s="4"/>
      <c r="BR642" s="8"/>
      <c r="BS642" s="7"/>
      <c r="BT642" s="7"/>
      <c r="BU642" s="2" t="s">
        <v>3754</v>
      </c>
      <c r="BV642" s="2" t="s">
        <v>231</v>
      </c>
      <c r="BW642" s="2" t="s">
        <v>231</v>
      </c>
      <c r="BX642" s="2" t="s">
        <v>241</v>
      </c>
      <c r="BY642" s="2" t="s">
        <v>277</v>
      </c>
      <c r="BZ642" s="2" t="s">
        <v>243</v>
      </c>
      <c r="CA642" s="2" t="s">
        <v>3752</v>
      </c>
      <c r="CB642" s="2" t="s">
        <v>3755</v>
      </c>
      <c r="CC642" s="2" t="s">
        <v>244</v>
      </c>
      <c r="CD642" s="2" t="s">
        <v>231</v>
      </c>
      <c r="CE642" s="4">
        <v>282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>
        <v>67</v>
      </c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</row>
    <row r="643">
      <c r="A643" s="2" t="s">
        <v>3756</v>
      </c>
      <c r="B643" s="2" t="s">
        <v>287</v>
      </c>
      <c r="C643" s="2" t="s">
        <v>1051</v>
      </c>
      <c r="D643" s="2" t="s">
        <v>289</v>
      </c>
      <c r="E643" s="2" t="s">
        <v>290</v>
      </c>
      <c r="F643" s="2" t="s">
        <v>3738</v>
      </c>
      <c r="G643" s="2" t="s">
        <v>3738</v>
      </c>
      <c r="H643" s="2" t="s">
        <v>3738</v>
      </c>
      <c r="I643" s="2" t="s">
        <v>3739</v>
      </c>
      <c r="J643" s="2" t="s">
        <v>318</v>
      </c>
      <c r="K643" s="2" t="s">
        <v>253</v>
      </c>
      <c r="L643" s="3">
        <v>21</v>
      </c>
      <c r="M643" s="3">
        <v>22.05</v>
      </c>
      <c r="N643" s="3">
        <v>44.99</v>
      </c>
      <c r="O643" s="2" t="s">
        <v>243</v>
      </c>
      <c r="P643" s="2" t="s">
        <v>270</v>
      </c>
      <c r="Q643" s="2" t="s">
        <v>237</v>
      </c>
      <c r="R643" s="2" t="s">
        <v>231</v>
      </c>
      <c r="S643" s="2" t="s">
        <v>3757</v>
      </c>
      <c r="T643" s="2" t="s">
        <v>3741</v>
      </c>
      <c r="U643" s="2" t="s">
        <v>835</v>
      </c>
      <c r="V643" s="2" t="s">
        <v>239</v>
      </c>
      <c r="W643" s="2" t="s">
        <v>273</v>
      </c>
      <c r="X643" s="2" t="s">
        <v>231</v>
      </c>
      <c r="Y643" s="2" t="s">
        <v>3742</v>
      </c>
      <c r="Z643" s="4">
        <v>118</v>
      </c>
      <c r="AA643" s="4">
        <f>=ROUNDDOWN(59,0)</f>
      </c>
      <c r="AB643" s="5">
        <v>2</v>
      </c>
      <c r="AC643" s="2" t="s">
        <v>231</v>
      </c>
      <c r="AD643" s="4"/>
      <c r="AE643" s="4"/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231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231</v>
      </c>
      <c r="AW643" s="8" t="s">
        <v>231</v>
      </c>
      <c r="AX643" s="4" t="s">
        <v>231</v>
      </c>
      <c r="AY643" s="8" t="s">
        <v>231</v>
      </c>
      <c r="AZ643" s="7" t="s">
        <v>231</v>
      </c>
      <c r="BA643" s="7" t="s">
        <v>231</v>
      </c>
      <c r="BB643" s="7"/>
      <c r="BC643" s="4" t="s">
        <v>231</v>
      </c>
      <c r="BD643" s="8" t="s">
        <v>231</v>
      </c>
      <c r="BE643" s="4" t="s">
        <v>231</v>
      </c>
      <c r="BF643" s="8" t="s">
        <v>231</v>
      </c>
      <c r="BG643" s="7" t="s">
        <v>231</v>
      </c>
      <c r="BH643" s="7" t="s">
        <v>231</v>
      </c>
      <c r="BI643" s="7"/>
      <c r="BJ643" s="4">
        <v>6</v>
      </c>
      <c r="BK643" s="8">
        <v>139.56</v>
      </c>
      <c r="BL643" s="2" t="s">
        <v>3758</v>
      </c>
      <c r="BM643" s="7"/>
      <c r="BN643" s="7"/>
      <c r="BO643" s="4"/>
      <c r="BP643" s="8"/>
      <c r="BQ643" s="4"/>
      <c r="BR643" s="8"/>
      <c r="BS643" s="7"/>
      <c r="BT643" s="7"/>
      <c r="BU643" s="2" t="s">
        <v>3759</v>
      </c>
      <c r="BV643" s="2" t="s">
        <v>231</v>
      </c>
      <c r="BW643" s="2" t="s">
        <v>231</v>
      </c>
      <c r="BX643" s="2" t="s">
        <v>231</v>
      </c>
      <c r="BY643" s="2" t="s">
        <v>277</v>
      </c>
      <c r="BZ643" s="2" t="s">
        <v>243</v>
      </c>
      <c r="CA643" s="2" t="s">
        <v>3745</v>
      </c>
      <c r="CB643" s="2" t="s">
        <v>3760</v>
      </c>
      <c r="CC643" s="2" t="s">
        <v>244</v>
      </c>
      <c r="CD643" s="2" t="s">
        <v>231</v>
      </c>
      <c r="CE643" s="4">
        <v>118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</row>
    <row r="644">
      <c r="A644" s="2" t="s">
        <v>3761</v>
      </c>
      <c r="B644" s="2" t="s">
        <v>262</v>
      </c>
      <c r="C644" s="2" t="s">
        <v>1051</v>
      </c>
      <c r="D644" s="2" t="s">
        <v>654</v>
      </c>
      <c r="E644" s="2" t="s">
        <v>1212</v>
      </c>
      <c r="F644" s="2" t="s">
        <v>3738</v>
      </c>
      <c r="G644" s="2" t="s">
        <v>3738</v>
      </c>
      <c r="H644" s="2" t="s">
        <v>3738</v>
      </c>
      <c r="I644" s="2" t="s">
        <v>3750</v>
      </c>
      <c r="J644" s="2" t="s">
        <v>832</v>
      </c>
      <c r="K644" s="2" t="s">
        <v>253</v>
      </c>
      <c r="L644" s="3">
        <v>21.42</v>
      </c>
      <c r="M644" s="3">
        <v>22.49</v>
      </c>
      <c r="N644" s="3">
        <v>49.99</v>
      </c>
      <c r="O644" s="2" t="s">
        <v>243</v>
      </c>
      <c r="P644" s="2" t="s">
        <v>270</v>
      </c>
      <c r="Q644" s="2" t="s">
        <v>237</v>
      </c>
      <c r="R644" s="2" t="s">
        <v>231</v>
      </c>
      <c r="S644" s="2" t="s">
        <v>3762</v>
      </c>
      <c r="T644" s="2" t="s">
        <v>3741</v>
      </c>
      <c r="U644" s="2" t="s">
        <v>327</v>
      </c>
      <c r="V644" s="2" t="s">
        <v>239</v>
      </c>
      <c r="W644" s="2" t="s">
        <v>273</v>
      </c>
      <c r="X644" s="2" t="s">
        <v>231</v>
      </c>
      <c r="Y644" s="2" t="s">
        <v>3752</v>
      </c>
      <c r="Z644" s="4">
        <v>171</v>
      </c>
      <c r="AA644" s="4">
        <f>=ROUNDDOWN(34.2,0)</f>
      </c>
      <c r="AB644" s="5">
        <v>5</v>
      </c>
      <c r="AC644" s="2" t="s">
        <v>3693</v>
      </c>
      <c r="AD644" s="4">
        <v>2</v>
      </c>
      <c r="AE644" s="4">
        <v>2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231</v>
      </c>
      <c r="AW644" s="8" t="s">
        <v>231</v>
      </c>
      <c r="AX644" s="4" t="s">
        <v>231</v>
      </c>
      <c r="AY644" s="8" t="s">
        <v>231</v>
      </c>
      <c r="AZ644" s="7" t="s">
        <v>231</v>
      </c>
      <c r="BA644" s="7" t="s">
        <v>231</v>
      </c>
      <c r="BB644" s="7"/>
      <c r="BC644" s="4" t="s">
        <v>231</v>
      </c>
      <c r="BD644" s="8" t="s">
        <v>231</v>
      </c>
      <c r="BE644" s="4" t="s">
        <v>231</v>
      </c>
      <c r="BF644" s="8" t="s">
        <v>231</v>
      </c>
      <c r="BG644" s="7" t="s">
        <v>231</v>
      </c>
      <c r="BH644" s="7" t="s">
        <v>231</v>
      </c>
      <c r="BI644" s="7"/>
      <c r="BJ644" s="4">
        <v>13</v>
      </c>
      <c r="BK644" s="8">
        <v>313.09</v>
      </c>
      <c r="BL644" s="2" t="s">
        <v>3763</v>
      </c>
      <c r="BM644" s="7"/>
      <c r="BN644" s="7"/>
      <c r="BO644" s="4"/>
      <c r="BP644" s="8"/>
      <c r="BQ644" s="4"/>
      <c r="BR644" s="8"/>
      <c r="BS644" s="7"/>
      <c r="BT644" s="7"/>
      <c r="BU644" s="2" t="s">
        <v>3764</v>
      </c>
      <c r="BV644" s="2" t="s">
        <v>231</v>
      </c>
      <c r="BW644" s="2" t="s">
        <v>231</v>
      </c>
      <c r="BX644" s="2" t="s">
        <v>241</v>
      </c>
      <c r="BY644" s="2" t="s">
        <v>277</v>
      </c>
      <c r="BZ644" s="2" t="s">
        <v>243</v>
      </c>
      <c r="CA644" s="2" t="s">
        <v>3752</v>
      </c>
      <c r="CB644" s="2" t="s">
        <v>2335</v>
      </c>
      <c r="CC644" s="2" t="s">
        <v>244</v>
      </c>
      <c r="CD644" s="2" t="s">
        <v>231</v>
      </c>
      <c r="CE644" s="4">
        <v>71</v>
      </c>
      <c r="CF644" s="4"/>
      <c r="CG644" s="4"/>
      <c r="CH644" s="4"/>
      <c r="CI644" s="4"/>
      <c r="CJ644" s="4"/>
      <c r="CK644" s="4"/>
      <c r="CL644" s="4">
        <v>100</v>
      </c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>
        <v>2</v>
      </c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</row>
    <row r="645">
      <c r="A645" s="2" t="s">
        <v>3765</v>
      </c>
      <c r="B645" s="2" t="s">
        <v>287</v>
      </c>
      <c r="C645" s="2" t="s">
        <v>1051</v>
      </c>
      <c r="D645" s="2" t="s">
        <v>289</v>
      </c>
      <c r="E645" s="2" t="s">
        <v>290</v>
      </c>
      <c r="F645" s="2" t="s">
        <v>3738</v>
      </c>
      <c r="G645" s="2" t="s">
        <v>3738</v>
      </c>
      <c r="H645" s="2" t="s">
        <v>3738</v>
      </c>
      <c r="I645" s="2" t="s">
        <v>3739</v>
      </c>
      <c r="J645" s="2" t="s">
        <v>318</v>
      </c>
      <c r="K645" s="2" t="s">
        <v>255</v>
      </c>
      <c r="L645" s="3">
        <v>21</v>
      </c>
      <c r="M645" s="3">
        <v>22.05</v>
      </c>
      <c r="N645" s="3">
        <v>44.99</v>
      </c>
      <c r="O645" s="2" t="s">
        <v>243</v>
      </c>
      <c r="P645" s="2" t="s">
        <v>270</v>
      </c>
      <c r="Q645" s="2" t="s">
        <v>237</v>
      </c>
      <c r="R645" s="2" t="s">
        <v>231</v>
      </c>
      <c r="S645" s="2" t="s">
        <v>3766</v>
      </c>
      <c r="T645" s="2" t="s">
        <v>3741</v>
      </c>
      <c r="U645" s="2" t="s">
        <v>835</v>
      </c>
      <c r="V645" s="2" t="s">
        <v>239</v>
      </c>
      <c r="W645" s="2" t="s">
        <v>273</v>
      </c>
      <c r="X645" s="2" t="s">
        <v>231</v>
      </c>
      <c r="Y645" s="2" t="s">
        <v>3742</v>
      </c>
      <c r="Z645" s="4">
        <v>152</v>
      </c>
      <c r="AA645" s="4">
        <f>=ROUNDDOWN(76,0)</f>
      </c>
      <c r="AB645" s="5">
        <v>2</v>
      </c>
      <c r="AC645" s="2" t="s">
        <v>231</v>
      </c>
      <c r="AD645" s="4"/>
      <c r="AE645" s="4"/>
      <c r="AF645" s="6">
        <v>67</v>
      </c>
      <c r="AG645" s="6"/>
      <c r="AH645" s="7">
        <v>1</v>
      </c>
      <c r="AI645" s="4"/>
      <c r="AJ645" s="4">
        <f>=ROUNDDOWN({0},0)</f>
      </c>
      <c r="AK645" s="5"/>
      <c r="AL645" s="2" t="s">
        <v>231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231</v>
      </c>
      <c r="AW645" s="8" t="s">
        <v>231</v>
      </c>
      <c r="AX645" s="4" t="s">
        <v>231</v>
      </c>
      <c r="AY645" s="8" t="s">
        <v>231</v>
      </c>
      <c r="AZ645" s="7" t="s">
        <v>231</v>
      </c>
      <c r="BA645" s="7" t="s">
        <v>231</v>
      </c>
      <c r="BB645" s="7"/>
      <c r="BC645" s="4" t="s">
        <v>231</v>
      </c>
      <c r="BD645" s="8" t="s">
        <v>231</v>
      </c>
      <c r="BE645" s="4" t="s">
        <v>231</v>
      </c>
      <c r="BF645" s="8" t="s">
        <v>231</v>
      </c>
      <c r="BG645" s="7" t="s">
        <v>231</v>
      </c>
      <c r="BH645" s="7" t="s">
        <v>231</v>
      </c>
      <c r="BI645" s="7"/>
      <c r="BJ645" s="4">
        <v>8</v>
      </c>
      <c r="BK645" s="8">
        <v>189.5</v>
      </c>
      <c r="BL645" s="2" t="s">
        <v>3767</v>
      </c>
      <c r="BM645" s="7"/>
      <c r="BN645" s="7"/>
      <c r="BO645" s="4"/>
      <c r="BP645" s="8"/>
      <c r="BQ645" s="4"/>
      <c r="BR645" s="8"/>
      <c r="BS645" s="7"/>
      <c r="BT645" s="7"/>
      <c r="BU645" s="2" t="s">
        <v>3768</v>
      </c>
      <c r="BV645" s="2" t="s">
        <v>231</v>
      </c>
      <c r="BW645" s="2" t="s">
        <v>231</v>
      </c>
      <c r="BX645" s="2" t="s">
        <v>231</v>
      </c>
      <c r="BY645" s="2" t="s">
        <v>277</v>
      </c>
      <c r="BZ645" s="2" t="s">
        <v>243</v>
      </c>
      <c r="CA645" s="2" t="s">
        <v>3745</v>
      </c>
      <c r="CB645" s="2" t="s">
        <v>2515</v>
      </c>
      <c r="CC645" s="2" t="s">
        <v>244</v>
      </c>
      <c r="CD645" s="2" t="s">
        <v>231</v>
      </c>
      <c r="CE645" s="4">
        <v>152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</row>
    <row r="646">
      <c r="A646" s="2" t="s">
        <v>3769</v>
      </c>
      <c r="B646" s="2" t="s">
        <v>262</v>
      </c>
      <c r="C646" s="2" t="s">
        <v>1051</v>
      </c>
      <c r="D646" s="2" t="s">
        <v>654</v>
      </c>
      <c r="E646" s="2" t="s">
        <v>1212</v>
      </c>
      <c r="F646" s="2" t="s">
        <v>3738</v>
      </c>
      <c r="G646" s="2" t="s">
        <v>3738</v>
      </c>
      <c r="H646" s="2" t="s">
        <v>3738</v>
      </c>
      <c r="I646" s="2" t="s">
        <v>3750</v>
      </c>
      <c r="J646" s="2" t="s">
        <v>832</v>
      </c>
      <c r="K646" s="2" t="s">
        <v>255</v>
      </c>
      <c r="L646" s="3">
        <v>21.42</v>
      </c>
      <c r="M646" s="3">
        <v>22.49</v>
      </c>
      <c r="N646" s="3">
        <v>49.99</v>
      </c>
      <c r="O646" s="2" t="s">
        <v>243</v>
      </c>
      <c r="P646" s="2" t="s">
        <v>270</v>
      </c>
      <c r="Q646" s="2" t="s">
        <v>237</v>
      </c>
      <c r="R646" s="2" t="s">
        <v>231</v>
      </c>
      <c r="S646" s="2" t="s">
        <v>3770</v>
      </c>
      <c r="T646" s="2" t="s">
        <v>3741</v>
      </c>
      <c r="U646" s="2" t="s">
        <v>327</v>
      </c>
      <c r="V646" s="2" t="s">
        <v>239</v>
      </c>
      <c r="W646" s="2" t="s">
        <v>273</v>
      </c>
      <c r="X646" s="2" t="s">
        <v>231</v>
      </c>
      <c r="Y646" s="2" t="s">
        <v>3752</v>
      </c>
      <c r="Z646" s="4">
        <v>60</v>
      </c>
      <c r="AA646" s="4">
        <f>=ROUNDDOWN(12,0)</f>
      </c>
      <c r="AB646" s="5">
        <v>5</v>
      </c>
      <c r="AC646" s="2" t="s">
        <v>3693</v>
      </c>
      <c r="AD646" s="4">
        <v>137</v>
      </c>
      <c r="AE646" s="4">
        <v>137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231</v>
      </c>
      <c r="AW646" s="8" t="s">
        <v>231</v>
      </c>
      <c r="AX646" s="4" t="s">
        <v>231</v>
      </c>
      <c r="AY646" s="8" t="s">
        <v>231</v>
      </c>
      <c r="AZ646" s="7" t="s">
        <v>231</v>
      </c>
      <c r="BA646" s="7" t="s">
        <v>231</v>
      </c>
      <c r="BB646" s="7"/>
      <c r="BC646" s="4" t="s">
        <v>231</v>
      </c>
      <c r="BD646" s="8" t="s">
        <v>231</v>
      </c>
      <c r="BE646" s="4" t="s">
        <v>231</v>
      </c>
      <c r="BF646" s="8" t="s">
        <v>231</v>
      </c>
      <c r="BG646" s="7" t="s">
        <v>231</v>
      </c>
      <c r="BH646" s="7" t="s">
        <v>231</v>
      </c>
      <c r="BI646" s="7"/>
      <c r="BJ646" s="4">
        <v>22</v>
      </c>
      <c r="BK646" s="8">
        <v>532.73</v>
      </c>
      <c r="BL646" s="2" t="s">
        <v>424</v>
      </c>
      <c r="BM646" s="7"/>
      <c r="BN646" s="7"/>
      <c r="BO646" s="4"/>
      <c r="BP646" s="8"/>
      <c r="BQ646" s="4"/>
      <c r="BR646" s="8"/>
      <c r="BS646" s="7"/>
      <c r="BT646" s="7"/>
      <c r="BU646" s="2" t="s">
        <v>3771</v>
      </c>
      <c r="BV646" s="2" t="s">
        <v>231</v>
      </c>
      <c r="BW646" s="2" t="s">
        <v>231</v>
      </c>
      <c r="BX646" s="2" t="s">
        <v>241</v>
      </c>
      <c r="BY646" s="2" t="s">
        <v>277</v>
      </c>
      <c r="BZ646" s="2" t="s">
        <v>243</v>
      </c>
      <c r="CA646" s="2" t="s">
        <v>3752</v>
      </c>
      <c r="CB646" s="2" t="s">
        <v>3772</v>
      </c>
      <c r="CC646" s="2" t="s">
        <v>244</v>
      </c>
      <c r="CD646" s="2" t="s">
        <v>231</v>
      </c>
      <c r="CE646" s="4">
        <v>60</v>
      </c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>
        <v>137</v>
      </c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</row>
    <row r="647">
      <c r="A647" s="2" t="s">
        <v>3773</v>
      </c>
      <c r="B647" s="2" t="s">
        <v>287</v>
      </c>
      <c r="C647" s="2" t="s">
        <v>1051</v>
      </c>
      <c r="D647" s="2" t="s">
        <v>289</v>
      </c>
      <c r="E647" s="2" t="s">
        <v>290</v>
      </c>
      <c r="F647" s="2" t="s">
        <v>3738</v>
      </c>
      <c r="G647" s="2" t="s">
        <v>3738</v>
      </c>
      <c r="H647" s="2" t="s">
        <v>3738</v>
      </c>
      <c r="I647" s="2" t="s">
        <v>3739</v>
      </c>
      <c r="J647" s="2" t="s">
        <v>281</v>
      </c>
      <c r="K647" s="2" t="s">
        <v>255</v>
      </c>
      <c r="L647" s="3">
        <v>25.5</v>
      </c>
      <c r="M647" s="3">
        <v>26.78</v>
      </c>
      <c r="N647" s="3">
        <v>54.99</v>
      </c>
      <c r="O647" s="2" t="s">
        <v>243</v>
      </c>
      <c r="P647" s="2" t="s">
        <v>270</v>
      </c>
      <c r="Q647" s="2" t="s">
        <v>237</v>
      </c>
      <c r="R647" s="2" t="s">
        <v>231</v>
      </c>
      <c r="S647" s="2" t="s">
        <v>3766</v>
      </c>
      <c r="T647" s="2" t="s">
        <v>3741</v>
      </c>
      <c r="U647" s="2" t="s">
        <v>298</v>
      </c>
      <c r="V647" s="2" t="s">
        <v>239</v>
      </c>
      <c r="W647" s="2" t="s">
        <v>273</v>
      </c>
      <c r="X647" s="2" t="s">
        <v>231</v>
      </c>
      <c r="Y647" s="2" t="s">
        <v>3742</v>
      </c>
      <c r="Z647" s="4">
        <v>163</v>
      </c>
      <c r="AA647" s="4">
        <f>=ROUNDDOWN(32.6,0)</f>
      </c>
      <c r="AB647" s="5">
        <v>5</v>
      </c>
      <c r="AC647" s="2" t="s">
        <v>231</v>
      </c>
      <c r="AD647" s="4"/>
      <c r="AE647" s="4"/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231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231</v>
      </c>
      <c r="AW647" s="8" t="s">
        <v>231</v>
      </c>
      <c r="AX647" s="4" t="s">
        <v>231</v>
      </c>
      <c r="AY647" s="8" t="s">
        <v>231</v>
      </c>
      <c r="AZ647" s="7" t="s">
        <v>231</v>
      </c>
      <c r="BA647" s="7" t="s">
        <v>231</v>
      </c>
      <c r="BB647" s="7"/>
      <c r="BC647" s="4" t="s">
        <v>231</v>
      </c>
      <c r="BD647" s="8" t="s">
        <v>231</v>
      </c>
      <c r="BE647" s="4" t="s">
        <v>231</v>
      </c>
      <c r="BF647" s="8" t="s">
        <v>231</v>
      </c>
      <c r="BG647" s="7" t="s">
        <v>231</v>
      </c>
      <c r="BH647" s="7" t="s">
        <v>231</v>
      </c>
      <c r="BI647" s="7"/>
      <c r="BJ647" s="4">
        <v>10</v>
      </c>
      <c r="BK647" s="8">
        <v>285.14</v>
      </c>
      <c r="BL647" s="2" t="s">
        <v>3774</v>
      </c>
      <c r="BM647" s="7"/>
      <c r="BN647" s="7"/>
      <c r="BO647" s="4"/>
      <c r="BP647" s="8"/>
      <c r="BQ647" s="4"/>
      <c r="BR647" s="8"/>
      <c r="BS647" s="7"/>
      <c r="BT647" s="7"/>
      <c r="BU647" s="2" t="s">
        <v>3775</v>
      </c>
      <c r="BV647" s="2" t="s">
        <v>231</v>
      </c>
      <c r="BW647" s="2" t="s">
        <v>231</v>
      </c>
      <c r="BX647" s="2" t="s">
        <v>231</v>
      </c>
      <c r="BY647" s="2" t="s">
        <v>277</v>
      </c>
      <c r="BZ647" s="2" t="s">
        <v>243</v>
      </c>
      <c r="CA647" s="2" t="s">
        <v>3745</v>
      </c>
      <c r="CB647" s="2" t="s">
        <v>3776</v>
      </c>
      <c r="CC647" s="2" t="s">
        <v>244</v>
      </c>
      <c r="CD647" s="2" t="s">
        <v>231</v>
      </c>
      <c r="CE647" s="4">
        <v>163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</row>
    <row r="648">
      <c r="A648" s="2" t="s">
        <v>3777</v>
      </c>
      <c r="B648" s="2" t="s">
        <v>262</v>
      </c>
      <c r="C648" s="2" t="s">
        <v>1051</v>
      </c>
      <c r="D648" s="2" t="s">
        <v>654</v>
      </c>
      <c r="E648" s="2" t="s">
        <v>1212</v>
      </c>
      <c r="F648" s="2" t="s">
        <v>3738</v>
      </c>
      <c r="G648" s="2" t="s">
        <v>3738</v>
      </c>
      <c r="H648" s="2" t="s">
        <v>3738</v>
      </c>
      <c r="I648" s="2" t="s">
        <v>3750</v>
      </c>
      <c r="J648" s="2" t="s">
        <v>658</v>
      </c>
      <c r="K648" s="2" t="s">
        <v>255</v>
      </c>
      <c r="L648" s="3">
        <v>25.14</v>
      </c>
      <c r="M648" s="3">
        <v>26.4</v>
      </c>
      <c r="N648" s="3">
        <v>54.99</v>
      </c>
      <c r="O648" s="2" t="s">
        <v>243</v>
      </c>
      <c r="P648" s="2" t="s">
        <v>270</v>
      </c>
      <c r="Q648" s="2" t="s">
        <v>237</v>
      </c>
      <c r="R648" s="2" t="s">
        <v>231</v>
      </c>
      <c r="S648" s="2" t="s">
        <v>3770</v>
      </c>
      <c r="T648" s="2" t="s">
        <v>3741</v>
      </c>
      <c r="U648" s="2" t="s">
        <v>327</v>
      </c>
      <c r="V648" s="2" t="s">
        <v>239</v>
      </c>
      <c r="W648" s="2" t="s">
        <v>273</v>
      </c>
      <c r="X648" s="2" t="s">
        <v>231</v>
      </c>
      <c r="Y648" s="2" t="s">
        <v>3752</v>
      </c>
      <c r="Z648" s="4">
        <v>173</v>
      </c>
      <c r="AA648" s="4">
        <f>=ROUNDDOWN(19.2222222222222,0)</f>
      </c>
      <c r="AB648" s="5">
        <v>9</v>
      </c>
      <c r="AC648" s="2" t="s">
        <v>3693</v>
      </c>
      <c r="AD648" s="4">
        <v>224</v>
      </c>
      <c r="AE648" s="4">
        <v>224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231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231</v>
      </c>
      <c r="AW648" s="8" t="s">
        <v>231</v>
      </c>
      <c r="AX648" s="4" t="s">
        <v>231</v>
      </c>
      <c r="AY648" s="8" t="s">
        <v>231</v>
      </c>
      <c r="AZ648" s="7" t="s">
        <v>231</v>
      </c>
      <c r="BA648" s="7" t="s">
        <v>231</v>
      </c>
      <c r="BB648" s="7"/>
      <c r="BC648" s="4" t="s">
        <v>231</v>
      </c>
      <c r="BD648" s="8" t="s">
        <v>231</v>
      </c>
      <c r="BE648" s="4" t="s">
        <v>231</v>
      </c>
      <c r="BF648" s="8" t="s">
        <v>231</v>
      </c>
      <c r="BG648" s="7" t="s">
        <v>231</v>
      </c>
      <c r="BH648" s="7" t="s">
        <v>231</v>
      </c>
      <c r="BI648" s="7"/>
      <c r="BJ648" s="4">
        <v>30</v>
      </c>
      <c r="BK648" s="8">
        <v>848.98</v>
      </c>
      <c r="BL648" s="2" t="s">
        <v>3778</v>
      </c>
      <c r="BM648" s="7"/>
      <c r="BN648" s="7"/>
      <c r="BO648" s="4"/>
      <c r="BP648" s="8"/>
      <c r="BQ648" s="4"/>
      <c r="BR648" s="8"/>
      <c r="BS648" s="7"/>
      <c r="BT648" s="7"/>
      <c r="BU648" s="2" t="s">
        <v>3779</v>
      </c>
      <c r="BV648" s="2" t="s">
        <v>231</v>
      </c>
      <c r="BW648" s="2" t="s">
        <v>231</v>
      </c>
      <c r="BX648" s="2" t="s">
        <v>241</v>
      </c>
      <c r="BY648" s="2" t="s">
        <v>277</v>
      </c>
      <c r="BZ648" s="2" t="s">
        <v>243</v>
      </c>
      <c r="CA648" s="2" t="s">
        <v>3752</v>
      </c>
      <c r="CB648" s="2" t="s">
        <v>3780</v>
      </c>
      <c r="CC648" s="2" t="s">
        <v>244</v>
      </c>
      <c r="CD648" s="2" t="s">
        <v>231</v>
      </c>
      <c r="CE648" s="4">
        <v>173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>
        <v>224</v>
      </c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</row>
    <row r="649">
      <c r="A649" s="2" t="s">
        <v>3781</v>
      </c>
      <c r="B649" s="2" t="s">
        <v>287</v>
      </c>
      <c r="C649" s="2" t="s">
        <v>1051</v>
      </c>
      <c r="D649" s="2" t="s">
        <v>289</v>
      </c>
      <c r="E649" s="2" t="s">
        <v>290</v>
      </c>
      <c r="F649" s="2" t="s">
        <v>3738</v>
      </c>
      <c r="G649" s="2" t="s">
        <v>3738</v>
      </c>
      <c r="H649" s="2" t="s">
        <v>3738</v>
      </c>
      <c r="I649" s="2" t="s">
        <v>3739</v>
      </c>
      <c r="J649" s="2" t="s">
        <v>302</v>
      </c>
      <c r="K649" s="2" t="s">
        <v>255</v>
      </c>
      <c r="L649" s="3">
        <v>32.5</v>
      </c>
      <c r="M649" s="3">
        <v>34.13</v>
      </c>
      <c r="N649" s="3">
        <v>69.99</v>
      </c>
      <c r="O649" s="2" t="s">
        <v>243</v>
      </c>
      <c r="P649" s="2" t="s">
        <v>270</v>
      </c>
      <c r="Q649" s="2" t="s">
        <v>237</v>
      </c>
      <c r="R649" s="2" t="s">
        <v>231</v>
      </c>
      <c r="S649" s="2" t="s">
        <v>3766</v>
      </c>
      <c r="T649" s="2" t="s">
        <v>3741</v>
      </c>
      <c r="U649" s="2" t="s">
        <v>298</v>
      </c>
      <c r="V649" s="2" t="s">
        <v>239</v>
      </c>
      <c r="W649" s="2" t="s">
        <v>273</v>
      </c>
      <c r="X649" s="2" t="s">
        <v>231</v>
      </c>
      <c r="Y649" s="2" t="s">
        <v>3742</v>
      </c>
      <c r="Z649" s="4">
        <v>132</v>
      </c>
      <c r="AA649" s="4">
        <f>=ROUNDDOWN(33,0)</f>
      </c>
      <c r="AB649" s="5">
        <v>4</v>
      </c>
      <c r="AC649" s="2" t="s">
        <v>231</v>
      </c>
      <c r="AD649" s="4"/>
      <c r="AE649" s="4"/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231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231</v>
      </c>
      <c r="AW649" s="8" t="s">
        <v>231</v>
      </c>
      <c r="AX649" s="4" t="s">
        <v>231</v>
      </c>
      <c r="AY649" s="8" t="s">
        <v>231</v>
      </c>
      <c r="AZ649" s="7" t="s">
        <v>231</v>
      </c>
      <c r="BA649" s="7" t="s">
        <v>231</v>
      </c>
      <c r="BB649" s="7"/>
      <c r="BC649" s="4" t="s">
        <v>231</v>
      </c>
      <c r="BD649" s="8" t="s">
        <v>231</v>
      </c>
      <c r="BE649" s="4" t="s">
        <v>231</v>
      </c>
      <c r="BF649" s="8" t="s">
        <v>231</v>
      </c>
      <c r="BG649" s="7" t="s">
        <v>231</v>
      </c>
      <c r="BH649" s="7" t="s">
        <v>231</v>
      </c>
      <c r="BI649" s="7"/>
      <c r="BJ649" s="4">
        <v>8</v>
      </c>
      <c r="BK649" s="8">
        <v>288.7</v>
      </c>
      <c r="BL649" s="2" t="s">
        <v>3782</v>
      </c>
      <c r="BM649" s="7"/>
      <c r="BN649" s="7"/>
      <c r="BO649" s="4"/>
      <c r="BP649" s="8"/>
      <c r="BQ649" s="4"/>
      <c r="BR649" s="8"/>
      <c r="BS649" s="7"/>
      <c r="BT649" s="7"/>
      <c r="BU649" s="2" t="s">
        <v>3783</v>
      </c>
      <c r="BV649" s="2" t="s">
        <v>231</v>
      </c>
      <c r="BW649" s="2" t="s">
        <v>231</v>
      </c>
      <c r="BX649" s="2" t="s">
        <v>231</v>
      </c>
      <c r="BY649" s="2" t="s">
        <v>277</v>
      </c>
      <c r="BZ649" s="2" t="s">
        <v>243</v>
      </c>
      <c r="CA649" s="2" t="s">
        <v>3745</v>
      </c>
      <c r="CB649" s="2" t="s">
        <v>446</v>
      </c>
      <c r="CC649" s="2" t="s">
        <v>244</v>
      </c>
      <c r="CD649" s="2" t="s">
        <v>231</v>
      </c>
      <c r="CE649" s="4">
        <v>132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</row>
    <row r="650">
      <c r="A650" s="2" t="s">
        <v>3784</v>
      </c>
      <c r="B650" s="2" t="s">
        <v>992</v>
      </c>
      <c r="C650" s="2" t="s">
        <v>1439</v>
      </c>
      <c r="D650" s="2" t="s">
        <v>993</v>
      </c>
      <c r="E650" s="2" t="s">
        <v>1157</v>
      </c>
      <c r="F650" s="2" t="s">
        <v>3785</v>
      </c>
      <c r="G650" s="2" t="s">
        <v>3786</v>
      </c>
      <c r="H650" s="2" t="s">
        <v>3787</v>
      </c>
      <c r="I650" s="2" t="s">
        <v>3788</v>
      </c>
      <c r="J650" s="2" t="s">
        <v>3789</v>
      </c>
      <c r="K650" s="2" t="s">
        <v>1491</v>
      </c>
      <c r="L650" s="3">
        <v>25.8</v>
      </c>
      <c r="M650" s="3">
        <v>27.09</v>
      </c>
      <c r="N650" s="3">
        <v>59.99</v>
      </c>
      <c r="O650" s="2" t="s">
        <v>243</v>
      </c>
      <c r="P650" s="2" t="s">
        <v>341</v>
      </c>
      <c r="Q650" s="2" t="s">
        <v>237</v>
      </c>
      <c r="R650" s="2" t="s">
        <v>231</v>
      </c>
      <c r="S650" s="2" t="s">
        <v>3790</v>
      </c>
      <c r="T650" s="2" t="s">
        <v>472</v>
      </c>
      <c r="U650" s="2" t="s">
        <v>791</v>
      </c>
      <c r="V650" s="2" t="s">
        <v>239</v>
      </c>
      <c r="W650" s="2" t="s">
        <v>691</v>
      </c>
      <c r="X650" s="2" t="s">
        <v>3672</v>
      </c>
      <c r="Y650" s="2" t="s">
        <v>3791</v>
      </c>
      <c r="Z650" s="4">
        <v>33</v>
      </c>
      <c r="AA650" s="4">
        <f>=ROUNDDOWN(11,0)</f>
      </c>
      <c r="AB650" s="5">
        <v>3</v>
      </c>
      <c r="AC650" s="2" t="s">
        <v>231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231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231</v>
      </c>
      <c r="AW650" s="8" t="s">
        <v>231</v>
      </c>
      <c r="AX650" s="4" t="s">
        <v>231</v>
      </c>
      <c r="AY650" s="8" t="s">
        <v>231</v>
      </c>
      <c r="AZ650" s="7" t="s">
        <v>231</v>
      </c>
      <c r="BA650" s="7" t="s">
        <v>231</v>
      </c>
      <c r="BB650" s="7"/>
      <c r="BC650" s="4" t="s">
        <v>231</v>
      </c>
      <c r="BD650" s="8" t="s">
        <v>231</v>
      </c>
      <c r="BE650" s="4" t="s">
        <v>231</v>
      </c>
      <c r="BF650" s="8" t="s">
        <v>231</v>
      </c>
      <c r="BG650" s="7" t="s">
        <v>231</v>
      </c>
      <c r="BH650" s="7" t="s">
        <v>231</v>
      </c>
      <c r="BI650" s="7"/>
      <c r="BJ650" s="4">
        <v>12</v>
      </c>
      <c r="BK650" s="8">
        <v>168.04</v>
      </c>
      <c r="BL650" s="2" t="s">
        <v>619</v>
      </c>
      <c r="BM650" s="7"/>
      <c r="BN650" s="7"/>
      <c r="BO650" s="4"/>
      <c r="BP650" s="8"/>
      <c r="BQ650" s="4"/>
      <c r="BR650" s="8"/>
      <c r="BS650" s="7"/>
      <c r="BT650" s="7"/>
      <c r="BU650" s="2" t="s">
        <v>3792</v>
      </c>
      <c r="BV650" s="2" t="s">
        <v>231</v>
      </c>
      <c r="BW650" s="2" t="s">
        <v>231</v>
      </c>
      <c r="BX650" s="2" t="s">
        <v>241</v>
      </c>
      <c r="BY650" s="2" t="s">
        <v>277</v>
      </c>
      <c r="BZ650" s="2" t="s">
        <v>243</v>
      </c>
      <c r="CA650" s="2" t="s">
        <v>3793</v>
      </c>
      <c r="CB650" s="2" t="s">
        <v>2097</v>
      </c>
      <c r="CC650" s="2" t="s">
        <v>244</v>
      </c>
      <c r="CD650" s="2" t="s">
        <v>231</v>
      </c>
      <c r="CE650" s="4">
        <v>33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</row>
    <row r="651">
      <c r="A651" s="2" t="s">
        <v>3794</v>
      </c>
      <c r="B651" s="2" t="s">
        <v>992</v>
      </c>
      <c r="C651" s="2" t="s">
        <v>288</v>
      </c>
      <c r="D651" s="2" t="s">
        <v>993</v>
      </c>
      <c r="E651" s="2" t="s">
        <v>3795</v>
      </c>
      <c r="F651" s="2" t="s">
        <v>3785</v>
      </c>
      <c r="G651" s="2" t="s">
        <v>3786</v>
      </c>
      <c r="H651" s="2" t="s">
        <v>3787</v>
      </c>
      <c r="I651" s="2" t="s">
        <v>3796</v>
      </c>
      <c r="J651" s="2" t="s">
        <v>3797</v>
      </c>
      <c r="K651" s="2" t="s">
        <v>1491</v>
      </c>
      <c r="L651" s="3">
        <v>27</v>
      </c>
      <c r="M651" s="3">
        <v>28.35</v>
      </c>
      <c r="N651" s="3">
        <v>59.99</v>
      </c>
      <c r="O651" s="2" t="s">
        <v>243</v>
      </c>
      <c r="P651" s="2" t="s">
        <v>341</v>
      </c>
      <c r="Q651" s="2" t="s">
        <v>237</v>
      </c>
      <c r="R651" s="2" t="s">
        <v>231</v>
      </c>
      <c r="S651" s="2" t="s">
        <v>3790</v>
      </c>
      <c r="T651" s="2" t="s">
        <v>472</v>
      </c>
      <c r="U651" s="2" t="s">
        <v>327</v>
      </c>
      <c r="V651" s="2" t="s">
        <v>239</v>
      </c>
      <c r="W651" s="2" t="s">
        <v>691</v>
      </c>
      <c r="X651" s="2" t="s">
        <v>231</v>
      </c>
      <c r="Y651" s="2" t="s">
        <v>2621</v>
      </c>
      <c r="Z651" s="4">
        <v>186</v>
      </c>
      <c r="AA651" s="4">
        <f>=ROUNDDOWN(143.076923076923,0)</f>
      </c>
      <c r="AB651" s="5">
        <v>1.3</v>
      </c>
      <c r="AC651" s="2" t="s">
        <v>231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231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231</v>
      </c>
      <c r="AW651" s="8" t="s">
        <v>231</v>
      </c>
      <c r="AX651" s="4" t="s">
        <v>231</v>
      </c>
      <c r="AY651" s="8" t="s">
        <v>231</v>
      </c>
      <c r="AZ651" s="7" t="s">
        <v>231</v>
      </c>
      <c r="BA651" s="7" t="s">
        <v>231</v>
      </c>
      <c r="BB651" s="7"/>
      <c r="BC651" s="4" t="s">
        <v>231</v>
      </c>
      <c r="BD651" s="8" t="s">
        <v>231</v>
      </c>
      <c r="BE651" s="4" t="s">
        <v>231</v>
      </c>
      <c r="BF651" s="8" t="s">
        <v>231</v>
      </c>
      <c r="BG651" s="7" t="s">
        <v>231</v>
      </c>
      <c r="BH651" s="7" t="s">
        <v>231</v>
      </c>
      <c r="BI651" s="7"/>
      <c r="BJ651" s="4">
        <v>4</v>
      </c>
      <c r="BK651" s="8">
        <v>111.12</v>
      </c>
      <c r="BL651" s="2" t="s">
        <v>3381</v>
      </c>
      <c r="BM651" s="7"/>
      <c r="BN651" s="7"/>
      <c r="BO651" s="4"/>
      <c r="BP651" s="8"/>
      <c r="BQ651" s="4"/>
      <c r="BR651" s="8"/>
      <c r="BS651" s="7"/>
      <c r="BT651" s="7"/>
      <c r="BU651" s="2" t="s">
        <v>3798</v>
      </c>
      <c r="BV651" s="2" t="s">
        <v>231</v>
      </c>
      <c r="BW651" s="2" t="s">
        <v>231</v>
      </c>
      <c r="BX651" s="2" t="s">
        <v>231</v>
      </c>
      <c r="BY651" s="2" t="s">
        <v>277</v>
      </c>
      <c r="BZ651" s="2" t="s">
        <v>243</v>
      </c>
      <c r="CA651" s="2" t="s">
        <v>2397</v>
      </c>
      <c r="CB651" s="2" t="s">
        <v>3799</v>
      </c>
      <c r="CC651" s="2" t="s">
        <v>244</v>
      </c>
      <c r="CD651" s="2" t="s">
        <v>231</v>
      </c>
      <c r="CE651" s="4">
        <v>186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</row>
    <row r="652">
      <c r="A652" s="2" t="s">
        <v>3800</v>
      </c>
      <c r="B652" s="2" t="s">
        <v>992</v>
      </c>
      <c r="C652" s="2" t="s">
        <v>288</v>
      </c>
      <c r="D652" s="2" t="s">
        <v>993</v>
      </c>
      <c r="E652" s="2" t="s">
        <v>3795</v>
      </c>
      <c r="F652" s="2" t="s">
        <v>3785</v>
      </c>
      <c r="G652" s="2" t="s">
        <v>3786</v>
      </c>
      <c r="H652" s="2" t="s">
        <v>3787</v>
      </c>
      <c r="I652" s="2" t="s">
        <v>3796</v>
      </c>
      <c r="J652" s="2" t="s">
        <v>3801</v>
      </c>
      <c r="K652" s="2" t="s">
        <v>1491</v>
      </c>
      <c r="L652" s="3">
        <v>29.25</v>
      </c>
      <c r="M652" s="3">
        <v>30.71</v>
      </c>
      <c r="N652" s="3">
        <v>64.99</v>
      </c>
      <c r="O652" s="2" t="s">
        <v>243</v>
      </c>
      <c r="P652" s="2" t="s">
        <v>341</v>
      </c>
      <c r="Q652" s="2" t="s">
        <v>237</v>
      </c>
      <c r="R652" s="2" t="s">
        <v>231</v>
      </c>
      <c r="S652" s="2" t="s">
        <v>3790</v>
      </c>
      <c r="T652" s="2" t="s">
        <v>472</v>
      </c>
      <c r="U652" s="2" t="s">
        <v>327</v>
      </c>
      <c r="V652" s="2" t="s">
        <v>239</v>
      </c>
      <c r="W652" s="2" t="s">
        <v>691</v>
      </c>
      <c r="X652" s="2" t="s">
        <v>231</v>
      </c>
      <c r="Y652" s="2" t="s">
        <v>2621</v>
      </c>
      <c r="Z652" s="4">
        <v>193</v>
      </c>
      <c r="AA652" s="4">
        <f>=ROUNDDOWN(71.4814814814815,0)</f>
      </c>
      <c r="AB652" s="5">
        <v>2.7</v>
      </c>
      <c r="AC652" s="2" t="s">
        <v>231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231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231</v>
      </c>
      <c r="AW652" s="8" t="s">
        <v>231</v>
      </c>
      <c r="AX652" s="4" t="s">
        <v>231</v>
      </c>
      <c r="AY652" s="8" t="s">
        <v>231</v>
      </c>
      <c r="AZ652" s="7" t="s">
        <v>231</v>
      </c>
      <c r="BA652" s="7" t="s">
        <v>231</v>
      </c>
      <c r="BB652" s="7"/>
      <c r="BC652" s="4" t="s">
        <v>231</v>
      </c>
      <c r="BD652" s="8" t="s">
        <v>231</v>
      </c>
      <c r="BE652" s="4" t="s">
        <v>231</v>
      </c>
      <c r="BF652" s="8" t="s">
        <v>231</v>
      </c>
      <c r="BG652" s="7" t="s">
        <v>231</v>
      </c>
      <c r="BH652" s="7" t="s">
        <v>231</v>
      </c>
      <c r="BI652" s="7"/>
      <c r="BJ652" s="4">
        <v>13</v>
      </c>
      <c r="BK652" s="8">
        <v>344.59</v>
      </c>
      <c r="BL652" s="2" t="s">
        <v>3802</v>
      </c>
      <c r="BM652" s="7"/>
      <c r="BN652" s="7"/>
      <c r="BO652" s="4"/>
      <c r="BP652" s="8"/>
      <c r="BQ652" s="4"/>
      <c r="BR652" s="8"/>
      <c r="BS652" s="7"/>
      <c r="BT652" s="7"/>
      <c r="BU652" s="2" t="s">
        <v>3803</v>
      </c>
      <c r="BV652" s="2" t="s">
        <v>231</v>
      </c>
      <c r="BW652" s="2" t="s">
        <v>231</v>
      </c>
      <c r="BX652" s="2" t="s">
        <v>231</v>
      </c>
      <c r="BY652" s="2" t="s">
        <v>277</v>
      </c>
      <c r="BZ652" s="2" t="s">
        <v>243</v>
      </c>
      <c r="CA652" s="2" t="s">
        <v>2397</v>
      </c>
      <c r="CB652" s="2" t="s">
        <v>3755</v>
      </c>
      <c r="CC652" s="2" t="s">
        <v>244</v>
      </c>
      <c r="CD652" s="2" t="s">
        <v>231</v>
      </c>
      <c r="CE652" s="4">
        <v>193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</row>
    <row r="653">
      <c r="A653" s="2" t="s">
        <v>3804</v>
      </c>
      <c r="B653" s="2" t="s">
        <v>992</v>
      </c>
      <c r="C653" s="2" t="s">
        <v>288</v>
      </c>
      <c r="D653" s="2" t="s">
        <v>993</v>
      </c>
      <c r="E653" s="2" t="s">
        <v>3795</v>
      </c>
      <c r="F653" s="2" t="s">
        <v>3785</v>
      </c>
      <c r="G653" s="2" t="s">
        <v>3786</v>
      </c>
      <c r="H653" s="2" t="s">
        <v>3787</v>
      </c>
      <c r="I653" s="2" t="s">
        <v>3796</v>
      </c>
      <c r="J653" s="2" t="s">
        <v>3805</v>
      </c>
      <c r="K653" s="2" t="s">
        <v>1491</v>
      </c>
      <c r="L653" s="3">
        <v>32.2</v>
      </c>
      <c r="M653" s="3">
        <v>33.81</v>
      </c>
      <c r="N653" s="3">
        <v>69.99</v>
      </c>
      <c r="O653" s="2" t="s">
        <v>243</v>
      </c>
      <c r="P653" s="2" t="s">
        <v>341</v>
      </c>
      <c r="Q653" s="2" t="s">
        <v>237</v>
      </c>
      <c r="R653" s="2" t="s">
        <v>231</v>
      </c>
      <c r="S653" s="2" t="s">
        <v>3790</v>
      </c>
      <c r="T653" s="2" t="s">
        <v>472</v>
      </c>
      <c r="U653" s="2" t="s">
        <v>327</v>
      </c>
      <c r="V653" s="2" t="s">
        <v>239</v>
      </c>
      <c r="W653" s="2" t="s">
        <v>691</v>
      </c>
      <c r="X653" s="2" t="s">
        <v>231</v>
      </c>
      <c r="Y653" s="2" t="s">
        <v>2621</v>
      </c>
      <c r="Z653" s="4">
        <v>204</v>
      </c>
      <c r="AA653" s="4">
        <f>=ROUNDDOWN(55.1351351351351,0)</f>
      </c>
      <c r="AB653" s="5">
        <v>3.7</v>
      </c>
      <c r="AC653" s="2" t="s">
        <v>231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231</v>
      </c>
      <c r="AW653" s="8" t="s">
        <v>231</v>
      </c>
      <c r="AX653" s="4" t="s">
        <v>231</v>
      </c>
      <c r="AY653" s="8" t="s">
        <v>231</v>
      </c>
      <c r="AZ653" s="7" t="s">
        <v>231</v>
      </c>
      <c r="BA653" s="7" t="s">
        <v>231</v>
      </c>
      <c r="BB653" s="7"/>
      <c r="BC653" s="4" t="s">
        <v>231</v>
      </c>
      <c r="BD653" s="8" t="s">
        <v>231</v>
      </c>
      <c r="BE653" s="4" t="s">
        <v>231</v>
      </c>
      <c r="BF653" s="8" t="s">
        <v>231</v>
      </c>
      <c r="BG653" s="7" t="s">
        <v>231</v>
      </c>
      <c r="BH653" s="7" t="s">
        <v>231</v>
      </c>
      <c r="BI653" s="7"/>
      <c r="BJ653" s="4">
        <v>15</v>
      </c>
      <c r="BK653" s="8">
        <v>306.95</v>
      </c>
      <c r="BL653" s="2" t="s">
        <v>3806</v>
      </c>
      <c r="BM653" s="7"/>
      <c r="BN653" s="7"/>
      <c r="BO653" s="4"/>
      <c r="BP653" s="8"/>
      <c r="BQ653" s="4"/>
      <c r="BR653" s="8"/>
      <c r="BS653" s="7"/>
      <c r="BT653" s="7"/>
      <c r="BU653" s="2" t="s">
        <v>3807</v>
      </c>
      <c r="BV653" s="2" t="s">
        <v>231</v>
      </c>
      <c r="BW653" s="2" t="s">
        <v>231</v>
      </c>
      <c r="BX653" s="2" t="s">
        <v>231</v>
      </c>
      <c r="BY653" s="2" t="s">
        <v>277</v>
      </c>
      <c r="BZ653" s="2" t="s">
        <v>243</v>
      </c>
      <c r="CA653" s="2" t="s">
        <v>2397</v>
      </c>
      <c r="CB653" s="2" t="s">
        <v>3808</v>
      </c>
      <c r="CC653" s="2" t="s">
        <v>244</v>
      </c>
      <c r="CD653" s="2" t="s">
        <v>231</v>
      </c>
      <c r="CE653" s="4">
        <v>204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</row>
    <row r="654">
      <c r="A654" s="2" t="s">
        <v>3809</v>
      </c>
      <c r="B654" s="2" t="s">
        <v>992</v>
      </c>
      <c r="C654" s="2" t="s">
        <v>288</v>
      </c>
      <c r="D654" s="2" t="s">
        <v>993</v>
      </c>
      <c r="E654" s="2" t="s">
        <v>3795</v>
      </c>
      <c r="F654" s="2" t="s">
        <v>3785</v>
      </c>
      <c r="G654" s="2" t="s">
        <v>3786</v>
      </c>
      <c r="H654" s="2" t="s">
        <v>3787</v>
      </c>
      <c r="I654" s="2" t="s">
        <v>3796</v>
      </c>
      <c r="J654" s="2" t="s">
        <v>3810</v>
      </c>
      <c r="K654" s="2" t="s">
        <v>1491</v>
      </c>
      <c r="L654" s="3">
        <v>34.5</v>
      </c>
      <c r="M654" s="3">
        <v>36.23</v>
      </c>
      <c r="N654" s="3">
        <v>74.99</v>
      </c>
      <c r="O654" s="2" t="s">
        <v>243</v>
      </c>
      <c r="P654" s="2" t="s">
        <v>341</v>
      </c>
      <c r="Q654" s="2" t="s">
        <v>237</v>
      </c>
      <c r="R654" s="2" t="s">
        <v>231</v>
      </c>
      <c r="S654" s="2" t="s">
        <v>3790</v>
      </c>
      <c r="T654" s="2" t="s">
        <v>472</v>
      </c>
      <c r="U654" s="2" t="s">
        <v>327</v>
      </c>
      <c r="V654" s="2" t="s">
        <v>239</v>
      </c>
      <c r="W654" s="2" t="s">
        <v>691</v>
      </c>
      <c r="X654" s="2" t="s">
        <v>231</v>
      </c>
      <c r="Y654" s="2" t="s">
        <v>2621</v>
      </c>
      <c r="Z654" s="4">
        <v>75</v>
      </c>
      <c r="AA654" s="4">
        <f>=ROUNDDOWN(21.4285714285714,0)</f>
      </c>
      <c r="AB654" s="5">
        <v>3.5</v>
      </c>
      <c r="AC654" s="2" t="s">
        <v>231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231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231</v>
      </c>
      <c r="AW654" s="8" t="s">
        <v>231</v>
      </c>
      <c r="AX654" s="4" t="s">
        <v>231</v>
      </c>
      <c r="AY654" s="8" t="s">
        <v>231</v>
      </c>
      <c r="AZ654" s="7" t="s">
        <v>231</v>
      </c>
      <c r="BA654" s="7" t="s">
        <v>231</v>
      </c>
      <c r="BB654" s="7"/>
      <c r="BC654" s="4" t="s">
        <v>231</v>
      </c>
      <c r="BD654" s="8" t="s">
        <v>231</v>
      </c>
      <c r="BE654" s="4" t="s">
        <v>231</v>
      </c>
      <c r="BF654" s="8" t="s">
        <v>231</v>
      </c>
      <c r="BG654" s="7" t="s">
        <v>231</v>
      </c>
      <c r="BH654" s="7" t="s">
        <v>231</v>
      </c>
      <c r="BI654" s="7"/>
      <c r="BJ654" s="4">
        <v>14</v>
      </c>
      <c r="BK654" s="8">
        <v>409.24</v>
      </c>
      <c r="BL654" s="2" t="s">
        <v>3811</v>
      </c>
      <c r="BM654" s="7"/>
      <c r="BN654" s="7"/>
      <c r="BO654" s="4"/>
      <c r="BP654" s="8"/>
      <c r="BQ654" s="4"/>
      <c r="BR654" s="8"/>
      <c r="BS654" s="7"/>
      <c r="BT654" s="7"/>
      <c r="BU654" s="2" t="s">
        <v>3812</v>
      </c>
      <c r="BV654" s="2" t="s">
        <v>231</v>
      </c>
      <c r="BW654" s="2" t="s">
        <v>231</v>
      </c>
      <c r="BX654" s="2" t="s">
        <v>231</v>
      </c>
      <c r="BY654" s="2" t="s">
        <v>277</v>
      </c>
      <c r="BZ654" s="2" t="s">
        <v>243</v>
      </c>
      <c r="CA654" s="2" t="s">
        <v>2397</v>
      </c>
      <c r="CB654" s="2" t="s">
        <v>3813</v>
      </c>
      <c r="CC654" s="2" t="s">
        <v>244</v>
      </c>
      <c r="CD654" s="2" t="s">
        <v>231</v>
      </c>
      <c r="CE654" s="4">
        <v>75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</row>
    <row r="655">
      <c r="A655" s="2" t="s">
        <v>3814</v>
      </c>
      <c r="B655" s="2" t="s">
        <v>992</v>
      </c>
      <c r="C655" s="2" t="s">
        <v>288</v>
      </c>
      <c r="D655" s="2" t="s">
        <v>993</v>
      </c>
      <c r="E655" s="2" t="s">
        <v>3795</v>
      </c>
      <c r="F655" s="2" t="s">
        <v>3785</v>
      </c>
      <c r="G655" s="2" t="s">
        <v>3786</v>
      </c>
      <c r="H655" s="2" t="s">
        <v>3787</v>
      </c>
      <c r="I655" s="2" t="s">
        <v>3796</v>
      </c>
      <c r="J655" s="2" t="s">
        <v>3815</v>
      </c>
      <c r="K655" s="2" t="s">
        <v>1491</v>
      </c>
      <c r="L655" s="3">
        <v>38.4</v>
      </c>
      <c r="M655" s="3">
        <v>40.32</v>
      </c>
      <c r="N655" s="3">
        <v>79.99</v>
      </c>
      <c r="O655" s="2" t="s">
        <v>243</v>
      </c>
      <c r="P655" s="2" t="s">
        <v>341</v>
      </c>
      <c r="Q655" s="2" t="s">
        <v>237</v>
      </c>
      <c r="R655" s="2" t="s">
        <v>231</v>
      </c>
      <c r="S655" s="2" t="s">
        <v>3790</v>
      </c>
      <c r="T655" s="2" t="s">
        <v>472</v>
      </c>
      <c r="U655" s="2" t="s">
        <v>327</v>
      </c>
      <c r="V655" s="2" t="s">
        <v>239</v>
      </c>
      <c r="W655" s="2" t="s">
        <v>691</v>
      </c>
      <c r="X655" s="2" t="s">
        <v>231</v>
      </c>
      <c r="Y655" s="2" t="s">
        <v>2621</v>
      </c>
      <c r="Z655" s="4">
        <v>326</v>
      </c>
      <c r="AA655" s="4">
        <f>=ROUNDDOWN(191.764705882353,0)</f>
      </c>
      <c r="AB655" s="5">
        <v>1.7</v>
      </c>
      <c r="AC655" s="2" t="s">
        <v>231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231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231</v>
      </c>
      <c r="AW655" s="8" t="s">
        <v>231</v>
      </c>
      <c r="AX655" s="4" t="s">
        <v>231</v>
      </c>
      <c r="AY655" s="8" t="s">
        <v>231</v>
      </c>
      <c r="AZ655" s="7" t="s">
        <v>231</v>
      </c>
      <c r="BA655" s="7" t="s">
        <v>231</v>
      </c>
      <c r="BB655" s="7"/>
      <c r="BC655" s="4" t="s">
        <v>231</v>
      </c>
      <c r="BD655" s="8" t="s">
        <v>231</v>
      </c>
      <c r="BE655" s="4" t="s">
        <v>231</v>
      </c>
      <c r="BF655" s="8" t="s">
        <v>231</v>
      </c>
      <c r="BG655" s="7" t="s">
        <v>231</v>
      </c>
      <c r="BH655" s="7" t="s">
        <v>231</v>
      </c>
      <c r="BI655" s="7"/>
      <c r="BJ655" s="4">
        <v>8</v>
      </c>
      <c r="BK655" s="8">
        <v>307.22</v>
      </c>
      <c r="BL655" s="2" t="s">
        <v>3816</v>
      </c>
      <c r="BM655" s="7"/>
      <c r="BN655" s="7"/>
      <c r="BO655" s="4"/>
      <c r="BP655" s="8"/>
      <c r="BQ655" s="4"/>
      <c r="BR655" s="8"/>
      <c r="BS655" s="7"/>
      <c r="BT655" s="7"/>
      <c r="BU655" s="2" t="s">
        <v>3817</v>
      </c>
      <c r="BV655" s="2" t="s">
        <v>231</v>
      </c>
      <c r="BW655" s="2" t="s">
        <v>231</v>
      </c>
      <c r="BX655" s="2" t="s">
        <v>231</v>
      </c>
      <c r="BY655" s="2" t="s">
        <v>277</v>
      </c>
      <c r="BZ655" s="2" t="s">
        <v>243</v>
      </c>
      <c r="CA655" s="2" t="s">
        <v>2397</v>
      </c>
      <c r="CB655" s="2" t="s">
        <v>2771</v>
      </c>
      <c r="CC655" s="2" t="s">
        <v>244</v>
      </c>
      <c r="CD655" s="2" t="s">
        <v>231</v>
      </c>
      <c r="CE655" s="4">
        <v>326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</row>
    <row r="656">
      <c r="A656" s="2" t="s">
        <v>3818</v>
      </c>
      <c r="B656" s="2" t="s">
        <v>992</v>
      </c>
      <c r="C656" s="2" t="s">
        <v>288</v>
      </c>
      <c r="D656" s="2" t="s">
        <v>993</v>
      </c>
      <c r="E656" s="2" t="s">
        <v>3795</v>
      </c>
      <c r="F656" s="2" t="s">
        <v>3785</v>
      </c>
      <c r="G656" s="2" t="s">
        <v>3786</v>
      </c>
      <c r="H656" s="2" t="s">
        <v>3787</v>
      </c>
      <c r="I656" s="2" t="s">
        <v>3796</v>
      </c>
      <c r="J656" s="2" t="s">
        <v>3815</v>
      </c>
      <c r="K656" s="2" t="s">
        <v>253</v>
      </c>
      <c r="L656" s="3">
        <v>38.4</v>
      </c>
      <c r="M656" s="3">
        <v>40.32</v>
      </c>
      <c r="N656" s="3">
        <v>79.99</v>
      </c>
      <c r="O656" s="2" t="s">
        <v>243</v>
      </c>
      <c r="P656" s="2" t="s">
        <v>341</v>
      </c>
      <c r="Q656" s="2" t="s">
        <v>237</v>
      </c>
      <c r="R656" s="2" t="s">
        <v>231</v>
      </c>
      <c r="S656" s="2" t="s">
        <v>3819</v>
      </c>
      <c r="T656" s="2" t="s">
        <v>472</v>
      </c>
      <c r="U656" s="2" t="s">
        <v>327</v>
      </c>
      <c r="V656" s="2" t="s">
        <v>239</v>
      </c>
      <c r="W656" s="2" t="s">
        <v>691</v>
      </c>
      <c r="X656" s="2" t="s">
        <v>231</v>
      </c>
      <c r="Y656" s="2" t="s">
        <v>3820</v>
      </c>
      <c r="Z656" s="4">
        <v>15</v>
      </c>
      <c r="AA656" s="4">
        <f>=ROUNDDOWN(2.5,0)</f>
      </c>
      <c r="AB656" s="5">
        <v>6</v>
      </c>
      <c r="AC656" s="2" t="s">
        <v>231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231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231</v>
      </c>
      <c r="BD656" s="8" t="s">
        <v>231</v>
      </c>
      <c r="BE656" s="4" t="s">
        <v>231</v>
      </c>
      <c r="BF656" s="8" t="s">
        <v>231</v>
      </c>
      <c r="BG656" s="7" t="s">
        <v>231</v>
      </c>
      <c r="BH656" s="7" t="s">
        <v>231</v>
      </c>
      <c r="BI656" s="7"/>
      <c r="BJ656" s="4">
        <v>16</v>
      </c>
      <c r="BK656" s="8">
        <v>519.12</v>
      </c>
      <c r="BL656" s="2" t="s">
        <v>3821</v>
      </c>
      <c r="BM656" s="7"/>
      <c r="BN656" s="7"/>
      <c r="BO656" s="4"/>
      <c r="BP656" s="8"/>
      <c r="BQ656" s="4"/>
      <c r="BR656" s="8"/>
      <c r="BS656" s="7"/>
      <c r="BT656" s="7"/>
      <c r="BU656" s="2" t="s">
        <v>3822</v>
      </c>
      <c r="BV656" s="2" t="s">
        <v>231</v>
      </c>
      <c r="BW656" s="2" t="s">
        <v>231</v>
      </c>
      <c r="BX656" s="2" t="s">
        <v>231</v>
      </c>
      <c r="BY656" s="2" t="s">
        <v>277</v>
      </c>
      <c r="BZ656" s="2" t="s">
        <v>243</v>
      </c>
      <c r="CA656" s="2" t="s">
        <v>3823</v>
      </c>
      <c r="CB656" s="2" t="s">
        <v>3824</v>
      </c>
      <c r="CC656" s="2" t="s">
        <v>244</v>
      </c>
      <c r="CD656" s="2" t="s">
        <v>231</v>
      </c>
      <c r="CE656" s="4">
        <v>15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</row>
    <row r="657">
      <c r="A657" s="2" t="s">
        <v>3825</v>
      </c>
      <c r="B657" s="2" t="s">
        <v>992</v>
      </c>
      <c r="C657" s="2" t="s">
        <v>288</v>
      </c>
      <c r="D657" s="2" t="s">
        <v>993</v>
      </c>
      <c r="E657" s="2" t="s">
        <v>3795</v>
      </c>
      <c r="F657" s="2" t="s">
        <v>3785</v>
      </c>
      <c r="G657" s="2" t="s">
        <v>3786</v>
      </c>
      <c r="H657" s="2" t="s">
        <v>3787</v>
      </c>
      <c r="I657" s="2" t="s">
        <v>3796</v>
      </c>
      <c r="J657" s="2" t="s">
        <v>3801</v>
      </c>
      <c r="K657" s="2" t="s">
        <v>306</v>
      </c>
      <c r="L657" s="3">
        <v>29.25</v>
      </c>
      <c r="M657" s="3">
        <v>30.71</v>
      </c>
      <c r="N657" s="3">
        <v>64.99</v>
      </c>
      <c r="O657" s="2" t="s">
        <v>243</v>
      </c>
      <c r="P657" s="2" t="s">
        <v>270</v>
      </c>
      <c r="Q657" s="2" t="s">
        <v>237</v>
      </c>
      <c r="R657" s="2" t="s">
        <v>231</v>
      </c>
      <c r="S657" s="2" t="s">
        <v>3826</v>
      </c>
      <c r="T657" s="2" t="s">
        <v>472</v>
      </c>
      <c r="U657" s="2" t="s">
        <v>327</v>
      </c>
      <c r="V657" s="2" t="s">
        <v>239</v>
      </c>
      <c r="W657" s="2" t="s">
        <v>691</v>
      </c>
      <c r="X657" s="2" t="s">
        <v>231</v>
      </c>
      <c r="Y657" s="2" t="s">
        <v>3820</v>
      </c>
      <c r="Z657" s="4">
        <v>202</v>
      </c>
      <c r="AA657" s="4">
        <f>=ROUNDDOWN(40.4,0)</f>
      </c>
      <c r="AB657" s="5">
        <v>5</v>
      </c>
      <c r="AC657" s="2" t="s">
        <v>231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231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231</v>
      </c>
      <c r="AW657" s="8" t="s">
        <v>231</v>
      </c>
      <c r="AX657" s="4" t="s">
        <v>231</v>
      </c>
      <c r="AY657" s="8" t="s">
        <v>231</v>
      </c>
      <c r="AZ657" s="7" t="s">
        <v>231</v>
      </c>
      <c r="BA657" s="7" t="s">
        <v>231</v>
      </c>
      <c r="BB657" s="7"/>
      <c r="BC657" s="4" t="s">
        <v>231</v>
      </c>
      <c r="BD657" s="8" t="s">
        <v>231</v>
      </c>
      <c r="BE657" s="4" t="s">
        <v>231</v>
      </c>
      <c r="BF657" s="8" t="s">
        <v>231</v>
      </c>
      <c r="BG657" s="7" t="s">
        <v>231</v>
      </c>
      <c r="BH657" s="7" t="s">
        <v>231</v>
      </c>
      <c r="BI657" s="7"/>
      <c r="BJ657" s="4">
        <v>28</v>
      </c>
      <c r="BK657" s="8">
        <v>916.97</v>
      </c>
      <c r="BL657" s="2" t="s">
        <v>3827</v>
      </c>
      <c r="BM657" s="7"/>
      <c r="BN657" s="7"/>
      <c r="BO657" s="4"/>
      <c r="BP657" s="8"/>
      <c r="BQ657" s="4"/>
      <c r="BR657" s="8"/>
      <c r="BS657" s="7"/>
      <c r="BT657" s="7"/>
      <c r="BU657" s="2" t="s">
        <v>3828</v>
      </c>
      <c r="BV657" s="2" t="s">
        <v>231</v>
      </c>
      <c r="BW657" s="2" t="s">
        <v>231</v>
      </c>
      <c r="BX657" s="2" t="s">
        <v>231</v>
      </c>
      <c r="BY657" s="2" t="s">
        <v>277</v>
      </c>
      <c r="BZ657" s="2" t="s">
        <v>243</v>
      </c>
      <c r="CA657" s="2" t="s">
        <v>3823</v>
      </c>
      <c r="CB657" s="2" t="s">
        <v>3829</v>
      </c>
      <c r="CC657" s="2" t="s">
        <v>244</v>
      </c>
      <c r="CD657" s="2" t="s">
        <v>231</v>
      </c>
      <c r="CE657" s="4">
        <v>202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</row>
    <row r="658">
      <c r="A658" s="2" t="s">
        <v>3830</v>
      </c>
      <c r="B658" s="2" t="s">
        <v>992</v>
      </c>
      <c r="C658" s="2" t="s">
        <v>288</v>
      </c>
      <c r="D658" s="2" t="s">
        <v>993</v>
      </c>
      <c r="E658" s="2" t="s">
        <v>3795</v>
      </c>
      <c r="F658" s="2" t="s">
        <v>3785</v>
      </c>
      <c r="G658" s="2" t="s">
        <v>3786</v>
      </c>
      <c r="H658" s="2" t="s">
        <v>3787</v>
      </c>
      <c r="I658" s="2" t="s">
        <v>3796</v>
      </c>
      <c r="J658" s="2" t="s">
        <v>3815</v>
      </c>
      <c r="K658" s="2" t="s">
        <v>306</v>
      </c>
      <c r="L658" s="3">
        <v>38.4</v>
      </c>
      <c r="M658" s="3">
        <v>40.32</v>
      </c>
      <c r="N658" s="3">
        <v>79.99</v>
      </c>
      <c r="O658" s="2" t="s">
        <v>243</v>
      </c>
      <c r="P658" s="2" t="s">
        <v>270</v>
      </c>
      <c r="Q658" s="2" t="s">
        <v>237</v>
      </c>
      <c r="R658" s="2" t="s">
        <v>231</v>
      </c>
      <c r="S658" s="2" t="s">
        <v>3826</v>
      </c>
      <c r="T658" s="2" t="s">
        <v>472</v>
      </c>
      <c r="U658" s="2" t="s">
        <v>327</v>
      </c>
      <c r="V658" s="2" t="s">
        <v>239</v>
      </c>
      <c r="W658" s="2" t="s">
        <v>691</v>
      </c>
      <c r="X658" s="2" t="s">
        <v>231</v>
      </c>
      <c r="Y658" s="2" t="s">
        <v>3820</v>
      </c>
      <c r="Z658" s="4">
        <v>225</v>
      </c>
      <c r="AA658" s="4">
        <f>=ROUNDDOWN(22.7272727272727,0)</f>
      </c>
      <c r="AB658" s="5">
        <v>9.9</v>
      </c>
      <c r="AC658" s="2" t="s">
        <v>1537</v>
      </c>
      <c r="AD658" s="4">
        <v>180</v>
      </c>
      <c r="AE658" s="4">
        <v>180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231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231</v>
      </c>
      <c r="AW658" s="8" t="s">
        <v>231</v>
      </c>
      <c r="AX658" s="4" t="s">
        <v>231</v>
      </c>
      <c r="AY658" s="8" t="s">
        <v>231</v>
      </c>
      <c r="AZ658" s="7" t="s">
        <v>231</v>
      </c>
      <c r="BA658" s="7" t="s">
        <v>231</v>
      </c>
      <c r="BB658" s="7"/>
      <c r="BC658" s="4" t="s">
        <v>231</v>
      </c>
      <c r="BD658" s="8" t="s">
        <v>231</v>
      </c>
      <c r="BE658" s="4" t="s">
        <v>231</v>
      </c>
      <c r="BF658" s="8" t="s">
        <v>231</v>
      </c>
      <c r="BG658" s="7" t="s">
        <v>231</v>
      </c>
      <c r="BH658" s="7" t="s">
        <v>231</v>
      </c>
      <c r="BI658" s="7"/>
      <c r="BJ658" s="4">
        <v>27</v>
      </c>
      <c r="BK658" s="8">
        <v>1173.88</v>
      </c>
      <c r="BL658" s="2" t="s">
        <v>3831</v>
      </c>
      <c r="BM658" s="7"/>
      <c r="BN658" s="7"/>
      <c r="BO658" s="4"/>
      <c r="BP658" s="8"/>
      <c r="BQ658" s="4"/>
      <c r="BR658" s="8"/>
      <c r="BS658" s="7"/>
      <c r="BT658" s="7"/>
      <c r="BU658" s="2" t="s">
        <v>3832</v>
      </c>
      <c r="BV658" s="2" t="s">
        <v>231</v>
      </c>
      <c r="BW658" s="2" t="s">
        <v>231</v>
      </c>
      <c r="BX658" s="2" t="s">
        <v>231</v>
      </c>
      <c r="BY658" s="2" t="s">
        <v>277</v>
      </c>
      <c r="BZ658" s="2" t="s">
        <v>243</v>
      </c>
      <c r="CA658" s="2" t="s">
        <v>3823</v>
      </c>
      <c r="CB658" s="2" t="s">
        <v>3833</v>
      </c>
      <c r="CC658" s="2" t="s">
        <v>244</v>
      </c>
      <c r="CD658" s="2" t="s">
        <v>231</v>
      </c>
      <c r="CE658" s="4">
        <v>225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>
        <v>180</v>
      </c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</row>
    <row r="659">
      <c r="A659" s="2" t="s">
        <v>3834</v>
      </c>
      <c r="B659" s="2" t="s">
        <v>992</v>
      </c>
      <c r="C659" s="2" t="s">
        <v>288</v>
      </c>
      <c r="D659" s="2" t="s">
        <v>993</v>
      </c>
      <c r="E659" s="2" t="s">
        <v>3795</v>
      </c>
      <c r="F659" s="2" t="s">
        <v>3785</v>
      </c>
      <c r="G659" s="2" t="s">
        <v>3786</v>
      </c>
      <c r="H659" s="2" t="s">
        <v>3787</v>
      </c>
      <c r="I659" s="2" t="s">
        <v>3796</v>
      </c>
      <c r="J659" s="2" t="s">
        <v>3801</v>
      </c>
      <c r="K659" s="2" t="s">
        <v>452</v>
      </c>
      <c r="L659" s="3">
        <v>29.25</v>
      </c>
      <c r="M659" s="3">
        <v>30.71</v>
      </c>
      <c r="N659" s="3">
        <v>64.99</v>
      </c>
      <c r="O659" s="2" t="s">
        <v>243</v>
      </c>
      <c r="P659" s="2" t="s">
        <v>270</v>
      </c>
      <c r="Q659" s="2" t="s">
        <v>237</v>
      </c>
      <c r="R659" s="2" t="s">
        <v>231</v>
      </c>
      <c r="S659" s="2" t="s">
        <v>3835</v>
      </c>
      <c r="T659" s="2" t="s">
        <v>472</v>
      </c>
      <c r="U659" s="2" t="s">
        <v>327</v>
      </c>
      <c r="V659" s="2" t="s">
        <v>239</v>
      </c>
      <c r="W659" s="2" t="s">
        <v>691</v>
      </c>
      <c r="X659" s="2" t="s">
        <v>231</v>
      </c>
      <c r="Y659" s="2" t="s">
        <v>3820</v>
      </c>
      <c r="Z659" s="4">
        <v>42</v>
      </c>
      <c r="AA659" s="4">
        <f>=ROUNDDOWN(10.5,0)</f>
      </c>
      <c r="AB659" s="5">
        <v>4</v>
      </c>
      <c r="AC659" s="2" t="s">
        <v>701</v>
      </c>
      <c r="AD659" s="4">
        <v>90</v>
      </c>
      <c r="AE659" s="4">
        <v>90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231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231</v>
      </c>
      <c r="AW659" s="8" t="s">
        <v>231</v>
      </c>
      <c r="AX659" s="4" t="s">
        <v>231</v>
      </c>
      <c r="AY659" s="8" t="s">
        <v>231</v>
      </c>
      <c r="AZ659" s="7" t="s">
        <v>231</v>
      </c>
      <c r="BA659" s="7" t="s">
        <v>231</v>
      </c>
      <c r="BB659" s="7"/>
      <c r="BC659" s="4" t="s">
        <v>231</v>
      </c>
      <c r="BD659" s="8" t="s">
        <v>231</v>
      </c>
      <c r="BE659" s="4" t="s">
        <v>231</v>
      </c>
      <c r="BF659" s="8" t="s">
        <v>231</v>
      </c>
      <c r="BG659" s="7" t="s">
        <v>231</v>
      </c>
      <c r="BH659" s="7" t="s">
        <v>231</v>
      </c>
      <c r="BI659" s="7"/>
      <c r="BJ659" s="4">
        <v>32</v>
      </c>
      <c r="BK659" s="8">
        <v>1080.8</v>
      </c>
      <c r="BL659" s="2" t="s">
        <v>2830</v>
      </c>
      <c r="BM659" s="7"/>
      <c r="BN659" s="7"/>
      <c r="BO659" s="4"/>
      <c r="BP659" s="8"/>
      <c r="BQ659" s="4"/>
      <c r="BR659" s="8"/>
      <c r="BS659" s="7"/>
      <c r="BT659" s="7"/>
      <c r="BU659" s="2" t="s">
        <v>3836</v>
      </c>
      <c r="BV659" s="2" t="s">
        <v>231</v>
      </c>
      <c r="BW659" s="2" t="s">
        <v>231</v>
      </c>
      <c r="BX659" s="2" t="s">
        <v>231</v>
      </c>
      <c r="BY659" s="2" t="s">
        <v>277</v>
      </c>
      <c r="BZ659" s="2" t="s">
        <v>243</v>
      </c>
      <c r="CA659" s="2" t="s">
        <v>3823</v>
      </c>
      <c r="CB659" s="2" t="s">
        <v>3837</v>
      </c>
      <c r="CC659" s="2" t="s">
        <v>244</v>
      </c>
      <c r="CD659" s="2" t="s">
        <v>231</v>
      </c>
      <c r="CE659" s="4">
        <v>42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>
        <v>90</v>
      </c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</row>
    <row r="660">
      <c r="A660" s="2" t="s">
        <v>3838</v>
      </c>
      <c r="B660" s="2" t="s">
        <v>992</v>
      </c>
      <c r="C660" s="2" t="s">
        <v>288</v>
      </c>
      <c r="D660" s="2" t="s">
        <v>993</v>
      </c>
      <c r="E660" s="2" t="s">
        <v>3795</v>
      </c>
      <c r="F660" s="2" t="s">
        <v>3785</v>
      </c>
      <c r="G660" s="2" t="s">
        <v>3786</v>
      </c>
      <c r="H660" s="2" t="s">
        <v>3787</v>
      </c>
      <c r="I660" s="2" t="s">
        <v>3796</v>
      </c>
      <c r="J660" s="2" t="s">
        <v>3815</v>
      </c>
      <c r="K660" s="2" t="s">
        <v>452</v>
      </c>
      <c r="L660" s="3">
        <v>38.4</v>
      </c>
      <c r="M660" s="3">
        <v>40.32</v>
      </c>
      <c r="N660" s="3">
        <v>79.99</v>
      </c>
      <c r="O660" s="2" t="s">
        <v>243</v>
      </c>
      <c r="P660" s="2" t="s">
        <v>270</v>
      </c>
      <c r="Q660" s="2" t="s">
        <v>237</v>
      </c>
      <c r="R660" s="2" t="s">
        <v>231</v>
      </c>
      <c r="S660" s="2" t="s">
        <v>3835</v>
      </c>
      <c r="T660" s="2" t="s">
        <v>472</v>
      </c>
      <c r="U660" s="2" t="s">
        <v>327</v>
      </c>
      <c r="V660" s="2" t="s">
        <v>239</v>
      </c>
      <c r="W660" s="2" t="s">
        <v>691</v>
      </c>
      <c r="X660" s="2" t="s">
        <v>231</v>
      </c>
      <c r="Y660" s="2" t="s">
        <v>3820</v>
      </c>
      <c r="Z660" s="4">
        <v>32</v>
      </c>
      <c r="AA660" s="4">
        <f>=ROUNDDOWN(8,0)</f>
      </c>
      <c r="AB660" s="5">
        <v>4</v>
      </c>
      <c r="AC660" s="2" t="s">
        <v>1920</v>
      </c>
      <c r="AD660" s="4">
        <v>66</v>
      </c>
      <c r="AE660" s="4">
        <v>66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231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231</v>
      </c>
      <c r="AW660" s="8" t="s">
        <v>231</v>
      </c>
      <c r="AX660" s="4" t="s">
        <v>231</v>
      </c>
      <c r="AY660" s="8" t="s">
        <v>231</v>
      </c>
      <c r="AZ660" s="7" t="s">
        <v>231</v>
      </c>
      <c r="BA660" s="7" t="s">
        <v>231</v>
      </c>
      <c r="BB660" s="7"/>
      <c r="BC660" s="4" t="s">
        <v>231</v>
      </c>
      <c r="BD660" s="8" t="s">
        <v>231</v>
      </c>
      <c r="BE660" s="4" t="s">
        <v>231</v>
      </c>
      <c r="BF660" s="8" t="s">
        <v>231</v>
      </c>
      <c r="BG660" s="7" t="s">
        <v>231</v>
      </c>
      <c r="BH660" s="7" t="s">
        <v>231</v>
      </c>
      <c r="BI660" s="7"/>
      <c r="BJ660" s="4">
        <v>31</v>
      </c>
      <c r="BK660" s="8">
        <v>1261.35</v>
      </c>
      <c r="BL660" s="2" t="s">
        <v>3839</v>
      </c>
      <c r="BM660" s="7"/>
      <c r="BN660" s="7"/>
      <c r="BO660" s="4"/>
      <c r="BP660" s="8"/>
      <c r="BQ660" s="4"/>
      <c r="BR660" s="8"/>
      <c r="BS660" s="7"/>
      <c r="BT660" s="7"/>
      <c r="BU660" s="2" t="s">
        <v>3840</v>
      </c>
      <c r="BV660" s="2" t="s">
        <v>231</v>
      </c>
      <c r="BW660" s="2" t="s">
        <v>231</v>
      </c>
      <c r="BX660" s="2" t="s">
        <v>231</v>
      </c>
      <c r="BY660" s="2" t="s">
        <v>277</v>
      </c>
      <c r="BZ660" s="2" t="s">
        <v>243</v>
      </c>
      <c r="CA660" s="2" t="s">
        <v>3823</v>
      </c>
      <c r="CB660" s="2" t="s">
        <v>3841</v>
      </c>
      <c r="CC660" s="2" t="s">
        <v>244</v>
      </c>
      <c r="CD660" s="2" t="s">
        <v>231</v>
      </c>
      <c r="CE660" s="4">
        <v>32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>
        <v>66</v>
      </c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</row>
    <row r="661">
      <c r="A661" s="2" t="s">
        <v>3842</v>
      </c>
      <c r="B661" s="2" t="s">
        <v>1186</v>
      </c>
      <c r="C661" s="2" t="s">
        <v>1299</v>
      </c>
      <c r="D661" s="2" t="s">
        <v>1462</v>
      </c>
      <c r="E661" s="2" t="s">
        <v>2563</v>
      </c>
      <c r="F661" s="2" t="s">
        <v>3843</v>
      </c>
      <c r="G661" s="2" t="s">
        <v>3843</v>
      </c>
      <c r="H661" s="2" t="s">
        <v>3843</v>
      </c>
      <c r="I661" s="2" t="s">
        <v>3844</v>
      </c>
      <c r="J661" s="2" t="s">
        <v>658</v>
      </c>
      <c r="K661" s="2" t="s">
        <v>1513</v>
      </c>
      <c r="L661" s="3">
        <v>58.97</v>
      </c>
      <c r="M661" s="3">
        <v>61.92</v>
      </c>
      <c r="N661" s="3">
        <v>129.99</v>
      </c>
      <c r="O661" s="2" t="s">
        <v>243</v>
      </c>
      <c r="P661" s="2" t="s">
        <v>341</v>
      </c>
      <c r="Q661" s="2" t="s">
        <v>237</v>
      </c>
      <c r="R661" s="2" t="s">
        <v>231</v>
      </c>
      <c r="S661" s="2" t="s">
        <v>3845</v>
      </c>
      <c r="T661" s="2" t="s">
        <v>362</v>
      </c>
      <c r="U661" s="2" t="s">
        <v>835</v>
      </c>
      <c r="V661" s="2" t="s">
        <v>3223</v>
      </c>
      <c r="W661" s="2" t="s">
        <v>897</v>
      </c>
      <c r="X661" s="2" t="s">
        <v>971</v>
      </c>
      <c r="Y661" s="2" t="s">
        <v>3846</v>
      </c>
      <c r="Z661" s="4">
        <v>229</v>
      </c>
      <c r="AA661" s="4">
        <f>=ROUNDDOWN(76.3333333333333,0)</f>
      </c>
      <c r="AB661" s="5">
        <v>3</v>
      </c>
      <c r="AC661" s="2" t="s">
        <v>231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231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231</v>
      </c>
      <c r="AW661" s="8" t="s">
        <v>231</v>
      </c>
      <c r="AX661" s="4" t="s">
        <v>231</v>
      </c>
      <c r="AY661" s="8" t="s">
        <v>231</v>
      </c>
      <c r="AZ661" s="7" t="s">
        <v>231</v>
      </c>
      <c r="BA661" s="7" t="s">
        <v>231</v>
      </c>
      <c r="BB661" s="7"/>
      <c r="BC661" s="4" t="s">
        <v>231</v>
      </c>
      <c r="BD661" s="8" t="s">
        <v>231</v>
      </c>
      <c r="BE661" s="4" t="s">
        <v>231</v>
      </c>
      <c r="BF661" s="8" t="s">
        <v>231</v>
      </c>
      <c r="BG661" s="7" t="s">
        <v>231</v>
      </c>
      <c r="BH661" s="7" t="s">
        <v>231</v>
      </c>
      <c r="BI661" s="7"/>
      <c r="BJ661" s="4">
        <v>10</v>
      </c>
      <c r="BK661" s="8">
        <v>370.15</v>
      </c>
      <c r="BL661" s="2" t="s">
        <v>3847</v>
      </c>
      <c r="BM661" s="7"/>
      <c r="BN661" s="7"/>
      <c r="BO661" s="4"/>
      <c r="BP661" s="8"/>
      <c r="BQ661" s="4"/>
      <c r="BR661" s="8"/>
      <c r="BS661" s="7"/>
      <c r="BT661" s="7"/>
      <c r="BU661" s="2" t="s">
        <v>3848</v>
      </c>
      <c r="BV661" s="2" t="s">
        <v>231</v>
      </c>
      <c r="BW661" s="2" t="s">
        <v>231</v>
      </c>
      <c r="BX661" s="2" t="s">
        <v>231</v>
      </c>
      <c r="BY661" s="2" t="s">
        <v>277</v>
      </c>
      <c r="BZ661" s="2" t="s">
        <v>243</v>
      </c>
      <c r="CA661" s="2" t="s">
        <v>3849</v>
      </c>
      <c r="CB661" s="2" t="s">
        <v>3445</v>
      </c>
      <c r="CC661" s="2" t="s">
        <v>244</v>
      </c>
      <c r="CD661" s="2" t="s">
        <v>231</v>
      </c>
      <c r="CE661" s="4">
        <v>229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</row>
    <row r="662">
      <c r="A662" s="2" t="s">
        <v>3850</v>
      </c>
      <c r="B662" s="2" t="s">
        <v>1186</v>
      </c>
      <c r="C662" s="2" t="s">
        <v>1299</v>
      </c>
      <c r="D662" s="2" t="s">
        <v>1462</v>
      </c>
      <c r="E662" s="2" t="s">
        <v>2563</v>
      </c>
      <c r="F662" s="2" t="s">
        <v>3843</v>
      </c>
      <c r="G662" s="2" t="s">
        <v>3843</v>
      </c>
      <c r="H662" s="2" t="s">
        <v>3843</v>
      </c>
      <c r="I662" s="2" t="s">
        <v>3844</v>
      </c>
      <c r="J662" s="2" t="s">
        <v>669</v>
      </c>
      <c r="K662" s="2" t="s">
        <v>1513</v>
      </c>
      <c r="L662" s="3">
        <v>68.11</v>
      </c>
      <c r="M662" s="3">
        <v>71.52</v>
      </c>
      <c r="N662" s="3">
        <v>149.99</v>
      </c>
      <c r="O662" s="2" t="s">
        <v>243</v>
      </c>
      <c r="P662" s="2" t="s">
        <v>341</v>
      </c>
      <c r="Q662" s="2" t="s">
        <v>237</v>
      </c>
      <c r="R662" s="2" t="s">
        <v>231</v>
      </c>
      <c r="S662" s="2" t="s">
        <v>3845</v>
      </c>
      <c r="T662" s="2" t="s">
        <v>362</v>
      </c>
      <c r="U662" s="2" t="s">
        <v>835</v>
      </c>
      <c r="V662" s="2" t="s">
        <v>3223</v>
      </c>
      <c r="W662" s="2" t="s">
        <v>897</v>
      </c>
      <c r="X662" s="2" t="s">
        <v>971</v>
      </c>
      <c r="Y662" s="2" t="s">
        <v>3846</v>
      </c>
      <c r="Z662" s="4">
        <v>166</v>
      </c>
      <c r="AA662" s="4">
        <f>=ROUNDDOWN(27.6666666666667,0)</f>
      </c>
      <c r="AB662" s="5">
        <v>6</v>
      </c>
      <c r="AC662" s="2" t="s">
        <v>231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231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231</v>
      </c>
      <c r="AW662" s="8" t="s">
        <v>231</v>
      </c>
      <c r="AX662" s="4" t="s">
        <v>231</v>
      </c>
      <c r="AY662" s="8" t="s">
        <v>231</v>
      </c>
      <c r="AZ662" s="7" t="s">
        <v>231</v>
      </c>
      <c r="BA662" s="7" t="s">
        <v>231</v>
      </c>
      <c r="BB662" s="7"/>
      <c r="BC662" s="4" t="s">
        <v>231</v>
      </c>
      <c r="BD662" s="8" t="s">
        <v>231</v>
      </c>
      <c r="BE662" s="4" t="s">
        <v>231</v>
      </c>
      <c r="BF662" s="8" t="s">
        <v>231</v>
      </c>
      <c r="BG662" s="7" t="s">
        <v>231</v>
      </c>
      <c r="BH662" s="7" t="s">
        <v>231</v>
      </c>
      <c r="BI662" s="7"/>
      <c r="BJ662" s="4">
        <v>12</v>
      </c>
      <c r="BK662" s="8">
        <v>606.43</v>
      </c>
      <c r="BL662" s="2" t="s">
        <v>3851</v>
      </c>
      <c r="BM662" s="7"/>
      <c r="BN662" s="7"/>
      <c r="BO662" s="4"/>
      <c r="BP662" s="8"/>
      <c r="BQ662" s="4"/>
      <c r="BR662" s="8"/>
      <c r="BS662" s="7"/>
      <c r="BT662" s="7"/>
      <c r="BU662" s="2" t="s">
        <v>3852</v>
      </c>
      <c r="BV662" s="2" t="s">
        <v>231</v>
      </c>
      <c r="BW662" s="2" t="s">
        <v>231</v>
      </c>
      <c r="BX662" s="2" t="s">
        <v>231</v>
      </c>
      <c r="BY662" s="2" t="s">
        <v>277</v>
      </c>
      <c r="BZ662" s="2" t="s">
        <v>243</v>
      </c>
      <c r="CA662" s="2" t="s">
        <v>3849</v>
      </c>
      <c r="CB662" s="2" t="s">
        <v>3853</v>
      </c>
      <c r="CC662" s="2" t="s">
        <v>244</v>
      </c>
      <c r="CD662" s="2" t="s">
        <v>231</v>
      </c>
      <c r="CE662" s="4">
        <v>166</v>
      </c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</row>
    <row r="663">
      <c r="A663" s="2" t="s">
        <v>3854</v>
      </c>
      <c r="B663" s="2" t="s">
        <v>1004</v>
      </c>
      <c r="C663" s="2" t="s">
        <v>867</v>
      </c>
      <c r="D663" s="2" t="s">
        <v>1917</v>
      </c>
      <c r="E663" s="2" t="s">
        <v>1918</v>
      </c>
      <c r="F663" s="2" t="s">
        <v>3855</v>
      </c>
      <c r="G663" s="2" t="s">
        <v>3855</v>
      </c>
      <c r="H663" s="2" t="s">
        <v>3855</v>
      </c>
      <c r="I663" s="2" t="s">
        <v>3856</v>
      </c>
      <c r="J663" s="2" t="s">
        <v>807</v>
      </c>
      <c r="K663" s="2" t="s">
        <v>1146</v>
      </c>
      <c r="L663" s="3">
        <v>85.05</v>
      </c>
      <c r="M663" s="3">
        <v>89.3</v>
      </c>
      <c r="N663" s="3">
        <v>179</v>
      </c>
      <c r="O663" s="2" t="s">
        <v>243</v>
      </c>
      <c r="P663" s="2" t="s">
        <v>1985</v>
      </c>
      <c r="Q663" s="2" t="s">
        <v>237</v>
      </c>
      <c r="R663" s="2" t="s">
        <v>231</v>
      </c>
      <c r="S663" s="2" t="s">
        <v>231</v>
      </c>
      <c r="T663" s="2" t="s">
        <v>231</v>
      </c>
      <c r="U663" s="2" t="s">
        <v>327</v>
      </c>
      <c r="V663" s="2" t="s">
        <v>662</v>
      </c>
      <c r="W663" s="2" t="s">
        <v>792</v>
      </c>
      <c r="X663" s="2" t="s">
        <v>874</v>
      </c>
      <c r="Y663" s="2" t="s">
        <v>3857</v>
      </c>
      <c r="Z663" s="4">
        <v>154</v>
      </c>
      <c r="AA663" s="4">
        <f>=ROUNDDOWN(77,0)</f>
      </c>
      <c r="AB663" s="5">
        <v>2</v>
      </c>
      <c r="AC663" s="2" t="s">
        <v>231</v>
      </c>
      <c r="AD663" s="4"/>
      <c r="AE663" s="4"/>
      <c r="AF663" s="6">
        <v>74</v>
      </c>
      <c r="AG663" s="6"/>
      <c r="AH663" s="7">
        <v>1</v>
      </c>
      <c r="AI663" s="4"/>
      <c r="AJ663" s="4">
        <f>=ROUNDDOWN({0},0)</f>
      </c>
      <c r="AK663" s="5"/>
      <c r="AL663" s="2" t="s">
        <v>231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>
        <v>3</v>
      </c>
      <c r="BK663" s="8">
        <v>314.88</v>
      </c>
      <c r="BL663" s="2" t="s">
        <v>1120</v>
      </c>
      <c r="BM663" s="7"/>
      <c r="BN663" s="7"/>
      <c r="BO663" s="4"/>
      <c r="BP663" s="8"/>
      <c r="BQ663" s="4"/>
      <c r="BR663" s="8"/>
      <c r="BS663" s="7"/>
      <c r="BT663" s="7"/>
      <c r="BU663" s="2" t="s">
        <v>3858</v>
      </c>
      <c r="BV663" s="2" t="s">
        <v>231</v>
      </c>
      <c r="BW663" s="2" t="s">
        <v>231</v>
      </c>
      <c r="BX663" s="2" t="s">
        <v>231</v>
      </c>
      <c r="BY663" s="2" t="s">
        <v>277</v>
      </c>
      <c r="BZ663" s="2" t="s">
        <v>243</v>
      </c>
      <c r="CA663" s="2" t="s">
        <v>3857</v>
      </c>
      <c r="CB663" s="2" t="s">
        <v>3859</v>
      </c>
      <c r="CC663" s="2" t="s">
        <v>244</v>
      </c>
      <c r="CD663" s="2" t="s">
        <v>231</v>
      </c>
      <c r="CE663" s="4"/>
      <c r="CF663" s="4">
        <v>154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</row>
    <row r="664">
      <c r="A664" s="2" t="s">
        <v>3860</v>
      </c>
      <c r="B664" s="2" t="s">
        <v>1186</v>
      </c>
      <c r="C664" s="2" t="s">
        <v>631</v>
      </c>
      <c r="D664" s="2" t="s">
        <v>654</v>
      </c>
      <c r="E664" s="2" t="s">
        <v>1187</v>
      </c>
      <c r="F664" s="2" t="s">
        <v>3861</v>
      </c>
      <c r="G664" s="2" t="s">
        <v>3861</v>
      </c>
      <c r="H664" s="2" t="s">
        <v>3861</v>
      </c>
      <c r="I664" s="2" t="s">
        <v>3862</v>
      </c>
      <c r="J664" s="2" t="s">
        <v>293</v>
      </c>
      <c r="K664" s="2" t="s">
        <v>985</v>
      </c>
      <c r="L664" s="3">
        <v>47.61</v>
      </c>
      <c r="M664" s="3">
        <v>49.99</v>
      </c>
      <c r="N664" s="3">
        <v>99.99</v>
      </c>
      <c r="O664" s="2" t="s">
        <v>243</v>
      </c>
      <c r="P664" s="2" t="s">
        <v>917</v>
      </c>
      <c r="Q664" s="2" t="s">
        <v>237</v>
      </c>
      <c r="R664" s="2" t="s">
        <v>231</v>
      </c>
      <c r="S664" s="2" t="s">
        <v>3863</v>
      </c>
      <c r="T664" s="2" t="s">
        <v>472</v>
      </c>
      <c r="U664" s="2" t="s">
        <v>3864</v>
      </c>
      <c r="V664" s="2" t="s">
        <v>987</v>
      </c>
      <c r="W664" s="2" t="s">
        <v>691</v>
      </c>
      <c r="X664" s="2" t="s">
        <v>231</v>
      </c>
      <c r="Y664" s="2" t="s">
        <v>3865</v>
      </c>
      <c r="Z664" s="4"/>
      <c r="AA664" s="4">
        <f>=ROUNDDOWN({0},0)</f>
      </c>
      <c r="AB664" s="5">
        <v>4.2</v>
      </c>
      <c r="AC664" s="2" t="s">
        <v>231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231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231</v>
      </c>
      <c r="BD664" s="8" t="s">
        <v>231</v>
      </c>
      <c r="BE664" s="4" t="s">
        <v>231</v>
      </c>
      <c r="BF664" s="8" t="s">
        <v>231</v>
      </c>
      <c r="BG664" s="7" t="s">
        <v>231</v>
      </c>
      <c r="BH664" s="7" t="s">
        <v>231</v>
      </c>
      <c r="BI664" s="7"/>
      <c r="BJ664" s="4"/>
      <c r="BK664" s="8"/>
      <c r="BL664" s="2" t="s">
        <v>3866</v>
      </c>
      <c r="BM664" s="7"/>
      <c r="BN664" s="7"/>
      <c r="BO664" s="4"/>
      <c r="BP664" s="8"/>
      <c r="BQ664" s="4"/>
      <c r="BR664" s="8"/>
      <c r="BS664" s="7"/>
      <c r="BT664" s="7"/>
      <c r="BU664" s="2" t="s">
        <v>3867</v>
      </c>
      <c r="BV664" s="2" t="s">
        <v>231</v>
      </c>
      <c r="BW664" s="2" t="s">
        <v>231</v>
      </c>
      <c r="BX664" s="2" t="s">
        <v>231</v>
      </c>
      <c r="BY664" s="2" t="s">
        <v>277</v>
      </c>
      <c r="BZ664" s="2" t="s">
        <v>243</v>
      </c>
      <c r="CA664" s="2" t="s">
        <v>3868</v>
      </c>
      <c r="CB664" s="2" t="s">
        <v>3869</v>
      </c>
      <c r="CC664" s="2" t="s">
        <v>244</v>
      </c>
      <c r="CD664" s="2" t="s">
        <v>231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</row>
    <row r="665">
      <c r="A665" s="2" t="s">
        <v>3870</v>
      </c>
      <c r="B665" s="2" t="s">
        <v>801</v>
      </c>
      <c r="C665" s="2" t="s">
        <v>802</v>
      </c>
      <c r="D665" s="2" t="s">
        <v>3871</v>
      </c>
      <c r="E665" s="2" t="s">
        <v>3872</v>
      </c>
      <c r="F665" s="2" t="s">
        <v>3861</v>
      </c>
      <c r="G665" s="2" t="s">
        <v>3861</v>
      </c>
      <c r="H665" s="2" t="s">
        <v>3861</v>
      </c>
      <c r="I665" s="2" t="s">
        <v>3873</v>
      </c>
      <c r="J665" s="2" t="s">
        <v>807</v>
      </c>
      <c r="K665" s="2" t="s">
        <v>698</v>
      </c>
      <c r="L665" s="3">
        <v>74.1</v>
      </c>
      <c r="M665" s="3">
        <v>77.8</v>
      </c>
      <c r="N665" s="3">
        <v>164.99</v>
      </c>
      <c r="O665" s="2" t="s">
        <v>243</v>
      </c>
      <c r="P665" s="2" t="s">
        <v>270</v>
      </c>
      <c r="Q665" s="2" t="s">
        <v>237</v>
      </c>
      <c r="R665" s="2" t="s">
        <v>231</v>
      </c>
      <c r="S665" s="2" t="s">
        <v>231</v>
      </c>
      <c r="T665" s="2" t="s">
        <v>231</v>
      </c>
      <c r="U665" s="2" t="s">
        <v>791</v>
      </c>
      <c r="V665" s="2" t="s">
        <v>662</v>
      </c>
      <c r="W665" s="2" t="s">
        <v>676</v>
      </c>
      <c r="X665" s="2" t="s">
        <v>792</v>
      </c>
      <c r="Y665" s="2" t="s">
        <v>1422</v>
      </c>
      <c r="Z665" s="4">
        <v>63</v>
      </c>
      <c r="AA665" s="4">
        <f>=ROUNDDOWN(15.75,0)</f>
      </c>
      <c r="AB665" s="5">
        <v>4</v>
      </c>
      <c r="AC665" s="2" t="s">
        <v>3874</v>
      </c>
      <c r="AD665" s="4">
        <v>100</v>
      </c>
      <c r="AE665" s="4">
        <v>100</v>
      </c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231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231</v>
      </c>
      <c r="BD665" s="8" t="s">
        <v>231</v>
      </c>
      <c r="BE665" s="4" t="s">
        <v>231</v>
      </c>
      <c r="BF665" s="8" t="s">
        <v>231</v>
      </c>
      <c r="BG665" s="7" t="s">
        <v>231</v>
      </c>
      <c r="BH665" s="7" t="s">
        <v>231</v>
      </c>
      <c r="BI665" s="7"/>
      <c r="BJ665" s="4">
        <v>12</v>
      </c>
      <c r="BK665" s="8">
        <v>824.47</v>
      </c>
      <c r="BL665" s="2" t="s">
        <v>3875</v>
      </c>
      <c r="BM665" s="7"/>
      <c r="BN665" s="7"/>
      <c r="BO665" s="4"/>
      <c r="BP665" s="8"/>
      <c r="BQ665" s="4"/>
      <c r="BR665" s="8"/>
      <c r="BS665" s="7"/>
      <c r="BT665" s="7"/>
      <c r="BU665" s="2" t="s">
        <v>3876</v>
      </c>
      <c r="BV665" s="2" t="s">
        <v>231</v>
      </c>
      <c r="BW665" s="2" t="s">
        <v>231</v>
      </c>
      <c r="BX665" s="2" t="s">
        <v>231</v>
      </c>
      <c r="BY665" s="2" t="s">
        <v>277</v>
      </c>
      <c r="BZ665" s="2" t="s">
        <v>243</v>
      </c>
      <c r="CA665" s="2" t="s">
        <v>1425</v>
      </c>
      <c r="CB665" s="2" t="s">
        <v>3446</v>
      </c>
      <c r="CC665" s="2" t="s">
        <v>244</v>
      </c>
      <c r="CD665" s="2" t="s">
        <v>231</v>
      </c>
      <c r="CE665" s="4"/>
      <c r="CF665" s="4">
        <v>63</v>
      </c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>
        <v>100</v>
      </c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</row>
    <row r="666">
      <c r="A666" s="2" t="s">
        <v>3877</v>
      </c>
      <c r="B666" s="2" t="s">
        <v>1186</v>
      </c>
      <c r="C666" s="2" t="s">
        <v>631</v>
      </c>
      <c r="D666" s="2" t="s">
        <v>654</v>
      </c>
      <c r="E666" s="2" t="s">
        <v>1187</v>
      </c>
      <c r="F666" s="2" t="s">
        <v>3861</v>
      </c>
      <c r="G666" s="2" t="s">
        <v>3861</v>
      </c>
      <c r="H666" s="2" t="s">
        <v>3861</v>
      </c>
      <c r="I666" s="2" t="s">
        <v>3862</v>
      </c>
      <c r="J666" s="2" t="s">
        <v>293</v>
      </c>
      <c r="K666" s="2" t="s">
        <v>253</v>
      </c>
      <c r="L666" s="3">
        <v>47.61</v>
      </c>
      <c r="M666" s="3">
        <v>49.99</v>
      </c>
      <c r="N666" s="3">
        <v>99.99</v>
      </c>
      <c r="O666" s="2" t="s">
        <v>243</v>
      </c>
      <c r="P666" s="2" t="s">
        <v>341</v>
      </c>
      <c r="Q666" s="2" t="s">
        <v>237</v>
      </c>
      <c r="R666" s="2" t="s">
        <v>231</v>
      </c>
      <c r="S666" s="2" t="s">
        <v>3878</v>
      </c>
      <c r="T666" s="2" t="s">
        <v>472</v>
      </c>
      <c r="U666" s="2" t="s">
        <v>3864</v>
      </c>
      <c r="V666" s="2" t="s">
        <v>987</v>
      </c>
      <c r="W666" s="2" t="s">
        <v>691</v>
      </c>
      <c r="X666" s="2" t="s">
        <v>231</v>
      </c>
      <c r="Y666" s="2" t="s">
        <v>3879</v>
      </c>
      <c r="Z666" s="4"/>
      <c r="AA666" s="4">
        <f>=ROUNDDOWN({0},0)</f>
      </c>
      <c r="AB666" s="5">
        <v>17</v>
      </c>
      <c r="AC666" s="2" t="s">
        <v>231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231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231</v>
      </c>
      <c r="AW666" s="8" t="s">
        <v>231</v>
      </c>
      <c r="AX666" s="4" t="s">
        <v>231</v>
      </c>
      <c r="AY666" s="8" t="s">
        <v>231</v>
      </c>
      <c r="AZ666" s="7" t="s">
        <v>231</v>
      </c>
      <c r="BA666" s="7" t="s">
        <v>231</v>
      </c>
      <c r="BB666" s="7"/>
      <c r="BC666" s="4" t="s">
        <v>231</v>
      </c>
      <c r="BD666" s="8" t="s">
        <v>231</v>
      </c>
      <c r="BE666" s="4" t="s">
        <v>231</v>
      </c>
      <c r="BF666" s="8" t="s">
        <v>231</v>
      </c>
      <c r="BG666" s="7" t="s">
        <v>231</v>
      </c>
      <c r="BH666" s="7" t="s">
        <v>231</v>
      </c>
      <c r="BI666" s="7"/>
      <c r="BJ666" s="4"/>
      <c r="BK666" s="8"/>
      <c r="BL666" s="2" t="s">
        <v>843</v>
      </c>
      <c r="BM666" s="7"/>
      <c r="BN666" s="7"/>
      <c r="BO666" s="4"/>
      <c r="BP666" s="8"/>
      <c r="BQ666" s="4"/>
      <c r="BR666" s="8"/>
      <c r="BS666" s="7"/>
      <c r="BT666" s="7"/>
      <c r="BU666" s="2" t="s">
        <v>3880</v>
      </c>
      <c r="BV666" s="2" t="s">
        <v>231</v>
      </c>
      <c r="BW666" s="2" t="s">
        <v>231</v>
      </c>
      <c r="BX666" s="2" t="s">
        <v>231</v>
      </c>
      <c r="BY666" s="2" t="s">
        <v>277</v>
      </c>
      <c r="BZ666" s="2" t="s">
        <v>243</v>
      </c>
      <c r="CA666" s="2" t="s">
        <v>3868</v>
      </c>
      <c r="CB666" s="2" t="s">
        <v>1716</v>
      </c>
      <c r="CC666" s="2" t="s">
        <v>244</v>
      </c>
      <c r="CD666" s="2" t="s">
        <v>231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</row>
    <row r="667">
      <c r="A667" s="2" t="s">
        <v>3881</v>
      </c>
      <c r="B667" s="2" t="s">
        <v>1186</v>
      </c>
      <c r="C667" s="2" t="s">
        <v>631</v>
      </c>
      <c r="D667" s="2" t="s">
        <v>654</v>
      </c>
      <c r="E667" s="2" t="s">
        <v>1187</v>
      </c>
      <c r="F667" s="2" t="s">
        <v>3861</v>
      </c>
      <c r="G667" s="2" t="s">
        <v>3861</v>
      </c>
      <c r="H667" s="2" t="s">
        <v>3861</v>
      </c>
      <c r="I667" s="2" t="s">
        <v>3862</v>
      </c>
      <c r="J667" s="2" t="s">
        <v>302</v>
      </c>
      <c r="K667" s="2" t="s">
        <v>253</v>
      </c>
      <c r="L667" s="3">
        <v>52.38</v>
      </c>
      <c r="M667" s="3">
        <v>55</v>
      </c>
      <c r="N667" s="3">
        <v>109.99</v>
      </c>
      <c r="O667" s="2" t="s">
        <v>243</v>
      </c>
      <c r="P667" s="2" t="s">
        <v>341</v>
      </c>
      <c r="Q667" s="2" t="s">
        <v>237</v>
      </c>
      <c r="R667" s="2" t="s">
        <v>231</v>
      </c>
      <c r="S667" s="2" t="s">
        <v>3878</v>
      </c>
      <c r="T667" s="2" t="s">
        <v>472</v>
      </c>
      <c r="U667" s="2" t="s">
        <v>3864</v>
      </c>
      <c r="V667" s="2" t="s">
        <v>987</v>
      </c>
      <c r="W667" s="2" t="s">
        <v>691</v>
      </c>
      <c r="X667" s="2" t="s">
        <v>231</v>
      </c>
      <c r="Y667" s="2" t="s">
        <v>3537</v>
      </c>
      <c r="Z667" s="4"/>
      <c r="AA667" s="4">
        <f>=ROUNDDOWN({0},0)</f>
      </c>
      <c r="AB667" s="5">
        <v>7.9</v>
      </c>
      <c r="AC667" s="2" t="s">
        <v>231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231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231</v>
      </c>
      <c r="AW667" s="8" t="s">
        <v>231</v>
      </c>
      <c r="AX667" s="4" t="s">
        <v>231</v>
      </c>
      <c r="AY667" s="8" t="s">
        <v>231</v>
      </c>
      <c r="AZ667" s="7" t="s">
        <v>231</v>
      </c>
      <c r="BA667" s="7" t="s">
        <v>231</v>
      </c>
      <c r="BB667" s="7"/>
      <c r="BC667" s="4" t="s">
        <v>231</v>
      </c>
      <c r="BD667" s="8" t="s">
        <v>231</v>
      </c>
      <c r="BE667" s="4" t="s">
        <v>231</v>
      </c>
      <c r="BF667" s="8" t="s">
        <v>231</v>
      </c>
      <c r="BG667" s="7" t="s">
        <v>231</v>
      </c>
      <c r="BH667" s="7" t="s">
        <v>231</v>
      </c>
      <c r="BI667" s="7"/>
      <c r="BJ667" s="4"/>
      <c r="BK667" s="8"/>
      <c r="BL667" s="2" t="s">
        <v>3882</v>
      </c>
      <c r="BM667" s="7"/>
      <c r="BN667" s="7"/>
      <c r="BO667" s="4"/>
      <c r="BP667" s="8"/>
      <c r="BQ667" s="4"/>
      <c r="BR667" s="8"/>
      <c r="BS667" s="7"/>
      <c r="BT667" s="7"/>
      <c r="BU667" s="2" t="s">
        <v>3883</v>
      </c>
      <c r="BV667" s="2" t="s">
        <v>231</v>
      </c>
      <c r="BW667" s="2" t="s">
        <v>231</v>
      </c>
      <c r="BX667" s="2" t="s">
        <v>231</v>
      </c>
      <c r="BY667" s="2" t="s">
        <v>277</v>
      </c>
      <c r="BZ667" s="2" t="s">
        <v>243</v>
      </c>
      <c r="CA667" s="2" t="s">
        <v>3868</v>
      </c>
      <c r="CB667" s="2" t="s">
        <v>2093</v>
      </c>
      <c r="CC667" s="2" t="s">
        <v>244</v>
      </c>
      <c r="CD667" s="2" t="s">
        <v>231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</row>
    <row r="668">
      <c r="A668" s="2" t="s">
        <v>3884</v>
      </c>
      <c r="B668" s="2" t="s">
        <v>226</v>
      </c>
      <c r="C668" s="2" t="s">
        <v>631</v>
      </c>
      <c r="D668" s="2" t="s">
        <v>3885</v>
      </c>
      <c r="E668" s="2" t="s">
        <v>3886</v>
      </c>
      <c r="F668" s="2" t="s">
        <v>3887</v>
      </c>
      <c r="G668" s="2" t="s">
        <v>3887</v>
      </c>
      <c r="H668" s="2" t="s">
        <v>3887</v>
      </c>
      <c r="I668" s="2" t="s">
        <v>3888</v>
      </c>
      <c r="J668" s="2" t="s">
        <v>318</v>
      </c>
      <c r="K668" s="2" t="s">
        <v>319</v>
      </c>
      <c r="L668" s="3">
        <v>42.85</v>
      </c>
      <c r="M668" s="3">
        <v>44.99</v>
      </c>
      <c r="N668" s="3">
        <v>89.99</v>
      </c>
      <c r="O668" s="2" t="s">
        <v>243</v>
      </c>
      <c r="P668" s="2" t="s">
        <v>270</v>
      </c>
      <c r="Q668" s="2" t="s">
        <v>237</v>
      </c>
      <c r="R668" s="2" t="s">
        <v>231</v>
      </c>
      <c r="S668" s="2" t="s">
        <v>3889</v>
      </c>
      <c r="T668" s="2" t="s">
        <v>231</v>
      </c>
      <c r="U668" s="2" t="s">
        <v>327</v>
      </c>
      <c r="V668" s="2" t="s">
        <v>239</v>
      </c>
      <c r="W668" s="2" t="s">
        <v>273</v>
      </c>
      <c r="X668" s="2" t="s">
        <v>231</v>
      </c>
      <c r="Y668" s="2" t="s">
        <v>2509</v>
      </c>
      <c r="Z668" s="4">
        <v>196</v>
      </c>
      <c r="AA668" s="4">
        <f>=ROUNDDOWN(24.5,0)</f>
      </c>
      <c r="AB668" s="5">
        <v>8</v>
      </c>
      <c r="AC668" s="2" t="s">
        <v>1537</v>
      </c>
      <c r="AD668" s="4">
        <v>180</v>
      </c>
      <c r="AE668" s="4">
        <v>420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231</v>
      </c>
      <c r="AW668" s="8" t="s">
        <v>231</v>
      </c>
      <c r="AX668" s="4" t="s">
        <v>231</v>
      </c>
      <c r="AY668" s="8" t="s">
        <v>231</v>
      </c>
      <c r="AZ668" s="7" t="s">
        <v>231</v>
      </c>
      <c r="BA668" s="7" t="s">
        <v>231</v>
      </c>
      <c r="BB668" s="7"/>
      <c r="BC668" s="4" t="s">
        <v>231</v>
      </c>
      <c r="BD668" s="8" t="s">
        <v>231</v>
      </c>
      <c r="BE668" s="4" t="s">
        <v>231</v>
      </c>
      <c r="BF668" s="8" t="s">
        <v>231</v>
      </c>
      <c r="BG668" s="7" t="s">
        <v>231</v>
      </c>
      <c r="BH668" s="7" t="s">
        <v>231</v>
      </c>
      <c r="BI668" s="7"/>
      <c r="BJ668" s="4">
        <v>8</v>
      </c>
      <c r="BK668" s="8">
        <v>388.12</v>
      </c>
      <c r="BL668" s="2" t="s">
        <v>3890</v>
      </c>
      <c r="BM668" s="7"/>
      <c r="BN668" s="7"/>
      <c r="BO668" s="4"/>
      <c r="BP668" s="8"/>
      <c r="BQ668" s="4"/>
      <c r="BR668" s="8"/>
      <c r="BS668" s="7"/>
      <c r="BT668" s="7"/>
      <c r="BU668" s="2" t="s">
        <v>3891</v>
      </c>
      <c r="BV668" s="2" t="s">
        <v>231</v>
      </c>
      <c r="BW668" s="2" t="s">
        <v>231</v>
      </c>
      <c r="BX668" s="2" t="s">
        <v>231</v>
      </c>
      <c r="BY668" s="2" t="s">
        <v>277</v>
      </c>
      <c r="BZ668" s="2" t="s">
        <v>243</v>
      </c>
      <c r="CA668" s="2" t="s">
        <v>3892</v>
      </c>
      <c r="CB668" s="2" t="s">
        <v>1587</v>
      </c>
      <c r="CC668" s="2" t="s">
        <v>244</v>
      </c>
      <c r="CD668" s="2" t="s">
        <v>231</v>
      </c>
      <c r="CE668" s="4">
        <v>196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>
        <v>180</v>
      </c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>
        <v>240</v>
      </c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</row>
    <row r="669">
      <c r="A669" s="2" t="s">
        <v>3893</v>
      </c>
      <c r="B669" s="2" t="s">
        <v>226</v>
      </c>
      <c r="C669" s="2" t="s">
        <v>631</v>
      </c>
      <c r="D669" s="2" t="s">
        <v>3885</v>
      </c>
      <c r="E669" s="2" t="s">
        <v>3886</v>
      </c>
      <c r="F669" s="2" t="s">
        <v>3887</v>
      </c>
      <c r="G669" s="2" t="s">
        <v>3887</v>
      </c>
      <c r="H669" s="2" t="s">
        <v>3887</v>
      </c>
      <c r="I669" s="2" t="s">
        <v>3888</v>
      </c>
      <c r="J669" s="2" t="s">
        <v>281</v>
      </c>
      <c r="K669" s="2" t="s">
        <v>319</v>
      </c>
      <c r="L669" s="3">
        <v>47.61</v>
      </c>
      <c r="M669" s="3">
        <v>49.99</v>
      </c>
      <c r="N669" s="3">
        <v>99.99</v>
      </c>
      <c r="O669" s="2" t="s">
        <v>243</v>
      </c>
      <c r="P669" s="2" t="s">
        <v>270</v>
      </c>
      <c r="Q669" s="2" t="s">
        <v>237</v>
      </c>
      <c r="R669" s="2" t="s">
        <v>231</v>
      </c>
      <c r="S669" s="2" t="s">
        <v>3889</v>
      </c>
      <c r="T669" s="2" t="s">
        <v>231</v>
      </c>
      <c r="U669" s="2" t="s">
        <v>327</v>
      </c>
      <c r="V669" s="2" t="s">
        <v>239</v>
      </c>
      <c r="W669" s="2" t="s">
        <v>273</v>
      </c>
      <c r="X669" s="2" t="s">
        <v>231</v>
      </c>
      <c r="Y669" s="2" t="s">
        <v>2509</v>
      </c>
      <c r="Z669" s="4">
        <v>403</v>
      </c>
      <c r="AA669" s="4">
        <f>=ROUNDDOWN(25.1875,0)</f>
      </c>
      <c r="AB669" s="5">
        <v>16</v>
      </c>
      <c r="AC669" s="2" t="s">
        <v>1537</v>
      </c>
      <c r="AD669" s="4">
        <v>240</v>
      </c>
      <c r="AE669" s="4">
        <v>430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231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231</v>
      </c>
      <c r="AW669" s="8" t="s">
        <v>231</v>
      </c>
      <c r="AX669" s="4" t="s">
        <v>231</v>
      </c>
      <c r="AY669" s="8" t="s">
        <v>231</v>
      </c>
      <c r="AZ669" s="7" t="s">
        <v>231</v>
      </c>
      <c r="BA669" s="7" t="s">
        <v>231</v>
      </c>
      <c r="BB669" s="7"/>
      <c r="BC669" s="4" t="s">
        <v>231</v>
      </c>
      <c r="BD669" s="8" t="s">
        <v>231</v>
      </c>
      <c r="BE669" s="4" t="s">
        <v>231</v>
      </c>
      <c r="BF669" s="8" t="s">
        <v>231</v>
      </c>
      <c r="BG669" s="7" t="s">
        <v>231</v>
      </c>
      <c r="BH669" s="7" t="s">
        <v>231</v>
      </c>
      <c r="BI669" s="7"/>
      <c r="BJ669" s="4">
        <v>11</v>
      </c>
      <c r="BK669" s="8">
        <v>598.47</v>
      </c>
      <c r="BL669" s="2" t="s">
        <v>3894</v>
      </c>
      <c r="BM669" s="7"/>
      <c r="BN669" s="7"/>
      <c r="BO669" s="4"/>
      <c r="BP669" s="8"/>
      <c r="BQ669" s="4"/>
      <c r="BR669" s="8"/>
      <c r="BS669" s="7"/>
      <c r="BT669" s="7"/>
      <c r="BU669" s="2" t="s">
        <v>3895</v>
      </c>
      <c r="BV669" s="2" t="s">
        <v>231</v>
      </c>
      <c r="BW669" s="2" t="s">
        <v>231</v>
      </c>
      <c r="BX669" s="2" t="s">
        <v>231</v>
      </c>
      <c r="BY669" s="2" t="s">
        <v>277</v>
      </c>
      <c r="BZ669" s="2" t="s">
        <v>243</v>
      </c>
      <c r="CA669" s="2" t="s">
        <v>3892</v>
      </c>
      <c r="CB669" s="2" t="s">
        <v>3896</v>
      </c>
      <c r="CC669" s="2" t="s">
        <v>244</v>
      </c>
      <c r="CD669" s="2" t="s">
        <v>231</v>
      </c>
      <c r="CE669" s="4">
        <v>403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>
        <v>240</v>
      </c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>
        <v>190</v>
      </c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</row>
    <row r="670">
      <c r="A670" s="2" t="s">
        <v>3897</v>
      </c>
      <c r="B670" s="2" t="s">
        <v>226</v>
      </c>
      <c r="C670" s="2" t="s">
        <v>631</v>
      </c>
      <c r="D670" s="2" t="s">
        <v>3885</v>
      </c>
      <c r="E670" s="2" t="s">
        <v>3886</v>
      </c>
      <c r="F670" s="2" t="s">
        <v>3887</v>
      </c>
      <c r="G670" s="2" t="s">
        <v>3887</v>
      </c>
      <c r="H670" s="2" t="s">
        <v>3887</v>
      </c>
      <c r="I670" s="2" t="s">
        <v>3888</v>
      </c>
      <c r="J670" s="2" t="s">
        <v>302</v>
      </c>
      <c r="K670" s="2" t="s">
        <v>319</v>
      </c>
      <c r="L670" s="3">
        <v>71.42</v>
      </c>
      <c r="M670" s="3">
        <v>74.99</v>
      </c>
      <c r="N670" s="3">
        <v>149.99</v>
      </c>
      <c r="O670" s="2" t="s">
        <v>243</v>
      </c>
      <c r="P670" s="2" t="s">
        <v>270</v>
      </c>
      <c r="Q670" s="2" t="s">
        <v>237</v>
      </c>
      <c r="R670" s="2" t="s">
        <v>231</v>
      </c>
      <c r="S670" s="2" t="s">
        <v>3889</v>
      </c>
      <c r="T670" s="2" t="s">
        <v>231</v>
      </c>
      <c r="U670" s="2" t="s">
        <v>327</v>
      </c>
      <c r="V670" s="2" t="s">
        <v>239</v>
      </c>
      <c r="W670" s="2" t="s">
        <v>273</v>
      </c>
      <c r="X670" s="2" t="s">
        <v>231</v>
      </c>
      <c r="Y670" s="2" t="s">
        <v>2509</v>
      </c>
      <c r="Z670" s="4"/>
      <c r="AA670" s="4">
        <f>=ROUNDDOWN({0},0)</f>
      </c>
      <c r="AB670" s="5">
        <v>82</v>
      </c>
      <c r="AC670" s="2" t="s">
        <v>3898</v>
      </c>
      <c r="AD670" s="4">
        <v>550</v>
      </c>
      <c r="AE670" s="4">
        <v>2520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231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231</v>
      </c>
      <c r="AW670" s="8" t="s">
        <v>231</v>
      </c>
      <c r="AX670" s="4" t="s">
        <v>231</v>
      </c>
      <c r="AY670" s="8" t="s">
        <v>231</v>
      </c>
      <c r="AZ670" s="7" t="s">
        <v>231</v>
      </c>
      <c r="BA670" s="7" t="s">
        <v>231</v>
      </c>
      <c r="BB670" s="7"/>
      <c r="BC670" s="4" t="s">
        <v>231</v>
      </c>
      <c r="BD670" s="8" t="s">
        <v>231</v>
      </c>
      <c r="BE670" s="4" t="s">
        <v>231</v>
      </c>
      <c r="BF670" s="8" t="s">
        <v>231</v>
      </c>
      <c r="BG670" s="7" t="s">
        <v>231</v>
      </c>
      <c r="BH670" s="7" t="s">
        <v>231</v>
      </c>
      <c r="BI670" s="7"/>
      <c r="BJ670" s="4"/>
      <c r="BK670" s="8"/>
      <c r="BL670" s="2" t="s">
        <v>231</v>
      </c>
      <c r="BM670" s="7"/>
      <c r="BN670" s="7"/>
      <c r="BO670" s="4"/>
      <c r="BP670" s="8"/>
      <c r="BQ670" s="4"/>
      <c r="BR670" s="8"/>
      <c r="BS670" s="7"/>
      <c r="BT670" s="7"/>
      <c r="BU670" s="2" t="s">
        <v>3899</v>
      </c>
      <c r="BV670" s="2" t="s">
        <v>231</v>
      </c>
      <c r="BW670" s="2" t="s">
        <v>231</v>
      </c>
      <c r="BX670" s="2" t="s">
        <v>231</v>
      </c>
      <c r="BY670" s="2" t="s">
        <v>277</v>
      </c>
      <c r="BZ670" s="2" t="s">
        <v>243</v>
      </c>
      <c r="CA670" s="2" t="s">
        <v>3892</v>
      </c>
      <c r="CB670" s="2" t="s">
        <v>2409</v>
      </c>
      <c r="CC670" s="2" t="s">
        <v>244</v>
      </c>
      <c r="CD670" s="2" t="s">
        <v>231</v>
      </c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>
        <v>550</v>
      </c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>
        <v>1320</v>
      </c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>
        <v>650</v>
      </c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</row>
    <row r="671">
      <c r="A671" s="2" t="s">
        <v>3900</v>
      </c>
      <c r="B671" s="2" t="s">
        <v>262</v>
      </c>
      <c r="C671" s="2" t="s">
        <v>1548</v>
      </c>
      <c r="D671" s="2" t="s">
        <v>1624</v>
      </c>
      <c r="E671" s="2" t="s">
        <v>1625</v>
      </c>
      <c r="F671" s="2" t="s">
        <v>3901</v>
      </c>
      <c r="G671" s="2" t="s">
        <v>3901</v>
      </c>
      <c r="H671" s="2" t="s">
        <v>3901</v>
      </c>
      <c r="I671" s="2" t="s">
        <v>3902</v>
      </c>
      <c r="J671" s="2" t="s">
        <v>1554</v>
      </c>
      <c r="K671" s="2" t="s">
        <v>253</v>
      </c>
      <c r="L671" s="3">
        <v>15.33</v>
      </c>
      <c r="M671" s="3">
        <v>16.1</v>
      </c>
      <c r="N671" s="3">
        <v>34.99</v>
      </c>
      <c r="O671" s="2" t="s">
        <v>243</v>
      </c>
      <c r="P671" s="2" t="s">
        <v>236</v>
      </c>
      <c r="Q671" s="2" t="s">
        <v>237</v>
      </c>
      <c r="R671" s="2" t="s">
        <v>231</v>
      </c>
      <c r="S671" s="2" t="s">
        <v>3903</v>
      </c>
      <c r="T671" s="2" t="s">
        <v>3904</v>
      </c>
      <c r="U671" s="2" t="s">
        <v>327</v>
      </c>
      <c r="V671" s="2" t="s">
        <v>239</v>
      </c>
      <c r="W671" s="2" t="s">
        <v>273</v>
      </c>
      <c r="X671" s="2" t="s">
        <v>231</v>
      </c>
      <c r="Y671" s="2" t="s">
        <v>231</v>
      </c>
      <c r="Z671" s="4"/>
      <c r="AA671" s="4">
        <f>=ROUNDDOWN({0},0)</f>
      </c>
      <c r="AB671" s="5"/>
      <c r="AC671" s="2" t="s">
        <v>1315</v>
      </c>
      <c r="AD671" s="4">
        <v>300</v>
      </c>
      <c r="AE671" s="4">
        <v>778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231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 t="s">
        <v>231</v>
      </c>
      <c r="BD671" s="8" t="s">
        <v>231</v>
      </c>
      <c r="BE671" s="4" t="s">
        <v>231</v>
      </c>
      <c r="BF671" s="8" t="s">
        <v>231</v>
      </c>
      <c r="BG671" s="7" t="s">
        <v>231</v>
      </c>
      <c r="BH671" s="7" t="s">
        <v>231</v>
      </c>
      <c r="BI671" s="7"/>
      <c r="BJ671" s="4"/>
      <c r="BK671" s="8"/>
      <c r="BL671" s="2" t="s">
        <v>231</v>
      </c>
      <c r="BM671" s="7"/>
      <c r="BN671" s="7"/>
      <c r="BO671" s="4"/>
      <c r="BP671" s="8"/>
      <c r="BQ671" s="4"/>
      <c r="BR671" s="8"/>
      <c r="BS671" s="7"/>
      <c r="BT671" s="7"/>
      <c r="BU671" s="2" t="s">
        <v>241</v>
      </c>
      <c r="BV671" s="2" t="s">
        <v>231</v>
      </c>
      <c r="BW671" s="2" t="s">
        <v>231</v>
      </c>
      <c r="BX671" s="2" t="s">
        <v>241</v>
      </c>
      <c r="BY671" s="2" t="s">
        <v>242</v>
      </c>
      <c r="BZ671" s="2" t="s">
        <v>243</v>
      </c>
      <c r="CA671" s="2" t="s">
        <v>231</v>
      </c>
      <c r="CB671" s="2" t="s">
        <v>231</v>
      </c>
      <c r="CC671" s="2" t="s">
        <v>244</v>
      </c>
      <c r="CD671" s="2" t="s">
        <v>231</v>
      </c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>
        <v>300</v>
      </c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>
        <v>478</v>
      </c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</row>
    <row r="672">
      <c r="A672" s="2" t="s">
        <v>3905</v>
      </c>
      <c r="B672" s="2" t="s">
        <v>262</v>
      </c>
      <c r="C672" s="2" t="s">
        <v>1548</v>
      </c>
      <c r="D672" s="2" t="s">
        <v>1624</v>
      </c>
      <c r="E672" s="2" t="s">
        <v>1625</v>
      </c>
      <c r="F672" s="2" t="s">
        <v>3901</v>
      </c>
      <c r="G672" s="2" t="s">
        <v>3901</v>
      </c>
      <c r="H672" s="2" t="s">
        <v>3901</v>
      </c>
      <c r="I672" s="2" t="s">
        <v>3902</v>
      </c>
      <c r="J672" s="2" t="s">
        <v>1554</v>
      </c>
      <c r="K672" s="2" t="s">
        <v>306</v>
      </c>
      <c r="L672" s="3">
        <v>15.33</v>
      </c>
      <c r="M672" s="3">
        <v>16.1</v>
      </c>
      <c r="N672" s="3">
        <v>34.99</v>
      </c>
      <c r="O672" s="2" t="s">
        <v>243</v>
      </c>
      <c r="P672" s="2" t="s">
        <v>236</v>
      </c>
      <c r="Q672" s="2" t="s">
        <v>237</v>
      </c>
      <c r="R672" s="2" t="s">
        <v>231</v>
      </c>
      <c r="S672" s="2" t="s">
        <v>3906</v>
      </c>
      <c r="T672" s="2" t="s">
        <v>3904</v>
      </c>
      <c r="U672" s="2" t="s">
        <v>327</v>
      </c>
      <c r="V672" s="2" t="s">
        <v>239</v>
      </c>
      <c r="W672" s="2" t="s">
        <v>273</v>
      </c>
      <c r="X672" s="2" t="s">
        <v>231</v>
      </c>
      <c r="Y672" s="2" t="s">
        <v>231</v>
      </c>
      <c r="Z672" s="4"/>
      <c r="AA672" s="4">
        <f>=ROUNDDOWN({0},0)</f>
      </c>
      <c r="AB672" s="5"/>
      <c r="AC672" s="2" t="s">
        <v>1315</v>
      </c>
      <c r="AD672" s="4">
        <v>300</v>
      </c>
      <c r="AE672" s="4">
        <v>769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231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231</v>
      </c>
      <c r="BD672" s="8" t="s">
        <v>231</v>
      </c>
      <c r="BE672" s="4" t="s">
        <v>231</v>
      </c>
      <c r="BF672" s="8" t="s">
        <v>231</v>
      </c>
      <c r="BG672" s="7" t="s">
        <v>231</v>
      </c>
      <c r="BH672" s="7" t="s">
        <v>231</v>
      </c>
      <c r="BI672" s="7"/>
      <c r="BJ672" s="4"/>
      <c r="BK672" s="8"/>
      <c r="BL672" s="2" t="s">
        <v>231</v>
      </c>
      <c r="BM672" s="7"/>
      <c r="BN672" s="7"/>
      <c r="BO672" s="4"/>
      <c r="BP672" s="8"/>
      <c r="BQ672" s="4"/>
      <c r="BR672" s="8"/>
      <c r="BS672" s="7"/>
      <c r="BT672" s="7"/>
      <c r="BU672" s="2" t="s">
        <v>241</v>
      </c>
      <c r="BV672" s="2" t="s">
        <v>231</v>
      </c>
      <c r="BW672" s="2" t="s">
        <v>231</v>
      </c>
      <c r="BX672" s="2" t="s">
        <v>241</v>
      </c>
      <c r="BY672" s="2" t="s">
        <v>242</v>
      </c>
      <c r="BZ672" s="2" t="s">
        <v>243</v>
      </c>
      <c r="CA672" s="2" t="s">
        <v>231</v>
      </c>
      <c r="CB672" s="2" t="s">
        <v>231</v>
      </c>
      <c r="CC672" s="2" t="s">
        <v>244</v>
      </c>
      <c r="CD672" s="2" t="s">
        <v>231</v>
      </c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>
        <v>300</v>
      </c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>
        <v>469</v>
      </c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</row>
    <row r="673">
      <c r="A673" s="2" t="s">
        <v>3907</v>
      </c>
      <c r="B673" s="2" t="s">
        <v>262</v>
      </c>
      <c r="C673" s="2" t="s">
        <v>1548</v>
      </c>
      <c r="D673" s="2" t="s">
        <v>1624</v>
      </c>
      <c r="E673" s="2" t="s">
        <v>1625</v>
      </c>
      <c r="F673" s="2" t="s">
        <v>3901</v>
      </c>
      <c r="G673" s="2" t="s">
        <v>3901</v>
      </c>
      <c r="H673" s="2" t="s">
        <v>3901</v>
      </c>
      <c r="I673" s="2" t="s">
        <v>3902</v>
      </c>
      <c r="J673" s="2" t="s">
        <v>1554</v>
      </c>
      <c r="K673" s="2" t="s">
        <v>255</v>
      </c>
      <c r="L673" s="3">
        <v>15.33</v>
      </c>
      <c r="M673" s="3">
        <v>16.1</v>
      </c>
      <c r="N673" s="3">
        <v>34.99</v>
      </c>
      <c r="O673" s="2" t="s">
        <v>243</v>
      </c>
      <c r="P673" s="2" t="s">
        <v>236</v>
      </c>
      <c r="Q673" s="2" t="s">
        <v>237</v>
      </c>
      <c r="R673" s="2" t="s">
        <v>231</v>
      </c>
      <c r="S673" s="2" t="s">
        <v>3908</v>
      </c>
      <c r="T673" s="2" t="s">
        <v>3904</v>
      </c>
      <c r="U673" s="2" t="s">
        <v>327</v>
      </c>
      <c r="V673" s="2" t="s">
        <v>239</v>
      </c>
      <c r="W673" s="2" t="s">
        <v>273</v>
      </c>
      <c r="X673" s="2" t="s">
        <v>231</v>
      </c>
      <c r="Y673" s="2" t="s">
        <v>231</v>
      </c>
      <c r="Z673" s="4"/>
      <c r="AA673" s="4">
        <f>=ROUNDDOWN({0},0)</f>
      </c>
      <c r="AB673" s="5"/>
      <c r="AC673" s="2" t="s">
        <v>1315</v>
      </c>
      <c r="AD673" s="4">
        <v>300</v>
      </c>
      <c r="AE673" s="4">
        <v>780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231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231</v>
      </c>
      <c r="BD673" s="8" t="s">
        <v>231</v>
      </c>
      <c r="BE673" s="4" t="s">
        <v>231</v>
      </c>
      <c r="BF673" s="8" t="s">
        <v>231</v>
      </c>
      <c r="BG673" s="7" t="s">
        <v>231</v>
      </c>
      <c r="BH673" s="7" t="s">
        <v>231</v>
      </c>
      <c r="BI673" s="7"/>
      <c r="BJ673" s="4"/>
      <c r="BK673" s="8"/>
      <c r="BL673" s="2" t="s">
        <v>231</v>
      </c>
      <c r="BM673" s="7"/>
      <c r="BN673" s="7"/>
      <c r="BO673" s="4"/>
      <c r="BP673" s="8"/>
      <c r="BQ673" s="4"/>
      <c r="BR673" s="8"/>
      <c r="BS673" s="7"/>
      <c r="BT673" s="7"/>
      <c r="BU673" s="2" t="s">
        <v>241</v>
      </c>
      <c r="BV673" s="2" t="s">
        <v>231</v>
      </c>
      <c r="BW673" s="2" t="s">
        <v>231</v>
      </c>
      <c r="BX673" s="2" t="s">
        <v>241</v>
      </c>
      <c r="BY673" s="2" t="s">
        <v>242</v>
      </c>
      <c r="BZ673" s="2" t="s">
        <v>243</v>
      </c>
      <c r="CA673" s="2" t="s">
        <v>231</v>
      </c>
      <c r="CB673" s="2" t="s">
        <v>231</v>
      </c>
      <c r="CC673" s="2" t="s">
        <v>244</v>
      </c>
      <c r="CD673" s="2" t="s">
        <v>231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>
        <v>300</v>
      </c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>
        <v>480</v>
      </c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</row>
    <row r="674">
      <c r="A674" s="2" t="s">
        <v>3909</v>
      </c>
      <c r="B674" s="2" t="s">
        <v>262</v>
      </c>
      <c r="C674" s="2" t="s">
        <v>1548</v>
      </c>
      <c r="D674" s="2" t="s">
        <v>1624</v>
      </c>
      <c r="E674" s="2" t="s">
        <v>1625</v>
      </c>
      <c r="F674" s="2" t="s">
        <v>3901</v>
      </c>
      <c r="G674" s="2" t="s">
        <v>3901</v>
      </c>
      <c r="H674" s="2" t="s">
        <v>3901</v>
      </c>
      <c r="I674" s="2" t="s">
        <v>3902</v>
      </c>
      <c r="J674" s="2" t="s">
        <v>1554</v>
      </c>
      <c r="K674" s="2" t="s">
        <v>1146</v>
      </c>
      <c r="L674" s="3">
        <v>15.33</v>
      </c>
      <c r="M674" s="3">
        <v>16.1</v>
      </c>
      <c r="N674" s="3">
        <v>34.99</v>
      </c>
      <c r="O674" s="2" t="s">
        <v>243</v>
      </c>
      <c r="P674" s="2" t="s">
        <v>236</v>
      </c>
      <c r="Q674" s="2" t="s">
        <v>237</v>
      </c>
      <c r="R674" s="2" t="s">
        <v>231</v>
      </c>
      <c r="S674" s="2" t="s">
        <v>3910</v>
      </c>
      <c r="T674" s="2" t="s">
        <v>3904</v>
      </c>
      <c r="U674" s="2" t="s">
        <v>327</v>
      </c>
      <c r="V674" s="2" t="s">
        <v>239</v>
      </c>
      <c r="W674" s="2" t="s">
        <v>273</v>
      </c>
      <c r="X674" s="2" t="s">
        <v>231</v>
      </c>
      <c r="Y674" s="2" t="s">
        <v>231</v>
      </c>
      <c r="Z674" s="4"/>
      <c r="AA674" s="4">
        <f>=ROUNDDOWN({0},0)</f>
      </c>
      <c r="AB674" s="5"/>
      <c r="AC674" s="2" t="s">
        <v>1315</v>
      </c>
      <c r="AD674" s="4">
        <v>300</v>
      </c>
      <c r="AE674" s="4">
        <v>780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231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231</v>
      </c>
      <c r="BD674" s="8" t="s">
        <v>231</v>
      </c>
      <c r="BE674" s="4" t="s">
        <v>231</v>
      </c>
      <c r="BF674" s="8" t="s">
        <v>231</v>
      </c>
      <c r="BG674" s="7" t="s">
        <v>231</v>
      </c>
      <c r="BH674" s="7" t="s">
        <v>231</v>
      </c>
      <c r="BI674" s="7"/>
      <c r="BJ674" s="4"/>
      <c r="BK674" s="8"/>
      <c r="BL674" s="2" t="s">
        <v>231</v>
      </c>
      <c r="BM674" s="7"/>
      <c r="BN674" s="7"/>
      <c r="BO674" s="4"/>
      <c r="BP674" s="8"/>
      <c r="BQ674" s="4"/>
      <c r="BR674" s="8"/>
      <c r="BS674" s="7"/>
      <c r="BT674" s="7"/>
      <c r="BU674" s="2" t="s">
        <v>241</v>
      </c>
      <c r="BV674" s="2" t="s">
        <v>231</v>
      </c>
      <c r="BW674" s="2" t="s">
        <v>231</v>
      </c>
      <c r="BX674" s="2" t="s">
        <v>241</v>
      </c>
      <c r="BY674" s="2" t="s">
        <v>242</v>
      </c>
      <c r="BZ674" s="2" t="s">
        <v>243</v>
      </c>
      <c r="CA674" s="2" t="s">
        <v>231</v>
      </c>
      <c r="CB674" s="2" t="s">
        <v>231</v>
      </c>
      <c r="CC674" s="2" t="s">
        <v>244</v>
      </c>
      <c r="CD674" s="2" t="s">
        <v>231</v>
      </c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>
        <v>300</v>
      </c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>
        <v>480</v>
      </c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</row>
    <row r="675">
      <c r="A675" s="2" t="s">
        <v>3911</v>
      </c>
      <c r="B675" s="2" t="s">
        <v>262</v>
      </c>
      <c r="C675" s="2" t="s">
        <v>1548</v>
      </c>
      <c r="D675" s="2" t="s">
        <v>228</v>
      </c>
      <c r="E675" s="2" t="s">
        <v>3164</v>
      </c>
      <c r="F675" s="2" t="s">
        <v>3901</v>
      </c>
      <c r="G675" s="2" t="s">
        <v>3901</v>
      </c>
      <c r="H675" s="2" t="s">
        <v>3901</v>
      </c>
      <c r="I675" s="2" t="s">
        <v>3912</v>
      </c>
      <c r="J675" s="2" t="s">
        <v>318</v>
      </c>
      <c r="K675" s="2" t="s">
        <v>319</v>
      </c>
      <c r="L675" s="3">
        <v>22.85</v>
      </c>
      <c r="M675" s="3">
        <v>23.99</v>
      </c>
      <c r="N675" s="3">
        <v>49.99</v>
      </c>
      <c r="O675" s="2" t="s">
        <v>243</v>
      </c>
      <c r="P675" s="2" t="s">
        <v>236</v>
      </c>
      <c r="Q675" s="2" t="s">
        <v>237</v>
      </c>
      <c r="R675" s="2" t="s">
        <v>231</v>
      </c>
      <c r="S675" s="2" t="s">
        <v>3913</v>
      </c>
      <c r="T675" s="2" t="s">
        <v>3904</v>
      </c>
      <c r="U675" s="2" t="s">
        <v>327</v>
      </c>
      <c r="V675" s="2" t="s">
        <v>239</v>
      </c>
      <c r="W675" s="2" t="s">
        <v>273</v>
      </c>
      <c r="X675" s="2" t="s">
        <v>231</v>
      </c>
      <c r="Y675" s="2" t="s">
        <v>231</v>
      </c>
      <c r="Z675" s="4"/>
      <c r="AA675" s="4">
        <f>=ROUNDDOWN({0},0)</f>
      </c>
      <c r="AB675" s="5"/>
      <c r="AC675" s="2" t="s">
        <v>1315</v>
      </c>
      <c r="AD675" s="4">
        <v>160</v>
      </c>
      <c r="AE675" s="4">
        <v>469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231</v>
      </c>
      <c r="AW675" s="8" t="s">
        <v>231</v>
      </c>
      <c r="AX675" s="4" t="s">
        <v>231</v>
      </c>
      <c r="AY675" s="8" t="s">
        <v>231</v>
      </c>
      <c r="AZ675" s="7" t="s">
        <v>231</v>
      </c>
      <c r="BA675" s="7" t="s">
        <v>231</v>
      </c>
      <c r="BB675" s="7" t="s">
        <v>231</v>
      </c>
      <c r="BC675" s="4" t="s">
        <v>231</v>
      </c>
      <c r="BD675" s="8" t="s">
        <v>231</v>
      </c>
      <c r="BE675" s="4" t="s">
        <v>231</v>
      </c>
      <c r="BF675" s="8" t="s">
        <v>231</v>
      </c>
      <c r="BG675" s="7" t="s">
        <v>231</v>
      </c>
      <c r="BH675" s="7" t="s">
        <v>231</v>
      </c>
      <c r="BI675" s="7"/>
      <c r="BJ675" s="4"/>
      <c r="BK675" s="8"/>
      <c r="BL675" s="2" t="s">
        <v>231</v>
      </c>
      <c r="BM675" s="7"/>
      <c r="BN675" s="7"/>
      <c r="BO675" s="4"/>
      <c r="BP675" s="8"/>
      <c r="BQ675" s="4"/>
      <c r="BR675" s="8"/>
      <c r="BS675" s="7"/>
      <c r="BT675" s="7"/>
      <c r="BU675" s="2" t="s">
        <v>241</v>
      </c>
      <c r="BV675" s="2" t="s">
        <v>231</v>
      </c>
      <c r="BW675" s="2" t="s">
        <v>231</v>
      </c>
      <c r="BX675" s="2" t="s">
        <v>241</v>
      </c>
      <c r="BY675" s="2" t="s">
        <v>242</v>
      </c>
      <c r="BZ675" s="2" t="s">
        <v>243</v>
      </c>
      <c r="CA675" s="2" t="s">
        <v>231</v>
      </c>
      <c r="CB675" s="2" t="s">
        <v>231</v>
      </c>
      <c r="CC675" s="2" t="s">
        <v>244</v>
      </c>
      <c r="CD675" s="2" t="s">
        <v>231</v>
      </c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>
        <v>160</v>
      </c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>
        <v>129</v>
      </c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>
        <v>180</v>
      </c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</row>
    <row r="676">
      <c r="A676" s="2" t="s">
        <v>3914</v>
      </c>
      <c r="B676" s="2" t="s">
        <v>262</v>
      </c>
      <c r="C676" s="2" t="s">
        <v>1548</v>
      </c>
      <c r="D676" s="2" t="s">
        <v>264</v>
      </c>
      <c r="E676" s="2" t="s">
        <v>3915</v>
      </c>
      <c r="F676" s="2" t="s">
        <v>3901</v>
      </c>
      <c r="G676" s="2" t="s">
        <v>3901</v>
      </c>
      <c r="H676" s="2" t="s">
        <v>3901</v>
      </c>
      <c r="I676" s="2" t="s">
        <v>3916</v>
      </c>
      <c r="J676" s="2" t="s">
        <v>318</v>
      </c>
      <c r="K676" s="2" t="s">
        <v>319</v>
      </c>
      <c r="L676" s="3">
        <v>20.57</v>
      </c>
      <c r="M676" s="3">
        <v>21.6</v>
      </c>
      <c r="N676" s="3">
        <v>44.99</v>
      </c>
      <c r="O676" s="2" t="s">
        <v>243</v>
      </c>
      <c r="P676" s="2" t="s">
        <v>236</v>
      </c>
      <c r="Q676" s="2" t="s">
        <v>237</v>
      </c>
      <c r="R676" s="2" t="s">
        <v>231</v>
      </c>
      <c r="S676" s="2" t="s">
        <v>3917</v>
      </c>
      <c r="T676" s="2" t="s">
        <v>3904</v>
      </c>
      <c r="U676" s="2" t="s">
        <v>327</v>
      </c>
      <c r="V676" s="2" t="s">
        <v>239</v>
      </c>
      <c r="W676" s="2" t="s">
        <v>273</v>
      </c>
      <c r="X676" s="2" t="s">
        <v>231</v>
      </c>
      <c r="Y676" s="2" t="s">
        <v>231</v>
      </c>
      <c r="Z676" s="4"/>
      <c r="AA676" s="4">
        <f>=ROUNDDOWN({0},0)</f>
      </c>
      <c r="AB676" s="5"/>
      <c r="AC676" s="2" t="s">
        <v>3918</v>
      </c>
      <c r="AD676" s="4">
        <v>185</v>
      </c>
      <c r="AE676" s="4">
        <v>261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231</v>
      </c>
      <c r="AW676" s="8" t="s">
        <v>231</v>
      </c>
      <c r="AX676" s="4" t="s">
        <v>231</v>
      </c>
      <c r="AY676" s="8" t="s">
        <v>231</v>
      </c>
      <c r="AZ676" s="7" t="s">
        <v>231</v>
      </c>
      <c r="BA676" s="7" t="s">
        <v>231</v>
      </c>
      <c r="BB676" s="7" t="s">
        <v>231</v>
      </c>
      <c r="BC676" s="4" t="s">
        <v>231</v>
      </c>
      <c r="BD676" s="8" t="s">
        <v>231</v>
      </c>
      <c r="BE676" s="4" t="s">
        <v>231</v>
      </c>
      <c r="BF676" s="8" t="s">
        <v>231</v>
      </c>
      <c r="BG676" s="7" t="s">
        <v>231</v>
      </c>
      <c r="BH676" s="7" t="s">
        <v>231</v>
      </c>
      <c r="BI676" s="7"/>
      <c r="BJ676" s="4"/>
      <c r="BK676" s="8"/>
      <c r="BL676" s="2" t="s">
        <v>231</v>
      </c>
      <c r="BM676" s="7"/>
      <c r="BN676" s="7"/>
      <c r="BO676" s="4"/>
      <c r="BP676" s="8"/>
      <c r="BQ676" s="4"/>
      <c r="BR676" s="8"/>
      <c r="BS676" s="7"/>
      <c r="BT676" s="7"/>
      <c r="BU676" s="2" t="s">
        <v>241</v>
      </c>
      <c r="BV676" s="2" t="s">
        <v>231</v>
      </c>
      <c r="BW676" s="2" t="s">
        <v>231</v>
      </c>
      <c r="BX676" s="2" t="s">
        <v>241</v>
      </c>
      <c r="BY676" s="2" t="s">
        <v>242</v>
      </c>
      <c r="BZ676" s="2" t="s">
        <v>243</v>
      </c>
      <c r="CA676" s="2" t="s">
        <v>231</v>
      </c>
      <c r="CB676" s="2" t="s">
        <v>231</v>
      </c>
      <c r="CC676" s="2" t="s">
        <v>244</v>
      </c>
      <c r="CD676" s="2" t="s">
        <v>231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>
        <v>185</v>
      </c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>
        <v>76</v>
      </c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</row>
    <row r="677">
      <c r="A677" s="2" t="s">
        <v>3919</v>
      </c>
      <c r="B677" s="2" t="s">
        <v>262</v>
      </c>
      <c r="C677" s="2" t="s">
        <v>1548</v>
      </c>
      <c r="D677" s="2" t="s">
        <v>654</v>
      </c>
      <c r="E677" s="2" t="s">
        <v>1212</v>
      </c>
      <c r="F677" s="2" t="s">
        <v>3901</v>
      </c>
      <c r="G677" s="2" t="s">
        <v>3901</v>
      </c>
      <c r="H677" s="2" t="s">
        <v>3901</v>
      </c>
      <c r="I677" s="2" t="s">
        <v>3750</v>
      </c>
      <c r="J677" s="2" t="s">
        <v>832</v>
      </c>
      <c r="K677" s="2" t="s">
        <v>319</v>
      </c>
      <c r="L677" s="3">
        <v>30.95</v>
      </c>
      <c r="M677" s="3">
        <v>32.5</v>
      </c>
      <c r="N677" s="3">
        <v>64.99</v>
      </c>
      <c r="O677" s="2" t="s">
        <v>243</v>
      </c>
      <c r="P677" s="2" t="s">
        <v>236</v>
      </c>
      <c r="Q677" s="2" t="s">
        <v>237</v>
      </c>
      <c r="R677" s="2" t="s">
        <v>231</v>
      </c>
      <c r="S677" s="2" t="s">
        <v>3920</v>
      </c>
      <c r="T677" s="2" t="s">
        <v>3904</v>
      </c>
      <c r="U677" s="2" t="s">
        <v>327</v>
      </c>
      <c r="V677" s="2" t="s">
        <v>239</v>
      </c>
      <c r="W677" s="2" t="s">
        <v>273</v>
      </c>
      <c r="X677" s="2" t="s">
        <v>231</v>
      </c>
      <c r="Y677" s="2" t="s">
        <v>231</v>
      </c>
      <c r="Z677" s="4"/>
      <c r="AA677" s="4">
        <f>=ROUNDDOWN({0},0)</f>
      </c>
      <c r="AB677" s="5">
        <v>14</v>
      </c>
      <c r="AC677" s="2" t="s">
        <v>3921</v>
      </c>
      <c r="AD677" s="4">
        <v>180</v>
      </c>
      <c r="AE677" s="4">
        <v>440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231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231</v>
      </c>
      <c r="AW677" s="8" t="s">
        <v>231</v>
      </c>
      <c r="AX677" s="4" t="s">
        <v>231</v>
      </c>
      <c r="AY677" s="8" t="s">
        <v>231</v>
      </c>
      <c r="AZ677" s="7" t="s">
        <v>231</v>
      </c>
      <c r="BA677" s="7" t="s">
        <v>231</v>
      </c>
      <c r="BB677" s="7"/>
      <c r="BC677" s="4" t="s">
        <v>231</v>
      </c>
      <c r="BD677" s="8" t="s">
        <v>231</v>
      </c>
      <c r="BE677" s="4" t="s">
        <v>231</v>
      </c>
      <c r="BF677" s="8" t="s">
        <v>231</v>
      </c>
      <c r="BG677" s="7" t="s">
        <v>231</v>
      </c>
      <c r="BH677" s="7" t="s">
        <v>231</v>
      </c>
      <c r="BI677" s="7"/>
      <c r="BJ677" s="4"/>
      <c r="BK677" s="8"/>
      <c r="BL677" s="2" t="s">
        <v>231</v>
      </c>
      <c r="BM677" s="7"/>
      <c r="BN677" s="7"/>
      <c r="BO677" s="4"/>
      <c r="BP677" s="8"/>
      <c r="BQ677" s="4"/>
      <c r="BR677" s="8"/>
      <c r="BS677" s="7"/>
      <c r="BT677" s="7"/>
      <c r="BU677" s="2" t="s">
        <v>241</v>
      </c>
      <c r="BV677" s="2" t="s">
        <v>231</v>
      </c>
      <c r="BW677" s="2" t="s">
        <v>231</v>
      </c>
      <c r="BX677" s="2" t="s">
        <v>241</v>
      </c>
      <c r="BY677" s="2" t="s">
        <v>242</v>
      </c>
      <c r="BZ677" s="2" t="s">
        <v>243</v>
      </c>
      <c r="CA677" s="2" t="s">
        <v>231</v>
      </c>
      <c r="CB677" s="2" t="s">
        <v>231</v>
      </c>
      <c r="CC677" s="2" t="s">
        <v>244</v>
      </c>
      <c r="CD677" s="2" t="s">
        <v>231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>
        <v>180</v>
      </c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>
        <v>200</v>
      </c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>
        <v>38</v>
      </c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>
        <v>22</v>
      </c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</row>
    <row r="678">
      <c r="A678" s="2" t="s">
        <v>3922</v>
      </c>
      <c r="B678" s="2" t="s">
        <v>262</v>
      </c>
      <c r="C678" s="2" t="s">
        <v>1548</v>
      </c>
      <c r="D678" s="2" t="s">
        <v>264</v>
      </c>
      <c r="E678" s="2" t="s">
        <v>3915</v>
      </c>
      <c r="F678" s="2" t="s">
        <v>3901</v>
      </c>
      <c r="G678" s="2" t="s">
        <v>3901</v>
      </c>
      <c r="H678" s="2" t="s">
        <v>3901</v>
      </c>
      <c r="I678" s="2" t="s">
        <v>3916</v>
      </c>
      <c r="J678" s="2" t="s">
        <v>281</v>
      </c>
      <c r="K678" s="2" t="s">
        <v>319</v>
      </c>
      <c r="L678" s="3">
        <v>26.19</v>
      </c>
      <c r="M678" s="3">
        <v>27.5</v>
      </c>
      <c r="N678" s="3">
        <v>54.99</v>
      </c>
      <c r="O678" s="2" t="s">
        <v>243</v>
      </c>
      <c r="P678" s="2" t="s">
        <v>236</v>
      </c>
      <c r="Q678" s="2" t="s">
        <v>237</v>
      </c>
      <c r="R678" s="2" t="s">
        <v>231</v>
      </c>
      <c r="S678" s="2" t="s">
        <v>3917</v>
      </c>
      <c r="T678" s="2" t="s">
        <v>3904</v>
      </c>
      <c r="U678" s="2" t="s">
        <v>327</v>
      </c>
      <c r="V678" s="2" t="s">
        <v>239</v>
      </c>
      <c r="W678" s="2" t="s">
        <v>273</v>
      </c>
      <c r="X678" s="2" t="s">
        <v>231</v>
      </c>
      <c r="Y678" s="2" t="s">
        <v>231</v>
      </c>
      <c r="Z678" s="4"/>
      <c r="AA678" s="4">
        <f>=ROUNDDOWN({0},0)</f>
      </c>
      <c r="AB678" s="5"/>
      <c r="AC678" s="2" t="s">
        <v>3918</v>
      </c>
      <c r="AD678" s="4">
        <v>205</v>
      </c>
      <c r="AE678" s="4">
        <v>290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231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231</v>
      </c>
      <c r="AW678" s="8" t="s">
        <v>231</v>
      </c>
      <c r="AX678" s="4" t="s">
        <v>231</v>
      </c>
      <c r="AY678" s="8" t="s">
        <v>231</v>
      </c>
      <c r="AZ678" s="7" t="s">
        <v>231</v>
      </c>
      <c r="BA678" s="7" t="s">
        <v>231</v>
      </c>
      <c r="BB678" s="7"/>
      <c r="BC678" s="4" t="s">
        <v>231</v>
      </c>
      <c r="BD678" s="8" t="s">
        <v>231</v>
      </c>
      <c r="BE678" s="4" t="s">
        <v>231</v>
      </c>
      <c r="BF678" s="8" t="s">
        <v>231</v>
      </c>
      <c r="BG678" s="7" t="s">
        <v>231</v>
      </c>
      <c r="BH678" s="7" t="s">
        <v>231</v>
      </c>
      <c r="BI678" s="7"/>
      <c r="BJ678" s="4"/>
      <c r="BK678" s="8"/>
      <c r="BL678" s="2" t="s">
        <v>231</v>
      </c>
      <c r="BM678" s="7"/>
      <c r="BN678" s="7"/>
      <c r="BO678" s="4"/>
      <c r="BP678" s="8"/>
      <c r="BQ678" s="4"/>
      <c r="BR678" s="8"/>
      <c r="BS678" s="7"/>
      <c r="BT678" s="7"/>
      <c r="BU678" s="2" t="s">
        <v>241</v>
      </c>
      <c r="BV678" s="2" t="s">
        <v>231</v>
      </c>
      <c r="BW678" s="2" t="s">
        <v>231</v>
      </c>
      <c r="BX678" s="2" t="s">
        <v>241</v>
      </c>
      <c r="BY678" s="2" t="s">
        <v>242</v>
      </c>
      <c r="BZ678" s="2" t="s">
        <v>243</v>
      </c>
      <c r="CA678" s="2" t="s">
        <v>231</v>
      </c>
      <c r="CB678" s="2" t="s">
        <v>231</v>
      </c>
      <c r="CC678" s="2" t="s">
        <v>244</v>
      </c>
      <c r="CD678" s="2" t="s">
        <v>231</v>
      </c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>
        <v>205</v>
      </c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>
        <v>67</v>
      </c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>
        <v>18</v>
      </c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</row>
    <row r="679">
      <c r="A679" s="2" t="s">
        <v>3923</v>
      </c>
      <c r="B679" s="2" t="s">
        <v>262</v>
      </c>
      <c r="C679" s="2" t="s">
        <v>1548</v>
      </c>
      <c r="D679" s="2" t="s">
        <v>228</v>
      </c>
      <c r="E679" s="2" t="s">
        <v>3164</v>
      </c>
      <c r="F679" s="2" t="s">
        <v>3901</v>
      </c>
      <c r="G679" s="2" t="s">
        <v>3901</v>
      </c>
      <c r="H679" s="2" t="s">
        <v>3901</v>
      </c>
      <c r="I679" s="2" t="s">
        <v>3912</v>
      </c>
      <c r="J679" s="2" t="s">
        <v>658</v>
      </c>
      <c r="K679" s="2" t="s">
        <v>319</v>
      </c>
      <c r="L679" s="3">
        <v>26.19</v>
      </c>
      <c r="M679" s="3">
        <v>27.5</v>
      </c>
      <c r="N679" s="3">
        <v>54.99</v>
      </c>
      <c r="O679" s="2" t="s">
        <v>243</v>
      </c>
      <c r="P679" s="2" t="s">
        <v>236</v>
      </c>
      <c r="Q679" s="2" t="s">
        <v>237</v>
      </c>
      <c r="R679" s="2" t="s">
        <v>231</v>
      </c>
      <c r="S679" s="2" t="s">
        <v>3913</v>
      </c>
      <c r="T679" s="2" t="s">
        <v>3904</v>
      </c>
      <c r="U679" s="2" t="s">
        <v>327</v>
      </c>
      <c r="V679" s="2" t="s">
        <v>239</v>
      </c>
      <c r="W679" s="2" t="s">
        <v>273</v>
      </c>
      <c r="X679" s="2" t="s">
        <v>231</v>
      </c>
      <c r="Y679" s="2" t="s">
        <v>231</v>
      </c>
      <c r="Z679" s="4"/>
      <c r="AA679" s="4">
        <f>=ROUNDDOWN({0},0)</f>
      </c>
      <c r="AB679" s="5"/>
      <c r="AC679" s="2" t="s">
        <v>1315</v>
      </c>
      <c r="AD679" s="4">
        <v>180</v>
      </c>
      <c r="AE679" s="4">
        <v>1059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231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231</v>
      </c>
      <c r="AW679" s="8" t="s">
        <v>231</v>
      </c>
      <c r="AX679" s="4" t="s">
        <v>231</v>
      </c>
      <c r="AY679" s="8" t="s">
        <v>231</v>
      </c>
      <c r="AZ679" s="7" t="s">
        <v>231</v>
      </c>
      <c r="BA679" s="7" t="s">
        <v>231</v>
      </c>
      <c r="BB679" s="7" t="s">
        <v>231</v>
      </c>
      <c r="BC679" s="4" t="s">
        <v>231</v>
      </c>
      <c r="BD679" s="8" t="s">
        <v>231</v>
      </c>
      <c r="BE679" s="4" t="s">
        <v>231</v>
      </c>
      <c r="BF679" s="8" t="s">
        <v>231</v>
      </c>
      <c r="BG679" s="7" t="s">
        <v>231</v>
      </c>
      <c r="BH679" s="7" t="s">
        <v>231</v>
      </c>
      <c r="BI679" s="7"/>
      <c r="BJ679" s="4"/>
      <c r="BK679" s="8"/>
      <c r="BL679" s="2" t="s">
        <v>231</v>
      </c>
      <c r="BM679" s="7"/>
      <c r="BN679" s="7"/>
      <c r="BO679" s="4"/>
      <c r="BP679" s="8"/>
      <c r="BQ679" s="4"/>
      <c r="BR679" s="8"/>
      <c r="BS679" s="7"/>
      <c r="BT679" s="7"/>
      <c r="BU679" s="2" t="s">
        <v>241</v>
      </c>
      <c r="BV679" s="2" t="s">
        <v>231</v>
      </c>
      <c r="BW679" s="2" t="s">
        <v>231</v>
      </c>
      <c r="BX679" s="2" t="s">
        <v>241</v>
      </c>
      <c r="BY679" s="2" t="s">
        <v>242</v>
      </c>
      <c r="BZ679" s="2" t="s">
        <v>243</v>
      </c>
      <c r="CA679" s="2" t="s">
        <v>231</v>
      </c>
      <c r="CB679" s="2" t="s">
        <v>231</v>
      </c>
      <c r="CC679" s="2" t="s">
        <v>244</v>
      </c>
      <c r="CD679" s="2" t="s">
        <v>231</v>
      </c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>
        <v>180</v>
      </c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>
        <v>149</v>
      </c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>
        <v>430</v>
      </c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>
        <v>300</v>
      </c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</row>
    <row r="680">
      <c r="A680" s="2" t="s">
        <v>3924</v>
      </c>
      <c r="B680" s="2" t="s">
        <v>262</v>
      </c>
      <c r="C680" s="2" t="s">
        <v>1548</v>
      </c>
      <c r="D680" s="2" t="s">
        <v>654</v>
      </c>
      <c r="E680" s="2" t="s">
        <v>1212</v>
      </c>
      <c r="F680" s="2" t="s">
        <v>3901</v>
      </c>
      <c r="G680" s="2" t="s">
        <v>3901</v>
      </c>
      <c r="H680" s="2" t="s">
        <v>3901</v>
      </c>
      <c r="I680" s="2" t="s">
        <v>3750</v>
      </c>
      <c r="J680" s="2" t="s">
        <v>658</v>
      </c>
      <c r="K680" s="2" t="s">
        <v>319</v>
      </c>
      <c r="L680" s="3">
        <v>35.71</v>
      </c>
      <c r="M680" s="3">
        <v>37.5</v>
      </c>
      <c r="N680" s="3">
        <v>74.99</v>
      </c>
      <c r="O680" s="2" t="s">
        <v>243</v>
      </c>
      <c r="P680" s="2" t="s">
        <v>236</v>
      </c>
      <c r="Q680" s="2" t="s">
        <v>237</v>
      </c>
      <c r="R680" s="2" t="s">
        <v>231</v>
      </c>
      <c r="S680" s="2" t="s">
        <v>3920</v>
      </c>
      <c r="T680" s="2" t="s">
        <v>3904</v>
      </c>
      <c r="U680" s="2" t="s">
        <v>327</v>
      </c>
      <c r="V680" s="2" t="s">
        <v>239</v>
      </c>
      <c r="W680" s="2" t="s">
        <v>273</v>
      </c>
      <c r="X680" s="2" t="s">
        <v>231</v>
      </c>
      <c r="Y680" s="2" t="s">
        <v>231</v>
      </c>
      <c r="Z680" s="4"/>
      <c r="AA680" s="4">
        <f>=ROUNDDOWN({0},0)</f>
      </c>
      <c r="AB680" s="5"/>
      <c r="AC680" s="2" t="s">
        <v>3921</v>
      </c>
      <c r="AD680" s="4">
        <v>140</v>
      </c>
      <c r="AE680" s="4">
        <v>649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231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231</v>
      </c>
      <c r="AW680" s="8" t="s">
        <v>231</v>
      </c>
      <c r="AX680" s="4" t="s">
        <v>231</v>
      </c>
      <c r="AY680" s="8" t="s">
        <v>231</v>
      </c>
      <c r="AZ680" s="7" t="s">
        <v>231</v>
      </c>
      <c r="BA680" s="7" t="s">
        <v>231</v>
      </c>
      <c r="BB680" s="7" t="s">
        <v>231</v>
      </c>
      <c r="BC680" s="4" t="s">
        <v>231</v>
      </c>
      <c r="BD680" s="8" t="s">
        <v>231</v>
      </c>
      <c r="BE680" s="4" t="s">
        <v>231</v>
      </c>
      <c r="BF680" s="8" t="s">
        <v>231</v>
      </c>
      <c r="BG680" s="7" t="s">
        <v>231</v>
      </c>
      <c r="BH680" s="7" t="s">
        <v>231</v>
      </c>
      <c r="BI680" s="7"/>
      <c r="BJ680" s="4"/>
      <c r="BK680" s="8"/>
      <c r="BL680" s="2" t="s">
        <v>231</v>
      </c>
      <c r="BM680" s="7"/>
      <c r="BN680" s="7"/>
      <c r="BO680" s="4"/>
      <c r="BP680" s="8"/>
      <c r="BQ680" s="4"/>
      <c r="BR680" s="8"/>
      <c r="BS680" s="7"/>
      <c r="BT680" s="7"/>
      <c r="BU680" s="2" t="s">
        <v>241</v>
      </c>
      <c r="BV680" s="2" t="s">
        <v>231</v>
      </c>
      <c r="BW680" s="2" t="s">
        <v>231</v>
      </c>
      <c r="BX680" s="2" t="s">
        <v>241</v>
      </c>
      <c r="BY680" s="2" t="s">
        <v>242</v>
      </c>
      <c r="BZ680" s="2" t="s">
        <v>243</v>
      </c>
      <c r="CA680" s="2" t="s">
        <v>231</v>
      </c>
      <c r="CB680" s="2" t="s">
        <v>231</v>
      </c>
      <c r="CC680" s="2" t="s">
        <v>244</v>
      </c>
      <c r="CD680" s="2" t="s">
        <v>231</v>
      </c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>
        <v>140</v>
      </c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>
        <v>209</v>
      </c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>
        <v>34</v>
      </c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>
        <v>200</v>
      </c>
      <c r="FW680" s="4"/>
      <c r="FX680" s="4"/>
      <c r="FY680" s="4"/>
      <c r="FZ680" s="4"/>
      <c r="GA680" s="4"/>
      <c r="GB680" s="4">
        <v>66</v>
      </c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</row>
    <row r="681">
      <c r="A681" s="2" t="s">
        <v>3925</v>
      </c>
      <c r="B681" s="2" t="s">
        <v>262</v>
      </c>
      <c r="C681" s="2" t="s">
        <v>1548</v>
      </c>
      <c r="D681" s="2" t="s">
        <v>264</v>
      </c>
      <c r="E681" s="2" t="s">
        <v>3915</v>
      </c>
      <c r="F681" s="2" t="s">
        <v>3901</v>
      </c>
      <c r="G681" s="2" t="s">
        <v>3901</v>
      </c>
      <c r="H681" s="2" t="s">
        <v>3901</v>
      </c>
      <c r="I681" s="2" t="s">
        <v>3916</v>
      </c>
      <c r="J681" s="2" t="s">
        <v>293</v>
      </c>
      <c r="K681" s="2" t="s">
        <v>319</v>
      </c>
      <c r="L681" s="3">
        <v>28.57</v>
      </c>
      <c r="M681" s="3">
        <v>30</v>
      </c>
      <c r="N681" s="3">
        <v>59.99</v>
      </c>
      <c r="O681" s="2" t="s">
        <v>243</v>
      </c>
      <c r="P681" s="2" t="s">
        <v>236</v>
      </c>
      <c r="Q681" s="2" t="s">
        <v>237</v>
      </c>
      <c r="R681" s="2" t="s">
        <v>231</v>
      </c>
      <c r="S681" s="2" t="s">
        <v>3917</v>
      </c>
      <c r="T681" s="2" t="s">
        <v>3904</v>
      </c>
      <c r="U681" s="2" t="s">
        <v>327</v>
      </c>
      <c r="V681" s="2" t="s">
        <v>239</v>
      </c>
      <c r="W681" s="2" t="s">
        <v>273</v>
      </c>
      <c r="X681" s="2" t="s">
        <v>231</v>
      </c>
      <c r="Y681" s="2" t="s">
        <v>231</v>
      </c>
      <c r="Z681" s="4"/>
      <c r="AA681" s="4">
        <f>=ROUNDDOWN({0},0)</f>
      </c>
      <c r="AB681" s="5"/>
      <c r="AC681" s="2" t="s">
        <v>3918</v>
      </c>
      <c r="AD681" s="4">
        <v>380</v>
      </c>
      <c r="AE681" s="4">
        <v>590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231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231</v>
      </c>
      <c r="AW681" s="8" t="s">
        <v>231</v>
      </c>
      <c r="AX681" s="4" t="s">
        <v>231</v>
      </c>
      <c r="AY681" s="8" t="s">
        <v>231</v>
      </c>
      <c r="AZ681" s="7" t="s">
        <v>231</v>
      </c>
      <c r="BA681" s="7" t="s">
        <v>231</v>
      </c>
      <c r="BB681" s="7"/>
      <c r="BC681" s="4" t="s">
        <v>231</v>
      </c>
      <c r="BD681" s="8" t="s">
        <v>231</v>
      </c>
      <c r="BE681" s="4" t="s">
        <v>231</v>
      </c>
      <c r="BF681" s="8" t="s">
        <v>231</v>
      </c>
      <c r="BG681" s="7" t="s">
        <v>231</v>
      </c>
      <c r="BH681" s="7" t="s">
        <v>231</v>
      </c>
      <c r="BI681" s="7"/>
      <c r="BJ681" s="4"/>
      <c r="BK681" s="8"/>
      <c r="BL681" s="2" t="s">
        <v>231</v>
      </c>
      <c r="BM681" s="7"/>
      <c r="BN681" s="7"/>
      <c r="BO681" s="4"/>
      <c r="BP681" s="8"/>
      <c r="BQ681" s="4"/>
      <c r="BR681" s="8"/>
      <c r="BS681" s="7"/>
      <c r="BT681" s="7"/>
      <c r="BU681" s="2" t="s">
        <v>241</v>
      </c>
      <c r="BV681" s="2" t="s">
        <v>231</v>
      </c>
      <c r="BW681" s="2" t="s">
        <v>231</v>
      </c>
      <c r="BX681" s="2" t="s">
        <v>241</v>
      </c>
      <c r="BY681" s="2" t="s">
        <v>242</v>
      </c>
      <c r="BZ681" s="2" t="s">
        <v>243</v>
      </c>
      <c r="CA681" s="2" t="s">
        <v>231</v>
      </c>
      <c r="CB681" s="2" t="s">
        <v>231</v>
      </c>
      <c r="CC681" s="2" t="s">
        <v>244</v>
      </c>
      <c r="CD681" s="2" t="s">
        <v>231</v>
      </c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>
        <v>380</v>
      </c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>
        <v>46</v>
      </c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>
        <v>164</v>
      </c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</row>
    <row r="682">
      <c r="A682" s="2" t="s">
        <v>3926</v>
      </c>
      <c r="B682" s="2" t="s">
        <v>262</v>
      </c>
      <c r="C682" s="2" t="s">
        <v>1548</v>
      </c>
      <c r="D682" s="2" t="s">
        <v>228</v>
      </c>
      <c r="E682" s="2" t="s">
        <v>3164</v>
      </c>
      <c r="F682" s="2" t="s">
        <v>3901</v>
      </c>
      <c r="G682" s="2" t="s">
        <v>3901</v>
      </c>
      <c r="H682" s="2" t="s">
        <v>3901</v>
      </c>
      <c r="I682" s="2" t="s">
        <v>3912</v>
      </c>
      <c r="J682" s="2" t="s">
        <v>302</v>
      </c>
      <c r="K682" s="2" t="s">
        <v>319</v>
      </c>
      <c r="L682" s="3">
        <v>30.95</v>
      </c>
      <c r="M682" s="3">
        <v>32.5</v>
      </c>
      <c r="N682" s="3">
        <v>64.99</v>
      </c>
      <c r="O682" s="2" t="s">
        <v>243</v>
      </c>
      <c r="P682" s="2" t="s">
        <v>236</v>
      </c>
      <c r="Q682" s="2" t="s">
        <v>237</v>
      </c>
      <c r="R682" s="2" t="s">
        <v>231</v>
      </c>
      <c r="S682" s="2" t="s">
        <v>3913</v>
      </c>
      <c r="T682" s="2" t="s">
        <v>3904</v>
      </c>
      <c r="U682" s="2" t="s">
        <v>327</v>
      </c>
      <c r="V682" s="2" t="s">
        <v>239</v>
      </c>
      <c r="W682" s="2" t="s">
        <v>273</v>
      </c>
      <c r="X682" s="2" t="s">
        <v>231</v>
      </c>
      <c r="Y682" s="2" t="s">
        <v>231</v>
      </c>
      <c r="Z682" s="4"/>
      <c r="AA682" s="4">
        <f>=ROUNDDOWN({0},0)</f>
      </c>
      <c r="AB682" s="5"/>
      <c r="AC682" s="2" t="s">
        <v>1315</v>
      </c>
      <c r="AD682" s="4">
        <v>160</v>
      </c>
      <c r="AE682" s="4">
        <v>925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231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231</v>
      </c>
      <c r="AW682" s="8" t="s">
        <v>231</v>
      </c>
      <c r="AX682" s="4" t="s">
        <v>231</v>
      </c>
      <c r="AY682" s="8" t="s">
        <v>231</v>
      </c>
      <c r="AZ682" s="7" t="s">
        <v>231</v>
      </c>
      <c r="BA682" s="7" t="s">
        <v>231</v>
      </c>
      <c r="BB682" s="7" t="s">
        <v>231</v>
      </c>
      <c r="BC682" s="4" t="s">
        <v>231</v>
      </c>
      <c r="BD682" s="8" t="s">
        <v>231</v>
      </c>
      <c r="BE682" s="4" t="s">
        <v>231</v>
      </c>
      <c r="BF682" s="8" t="s">
        <v>231</v>
      </c>
      <c r="BG682" s="7" t="s">
        <v>231</v>
      </c>
      <c r="BH682" s="7" t="s">
        <v>231</v>
      </c>
      <c r="BI682" s="7"/>
      <c r="BJ682" s="4"/>
      <c r="BK682" s="8"/>
      <c r="BL682" s="2" t="s">
        <v>231</v>
      </c>
      <c r="BM682" s="7"/>
      <c r="BN682" s="7"/>
      <c r="BO682" s="4"/>
      <c r="BP682" s="8"/>
      <c r="BQ682" s="4"/>
      <c r="BR682" s="8"/>
      <c r="BS682" s="7"/>
      <c r="BT682" s="7"/>
      <c r="BU682" s="2" t="s">
        <v>241</v>
      </c>
      <c r="BV682" s="2" t="s">
        <v>231</v>
      </c>
      <c r="BW682" s="2" t="s">
        <v>231</v>
      </c>
      <c r="BX682" s="2" t="s">
        <v>241</v>
      </c>
      <c r="BY682" s="2" t="s">
        <v>242</v>
      </c>
      <c r="BZ682" s="2" t="s">
        <v>243</v>
      </c>
      <c r="CA682" s="2" t="s">
        <v>231</v>
      </c>
      <c r="CB682" s="2" t="s">
        <v>231</v>
      </c>
      <c r="CC682" s="2" t="s">
        <v>244</v>
      </c>
      <c r="CD682" s="2" t="s">
        <v>231</v>
      </c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>
        <v>160</v>
      </c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>
        <v>135</v>
      </c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>
        <v>400</v>
      </c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>
        <v>230</v>
      </c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</row>
    <row r="683">
      <c r="A683" s="2" t="s">
        <v>3927</v>
      </c>
      <c r="B683" s="2" t="s">
        <v>262</v>
      </c>
      <c r="C683" s="2" t="s">
        <v>1548</v>
      </c>
      <c r="D683" s="2" t="s">
        <v>264</v>
      </c>
      <c r="E683" s="2" t="s">
        <v>3915</v>
      </c>
      <c r="F683" s="2" t="s">
        <v>3901</v>
      </c>
      <c r="G683" s="2" t="s">
        <v>3901</v>
      </c>
      <c r="H683" s="2" t="s">
        <v>3901</v>
      </c>
      <c r="I683" s="2" t="s">
        <v>3916</v>
      </c>
      <c r="J683" s="2" t="s">
        <v>302</v>
      </c>
      <c r="K683" s="2" t="s">
        <v>319</v>
      </c>
      <c r="L683" s="3">
        <v>33.33</v>
      </c>
      <c r="M683" s="3">
        <v>35</v>
      </c>
      <c r="N683" s="3">
        <v>69.99</v>
      </c>
      <c r="O683" s="2" t="s">
        <v>243</v>
      </c>
      <c r="P683" s="2" t="s">
        <v>236</v>
      </c>
      <c r="Q683" s="2" t="s">
        <v>237</v>
      </c>
      <c r="R683" s="2" t="s">
        <v>231</v>
      </c>
      <c r="S683" s="2" t="s">
        <v>3917</v>
      </c>
      <c r="T683" s="2" t="s">
        <v>3904</v>
      </c>
      <c r="U683" s="2" t="s">
        <v>327</v>
      </c>
      <c r="V683" s="2" t="s">
        <v>239</v>
      </c>
      <c r="W683" s="2" t="s">
        <v>273</v>
      </c>
      <c r="X683" s="2" t="s">
        <v>231</v>
      </c>
      <c r="Y683" s="2" t="s">
        <v>231</v>
      </c>
      <c r="Z683" s="4"/>
      <c r="AA683" s="4">
        <f>=ROUNDDOWN({0},0)</f>
      </c>
      <c r="AB683" s="5"/>
      <c r="AC683" s="2" t="s">
        <v>3918</v>
      </c>
      <c r="AD683" s="4">
        <v>180</v>
      </c>
      <c r="AE683" s="4">
        <v>260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231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231</v>
      </c>
      <c r="AW683" s="8" t="s">
        <v>231</v>
      </c>
      <c r="AX683" s="4" t="s">
        <v>231</v>
      </c>
      <c r="AY683" s="8" t="s">
        <v>231</v>
      </c>
      <c r="AZ683" s="7" t="s">
        <v>231</v>
      </c>
      <c r="BA683" s="7" t="s">
        <v>231</v>
      </c>
      <c r="BB683" s="7" t="s">
        <v>231</v>
      </c>
      <c r="BC683" s="4" t="s">
        <v>231</v>
      </c>
      <c r="BD683" s="8" t="s">
        <v>231</v>
      </c>
      <c r="BE683" s="4" t="s">
        <v>231</v>
      </c>
      <c r="BF683" s="8" t="s">
        <v>231</v>
      </c>
      <c r="BG683" s="7" t="s">
        <v>231</v>
      </c>
      <c r="BH683" s="7" t="s">
        <v>231</v>
      </c>
      <c r="BI683" s="7"/>
      <c r="BJ683" s="4"/>
      <c r="BK683" s="8"/>
      <c r="BL683" s="2" t="s">
        <v>231</v>
      </c>
      <c r="BM683" s="7"/>
      <c r="BN683" s="7"/>
      <c r="BO683" s="4"/>
      <c r="BP683" s="8"/>
      <c r="BQ683" s="4"/>
      <c r="BR683" s="8"/>
      <c r="BS683" s="7"/>
      <c r="BT683" s="7"/>
      <c r="BU683" s="2" t="s">
        <v>241</v>
      </c>
      <c r="BV683" s="2" t="s">
        <v>231</v>
      </c>
      <c r="BW683" s="2" t="s">
        <v>231</v>
      </c>
      <c r="BX683" s="2" t="s">
        <v>241</v>
      </c>
      <c r="BY683" s="2" t="s">
        <v>242</v>
      </c>
      <c r="BZ683" s="2" t="s">
        <v>243</v>
      </c>
      <c r="CA683" s="2" t="s">
        <v>231</v>
      </c>
      <c r="CB683" s="2" t="s">
        <v>231</v>
      </c>
      <c r="CC683" s="2" t="s">
        <v>244</v>
      </c>
      <c r="CD683" s="2" t="s">
        <v>231</v>
      </c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>
        <v>180</v>
      </c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>
        <v>2</v>
      </c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>
        <v>78</v>
      </c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</row>
    <row r="684">
      <c r="A684" s="2" t="s">
        <v>3928</v>
      </c>
      <c r="B684" s="2" t="s">
        <v>262</v>
      </c>
      <c r="C684" s="2" t="s">
        <v>1548</v>
      </c>
      <c r="D684" s="2" t="s">
        <v>654</v>
      </c>
      <c r="E684" s="2" t="s">
        <v>1212</v>
      </c>
      <c r="F684" s="2" t="s">
        <v>3901</v>
      </c>
      <c r="G684" s="2" t="s">
        <v>3901</v>
      </c>
      <c r="H684" s="2" t="s">
        <v>3901</v>
      </c>
      <c r="I684" s="2" t="s">
        <v>3750</v>
      </c>
      <c r="J684" s="2" t="s">
        <v>669</v>
      </c>
      <c r="K684" s="2" t="s">
        <v>319</v>
      </c>
      <c r="L684" s="3">
        <v>40.47</v>
      </c>
      <c r="M684" s="3">
        <v>42.49</v>
      </c>
      <c r="N684" s="3">
        <v>84.99</v>
      </c>
      <c r="O684" s="2" t="s">
        <v>243</v>
      </c>
      <c r="P684" s="2" t="s">
        <v>236</v>
      </c>
      <c r="Q684" s="2" t="s">
        <v>237</v>
      </c>
      <c r="R684" s="2" t="s">
        <v>231</v>
      </c>
      <c r="S684" s="2" t="s">
        <v>3920</v>
      </c>
      <c r="T684" s="2" t="s">
        <v>3904</v>
      </c>
      <c r="U684" s="2" t="s">
        <v>327</v>
      </c>
      <c r="V684" s="2" t="s">
        <v>239</v>
      </c>
      <c r="W684" s="2" t="s">
        <v>273</v>
      </c>
      <c r="X684" s="2" t="s">
        <v>231</v>
      </c>
      <c r="Y684" s="2" t="s">
        <v>231</v>
      </c>
      <c r="Z684" s="4"/>
      <c r="AA684" s="4">
        <f>=ROUNDDOWN({0},0)</f>
      </c>
      <c r="AB684" s="5">
        <v>24</v>
      </c>
      <c r="AC684" s="2" t="s">
        <v>3921</v>
      </c>
      <c r="AD684" s="4">
        <v>190</v>
      </c>
      <c r="AE684" s="4">
        <v>650</v>
      </c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231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231</v>
      </c>
      <c r="AW684" s="8" t="s">
        <v>231</v>
      </c>
      <c r="AX684" s="4" t="s">
        <v>231</v>
      </c>
      <c r="AY684" s="8" t="s">
        <v>231</v>
      </c>
      <c r="AZ684" s="7" t="s">
        <v>231</v>
      </c>
      <c r="BA684" s="7" t="s">
        <v>231</v>
      </c>
      <c r="BB684" s="7"/>
      <c r="BC684" s="4" t="s">
        <v>231</v>
      </c>
      <c r="BD684" s="8" t="s">
        <v>231</v>
      </c>
      <c r="BE684" s="4" t="s">
        <v>231</v>
      </c>
      <c r="BF684" s="8" t="s">
        <v>231</v>
      </c>
      <c r="BG684" s="7" t="s">
        <v>231</v>
      </c>
      <c r="BH684" s="7" t="s">
        <v>231</v>
      </c>
      <c r="BI684" s="7"/>
      <c r="BJ684" s="4"/>
      <c r="BK684" s="8"/>
      <c r="BL684" s="2" t="s">
        <v>231</v>
      </c>
      <c r="BM684" s="7"/>
      <c r="BN684" s="7"/>
      <c r="BO684" s="4"/>
      <c r="BP684" s="8"/>
      <c r="BQ684" s="4"/>
      <c r="BR684" s="8"/>
      <c r="BS684" s="7"/>
      <c r="BT684" s="7"/>
      <c r="BU684" s="2" t="s">
        <v>241</v>
      </c>
      <c r="BV684" s="2" t="s">
        <v>231</v>
      </c>
      <c r="BW684" s="2" t="s">
        <v>231</v>
      </c>
      <c r="BX684" s="2" t="s">
        <v>241</v>
      </c>
      <c r="BY684" s="2" t="s">
        <v>242</v>
      </c>
      <c r="BZ684" s="2" t="s">
        <v>243</v>
      </c>
      <c r="CA684" s="2" t="s">
        <v>231</v>
      </c>
      <c r="CB684" s="2" t="s">
        <v>231</v>
      </c>
      <c r="CC684" s="2" t="s">
        <v>244</v>
      </c>
      <c r="CD684" s="2" t="s">
        <v>231</v>
      </c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>
        <v>190</v>
      </c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>
        <v>75</v>
      </c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>
        <v>350</v>
      </c>
      <c r="FW684" s="4"/>
      <c r="FX684" s="4"/>
      <c r="FY684" s="4"/>
      <c r="FZ684" s="4"/>
      <c r="GA684" s="4"/>
      <c r="GB684" s="4">
        <v>35</v>
      </c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</row>
    <row r="685">
      <c r="A685" s="2" t="s">
        <v>3929</v>
      </c>
      <c r="B685" s="2" t="s">
        <v>1232</v>
      </c>
      <c r="C685" s="2" t="s">
        <v>1233</v>
      </c>
      <c r="D685" s="2" t="s">
        <v>1234</v>
      </c>
      <c r="E685" s="2" t="s">
        <v>1235</v>
      </c>
      <c r="F685" s="2" t="s">
        <v>3930</v>
      </c>
      <c r="G685" s="2" t="s">
        <v>3930</v>
      </c>
      <c r="H685" s="2" t="s">
        <v>3930</v>
      </c>
      <c r="I685" s="2" t="s">
        <v>3931</v>
      </c>
      <c r="J685" s="2" t="s">
        <v>807</v>
      </c>
      <c r="K685" s="2" t="s">
        <v>1146</v>
      </c>
      <c r="L685" s="3">
        <v>22.43</v>
      </c>
      <c r="M685" s="3">
        <v>23.55</v>
      </c>
      <c r="N685" s="3">
        <v>39.99</v>
      </c>
      <c r="O685" s="2" t="s">
        <v>243</v>
      </c>
      <c r="P685" s="2" t="s">
        <v>236</v>
      </c>
      <c r="Q685" s="2" t="s">
        <v>237</v>
      </c>
      <c r="R685" s="2" t="s">
        <v>231</v>
      </c>
      <c r="S685" s="2" t="s">
        <v>231</v>
      </c>
      <c r="T685" s="2" t="s">
        <v>231</v>
      </c>
      <c r="U685" s="2" t="s">
        <v>327</v>
      </c>
      <c r="V685" s="2" t="s">
        <v>662</v>
      </c>
      <c r="W685" s="2" t="s">
        <v>273</v>
      </c>
      <c r="X685" s="2" t="s">
        <v>231</v>
      </c>
      <c r="Y685" s="2" t="s">
        <v>3045</v>
      </c>
      <c r="Z685" s="4">
        <v>496</v>
      </c>
      <c r="AA685" s="4">
        <f>=ROUNDDOWN(62,0)</f>
      </c>
      <c r="AB685" s="5">
        <v>8</v>
      </c>
      <c r="AC685" s="2" t="s">
        <v>231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231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>
        <v>19</v>
      </c>
      <c r="BK685" s="8">
        <v>501.9</v>
      </c>
      <c r="BL685" s="2" t="s">
        <v>3932</v>
      </c>
      <c r="BM685" s="7"/>
      <c r="BN685" s="7"/>
      <c r="BO685" s="4"/>
      <c r="BP685" s="8"/>
      <c r="BQ685" s="4"/>
      <c r="BR685" s="8"/>
      <c r="BS685" s="7"/>
      <c r="BT685" s="7"/>
      <c r="BU685" s="2" t="s">
        <v>3933</v>
      </c>
      <c r="BV685" s="2" t="s">
        <v>231</v>
      </c>
      <c r="BW685" s="2" t="s">
        <v>231</v>
      </c>
      <c r="BX685" s="2" t="s">
        <v>241</v>
      </c>
      <c r="BY685" s="2" t="s">
        <v>277</v>
      </c>
      <c r="BZ685" s="2" t="s">
        <v>243</v>
      </c>
      <c r="CA685" s="2" t="s">
        <v>3934</v>
      </c>
      <c r="CB685" s="2" t="s">
        <v>231</v>
      </c>
      <c r="CC685" s="2" t="s">
        <v>244</v>
      </c>
      <c r="CD685" s="2" t="s">
        <v>231</v>
      </c>
      <c r="CE685" s="4"/>
      <c r="CF685" s="4">
        <v>239</v>
      </c>
      <c r="CG685" s="4"/>
      <c r="CH685" s="4"/>
      <c r="CI685" s="4">
        <v>257</v>
      </c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</row>
    <row r="686">
      <c r="A686" s="2" t="s">
        <v>3935</v>
      </c>
      <c r="B686" s="2" t="s">
        <v>824</v>
      </c>
      <c r="C686" s="2" t="s">
        <v>2557</v>
      </c>
      <c r="D686" s="2" t="s">
        <v>654</v>
      </c>
      <c r="E686" s="2" t="s">
        <v>890</v>
      </c>
      <c r="F686" s="2" t="s">
        <v>3936</v>
      </c>
      <c r="G686" s="2" t="s">
        <v>3937</v>
      </c>
      <c r="H686" s="2" t="s">
        <v>3938</v>
      </c>
      <c r="I686" s="2" t="s">
        <v>3939</v>
      </c>
      <c r="J686" s="2" t="s">
        <v>318</v>
      </c>
      <c r="K686" s="2" t="s">
        <v>3940</v>
      </c>
      <c r="L686" s="3">
        <v>26.19</v>
      </c>
      <c r="M686" s="3">
        <v>27.5</v>
      </c>
      <c r="N686" s="3">
        <v>54.99</v>
      </c>
      <c r="O686" s="2" t="s">
        <v>243</v>
      </c>
      <c r="P686" s="2" t="s">
        <v>236</v>
      </c>
      <c r="Q686" s="2" t="s">
        <v>237</v>
      </c>
      <c r="R686" s="2" t="s">
        <v>231</v>
      </c>
      <c r="S686" s="2" t="s">
        <v>3941</v>
      </c>
      <c r="T686" s="2" t="s">
        <v>1432</v>
      </c>
      <c r="U686" s="2" t="s">
        <v>791</v>
      </c>
      <c r="V686" s="2" t="s">
        <v>3942</v>
      </c>
      <c r="W686" s="2" t="s">
        <v>273</v>
      </c>
      <c r="X686" s="2" t="s">
        <v>231</v>
      </c>
      <c r="Y686" s="2" t="s">
        <v>2703</v>
      </c>
      <c r="Z686" s="4">
        <v>259</v>
      </c>
      <c r="AA686" s="4">
        <f>=ROUNDDOWN(51.8,0)</f>
      </c>
      <c r="AB686" s="5">
        <v>5</v>
      </c>
      <c r="AC686" s="2" t="s">
        <v>231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231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231</v>
      </c>
      <c r="AW686" s="8" t="s">
        <v>231</v>
      </c>
      <c r="AX686" s="4" t="s">
        <v>231</v>
      </c>
      <c r="AY686" s="8" t="s">
        <v>231</v>
      </c>
      <c r="AZ686" s="7" t="s">
        <v>231</v>
      </c>
      <c r="BA686" s="7" t="s">
        <v>231</v>
      </c>
      <c r="BB686" s="7"/>
      <c r="BC686" s="4" t="s">
        <v>231</v>
      </c>
      <c r="BD686" s="8" t="s">
        <v>231</v>
      </c>
      <c r="BE686" s="4" t="s">
        <v>231</v>
      </c>
      <c r="BF686" s="8" t="s">
        <v>231</v>
      </c>
      <c r="BG686" s="7" t="s">
        <v>231</v>
      </c>
      <c r="BH686" s="7" t="s">
        <v>231</v>
      </c>
      <c r="BI686" s="7"/>
      <c r="BJ686" s="4">
        <v>1</v>
      </c>
      <c r="BK686" s="8">
        <v>29.4</v>
      </c>
      <c r="BL686" s="2" t="s">
        <v>1120</v>
      </c>
      <c r="BM686" s="7"/>
      <c r="BN686" s="7"/>
      <c r="BO686" s="4"/>
      <c r="BP686" s="8"/>
      <c r="BQ686" s="4"/>
      <c r="BR686" s="8"/>
      <c r="BS686" s="7"/>
      <c r="BT686" s="7"/>
      <c r="BU686" s="2" t="s">
        <v>3943</v>
      </c>
      <c r="BV686" s="2" t="s">
        <v>231</v>
      </c>
      <c r="BW686" s="2" t="s">
        <v>231</v>
      </c>
      <c r="BX686" s="2" t="s">
        <v>241</v>
      </c>
      <c r="BY686" s="2" t="s">
        <v>277</v>
      </c>
      <c r="BZ686" s="2" t="s">
        <v>243</v>
      </c>
      <c r="CA686" s="2" t="s">
        <v>2553</v>
      </c>
      <c r="CB686" s="2" t="s">
        <v>3284</v>
      </c>
      <c r="CC686" s="2" t="s">
        <v>244</v>
      </c>
      <c r="CD686" s="2" t="s">
        <v>231</v>
      </c>
      <c r="CE686" s="4">
        <v>259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</row>
    <row r="687">
      <c r="A687" s="2" t="s">
        <v>3944</v>
      </c>
      <c r="B687" s="2" t="s">
        <v>824</v>
      </c>
      <c r="C687" s="2" t="s">
        <v>2557</v>
      </c>
      <c r="D687" s="2" t="s">
        <v>654</v>
      </c>
      <c r="E687" s="2" t="s">
        <v>890</v>
      </c>
      <c r="F687" s="2" t="s">
        <v>3936</v>
      </c>
      <c r="G687" s="2" t="s">
        <v>3937</v>
      </c>
      <c r="H687" s="2" t="s">
        <v>3938</v>
      </c>
      <c r="I687" s="2" t="s">
        <v>3939</v>
      </c>
      <c r="J687" s="2" t="s">
        <v>658</v>
      </c>
      <c r="K687" s="2" t="s">
        <v>3940</v>
      </c>
      <c r="L687" s="3">
        <v>30.95</v>
      </c>
      <c r="M687" s="3">
        <v>32.5</v>
      </c>
      <c r="N687" s="3">
        <v>64.99</v>
      </c>
      <c r="O687" s="2" t="s">
        <v>243</v>
      </c>
      <c r="P687" s="2" t="s">
        <v>236</v>
      </c>
      <c r="Q687" s="2" t="s">
        <v>237</v>
      </c>
      <c r="R687" s="2" t="s">
        <v>231</v>
      </c>
      <c r="S687" s="2" t="s">
        <v>3941</v>
      </c>
      <c r="T687" s="2" t="s">
        <v>1432</v>
      </c>
      <c r="U687" s="2" t="s">
        <v>835</v>
      </c>
      <c r="V687" s="2" t="s">
        <v>3942</v>
      </c>
      <c r="W687" s="2" t="s">
        <v>273</v>
      </c>
      <c r="X687" s="2" t="s">
        <v>231</v>
      </c>
      <c r="Y687" s="2" t="s">
        <v>2703</v>
      </c>
      <c r="Z687" s="4">
        <v>239</v>
      </c>
      <c r="AA687" s="4">
        <f>=ROUNDDOWN(21.7272727272727,0)</f>
      </c>
      <c r="AB687" s="5">
        <v>11</v>
      </c>
      <c r="AC687" s="2" t="s">
        <v>231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231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231</v>
      </c>
      <c r="AW687" s="8" t="s">
        <v>231</v>
      </c>
      <c r="AX687" s="4" t="s">
        <v>231</v>
      </c>
      <c r="AY687" s="8" t="s">
        <v>231</v>
      </c>
      <c r="AZ687" s="7" t="s">
        <v>231</v>
      </c>
      <c r="BA687" s="7" t="s">
        <v>231</v>
      </c>
      <c r="BB687" s="7"/>
      <c r="BC687" s="4" t="s">
        <v>231</v>
      </c>
      <c r="BD687" s="8" t="s">
        <v>231</v>
      </c>
      <c r="BE687" s="4" t="s">
        <v>231</v>
      </c>
      <c r="BF687" s="8" t="s">
        <v>231</v>
      </c>
      <c r="BG687" s="7" t="s">
        <v>231</v>
      </c>
      <c r="BH687" s="7" t="s">
        <v>231</v>
      </c>
      <c r="BI687" s="7"/>
      <c r="BJ687" s="4">
        <v>6</v>
      </c>
      <c r="BK687" s="8">
        <v>211.34</v>
      </c>
      <c r="BL687" s="2" t="s">
        <v>3945</v>
      </c>
      <c r="BM687" s="7"/>
      <c r="BN687" s="7"/>
      <c r="BO687" s="4"/>
      <c r="BP687" s="8"/>
      <c r="BQ687" s="4"/>
      <c r="BR687" s="8"/>
      <c r="BS687" s="7"/>
      <c r="BT687" s="7"/>
      <c r="BU687" s="2" t="s">
        <v>3946</v>
      </c>
      <c r="BV687" s="2" t="s">
        <v>231</v>
      </c>
      <c r="BW687" s="2" t="s">
        <v>231</v>
      </c>
      <c r="BX687" s="2" t="s">
        <v>241</v>
      </c>
      <c r="BY687" s="2" t="s">
        <v>277</v>
      </c>
      <c r="BZ687" s="2" t="s">
        <v>243</v>
      </c>
      <c r="CA687" s="2" t="s">
        <v>2553</v>
      </c>
      <c r="CB687" s="2" t="s">
        <v>231</v>
      </c>
      <c r="CC687" s="2" t="s">
        <v>244</v>
      </c>
      <c r="CD687" s="2" t="s">
        <v>231</v>
      </c>
      <c r="CE687" s="4">
        <v>239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</row>
    <row r="688">
      <c r="A688" s="2" t="s">
        <v>3947</v>
      </c>
      <c r="B688" s="2" t="s">
        <v>226</v>
      </c>
      <c r="C688" s="2" t="s">
        <v>3948</v>
      </c>
      <c r="D688" s="2" t="s">
        <v>1549</v>
      </c>
      <c r="E688" s="2" t="s">
        <v>3949</v>
      </c>
      <c r="F688" s="2" t="s">
        <v>3950</v>
      </c>
      <c r="G688" s="2" t="s">
        <v>3950</v>
      </c>
      <c r="H688" s="2" t="s">
        <v>3950</v>
      </c>
      <c r="I688" s="2" t="s">
        <v>3951</v>
      </c>
      <c r="J688" s="2" t="s">
        <v>318</v>
      </c>
      <c r="K688" s="2" t="s">
        <v>269</v>
      </c>
      <c r="L688" s="3">
        <v>45.23</v>
      </c>
      <c r="M688" s="3">
        <v>47.49</v>
      </c>
      <c r="N688" s="3">
        <v>94.99</v>
      </c>
      <c r="O688" s="2" t="s">
        <v>243</v>
      </c>
      <c r="P688" s="2" t="s">
        <v>270</v>
      </c>
      <c r="Q688" s="2" t="s">
        <v>237</v>
      </c>
      <c r="R688" s="2" t="s">
        <v>231</v>
      </c>
      <c r="S688" s="2" t="s">
        <v>3952</v>
      </c>
      <c r="T688" s="2" t="s">
        <v>1630</v>
      </c>
      <c r="U688" s="2" t="s">
        <v>327</v>
      </c>
      <c r="V688" s="2" t="s">
        <v>239</v>
      </c>
      <c r="W688" s="2" t="s">
        <v>273</v>
      </c>
      <c r="X688" s="2" t="s">
        <v>231</v>
      </c>
      <c r="Y688" s="2" t="s">
        <v>948</v>
      </c>
      <c r="Z688" s="4">
        <v>254</v>
      </c>
      <c r="AA688" s="4">
        <f>=ROUNDDOWN(127,0)</f>
      </c>
      <c r="AB688" s="5">
        <v>2</v>
      </c>
      <c r="AC688" s="2" t="s">
        <v>231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231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231</v>
      </c>
      <c r="AW688" s="8" t="s">
        <v>231</v>
      </c>
      <c r="AX688" s="4" t="s">
        <v>231</v>
      </c>
      <c r="AY688" s="8" t="s">
        <v>231</v>
      </c>
      <c r="AZ688" s="7" t="s">
        <v>231</v>
      </c>
      <c r="BA688" s="7" t="s">
        <v>231</v>
      </c>
      <c r="BB688" s="7"/>
      <c r="BC688" s="4" t="s">
        <v>231</v>
      </c>
      <c r="BD688" s="8" t="s">
        <v>231</v>
      </c>
      <c r="BE688" s="4" t="s">
        <v>231</v>
      </c>
      <c r="BF688" s="8" t="s">
        <v>231</v>
      </c>
      <c r="BG688" s="7" t="s">
        <v>231</v>
      </c>
      <c r="BH688" s="7" t="s">
        <v>231</v>
      </c>
      <c r="BI688" s="7"/>
      <c r="BJ688" s="4"/>
      <c r="BK688" s="8"/>
      <c r="BL688" s="2" t="s">
        <v>231</v>
      </c>
      <c r="BM688" s="7"/>
      <c r="BN688" s="7"/>
      <c r="BO688" s="4"/>
      <c r="BP688" s="8"/>
      <c r="BQ688" s="4"/>
      <c r="BR688" s="8"/>
      <c r="BS688" s="7"/>
      <c r="BT688" s="7"/>
      <c r="BU688" s="2" t="s">
        <v>3953</v>
      </c>
      <c r="BV688" s="2" t="s">
        <v>231</v>
      </c>
      <c r="BW688" s="2" t="s">
        <v>231</v>
      </c>
      <c r="BX688" s="2" t="s">
        <v>241</v>
      </c>
      <c r="BY688" s="2" t="s">
        <v>277</v>
      </c>
      <c r="BZ688" s="2" t="s">
        <v>243</v>
      </c>
      <c r="CA688" s="2" t="s">
        <v>1990</v>
      </c>
      <c r="CB688" s="2" t="s">
        <v>2994</v>
      </c>
      <c r="CC688" s="2" t="s">
        <v>244</v>
      </c>
      <c r="CD688" s="2" t="s">
        <v>231</v>
      </c>
      <c r="CE688" s="4">
        <v>254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</row>
    <row r="689">
      <c r="A689" s="2" t="s">
        <v>3954</v>
      </c>
      <c r="B689" s="2" t="s">
        <v>226</v>
      </c>
      <c r="C689" s="2" t="s">
        <v>3948</v>
      </c>
      <c r="D689" s="2" t="s">
        <v>1549</v>
      </c>
      <c r="E689" s="2" t="s">
        <v>3949</v>
      </c>
      <c r="F689" s="2" t="s">
        <v>3950</v>
      </c>
      <c r="G689" s="2" t="s">
        <v>3950</v>
      </c>
      <c r="H689" s="2" t="s">
        <v>3950</v>
      </c>
      <c r="I689" s="2" t="s">
        <v>3951</v>
      </c>
      <c r="J689" s="2" t="s">
        <v>281</v>
      </c>
      <c r="K689" s="2" t="s">
        <v>269</v>
      </c>
      <c r="L689" s="3">
        <v>50</v>
      </c>
      <c r="M689" s="3">
        <v>52.5</v>
      </c>
      <c r="N689" s="3">
        <v>104.99</v>
      </c>
      <c r="O689" s="2" t="s">
        <v>243</v>
      </c>
      <c r="P689" s="2" t="s">
        <v>270</v>
      </c>
      <c r="Q689" s="2" t="s">
        <v>237</v>
      </c>
      <c r="R689" s="2" t="s">
        <v>231</v>
      </c>
      <c r="S689" s="2" t="s">
        <v>3952</v>
      </c>
      <c r="T689" s="2" t="s">
        <v>1630</v>
      </c>
      <c r="U689" s="2" t="s">
        <v>327</v>
      </c>
      <c r="V689" s="2" t="s">
        <v>239</v>
      </c>
      <c r="W689" s="2" t="s">
        <v>273</v>
      </c>
      <c r="X689" s="2" t="s">
        <v>231</v>
      </c>
      <c r="Y689" s="2" t="s">
        <v>3955</v>
      </c>
      <c r="Z689" s="4">
        <v>233</v>
      </c>
      <c r="AA689" s="4">
        <f>=ROUNDDOWN(58.25,0)</f>
      </c>
      <c r="AB689" s="5">
        <v>4</v>
      </c>
      <c r="AC689" s="2" t="s">
        <v>231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231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231</v>
      </c>
      <c r="AW689" s="8" t="s">
        <v>231</v>
      </c>
      <c r="AX689" s="4" t="s">
        <v>231</v>
      </c>
      <c r="AY689" s="8" t="s">
        <v>231</v>
      </c>
      <c r="AZ689" s="7" t="s">
        <v>231</v>
      </c>
      <c r="BA689" s="7" t="s">
        <v>231</v>
      </c>
      <c r="BB689" s="7"/>
      <c r="BC689" s="4" t="s">
        <v>231</v>
      </c>
      <c r="BD689" s="8" t="s">
        <v>231</v>
      </c>
      <c r="BE689" s="4" t="s">
        <v>231</v>
      </c>
      <c r="BF689" s="8" t="s">
        <v>231</v>
      </c>
      <c r="BG689" s="7" t="s">
        <v>231</v>
      </c>
      <c r="BH689" s="7" t="s">
        <v>231</v>
      </c>
      <c r="BI689" s="7"/>
      <c r="BJ689" s="4">
        <v>2</v>
      </c>
      <c r="BK689" s="8">
        <v>111.82</v>
      </c>
      <c r="BL689" s="2" t="s">
        <v>924</v>
      </c>
      <c r="BM689" s="7"/>
      <c r="BN689" s="7"/>
      <c r="BO689" s="4"/>
      <c r="BP689" s="8"/>
      <c r="BQ689" s="4"/>
      <c r="BR689" s="8"/>
      <c r="BS689" s="7"/>
      <c r="BT689" s="7"/>
      <c r="BU689" s="2" t="s">
        <v>3956</v>
      </c>
      <c r="BV689" s="2" t="s">
        <v>231</v>
      </c>
      <c r="BW689" s="2" t="s">
        <v>231</v>
      </c>
      <c r="BX689" s="2" t="s">
        <v>241</v>
      </c>
      <c r="BY689" s="2" t="s">
        <v>277</v>
      </c>
      <c r="BZ689" s="2" t="s">
        <v>243</v>
      </c>
      <c r="CA689" s="2" t="s">
        <v>640</v>
      </c>
      <c r="CB689" s="2" t="s">
        <v>3957</v>
      </c>
      <c r="CC689" s="2" t="s">
        <v>244</v>
      </c>
      <c r="CD689" s="2" t="s">
        <v>231</v>
      </c>
      <c r="CE689" s="4">
        <v>233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</row>
    <row r="690">
      <c r="A690" s="2" t="s">
        <v>3958</v>
      </c>
      <c r="B690" s="2" t="s">
        <v>226</v>
      </c>
      <c r="C690" s="2" t="s">
        <v>3948</v>
      </c>
      <c r="D690" s="2" t="s">
        <v>1549</v>
      </c>
      <c r="E690" s="2" t="s">
        <v>3949</v>
      </c>
      <c r="F690" s="2" t="s">
        <v>3950</v>
      </c>
      <c r="G690" s="2" t="s">
        <v>3950</v>
      </c>
      <c r="H690" s="2" t="s">
        <v>3950</v>
      </c>
      <c r="I690" s="2" t="s">
        <v>3951</v>
      </c>
      <c r="J690" s="2" t="s">
        <v>293</v>
      </c>
      <c r="K690" s="2" t="s">
        <v>269</v>
      </c>
      <c r="L690" s="3">
        <v>71.42</v>
      </c>
      <c r="M690" s="3">
        <v>74.99</v>
      </c>
      <c r="N690" s="3">
        <v>149.99</v>
      </c>
      <c r="O690" s="2" t="s">
        <v>243</v>
      </c>
      <c r="P690" s="2" t="s">
        <v>270</v>
      </c>
      <c r="Q690" s="2" t="s">
        <v>237</v>
      </c>
      <c r="R690" s="2" t="s">
        <v>231</v>
      </c>
      <c r="S690" s="2" t="s">
        <v>3952</v>
      </c>
      <c r="T690" s="2" t="s">
        <v>1630</v>
      </c>
      <c r="U690" s="2" t="s">
        <v>327</v>
      </c>
      <c r="V690" s="2" t="s">
        <v>239</v>
      </c>
      <c r="W690" s="2" t="s">
        <v>273</v>
      </c>
      <c r="X690" s="2" t="s">
        <v>231</v>
      </c>
      <c r="Y690" s="2" t="s">
        <v>3955</v>
      </c>
      <c r="Z690" s="4">
        <v>239</v>
      </c>
      <c r="AA690" s="4">
        <f>=ROUNDDOWN(119.5,0)</f>
      </c>
      <c r="AB690" s="5">
        <v>2</v>
      </c>
      <c r="AC690" s="2" t="s">
        <v>231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231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231</v>
      </c>
      <c r="AW690" s="8" t="s">
        <v>231</v>
      </c>
      <c r="AX690" s="4" t="s">
        <v>231</v>
      </c>
      <c r="AY690" s="8" t="s">
        <v>231</v>
      </c>
      <c r="AZ690" s="7" t="s">
        <v>231</v>
      </c>
      <c r="BA690" s="7" t="s">
        <v>231</v>
      </c>
      <c r="BB690" s="7"/>
      <c r="BC690" s="4" t="s">
        <v>231</v>
      </c>
      <c r="BD690" s="8" t="s">
        <v>231</v>
      </c>
      <c r="BE690" s="4" t="s">
        <v>231</v>
      </c>
      <c r="BF690" s="8" t="s">
        <v>231</v>
      </c>
      <c r="BG690" s="7" t="s">
        <v>231</v>
      </c>
      <c r="BH690" s="7" t="s">
        <v>231</v>
      </c>
      <c r="BI690" s="7"/>
      <c r="BJ690" s="4">
        <v>3</v>
      </c>
      <c r="BK690" s="8">
        <v>240.72</v>
      </c>
      <c r="BL690" s="2" t="s">
        <v>924</v>
      </c>
      <c r="BM690" s="7"/>
      <c r="BN690" s="7"/>
      <c r="BO690" s="4"/>
      <c r="BP690" s="8"/>
      <c r="BQ690" s="4"/>
      <c r="BR690" s="8"/>
      <c r="BS690" s="7"/>
      <c r="BT690" s="7"/>
      <c r="BU690" s="2" t="s">
        <v>3959</v>
      </c>
      <c r="BV690" s="2" t="s">
        <v>231</v>
      </c>
      <c r="BW690" s="2" t="s">
        <v>231</v>
      </c>
      <c r="BX690" s="2" t="s">
        <v>241</v>
      </c>
      <c r="BY690" s="2" t="s">
        <v>277</v>
      </c>
      <c r="BZ690" s="2" t="s">
        <v>243</v>
      </c>
      <c r="CA690" s="2" t="s">
        <v>640</v>
      </c>
      <c r="CB690" s="2" t="s">
        <v>2079</v>
      </c>
      <c r="CC690" s="2" t="s">
        <v>244</v>
      </c>
      <c r="CD690" s="2" t="s">
        <v>231</v>
      </c>
      <c r="CE690" s="4">
        <v>239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</row>
    <row r="691">
      <c r="A691" s="2" t="s">
        <v>3960</v>
      </c>
      <c r="B691" s="2" t="s">
        <v>226</v>
      </c>
      <c r="C691" s="2" t="s">
        <v>3948</v>
      </c>
      <c r="D691" s="2" t="s">
        <v>1549</v>
      </c>
      <c r="E691" s="2" t="s">
        <v>3949</v>
      </c>
      <c r="F691" s="2" t="s">
        <v>3950</v>
      </c>
      <c r="G691" s="2" t="s">
        <v>3950</v>
      </c>
      <c r="H691" s="2" t="s">
        <v>3950</v>
      </c>
      <c r="I691" s="2" t="s">
        <v>3951</v>
      </c>
      <c r="J691" s="2" t="s">
        <v>302</v>
      </c>
      <c r="K691" s="2" t="s">
        <v>269</v>
      </c>
      <c r="L691" s="3">
        <v>78.57</v>
      </c>
      <c r="M691" s="3">
        <v>82.5</v>
      </c>
      <c r="N691" s="3">
        <v>164.99</v>
      </c>
      <c r="O691" s="2" t="s">
        <v>243</v>
      </c>
      <c r="P691" s="2" t="s">
        <v>270</v>
      </c>
      <c r="Q691" s="2" t="s">
        <v>237</v>
      </c>
      <c r="R691" s="2" t="s">
        <v>231</v>
      </c>
      <c r="S691" s="2" t="s">
        <v>3952</v>
      </c>
      <c r="T691" s="2" t="s">
        <v>1630</v>
      </c>
      <c r="U691" s="2" t="s">
        <v>327</v>
      </c>
      <c r="V691" s="2" t="s">
        <v>239</v>
      </c>
      <c r="W691" s="2" t="s">
        <v>273</v>
      </c>
      <c r="X691" s="2" t="s">
        <v>231</v>
      </c>
      <c r="Y691" s="2" t="s">
        <v>3955</v>
      </c>
      <c r="Z691" s="4">
        <v>235</v>
      </c>
      <c r="AA691" s="4">
        <f>=ROUNDDOWN(78.3333333333333,0)</f>
      </c>
      <c r="AB691" s="5">
        <v>3</v>
      </c>
      <c r="AC691" s="2" t="s">
        <v>231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231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231</v>
      </c>
      <c r="AW691" s="8" t="s">
        <v>231</v>
      </c>
      <c r="AX691" s="4" t="s">
        <v>231</v>
      </c>
      <c r="AY691" s="8" t="s">
        <v>231</v>
      </c>
      <c r="AZ691" s="7" t="s">
        <v>231</v>
      </c>
      <c r="BA691" s="7" t="s">
        <v>231</v>
      </c>
      <c r="BB691" s="7"/>
      <c r="BC691" s="4" t="s">
        <v>231</v>
      </c>
      <c r="BD691" s="8" t="s">
        <v>231</v>
      </c>
      <c r="BE691" s="4" t="s">
        <v>231</v>
      </c>
      <c r="BF691" s="8" t="s">
        <v>231</v>
      </c>
      <c r="BG691" s="7" t="s">
        <v>231</v>
      </c>
      <c r="BH691" s="7" t="s">
        <v>231</v>
      </c>
      <c r="BI691" s="7"/>
      <c r="BJ691" s="4">
        <v>2</v>
      </c>
      <c r="BK691" s="8">
        <v>173.24</v>
      </c>
      <c r="BL691" s="2" t="s">
        <v>932</v>
      </c>
      <c r="BM691" s="7"/>
      <c r="BN691" s="7"/>
      <c r="BO691" s="4"/>
      <c r="BP691" s="8"/>
      <c r="BQ691" s="4"/>
      <c r="BR691" s="8"/>
      <c r="BS691" s="7"/>
      <c r="BT691" s="7"/>
      <c r="BU691" s="2" t="s">
        <v>3961</v>
      </c>
      <c r="BV691" s="2" t="s">
        <v>231</v>
      </c>
      <c r="BW691" s="2" t="s">
        <v>231</v>
      </c>
      <c r="BX691" s="2" t="s">
        <v>241</v>
      </c>
      <c r="BY691" s="2" t="s">
        <v>277</v>
      </c>
      <c r="BZ691" s="2" t="s">
        <v>243</v>
      </c>
      <c r="CA691" s="2" t="s">
        <v>640</v>
      </c>
      <c r="CB691" s="2" t="s">
        <v>2646</v>
      </c>
      <c r="CC691" s="2" t="s">
        <v>244</v>
      </c>
      <c r="CD691" s="2" t="s">
        <v>231</v>
      </c>
      <c r="CE691" s="4">
        <v>235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</row>
    <row r="692">
      <c r="A692" s="2" t="s">
        <v>3962</v>
      </c>
      <c r="B692" s="2" t="s">
        <v>226</v>
      </c>
      <c r="C692" s="2" t="s">
        <v>3948</v>
      </c>
      <c r="D692" s="2" t="s">
        <v>1549</v>
      </c>
      <c r="E692" s="2" t="s">
        <v>3949</v>
      </c>
      <c r="F692" s="2" t="s">
        <v>3950</v>
      </c>
      <c r="G692" s="2" t="s">
        <v>3950</v>
      </c>
      <c r="H692" s="2" t="s">
        <v>3950</v>
      </c>
      <c r="I692" s="2" t="s">
        <v>3951</v>
      </c>
      <c r="J692" s="2" t="s">
        <v>318</v>
      </c>
      <c r="K692" s="2" t="s">
        <v>901</v>
      </c>
      <c r="L692" s="3">
        <v>45.23</v>
      </c>
      <c r="M692" s="3">
        <v>47.49</v>
      </c>
      <c r="N692" s="3">
        <v>94.99</v>
      </c>
      <c r="O692" s="2" t="s">
        <v>243</v>
      </c>
      <c r="P692" s="2" t="s">
        <v>270</v>
      </c>
      <c r="Q692" s="2" t="s">
        <v>237</v>
      </c>
      <c r="R692" s="2" t="s">
        <v>231</v>
      </c>
      <c r="S692" s="2" t="s">
        <v>3963</v>
      </c>
      <c r="T692" s="2" t="s">
        <v>1630</v>
      </c>
      <c r="U692" s="2" t="s">
        <v>327</v>
      </c>
      <c r="V692" s="2" t="s">
        <v>239</v>
      </c>
      <c r="W692" s="2" t="s">
        <v>273</v>
      </c>
      <c r="X692" s="2" t="s">
        <v>231</v>
      </c>
      <c r="Y692" s="2" t="s">
        <v>3955</v>
      </c>
      <c r="Z692" s="4">
        <v>264</v>
      </c>
      <c r="AA692" s="4">
        <f>=ROUNDDOWN(132,0)</f>
      </c>
      <c r="AB692" s="5">
        <v>2</v>
      </c>
      <c r="AC692" s="2" t="s">
        <v>231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231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231</v>
      </c>
      <c r="AW692" s="8" t="s">
        <v>231</v>
      </c>
      <c r="AX692" s="4" t="s">
        <v>231</v>
      </c>
      <c r="AY692" s="8" t="s">
        <v>231</v>
      </c>
      <c r="AZ692" s="7" t="s">
        <v>231</v>
      </c>
      <c r="BA692" s="7" t="s">
        <v>231</v>
      </c>
      <c r="BB692" s="7"/>
      <c r="BC692" s="4" t="s">
        <v>231</v>
      </c>
      <c r="BD692" s="8" t="s">
        <v>231</v>
      </c>
      <c r="BE692" s="4" t="s">
        <v>231</v>
      </c>
      <c r="BF692" s="8" t="s">
        <v>231</v>
      </c>
      <c r="BG692" s="7" t="s">
        <v>231</v>
      </c>
      <c r="BH692" s="7" t="s">
        <v>231</v>
      </c>
      <c r="BI692" s="7"/>
      <c r="BJ692" s="4">
        <v>2</v>
      </c>
      <c r="BK692" s="8">
        <v>102.58</v>
      </c>
      <c r="BL692" s="2" t="s">
        <v>2849</v>
      </c>
      <c r="BM692" s="7"/>
      <c r="BN692" s="7"/>
      <c r="BO692" s="4"/>
      <c r="BP692" s="8"/>
      <c r="BQ692" s="4"/>
      <c r="BR692" s="8"/>
      <c r="BS692" s="7"/>
      <c r="BT692" s="7"/>
      <c r="BU692" s="2" t="s">
        <v>3964</v>
      </c>
      <c r="BV692" s="2" t="s">
        <v>231</v>
      </c>
      <c r="BW692" s="2" t="s">
        <v>231</v>
      </c>
      <c r="BX692" s="2" t="s">
        <v>241</v>
      </c>
      <c r="BY692" s="2" t="s">
        <v>277</v>
      </c>
      <c r="BZ692" s="2" t="s">
        <v>243</v>
      </c>
      <c r="CA692" s="2" t="s">
        <v>640</v>
      </c>
      <c r="CB692" s="2" t="s">
        <v>231</v>
      </c>
      <c r="CC692" s="2" t="s">
        <v>244</v>
      </c>
      <c r="CD692" s="2" t="s">
        <v>231</v>
      </c>
      <c r="CE692" s="4">
        <v>264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</row>
    <row r="693">
      <c r="A693" s="2" t="s">
        <v>3965</v>
      </c>
      <c r="B693" s="2" t="s">
        <v>226</v>
      </c>
      <c r="C693" s="2" t="s">
        <v>3948</v>
      </c>
      <c r="D693" s="2" t="s">
        <v>1549</v>
      </c>
      <c r="E693" s="2" t="s">
        <v>3949</v>
      </c>
      <c r="F693" s="2" t="s">
        <v>3950</v>
      </c>
      <c r="G693" s="2" t="s">
        <v>3950</v>
      </c>
      <c r="H693" s="2" t="s">
        <v>3950</v>
      </c>
      <c r="I693" s="2" t="s">
        <v>3951</v>
      </c>
      <c r="J693" s="2" t="s">
        <v>281</v>
      </c>
      <c r="K693" s="2" t="s">
        <v>901</v>
      </c>
      <c r="L693" s="3">
        <v>50</v>
      </c>
      <c r="M693" s="3">
        <v>52.5</v>
      </c>
      <c r="N693" s="3">
        <v>104.99</v>
      </c>
      <c r="O693" s="2" t="s">
        <v>243</v>
      </c>
      <c r="P693" s="2" t="s">
        <v>270</v>
      </c>
      <c r="Q693" s="2" t="s">
        <v>237</v>
      </c>
      <c r="R693" s="2" t="s">
        <v>231</v>
      </c>
      <c r="S693" s="2" t="s">
        <v>3963</v>
      </c>
      <c r="T693" s="2" t="s">
        <v>1630</v>
      </c>
      <c r="U693" s="2" t="s">
        <v>327</v>
      </c>
      <c r="V693" s="2" t="s">
        <v>239</v>
      </c>
      <c r="W693" s="2" t="s">
        <v>273</v>
      </c>
      <c r="X693" s="2" t="s">
        <v>231</v>
      </c>
      <c r="Y693" s="2" t="s">
        <v>3955</v>
      </c>
      <c r="Z693" s="4">
        <v>256</v>
      </c>
      <c r="AA693" s="4">
        <f>=ROUNDDOWN(128,0)</f>
      </c>
      <c r="AB693" s="5">
        <v>2</v>
      </c>
      <c r="AC693" s="2" t="s">
        <v>231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231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231</v>
      </c>
      <c r="AW693" s="8" t="s">
        <v>231</v>
      </c>
      <c r="AX693" s="4" t="s">
        <v>231</v>
      </c>
      <c r="AY693" s="8" t="s">
        <v>231</v>
      </c>
      <c r="AZ693" s="7" t="s">
        <v>231</v>
      </c>
      <c r="BA693" s="7" t="s">
        <v>231</v>
      </c>
      <c r="BB693" s="7"/>
      <c r="BC693" s="4" t="s">
        <v>231</v>
      </c>
      <c r="BD693" s="8" t="s">
        <v>231</v>
      </c>
      <c r="BE693" s="4" t="s">
        <v>231</v>
      </c>
      <c r="BF693" s="8" t="s">
        <v>231</v>
      </c>
      <c r="BG693" s="7" t="s">
        <v>231</v>
      </c>
      <c r="BH693" s="7" t="s">
        <v>231</v>
      </c>
      <c r="BI693" s="7"/>
      <c r="BJ693" s="4">
        <v>2</v>
      </c>
      <c r="BK693" s="8">
        <v>109.2</v>
      </c>
      <c r="BL693" s="2" t="s">
        <v>1206</v>
      </c>
      <c r="BM693" s="7"/>
      <c r="BN693" s="7"/>
      <c r="BO693" s="4"/>
      <c r="BP693" s="8"/>
      <c r="BQ693" s="4"/>
      <c r="BR693" s="8"/>
      <c r="BS693" s="7"/>
      <c r="BT693" s="7"/>
      <c r="BU693" s="2" t="s">
        <v>3966</v>
      </c>
      <c r="BV693" s="2" t="s">
        <v>231</v>
      </c>
      <c r="BW693" s="2" t="s">
        <v>231</v>
      </c>
      <c r="BX693" s="2" t="s">
        <v>241</v>
      </c>
      <c r="BY693" s="2" t="s">
        <v>277</v>
      </c>
      <c r="BZ693" s="2" t="s">
        <v>243</v>
      </c>
      <c r="CA693" s="2" t="s">
        <v>640</v>
      </c>
      <c r="CB693" s="2" t="s">
        <v>231</v>
      </c>
      <c r="CC693" s="2" t="s">
        <v>244</v>
      </c>
      <c r="CD693" s="2" t="s">
        <v>231</v>
      </c>
      <c r="CE693" s="4">
        <v>256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</row>
    <row r="694">
      <c r="A694" s="2" t="s">
        <v>3967</v>
      </c>
      <c r="B694" s="2" t="s">
        <v>226</v>
      </c>
      <c r="C694" s="2" t="s">
        <v>3948</v>
      </c>
      <c r="D694" s="2" t="s">
        <v>1549</v>
      </c>
      <c r="E694" s="2" t="s">
        <v>3949</v>
      </c>
      <c r="F694" s="2" t="s">
        <v>3950</v>
      </c>
      <c r="G694" s="2" t="s">
        <v>3950</v>
      </c>
      <c r="H694" s="2" t="s">
        <v>3950</v>
      </c>
      <c r="I694" s="2" t="s">
        <v>3951</v>
      </c>
      <c r="J694" s="2" t="s">
        <v>293</v>
      </c>
      <c r="K694" s="2" t="s">
        <v>901</v>
      </c>
      <c r="L694" s="3">
        <v>71.42</v>
      </c>
      <c r="M694" s="3">
        <v>74.99</v>
      </c>
      <c r="N694" s="3">
        <v>149.99</v>
      </c>
      <c r="O694" s="2" t="s">
        <v>243</v>
      </c>
      <c r="P694" s="2" t="s">
        <v>270</v>
      </c>
      <c r="Q694" s="2" t="s">
        <v>237</v>
      </c>
      <c r="R694" s="2" t="s">
        <v>231</v>
      </c>
      <c r="S694" s="2" t="s">
        <v>3963</v>
      </c>
      <c r="T694" s="2" t="s">
        <v>1630</v>
      </c>
      <c r="U694" s="2" t="s">
        <v>327</v>
      </c>
      <c r="V694" s="2" t="s">
        <v>239</v>
      </c>
      <c r="W694" s="2" t="s">
        <v>273</v>
      </c>
      <c r="X694" s="2" t="s">
        <v>231</v>
      </c>
      <c r="Y694" s="2" t="s">
        <v>3955</v>
      </c>
      <c r="Z694" s="4">
        <v>434</v>
      </c>
      <c r="AA694" s="4">
        <f>=ROUNDDOWN(144.666666666667,0)</f>
      </c>
      <c r="AB694" s="5">
        <v>3</v>
      </c>
      <c r="AC694" s="2" t="s">
        <v>231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231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231</v>
      </c>
      <c r="AW694" s="8" t="s">
        <v>231</v>
      </c>
      <c r="AX694" s="4" t="s">
        <v>231</v>
      </c>
      <c r="AY694" s="8" t="s">
        <v>231</v>
      </c>
      <c r="AZ694" s="7" t="s">
        <v>231</v>
      </c>
      <c r="BA694" s="7" t="s">
        <v>231</v>
      </c>
      <c r="BB694" s="7"/>
      <c r="BC694" s="4" t="s">
        <v>231</v>
      </c>
      <c r="BD694" s="8" t="s">
        <v>231</v>
      </c>
      <c r="BE694" s="4" t="s">
        <v>231</v>
      </c>
      <c r="BF694" s="8" t="s">
        <v>231</v>
      </c>
      <c r="BG694" s="7" t="s">
        <v>231</v>
      </c>
      <c r="BH694" s="7" t="s">
        <v>231</v>
      </c>
      <c r="BI694" s="7"/>
      <c r="BJ694" s="4">
        <v>2</v>
      </c>
      <c r="BK694" s="8">
        <v>159.73</v>
      </c>
      <c r="BL694" s="2" t="s">
        <v>3968</v>
      </c>
      <c r="BM694" s="7"/>
      <c r="BN694" s="7"/>
      <c r="BO694" s="4"/>
      <c r="BP694" s="8"/>
      <c r="BQ694" s="4"/>
      <c r="BR694" s="8"/>
      <c r="BS694" s="7"/>
      <c r="BT694" s="7"/>
      <c r="BU694" s="2" t="s">
        <v>3969</v>
      </c>
      <c r="BV694" s="2" t="s">
        <v>231</v>
      </c>
      <c r="BW694" s="2" t="s">
        <v>231</v>
      </c>
      <c r="BX694" s="2" t="s">
        <v>241</v>
      </c>
      <c r="BY694" s="2" t="s">
        <v>277</v>
      </c>
      <c r="BZ694" s="2" t="s">
        <v>243</v>
      </c>
      <c r="CA694" s="2" t="s">
        <v>640</v>
      </c>
      <c r="CB694" s="2" t="s">
        <v>3970</v>
      </c>
      <c r="CC694" s="2" t="s">
        <v>244</v>
      </c>
      <c r="CD694" s="2" t="s">
        <v>231</v>
      </c>
      <c r="CE694" s="4">
        <v>434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</row>
    <row r="695">
      <c r="A695" s="2" t="s">
        <v>3971</v>
      </c>
      <c r="B695" s="2" t="s">
        <v>226</v>
      </c>
      <c r="C695" s="2" t="s">
        <v>3948</v>
      </c>
      <c r="D695" s="2" t="s">
        <v>1549</v>
      </c>
      <c r="E695" s="2" t="s">
        <v>3949</v>
      </c>
      <c r="F695" s="2" t="s">
        <v>3950</v>
      </c>
      <c r="G695" s="2" t="s">
        <v>3950</v>
      </c>
      <c r="H695" s="2" t="s">
        <v>3950</v>
      </c>
      <c r="I695" s="2" t="s">
        <v>3951</v>
      </c>
      <c r="J695" s="2" t="s">
        <v>302</v>
      </c>
      <c r="K695" s="2" t="s">
        <v>901</v>
      </c>
      <c r="L695" s="3">
        <v>78.57</v>
      </c>
      <c r="M695" s="3">
        <v>82.5</v>
      </c>
      <c r="N695" s="3">
        <v>164.99</v>
      </c>
      <c r="O695" s="2" t="s">
        <v>243</v>
      </c>
      <c r="P695" s="2" t="s">
        <v>270</v>
      </c>
      <c r="Q695" s="2" t="s">
        <v>237</v>
      </c>
      <c r="R695" s="2" t="s">
        <v>231</v>
      </c>
      <c r="S695" s="2" t="s">
        <v>3963</v>
      </c>
      <c r="T695" s="2" t="s">
        <v>1630</v>
      </c>
      <c r="U695" s="2" t="s">
        <v>327</v>
      </c>
      <c r="V695" s="2" t="s">
        <v>239</v>
      </c>
      <c r="W695" s="2" t="s">
        <v>273</v>
      </c>
      <c r="X695" s="2" t="s">
        <v>231</v>
      </c>
      <c r="Y695" s="2" t="s">
        <v>3955</v>
      </c>
      <c r="Z695" s="4">
        <v>428</v>
      </c>
      <c r="AA695" s="4">
        <f>=ROUNDDOWN(85.6,0)</f>
      </c>
      <c r="AB695" s="5">
        <v>5</v>
      </c>
      <c r="AC695" s="2" t="s">
        <v>231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231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231</v>
      </c>
      <c r="AW695" s="8" t="s">
        <v>231</v>
      </c>
      <c r="AX695" s="4" t="s">
        <v>231</v>
      </c>
      <c r="AY695" s="8" t="s">
        <v>231</v>
      </c>
      <c r="AZ695" s="7" t="s">
        <v>231</v>
      </c>
      <c r="BA695" s="7" t="s">
        <v>231</v>
      </c>
      <c r="BB695" s="7"/>
      <c r="BC695" s="4" t="s">
        <v>231</v>
      </c>
      <c r="BD695" s="8" t="s">
        <v>231</v>
      </c>
      <c r="BE695" s="4" t="s">
        <v>231</v>
      </c>
      <c r="BF695" s="8" t="s">
        <v>231</v>
      </c>
      <c r="BG695" s="7" t="s">
        <v>231</v>
      </c>
      <c r="BH695" s="7" t="s">
        <v>231</v>
      </c>
      <c r="BI695" s="7"/>
      <c r="BJ695" s="4">
        <v>5</v>
      </c>
      <c r="BK695" s="8">
        <v>440.54</v>
      </c>
      <c r="BL695" s="2" t="s">
        <v>924</v>
      </c>
      <c r="BM695" s="7"/>
      <c r="BN695" s="7"/>
      <c r="BO695" s="4"/>
      <c r="BP695" s="8"/>
      <c r="BQ695" s="4"/>
      <c r="BR695" s="8"/>
      <c r="BS695" s="7"/>
      <c r="BT695" s="7"/>
      <c r="BU695" s="2" t="s">
        <v>3972</v>
      </c>
      <c r="BV695" s="2" t="s">
        <v>231</v>
      </c>
      <c r="BW695" s="2" t="s">
        <v>231</v>
      </c>
      <c r="BX695" s="2" t="s">
        <v>241</v>
      </c>
      <c r="BY695" s="2" t="s">
        <v>277</v>
      </c>
      <c r="BZ695" s="2" t="s">
        <v>243</v>
      </c>
      <c r="CA695" s="2" t="s">
        <v>640</v>
      </c>
      <c r="CB695" s="2" t="s">
        <v>3973</v>
      </c>
      <c r="CC695" s="2" t="s">
        <v>244</v>
      </c>
      <c r="CD695" s="2" t="s">
        <v>231</v>
      </c>
      <c r="CE695" s="4">
        <v>428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</row>
    <row r="696">
      <c r="A696" s="2" t="s">
        <v>3974</v>
      </c>
      <c r="B696" s="2" t="s">
        <v>226</v>
      </c>
      <c r="C696" s="2" t="s">
        <v>3948</v>
      </c>
      <c r="D696" s="2" t="s">
        <v>1549</v>
      </c>
      <c r="E696" s="2" t="s">
        <v>3949</v>
      </c>
      <c r="F696" s="2" t="s">
        <v>3950</v>
      </c>
      <c r="G696" s="2" t="s">
        <v>3950</v>
      </c>
      <c r="H696" s="2" t="s">
        <v>3950</v>
      </c>
      <c r="I696" s="2" t="s">
        <v>3951</v>
      </c>
      <c r="J696" s="2" t="s">
        <v>318</v>
      </c>
      <c r="K696" s="2" t="s">
        <v>253</v>
      </c>
      <c r="L696" s="3">
        <v>45.23</v>
      </c>
      <c r="M696" s="3">
        <v>47.49</v>
      </c>
      <c r="N696" s="3">
        <v>94.99</v>
      </c>
      <c r="O696" s="2" t="s">
        <v>243</v>
      </c>
      <c r="P696" s="2" t="s">
        <v>270</v>
      </c>
      <c r="Q696" s="2" t="s">
        <v>237</v>
      </c>
      <c r="R696" s="2" t="s">
        <v>231</v>
      </c>
      <c r="S696" s="2" t="s">
        <v>3975</v>
      </c>
      <c r="T696" s="2" t="s">
        <v>1630</v>
      </c>
      <c r="U696" s="2" t="s">
        <v>327</v>
      </c>
      <c r="V696" s="2" t="s">
        <v>239</v>
      </c>
      <c r="W696" s="2" t="s">
        <v>273</v>
      </c>
      <c r="X696" s="2" t="s">
        <v>231</v>
      </c>
      <c r="Y696" s="2" t="s">
        <v>3955</v>
      </c>
      <c r="Z696" s="4">
        <v>239</v>
      </c>
      <c r="AA696" s="4">
        <f>=ROUNDDOWN(79.6666666666667,0)</f>
      </c>
      <c r="AB696" s="5">
        <v>3</v>
      </c>
      <c r="AC696" s="2" t="s">
        <v>231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231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231</v>
      </c>
      <c r="AW696" s="8" t="s">
        <v>231</v>
      </c>
      <c r="AX696" s="4" t="s">
        <v>231</v>
      </c>
      <c r="AY696" s="8" t="s">
        <v>231</v>
      </c>
      <c r="AZ696" s="7" t="s">
        <v>231</v>
      </c>
      <c r="BA696" s="7" t="s">
        <v>231</v>
      </c>
      <c r="BB696" s="7"/>
      <c r="BC696" s="4" t="s">
        <v>231</v>
      </c>
      <c r="BD696" s="8" t="s">
        <v>231</v>
      </c>
      <c r="BE696" s="4" t="s">
        <v>231</v>
      </c>
      <c r="BF696" s="8" t="s">
        <v>231</v>
      </c>
      <c r="BG696" s="7" t="s">
        <v>231</v>
      </c>
      <c r="BH696" s="7" t="s">
        <v>231</v>
      </c>
      <c r="BI696" s="7"/>
      <c r="BJ696" s="4">
        <v>5</v>
      </c>
      <c r="BK696" s="8">
        <v>256.45</v>
      </c>
      <c r="BL696" s="2" t="s">
        <v>1358</v>
      </c>
      <c r="BM696" s="7"/>
      <c r="BN696" s="7"/>
      <c r="BO696" s="4"/>
      <c r="BP696" s="8"/>
      <c r="BQ696" s="4"/>
      <c r="BR696" s="8"/>
      <c r="BS696" s="7"/>
      <c r="BT696" s="7"/>
      <c r="BU696" s="2" t="s">
        <v>3976</v>
      </c>
      <c r="BV696" s="2" t="s">
        <v>231</v>
      </c>
      <c r="BW696" s="2" t="s">
        <v>231</v>
      </c>
      <c r="BX696" s="2" t="s">
        <v>241</v>
      </c>
      <c r="BY696" s="2" t="s">
        <v>277</v>
      </c>
      <c r="BZ696" s="2" t="s">
        <v>243</v>
      </c>
      <c r="CA696" s="2" t="s">
        <v>640</v>
      </c>
      <c r="CB696" s="2" t="s">
        <v>3752</v>
      </c>
      <c r="CC696" s="2" t="s">
        <v>244</v>
      </c>
      <c r="CD696" s="2" t="s">
        <v>231</v>
      </c>
      <c r="CE696" s="4">
        <v>239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</row>
    <row r="697">
      <c r="A697" s="2" t="s">
        <v>3977</v>
      </c>
      <c r="B697" s="2" t="s">
        <v>226</v>
      </c>
      <c r="C697" s="2" t="s">
        <v>3948</v>
      </c>
      <c r="D697" s="2" t="s">
        <v>1549</v>
      </c>
      <c r="E697" s="2" t="s">
        <v>3949</v>
      </c>
      <c r="F697" s="2" t="s">
        <v>3950</v>
      </c>
      <c r="G697" s="2" t="s">
        <v>3950</v>
      </c>
      <c r="H697" s="2" t="s">
        <v>3950</v>
      </c>
      <c r="I697" s="2" t="s">
        <v>3951</v>
      </c>
      <c r="J697" s="2" t="s">
        <v>281</v>
      </c>
      <c r="K697" s="2" t="s">
        <v>253</v>
      </c>
      <c r="L697" s="3">
        <v>50</v>
      </c>
      <c r="M697" s="3">
        <v>52.5</v>
      </c>
      <c r="N697" s="3">
        <v>104.99</v>
      </c>
      <c r="O697" s="2" t="s">
        <v>243</v>
      </c>
      <c r="P697" s="2" t="s">
        <v>270</v>
      </c>
      <c r="Q697" s="2" t="s">
        <v>237</v>
      </c>
      <c r="R697" s="2" t="s">
        <v>231</v>
      </c>
      <c r="S697" s="2" t="s">
        <v>3975</v>
      </c>
      <c r="T697" s="2" t="s">
        <v>1630</v>
      </c>
      <c r="U697" s="2" t="s">
        <v>327</v>
      </c>
      <c r="V697" s="2" t="s">
        <v>239</v>
      </c>
      <c r="W697" s="2" t="s">
        <v>273</v>
      </c>
      <c r="X697" s="2" t="s">
        <v>231</v>
      </c>
      <c r="Y697" s="2" t="s">
        <v>3955</v>
      </c>
      <c r="Z697" s="4">
        <v>212</v>
      </c>
      <c r="AA697" s="4">
        <f>=ROUNDDOWN(42.4,0)</f>
      </c>
      <c r="AB697" s="5">
        <v>5</v>
      </c>
      <c r="AC697" s="2" t="s">
        <v>231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231</v>
      </c>
      <c r="AW697" s="8" t="s">
        <v>231</v>
      </c>
      <c r="AX697" s="4" t="s">
        <v>231</v>
      </c>
      <c r="AY697" s="8" t="s">
        <v>231</v>
      </c>
      <c r="AZ697" s="7" t="s">
        <v>231</v>
      </c>
      <c r="BA697" s="7" t="s">
        <v>231</v>
      </c>
      <c r="BB697" s="7"/>
      <c r="BC697" s="4" t="s">
        <v>231</v>
      </c>
      <c r="BD697" s="8" t="s">
        <v>231</v>
      </c>
      <c r="BE697" s="4" t="s">
        <v>231</v>
      </c>
      <c r="BF697" s="8" t="s">
        <v>231</v>
      </c>
      <c r="BG697" s="7" t="s">
        <v>231</v>
      </c>
      <c r="BH697" s="7" t="s">
        <v>231</v>
      </c>
      <c r="BI697" s="7"/>
      <c r="BJ697" s="4">
        <v>3</v>
      </c>
      <c r="BK697" s="8">
        <v>165.9</v>
      </c>
      <c r="BL697" s="2" t="s">
        <v>1240</v>
      </c>
      <c r="BM697" s="7"/>
      <c r="BN697" s="7"/>
      <c r="BO697" s="4"/>
      <c r="BP697" s="8"/>
      <c r="BQ697" s="4"/>
      <c r="BR697" s="8"/>
      <c r="BS697" s="7"/>
      <c r="BT697" s="7"/>
      <c r="BU697" s="2" t="s">
        <v>3978</v>
      </c>
      <c r="BV697" s="2" t="s">
        <v>231</v>
      </c>
      <c r="BW697" s="2" t="s">
        <v>231</v>
      </c>
      <c r="BX697" s="2" t="s">
        <v>241</v>
      </c>
      <c r="BY697" s="2" t="s">
        <v>277</v>
      </c>
      <c r="BZ697" s="2" t="s">
        <v>243</v>
      </c>
      <c r="CA697" s="2" t="s">
        <v>640</v>
      </c>
      <c r="CB697" s="2" t="s">
        <v>3398</v>
      </c>
      <c r="CC697" s="2" t="s">
        <v>244</v>
      </c>
      <c r="CD697" s="2" t="s">
        <v>231</v>
      </c>
      <c r="CE697" s="4">
        <v>212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</row>
    <row r="698">
      <c r="A698" s="2" t="s">
        <v>3979</v>
      </c>
      <c r="B698" s="2" t="s">
        <v>226</v>
      </c>
      <c r="C698" s="2" t="s">
        <v>3948</v>
      </c>
      <c r="D698" s="2" t="s">
        <v>1549</v>
      </c>
      <c r="E698" s="2" t="s">
        <v>3949</v>
      </c>
      <c r="F698" s="2" t="s">
        <v>3950</v>
      </c>
      <c r="G698" s="2" t="s">
        <v>3950</v>
      </c>
      <c r="H698" s="2" t="s">
        <v>3950</v>
      </c>
      <c r="I698" s="2" t="s">
        <v>3951</v>
      </c>
      <c r="J698" s="2" t="s">
        <v>293</v>
      </c>
      <c r="K698" s="2" t="s">
        <v>253</v>
      </c>
      <c r="L698" s="3">
        <v>71.42</v>
      </c>
      <c r="M698" s="3">
        <v>74.99</v>
      </c>
      <c r="N698" s="3">
        <v>149.99</v>
      </c>
      <c r="O698" s="2" t="s">
        <v>243</v>
      </c>
      <c r="P698" s="2" t="s">
        <v>270</v>
      </c>
      <c r="Q698" s="2" t="s">
        <v>237</v>
      </c>
      <c r="R698" s="2" t="s">
        <v>231</v>
      </c>
      <c r="S698" s="2" t="s">
        <v>3975</v>
      </c>
      <c r="T698" s="2" t="s">
        <v>1630</v>
      </c>
      <c r="U698" s="2" t="s">
        <v>327</v>
      </c>
      <c r="V698" s="2" t="s">
        <v>239</v>
      </c>
      <c r="W698" s="2" t="s">
        <v>273</v>
      </c>
      <c r="X698" s="2" t="s">
        <v>231</v>
      </c>
      <c r="Y698" s="2" t="s">
        <v>948</v>
      </c>
      <c r="Z698" s="4">
        <v>300</v>
      </c>
      <c r="AA698" s="4">
        <f>=ROUNDDOWN(42.8571428571429,0)</f>
      </c>
      <c r="AB698" s="5">
        <v>7</v>
      </c>
      <c r="AC698" s="2" t="s">
        <v>231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231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231</v>
      </c>
      <c r="AW698" s="8" t="s">
        <v>231</v>
      </c>
      <c r="AX698" s="4" t="s">
        <v>231</v>
      </c>
      <c r="AY698" s="8" t="s">
        <v>231</v>
      </c>
      <c r="AZ698" s="7" t="s">
        <v>231</v>
      </c>
      <c r="BA698" s="7" t="s">
        <v>231</v>
      </c>
      <c r="BB698" s="7"/>
      <c r="BC698" s="4" t="s">
        <v>231</v>
      </c>
      <c r="BD698" s="8" t="s">
        <v>231</v>
      </c>
      <c r="BE698" s="4" t="s">
        <v>231</v>
      </c>
      <c r="BF698" s="8" t="s">
        <v>231</v>
      </c>
      <c r="BG698" s="7" t="s">
        <v>231</v>
      </c>
      <c r="BH698" s="7" t="s">
        <v>231</v>
      </c>
      <c r="BI698" s="7"/>
      <c r="BJ698" s="4">
        <v>2</v>
      </c>
      <c r="BK698" s="8">
        <v>161.98</v>
      </c>
      <c r="BL698" s="2" t="s">
        <v>465</v>
      </c>
      <c r="BM698" s="7"/>
      <c r="BN698" s="7"/>
      <c r="BO698" s="4"/>
      <c r="BP698" s="8"/>
      <c r="BQ698" s="4"/>
      <c r="BR698" s="8"/>
      <c r="BS698" s="7"/>
      <c r="BT698" s="7"/>
      <c r="BU698" s="2" t="s">
        <v>3980</v>
      </c>
      <c r="BV698" s="2" t="s">
        <v>231</v>
      </c>
      <c r="BW698" s="2" t="s">
        <v>231</v>
      </c>
      <c r="BX698" s="2" t="s">
        <v>241</v>
      </c>
      <c r="BY698" s="2" t="s">
        <v>277</v>
      </c>
      <c r="BZ698" s="2" t="s">
        <v>243</v>
      </c>
      <c r="CA698" s="2" t="s">
        <v>640</v>
      </c>
      <c r="CB698" s="2" t="s">
        <v>3752</v>
      </c>
      <c r="CC698" s="2" t="s">
        <v>244</v>
      </c>
      <c r="CD698" s="2" t="s">
        <v>231</v>
      </c>
      <c r="CE698" s="4">
        <v>300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</row>
    <row r="699">
      <c r="A699" s="2" t="s">
        <v>3981</v>
      </c>
      <c r="B699" s="2" t="s">
        <v>226</v>
      </c>
      <c r="C699" s="2" t="s">
        <v>3948</v>
      </c>
      <c r="D699" s="2" t="s">
        <v>1549</v>
      </c>
      <c r="E699" s="2" t="s">
        <v>3949</v>
      </c>
      <c r="F699" s="2" t="s">
        <v>3950</v>
      </c>
      <c r="G699" s="2" t="s">
        <v>3950</v>
      </c>
      <c r="H699" s="2" t="s">
        <v>3950</v>
      </c>
      <c r="I699" s="2" t="s">
        <v>3951</v>
      </c>
      <c r="J699" s="2" t="s">
        <v>302</v>
      </c>
      <c r="K699" s="2" t="s">
        <v>253</v>
      </c>
      <c r="L699" s="3">
        <v>78.57</v>
      </c>
      <c r="M699" s="3">
        <v>82.5</v>
      </c>
      <c r="N699" s="3">
        <v>164.99</v>
      </c>
      <c r="O699" s="2" t="s">
        <v>243</v>
      </c>
      <c r="P699" s="2" t="s">
        <v>270</v>
      </c>
      <c r="Q699" s="2" t="s">
        <v>237</v>
      </c>
      <c r="R699" s="2" t="s">
        <v>231</v>
      </c>
      <c r="S699" s="2" t="s">
        <v>3975</v>
      </c>
      <c r="T699" s="2" t="s">
        <v>1630</v>
      </c>
      <c r="U699" s="2" t="s">
        <v>327</v>
      </c>
      <c r="V699" s="2" t="s">
        <v>239</v>
      </c>
      <c r="W699" s="2" t="s">
        <v>273</v>
      </c>
      <c r="X699" s="2" t="s">
        <v>231</v>
      </c>
      <c r="Y699" s="2" t="s">
        <v>3955</v>
      </c>
      <c r="Z699" s="4">
        <v>181</v>
      </c>
      <c r="AA699" s="4">
        <f>=ROUNDDOWN(18.1,0)</f>
      </c>
      <c r="AB699" s="5">
        <v>10</v>
      </c>
      <c r="AC699" s="2" t="s">
        <v>2049</v>
      </c>
      <c r="AD699" s="4">
        <v>200</v>
      </c>
      <c r="AE699" s="4">
        <v>200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231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231</v>
      </c>
      <c r="AW699" s="8" t="s">
        <v>231</v>
      </c>
      <c r="AX699" s="4" t="s">
        <v>231</v>
      </c>
      <c r="AY699" s="8" t="s">
        <v>231</v>
      </c>
      <c r="AZ699" s="7" t="s">
        <v>231</v>
      </c>
      <c r="BA699" s="7" t="s">
        <v>231</v>
      </c>
      <c r="BB699" s="7"/>
      <c r="BC699" s="4" t="s">
        <v>231</v>
      </c>
      <c r="BD699" s="8" t="s">
        <v>231</v>
      </c>
      <c r="BE699" s="4" t="s">
        <v>231</v>
      </c>
      <c r="BF699" s="8" t="s">
        <v>231</v>
      </c>
      <c r="BG699" s="7" t="s">
        <v>231</v>
      </c>
      <c r="BH699" s="7" t="s">
        <v>231</v>
      </c>
      <c r="BI699" s="7"/>
      <c r="BJ699" s="4">
        <v>5</v>
      </c>
      <c r="BK699" s="8">
        <v>438.06</v>
      </c>
      <c r="BL699" s="2" t="s">
        <v>3882</v>
      </c>
      <c r="BM699" s="7"/>
      <c r="BN699" s="7"/>
      <c r="BO699" s="4"/>
      <c r="BP699" s="8"/>
      <c r="BQ699" s="4"/>
      <c r="BR699" s="8"/>
      <c r="BS699" s="7"/>
      <c r="BT699" s="7"/>
      <c r="BU699" s="2" t="s">
        <v>3982</v>
      </c>
      <c r="BV699" s="2" t="s">
        <v>231</v>
      </c>
      <c r="BW699" s="2" t="s">
        <v>231</v>
      </c>
      <c r="BX699" s="2" t="s">
        <v>241</v>
      </c>
      <c r="BY699" s="2" t="s">
        <v>277</v>
      </c>
      <c r="BZ699" s="2" t="s">
        <v>243</v>
      </c>
      <c r="CA699" s="2" t="s">
        <v>640</v>
      </c>
      <c r="CB699" s="2" t="s">
        <v>2826</v>
      </c>
      <c r="CC699" s="2" t="s">
        <v>244</v>
      </c>
      <c r="CD699" s="2" t="s">
        <v>231</v>
      </c>
      <c r="CE699" s="4">
        <v>181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>
        <v>200</v>
      </c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</row>
    <row r="700">
      <c r="A700" s="2" t="s">
        <v>3983</v>
      </c>
      <c r="B700" s="2" t="s">
        <v>226</v>
      </c>
      <c r="C700" s="2" t="s">
        <v>3948</v>
      </c>
      <c r="D700" s="2" t="s">
        <v>1549</v>
      </c>
      <c r="E700" s="2" t="s">
        <v>3949</v>
      </c>
      <c r="F700" s="2" t="s">
        <v>3950</v>
      </c>
      <c r="G700" s="2" t="s">
        <v>3950</v>
      </c>
      <c r="H700" s="2" t="s">
        <v>3950</v>
      </c>
      <c r="I700" s="2" t="s">
        <v>3951</v>
      </c>
      <c r="J700" s="2" t="s">
        <v>318</v>
      </c>
      <c r="K700" s="2" t="s">
        <v>306</v>
      </c>
      <c r="L700" s="3">
        <v>45.23</v>
      </c>
      <c r="M700" s="3">
        <v>47.49</v>
      </c>
      <c r="N700" s="3">
        <v>94.99</v>
      </c>
      <c r="O700" s="2" t="s">
        <v>243</v>
      </c>
      <c r="P700" s="2" t="s">
        <v>270</v>
      </c>
      <c r="Q700" s="2" t="s">
        <v>237</v>
      </c>
      <c r="R700" s="2" t="s">
        <v>231</v>
      </c>
      <c r="S700" s="2" t="s">
        <v>3984</v>
      </c>
      <c r="T700" s="2" t="s">
        <v>1630</v>
      </c>
      <c r="U700" s="2" t="s">
        <v>327</v>
      </c>
      <c r="V700" s="2" t="s">
        <v>239</v>
      </c>
      <c r="W700" s="2" t="s">
        <v>273</v>
      </c>
      <c r="X700" s="2" t="s">
        <v>231</v>
      </c>
      <c r="Y700" s="2" t="s">
        <v>3955</v>
      </c>
      <c r="Z700" s="4">
        <v>249</v>
      </c>
      <c r="AA700" s="4">
        <f>=ROUNDDOWN(124.5,0)</f>
      </c>
      <c r="AB700" s="5">
        <v>2</v>
      </c>
      <c r="AC700" s="2" t="s">
        <v>231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231</v>
      </c>
      <c r="BD700" s="8" t="s">
        <v>231</v>
      </c>
      <c r="BE700" s="4" t="s">
        <v>231</v>
      </c>
      <c r="BF700" s="8" t="s">
        <v>231</v>
      </c>
      <c r="BG700" s="7" t="s">
        <v>231</v>
      </c>
      <c r="BH700" s="7" t="s">
        <v>231</v>
      </c>
      <c r="BI700" s="7"/>
      <c r="BJ700" s="4">
        <v>1</v>
      </c>
      <c r="BK700" s="8">
        <v>51.29</v>
      </c>
      <c r="BL700" s="2" t="s">
        <v>465</v>
      </c>
      <c r="BM700" s="7"/>
      <c r="BN700" s="7"/>
      <c r="BO700" s="4"/>
      <c r="BP700" s="8"/>
      <c r="BQ700" s="4"/>
      <c r="BR700" s="8"/>
      <c r="BS700" s="7"/>
      <c r="BT700" s="7"/>
      <c r="BU700" s="2" t="s">
        <v>3985</v>
      </c>
      <c r="BV700" s="2" t="s">
        <v>231</v>
      </c>
      <c r="BW700" s="2" t="s">
        <v>231</v>
      </c>
      <c r="BX700" s="2" t="s">
        <v>241</v>
      </c>
      <c r="BY700" s="2" t="s">
        <v>277</v>
      </c>
      <c r="BZ700" s="2" t="s">
        <v>243</v>
      </c>
      <c r="CA700" s="2" t="s">
        <v>640</v>
      </c>
      <c r="CB700" s="2" t="s">
        <v>2994</v>
      </c>
      <c r="CC700" s="2" t="s">
        <v>244</v>
      </c>
      <c r="CD700" s="2" t="s">
        <v>231</v>
      </c>
      <c r="CE700" s="4">
        <v>249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</row>
    <row r="701">
      <c r="A701" s="2" t="s">
        <v>3986</v>
      </c>
      <c r="B701" s="2" t="s">
        <v>992</v>
      </c>
      <c r="C701" s="2" t="s">
        <v>1980</v>
      </c>
      <c r="D701" s="2" t="s">
        <v>993</v>
      </c>
      <c r="E701" s="2" t="s">
        <v>994</v>
      </c>
      <c r="F701" s="2" t="s">
        <v>3987</v>
      </c>
      <c r="G701" s="2" t="s">
        <v>3987</v>
      </c>
      <c r="H701" s="2" t="s">
        <v>3987</v>
      </c>
      <c r="I701" s="2" t="s">
        <v>3988</v>
      </c>
      <c r="J701" s="2" t="s">
        <v>2066</v>
      </c>
      <c r="K701" s="2" t="s">
        <v>306</v>
      </c>
      <c r="L701" s="3">
        <v>17.02</v>
      </c>
      <c r="M701" s="3">
        <v>17.87</v>
      </c>
      <c r="N701" s="3">
        <v>49.99</v>
      </c>
      <c r="O701" s="2" t="s">
        <v>243</v>
      </c>
      <c r="P701" s="2" t="s">
        <v>341</v>
      </c>
      <c r="Q701" s="2" t="s">
        <v>237</v>
      </c>
      <c r="R701" s="2" t="s">
        <v>231</v>
      </c>
      <c r="S701" s="2" t="s">
        <v>231</v>
      </c>
      <c r="T701" s="2" t="s">
        <v>231</v>
      </c>
      <c r="U701" s="2" t="s">
        <v>327</v>
      </c>
      <c r="V701" s="2" t="s">
        <v>239</v>
      </c>
      <c r="W701" s="2" t="s">
        <v>299</v>
      </c>
      <c r="X701" s="2" t="s">
        <v>231</v>
      </c>
      <c r="Y701" s="2" t="s">
        <v>2560</v>
      </c>
      <c r="Z701" s="4">
        <v>127</v>
      </c>
      <c r="AA701" s="4">
        <f>=ROUNDDOWN({0},0)</f>
      </c>
      <c r="AB701" s="5"/>
      <c r="AC701" s="2" t="s">
        <v>231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231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231</v>
      </c>
      <c r="BD701" s="8" t="s">
        <v>231</v>
      </c>
      <c r="BE701" s="4" t="s">
        <v>231</v>
      </c>
      <c r="BF701" s="8" t="s">
        <v>231</v>
      </c>
      <c r="BG701" s="7" t="s">
        <v>231</v>
      </c>
      <c r="BH701" s="7" t="s">
        <v>231</v>
      </c>
      <c r="BI701" s="7"/>
      <c r="BJ701" s="4"/>
      <c r="BK701" s="8"/>
      <c r="BL701" s="2" t="s">
        <v>231</v>
      </c>
      <c r="BM701" s="7"/>
      <c r="BN701" s="7"/>
      <c r="BO701" s="4"/>
      <c r="BP701" s="8"/>
      <c r="BQ701" s="4"/>
      <c r="BR701" s="8"/>
      <c r="BS701" s="7"/>
      <c r="BT701" s="7"/>
      <c r="BU701" s="2" t="s">
        <v>3989</v>
      </c>
      <c r="BV701" s="2" t="s">
        <v>231</v>
      </c>
      <c r="BW701" s="2" t="s">
        <v>231</v>
      </c>
      <c r="BX701" s="2" t="s">
        <v>231</v>
      </c>
      <c r="BY701" s="2" t="s">
        <v>277</v>
      </c>
      <c r="BZ701" s="2" t="s">
        <v>243</v>
      </c>
      <c r="CA701" s="2" t="s">
        <v>2070</v>
      </c>
      <c r="CB701" s="2" t="s">
        <v>1587</v>
      </c>
      <c r="CC701" s="2" t="s">
        <v>244</v>
      </c>
      <c r="CD701" s="2" t="s">
        <v>231</v>
      </c>
      <c r="CE701" s="4">
        <v>127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</row>
    <row r="702">
      <c r="A702" s="2" t="s">
        <v>3990</v>
      </c>
      <c r="B702" s="2" t="s">
        <v>992</v>
      </c>
      <c r="C702" s="2" t="s">
        <v>1980</v>
      </c>
      <c r="D702" s="2" t="s">
        <v>993</v>
      </c>
      <c r="E702" s="2" t="s">
        <v>994</v>
      </c>
      <c r="F702" s="2" t="s">
        <v>3987</v>
      </c>
      <c r="G702" s="2" t="s">
        <v>3987</v>
      </c>
      <c r="H702" s="2" t="s">
        <v>3987</v>
      </c>
      <c r="I702" s="2" t="s">
        <v>3988</v>
      </c>
      <c r="J702" s="2" t="s">
        <v>2066</v>
      </c>
      <c r="K702" s="2" t="s">
        <v>319</v>
      </c>
      <c r="L702" s="3">
        <v>17.02</v>
      </c>
      <c r="M702" s="3">
        <v>17.87</v>
      </c>
      <c r="N702" s="3">
        <v>49.99</v>
      </c>
      <c r="O702" s="2" t="s">
        <v>243</v>
      </c>
      <c r="P702" s="2" t="s">
        <v>341</v>
      </c>
      <c r="Q702" s="2" t="s">
        <v>237</v>
      </c>
      <c r="R702" s="2" t="s">
        <v>231</v>
      </c>
      <c r="S702" s="2" t="s">
        <v>231</v>
      </c>
      <c r="T702" s="2" t="s">
        <v>231</v>
      </c>
      <c r="U702" s="2" t="s">
        <v>327</v>
      </c>
      <c r="V702" s="2" t="s">
        <v>239</v>
      </c>
      <c r="W702" s="2" t="s">
        <v>299</v>
      </c>
      <c r="X702" s="2" t="s">
        <v>231</v>
      </c>
      <c r="Y702" s="2" t="s">
        <v>2560</v>
      </c>
      <c r="Z702" s="4">
        <v>115</v>
      </c>
      <c r="AA702" s="4">
        <f>=ROUNDDOWN(57.5,0)</f>
      </c>
      <c r="AB702" s="5">
        <v>2</v>
      </c>
      <c r="AC702" s="2" t="s">
        <v>231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231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231</v>
      </c>
      <c r="AW702" s="8" t="s">
        <v>231</v>
      </c>
      <c r="AX702" s="4" t="s">
        <v>231</v>
      </c>
      <c r="AY702" s="8" t="s">
        <v>231</v>
      </c>
      <c r="AZ702" s="7" t="s">
        <v>231</v>
      </c>
      <c r="BA702" s="7" t="s">
        <v>231</v>
      </c>
      <c r="BB702" s="7"/>
      <c r="BC702" s="4" t="s">
        <v>231</v>
      </c>
      <c r="BD702" s="8" t="s">
        <v>231</v>
      </c>
      <c r="BE702" s="4" t="s">
        <v>231</v>
      </c>
      <c r="BF702" s="8" t="s">
        <v>231</v>
      </c>
      <c r="BG702" s="7" t="s">
        <v>231</v>
      </c>
      <c r="BH702" s="7" t="s">
        <v>231</v>
      </c>
      <c r="BI702" s="7"/>
      <c r="BJ702" s="4">
        <v>4</v>
      </c>
      <c r="BK702" s="8">
        <v>103.74</v>
      </c>
      <c r="BL702" s="2" t="s">
        <v>2088</v>
      </c>
      <c r="BM702" s="7"/>
      <c r="BN702" s="7"/>
      <c r="BO702" s="4"/>
      <c r="BP702" s="8"/>
      <c r="BQ702" s="4"/>
      <c r="BR702" s="8"/>
      <c r="BS702" s="7"/>
      <c r="BT702" s="7"/>
      <c r="BU702" s="2" t="s">
        <v>3991</v>
      </c>
      <c r="BV702" s="2" t="s">
        <v>231</v>
      </c>
      <c r="BW702" s="2" t="s">
        <v>231</v>
      </c>
      <c r="BX702" s="2" t="s">
        <v>231</v>
      </c>
      <c r="BY702" s="2" t="s">
        <v>277</v>
      </c>
      <c r="BZ702" s="2" t="s">
        <v>243</v>
      </c>
      <c r="CA702" s="2" t="s">
        <v>2070</v>
      </c>
      <c r="CB702" s="2" t="s">
        <v>231</v>
      </c>
      <c r="CC702" s="2" t="s">
        <v>244</v>
      </c>
      <c r="CD702" s="2" t="s">
        <v>231</v>
      </c>
      <c r="CE702" s="4">
        <v>115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</row>
    <row r="703">
      <c r="A703" s="2" t="s">
        <v>3992</v>
      </c>
      <c r="B703" s="2" t="s">
        <v>992</v>
      </c>
      <c r="C703" s="2" t="s">
        <v>1980</v>
      </c>
      <c r="D703" s="2" t="s">
        <v>993</v>
      </c>
      <c r="E703" s="2" t="s">
        <v>994</v>
      </c>
      <c r="F703" s="2" t="s">
        <v>3987</v>
      </c>
      <c r="G703" s="2" t="s">
        <v>3987</v>
      </c>
      <c r="H703" s="2" t="s">
        <v>3987</v>
      </c>
      <c r="I703" s="2" t="s">
        <v>3988</v>
      </c>
      <c r="J703" s="2" t="s">
        <v>2072</v>
      </c>
      <c r="K703" s="2" t="s">
        <v>319</v>
      </c>
      <c r="L703" s="3">
        <v>15.32</v>
      </c>
      <c r="M703" s="3">
        <v>16.09</v>
      </c>
      <c r="N703" s="3">
        <v>44.99</v>
      </c>
      <c r="O703" s="2" t="s">
        <v>243</v>
      </c>
      <c r="P703" s="2" t="s">
        <v>341</v>
      </c>
      <c r="Q703" s="2" t="s">
        <v>237</v>
      </c>
      <c r="R703" s="2" t="s">
        <v>231</v>
      </c>
      <c r="S703" s="2" t="s">
        <v>231</v>
      </c>
      <c r="T703" s="2" t="s">
        <v>231</v>
      </c>
      <c r="U703" s="2" t="s">
        <v>327</v>
      </c>
      <c r="V703" s="2" t="s">
        <v>239</v>
      </c>
      <c r="W703" s="2" t="s">
        <v>299</v>
      </c>
      <c r="X703" s="2" t="s">
        <v>231</v>
      </c>
      <c r="Y703" s="2" t="s">
        <v>2560</v>
      </c>
      <c r="Z703" s="4">
        <v>295</v>
      </c>
      <c r="AA703" s="4">
        <f>=ROUNDDOWN(147.5,0)</f>
      </c>
      <c r="AB703" s="5">
        <v>2</v>
      </c>
      <c r="AC703" s="2" t="s">
        <v>231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231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231</v>
      </c>
      <c r="AW703" s="8" t="s">
        <v>231</v>
      </c>
      <c r="AX703" s="4" t="s">
        <v>231</v>
      </c>
      <c r="AY703" s="8" t="s">
        <v>231</v>
      </c>
      <c r="AZ703" s="7" t="s">
        <v>231</v>
      </c>
      <c r="BA703" s="7" t="s">
        <v>231</v>
      </c>
      <c r="BB703" s="7"/>
      <c r="BC703" s="4" t="s">
        <v>231</v>
      </c>
      <c r="BD703" s="8" t="s">
        <v>231</v>
      </c>
      <c r="BE703" s="4" t="s">
        <v>231</v>
      </c>
      <c r="BF703" s="8" t="s">
        <v>231</v>
      </c>
      <c r="BG703" s="7" t="s">
        <v>231</v>
      </c>
      <c r="BH703" s="7" t="s">
        <v>231</v>
      </c>
      <c r="BI703" s="7"/>
      <c r="BJ703" s="4">
        <v>10</v>
      </c>
      <c r="BK703" s="8">
        <v>84.5</v>
      </c>
      <c r="BL703" s="2" t="s">
        <v>937</v>
      </c>
      <c r="BM703" s="7"/>
      <c r="BN703" s="7"/>
      <c r="BO703" s="4"/>
      <c r="BP703" s="8"/>
      <c r="BQ703" s="4"/>
      <c r="BR703" s="8"/>
      <c r="BS703" s="7"/>
      <c r="BT703" s="7"/>
      <c r="BU703" s="2" t="s">
        <v>3993</v>
      </c>
      <c r="BV703" s="2" t="s">
        <v>231</v>
      </c>
      <c r="BW703" s="2" t="s">
        <v>231</v>
      </c>
      <c r="BX703" s="2" t="s">
        <v>231</v>
      </c>
      <c r="BY703" s="2" t="s">
        <v>277</v>
      </c>
      <c r="BZ703" s="2" t="s">
        <v>243</v>
      </c>
      <c r="CA703" s="2" t="s">
        <v>2070</v>
      </c>
      <c r="CB703" s="2" t="s">
        <v>3994</v>
      </c>
      <c r="CC703" s="2" t="s">
        <v>244</v>
      </c>
      <c r="CD703" s="2" t="s">
        <v>231</v>
      </c>
      <c r="CE703" s="4">
        <v>295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</row>
    <row r="704">
      <c r="A704" s="2" t="s">
        <v>3995</v>
      </c>
      <c r="B704" s="2" t="s">
        <v>940</v>
      </c>
      <c r="C704" s="2" t="s">
        <v>913</v>
      </c>
      <c r="D704" s="2" t="s">
        <v>3996</v>
      </c>
      <c r="E704" s="2" t="s">
        <v>3997</v>
      </c>
      <c r="F704" s="2" t="s">
        <v>3998</v>
      </c>
      <c r="G704" s="2" t="s">
        <v>3998</v>
      </c>
      <c r="H704" s="2" t="s">
        <v>3998</v>
      </c>
      <c r="I704" s="2" t="s">
        <v>3999</v>
      </c>
      <c r="J704" s="2" t="s">
        <v>3125</v>
      </c>
      <c r="K704" s="2" t="s">
        <v>463</v>
      </c>
      <c r="L704" s="3">
        <v>6.07</v>
      </c>
      <c r="M704" s="3">
        <v>6.37</v>
      </c>
      <c r="N704" s="3">
        <v>19.99</v>
      </c>
      <c r="O704" s="2" t="s">
        <v>243</v>
      </c>
      <c r="P704" s="2" t="s">
        <v>341</v>
      </c>
      <c r="Q704" s="2" t="s">
        <v>237</v>
      </c>
      <c r="R704" s="2" t="s">
        <v>231</v>
      </c>
      <c r="S704" s="2" t="s">
        <v>231</v>
      </c>
      <c r="T704" s="2" t="s">
        <v>231</v>
      </c>
      <c r="U704" s="2" t="s">
        <v>327</v>
      </c>
      <c r="V704" s="2" t="s">
        <v>836</v>
      </c>
      <c r="W704" s="2" t="s">
        <v>299</v>
      </c>
      <c r="X704" s="2" t="s">
        <v>231</v>
      </c>
      <c r="Y704" s="2" t="s">
        <v>4000</v>
      </c>
      <c r="Z704" s="4">
        <v>163</v>
      </c>
      <c r="AA704" s="4">
        <f>=ROUNDDOWN(85.7894736842105,0)</f>
      </c>
      <c r="AB704" s="5">
        <v>1.9</v>
      </c>
      <c r="AC704" s="2" t="s">
        <v>231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231</v>
      </c>
      <c r="AW704" s="8" t="s">
        <v>231</v>
      </c>
      <c r="AX704" s="4" t="s">
        <v>231</v>
      </c>
      <c r="AY704" s="8" t="s">
        <v>231</v>
      </c>
      <c r="AZ704" s="7" t="s">
        <v>231</v>
      </c>
      <c r="BA704" s="7" t="s">
        <v>231</v>
      </c>
      <c r="BB704" s="7" t="s">
        <v>231</v>
      </c>
      <c r="BC704" s="4" t="s">
        <v>231</v>
      </c>
      <c r="BD704" s="8" t="s">
        <v>231</v>
      </c>
      <c r="BE704" s="4" t="s">
        <v>231</v>
      </c>
      <c r="BF704" s="8" t="s">
        <v>231</v>
      </c>
      <c r="BG704" s="7" t="s">
        <v>231</v>
      </c>
      <c r="BH704" s="7" t="s">
        <v>231</v>
      </c>
      <c r="BI704" s="7"/>
      <c r="BJ704" s="4">
        <v>10</v>
      </c>
      <c r="BK704" s="8">
        <v>72.09</v>
      </c>
      <c r="BL704" s="2" t="s">
        <v>2849</v>
      </c>
      <c r="BM704" s="7"/>
      <c r="BN704" s="7"/>
      <c r="BO704" s="4"/>
      <c r="BP704" s="8"/>
      <c r="BQ704" s="4"/>
      <c r="BR704" s="8"/>
      <c r="BS704" s="7"/>
      <c r="BT704" s="7"/>
      <c r="BU704" s="2" t="s">
        <v>4001</v>
      </c>
      <c r="BV704" s="2" t="s">
        <v>231</v>
      </c>
      <c r="BW704" s="2" t="s">
        <v>231</v>
      </c>
      <c r="BX704" s="2" t="s">
        <v>241</v>
      </c>
      <c r="BY704" s="2" t="s">
        <v>277</v>
      </c>
      <c r="BZ704" s="2" t="s">
        <v>243</v>
      </c>
      <c r="CA704" s="2" t="s">
        <v>4002</v>
      </c>
      <c r="CB704" s="2" t="s">
        <v>445</v>
      </c>
      <c r="CC704" s="2" t="s">
        <v>244</v>
      </c>
      <c r="CD704" s="2" t="s">
        <v>231</v>
      </c>
      <c r="CE704" s="4">
        <v>163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</row>
    <row r="705">
      <c r="A705" s="2" t="s">
        <v>4003</v>
      </c>
      <c r="B705" s="2" t="s">
        <v>940</v>
      </c>
      <c r="C705" s="2" t="s">
        <v>913</v>
      </c>
      <c r="D705" s="2" t="s">
        <v>3996</v>
      </c>
      <c r="E705" s="2" t="s">
        <v>3997</v>
      </c>
      <c r="F705" s="2" t="s">
        <v>3998</v>
      </c>
      <c r="G705" s="2" t="s">
        <v>3998</v>
      </c>
      <c r="H705" s="2" t="s">
        <v>3998</v>
      </c>
      <c r="I705" s="2" t="s">
        <v>4004</v>
      </c>
      <c r="J705" s="2" t="s">
        <v>3125</v>
      </c>
      <c r="K705" s="2" t="s">
        <v>463</v>
      </c>
      <c r="L705" s="3">
        <v>6.99</v>
      </c>
      <c r="M705" s="3">
        <v>7.34</v>
      </c>
      <c r="N705" s="3">
        <v>21.99</v>
      </c>
      <c r="O705" s="2" t="s">
        <v>243</v>
      </c>
      <c r="P705" s="2" t="s">
        <v>341</v>
      </c>
      <c r="Q705" s="2" t="s">
        <v>237</v>
      </c>
      <c r="R705" s="2" t="s">
        <v>231</v>
      </c>
      <c r="S705" s="2" t="s">
        <v>231</v>
      </c>
      <c r="T705" s="2" t="s">
        <v>231</v>
      </c>
      <c r="U705" s="2" t="s">
        <v>327</v>
      </c>
      <c r="V705" s="2" t="s">
        <v>836</v>
      </c>
      <c r="W705" s="2" t="s">
        <v>299</v>
      </c>
      <c r="X705" s="2" t="s">
        <v>231</v>
      </c>
      <c r="Y705" s="2" t="s">
        <v>4000</v>
      </c>
      <c r="Z705" s="4">
        <v>143</v>
      </c>
      <c r="AA705" s="4">
        <f>=ROUNDDOWN(51.0714285714286,0)</f>
      </c>
      <c r="AB705" s="5">
        <v>2.8</v>
      </c>
      <c r="AC705" s="2" t="s">
        <v>231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231</v>
      </c>
      <c r="AW705" s="8" t="s">
        <v>231</v>
      </c>
      <c r="AX705" s="4" t="s">
        <v>231</v>
      </c>
      <c r="AY705" s="8" t="s">
        <v>231</v>
      </c>
      <c r="AZ705" s="7" t="s">
        <v>231</v>
      </c>
      <c r="BA705" s="7" t="s">
        <v>231</v>
      </c>
      <c r="BB705" s="7" t="s">
        <v>231</v>
      </c>
      <c r="BC705" s="4" t="s">
        <v>231</v>
      </c>
      <c r="BD705" s="8" t="s">
        <v>231</v>
      </c>
      <c r="BE705" s="4" t="s">
        <v>231</v>
      </c>
      <c r="BF705" s="8" t="s">
        <v>231</v>
      </c>
      <c r="BG705" s="7" t="s">
        <v>231</v>
      </c>
      <c r="BH705" s="7" t="s">
        <v>231</v>
      </c>
      <c r="BI705" s="7"/>
      <c r="BJ705" s="4">
        <v>15</v>
      </c>
      <c r="BK705" s="8">
        <v>115.23</v>
      </c>
      <c r="BL705" s="2" t="s">
        <v>3806</v>
      </c>
      <c r="BM705" s="7"/>
      <c r="BN705" s="7"/>
      <c r="BO705" s="4"/>
      <c r="BP705" s="8"/>
      <c r="BQ705" s="4"/>
      <c r="BR705" s="8"/>
      <c r="BS705" s="7"/>
      <c r="BT705" s="7"/>
      <c r="BU705" s="2" t="s">
        <v>4005</v>
      </c>
      <c r="BV705" s="2" t="s">
        <v>231</v>
      </c>
      <c r="BW705" s="2" t="s">
        <v>231</v>
      </c>
      <c r="BX705" s="2" t="s">
        <v>241</v>
      </c>
      <c r="BY705" s="2" t="s">
        <v>277</v>
      </c>
      <c r="BZ705" s="2" t="s">
        <v>243</v>
      </c>
      <c r="CA705" s="2" t="s">
        <v>4002</v>
      </c>
      <c r="CB705" s="2" t="s">
        <v>445</v>
      </c>
      <c r="CC705" s="2" t="s">
        <v>244</v>
      </c>
      <c r="CD705" s="2" t="s">
        <v>231</v>
      </c>
      <c r="CE705" s="4">
        <v>143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</row>
    <row r="706">
      <c r="A706" s="2" t="s">
        <v>4006</v>
      </c>
      <c r="B706" s="2" t="s">
        <v>847</v>
      </c>
      <c r="C706" s="2" t="s">
        <v>1051</v>
      </c>
      <c r="D706" s="2" t="s">
        <v>882</v>
      </c>
      <c r="E706" s="2" t="s">
        <v>849</v>
      </c>
      <c r="F706" s="2" t="s">
        <v>4007</v>
      </c>
      <c r="G706" s="2" t="s">
        <v>4007</v>
      </c>
      <c r="H706" s="2" t="s">
        <v>4007</v>
      </c>
      <c r="I706" s="2" t="s">
        <v>4008</v>
      </c>
      <c r="J706" s="2" t="s">
        <v>807</v>
      </c>
      <c r="K706" s="2" t="s">
        <v>4009</v>
      </c>
      <c r="L706" s="3">
        <v>37.27</v>
      </c>
      <c r="M706" s="3">
        <v>39.13</v>
      </c>
      <c r="N706" s="3">
        <v>76.49</v>
      </c>
      <c r="O706" s="2" t="s">
        <v>243</v>
      </c>
      <c r="P706" s="2" t="s">
        <v>1985</v>
      </c>
      <c r="Q706" s="2" t="s">
        <v>237</v>
      </c>
      <c r="R706" s="2" t="s">
        <v>231</v>
      </c>
      <c r="S706" s="2" t="s">
        <v>4010</v>
      </c>
      <c r="T706" s="2" t="s">
        <v>231</v>
      </c>
      <c r="U706" s="2" t="s">
        <v>835</v>
      </c>
      <c r="V706" s="2" t="s">
        <v>987</v>
      </c>
      <c r="W706" s="2" t="s">
        <v>691</v>
      </c>
      <c r="X706" s="2" t="s">
        <v>808</v>
      </c>
      <c r="Y706" s="2" t="s">
        <v>1216</v>
      </c>
      <c r="Z706" s="4">
        <v>138</v>
      </c>
      <c r="AA706" s="4">
        <f>=ROUNDDOWN(46,0)</f>
      </c>
      <c r="AB706" s="5">
        <v>3</v>
      </c>
      <c r="AC706" s="2" t="s">
        <v>231</v>
      </c>
      <c r="AD706" s="4"/>
      <c r="AE706" s="4"/>
      <c r="AF706" s="6">
        <v>63</v>
      </c>
      <c r="AG706" s="6"/>
      <c r="AH706" s="7">
        <v>1</v>
      </c>
      <c r="AI706" s="4"/>
      <c r="AJ706" s="4">
        <f>=ROUNDDOWN({0},0)</f>
      </c>
      <c r="AK706" s="5"/>
      <c r="AL706" s="2" t="s">
        <v>231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>
        <v>8</v>
      </c>
      <c r="BK706" s="8">
        <v>334.6</v>
      </c>
      <c r="BL706" s="2" t="s">
        <v>4011</v>
      </c>
      <c r="BM706" s="7"/>
      <c r="BN706" s="7"/>
      <c r="BO706" s="4"/>
      <c r="BP706" s="8"/>
      <c r="BQ706" s="4"/>
      <c r="BR706" s="8"/>
      <c r="BS706" s="7"/>
      <c r="BT706" s="7"/>
      <c r="BU706" s="2" t="s">
        <v>4012</v>
      </c>
      <c r="BV706" s="2" t="s">
        <v>231</v>
      </c>
      <c r="BW706" s="2" t="s">
        <v>231</v>
      </c>
      <c r="BX706" s="2" t="s">
        <v>231</v>
      </c>
      <c r="BY706" s="2" t="s">
        <v>277</v>
      </c>
      <c r="BZ706" s="2" t="s">
        <v>243</v>
      </c>
      <c r="CA706" s="2" t="s">
        <v>4013</v>
      </c>
      <c r="CB706" s="2" t="s">
        <v>4014</v>
      </c>
      <c r="CC706" s="2" t="s">
        <v>244</v>
      </c>
      <c r="CD706" s="2" t="s">
        <v>231</v>
      </c>
      <c r="CE706" s="4"/>
      <c r="CF706" s="4">
        <v>138</v>
      </c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</row>
    <row r="707">
      <c r="A707" s="2" t="s">
        <v>4015</v>
      </c>
      <c r="B707" s="2" t="s">
        <v>287</v>
      </c>
      <c r="C707" s="2" t="s">
        <v>1017</v>
      </c>
      <c r="D707" s="2" t="s">
        <v>289</v>
      </c>
      <c r="E707" s="2" t="s">
        <v>290</v>
      </c>
      <c r="F707" s="2" t="s">
        <v>4016</v>
      </c>
      <c r="G707" s="2" t="s">
        <v>4016</v>
      </c>
      <c r="H707" s="2" t="s">
        <v>4016</v>
      </c>
      <c r="I707" s="2" t="s">
        <v>4017</v>
      </c>
      <c r="J707" s="2" t="s">
        <v>304</v>
      </c>
      <c r="K707" s="2" t="s">
        <v>4018</v>
      </c>
      <c r="L707" s="3">
        <v>23.75</v>
      </c>
      <c r="M707" s="3">
        <v>24.94</v>
      </c>
      <c r="N707" s="3">
        <v>39.99</v>
      </c>
      <c r="O707" s="2" t="s">
        <v>235</v>
      </c>
      <c r="P707" s="2" t="s">
        <v>1019</v>
      </c>
      <c r="Q707" s="2" t="s">
        <v>237</v>
      </c>
      <c r="R707" s="2" t="s">
        <v>1020</v>
      </c>
      <c r="S707" s="2" t="s">
        <v>231</v>
      </c>
      <c r="T707" s="2" t="s">
        <v>362</v>
      </c>
      <c r="U707" s="2" t="s">
        <v>298</v>
      </c>
      <c r="V707" s="2" t="s">
        <v>1685</v>
      </c>
      <c r="W707" s="2" t="s">
        <v>231</v>
      </c>
      <c r="X707" s="2" t="s">
        <v>231</v>
      </c>
      <c r="Y707" s="2" t="s">
        <v>4019</v>
      </c>
      <c r="Z707" s="4">
        <v>93</v>
      </c>
      <c r="AA707" s="4">
        <f>=ROUNDDOWN(37.2,0)</f>
      </c>
      <c r="AB707" s="5">
        <v>2.5</v>
      </c>
      <c r="AC707" s="2" t="s">
        <v>231</v>
      </c>
      <c r="AD707" s="4"/>
      <c r="AE707" s="4"/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231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231</v>
      </c>
      <c r="BD707" s="8" t="s">
        <v>231</v>
      </c>
      <c r="BE707" s="4" t="s">
        <v>231</v>
      </c>
      <c r="BF707" s="8" t="s">
        <v>231</v>
      </c>
      <c r="BG707" s="7" t="s">
        <v>231</v>
      </c>
      <c r="BH707" s="7" t="s">
        <v>231</v>
      </c>
      <c r="BI707" s="7"/>
      <c r="BJ707" s="4">
        <v>10</v>
      </c>
      <c r="BK707" s="8">
        <v>118.7</v>
      </c>
      <c r="BL707" s="2" t="s">
        <v>2565</v>
      </c>
      <c r="BM707" s="7"/>
      <c r="BN707" s="7"/>
      <c r="BO707" s="4"/>
      <c r="BP707" s="8"/>
      <c r="BQ707" s="4"/>
      <c r="BR707" s="8"/>
      <c r="BS707" s="7"/>
      <c r="BT707" s="7"/>
      <c r="BU707" s="2" t="s">
        <v>4020</v>
      </c>
      <c r="BV707" s="2" t="s">
        <v>231</v>
      </c>
      <c r="BW707" s="2" t="s">
        <v>231</v>
      </c>
      <c r="BX707" s="2" t="s">
        <v>241</v>
      </c>
      <c r="BY707" s="2" t="s">
        <v>277</v>
      </c>
      <c r="BZ707" s="2" t="s">
        <v>243</v>
      </c>
      <c r="CA707" s="2" t="s">
        <v>1024</v>
      </c>
      <c r="CB707" s="2" t="s">
        <v>231</v>
      </c>
      <c r="CC707" s="2" t="s">
        <v>244</v>
      </c>
      <c r="CD707" s="2" t="s">
        <v>231</v>
      </c>
      <c r="CE707" s="4">
        <v>93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</row>
    <row r="708">
      <c r="A708" s="2" t="s">
        <v>4021</v>
      </c>
      <c r="B708" s="2" t="s">
        <v>287</v>
      </c>
      <c r="C708" s="2" t="s">
        <v>1105</v>
      </c>
      <c r="D708" s="2" t="s">
        <v>289</v>
      </c>
      <c r="E708" s="2" t="s">
        <v>290</v>
      </c>
      <c r="F708" s="2" t="s">
        <v>4016</v>
      </c>
      <c r="G708" s="2" t="s">
        <v>4016</v>
      </c>
      <c r="H708" s="2" t="s">
        <v>4016</v>
      </c>
      <c r="I708" s="2" t="s">
        <v>4022</v>
      </c>
      <c r="J708" s="2" t="s">
        <v>281</v>
      </c>
      <c r="K708" s="2" t="s">
        <v>294</v>
      </c>
      <c r="L708" s="3">
        <v>20.06</v>
      </c>
      <c r="M708" s="3">
        <v>21.06</v>
      </c>
      <c r="N708" s="3">
        <v>44.99</v>
      </c>
      <c r="O708" s="2" t="s">
        <v>243</v>
      </c>
      <c r="P708" s="2" t="s">
        <v>295</v>
      </c>
      <c r="Q708" s="2" t="s">
        <v>237</v>
      </c>
      <c r="R708" s="2" t="s">
        <v>231</v>
      </c>
      <c r="S708" s="2" t="s">
        <v>4023</v>
      </c>
      <c r="T708" s="2" t="s">
        <v>362</v>
      </c>
      <c r="U708" s="2" t="s">
        <v>298</v>
      </c>
      <c r="V708" s="2" t="s">
        <v>239</v>
      </c>
      <c r="W708" s="2" t="s">
        <v>273</v>
      </c>
      <c r="X708" s="2" t="s">
        <v>231</v>
      </c>
      <c r="Y708" s="2" t="s">
        <v>231</v>
      </c>
      <c r="Z708" s="4"/>
      <c r="AA708" s="4">
        <f>=ROUNDDOWN({0},0)</f>
      </c>
      <c r="AB708" s="5"/>
      <c r="AC708" s="2" t="s">
        <v>2049</v>
      </c>
      <c r="AD708" s="4">
        <v>200</v>
      </c>
      <c r="AE708" s="4">
        <v>200</v>
      </c>
      <c r="AF708" s="6">
        <v>66</v>
      </c>
      <c r="AG708" s="6"/>
      <c r="AH708" s="7">
        <v>0</v>
      </c>
      <c r="AI708" s="4"/>
      <c r="AJ708" s="4">
        <f>=ROUNDDOWN({0},0)</f>
      </c>
      <c r="AK708" s="5"/>
      <c r="AL708" s="2" t="s">
        <v>231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231</v>
      </c>
      <c r="AW708" s="8" t="s">
        <v>231</v>
      </c>
      <c r="AX708" s="4" t="s">
        <v>231</v>
      </c>
      <c r="AY708" s="8" t="s">
        <v>231</v>
      </c>
      <c r="AZ708" s="7" t="s">
        <v>231</v>
      </c>
      <c r="BA708" s="7" t="s">
        <v>231</v>
      </c>
      <c r="BB708" s="7"/>
      <c r="BC708" s="4" t="s">
        <v>231</v>
      </c>
      <c r="BD708" s="8" t="s">
        <v>231</v>
      </c>
      <c r="BE708" s="4" t="s">
        <v>231</v>
      </c>
      <c r="BF708" s="8" t="s">
        <v>231</v>
      </c>
      <c r="BG708" s="7" t="s">
        <v>231</v>
      </c>
      <c r="BH708" s="7" t="s">
        <v>231</v>
      </c>
      <c r="BI708" s="7"/>
      <c r="BJ708" s="4"/>
      <c r="BK708" s="8"/>
      <c r="BL708" s="2" t="s">
        <v>231</v>
      </c>
      <c r="BM708" s="7"/>
      <c r="BN708" s="7"/>
      <c r="BO708" s="4"/>
      <c r="BP708" s="8"/>
      <c r="BQ708" s="4"/>
      <c r="BR708" s="8"/>
      <c r="BS708" s="7"/>
      <c r="BT708" s="7"/>
      <c r="BU708" s="2" t="s">
        <v>241</v>
      </c>
      <c r="BV708" s="2" t="s">
        <v>231</v>
      </c>
      <c r="BW708" s="2" t="s">
        <v>231</v>
      </c>
      <c r="BX708" s="2" t="s">
        <v>241</v>
      </c>
      <c r="BY708" s="2" t="s">
        <v>242</v>
      </c>
      <c r="BZ708" s="2" t="s">
        <v>243</v>
      </c>
      <c r="CA708" s="2" t="s">
        <v>231</v>
      </c>
      <c r="CB708" s="2" t="s">
        <v>231</v>
      </c>
      <c r="CC708" s="2" t="s">
        <v>244</v>
      </c>
      <c r="CD708" s="2" t="s">
        <v>231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>
        <v>200</v>
      </c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</row>
    <row r="709">
      <c r="A709" s="2" t="s">
        <v>4024</v>
      </c>
      <c r="B709" s="2" t="s">
        <v>287</v>
      </c>
      <c r="C709" s="2" t="s">
        <v>1105</v>
      </c>
      <c r="D709" s="2" t="s">
        <v>289</v>
      </c>
      <c r="E709" s="2" t="s">
        <v>290</v>
      </c>
      <c r="F709" s="2" t="s">
        <v>4016</v>
      </c>
      <c r="G709" s="2" t="s">
        <v>4016</v>
      </c>
      <c r="H709" s="2" t="s">
        <v>4016</v>
      </c>
      <c r="I709" s="2" t="s">
        <v>4022</v>
      </c>
      <c r="J709" s="2" t="s">
        <v>293</v>
      </c>
      <c r="K709" s="2" t="s">
        <v>294</v>
      </c>
      <c r="L709" s="3">
        <v>22.29</v>
      </c>
      <c r="M709" s="3">
        <v>23.4</v>
      </c>
      <c r="N709" s="3">
        <v>49.99</v>
      </c>
      <c r="O709" s="2" t="s">
        <v>243</v>
      </c>
      <c r="P709" s="2" t="s">
        <v>295</v>
      </c>
      <c r="Q709" s="2" t="s">
        <v>237</v>
      </c>
      <c r="R709" s="2" t="s">
        <v>231</v>
      </c>
      <c r="S709" s="2" t="s">
        <v>4023</v>
      </c>
      <c r="T709" s="2" t="s">
        <v>362</v>
      </c>
      <c r="U709" s="2" t="s">
        <v>298</v>
      </c>
      <c r="V709" s="2" t="s">
        <v>239</v>
      </c>
      <c r="W709" s="2" t="s">
        <v>273</v>
      </c>
      <c r="X709" s="2" t="s">
        <v>231</v>
      </c>
      <c r="Y709" s="2" t="s">
        <v>231</v>
      </c>
      <c r="Z709" s="4"/>
      <c r="AA709" s="4">
        <f>=ROUNDDOWN({0},0)</f>
      </c>
      <c r="AB709" s="5"/>
      <c r="AC709" s="2" t="s">
        <v>2049</v>
      </c>
      <c r="AD709" s="4">
        <v>370</v>
      </c>
      <c r="AE709" s="4">
        <v>370</v>
      </c>
      <c r="AF709" s="6">
        <v>66</v>
      </c>
      <c r="AG709" s="6"/>
      <c r="AH709" s="7">
        <v>0</v>
      </c>
      <c r="AI709" s="4"/>
      <c r="AJ709" s="4">
        <f>=ROUNDDOWN({0},0)</f>
      </c>
      <c r="AK709" s="5"/>
      <c r="AL709" s="2" t="s">
        <v>231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231</v>
      </c>
      <c r="AW709" s="8" t="s">
        <v>231</v>
      </c>
      <c r="AX709" s="4" t="s">
        <v>231</v>
      </c>
      <c r="AY709" s="8" t="s">
        <v>231</v>
      </c>
      <c r="AZ709" s="7" t="s">
        <v>231</v>
      </c>
      <c r="BA709" s="7" t="s">
        <v>231</v>
      </c>
      <c r="BB709" s="7"/>
      <c r="BC709" s="4" t="s">
        <v>231</v>
      </c>
      <c r="BD709" s="8" t="s">
        <v>231</v>
      </c>
      <c r="BE709" s="4" t="s">
        <v>231</v>
      </c>
      <c r="BF709" s="8" t="s">
        <v>231</v>
      </c>
      <c r="BG709" s="7" t="s">
        <v>231</v>
      </c>
      <c r="BH709" s="7" t="s">
        <v>231</v>
      </c>
      <c r="BI709" s="7"/>
      <c r="BJ709" s="4"/>
      <c r="BK709" s="8"/>
      <c r="BL709" s="2" t="s">
        <v>231</v>
      </c>
      <c r="BM709" s="7"/>
      <c r="BN709" s="7"/>
      <c r="BO709" s="4"/>
      <c r="BP709" s="8"/>
      <c r="BQ709" s="4"/>
      <c r="BR709" s="8"/>
      <c r="BS709" s="7"/>
      <c r="BT709" s="7"/>
      <c r="BU709" s="2" t="s">
        <v>241</v>
      </c>
      <c r="BV709" s="2" t="s">
        <v>231</v>
      </c>
      <c r="BW709" s="2" t="s">
        <v>231</v>
      </c>
      <c r="BX709" s="2" t="s">
        <v>241</v>
      </c>
      <c r="BY709" s="2" t="s">
        <v>242</v>
      </c>
      <c r="BZ709" s="2" t="s">
        <v>243</v>
      </c>
      <c r="CA709" s="2" t="s">
        <v>231</v>
      </c>
      <c r="CB709" s="2" t="s">
        <v>231</v>
      </c>
      <c r="CC709" s="2" t="s">
        <v>244</v>
      </c>
      <c r="CD709" s="2" t="s">
        <v>231</v>
      </c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>
        <v>370</v>
      </c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</row>
    <row r="710">
      <c r="A710" s="2" t="s">
        <v>4025</v>
      </c>
      <c r="B710" s="2" t="s">
        <v>287</v>
      </c>
      <c r="C710" s="2" t="s">
        <v>1105</v>
      </c>
      <c r="D710" s="2" t="s">
        <v>289</v>
      </c>
      <c r="E710" s="2" t="s">
        <v>290</v>
      </c>
      <c r="F710" s="2" t="s">
        <v>4016</v>
      </c>
      <c r="G710" s="2" t="s">
        <v>4016</v>
      </c>
      <c r="H710" s="2" t="s">
        <v>4016</v>
      </c>
      <c r="I710" s="2" t="s">
        <v>4022</v>
      </c>
      <c r="J710" s="2" t="s">
        <v>302</v>
      </c>
      <c r="K710" s="2" t="s">
        <v>294</v>
      </c>
      <c r="L710" s="3">
        <v>24.52</v>
      </c>
      <c r="M710" s="3">
        <v>25.75</v>
      </c>
      <c r="N710" s="3">
        <v>54.99</v>
      </c>
      <c r="O710" s="2" t="s">
        <v>243</v>
      </c>
      <c r="P710" s="2" t="s">
        <v>295</v>
      </c>
      <c r="Q710" s="2" t="s">
        <v>237</v>
      </c>
      <c r="R710" s="2" t="s">
        <v>231</v>
      </c>
      <c r="S710" s="2" t="s">
        <v>4023</v>
      </c>
      <c r="T710" s="2" t="s">
        <v>362</v>
      </c>
      <c r="U710" s="2" t="s">
        <v>298</v>
      </c>
      <c r="V710" s="2" t="s">
        <v>239</v>
      </c>
      <c r="W710" s="2" t="s">
        <v>273</v>
      </c>
      <c r="X710" s="2" t="s">
        <v>231</v>
      </c>
      <c r="Y710" s="2" t="s">
        <v>231</v>
      </c>
      <c r="Z710" s="4"/>
      <c r="AA710" s="4">
        <f>=ROUNDDOWN({0},0)</f>
      </c>
      <c r="AB710" s="5"/>
      <c r="AC710" s="2" t="s">
        <v>2049</v>
      </c>
      <c r="AD710" s="4">
        <v>250</v>
      </c>
      <c r="AE710" s="4">
        <v>250</v>
      </c>
      <c r="AF710" s="6">
        <v>66</v>
      </c>
      <c r="AG710" s="6"/>
      <c r="AH710" s="7">
        <v>0</v>
      </c>
      <c r="AI710" s="4"/>
      <c r="AJ710" s="4">
        <f>=ROUNDDOWN({0},0)</f>
      </c>
      <c r="AK710" s="5"/>
      <c r="AL710" s="2" t="s">
        <v>231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231</v>
      </c>
      <c r="AW710" s="8" t="s">
        <v>231</v>
      </c>
      <c r="AX710" s="4" t="s">
        <v>231</v>
      </c>
      <c r="AY710" s="8" t="s">
        <v>231</v>
      </c>
      <c r="AZ710" s="7" t="s">
        <v>231</v>
      </c>
      <c r="BA710" s="7" t="s">
        <v>231</v>
      </c>
      <c r="BB710" s="7"/>
      <c r="BC710" s="4" t="s">
        <v>231</v>
      </c>
      <c r="BD710" s="8" t="s">
        <v>231</v>
      </c>
      <c r="BE710" s="4" t="s">
        <v>231</v>
      </c>
      <c r="BF710" s="8" t="s">
        <v>231</v>
      </c>
      <c r="BG710" s="7" t="s">
        <v>231</v>
      </c>
      <c r="BH710" s="7" t="s">
        <v>231</v>
      </c>
      <c r="BI710" s="7"/>
      <c r="BJ710" s="4"/>
      <c r="BK710" s="8"/>
      <c r="BL710" s="2" t="s">
        <v>231</v>
      </c>
      <c r="BM710" s="7"/>
      <c r="BN710" s="7"/>
      <c r="BO710" s="4"/>
      <c r="BP710" s="8"/>
      <c r="BQ710" s="4"/>
      <c r="BR710" s="8"/>
      <c r="BS710" s="7"/>
      <c r="BT710" s="7"/>
      <c r="BU710" s="2" t="s">
        <v>241</v>
      </c>
      <c r="BV710" s="2" t="s">
        <v>231</v>
      </c>
      <c r="BW710" s="2" t="s">
        <v>231</v>
      </c>
      <c r="BX710" s="2" t="s">
        <v>241</v>
      </c>
      <c r="BY710" s="2" t="s">
        <v>242</v>
      </c>
      <c r="BZ710" s="2" t="s">
        <v>243</v>
      </c>
      <c r="CA710" s="2" t="s">
        <v>231</v>
      </c>
      <c r="CB710" s="2" t="s">
        <v>231</v>
      </c>
      <c r="CC710" s="2" t="s">
        <v>244</v>
      </c>
      <c r="CD710" s="2" t="s">
        <v>231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>
        <v>250</v>
      </c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</row>
    <row r="711">
      <c r="A711" s="2" t="s">
        <v>4026</v>
      </c>
      <c r="B711" s="2" t="s">
        <v>287</v>
      </c>
      <c r="C711" s="2" t="s">
        <v>1105</v>
      </c>
      <c r="D711" s="2" t="s">
        <v>289</v>
      </c>
      <c r="E711" s="2" t="s">
        <v>290</v>
      </c>
      <c r="F711" s="2" t="s">
        <v>4016</v>
      </c>
      <c r="G711" s="2" t="s">
        <v>4016</v>
      </c>
      <c r="H711" s="2" t="s">
        <v>4016</v>
      </c>
      <c r="I711" s="2" t="s">
        <v>4022</v>
      </c>
      <c r="J711" s="2" t="s">
        <v>304</v>
      </c>
      <c r="K711" s="2" t="s">
        <v>294</v>
      </c>
      <c r="L711" s="3">
        <v>24.52</v>
      </c>
      <c r="M711" s="3">
        <v>25.75</v>
      </c>
      <c r="N711" s="3">
        <v>54.99</v>
      </c>
      <c r="O711" s="2" t="s">
        <v>243</v>
      </c>
      <c r="P711" s="2" t="s">
        <v>295</v>
      </c>
      <c r="Q711" s="2" t="s">
        <v>237</v>
      </c>
      <c r="R711" s="2" t="s">
        <v>231</v>
      </c>
      <c r="S711" s="2" t="s">
        <v>4023</v>
      </c>
      <c r="T711" s="2" t="s">
        <v>362</v>
      </c>
      <c r="U711" s="2" t="s">
        <v>298</v>
      </c>
      <c r="V711" s="2" t="s">
        <v>239</v>
      </c>
      <c r="W711" s="2" t="s">
        <v>273</v>
      </c>
      <c r="X711" s="2" t="s">
        <v>231</v>
      </c>
      <c r="Y711" s="2" t="s">
        <v>231</v>
      </c>
      <c r="Z711" s="4"/>
      <c r="AA711" s="4">
        <f>=ROUNDDOWN({0},0)</f>
      </c>
      <c r="AB711" s="5"/>
      <c r="AC711" s="2" t="s">
        <v>2049</v>
      </c>
      <c r="AD711" s="4">
        <v>90</v>
      </c>
      <c r="AE711" s="4">
        <v>90</v>
      </c>
      <c r="AF711" s="6">
        <v>66</v>
      </c>
      <c r="AG711" s="6"/>
      <c r="AH711" s="7">
        <v>0</v>
      </c>
      <c r="AI711" s="4"/>
      <c r="AJ711" s="4">
        <f>=ROUNDDOWN({0},0)</f>
      </c>
      <c r="AK711" s="5"/>
      <c r="AL711" s="2" t="s">
        <v>231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231</v>
      </c>
      <c r="AW711" s="8" t="s">
        <v>231</v>
      </c>
      <c r="AX711" s="4" t="s">
        <v>231</v>
      </c>
      <c r="AY711" s="8" t="s">
        <v>231</v>
      </c>
      <c r="AZ711" s="7" t="s">
        <v>231</v>
      </c>
      <c r="BA711" s="7" t="s">
        <v>231</v>
      </c>
      <c r="BB711" s="7"/>
      <c r="BC711" s="4" t="s">
        <v>231</v>
      </c>
      <c r="BD711" s="8" t="s">
        <v>231</v>
      </c>
      <c r="BE711" s="4" t="s">
        <v>231</v>
      </c>
      <c r="BF711" s="8" t="s">
        <v>231</v>
      </c>
      <c r="BG711" s="7" t="s">
        <v>231</v>
      </c>
      <c r="BH711" s="7" t="s">
        <v>231</v>
      </c>
      <c r="BI711" s="7"/>
      <c r="BJ711" s="4"/>
      <c r="BK711" s="8"/>
      <c r="BL711" s="2" t="s">
        <v>231</v>
      </c>
      <c r="BM711" s="7"/>
      <c r="BN711" s="7"/>
      <c r="BO711" s="4"/>
      <c r="BP711" s="8"/>
      <c r="BQ711" s="4"/>
      <c r="BR711" s="8"/>
      <c r="BS711" s="7"/>
      <c r="BT711" s="7"/>
      <c r="BU711" s="2" t="s">
        <v>241</v>
      </c>
      <c r="BV711" s="2" t="s">
        <v>231</v>
      </c>
      <c r="BW711" s="2" t="s">
        <v>231</v>
      </c>
      <c r="BX711" s="2" t="s">
        <v>241</v>
      </c>
      <c r="BY711" s="2" t="s">
        <v>242</v>
      </c>
      <c r="BZ711" s="2" t="s">
        <v>243</v>
      </c>
      <c r="CA711" s="2" t="s">
        <v>231</v>
      </c>
      <c r="CB711" s="2" t="s">
        <v>231</v>
      </c>
      <c r="CC711" s="2" t="s">
        <v>244</v>
      </c>
      <c r="CD711" s="2" t="s">
        <v>231</v>
      </c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>
        <v>90</v>
      </c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</row>
    <row r="712">
      <c r="A712" s="2" t="s">
        <v>4027</v>
      </c>
      <c r="B712" s="2" t="s">
        <v>287</v>
      </c>
      <c r="C712" s="2" t="s">
        <v>1105</v>
      </c>
      <c r="D712" s="2" t="s">
        <v>289</v>
      </c>
      <c r="E712" s="2" t="s">
        <v>290</v>
      </c>
      <c r="F712" s="2" t="s">
        <v>4016</v>
      </c>
      <c r="G712" s="2" t="s">
        <v>4016</v>
      </c>
      <c r="H712" s="2" t="s">
        <v>4016</v>
      </c>
      <c r="I712" s="2" t="s">
        <v>4022</v>
      </c>
      <c r="J712" s="2" t="s">
        <v>281</v>
      </c>
      <c r="K712" s="2" t="s">
        <v>269</v>
      </c>
      <c r="L712" s="3">
        <v>20.06</v>
      </c>
      <c r="M712" s="3">
        <v>21.06</v>
      </c>
      <c r="N712" s="3">
        <v>44.99</v>
      </c>
      <c r="O712" s="2" t="s">
        <v>243</v>
      </c>
      <c r="P712" s="2" t="s">
        <v>295</v>
      </c>
      <c r="Q712" s="2" t="s">
        <v>237</v>
      </c>
      <c r="R712" s="2" t="s">
        <v>231</v>
      </c>
      <c r="S712" s="2" t="s">
        <v>4028</v>
      </c>
      <c r="T712" s="2" t="s">
        <v>362</v>
      </c>
      <c r="U712" s="2" t="s">
        <v>298</v>
      </c>
      <c r="V712" s="2" t="s">
        <v>239</v>
      </c>
      <c r="W712" s="2" t="s">
        <v>273</v>
      </c>
      <c r="X712" s="2" t="s">
        <v>231</v>
      </c>
      <c r="Y712" s="2" t="s">
        <v>231</v>
      </c>
      <c r="Z712" s="4"/>
      <c r="AA712" s="4">
        <f>=ROUNDDOWN({0},0)</f>
      </c>
      <c r="AB712" s="5"/>
      <c r="AC712" s="2" t="s">
        <v>2049</v>
      </c>
      <c r="AD712" s="4">
        <v>320</v>
      </c>
      <c r="AE712" s="4">
        <v>320</v>
      </c>
      <c r="AF712" s="6">
        <v>66</v>
      </c>
      <c r="AG712" s="6"/>
      <c r="AH712" s="7">
        <v>0</v>
      </c>
      <c r="AI712" s="4"/>
      <c r="AJ712" s="4">
        <f>=ROUNDDOWN({0},0)</f>
      </c>
      <c r="AK712" s="5"/>
      <c r="AL712" s="2" t="s">
        <v>231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231</v>
      </c>
      <c r="AW712" s="8" t="s">
        <v>231</v>
      </c>
      <c r="AX712" s="4" t="s">
        <v>231</v>
      </c>
      <c r="AY712" s="8" t="s">
        <v>231</v>
      </c>
      <c r="AZ712" s="7" t="s">
        <v>231</v>
      </c>
      <c r="BA712" s="7" t="s">
        <v>231</v>
      </c>
      <c r="BB712" s="7"/>
      <c r="BC712" s="4" t="s">
        <v>231</v>
      </c>
      <c r="BD712" s="8" t="s">
        <v>231</v>
      </c>
      <c r="BE712" s="4" t="s">
        <v>231</v>
      </c>
      <c r="BF712" s="8" t="s">
        <v>231</v>
      </c>
      <c r="BG712" s="7" t="s">
        <v>231</v>
      </c>
      <c r="BH712" s="7" t="s">
        <v>231</v>
      </c>
      <c r="BI712" s="7"/>
      <c r="BJ712" s="4"/>
      <c r="BK712" s="8"/>
      <c r="BL712" s="2" t="s">
        <v>231</v>
      </c>
      <c r="BM712" s="7"/>
      <c r="BN712" s="7"/>
      <c r="BO712" s="4"/>
      <c r="BP712" s="8"/>
      <c r="BQ712" s="4"/>
      <c r="BR712" s="8"/>
      <c r="BS712" s="7"/>
      <c r="BT712" s="7"/>
      <c r="BU712" s="2" t="s">
        <v>241</v>
      </c>
      <c r="BV712" s="2" t="s">
        <v>231</v>
      </c>
      <c r="BW712" s="2" t="s">
        <v>231</v>
      </c>
      <c r="BX712" s="2" t="s">
        <v>241</v>
      </c>
      <c r="BY712" s="2" t="s">
        <v>242</v>
      </c>
      <c r="BZ712" s="2" t="s">
        <v>243</v>
      </c>
      <c r="CA712" s="2" t="s">
        <v>231</v>
      </c>
      <c r="CB712" s="2" t="s">
        <v>231</v>
      </c>
      <c r="CC712" s="2" t="s">
        <v>244</v>
      </c>
      <c r="CD712" s="2" t="s">
        <v>231</v>
      </c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>
        <v>320</v>
      </c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</row>
    <row r="713">
      <c r="A713" s="2" t="s">
        <v>4029</v>
      </c>
      <c r="B713" s="2" t="s">
        <v>287</v>
      </c>
      <c r="C713" s="2" t="s">
        <v>1105</v>
      </c>
      <c r="D713" s="2" t="s">
        <v>289</v>
      </c>
      <c r="E713" s="2" t="s">
        <v>290</v>
      </c>
      <c r="F713" s="2" t="s">
        <v>4016</v>
      </c>
      <c r="G713" s="2" t="s">
        <v>4016</v>
      </c>
      <c r="H713" s="2" t="s">
        <v>4016</v>
      </c>
      <c r="I713" s="2" t="s">
        <v>4022</v>
      </c>
      <c r="J713" s="2" t="s">
        <v>293</v>
      </c>
      <c r="K713" s="2" t="s">
        <v>269</v>
      </c>
      <c r="L713" s="3">
        <v>22.29</v>
      </c>
      <c r="M713" s="3">
        <v>23.4</v>
      </c>
      <c r="N713" s="3">
        <v>49.99</v>
      </c>
      <c r="O713" s="2" t="s">
        <v>243</v>
      </c>
      <c r="P713" s="2" t="s">
        <v>295</v>
      </c>
      <c r="Q713" s="2" t="s">
        <v>237</v>
      </c>
      <c r="R713" s="2" t="s">
        <v>231</v>
      </c>
      <c r="S713" s="2" t="s">
        <v>4028</v>
      </c>
      <c r="T713" s="2" t="s">
        <v>362</v>
      </c>
      <c r="U713" s="2" t="s">
        <v>298</v>
      </c>
      <c r="V713" s="2" t="s">
        <v>239</v>
      </c>
      <c r="W713" s="2" t="s">
        <v>273</v>
      </c>
      <c r="X713" s="2" t="s">
        <v>231</v>
      </c>
      <c r="Y713" s="2" t="s">
        <v>231</v>
      </c>
      <c r="Z713" s="4"/>
      <c r="AA713" s="4">
        <f>=ROUNDDOWN({0},0)</f>
      </c>
      <c r="AB713" s="5"/>
      <c r="AC713" s="2" t="s">
        <v>2049</v>
      </c>
      <c r="AD713" s="4">
        <v>630</v>
      </c>
      <c r="AE713" s="4">
        <v>630</v>
      </c>
      <c r="AF713" s="6">
        <v>66</v>
      </c>
      <c r="AG713" s="6"/>
      <c r="AH713" s="7">
        <v>0</v>
      </c>
      <c r="AI713" s="4"/>
      <c r="AJ713" s="4">
        <f>=ROUNDDOWN({0},0)</f>
      </c>
      <c r="AK713" s="5"/>
      <c r="AL713" s="2" t="s">
        <v>231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231</v>
      </c>
      <c r="AW713" s="8" t="s">
        <v>231</v>
      </c>
      <c r="AX713" s="4" t="s">
        <v>231</v>
      </c>
      <c r="AY713" s="8" t="s">
        <v>231</v>
      </c>
      <c r="AZ713" s="7" t="s">
        <v>231</v>
      </c>
      <c r="BA713" s="7" t="s">
        <v>231</v>
      </c>
      <c r="BB713" s="7"/>
      <c r="BC713" s="4" t="s">
        <v>231</v>
      </c>
      <c r="BD713" s="8" t="s">
        <v>231</v>
      </c>
      <c r="BE713" s="4" t="s">
        <v>231</v>
      </c>
      <c r="BF713" s="8" t="s">
        <v>231</v>
      </c>
      <c r="BG713" s="7" t="s">
        <v>231</v>
      </c>
      <c r="BH713" s="7" t="s">
        <v>231</v>
      </c>
      <c r="BI713" s="7"/>
      <c r="BJ713" s="4"/>
      <c r="BK713" s="8"/>
      <c r="BL713" s="2" t="s">
        <v>231</v>
      </c>
      <c r="BM713" s="7"/>
      <c r="BN713" s="7"/>
      <c r="BO713" s="4"/>
      <c r="BP713" s="8"/>
      <c r="BQ713" s="4"/>
      <c r="BR713" s="8"/>
      <c r="BS713" s="7"/>
      <c r="BT713" s="7"/>
      <c r="BU713" s="2" t="s">
        <v>241</v>
      </c>
      <c r="BV713" s="2" t="s">
        <v>231</v>
      </c>
      <c r="BW713" s="2" t="s">
        <v>231</v>
      </c>
      <c r="BX713" s="2" t="s">
        <v>241</v>
      </c>
      <c r="BY713" s="2" t="s">
        <v>242</v>
      </c>
      <c r="BZ713" s="2" t="s">
        <v>243</v>
      </c>
      <c r="CA713" s="2" t="s">
        <v>231</v>
      </c>
      <c r="CB713" s="2" t="s">
        <v>231</v>
      </c>
      <c r="CC713" s="2" t="s">
        <v>244</v>
      </c>
      <c r="CD713" s="2" t="s">
        <v>231</v>
      </c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>
        <v>630</v>
      </c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</row>
    <row r="714">
      <c r="A714" s="2" t="s">
        <v>4030</v>
      </c>
      <c r="B714" s="2" t="s">
        <v>287</v>
      </c>
      <c r="C714" s="2" t="s">
        <v>1105</v>
      </c>
      <c r="D714" s="2" t="s">
        <v>289</v>
      </c>
      <c r="E714" s="2" t="s">
        <v>290</v>
      </c>
      <c r="F714" s="2" t="s">
        <v>4016</v>
      </c>
      <c r="G714" s="2" t="s">
        <v>4016</v>
      </c>
      <c r="H714" s="2" t="s">
        <v>4016</v>
      </c>
      <c r="I714" s="2" t="s">
        <v>4022</v>
      </c>
      <c r="J714" s="2" t="s">
        <v>302</v>
      </c>
      <c r="K714" s="2" t="s">
        <v>269</v>
      </c>
      <c r="L714" s="3">
        <v>24.52</v>
      </c>
      <c r="M714" s="3">
        <v>25.75</v>
      </c>
      <c r="N714" s="3">
        <v>54.99</v>
      </c>
      <c r="O714" s="2" t="s">
        <v>243</v>
      </c>
      <c r="P714" s="2" t="s">
        <v>295</v>
      </c>
      <c r="Q714" s="2" t="s">
        <v>237</v>
      </c>
      <c r="R714" s="2" t="s">
        <v>231</v>
      </c>
      <c r="S714" s="2" t="s">
        <v>4028</v>
      </c>
      <c r="T714" s="2" t="s">
        <v>362</v>
      </c>
      <c r="U714" s="2" t="s">
        <v>298</v>
      </c>
      <c r="V714" s="2" t="s">
        <v>239</v>
      </c>
      <c r="W714" s="2" t="s">
        <v>273</v>
      </c>
      <c r="X714" s="2" t="s">
        <v>231</v>
      </c>
      <c r="Y714" s="2" t="s">
        <v>231</v>
      </c>
      <c r="Z714" s="4"/>
      <c r="AA714" s="4">
        <f>=ROUNDDOWN({0},0)</f>
      </c>
      <c r="AB714" s="5"/>
      <c r="AC714" s="2" t="s">
        <v>2049</v>
      </c>
      <c r="AD714" s="4">
        <v>450</v>
      </c>
      <c r="AE714" s="4">
        <v>450</v>
      </c>
      <c r="AF714" s="6">
        <v>66</v>
      </c>
      <c r="AG714" s="6"/>
      <c r="AH714" s="7">
        <v>0</v>
      </c>
      <c r="AI714" s="4"/>
      <c r="AJ714" s="4">
        <f>=ROUNDDOWN({0},0)</f>
      </c>
      <c r="AK714" s="5"/>
      <c r="AL714" s="2" t="s">
        <v>231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231</v>
      </c>
      <c r="AW714" s="8" t="s">
        <v>231</v>
      </c>
      <c r="AX714" s="4" t="s">
        <v>231</v>
      </c>
      <c r="AY714" s="8" t="s">
        <v>231</v>
      </c>
      <c r="AZ714" s="7" t="s">
        <v>231</v>
      </c>
      <c r="BA714" s="7" t="s">
        <v>231</v>
      </c>
      <c r="BB714" s="7"/>
      <c r="BC714" s="4" t="s">
        <v>231</v>
      </c>
      <c r="BD714" s="8" t="s">
        <v>231</v>
      </c>
      <c r="BE714" s="4" t="s">
        <v>231</v>
      </c>
      <c r="BF714" s="8" t="s">
        <v>231</v>
      </c>
      <c r="BG714" s="7" t="s">
        <v>231</v>
      </c>
      <c r="BH714" s="7" t="s">
        <v>231</v>
      </c>
      <c r="BI714" s="7"/>
      <c r="BJ714" s="4"/>
      <c r="BK714" s="8"/>
      <c r="BL714" s="2" t="s">
        <v>231</v>
      </c>
      <c r="BM714" s="7"/>
      <c r="BN714" s="7"/>
      <c r="BO714" s="4"/>
      <c r="BP714" s="8"/>
      <c r="BQ714" s="4"/>
      <c r="BR714" s="8"/>
      <c r="BS714" s="7"/>
      <c r="BT714" s="7"/>
      <c r="BU714" s="2" t="s">
        <v>241</v>
      </c>
      <c r="BV714" s="2" t="s">
        <v>231</v>
      </c>
      <c r="BW714" s="2" t="s">
        <v>231</v>
      </c>
      <c r="BX714" s="2" t="s">
        <v>241</v>
      </c>
      <c r="BY714" s="2" t="s">
        <v>242</v>
      </c>
      <c r="BZ714" s="2" t="s">
        <v>243</v>
      </c>
      <c r="CA714" s="2" t="s">
        <v>231</v>
      </c>
      <c r="CB714" s="2" t="s">
        <v>231</v>
      </c>
      <c r="CC714" s="2" t="s">
        <v>244</v>
      </c>
      <c r="CD714" s="2" t="s">
        <v>231</v>
      </c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>
        <v>450</v>
      </c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</row>
    <row r="715">
      <c r="A715" s="2" t="s">
        <v>4031</v>
      </c>
      <c r="B715" s="2" t="s">
        <v>287</v>
      </c>
      <c r="C715" s="2" t="s">
        <v>1105</v>
      </c>
      <c r="D715" s="2" t="s">
        <v>289</v>
      </c>
      <c r="E715" s="2" t="s">
        <v>290</v>
      </c>
      <c r="F715" s="2" t="s">
        <v>4016</v>
      </c>
      <c r="G715" s="2" t="s">
        <v>4016</v>
      </c>
      <c r="H715" s="2" t="s">
        <v>4016</v>
      </c>
      <c r="I715" s="2" t="s">
        <v>4022</v>
      </c>
      <c r="J715" s="2" t="s">
        <v>304</v>
      </c>
      <c r="K715" s="2" t="s">
        <v>269</v>
      </c>
      <c r="L715" s="3">
        <v>24.52</v>
      </c>
      <c r="M715" s="3">
        <v>25.75</v>
      </c>
      <c r="N715" s="3">
        <v>54.99</v>
      </c>
      <c r="O715" s="2" t="s">
        <v>243</v>
      </c>
      <c r="P715" s="2" t="s">
        <v>295</v>
      </c>
      <c r="Q715" s="2" t="s">
        <v>237</v>
      </c>
      <c r="R715" s="2" t="s">
        <v>231</v>
      </c>
      <c r="S715" s="2" t="s">
        <v>4028</v>
      </c>
      <c r="T715" s="2" t="s">
        <v>362</v>
      </c>
      <c r="U715" s="2" t="s">
        <v>298</v>
      </c>
      <c r="V715" s="2" t="s">
        <v>239</v>
      </c>
      <c r="W715" s="2" t="s">
        <v>273</v>
      </c>
      <c r="X715" s="2" t="s">
        <v>231</v>
      </c>
      <c r="Y715" s="2" t="s">
        <v>231</v>
      </c>
      <c r="Z715" s="4"/>
      <c r="AA715" s="4">
        <f>=ROUNDDOWN({0},0)</f>
      </c>
      <c r="AB715" s="5"/>
      <c r="AC715" s="2" t="s">
        <v>2049</v>
      </c>
      <c r="AD715" s="4">
        <v>150</v>
      </c>
      <c r="AE715" s="4">
        <v>150</v>
      </c>
      <c r="AF715" s="6">
        <v>66</v>
      </c>
      <c r="AG715" s="6"/>
      <c r="AH715" s="7">
        <v>0</v>
      </c>
      <c r="AI715" s="4"/>
      <c r="AJ715" s="4">
        <f>=ROUNDDOWN({0},0)</f>
      </c>
      <c r="AK715" s="5"/>
      <c r="AL715" s="2" t="s">
        <v>231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231</v>
      </c>
      <c r="AW715" s="8" t="s">
        <v>231</v>
      </c>
      <c r="AX715" s="4" t="s">
        <v>231</v>
      </c>
      <c r="AY715" s="8" t="s">
        <v>231</v>
      </c>
      <c r="AZ715" s="7" t="s">
        <v>231</v>
      </c>
      <c r="BA715" s="7" t="s">
        <v>231</v>
      </c>
      <c r="BB715" s="7"/>
      <c r="BC715" s="4" t="s">
        <v>231</v>
      </c>
      <c r="BD715" s="8" t="s">
        <v>231</v>
      </c>
      <c r="BE715" s="4" t="s">
        <v>231</v>
      </c>
      <c r="BF715" s="8" t="s">
        <v>231</v>
      </c>
      <c r="BG715" s="7" t="s">
        <v>231</v>
      </c>
      <c r="BH715" s="7" t="s">
        <v>231</v>
      </c>
      <c r="BI715" s="7"/>
      <c r="BJ715" s="4"/>
      <c r="BK715" s="8"/>
      <c r="BL715" s="2" t="s">
        <v>231</v>
      </c>
      <c r="BM715" s="7"/>
      <c r="BN715" s="7"/>
      <c r="BO715" s="4"/>
      <c r="BP715" s="8"/>
      <c r="BQ715" s="4"/>
      <c r="BR715" s="8"/>
      <c r="BS715" s="7"/>
      <c r="BT715" s="7"/>
      <c r="BU715" s="2" t="s">
        <v>241</v>
      </c>
      <c r="BV715" s="2" t="s">
        <v>231</v>
      </c>
      <c r="BW715" s="2" t="s">
        <v>231</v>
      </c>
      <c r="BX715" s="2" t="s">
        <v>241</v>
      </c>
      <c r="BY715" s="2" t="s">
        <v>242</v>
      </c>
      <c r="BZ715" s="2" t="s">
        <v>243</v>
      </c>
      <c r="CA715" s="2" t="s">
        <v>231</v>
      </c>
      <c r="CB715" s="2" t="s">
        <v>231</v>
      </c>
      <c r="CC715" s="2" t="s">
        <v>244</v>
      </c>
      <c r="CD715" s="2" t="s">
        <v>231</v>
      </c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>
        <v>150</v>
      </c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</row>
    <row r="716">
      <c r="A716" s="2" t="s">
        <v>4032</v>
      </c>
      <c r="B716" s="2" t="s">
        <v>287</v>
      </c>
      <c r="C716" s="2" t="s">
        <v>1105</v>
      </c>
      <c r="D716" s="2" t="s">
        <v>289</v>
      </c>
      <c r="E716" s="2" t="s">
        <v>290</v>
      </c>
      <c r="F716" s="2" t="s">
        <v>4016</v>
      </c>
      <c r="G716" s="2" t="s">
        <v>4016</v>
      </c>
      <c r="H716" s="2" t="s">
        <v>4016</v>
      </c>
      <c r="I716" s="2" t="s">
        <v>4022</v>
      </c>
      <c r="J716" s="2" t="s">
        <v>318</v>
      </c>
      <c r="K716" s="2" t="s">
        <v>234</v>
      </c>
      <c r="L716" s="3">
        <v>17.83</v>
      </c>
      <c r="M716" s="3">
        <v>18.72</v>
      </c>
      <c r="N716" s="3">
        <v>39.99</v>
      </c>
      <c r="O716" s="2" t="s">
        <v>243</v>
      </c>
      <c r="P716" s="2" t="s">
        <v>295</v>
      </c>
      <c r="Q716" s="2" t="s">
        <v>237</v>
      </c>
      <c r="R716" s="2" t="s">
        <v>231</v>
      </c>
      <c r="S716" s="2" t="s">
        <v>4033</v>
      </c>
      <c r="T716" s="2" t="s">
        <v>362</v>
      </c>
      <c r="U716" s="2" t="s">
        <v>835</v>
      </c>
      <c r="V716" s="2" t="s">
        <v>239</v>
      </c>
      <c r="W716" s="2" t="s">
        <v>273</v>
      </c>
      <c r="X716" s="2" t="s">
        <v>231</v>
      </c>
      <c r="Y716" s="2" t="s">
        <v>231</v>
      </c>
      <c r="Z716" s="4"/>
      <c r="AA716" s="4">
        <f>=ROUNDDOWN({0},0)</f>
      </c>
      <c r="AB716" s="5"/>
      <c r="AC716" s="2" t="s">
        <v>2049</v>
      </c>
      <c r="AD716" s="4">
        <v>240</v>
      </c>
      <c r="AE716" s="4">
        <v>240</v>
      </c>
      <c r="AF716" s="6">
        <v>66</v>
      </c>
      <c r="AG716" s="6"/>
      <c r="AH716" s="7">
        <v>0</v>
      </c>
      <c r="AI716" s="4"/>
      <c r="AJ716" s="4">
        <f>=ROUNDDOWN({0},0)</f>
      </c>
      <c r="AK716" s="5"/>
      <c r="AL716" s="2" t="s">
        <v>231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231</v>
      </c>
      <c r="AW716" s="8" t="s">
        <v>231</v>
      </c>
      <c r="AX716" s="4" t="s">
        <v>231</v>
      </c>
      <c r="AY716" s="8" t="s">
        <v>231</v>
      </c>
      <c r="AZ716" s="7" t="s">
        <v>231</v>
      </c>
      <c r="BA716" s="7" t="s">
        <v>231</v>
      </c>
      <c r="BB716" s="7"/>
      <c r="BC716" s="4" t="s">
        <v>231</v>
      </c>
      <c r="BD716" s="8" t="s">
        <v>231</v>
      </c>
      <c r="BE716" s="4" t="s">
        <v>231</v>
      </c>
      <c r="BF716" s="8" t="s">
        <v>231</v>
      </c>
      <c r="BG716" s="7" t="s">
        <v>231</v>
      </c>
      <c r="BH716" s="7" t="s">
        <v>231</v>
      </c>
      <c r="BI716" s="7"/>
      <c r="BJ716" s="4"/>
      <c r="BK716" s="8"/>
      <c r="BL716" s="2" t="s">
        <v>231</v>
      </c>
      <c r="BM716" s="7"/>
      <c r="BN716" s="7"/>
      <c r="BO716" s="4"/>
      <c r="BP716" s="8"/>
      <c r="BQ716" s="4"/>
      <c r="BR716" s="8"/>
      <c r="BS716" s="7"/>
      <c r="BT716" s="7"/>
      <c r="BU716" s="2" t="s">
        <v>241</v>
      </c>
      <c r="BV716" s="2" t="s">
        <v>231</v>
      </c>
      <c r="BW716" s="2" t="s">
        <v>231</v>
      </c>
      <c r="BX716" s="2" t="s">
        <v>241</v>
      </c>
      <c r="BY716" s="2" t="s">
        <v>242</v>
      </c>
      <c r="BZ716" s="2" t="s">
        <v>243</v>
      </c>
      <c r="CA716" s="2" t="s">
        <v>231</v>
      </c>
      <c r="CB716" s="2" t="s">
        <v>231</v>
      </c>
      <c r="CC716" s="2" t="s">
        <v>244</v>
      </c>
      <c r="CD716" s="2" t="s">
        <v>231</v>
      </c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>
        <v>240</v>
      </c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</row>
    <row r="717">
      <c r="A717" s="2" t="s">
        <v>4034</v>
      </c>
      <c r="B717" s="2" t="s">
        <v>287</v>
      </c>
      <c r="C717" s="2" t="s">
        <v>1105</v>
      </c>
      <c r="D717" s="2" t="s">
        <v>289</v>
      </c>
      <c r="E717" s="2" t="s">
        <v>290</v>
      </c>
      <c r="F717" s="2" t="s">
        <v>4016</v>
      </c>
      <c r="G717" s="2" t="s">
        <v>4016</v>
      </c>
      <c r="H717" s="2" t="s">
        <v>4016</v>
      </c>
      <c r="I717" s="2" t="s">
        <v>4022</v>
      </c>
      <c r="J717" s="2" t="s">
        <v>268</v>
      </c>
      <c r="K717" s="2" t="s">
        <v>234</v>
      </c>
      <c r="L717" s="3">
        <v>17.83</v>
      </c>
      <c r="M717" s="3">
        <v>18.72</v>
      </c>
      <c r="N717" s="3">
        <v>39.99</v>
      </c>
      <c r="O717" s="2" t="s">
        <v>243</v>
      </c>
      <c r="P717" s="2" t="s">
        <v>295</v>
      </c>
      <c r="Q717" s="2" t="s">
        <v>237</v>
      </c>
      <c r="R717" s="2" t="s">
        <v>231</v>
      </c>
      <c r="S717" s="2" t="s">
        <v>4033</v>
      </c>
      <c r="T717" s="2" t="s">
        <v>362</v>
      </c>
      <c r="U717" s="2" t="s">
        <v>835</v>
      </c>
      <c r="V717" s="2" t="s">
        <v>239</v>
      </c>
      <c r="W717" s="2" t="s">
        <v>273</v>
      </c>
      <c r="X717" s="2" t="s">
        <v>231</v>
      </c>
      <c r="Y717" s="2" t="s">
        <v>231</v>
      </c>
      <c r="Z717" s="4"/>
      <c r="AA717" s="4">
        <f>=ROUNDDOWN({0},0)</f>
      </c>
      <c r="AB717" s="5"/>
      <c r="AC717" s="2" t="s">
        <v>2049</v>
      </c>
      <c r="AD717" s="4">
        <v>170</v>
      </c>
      <c r="AE717" s="4">
        <v>170</v>
      </c>
      <c r="AF717" s="6">
        <v>66</v>
      </c>
      <c r="AG717" s="6"/>
      <c r="AH717" s="7">
        <v>0</v>
      </c>
      <c r="AI717" s="4"/>
      <c r="AJ717" s="4">
        <f>=ROUNDDOWN({0},0)</f>
      </c>
      <c r="AK717" s="5"/>
      <c r="AL717" s="2" t="s">
        <v>231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231</v>
      </c>
      <c r="AW717" s="8" t="s">
        <v>231</v>
      </c>
      <c r="AX717" s="4" t="s">
        <v>231</v>
      </c>
      <c r="AY717" s="8" t="s">
        <v>231</v>
      </c>
      <c r="AZ717" s="7" t="s">
        <v>231</v>
      </c>
      <c r="BA717" s="7" t="s">
        <v>231</v>
      </c>
      <c r="BB717" s="7"/>
      <c r="BC717" s="4" t="s">
        <v>231</v>
      </c>
      <c r="BD717" s="8" t="s">
        <v>231</v>
      </c>
      <c r="BE717" s="4" t="s">
        <v>231</v>
      </c>
      <c r="BF717" s="8" t="s">
        <v>231</v>
      </c>
      <c r="BG717" s="7" t="s">
        <v>231</v>
      </c>
      <c r="BH717" s="7" t="s">
        <v>231</v>
      </c>
      <c r="BI717" s="7"/>
      <c r="BJ717" s="4"/>
      <c r="BK717" s="8"/>
      <c r="BL717" s="2" t="s">
        <v>231</v>
      </c>
      <c r="BM717" s="7"/>
      <c r="BN717" s="7"/>
      <c r="BO717" s="4"/>
      <c r="BP717" s="8"/>
      <c r="BQ717" s="4"/>
      <c r="BR717" s="8"/>
      <c r="BS717" s="7"/>
      <c r="BT717" s="7"/>
      <c r="BU717" s="2" t="s">
        <v>241</v>
      </c>
      <c r="BV717" s="2" t="s">
        <v>231</v>
      </c>
      <c r="BW717" s="2" t="s">
        <v>231</v>
      </c>
      <c r="BX717" s="2" t="s">
        <v>241</v>
      </c>
      <c r="BY717" s="2" t="s">
        <v>242</v>
      </c>
      <c r="BZ717" s="2" t="s">
        <v>243</v>
      </c>
      <c r="CA717" s="2" t="s">
        <v>231</v>
      </c>
      <c r="CB717" s="2" t="s">
        <v>231</v>
      </c>
      <c r="CC717" s="2" t="s">
        <v>244</v>
      </c>
      <c r="CD717" s="2" t="s">
        <v>231</v>
      </c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>
        <v>170</v>
      </c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</row>
    <row r="718">
      <c r="A718" s="2" t="s">
        <v>4035</v>
      </c>
      <c r="B718" s="2" t="s">
        <v>287</v>
      </c>
      <c r="C718" s="2" t="s">
        <v>1105</v>
      </c>
      <c r="D718" s="2" t="s">
        <v>289</v>
      </c>
      <c r="E718" s="2" t="s">
        <v>290</v>
      </c>
      <c r="F718" s="2" t="s">
        <v>4016</v>
      </c>
      <c r="G718" s="2" t="s">
        <v>4016</v>
      </c>
      <c r="H718" s="2" t="s">
        <v>4016</v>
      </c>
      <c r="I718" s="2" t="s">
        <v>4022</v>
      </c>
      <c r="J718" s="2" t="s">
        <v>281</v>
      </c>
      <c r="K718" s="2" t="s">
        <v>234</v>
      </c>
      <c r="L718" s="3">
        <v>20.06</v>
      </c>
      <c r="M718" s="3">
        <v>21.06</v>
      </c>
      <c r="N718" s="3">
        <v>44.99</v>
      </c>
      <c r="O718" s="2" t="s">
        <v>243</v>
      </c>
      <c r="P718" s="2" t="s">
        <v>295</v>
      </c>
      <c r="Q718" s="2" t="s">
        <v>237</v>
      </c>
      <c r="R718" s="2" t="s">
        <v>231</v>
      </c>
      <c r="S718" s="2" t="s">
        <v>4033</v>
      </c>
      <c r="T718" s="2" t="s">
        <v>362</v>
      </c>
      <c r="U718" s="2" t="s">
        <v>298</v>
      </c>
      <c r="V718" s="2" t="s">
        <v>239</v>
      </c>
      <c r="W718" s="2" t="s">
        <v>273</v>
      </c>
      <c r="X718" s="2" t="s">
        <v>231</v>
      </c>
      <c r="Y718" s="2" t="s">
        <v>231</v>
      </c>
      <c r="Z718" s="4"/>
      <c r="AA718" s="4">
        <f>=ROUNDDOWN({0},0)</f>
      </c>
      <c r="AB718" s="5"/>
      <c r="AC718" s="2" t="s">
        <v>2049</v>
      </c>
      <c r="AD718" s="4">
        <v>330</v>
      </c>
      <c r="AE718" s="4">
        <v>330</v>
      </c>
      <c r="AF718" s="6">
        <v>66</v>
      </c>
      <c r="AG718" s="6"/>
      <c r="AH718" s="7">
        <v>0</v>
      </c>
      <c r="AI718" s="4"/>
      <c r="AJ718" s="4">
        <f>=ROUNDDOWN({0},0)</f>
      </c>
      <c r="AK718" s="5"/>
      <c r="AL718" s="2" t="s">
        <v>231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231</v>
      </c>
      <c r="AW718" s="8" t="s">
        <v>231</v>
      </c>
      <c r="AX718" s="4" t="s">
        <v>231</v>
      </c>
      <c r="AY718" s="8" t="s">
        <v>231</v>
      </c>
      <c r="AZ718" s="7" t="s">
        <v>231</v>
      </c>
      <c r="BA718" s="7" t="s">
        <v>231</v>
      </c>
      <c r="BB718" s="7"/>
      <c r="BC718" s="4" t="s">
        <v>231</v>
      </c>
      <c r="BD718" s="8" t="s">
        <v>231</v>
      </c>
      <c r="BE718" s="4" t="s">
        <v>231</v>
      </c>
      <c r="BF718" s="8" t="s">
        <v>231</v>
      </c>
      <c r="BG718" s="7" t="s">
        <v>231</v>
      </c>
      <c r="BH718" s="7" t="s">
        <v>231</v>
      </c>
      <c r="BI718" s="7"/>
      <c r="BJ718" s="4"/>
      <c r="BK718" s="8"/>
      <c r="BL718" s="2" t="s">
        <v>231</v>
      </c>
      <c r="BM718" s="7"/>
      <c r="BN718" s="7"/>
      <c r="BO718" s="4"/>
      <c r="BP718" s="8"/>
      <c r="BQ718" s="4"/>
      <c r="BR718" s="8"/>
      <c r="BS718" s="7"/>
      <c r="BT718" s="7"/>
      <c r="BU718" s="2" t="s">
        <v>241</v>
      </c>
      <c r="BV718" s="2" t="s">
        <v>231</v>
      </c>
      <c r="BW718" s="2" t="s">
        <v>231</v>
      </c>
      <c r="BX718" s="2" t="s">
        <v>241</v>
      </c>
      <c r="BY718" s="2" t="s">
        <v>242</v>
      </c>
      <c r="BZ718" s="2" t="s">
        <v>243</v>
      </c>
      <c r="CA718" s="2" t="s">
        <v>231</v>
      </c>
      <c r="CB718" s="2" t="s">
        <v>231</v>
      </c>
      <c r="CC718" s="2" t="s">
        <v>244</v>
      </c>
      <c r="CD718" s="2" t="s">
        <v>231</v>
      </c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>
        <v>330</v>
      </c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</row>
    <row r="719">
      <c r="A719" s="2" t="s">
        <v>4036</v>
      </c>
      <c r="B719" s="2" t="s">
        <v>287</v>
      </c>
      <c r="C719" s="2" t="s">
        <v>1105</v>
      </c>
      <c r="D719" s="2" t="s">
        <v>289</v>
      </c>
      <c r="E719" s="2" t="s">
        <v>290</v>
      </c>
      <c r="F719" s="2" t="s">
        <v>4016</v>
      </c>
      <c r="G719" s="2" t="s">
        <v>4016</v>
      </c>
      <c r="H719" s="2" t="s">
        <v>4016</v>
      </c>
      <c r="I719" s="2" t="s">
        <v>4022</v>
      </c>
      <c r="J719" s="2" t="s">
        <v>293</v>
      </c>
      <c r="K719" s="2" t="s">
        <v>234</v>
      </c>
      <c r="L719" s="3">
        <v>22.29</v>
      </c>
      <c r="M719" s="3">
        <v>23.4</v>
      </c>
      <c r="N719" s="3">
        <v>49.99</v>
      </c>
      <c r="O719" s="2" t="s">
        <v>243</v>
      </c>
      <c r="P719" s="2" t="s">
        <v>295</v>
      </c>
      <c r="Q719" s="2" t="s">
        <v>237</v>
      </c>
      <c r="R719" s="2" t="s">
        <v>231</v>
      </c>
      <c r="S719" s="2" t="s">
        <v>4033</v>
      </c>
      <c r="T719" s="2" t="s">
        <v>362</v>
      </c>
      <c r="U719" s="2" t="s">
        <v>298</v>
      </c>
      <c r="V719" s="2" t="s">
        <v>239</v>
      </c>
      <c r="W719" s="2" t="s">
        <v>273</v>
      </c>
      <c r="X719" s="2" t="s">
        <v>231</v>
      </c>
      <c r="Y719" s="2" t="s">
        <v>231</v>
      </c>
      <c r="Z719" s="4"/>
      <c r="AA719" s="4">
        <f>=ROUNDDOWN({0},0)</f>
      </c>
      <c r="AB719" s="5"/>
      <c r="AC719" s="2" t="s">
        <v>2049</v>
      </c>
      <c r="AD719" s="4">
        <v>690</v>
      </c>
      <c r="AE719" s="4">
        <v>690</v>
      </c>
      <c r="AF719" s="6">
        <v>66</v>
      </c>
      <c r="AG719" s="6"/>
      <c r="AH719" s="7">
        <v>0</v>
      </c>
      <c r="AI719" s="4"/>
      <c r="AJ719" s="4">
        <f>=ROUNDDOWN({0},0)</f>
      </c>
      <c r="AK719" s="5"/>
      <c r="AL719" s="2" t="s">
        <v>231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231</v>
      </c>
      <c r="AW719" s="8" t="s">
        <v>231</v>
      </c>
      <c r="AX719" s="4" t="s">
        <v>231</v>
      </c>
      <c r="AY719" s="8" t="s">
        <v>231</v>
      </c>
      <c r="AZ719" s="7" t="s">
        <v>231</v>
      </c>
      <c r="BA719" s="7" t="s">
        <v>231</v>
      </c>
      <c r="BB719" s="7"/>
      <c r="BC719" s="4" t="s">
        <v>231</v>
      </c>
      <c r="BD719" s="8" t="s">
        <v>231</v>
      </c>
      <c r="BE719" s="4" t="s">
        <v>231</v>
      </c>
      <c r="BF719" s="8" t="s">
        <v>231</v>
      </c>
      <c r="BG719" s="7" t="s">
        <v>231</v>
      </c>
      <c r="BH719" s="7" t="s">
        <v>231</v>
      </c>
      <c r="BI719" s="7"/>
      <c r="BJ719" s="4"/>
      <c r="BK719" s="8"/>
      <c r="BL719" s="2" t="s">
        <v>231</v>
      </c>
      <c r="BM719" s="7"/>
      <c r="BN719" s="7"/>
      <c r="BO719" s="4"/>
      <c r="BP719" s="8"/>
      <c r="BQ719" s="4"/>
      <c r="BR719" s="8"/>
      <c r="BS719" s="7"/>
      <c r="BT719" s="7"/>
      <c r="BU719" s="2" t="s">
        <v>241</v>
      </c>
      <c r="BV719" s="2" t="s">
        <v>231</v>
      </c>
      <c r="BW719" s="2" t="s">
        <v>231</v>
      </c>
      <c r="BX719" s="2" t="s">
        <v>241</v>
      </c>
      <c r="BY719" s="2" t="s">
        <v>242</v>
      </c>
      <c r="BZ719" s="2" t="s">
        <v>243</v>
      </c>
      <c r="CA719" s="2" t="s">
        <v>231</v>
      </c>
      <c r="CB719" s="2" t="s">
        <v>231</v>
      </c>
      <c r="CC719" s="2" t="s">
        <v>244</v>
      </c>
      <c r="CD719" s="2" t="s">
        <v>231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>
        <v>690</v>
      </c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</row>
    <row r="720">
      <c r="A720" s="2" t="s">
        <v>4037</v>
      </c>
      <c r="B720" s="2" t="s">
        <v>287</v>
      </c>
      <c r="C720" s="2" t="s">
        <v>1105</v>
      </c>
      <c r="D720" s="2" t="s">
        <v>289</v>
      </c>
      <c r="E720" s="2" t="s">
        <v>290</v>
      </c>
      <c r="F720" s="2" t="s">
        <v>4016</v>
      </c>
      <c r="G720" s="2" t="s">
        <v>4016</v>
      </c>
      <c r="H720" s="2" t="s">
        <v>4016</v>
      </c>
      <c r="I720" s="2" t="s">
        <v>4022</v>
      </c>
      <c r="J720" s="2" t="s">
        <v>302</v>
      </c>
      <c r="K720" s="2" t="s">
        <v>234</v>
      </c>
      <c r="L720" s="3">
        <v>24.52</v>
      </c>
      <c r="M720" s="3">
        <v>25.75</v>
      </c>
      <c r="N720" s="3">
        <v>54.99</v>
      </c>
      <c r="O720" s="2" t="s">
        <v>243</v>
      </c>
      <c r="P720" s="2" t="s">
        <v>295</v>
      </c>
      <c r="Q720" s="2" t="s">
        <v>237</v>
      </c>
      <c r="R720" s="2" t="s">
        <v>231</v>
      </c>
      <c r="S720" s="2" t="s">
        <v>4033</v>
      </c>
      <c r="T720" s="2" t="s">
        <v>362</v>
      </c>
      <c r="U720" s="2" t="s">
        <v>298</v>
      </c>
      <c r="V720" s="2" t="s">
        <v>239</v>
      </c>
      <c r="W720" s="2" t="s">
        <v>273</v>
      </c>
      <c r="X720" s="2" t="s">
        <v>231</v>
      </c>
      <c r="Y720" s="2" t="s">
        <v>231</v>
      </c>
      <c r="Z720" s="4"/>
      <c r="AA720" s="4">
        <f>=ROUNDDOWN({0},0)</f>
      </c>
      <c r="AB720" s="5"/>
      <c r="AC720" s="2" t="s">
        <v>2049</v>
      </c>
      <c r="AD720" s="4">
        <v>480</v>
      </c>
      <c r="AE720" s="4">
        <v>480</v>
      </c>
      <c r="AF720" s="6">
        <v>66</v>
      </c>
      <c r="AG720" s="6"/>
      <c r="AH720" s="7">
        <v>0</v>
      </c>
      <c r="AI720" s="4"/>
      <c r="AJ720" s="4">
        <f>=ROUNDDOWN({0},0)</f>
      </c>
      <c r="AK720" s="5"/>
      <c r="AL720" s="2" t="s">
        <v>231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231</v>
      </c>
      <c r="AW720" s="8" t="s">
        <v>231</v>
      </c>
      <c r="AX720" s="4" t="s">
        <v>231</v>
      </c>
      <c r="AY720" s="8" t="s">
        <v>231</v>
      </c>
      <c r="AZ720" s="7" t="s">
        <v>231</v>
      </c>
      <c r="BA720" s="7" t="s">
        <v>231</v>
      </c>
      <c r="BB720" s="7"/>
      <c r="BC720" s="4" t="s">
        <v>231</v>
      </c>
      <c r="BD720" s="8" t="s">
        <v>231</v>
      </c>
      <c r="BE720" s="4" t="s">
        <v>231</v>
      </c>
      <c r="BF720" s="8" t="s">
        <v>231</v>
      </c>
      <c r="BG720" s="7" t="s">
        <v>231</v>
      </c>
      <c r="BH720" s="7" t="s">
        <v>231</v>
      </c>
      <c r="BI720" s="7"/>
      <c r="BJ720" s="4"/>
      <c r="BK720" s="8"/>
      <c r="BL720" s="2" t="s">
        <v>231</v>
      </c>
      <c r="BM720" s="7"/>
      <c r="BN720" s="7"/>
      <c r="BO720" s="4"/>
      <c r="BP720" s="8"/>
      <c r="BQ720" s="4"/>
      <c r="BR720" s="8"/>
      <c r="BS720" s="7"/>
      <c r="BT720" s="7"/>
      <c r="BU720" s="2" t="s">
        <v>241</v>
      </c>
      <c r="BV720" s="2" t="s">
        <v>231</v>
      </c>
      <c r="BW720" s="2" t="s">
        <v>231</v>
      </c>
      <c r="BX720" s="2" t="s">
        <v>241</v>
      </c>
      <c r="BY720" s="2" t="s">
        <v>242</v>
      </c>
      <c r="BZ720" s="2" t="s">
        <v>243</v>
      </c>
      <c r="CA720" s="2" t="s">
        <v>231</v>
      </c>
      <c r="CB720" s="2" t="s">
        <v>231</v>
      </c>
      <c r="CC720" s="2" t="s">
        <v>244</v>
      </c>
      <c r="CD720" s="2" t="s">
        <v>231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>
        <v>480</v>
      </c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</row>
    <row r="721">
      <c r="A721" s="2" t="s">
        <v>4038</v>
      </c>
      <c r="B721" s="2" t="s">
        <v>287</v>
      </c>
      <c r="C721" s="2" t="s">
        <v>1105</v>
      </c>
      <c r="D721" s="2" t="s">
        <v>289</v>
      </c>
      <c r="E721" s="2" t="s">
        <v>290</v>
      </c>
      <c r="F721" s="2" t="s">
        <v>4016</v>
      </c>
      <c r="G721" s="2" t="s">
        <v>4016</v>
      </c>
      <c r="H721" s="2" t="s">
        <v>4016</v>
      </c>
      <c r="I721" s="2" t="s">
        <v>4022</v>
      </c>
      <c r="J721" s="2" t="s">
        <v>304</v>
      </c>
      <c r="K721" s="2" t="s">
        <v>234</v>
      </c>
      <c r="L721" s="3">
        <v>24.52</v>
      </c>
      <c r="M721" s="3">
        <v>25.75</v>
      </c>
      <c r="N721" s="3">
        <v>54.99</v>
      </c>
      <c r="O721" s="2" t="s">
        <v>243</v>
      </c>
      <c r="P721" s="2" t="s">
        <v>295</v>
      </c>
      <c r="Q721" s="2" t="s">
        <v>237</v>
      </c>
      <c r="R721" s="2" t="s">
        <v>231</v>
      </c>
      <c r="S721" s="2" t="s">
        <v>4033</v>
      </c>
      <c r="T721" s="2" t="s">
        <v>362</v>
      </c>
      <c r="U721" s="2" t="s">
        <v>298</v>
      </c>
      <c r="V721" s="2" t="s">
        <v>239</v>
      </c>
      <c r="W721" s="2" t="s">
        <v>273</v>
      </c>
      <c r="X721" s="2" t="s">
        <v>231</v>
      </c>
      <c r="Y721" s="2" t="s">
        <v>231</v>
      </c>
      <c r="Z721" s="4"/>
      <c r="AA721" s="4">
        <f>=ROUNDDOWN({0},0)</f>
      </c>
      <c r="AB721" s="5"/>
      <c r="AC721" s="2" t="s">
        <v>2049</v>
      </c>
      <c r="AD721" s="4">
        <v>150</v>
      </c>
      <c r="AE721" s="4">
        <v>150</v>
      </c>
      <c r="AF721" s="6">
        <v>66</v>
      </c>
      <c r="AG721" s="6"/>
      <c r="AH721" s="7">
        <v>0</v>
      </c>
      <c r="AI721" s="4"/>
      <c r="AJ721" s="4">
        <f>=ROUNDDOWN({0},0)</f>
      </c>
      <c r="AK721" s="5"/>
      <c r="AL721" s="2" t="s">
        <v>231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231</v>
      </c>
      <c r="AW721" s="8" t="s">
        <v>231</v>
      </c>
      <c r="AX721" s="4" t="s">
        <v>231</v>
      </c>
      <c r="AY721" s="8" t="s">
        <v>231</v>
      </c>
      <c r="AZ721" s="7" t="s">
        <v>231</v>
      </c>
      <c r="BA721" s="7" t="s">
        <v>231</v>
      </c>
      <c r="BB721" s="7"/>
      <c r="BC721" s="4" t="s">
        <v>231</v>
      </c>
      <c r="BD721" s="8" t="s">
        <v>231</v>
      </c>
      <c r="BE721" s="4" t="s">
        <v>231</v>
      </c>
      <c r="BF721" s="8" t="s">
        <v>231</v>
      </c>
      <c r="BG721" s="7" t="s">
        <v>231</v>
      </c>
      <c r="BH721" s="7" t="s">
        <v>231</v>
      </c>
      <c r="BI721" s="7"/>
      <c r="BJ721" s="4"/>
      <c r="BK721" s="8"/>
      <c r="BL721" s="2" t="s">
        <v>231</v>
      </c>
      <c r="BM721" s="7"/>
      <c r="BN721" s="7"/>
      <c r="BO721" s="4"/>
      <c r="BP721" s="8"/>
      <c r="BQ721" s="4"/>
      <c r="BR721" s="8"/>
      <c r="BS721" s="7"/>
      <c r="BT721" s="7"/>
      <c r="BU721" s="2" t="s">
        <v>241</v>
      </c>
      <c r="BV721" s="2" t="s">
        <v>231</v>
      </c>
      <c r="BW721" s="2" t="s">
        <v>231</v>
      </c>
      <c r="BX721" s="2" t="s">
        <v>241</v>
      </c>
      <c r="BY721" s="2" t="s">
        <v>242</v>
      </c>
      <c r="BZ721" s="2" t="s">
        <v>243</v>
      </c>
      <c r="CA721" s="2" t="s">
        <v>231</v>
      </c>
      <c r="CB721" s="2" t="s">
        <v>231</v>
      </c>
      <c r="CC721" s="2" t="s">
        <v>244</v>
      </c>
      <c r="CD721" s="2" t="s">
        <v>231</v>
      </c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>
        <v>150</v>
      </c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</row>
    <row r="722">
      <c r="A722" s="2" t="s">
        <v>4039</v>
      </c>
      <c r="B722" s="2" t="s">
        <v>287</v>
      </c>
      <c r="C722" s="2" t="s">
        <v>1105</v>
      </c>
      <c r="D722" s="2" t="s">
        <v>289</v>
      </c>
      <c r="E722" s="2" t="s">
        <v>290</v>
      </c>
      <c r="F722" s="2" t="s">
        <v>4016</v>
      </c>
      <c r="G722" s="2" t="s">
        <v>4016</v>
      </c>
      <c r="H722" s="2" t="s">
        <v>4016</v>
      </c>
      <c r="I722" s="2" t="s">
        <v>4022</v>
      </c>
      <c r="J722" s="2" t="s">
        <v>281</v>
      </c>
      <c r="K722" s="2" t="s">
        <v>306</v>
      </c>
      <c r="L722" s="3">
        <v>20.06</v>
      </c>
      <c r="M722" s="3">
        <v>21.06</v>
      </c>
      <c r="N722" s="3">
        <v>44.99</v>
      </c>
      <c r="O722" s="2" t="s">
        <v>243</v>
      </c>
      <c r="P722" s="2" t="s">
        <v>295</v>
      </c>
      <c r="Q722" s="2" t="s">
        <v>237</v>
      </c>
      <c r="R722" s="2" t="s">
        <v>231</v>
      </c>
      <c r="S722" s="2" t="s">
        <v>4040</v>
      </c>
      <c r="T722" s="2" t="s">
        <v>362</v>
      </c>
      <c r="U722" s="2" t="s">
        <v>298</v>
      </c>
      <c r="V722" s="2" t="s">
        <v>239</v>
      </c>
      <c r="W722" s="2" t="s">
        <v>273</v>
      </c>
      <c r="X722" s="2" t="s">
        <v>231</v>
      </c>
      <c r="Y722" s="2" t="s">
        <v>231</v>
      </c>
      <c r="Z722" s="4"/>
      <c r="AA722" s="4">
        <f>=ROUNDDOWN({0},0)</f>
      </c>
      <c r="AB722" s="5"/>
      <c r="AC722" s="2" t="s">
        <v>2049</v>
      </c>
      <c r="AD722" s="4">
        <v>330</v>
      </c>
      <c r="AE722" s="4">
        <v>330</v>
      </c>
      <c r="AF722" s="6">
        <v>66</v>
      </c>
      <c r="AG722" s="6"/>
      <c r="AH722" s="7">
        <v>0</v>
      </c>
      <c r="AI722" s="4"/>
      <c r="AJ722" s="4">
        <f>=ROUNDDOWN({0},0)</f>
      </c>
      <c r="AK722" s="5"/>
      <c r="AL722" s="2" t="s">
        <v>231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231</v>
      </c>
      <c r="AW722" s="8" t="s">
        <v>231</v>
      </c>
      <c r="AX722" s="4" t="s">
        <v>231</v>
      </c>
      <c r="AY722" s="8" t="s">
        <v>231</v>
      </c>
      <c r="AZ722" s="7" t="s">
        <v>231</v>
      </c>
      <c r="BA722" s="7" t="s">
        <v>231</v>
      </c>
      <c r="BB722" s="7"/>
      <c r="BC722" s="4" t="s">
        <v>231</v>
      </c>
      <c r="BD722" s="8" t="s">
        <v>231</v>
      </c>
      <c r="BE722" s="4" t="s">
        <v>231</v>
      </c>
      <c r="BF722" s="8" t="s">
        <v>231</v>
      </c>
      <c r="BG722" s="7" t="s">
        <v>231</v>
      </c>
      <c r="BH722" s="7" t="s">
        <v>231</v>
      </c>
      <c r="BI722" s="7"/>
      <c r="BJ722" s="4"/>
      <c r="BK722" s="8"/>
      <c r="BL722" s="2" t="s">
        <v>231</v>
      </c>
      <c r="BM722" s="7"/>
      <c r="BN722" s="7"/>
      <c r="BO722" s="4"/>
      <c r="BP722" s="8"/>
      <c r="BQ722" s="4"/>
      <c r="BR722" s="8"/>
      <c r="BS722" s="7"/>
      <c r="BT722" s="7"/>
      <c r="BU722" s="2" t="s">
        <v>241</v>
      </c>
      <c r="BV722" s="2" t="s">
        <v>231</v>
      </c>
      <c r="BW722" s="2" t="s">
        <v>231</v>
      </c>
      <c r="BX722" s="2" t="s">
        <v>241</v>
      </c>
      <c r="BY722" s="2" t="s">
        <v>242</v>
      </c>
      <c r="BZ722" s="2" t="s">
        <v>243</v>
      </c>
      <c r="CA722" s="2" t="s">
        <v>231</v>
      </c>
      <c r="CB722" s="2" t="s">
        <v>231</v>
      </c>
      <c r="CC722" s="2" t="s">
        <v>244</v>
      </c>
      <c r="CD722" s="2" t="s">
        <v>231</v>
      </c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>
        <v>330</v>
      </c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</row>
    <row r="723">
      <c r="A723" s="2" t="s">
        <v>4041</v>
      </c>
      <c r="B723" s="2" t="s">
        <v>287</v>
      </c>
      <c r="C723" s="2" t="s">
        <v>1105</v>
      </c>
      <c r="D723" s="2" t="s">
        <v>289</v>
      </c>
      <c r="E723" s="2" t="s">
        <v>290</v>
      </c>
      <c r="F723" s="2" t="s">
        <v>4016</v>
      </c>
      <c r="G723" s="2" t="s">
        <v>4016</v>
      </c>
      <c r="H723" s="2" t="s">
        <v>4016</v>
      </c>
      <c r="I723" s="2" t="s">
        <v>4022</v>
      </c>
      <c r="J723" s="2" t="s">
        <v>293</v>
      </c>
      <c r="K723" s="2" t="s">
        <v>306</v>
      </c>
      <c r="L723" s="3">
        <v>22.29</v>
      </c>
      <c r="M723" s="3">
        <v>23.4</v>
      </c>
      <c r="N723" s="3">
        <v>49.99</v>
      </c>
      <c r="O723" s="2" t="s">
        <v>243</v>
      </c>
      <c r="P723" s="2" t="s">
        <v>295</v>
      </c>
      <c r="Q723" s="2" t="s">
        <v>237</v>
      </c>
      <c r="R723" s="2" t="s">
        <v>231</v>
      </c>
      <c r="S723" s="2" t="s">
        <v>4040</v>
      </c>
      <c r="T723" s="2" t="s">
        <v>362</v>
      </c>
      <c r="U723" s="2" t="s">
        <v>298</v>
      </c>
      <c r="V723" s="2" t="s">
        <v>239</v>
      </c>
      <c r="W723" s="2" t="s">
        <v>273</v>
      </c>
      <c r="X723" s="2" t="s">
        <v>231</v>
      </c>
      <c r="Y723" s="2" t="s">
        <v>231</v>
      </c>
      <c r="Z723" s="4"/>
      <c r="AA723" s="4">
        <f>=ROUNDDOWN({0},0)</f>
      </c>
      <c r="AB723" s="5"/>
      <c r="AC723" s="2" t="s">
        <v>2049</v>
      </c>
      <c r="AD723" s="4">
        <v>670</v>
      </c>
      <c r="AE723" s="4">
        <v>670</v>
      </c>
      <c r="AF723" s="6">
        <v>66</v>
      </c>
      <c r="AG723" s="6"/>
      <c r="AH723" s="7">
        <v>0</v>
      </c>
      <c r="AI723" s="4"/>
      <c r="AJ723" s="4">
        <f>=ROUNDDOWN({0},0)</f>
      </c>
      <c r="AK723" s="5"/>
      <c r="AL723" s="2" t="s">
        <v>231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231</v>
      </c>
      <c r="AW723" s="8" t="s">
        <v>231</v>
      </c>
      <c r="AX723" s="4" t="s">
        <v>231</v>
      </c>
      <c r="AY723" s="8" t="s">
        <v>231</v>
      </c>
      <c r="AZ723" s="7" t="s">
        <v>231</v>
      </c>
      <c r="BA723" s="7" t="s">
        <v>231</v>
      </c>
      <c r="BB723" s="7"/>
      <c r="BC723" s="4" t="s">
        <v>231</v>
      </c>
      <c r="BD723" s="8" t="s">
        <v>231</v>
      </c>
      <c r="BE723" s="4" t="s">
        <v>231</v>
      </c>
      <c r="BF723" s="8" t="s">
        <v>231</v>
      </c>
      <c r="BG723" s="7" t="s">
        <v>231</v>
      </c>
      <c r="BH723" s="7" t="s">
        <v>231</v>
      </c>
      <c r="BI723" s="7"/>
      <c r="BJ723" s="4"/>
      <c r="BK723" s="8"/>
      <c r="BL723" s="2" t="s">
        <v>231</v>
      </c>
      <c r="BM723" s="7"/>
      <c r="BN723" s="7"/>
      <c r="BO723" s="4"/>
      <c r="BP723" s="8"/>
      <c r="BQ723" s="4"/>
      <c r="BR723" s="8"/>
      <c r="BS723" s="7"/>
      <c r="BT723" s="7"/>
      <c r="BU723" s="2" t="s">
        <v>241</v>
      </c>
      <c r="BV723" s="2" t="s">
        <v>231</v>
      </c>
      <c r="BW723" s="2" t="s">
        <v>231</v>
      </c>
      <c r="BX723" s="2" t="s">
        <v>241</v>
      </c>
      <c r="BY723" s="2" t="s">
        <v>242</v>
      </c>
      <c r="BZ723" s="2" t="s">
        <v>243</v>
      </c>
      <c r="CA723" s="2" t="s">
        <v>231</v>
      </c>
      <c r="CB723" s="2" t="s">
        <v>231</v>
      </c>
      <c r="CC723" s="2" t="s">
        <v>244</v>
      </c>
      <c r="CD723" s="2" t="s">
        <v>231</v>
      </c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>
        <v>670</v>
      </c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</row>
    <row r="724">
      <c r="A724" s="2" t="s">
        <v>4042</v>
      </c>
      <c r="B724" s="2" t="s">
        <v>287</v>
      </c>
      <c r="C724" s="2" t="s">
        <v>1105</v>
      </c>
      <c r="D724" s="2" t="s">
        <v>289</v>
      </c>
      <c r="E724" s="2" t="s">
        <v>290</v>
      </c>
      <c r="F724" s="2" t="s">
        <v>4016</v>
      </c>
      <c r="G724" s="2" t="s">
        <v>4016</v>
      </c>
      <c r="H724" s="2" t="s">
        <v>4016</v>
      </c>
      <c r="I724" s="2" t="s">
        <v>4022</v>
      </c>
      <c r="J724" s="2" t="s">
        <v>302</v>
      </c>
      <c r="K724" s="2" t="s">
        <v>306</v>
      </c>
      <c r="L724" s="3">
        <v>24.52</v>
      </c>
      <c r="M724" s="3">
        <v>25.75</v>
      </c>
      <c r="N724" s="3">
        <v>54.99</v>
      </c>
      <c r="O724" s="2" t="s">
        <v>243</v>
      </c>
      <c r="P724" s="2" t="s">
        <v>295</v>
      </c>
      <c r="Q724" s="2" t="s">
        <v>237</v>
      </c>
      <c r="R724" s="2" t="s">
        <v>231</v>
      </c>
      <c r="S724" s="2" t="s">
        <v>4040</v>
      </c>
      <c r="T724" s="2" t="s">
        <v>362</v>
      </c>
      <c r="U724" s="2" t="s">
        <v>298</v>
      </c>
      <c r="V724" s="2" t="s">
        <v>239</v>
      </c>
      <c r="W724" s="2" t="s">
        <v>273</v>
      </c>
      <c r="X724" s="2" t="s">
        <v>231</v>
      </c>
      <c r="Y724" s="2" t="s">
        <v>231</v>
      </c>
      <c r="Z724" s="4"/>
      <c r="AA724" s="4">
        <f>=ROUNDDOWN({0},0)</f>
      </c>
      <c r="AB724" s="5"/>
      <c r="AC724" s="2" t="s">
        <v>2049</v>
      </c>
      <c r="AD724" s="4">
        <v>480</v>
      </c>
      <c r="AE724" s="4">
        <v>480</v>
      </c>
      <c r="AF724" s="6">
        <v>66</v>
      </c>
      <c r="AG724" s="6"/>
      <c r="AH724" s="7">
        <v>0</v>
      </c>
      <c r="AI724" s="4"/>
      <c r="AJ724" s="4">
        <f>=ROUNDDOWN({0},0)</f>
      </c>
      <c r="AK724" s="5"/>
      <c r="AL724" s="2" t="s">
        <v>231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231</v>
      </c>
      <c r="AW724" s="8" t="s">
        <v>231</v>
      </c>
      <c r="AX724" s="4" t="s">
        <v>231</v>
      </c>
      <c r="AY724" s="8" t="s">
        <v>231</v>
      </c>
      <c r="AZ724" s="7" t="s">
        <v>231</v>
      </c>
      <c r="BA724" s="7" t="s">
        <v>231</v>
      </c>
      <c r="BB724" s="7"/>
      <c r="BC724" s="4" t="s">
        <v>231</v>
      </c>
      <c r="BD724" s="8" t="s">
        <v>231</v>
      </c>
      <c r="BE724" s="4" t="s">
        <v>231</v>
      </c>
      <c r="BF724" s="8" t="s">
        <v>231</v>
      </c>
      <c r="BG724" s="7" t="s">
        <v>231</v>
      </c>
      <c r="BH724" s="7" t="s">
        <v>231</v>
      </c>
      <c r="BI724" s="7"/>
      <c r="BJ724" s="4"/>
      <c r="BK724" s="8"/>
      <c r="BL724" s="2" t="s">
        <v>231</v>
      </c>
      <c r="BM724" s="7"/>
      <c r="BN724" s="7"/>
      <c r="BO724" s="4"/>
      <c r="BP724" s="8"/>
      <c r="BQ724" s="4"/>
      <c r="BR724" s="8"/>
      <c r="BS724" s="7"/>
      <c r="BT724" s="7"/>
      <c r="BU724" s="2" t="s">
        <v>241</v>
      </c>
      <c r="BV724" s="2" t="s">
        <v>231</v>
      </c>
      <c r="BW724" s="2" t="s">
        <v>231</v>
      </c>
      <c r="BX724" s="2" t="s">
        <v>241</v>
      </c>
      <c r="BY724" s="2" t="s">
        <v>242</v>
      </c>
      <c r="BZ724" s="2" t="s">
        <v>243</v>
      </c>
      <c r="CA724" s="2" t="s">
        <v>231</v>
      </c>
      <c r="CB724" s="2" t="s">
        <v>231</v>
      </c>
      <c r="CC724" s="2" t="s">
        <v>244</v>
      </c>
      <c r="CD724" s="2" t="s">
        <v>231</v>
      </c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>
        <v>480</v>
      </c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</row>
    <row r="725">
      <c r="A725" s="2" t="s">
        <v>4043</v>
      </c>
      <c r="B725" s="2" t="s">
        <v>287</v>
      </c>
      <c r="C725" s="2" t="s">
        <v>1105</v>
      </c>
      <c r="D725" s="2" t="s">
        <v>289</v>
      </c>
      <c r="E725" s="2" t="s">
        <v>290</v>
      </c>
      <c r="F725" s="2" t="s">
        <v>4016</v>
      </c>
      <c r="G725" s="2" t="s">
        <v>4016</v>
      </c>
      <c r="H725" s="2" t="s">
        <v>4016</v>
      </c>
      <c r="I725" s="2" t="s">
        <v>4022</v>
      </c>
      <c r="J725" s="2" t="s">
        <v>304</v>
      </c>
      <c r="K725" s="2" t="s">
        <v>306</v>
      </c>
      <c r="L725" s="3">
        <v>24.52</v>
      </c>
      <c r="M725" s="3">
        <v>25.75</v>
      </c>
      <c r="N725" s="3">
        <v>54.99</v>
      </c>
      <c r="O725" s="2" t="s">
        <v>243</v>
      </c>
      <c r="P725" s="2" t="s">
        <v>295</v>
      </c>
      <c r="Q725" s="2" t="s">
        <v>237</v>
      </c>
      <c r="R725" s="2" t="s">
        <v>231</v>
      </c>
      <c r="S725" s="2" t="s">
        <v>4040</v>
      </c>
      <c r="T725" s="2" t="s">
        <v>362</v>
      </c>
      <c r="U725" s="2" t="s">
        <v>298</v>
      </c>
      <c r="V725" s="2" t="s">
        <v>239</v>
      </c>
      <c r="W725" s="2" t="s">
        <v>273</v>
      </c>
      <c r="X725" s="2" t="s">
        <v>231</v>
      </c>
      <c r="Y725" s="2" t="s">
        <v>231</v>
      </c>
      <c r="Z725" s="4"/>
      <c r="AA725" s="4">
        <f>=ROUNDDOWN({0},0)</f>
      </c>
      <c r="AB725" s="5"/>
      <c r="AC725" s="2" t="s">
        <v>2049</v>
      </c>
      <c r="AD725" s="4">
        <v>180</v>
      </c>
      <c r="AE725" s="4">
        <v>180</v>
      </c>
      <c r="AF725" s="6">
        <v>66</v>
      </c>
      <c r="AG725" s="6"/>
      <c r="AH725" s="7">
        <v>0</v>
      </c>
      <c r="AI725" s="4"/>
      <c r="AJ725" s="4">
        <f>=ROUNDDOWN({0},0)</f>
      </c>
      <c r="AK725" s="5"/>
      <c r="AL725" s="2" t="s">
        <v>231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231</v>
      </c>
      <c r="AW725" s="8" t="s">
        <v>231</v>
      </c>
      <c r="AX725" s="4" t="s">
        <v>231</v>
      </c>
      <c r="AY725" s="8" t="s">
        <v>231</v>
      </c>
      <c r="AZ725" s="7" t="s">
        <v>231</v>
      </c>
      <c r="BA725" s="7" t="s">
        <v>231</v>
      </c>
      <c r="BB725" s="7"/>
      <c r="BC725" s="4" t="s">
        <v>231</v>
      </c>
      <c r="BD725" s="8" t="s">
        <v>231</v>
      </c>
      <c r="BE725" s="4" t="s">
        <v>231</v>
      </c>
      <c r="BF725" s="8" t="s">
        <v>231</v>
      </c>
      <c r="BG725" s="7" t="s">
        <v>231</v>
      </c>
      <c r="BH725" s="7" t="s">
        <v>231</v>
      </c>
      <c r="BI725" s="7"/>
      <c r="BJ725" s="4"/>
      <c r="BK725" s="8"/>
      <c r="BL725" s="2" t="s">
        <v>231</v>
      </c>
      <c r="BM725" s="7"/>
      <c r="BN725" s="7"/>
      <c r="BO725" s="4"/>
      <c r="BP725" s="8"/>
      <c r="BQ725" s="4"/>
      <c r="BR725" s="8"/>
      <c r="BS725" s="7"/>
      <c r="BT725" s="7"/>
      <c r="BU725" s="2" t="s">
        <v>241</v>
      </c>
      <c r="BV725" s="2" t="s">
        <v>231</v>
      </c>
      <c r="BW725" s="2" t="s">
        <v>231</v>
      </c>
      <c r="BX725" s="2" t="s">
        <v>241</v>
      </c>
      <c r="BY725" s="2" t="s">
        <v>242</v>
      </c>
      <c r="BZ725" s="2" t="s">
        <v>243</v>
      </c>
      <c r="CA725" s="2" t="s">
        <v>231</v>
      </c>
      <c r="CB725" s="2" t="s">
        <v>231</v>
      </c>
      <c r="CC725" s="2" t="s">
        <v>244</v>
      </c>
      <c r="CD725" s="2" t="s">
        <v>231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>
        <v>180</v>
      </c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</row>
    <row r="726">
      <c r="A726" s="2" t="s">
        <v>4044</v>
      </c>
      <c r="B726" s="2" t="s">
        <v>287</v>
      </c>
      <c r="C726" s="2" t="s">
        <v>1017</v>
      </c>
      <c r="D726" s="2" t="s">
        <v>289</v>
      </c>
      <c r="E726" s="2" t="s">
        <v>290</v>
      </c>
      <c r="F726" s="2" t="s">
        <v>4016</v>
      </c>
      <c r="G726" s="2" t="s">
        <v>4016</v>
      </c>
      <c r="H726" s="2" t="s">
        <v>4016</v>
      </c>
      <c r="I726" s="2" t="s">
        <v>4017</v>
      </c>
      <c r="J726" s="2" t="s">
        <v>304</v>
      </c>
      <c r="K726" s="2" t="s">
        <v>4045</v>
      </c>
      <c r="L726" s="3">
        <v>23.75</v>
      </c>
      <c r="M726" s="3">
        <v>24.94</v>
      </c>
      <c r="N726" s="3">
        <v>39.99</v>
      </c>
      <c r="O726" s="2" t="s">
        <v>250</v>
      </c>
      <c r="P726" s="2" t="s">
        <v>1019</v>
      </c>
      <c r="Q726" s="2" t="s">
        <v>237</v>
      </c>
      <c r="R726" s="2" t="s">
        <v>1020</v>
      </c>
      <c r="S726" s="2" t="s">
        <v>231</v>
      </c>
      <c r="T726" s="2" t="s">
        <v>362</v>
      </c>
      <c r="U726" s="2" t="s">
        <v>298</v>
      </c>
      <c r="V726" s="2" t="s">
        <v>4046</v>
      </c>
      <c r="W726" s="2" t="s">
        <v>231</v>
      </c>
      <c r="X726" s="2" t="s">
        <v>231</v>
      </c>
      <c r="Y726" s="2" t="s">
        <v>4019</v>
      </c>
      <c r="Z726" s="4">
        <v>32</v>
      </c>
      <c r="AA726" s="4">
        <f>=ROUNDDOWN(160,0)</f>
      </c>
      <c r="AB726" s="5">
        <v>0.2</v>
      </c>
      <c r="AC726" s="2" t="s">
        <v>231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231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231</v>
      </c>
      <c r="BD726" s="8" t="s">
        <v>231</v>
      </c>
      <c r="BE726" s="4" t="s">
        <v>231</v>
      </c>
      <c r="BF726" s="8" t="s">
        <v>231</v>
      </c>
      <c r="BG726" s="7" t="s">
        <v>231</v>
      </c>
      <c r="BH726" s="7" t="s">
        <v>231</v>
      </c>
      <c r="BI726" s="7"/>
      <c r="BJ726" s="4">
        <v>1</v>
      </c>
      <c r="BK726" s="8">
        <v>11.87</v>
      </c>
      <c r="BL726" s="2" t="s">
        <v>2565</v>
      </c>
      <c r="BM726" s="7"/>
      <c r="BN726" s="7"/>
      <c r="BO726" s="4"/>
      <c r="BP726" s="8"/>
      <c r="BQ726" s="4"/>
      <c r="BR726" s="8"/>
      <c r="BS726" s="7"/>
      <c r="BT726" s="7"/>
      <c r="BU726" s="2" t="s">
        <v>4047</v>
      </c>
      <c r="BV726" s="2" t="s">
        <v>231</v>
      </c>
      <c r="BW726" s="2" t="s">
        <v>231</v>
      </c>
      <c r="BX726" s="2" t="s">
        <v>241</v>
      </c>
      <c r="BY726" s="2" t="s">
        <v>277</v>
      </c>
      <c r="BZ726" s="2" t="s">
        <v>243</v>
      </c>
      <c r="CA726" s="2" t="s">
        <v>1024</v>
      </c>
      <c r="CB726" s="2" t="s">
        <v>231</v>
      </c>
      <c r="CC726" s="2" t="s">
        <v>244</v>
      </c>
      <c r="CD726" s="2" t="s">
        <v>231</v>
      </c>
      <c r="CE726" s="4">
        <v>32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</row>
    <row r="727">
      <c r="A727" s="2" t="s">
        <v>4048</v>
      </c>
      <c r="B727" s="2" t="s">
        <v>287</v>
      </c>
      <c r="C727" s="2" t="s">
        <v>1105</v>
      </c>
      <c r="D727" s="2" t="s">
        <v>289</v>
      </c>
      <c r="E727" s="2" t="s">
        <v>290</v>
      </c>
      <c r="F727" s="2" t="s">
        <v>4016</v>
      </c>
      <c r="G727" s="2" t="s">
        <v>4016</v>
      </c>
      <c r="H727" s="2" t="s">
        <v>4016</v>
      </c>
      <c r="I727" s="2" t="s">
        <v>4022</v>
      </c>
      <c r="J727" s="2" t="s">
        <v>318</v>
      </c>
      <c r="K727" s="2" t="s">
        <v>319</v>
      </c>
      <c r="L727" s="3">
        <v>17.83</v>
      </c>
      <c r="M727" s="3">
        <v>18.72</v>
      </c>
      <c r="N727" s="3">
        <v>39.99</v>
      </c>
      <c r="O727" s="2" t="s">
        <v>243</v>
      </c>
      <c r="P727" s="2" t="s">
        <v>295</v>
      </c>
      <c r="Q727" s="2" t="s">
        <v>237</v>
      </c>
      <c r="R727" s="2" t="s">
        <v>231</v>
      </c>
      <c r="S727" s="2" t="s">
        <v>4049</v>
      </c>
      <c r="T727" s="2" t="s">
        <v>362</v>
      </c>
      <c r="U727" s="2" t="s">
        <v>835</v>
      </c>
      <c r="V727" s="2" t="s">
        <v>239</v>
      </c>
      <c r="W727" s="2" t="s">
        <v>273</v>
      </c>
      <c r="X727" s="2" t="s">
        <v>231</v>
      </c>
      <c r="Y727" s="2" t="s">
        <v>231</v>
      </c>
      <c r="Z727" s="4"/>
      <c r="AA727" s="4">
        <f>=ROUNDDOWN({0},0)</f>
      </c>
      <c r="AB727" s="5"/>
      <c r="AC727" s="2" t="s">
        <v>2049</v>
      </c>
      <c r="AD727" s="4">
        <v>90</v>
      </c>
      <c r="AE727" s="4">
        <v>90</v>
      </c>
      <c r="AF727" s="6">
        <v>66</v>
      </c>
      <c r="AG727" s="6"/>
      <c r="AH727" s="7">
        <v>0</v>
      </c>
      <c r="AI727" s="4"/>
      <c r="AJ727" s="4">
        <f>=ROUNDDOWN({0},0)</f>
      </c>
      <c r="AK727" s="5"/>
      <c r="AL727" s="2" t="s">
        <v>231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231</v>
      </c>
      <c r="AW727" s="8" t="s">
        <v>231</v>
      </c>
      <c r="AX727" s="4" t="s">
        <v>231</v>
      </c>
      <c r="AY727" s="8" t="s">
        <v>231</v>
      </c>
      <c r="AZ727" s="7" t="s">
        <v>231</v>
      </c>
      <c r="BA727" s="7" t="s">
        <v>231</v>
      </c>
      <c r="BB727" s="7"/>
      <c r="BC727" s="4" t="s">
        <v>231</v>
      </c>
      <c r="BD727" s="8" t="s">
        <v>231</v>
      </c>
      <c r="BE727" s="4" t="s">
        <v>231</v>
      </c>
      <c r="BF727" s="8" t="s">
        <v>231</v>
      </c>
      <c r="BG727" s="7" t="s">
        <v>231</v>
      </c>
      <c r="BH727" s="7" t="s">
        <v>231</v>
      </c>
      <c r="BI727" s="7"/>
      <c r="BJ727" s="4"/>
      <c r="BK727" s="8"/>
      <c r="BL727" s="2" t="s">
        <v>231</v>
      </c>
      <c r="BM727" s="7"/>
      <c r="BN727" s="7"/>
      <c r="BO727" s="4"/>
      <c r="BP727" s="8"/>
      <c r="BQ727" s="4"/>
      <c r="BR727" s="8"/>
      <c r="BS727" s="7"/>
      <c r="BT727" s="7"/>
      <c r="BU727" s="2" t="s">
        <v>241</v>
      </c>
      <c r="BV727" s="2" t="s">
        <v>231</v>
      </c>
      <c r="BW727" s="2" t="s">
        <v>231</v>
      </c>
      <c r="BX727" s="2" t="s">
        <v>241</v>
      </c>
      <c r="BY727" s="2" t="s">
        <v>242</v>
      </c>
      <c r="BZ727" s="2" t="s">
        <v>243</v>
      </c>
      <c r="CA727" s="2" t="s">
        <v>231</v>
      </c>
      <c r="CB727" s="2" t="s">
        <v>231</v>
      </c>
      <c r="CC727" s="2" t="s">
        <v>244</v>
      </c>
      <c r="CD727" s="2" t="s">
        <v>231</v>
      </c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>
        <v>90</v>
      </c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</row>
    <row r="728">
      <c r="A728" s="2" t="s">
        <v>4050</v>
      </c>
      <c r="B728" s="2" t="s">
        <v>287</v>
      </c>
      <c r="C728" s="2" t="s">
        <v>1105</v>
      </c>
      <c r="D728" s="2" t="s">
        <v>289</v>
      </c>
      <c r="E728" s="2" t="s">
        <v>290</v>
      </c>
      <c r="F728" s="2" t="s">
        <v>4016</v>
      </c>
      <c r="G728" s="2" t="s">
        <v>4016</v>
      </c>
      <c r="H728" s="2" t="s">
        <v>4016</v>
      </c>
      <c r="I728" s="2" t="s">
        <v>4022</v>
      </c>
      <c r="J728" s="2" t="s">
        <v>268</v>
      </c>
      <c r="K728" s="2" t="s">
        <v>319</v>
      </c>
      <c r="L728" s="3">
        <v>17.83</v>
      </c>
      <c r="M728" s="3">
        <v>18.72</v>
      </c>
      <c r="N728" s="3">
        <v>39.99</v>
      </c>
      <c r="O728" s="2" t="s">
        <v>243</v>
      </c>
      <c r="P728" s="2" t="s">
        <v>295</v>
      </c>
      <c r="Q728" s="2" t="s">
        <v>237</v>
      </c>
      <c r="R728" s="2" t="s">
        <v>231</v>
      </c>
      <c r="S728" s="2" t="s">
        <v>4049</v>
      </c>
      <c r="T728" s="2" t="s">
        <v>362</v>
      </c>
      <c r="U728" s="2" t="s">
        <v>835</v>
      </c>
      <c r="V728" s="2" t="s">
        <v>239</v>
      </c>
      <c r="W728" s="2" t="s">
        <v>273</v>
      </c>
      <c r="X728" s="2" t="s">
        <v>231</v>
      </c>
      <c r="Y728" s="2" t="s">
        <v>231</v>
      </c>
      <c r="Z728" s="4"/>
      <c r="AA728" s="4">
        <f>=ROUNDDOWN({0},0)</f>
      </c>
      <c r="AB728" s="5"/>
      <c r="AC728" s="2" t="s">
        <v>2049</v>
      </c>
      <c r="AD728" s="4">
        <v>90</v>
      </c>
      <c r="AE728" s="4">
        <v>90</v>
      </c>
      <c r="AF728" s="6">
        <v>66</v>
      </c>
      <c r="AG728" s="6"/>
      <c r="AH728" s="7">
        <v>0</v>
      </c>
      <c r="AI728" s="4"/>
      <c r="AJ728" s="4">
        <f>=ROUNDDOWN({0},0)</f>
      </c>
      <c r="AK728" s="5"/>
      <c r="AL728" s="2" t="s">
        <v>231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231</v>
      </c>
      <c r="AW728" s="8" t="s">
        <v>231</v>
      </c>
      <c r="AX728" s="4" t="s">
        <v>231</v>
      </c>
      <c r="AY728" s="8" t="s">
        <v>231</v>
      </c>
      <c r="AZ728" s="7" t="s">
        <v>231</v>
      </c>
      <c r="BA728" s="7" t="s">
        <v>231</v>
      </c>
      <c r="BB728" s="7"/>
      <c r="BC728" s="4" t="s">
        <v>231</v>
      </c>
      <c r="BD728" s="8" t="s">
        <v>231</v>
      </c>
      <c r="BE728" s="4" t="s">
        <v>231</v>
      </c>
      <c r="BF728" s="8" t="s">
        <v>231</v>
      </c>
      <c r="BG728" s="7" t="s">
        <v>231</v>
      </c>
      <c r="BH728" s="7" t="s">
        <v>231</v>
      </c>
      <c r="BI728" s="7"/>
      <c r="BJ728" s="4"/>
      <c r="BK728" s="8"/>
      <c r="BL728" s="2" t="s">
        <v>231</v>
      </c>
      <c r="BM728" s="7"/>
      <c r="BN728" s="7"/>
      <c r="BO728" s="4"/>
      <c r="BP728" s="8"/>
      <c r="BQ728" s="4"/>
      <c r="BR728" s="8"/>
      <c r="BS728" s="7"/>
      <c r="BT728" s="7"/>
      <c r="BU728" s="2" t="s">
        <v>241</v>
      </c>
      <c r="BV728" s="2" t="s">
        <v>231</v>
      </c>
      <c r="BW728" s="2" t="s">
        <v>231</v>
      </c>
      <c r="BX728" s="2" t="s">
        <v>241</v>
      </c>
      <c r="BY728" s="2" t="s">
        <v>242</v>
      </c>
      <c r="BZ728" s="2" t="s">
        <v>243</v>
      </c>
      <c r="CA728" s="2" t="s">
        <v>231</v>
      </c>
      <c r="CB728" s="2" t="s">
        <v>231</v>
      </c>
      <c r="CC728" s="2" t="s">
        <v>244</v>
      </c>
      <c r="CD728" s="2" t="s">
        <v>231</v>
      </c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>
        <v>90</v>
      </c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</row>
    <row r="729">
      <c r="A729" s="2" t="s">
        <v>4051</v>
      </c>
      <c r="B729" s="2" t="s">
        <v>287</v>
      </c>
      <c r="C729" s="2" t="s">
        <v>1105</v>
      </c>
      <c r="D729" s="2" t="s">
        <v>289</v>
      </c>
      <c r="E729" s="2" t="s">
        <v>290</v>
      </c>
      <c r="F729" s="2" t="s">
        <v>4016</v>
      </c>
      <c r="G729" s="2" t="s">
        <v>4016</v>
      </c>
      <c r="H729" s="2" t="s">
        <v>4016</v>
      </c>
      <c r="I729" s="2" t="s">
        <v>4022</v>
      </c>
      <c r="J729" s="2" t="s">
        <v>281</v>
      </c>
      <c r="K729" s="2" t="s">
        <v>319</v>
      </c>
      <c r="L729" s="3">
        <v>20.06</v>
      </c>
      <c r="M729" s="3">
        <v>21.06</v>
      </c>
      <c r="N729" s="3">
        <v>44.99</v>
      </c>
      <c r="O729" s="2" t="s">
        <v>243</v>
      </c>
      <c r="P729" s="2" t="s">
        <v>295</v>
      </c>
      <c r="Q729" s="2" t="s">
        <v>237</v>
      </c>
      <c r="R729" s="2" t="s">
        <v>231</v>
      </c>
      <c r="S729" s="2" t="s">
        <v>4049</v>
      </c>
      <c r="T729" s="2" t="s">
        <v>362</v>
      </c>
      <c r="U729" s="2" t="s">
        <v>298</v>
      </c>
      <c r="V729" s="2" t="s">
        <v>239</v>
      </c>
      <c r="W729" s="2" t="s">
        <v>273</v>
      </c>
      <c r="X729" s="2" t="s">
        <v>231</v>
      </c>
      <c r="Y729" s="2" t="s">
        <v>231</v>
      </c>
      <c r="Z729" s="4"/>
      <c r="AA729" s="4">
        <f>=ROUNDDOWN({0},0)</f>
      </c>
      <c r="AB729" s="5"/>
      <c r="AC729" s="2" t="s">
        <v>2049</v>
      </c>
      <c r="AD729" s="4">
        <v>220</v>
      </c>
      <c r="AE729" s="4">
        <v>220</v>
      </c>
      <c r="AF729" s="6">
        <v>66</v>
      </c>
      <c r="AG729" s="6"/>
      <c r="AH729" s="7">
        <v>0</v>
      </c>
      <c r="AI729" s="4"/>
      <c r="AJ729" s="4">
        <f>=ROUNDDOWN({0},0)</f>
      </c>
      <c r="AK729" s="5"/>
      <c r="AL729" s="2" t="s">
        <v>231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231</v>
      </c>
      <c r="AW729" s="8" t="s">
        <v>231</v>
      </c>
      <c r="AX729" s="4" t="s">
        <v>231</v>
      </c>
      <c r="AY729" s="8" t="s">
        <v>231</v>
      </c>
      <c r="AZ729" s="7" t="s">
        <v>231</v>
      </c>
      <c r="BA729" s="7" t="s">
        <v>231</v>
      </c>
      <c r="BB729" s="7"/>
      <c r="BC729" s="4" t="s">
        <v>231</v>
      </c>
      <c r="BD729" s="8" t="s">
        <v>231</v>
      </c>
      <c r="BE729" s="4" t="s">
        <v>231</v>
      </c>
      <c r="BF729" s="8" t="s">
        <v>231</v>
      </c>
      <c r="BG729" s="7" t="s">
        <v>231</v>
      </c>
      <c r="BH729" s="7" t="s">
        <v>231</v>
      </c>
      <c r="BI729" s="7"/>
      <c r="BJ729" s="4"/>
      <c r="BK729" s="8"/>
      <c r="BL729" s="2" t="s">
        <v>231</v>
      </c>
      <c r="BM729" s="7"/>
      <c r="BN729" s="7"/>
      <c r="BO729" s="4"/>
      <c r="BP729" s="8"/>
      <c r="BQ729" s="4"/>
      <c r="BR729" s="8"/>
      <c r="BS729" s="7"/>
      <c r="BT729" s="7"/>
      <c r="BU729" s="2" t="s">
        <v>241</v>
      </c>
      <c r="BV729" s="2" t="s">
        <v>231</v>
      </c>
      <c r="BW729" s="2" t="s">
        <v>231</v>
      </c>
      <c r="BX729" s="2" t="s">
        <v>241</v>
      </c>
      <c r="BY729" s="2" t="s">
        <v>242</v>
      </c>
      <c r="BZ729" s="2" t="s">
        <v>243</v>
      </c>
      <c r="CA729" s="2" t="s">
        <v>231</v>
      </c>
      <c r="CB729" s="2" t="s">
        <v>231</v>
      </c>
      <c r="CC729" s="2" t="s">
        <v>244</v>
      </c>
      <c r="CD729" s="2" t="s">
        <v>231</v>
      </c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>
        <v>220</v>
      </c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</row>
    <row r="730">
      <c r="A730" s="2" t="s">
        <v>4052</v>
      </c>
      <c r="B730" s="2" t="s">
        <v>287</v>
      </c>
      <c r="C730" s="2" t="s">
        <v>1105</v>
      </c>
      <c r="D730" s="2" t="s">
        <v>289</v>
      </c>
      <c r="E730" s="2" t="s">
        <v>290</v>
      </c>
      <c r="F730" s="2" t="s">
        <v>4016</v>
      </c>
      <c r="G730" s="2" t="s">
        <v>4016</v>
      </c>
      <c r="H730" s="2" t="s">
        <v>4016</v>
      </c>
      <c r="I730" s="2" t="s">
        <v>4022</v>
      </c>
      <c r="J730" s="2" t="s">
        <v>293</v>
      </c>
      <c r="K730" s="2" t="s">
        <v>319</v>
      </c>
      <c r="L730" s="3">
        <v>22.29</v>
      </c>
      <c r="M730" s="3">
        <v>23.4</v>
      </c>
      <c r="N730" s="3">
        <v>49.99</v>
      </c>
      <c r="O730" s="2" t="s">
        <v>243</v>
      </c>
      <c r="P730" s="2" t="s">
        <v>295</v>
      </c>
      <c r="Q730" s="2" t="s">
        <v>237</v>
      </c>
      <c r="R730" s="2" t="s">
        <v>231</v>
      </c>
      <c r="S730" s="2" t="s">
        <v>4049</v>
      </c>
      <c r="T730" s="2" t="s">
        <v>362</v>
      </c>
      <c r="U730" s="2" t="s">
        <v>298</v>
      </c>
      <c r="V730" s="2" t="s">
        <v>239</v>
      </c>
      <c r="W730" s="2" t="s">
        <v>273</v>
      </c>
      <c r="X730" s="2" t="s">
        <v>231</v>
      </c>
      <c r="Y730" s="2" t="s">
        <v>231</v>
      </c>
      <c r="Z730" s="4"/>
      <c r="AA730" s="4">
        <f>=ROUNDDOWN({0},0)</f>
      </c>
      <c r="AB730" s="5"/>
      <c r="AC730" s="2" t="s">
        <v>2049</v>
      </c>
      <c r="AD730" s="4">
        <v>600</v>
      </c>
      <c r="AE730" s="4">
        <v>600</v>
      </c>
      <c r="AF730" s="6">
        <v>66</v>
      </c>
      <c r="AG730" s="6"/>
      <c r="AH730" s="7">
        <v>0</v>
      </c>
      <c r="AI730" s="4"/>
      <c r="AJ730" s="4">
        <f>=ROUNDDOWN({0},0)</f>
      </c>
      <c r="AK730" s="5"/>
      <c r="AL730" s="2" t="s">
        <v>231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231</v>
      </c>
      <c r="AW730" s="8" t="s">
        <v>231</v>
      </c>
      <c r="AX730" s="4" t="s">
        <v>231</v>
      </c>
      <c r="AY730" s="8" t="s">
        <v>231</v>
      </c>
      <c r="AZ730" s="7" t="s">
        <v>231</v>
      </c>
      <c r="BA730" s="7" t="s">
        <v>231</v>
      </c>
      <c r="BB730" s="7"/>
      <c r="BC730" s="4" t="s">
        <v>231</v>
      </c>
      <c r="BD730" s="8" t="s">
        <v>231</v>
      </c>
      <c r="BE730" s="4" t="s">
        <v>231</v>
      </c>
      <c r="BF730" s="8" t="s">
        <v>231</v>
      </c>
      <c r="BG730" s="7" t="s">
        <v>231</v>
      </c>
      <c r="BH730" s="7" t="s">
        <v>231</v>
      </c>
      <c r="BI730" s="7"/>
      <c r="BJ730" s="4"/>
      <c r="BK730" s="8"/>
      <c r="BL730" s="2" t="s">
        <v>231</v>
      </c>
      <c r="BM730" s="7"/>
      <c r="BN730" s="7"/>
      <c r="BO730" s="4"/>
      <c r="BP730" s="8"/>
      <c r="BQ730" s="4"/>
      <c r="BR730" s="8"/>
      <c r="BS730" s="7"/>
      <c r="BT730" s="7"/>
      <c r="BU730" s="2" t="s">
        <v>241</v>
      </c>
      <c r="BV730" s="2" t="s">
        <v>231</v>
      </c>
      <c r="BW730" s="2" t="s">
        <v>231</v>
      </c>
      <c r="BX730" s="2" t="s">
        <v>241</v>
      </c>
      <c r="BY730" s="2" t="s">
        <v>242</v>
      </c>
      <c r="BZ730" s="2" t="s">
        <v>243</v>
      </c>
      <c r="CA730" s="2" t="s">
        <v>231</v>
      </c>
      <c r="CB730" s="2" t="s">
        <v>231</v>
      </c>
      <c r="CC730" s="2" t="s">
        <v>244</v>
      </c>
      <c r="CD730" s="2" t="s">
        <v>231</v>
      </c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>
        <v>600</v>
      </c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</row>
    <row r="731">
      <c r="A731" s="2" t="s">
        <v>4053</v>
      </c>
      <c r="B731" s="2" t="s">
        <v>287</v>
      </c>
      <c r="C731" s="2" t="s">
        <v>1105</v>
      </c>
      <c r="D731" s="2" t="s">
        <v>289</v>
      </c>
      <c r="E731" s="2" t="s">
        <v>290</v>
      </c>
      <c r="F731" s="2" t="s">
        <v>4016</v>
      </c>
      <c r="G731" s="2" t="s">
        <v>4016</v>
      </c>
      <c r="H731" s="2" t="s">
        <v>4016</v>
      </c>
      <c r="I731" s="2" t="s">
        <v>4022</v>
      </c>
      <c r="J731" s="2" t="s">
        <v>302</v>
      </c>
      <c r="K731" s="2" t="s">
        <v>319</v>
      </c>
      <c r="L731" s="3">
        <v>24.52</v>
      </c>
      <c r="M731" s="3">
        <v>25.75</v>
      </c>
      <c r="N731" s="3">
        <v>54.99</v>
      </c>
      <c r="O731" s="2" t="s">
        <v>243</v>
      </c>
      <c r="P731" s="2" t="s">
        <v>295</v>
      </c>
      <c r="Q731" s="2" t="s">
        <v>237</v>
      </c>
      <c r="R731" s="2" t="s">
        <v>231</v>
      </c>
      <c r="S731" s="2" t="s">
        <v>4049</v>
      </c>
      <c r="T731" s="2" t="s">
        <v>362</v>
      </c>
      <c r="U731" s="2" t="s">
        <v>298</v>
      </c>
      <c r="V731" s="2" t="s">
        <v>239</v>
      </c>
      <c r="W731" s="2" t="s">
        <v>273</v>
      </c>
      <c r="X731" s="2" t="s">
        <v>231</v>
      </c>
      <c r="Y731" s="2" t="s">
        <v>231</v>
      </c>
      <c r="Z731" s="4"/>
      <c r="AA731" s="4">
        <f>=ROUNDDOWN({0},0)</f>
      </c>
      <c r="AB731" s="5"/>
      <c r="AC731" s="2" t="s">
        <v>2049</v>
      </c>
      <c r="AD731" s="4">
        <v>440</v>
      </c>
      <c r="AE731" s="4">
        <v>440</v>
      </c>
      <c r="AF731" s="6">
        <v>66</v>
      </c>
      <c r="AG731" s="6"/>
      <c r="AH731" s="7">
        <v>0</v>
      </c>
      <c r="AI731" s="4"/>
      <c r="AJ731" s="4">
        <f>=ROUNDDOWN({0},0)</f>
      </c>
      <c r="AK731" s="5"/>
      <c r="AL731" s="2" t="s">
        <v>231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231</v>
      </c>
      <c r="AW731" s="8" t="s">
        <v>231</v>
      </c>
      <c r="AX731" s="4" t="s">
        <v>231</v>
      </c>
      <c r="AY731" s="8" t="s">
        <v>231</v>
      </c>
      <c r="AZ731" s="7" t="s">
        <v>231</v>
      </c>
      <c r="BA731" s="7" t="s">
        <v>231</v>
      </c>
      <c r="BB731" s="7"/>
      <c r="BC731" s="4" t="s">
        <v>231</v>
      </c>
      <c r="BD731" s="8" t="s">
        <v>231</v>
      </c>
      <c r="BE731" s="4" t="s">
        <v>231</v>
      </c>
      <c r="BF731" s="8" t="s">
        <v>231</v>
      </c>
      <c r="BG731" s="7" t="s">
        <v>231</v>
      </c>
      <c r="BH731" s="7" t="s">
        <v>231</v>
      </c>
      <c r="BI731" s="7"/>
      <c r="BJ731" s="4"/>
      <c r="BK731" s="8"/>
      <c r="BL731" s="2" t="s">
        <v>231</v>
      </c>
      <c r="BM731" s="7"/>
      <c r="BN731" s="7"/>
      <c r="BO731" s="4"/>
      <c r="BP731" s="8"/>
      <c r="BQ731" s="4"/>
      <c r="BR731" s="8"/>
      <c r="BS731" s="7"/>
      <c r="BT731" s="7"/>
      <c r="BU731" s="2" t="s">
        <v>241</v>
      </c>
      <c r="BV731" s="2" t="s">
        <v>231</v>
      </c>
      <c r="BW731" s="2" t="s">
        <v>231</v>
      </c>
      <c r="BX731" s="2" t="s">
        <v>241</v>
      </c>
      <c r="BY731" s="2" t="s">
        <v>242</v>
      </c>
      <c r="BZ731" s="2" t="s">
        <v>243</v>
      </c>
      <c r="CA731" s="2" t="s">
        <v>231</v>
      </c>
      <c r="CB731" s="2" t="s">
        <v>231</v>
      </c>
      <c r="CC731" s="2" t="s">
        <v>244</v>
      </c>
      <c r="CD731" s="2" t="s">
        <v>231</v>
      </c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>
        <v>440</v>
      </c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</row>
    <row r="732">
      <c r="A732" s="2" t="s">
        <v>4054</v>
      </c>
      <c r="B732" s="2" t="s">
        <v>287</v>
      </c>
      <c r="C732" s="2" t="s">
        <v>1105</v>
      </c>
      <c r="D732" s="2" t="s">
        <v>289</v>
      </c>
      <c r="E732" s="2" t="s">
        <v>290</v>
      </c>
      <c r="F732" s="2" t="s">
        <v>4016</v>
      </c>
      <c r="G732" s="2" t="s">
        <v>4016</v>
      </c>
      <c r="H732" s="2" t="s">
        <v>4016</v>
      </c>
      <c r="I732" s="2" t="s">
        <v>4022</v>
      </c>
      <c r="J732" s="2" t="s">
        <v>304</v>
      </c>
      <c r="K732" s="2" t="s">
        <v>319</v>
      </c>
      <c r="L732" s="3">
        <v>24.52</v>
      </c>
      <c r="M732" s="3">
        <v>25.75</v>
      </c>
      <c r="N732" s="3">
        <v>54.99</v>
      </c>
      <c r="O732" s="2" t="s">
        <v>243</v>
      </c>
      <c r="P732" s="2" t="s">
        <v>295</v>
      </c>
      <c r="Q732" s="2" t="s">
        <v>237</v>
      </c>
      <c r="R732" s="2" t="s">
        <v>231</v>
      </c>
      <c r="S732" s="2" t="s">
        <v>4049</v>
      </c>
      <c r="T732" s="2" t="s">
        <v>362</v>
      </c>
      <c r="U732" s="2" t="s">
        <v>298</v>
      </c>
      <c r="V732" s="2" t="s">
        <v>239</v>
      </c>
      <c r="W732" s="2" t="s">
        <v>273</v>
      </c>
      <c r="X732" s="2" t="s">
        <v>231</v>
      </c>
      <c r="Y732" s="2" t="s">
        <v>231</v>
      </c>
      <c r="Z732" s="4"/>
      <c r="AA732" s="4">
        <f>=ROUNDDOWN({0},0)</f>
      </c>
      <c r="AB732" s="5"/>
      <c r="AC732" s="2" t="s">
        <v>2049</v>
      </c>
      <c r="AD732" s="4">
        <v>140</v>
      </c>
      <c r="AE732" s="4">
        <v>140</v>
      </c>
      <c r="AF732" s="6">
        <v>66</v>
      </c>
      <c r="AG732" s="6"/>
      <c r="AH732" s="7">
        <v>0</v>
      </c>
      <c r="AI732" s="4"/>
      <c r="AJ732" s="4">
        <f>=ROUNDDOWN({0},0)</f>
      </c>
      <c r="AK732" s="5"/>
      <c r="AL732" s="2" t="s">
        <v>231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231</v>
      </c>
      <c r="AW732" s="8" t="s">
        <v>231</v>
      </c>
      <c r="AX732" s="4" t="s">
        <v>231</v>
      </c>
      <c r="AY732" s="8" t="s">
        <v>231</v>
      </c>
      <c r="AZ732" s="7" t="s">
        <v>231</v>
      </c>
      <c r="BA732" s="7" t="s">
        <v>231</v>
      </c>
      <c r="BB732" s="7"/>
      <c r="BC732" s="4" t="s">
        <v>231</v>
      </c>
      <c r="BD732" s="8" t="s">
        <v>231</v>
      </c>
      <c r="BE732" s="4" t="s">
        <v>231</v>
      </c>
      <c r="BF732" s="8" t="s">
        <v>231</v>
      </c>
      <c r="BG732" s="7" t="s">
        <v>231</v>
      </c>
      <c r="BH732" s="7" t="s">
        <v>231</v>
      </c>
      <c r="BI732" s="7"/>
      <c r="BJ732" s="4"/>
      <c r="BK732" s="8"/>
      <c r="BL732" s="2" t="s">
        <v>231</v>
      </c>
      <c r="BM732" s="7"/>
      <c r="BN732" s="7"/>
      <c r="BO732" s="4"/>
      <c r="BP732" s="8"/>
      <c r="BQ732" s="4"/>
      <c r="BR732" s="8"/>
      <c r="BS732" s="7"/>
      <c r="BT732" s="7"/>
      <c r="BU732" s="2" t="s">
        <v>241</v>
      </c>
      <c r="BV732" s="2" t="s">
        <v>231</v>
      </c>
      <c r="BW732" s="2" t="s">
        <v>231</v>
      </c>
      <c r="BX732" s="2" t="s">
        <v>241</v>
      </c>
      <c r="BY732" s="2" t="s">
        <v>242</v>
      </c>
      <c r="BZ732" s="2" t="s">
        <v>243</v>
      </c>
      <c r="CA732" s="2" t="s">
        <v>231</v>
      </c>
      <c r="CB732" s="2" t="s">
        <v>231</v>
      </c>
      <c r="CC732" s="2" t="s">
        <v>244</v>
      </c>
      <c r="CD732" s="2" t="s">
        <v>231</v>
      </c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>
        <v>140</v>
      </c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</row>
    <row r="733">
      <c r="A733" s="2" t="s">
        <v>4055</v>
      </c>
      <c r="B733" s="2" t="s">
        <v>226</v>
      </c>
      <c r="C733" s="2" t="s">
        <v>631</v>
      </c>
      <c r="D733" s="2" t="s">
        <v>3885</v>
      </c>
      <c r="E733" s="2" t="s">
        <v>3886</v>
      </c>
      <c r="F733" s="2" t="s">
        <v>4056</v>
      </c>
      <c r="G733" s="2" t="s">
        <v>4056</v>
      </c>
      <c r="H733" s="2" t="s">
        <v>4056</v>
      </c>
      <c r="I733" s="2" t="s">
        <v>3888</v>
      </c>
      <c r="J733" s="2" t="s">
        <v>304</v>
      </c>
      <c r="K733" s="2" t="s">
        <v>319</v>
      </c>
      <c r="L733" s="3">
        <v>74.19</v>
      </c>
      <c r="M733" s="3">
        <v>77.9</v>
      </c>
      <c r="N733" s="3">
        <v>139.99</v>
      </c>
      <c r="O733" s="2" t="s">
        <v>243</v>
      </c>
      <c r="P733" s="2" t="s">
        <v>4057</v>
      </c>
      <c r="Q733" s="2" t="s">
        <v>237</v>
      </c>
      <c r="R733" s="2" t="s">
        <v>231</v>
      </c>
      <c r="S733" s="2" t="s">
        <v>4058</v>
      </c>
      <c r="T733" s="2" t="s">
        <v>297</v>
      </c>
      <c r="U733" s="2" t="s">
        <v>231</v>
      </c>
      <c r="V733" s="2" t="s">
        <v>239</v>
      </c>
      <c r="W733" s="2" t="s">
        <v>273</v>
      </c>
      <c r="X733" s="2" t="s">
        <v>231</v>
      </c>
      <c r="Y733" s="2" t="s">
        <v>274</v>
      </c>
      <c r="Z733" s="4"/>
      <c r="AA733" s="4">
        <f>=ROUNDDOWN({0},0)</f>
      </c>
      <c r="AB733" s="5">
        <v>56</v>
      </c>
      <c r="AC733" s="2" t="s">
        <v>3898</v>
      </c>
      <c r="AD733" s="4">
        <v>390</v>
      </c>
      <c r="AE733" s="4">
        <v>2360</v>
      </c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231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231</v>
      </c>
      <c r="BM733" s="7"/>
      <c r="BN733" s="7"/>
      <c r="BO733" s="4"/>
      <c r="BP733" s="8"/>
      <c r="BQ733" s="4"/>
      <c r="BR733" s="8"/>
      <c r="BS733" s="7"/>
      <c r="BT733" s="7"/>
      <c r="BU733" s="2" t="s">
        <v>4059</v>
      </c>
      <c r="BV733" s="2" t="s">
        <v>231</v>
      </c>
      <c r="BW733" s="2" t="s">
        <v>231</v>
      </c>
      <c r="BX733" s="2" t="s">
        <v>231</v>
      </c>
      <c r="BY733" s="2" t="s">
        <v>277</v>
      </c>
      <c r="BZ733" s="2" t="s">
        <v>243</v>
      </c>
      <c r="CA733" s="2" t="s">
        <v>284</v>
      </c>
      <c r="CB733" s="2" t="s">
        <v>4060</v>
      </c>
      <c r="CC733" s="2" t="s">
        <v>244</v>
      </c>
      <c r="CD733" s="2" t="s">
        <v>231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>
        <v>390</v>
      </c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>
        <v>500</v>
      </c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>
        <v>980</v>
      </c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>
        <v>490</v>
      </c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</row>
    <row r="734">
      <c r="A734" s="2" t="s">
        <v>4061</v>
      </c>
      <c r="B734" s="2" t="s">
        <v>287</v>
      </c>
      <c r="C734" s="2" t="s">
        <v>825</v>
      </c>
      <c r="D734" s="2" t="s">
        <v>289</v>
      </c>
      <c r="E734" s="2" t="s">
        <v>290</v>
      </c>
      <c r="F734" s="2" t="s">
        <v>4062</v>
      </c>
      <c r="G734" s="2" t="s">
        <v>4062</v>
      </c>
      <c r="H734" s="2" t="s">
        <v>4062</v>
      </c>
      <c r="I734" s="2" t="s">
        <v>4063</v>
      </c>
      <c r="J734" s="2" t="s">
        <v>318</v>
      </c>
      <c r="K734" s="2" t="s">
        <v>985</v>
      </c>
      <c r="L734" s="3">
        <v>18.8</v>
      </c>
      <c r="M734" s="3">
        <v>19.74</v>
      </c>
      <c r="N734" s="3">
        <v>39.99</v>
      </c>
      <c r="O734" s="2" t="s">
        <v>243</v>
      </c>
      <c r="P734" s="2" t="s">
        <v>270</v>
      </c>
      <c r="Q734" s="2" t="s">
        <v>237</v>
      </c>
      <c r="R734" s="2" t="s">
        <v>231</v>
      </c>
      <c r="S734" s="2" t="s">
        <v>4064</v>
      </c>
      <c r="T734" s="2" t="s">
        <v>3741</v>
      </c>
      <c r="U734" s="2" t="s">
        <v>835</v>
      </c>
      <c r="V734" s="2" t="s">
        <v>239</v>
      </c>
      <c r="W734" s="2" t="s">
        <v>273</v>
      </c>
      <c r="X734" s="2" t="s">
        <v>231</v>
      </c>
      <c r="Y734" s="2" t="s">
        <v>274</v>
      </c>
      <c r="Z734" s="4">
        <v>119</v>
      </c>
      <c r="AA734" s="4">
        <f>=ROUNDDOWN(9.15384615384615,0)</f>
      </c>
      <c r="AB734" s="5">
        <v>13</v>
      </c>
      <c r="AC734" s="2" t="s">
        <v>4065</v>
      </c>
      <c r="AD734" s="4">
        <v>100</v>
      </c>
      <c r="AE734" s="4">
        <v>310</v>
      </c>
      <c r="AF734" s="6">
        <v>67</v>
      </c>
      <c r="AG734" s="6"/>
      <c r="AH734" s="7">
        <v>1</v>
      </c>
      <c r="AI734" s="4"/>
      <c r="AJ734" s="4">
        <f>=ROUNDDOWN({0},0)</f>
      </c>
      <c r="AK734" s="5"/>
      <c r="AL734" s="2" t="s">
        <v>231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231</v>
      </c>
      <c r="AW734" s="8" t="s">
        <v>231</v>
      </c>
      <c r="AX734" s="4" t="s">
        <v>231</v>
      </c>
      <c r="AY734" s="8" t="s">
        <v>231</v>
      </c>
      <c r="AZ734" s="7" t="s">
        <v>231</v>
      </c>
      <c r="BA734" s="7" t="s">
        <v>231</v>
      </c>
      <c r="BB734" s="7"/>
      <c r="BC734" s="4" t="s">
        <v>231</v>
      </c>
      <c r="BD734" s="8" t="s">
        <v>231</v>
      </c>
      <c r="BE734" s="4" t="s">
        <v>231</v>
      </c>
      <c r="BF734" s="8" t="s">
        <v>231</v>
      </c>
      <c r="BG734" s="7" t="s">
        <v>231</v>
      </c>
      <c r="BH734" s="7" t="s">
        <v>231</v>
      </c>
      <c r="BI734" s="7"/>
      <c r="BJ734" s="4">
        <v>47</v>
      </c>
      <c r="BK734" s="8">
        <v>947.92</v>
      </c>
      <c r="BL734" s="2" t="s">
        <v>988</v>
      </c>
      <c r="BM734" s="7"/>
      <c r="BN734" s="7"/>
      <c r="BO734" s="4"/>
      <c r="BP734" s="8"/>
      <c r="BQ734" s="4"/>
      <c r="BR734" s="8"/>
      <c r="BS734" s="7"/>
      <c r="BT734" s="7"/>
      <c r="BU734" s="2" t="s">
        <v>4066</v>
      </c>
      <c r="BV734" s="2" t="s">
        <v>231</v>
      </c>
      <c r="BW734" s="2" t="s">
        <v>231</v>
      </c>
      <c r="BX734" s="2" t="s">
        <v>241</v>
      </c>
      <c r="BY734" s="2" t="s">
        <v>277</v>
      </c>
      <c r="BZ734" s="2" t="s">
        <v>243</v>
      </c>
      <c r="CA734" s="2" t="s">
        <v>284</v>
      </c>
      <c r="CB734" s="2" t="s">
        <v>4067</v>
      </c>
      <c r="CC734" s="2" t="s">
        <v>244</v>
      </c>
      <c r="CD734" s="2" t="s">
        <v>231</v>
      </c>
      <c r="CE734" s="4">
        <v>119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>
        <v>100</v>
      </c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>
        <v>70</v>
      </c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>
        <v>50</v>
      </c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>
        <v>60</v>
      </c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>
        <v>30</v>
      </c>
      <c r="HF734" s="4"/>
      <c r="HG734" s="4"/>
      <c r="HH734" s="4"/>
      <c r="HI734" s="4"/>
      <c r="HJ734" s="4"/>
      <c r="HK734" s="4"/>
      <c r="HL734" s="4"/>
    </row>
    <row r="735">
      <c r="A735" s="2" t="s">
        <v>4068</v>
      </c>
      <c r="B735" s="2" t="s">
        <v>287</v>
      </c>
      <c r="C735" s="2" t="s">
        <v>825</v>
      </c>
      <c r="D735" s="2" t="s">
        <v>289</v>
      </c>
      <c r="E735" s="2" t="s">
        <v>290</v>
      </c>
      <c r="F735" s="2" t="s">
        <v>4062</v>
      </c>
      <c r="G735" s="2" t="s">
        <v>4062</v>
      </c>
      <c r="H735" s="2" t="s">
        <v>4062</v>
      </c>
      <c r="I735" s="2" t="s">
        <v>4063</v>
      </c>
      <c r="J735" s="2" t="s">
        <v>268</v>
      </c>
      <c r="K735" s="2" t="s">
        <v>985</v>
      </c>
      <c r="L735" s="3">
        <v>20.16</v>
      </c>
      <c r="M735" s="3">
        <v>21.17</v>
      </c>
      <c r="N735" s="3">
        <v>41.99</v>
      </c>
      <c r="O735" s="2" t="s">
        <v>243</v>
      </c>
      <c r="P735" s="2" t="s">
        <v>270</v>
      </c>
      <c r="Q735" s="2" t="s">
        <v>237</v>
      </c>
      <c r="R735" s="2" t="s">
        <v>231</v>
      </c>
      <c r="S735" s="2" t="s">
        <v>4064</v>
      </c>
      <c r="T735" s="2" t="s">
        <v>3741</v>
      </c>
      <c r="U735" s="2" t="s">
        <v>835</v>
      </c>
      <c r="V735" s="2" t="s">
        <v>239</v>
      </c>
      <c r="W735" s="2" t="s">
        <v>273</v>
      </c>
      <c r="X735" s="2" t="s">
        <v>231</v>
      </c>
      <c r="Y735" s="2" t="s">
        <v>274</v>
      </c>
      <c r="Z735" s="4">
        <v>35</v>
      </c>
      <c r="AA735" s="4">
        <f>=ROUNDDOWN(3.5,0)</f>
      </c>
      <c r="AB735" s="5">
        <v>10</v>
      </c>
      <c r="AC735" s="2" t="s">
        <v>4065</v>
      </c>
      <c r="AD735" s="4">
        <v>100</v>
      </c>
      <c r="AE735" s="4">
        <v>530</v>
      </c>
      <c r="AF735" s="6">
        <v>67</v>
      </c>
      <c r="AG735" s="6"/>
      <c r="AH735" s="7">
        <v>1</v>
      </c>
      <c r="AI735" s="4"/>
      <c r="AJ735" s="4">
        <f>=ROUNDDOWN({0},0)</f>
      </c>
      <c r="AK735" s="5"/>
      <c r="AL735" s="2" t="s">
        <v>231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231</v>
      </c>
      <c r="AW735" s="8" t="s">
        <v>231</v>
      </c>
      <c r="AX735" s="4" t="s">
        <v>231</v>
      </c>
      <c r="AY735" s="8" t="s">
        <v>231</v>
      </c>
      <c r="AZ735" s="7" t="s">
        <v>231</v>
      </c>
      <c r="BA735" s="7" t="s">
        <v>231</v>
      </c>
      <c r="BB735" s="7"/>
      <c r="BC735" s="4" t="s">
        <v>231</v>
      </c>
      <c r="BD735" s="8" t="s">
        <v>231</v>
      </c>
      <c r="BE735" s="4" t="s">
        <v>231</v>
      </c>
      <c r="BF735" s="8" t="s">
        <v>231</v>
      </c>
      <c r="BG735" s="7" t="s">
        <v>231</v>
      </c>
      <c r="BH735" s="7" t="s">
        <v>231</v>
      </c>
      <c r="BI735" s="7"/>
      <c r="BJ735" s="4">
        <v>44</v>
      </c>
      <c r="BK735" s="8">
        <v>924.17</v>
      </c>
      <c r="BL735" s="2" t="s">
        <v>4069</v>
      </c>
      <c r="BM735" s="7"/>
      <c r="BN735" s="7"/>
      <c r="BO735" s="4"/>
      <c r="BP735" s="8"/>
      <c r="BQ735" s="4"/>
      <c r="BR735" s="8"/>
      <c r="BS735" s="7"/>
      <c r="BT735" s="7"/>
      <c r="BU735" s="2" t="s">
        <v>4070</v>
      </c>
      <c r="BV735" s="2" t="s">
        <v>231</v>
      </c>
      <c r="BW735" s="2" t="s">
        <v>231</v>
      </c>
      <c r="BX735" s="2" t="s">
        <v>241</v>
      </c>
      <c r="BY735" s="2" t="s">
        <v>277</v>
      </c>
      <c r="BZ735" s="2" t="s">
        <v>243</v>
      </c>
      <c r="CA735" s="2" t="s">
        <v>284</v>
      </c>
      <c r="CB735" s="2" t="s">
        <v>4071</v>
      </c>
      <c r="CC735" s="2" t="s">
        <v>244</v>
      </c>
      <c r="CD735" s="2" t="s">
        <v>231</v>
      </c>
      <c r="CE735" s="4">
        <v>35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>
        <v>100</v>
      </c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>
        <v>180</v>
      </c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>
        <v>100</v>
      </c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>
        <v>60</v>
      </c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>
        <v>50</v>
      </c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>
        <v>40</v>
      </c>
      <c r="HF735" s="4"/>
      <c r="HG735" s="4"/>
      <c r="HH735" s="4"/>
      <c r="HI735" s="4"/>
      <c r="HJ735" s="4"/>
      <c r="HK735" s="4"/>
      <c r="HL735" s="4"/>
    </row>
    <row r="736">
      <c r="A736" s="2" t="s">
        <v>4072</v>
      </c>
      <c r="B736" s="2" t="s">
        <v>287</v>
      </c>
      <c r="C736" s="2" t="s">
        <v>825</v>
      </c>
      <c r="D736" s="2" t="s">
        <v>289</v>
      </c>
      <c r="E736" s="2" t="s">
        <v>290</v>
      </c>
      <c r="F736" s="2" t="s">
        <v>4062</v>
      </c>
      <c r="G736" s="2" t="s">
        <v>4062</v>
      </c>
      <c r="H736" s="2" t="s">
        <v>4062</v>
      </c>
      <c r="I736" s="2" t="s">
        <v>4063</v>
      </c>
      <c r="J736" s="2" t="s">
        <v>281</v>
      </c>
      <c r="K736" s="2" t="s">
        <v>985</v>
      </c>
      <c r="L736" s="3">
        <v>21.6</v>
      </c>
      <c r="M736" s="3">
        <v>22.68</v>
      </c>
      <c r="N736" s="3">
        <v>44.99</v>
      </c>
      <c r="O736" s="2" t="s">
        <v>243</v>
      </c>
      <c r="P736" s="2" t="s">
        <v>270</v>
      </c>
      <c r="Q736" s="2" t="s">
        <v>237</v>
      </c>
      <c r="R736" s="2" t="s">
        <v>231</v>
      </c>
      <c r="S736" s="2" t="s">
        <v>4064</v>
      </c>
      <c r="T736" s="2" t="s">
        <v>3741</v>
      </c>
      <c r="U736" s="2" t="s">
        <v>298</v>
      </c>
      <c r="V736" s="2" t="s">
        <v>239</v>
      </c>
      <c r="W736" s="2" t="s">
        <v>273</v>
      </c>
      <c r="X736" s="2" t="s">
        <v>231</v>
      </c>
      <c r="Y736" s="2" t="s">
        <v>274</v>
      </c>
      <c r="Z736" s="4">
        <v>132</v>
      </c>
      <c r="AA736" s="4">
        <f>=ROUNDDOWN(9.42857142857143,0)</f>
      </c>
      <c r="AB736" s="5">
        <v>14</v>
      </c>
      <c r="AC736" s="2" t="s">
        <v>1754</v>
      </c>
      <c r="AD736" s="4">
        <v>80</v>
      </c>
      <c r="AE736" s="4">
        <v>400</v>
      </c>
      <c r="AF736" s="6">
        <v>67</v>
      </c>
      <c r="AG736" s="6"/>
      <c r="AH736" s="7">
        <v>1</v>
      </c>
      <c r="AI736" s="4"/>
      <c r="AJ736" s="4">
        <f>=ROUNDDOWN({0},0)</f>
      </c>
      <c r="AK736" s="5"/>
      <c r="AL736" s="2" t="s">
        <v>231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231</v>
      </c>
      <c r="AW736" s="8" t="s">
        <v>231</v>
      </c>
      <c r="AX736" s="4" t="s">
        <v>231</v>
      </c>
      <c r="AY736" s="8" t="s">
        <v>231</v>
      </c>
      <c r="AZ736" s="7" t="s">
        <v>231</v>
      </c>
      <c r="BA736" s="7" t="s">
        <v>231</v>
      </c>
      <c r="BB736" s="7"/>
      <c r="BC736" s="4" t="s">
        <v>231</v>
      </c>
      <c r="BD736" s="8" t="s">
        <v>231</v>
      </c>
      <c r="BE736" s="4" t="s">
        <v>231</v>
      </c>
      <c r="BF736" s="8" t="s">
        <v>231</v>
      </c>
      <c r="BG736" s="7" t="s">
        <v>231</v>
      </c>
      <c r="BH736" s="7" t="s">
        <v>231</v>
      </c>
      <c r="BI736" s="7"/>
      <c r="BJ736" s="4">
        <v>51</v>
      </c>
      <c r="BK736" s="8">
        <v>1195.63</v>
      </c>
      <c r="BL736" s="2" t="s">
        <v>4073</v>
      </c>
      <c r="BM736" s="7"/>
      <c r="BN736" s="7"/>
      <c r="BO736" s="4"/>
      <c r="BP736" s="8"/>
      <c r="BQ736" s="4"/>
      <c r="BR736" s="8"/>
      <c r="BS736" s="7"/>
      <c r="BT736" s="7"/>
      <c r="BU736" s="2" t="s">
        <v>4074</v>
      </c>
      <c r="BV736" s="2" t="s">
        <v>231</v>
      </c>
      <c r="BW736" s="2" t="s">
        <v>231</v>
      </c>
      <c r="BX736" s="2" t="s">
        <v>241</v>
      </c>
      <c r="BY736" s="2" t="s">
        <v>277</v>
      </c>
      <c r="BZ736" s="2" t="s">
        <v>243</v>
      </c>
      <c r="CA736" s="2" t="s">
        <v>284</v>
      </c>
      <c r="CB736" s="2" t="s">
        <v>990</v>
      </c>
      <c r="CC736" s="2" t="s">
        <v>244</v>
      </c>
      <c r="CD736" s="2" t="s">
        <v>231</v>
      </c>
      <c r="CE736" s="4">
        <v>132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>
        <v>80</v>
      </c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>
        <v>120</v>
      </c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>
        <v>50</v>
      </c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>
        <v>100</v>
      </c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>
        <v>50</v>
      </c>
      <c r="HF736" s="4"/>
      <c r="HG736" s="4"/>
      <c r="HH736" s="4"/>
      <c r="HI736" s="4"/>
      <c r="HJ736" s="4"/>
      <c r="HK736" s="4"/>
      <c r="HL736" s="4"/>
    </row>
    <row r="737">
      <c r="A737" s="2" t="s">
        <v>4075</v>
      </c>
      <c r="B737" s="2" t="s">
        <v>287</v>
      </c>
      <c r="C737" s="2" t="s">
        <v>825</v>
      </c>
      <c r="D737" s="2" t="s">
        <v>289</v>
      </c>
      <c r="E737" s="2" t="s">
        <v>290</v>
      </c>
      <c r="F737" s="2" t="s">
        <v>4062</v>
      </c>
      <c r="G737" s="2" t="s">
        <v>4062</v>
      </c>
      <c r="H737" s="2" t="s">
        <v>4062</v>
      </c>
      <c r="I737" s="2" t="s">
        <v>4063</v>
      </c>
      <c r="J737" s="2" t="s">
        <v>318</v>
      </c>
      <c r="K737" s="2" t="s">
        <v>486</v>
      </c>
      <c r="L737" s="3">
        <v>18.8</v>
      </c>
      <c r="M737" s="3">
        <v>19.74</v>
      </c>
      <c r="N737" s="3">
        <v>39.99</v>
      </c>
      <c r="O737" s="2" t="s">
        <v>243</v>
      </c>
      <c r="P737" s="2" t="s">
        <v>295</v>
      </c>
      <c r="Q737" s="2" t="s">
        <v>237</v>
      </c>
      <c r="R737" s="2" t="s">
        <v>231</v>
      </c>
      <c r="S737" s="2" t="s">
        <v>4076</v>
      </c>
      <c r="T737" s="2" t="s">
        <v>3741</v>
      </c>
      <c r="U737" s="2" t="s">
        <v>835</v>
      </c>
      <c r="V737" s="2" t="s">
        <v>239</v>
      </c>
      <c r="W737" s="2" t="s">
        <v>273</v>
      </c>
      <c r="X737" s="2" t="s">
        <v>231</v>
      </c>
      <c r="Y737" s="2" t="s">
        <v>231</v>
      </c>
      <c r="Z737" s="4"/>
      <c r="AA737" s="4">
        <f>=ROUNDDOWN({0},0)</f>
      </c>
      <c r="AB737" s="5"/>
      <c r="AC737" s="2" t="s">
        <v>231</v>
      </c>
      <c r="AD737" s="4"/>
      <c r="AE737" s="4"/>
      <c r="AF737" s="6">
        <v>67</v>
      </c>
      <c r="AG737" s="6"/>
      <c r="AH737" s="7">
        <v>0</v>
      </c>
      <c r="AI737" s="4"/>
      <c r="AJ737" s="4">
        <f>=ROUNDDOWN({0},0)</f>
      </c>
      <c r="AK737" s="5"/>
      <c r="AL737" s="2" t="s">
        <v>231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231</v>
      </c>
      <c r="AW737" s="8" t="s">
        <v>231</v>
      </c>
      <c r="AX737" s="4" t="s">
        <v>231</v>
      </c>
      <c r="AY737" s="8" t="s">
        <v>231</v>
      </c>
      <c r="AZ737" s="7" t="s">
        <v>231</v>
      </c>
      <c r="BA737" s="7" t="s">
        <v>231</v>
      </c>
      <c r="BB737" s="7"/>
      <c r="BC737" s="4" t="s">
        <v>231</v>
      </c>
      <c r="BD737" s="8" t="s">
        <v>231</v>
      </c>
      <c r="BE737" s="4" t="s">
        <v>231</v>
      </c>
      <c r="BF737" s="8" t="s">
        <v>231</v>
      </c>
      <c r="BG737" s="7" t="s">
        <v>231</v>
      </c>
      <c r="BH737" s="7" t="s">
        <v>231</v>
      </c>
      <c r="BI737" s="7"/>
      <c r="BJ737" s="4"/>
      <c r="BK737" s="8"/>
      <c r="BL737" s="2" t="s">
        <v>231</v>
      </c>
      <c r="BM737" s="7"/>
      <c r="BN737" s="7"/>
      <c r="BO737" s="4"/>
      <c r="BP737" s="8"/>
      <c r="BQ737" s="4"/>
      <c r="BR737" s="8"/>
      <c r="BS737" s="7"/>
      <c r="BT737" s="7"/>
      <c r="BU737" s="2" t="s">
        <v>241</v>
      </c>
      <c r="BV737" s="2" t="s">
        <v>231</v>
      </c>
      <c r="BW737" s="2" t="s">
        <v>231</v>
      </c>
      <c r="BX737" s="2" t="s">
        <v>241</v>
      </c>
      <c r="BY737" s="2" t="s">
        <v>242</v>
      </c>
      <c r="BZ737" s="2" t="s">
        <v>243</v>
      </c>
      <c r="CA737" s="2" t="s">
        <v>231</v>
      </c>
      <c r="CB737" s="2" t="s">
        <v>231</v>
      </c>
      <c r="CC737" s="2" t="s">
        <v>244</v>
      </c>
      <c r="CD737" s="2" t="s">
        <v>231</v>
      </c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</row>
    <row r="738">
      <c r="A738" s="2" t="s">
        <v>4077</v>
      </c>
      <c r="B738" s="2" t="s">
        <v>287</v>
      </c>
      <c r="C738" s="2" t="s">
        <v>825</v>
      </c>
      <c r="D738" s="2" t="s">
        <v>289</v>
      </c>
      <c r="E738" s="2" t="s">
        <v>290</v>
      </c>
      <c r="F738" s="2" t="s">
        <v>4062</v>
      </c>
      <c r="G738" s="2" t="s">
        <v>4062</v>
      </c>
      <c r="H738" s="2" t="s">
        <v>4062</v>
      </c>
      <c r="I738" s="2" t="s">
        <v>4063</v>
      </c>
      <c r="J738" s="2" t="s">
        <v>268</v>
      </c>
      <c r="K738" s="2" t="s">
        <v>486</v>
      </c>
      <c r="L738" s="3">
        <v>20.16</v>
      </c>
      <c r="M738" s="3">
        <v>21.17</v>
      </c>
      <c r="N738" s="3">
        <v>41.99</v>
      </c>
      <c r="O738" s="2" t="s">
        <v>243</v>
      </c>
      <c r="P738" s="2" t="s">
        <v>295</v>
      </c>
      <c r="Q738" s="2" t="s">
        <v>237</v>
      </c>
      <c r="R738" s="2" t="s">
        <v>231</v>
      </c>
      <c r="S738" s="2" t="s">
        <v>4076</v>
      </c>
      <c r="T738" s="2" t="s">
        <v>3741</v>
      </c>
      <c r="U738" s="2" t="s">
        <v>835</v>
      </c>
      <c r="V738" s="2" t="s">
        <v>239</v>
      </c>
      <c r="W738" s="2" t="s">
        <v>273</v>
      </c>
      <c r="X738" s="2" t="s">
        <v>231</v>
      </c>
      <c r="Y738" s="2" t="s">
        <v>231</v>
      </c>
      <c r="Z738" s="4"/>
      <c r="AA738" s="4">
        <f>=ROUNDDOWN({0},0)</f>
      </c>
      <c r="AB738" s="5"/>
      <c r="AC738" s="2" t="s">
        <v>231</v>
      </c>
      <c r="AD738" s="4"/>
      <c r="AE738" s="4"/>
      <c r="AF738" s="6">
        <v>67</v>
      </c>
      <c r="AG738" s="6"/>
      <c r="AH738" s="7">
        <v>0</v>
      </c>
      <c r="AI738" s="4"/>
      <c r="AJ738" s="4">
        <f>=ROUNDDOWN({0},0)</f>
      </c>
      <c r="AK738" s="5"/>
      <c r="AL738" s="2" t="s">
        <v>231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231</v>
      </c>
      <c r="AW738" s="8" t="s">
        <v>231</v>
      </c>
      <c r="AX738" s="4" t="s">
        <v>231</v>
      </c>
      <c r="AY738" s="8" t="s">
        <v>231</v>
      </c>
      <c r="AZ738" s="7" t="s">
        <v>231</v>
      </c>
      <c r="BA738" s="7" t="s">
        <v>231</v>
      </c>
      <c r="BB738" s="7"/>
      <c r="BC738" s="4" t="s">
        <v>231</v>
      </c>
      <c r="BD738" s="8" t="s">
        <v>231</v>
      </c>
      <c r="BE738" s="4" t="s">
        <v>231</v>
      </c>
      <c r="BF738" s="8" t="s">
        <v>231</v>
      </c>
      <c r="BG738" s="7" t="s">
        <v>231</v>
      </c>
      <c r="BH738" s="7" t="s">
        <v>231</v>
      </c>
      <c r="BI738" s="7"/>
      <c r="BJ738" s="4"/>
      <c r="BK738" s="8"/>
      <c r="BL738" s="2" t="s">
        <v>231</v>
      </c>
      <c r="BM738" s="7"/>
      <c r="BN738" s="7"/>
      <c r="BO738" s="4"/>
      <c r="BP738" s="8"/>
      <c r="BQ738" s="4"/>
      <c r="BR738" s="8"/>
      <c r="BS738" s="7"/>
      <c r="BT738" s="7"/>
      <c r="BU738" s="2" t="s">
        <v>241</v>
      </c>
      <c r="BV738" s="2" t="s">
        <v>231</v>
      </c>
      <c r="BW738" s="2" t="s">
        <v>231</v>
      </c>
      <c r="BX738" s="2" t="s">
        <v>241</v>
      </c>
      <c r="BY738" s="2" t="s">
        <v>242</v>
      </c>
      <c r="BZ738" s="2" t="s">
        <v>243</v>
      </c>
      <c r="CA738" s="2" t="s">
        <v>231</v>
      </c>
      <c r="CB738" s="2" t="s">
        <v>231</v>
      </c>
      <c r="CC738" s="2" t="s">
        <v>244</v>
      </c>
      <c r="CD738" s="2" t="s">
        <v>231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</row>
    <row r="739">
      <c r="A739" s="2" t="s">
        <v>4078</v>
      </c>
      <c r="B739" s="2" t="s">
        <v>287</v>
      </c>
      <c r="C739" s="2" t="s">
        <v>825</v>
      </c>
      <c r="D739" s="2" t="s">
        <v>289</v>
      </c>
      <c r="E739" s="2" t="s">
        <v>290</v>
      </c>
      <c r="F739" s="2" t="s">
        <v>4062</v>
      </c>
      <c r="G739" s="2" t="s">
        <v>4062</v>
      </c>
      <c r="H739" s="2" t="s">
        <v>4062</v>
      </c>
      <c r="I739" s="2" t="s">
        <v>4063</v>
      </c>
      <c r="J739" s="2" t="s">
        <v>281</v>
      </c>
      <c r="K739" s="2" t="s">
        <v>486</v>
      </c>
      <c r="L739" s="3">
        <v>21.6</v>
      </c>
      <c r="M739" s="3">
        <v>22.68</v>
      </c>
      <c r="N739" s="3">
        <v>44.99</v>
      </c>
      <c r="O739" s="2" t="s">
        <v>243</v>
      </c>
      <c r="P739" s="2" t="s">
        <v>295</v>
      </c>
      <c r="Q739" s="2" t="s">
        <v>237</v>
      </c>
      <c r="R739" s="2" t="s">
        <v>231</v>
      </c>
      <c r="S739" s="2" t="s">
        <v>4076</v>
      </c>
      <c r="T739" s="2" t="s">
        <v>3741</v>
      </c>
      <c r="U739" s="2" t="s">
        <v>298</v>
      </c>
      <c r="V739" s="2" t="s">
        <v>239</v>
      </c>
      <c r="W739" s="2" t="s">
        <v>273</v>
      </c>
      <c r="X739" s="2" t="s">
        <v>231</v>
      </c>
      <c r="Y739" s="2" t="s">
        <v>231</v>
      </c>
      <c r="Z739" s="4"/>
      <c r="AA739" s="4">
        <f>=ROUNDDOWN({0},0)</f>
      </c>
      <c r="AB739" s="5"/>
      <c r="AC739" s="2" t="s">
        <v>231</v>
      </c>
      <c r="AD739" s="4"/>
      <c r="AE739" s="4"/>
      <c r="AF739" s="6">
        <v>67</v>
      </c>
      <c r="AG739" s="6"/>
      <c r="AH739" s="7">
        <v>0</v>
      </c>
      <c r="AI739" s="4"/>
      <c r="AJ739" s="4">
        <f>=ROUNDDOWN({0},0)</f>
      </c>
      <c r="AK739" s="5"/>
      <c r="AL739" s="2" t="s">
        <v>231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231</v>
      </c>
      <c r="AW739" s="8" t="s">
        <v>231</v>
      </c>
      <c r="AX739" s="4" t="s">
        <v>231</v>
      </c>
      <c r="AY739" s="8" t="s">
        <v>231</v>
      </c>
      <c r="AZ739" s="7" t="s">
        <v>231</v>
      </c>
      <c r="BA739" s="7" t="s">
        <v>231</v>
      </c>
      <c r="BB739" s="7"/>
      <c r="BC739" s="4" t="s">
        <v>231</v>
      </c>
      <c r="BD739" s="8" t="s">
        <v>231</v>
      </c>
      <c r="BE739" s="4" t="s">
        <v>231</v>
      </c>
      <c r="BF739" s="8" t="s">
        <v>231</v>
      </c>
      <c r="BG739" s="7" t="s">
        <v>231</v>
      </c>
      <c r="BH739" s="7" t="s">
        <v>231</v>
      </c>
      <c r="BI739" s="7"/>
      <c r="BJ739" s="4"/>
      <c r="BK739" s="8"/>
      <c r="BL739" s="2" t="s">
        <v>231</v>
      </c>
      <c r="BM739" s="7"/>
      <c r="BN739" s="7"/>
      <c r="BO739" s="4"/>
      <c r="BP739" s="8"/>
      <c r="BQ739" s="4"/>
      <c r="BR739" s="8"/>
      <c r="BS739" s="7"/>
      <c r="BT739" s="7"/>
      <c r="BU739" s="2" t="s">
        <v>241</v>
      </c>
      <c r="BV739" s="2" t="s">
        <v>231</v>
      </c>
      <c r="BW739" s="2" t="s">
        <v>231</v>
      </c>
      <c r="BX739" s="2" t="s">
        <v>241</v>
      </c>
      <c r="BY739" s="2" t="s">
        <v>242</v>
      </c>
      <c r="BZ739" s="2" t="s">
        <v>243</v>
      </c>
      <c r="CA739" s="2" t="s">
        <v>231</v>
      </c>
      <c r="CB739" s="2" t="s">
        <v>231</v>
      </c>
      <c r="CC739" s="2" t="s">
        <v>244</v>
      </c>
      <c r="CD739" s="2" t="s">
        <v>231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</row>
    <row r="740">
      <c r="A740" s="2" t="s">
        <v>4079</v>
      </c>
      <c r="B740" s="2" t="s">
        <v>287</v>
      </c>
      <c r="C740" s="2" t="s">
        <v>825</v>
      </c>
      <c r="D740" s="2" t="s">
        <v>289</v>
      </c>
      <c r="E740" s="2" t="s">
        <v>290</v>
      </c>
      <c r="F740" s="2" t="s">
        <v>4062</v>
      </c>
      <c r="G740" s="2" t="s">
        <v>4062</v>
      </c>
      <c r="H740" s="2" t="s">
        <v>4062</v>
      </c>
      <c r="I740" s="2" t="s">
        <v>4063</v>
      </c>
      <c r="J740" s="2" t="s">
        <v>293</v>
      </c>
      <c r="K740" s="2" t="s">
        <v>486</v>
      </c>
      <c r="L740" s="3">
        <v>24.5</v>
      </c>
      <c r="M740" s="3">
        <v>25.73</v>
      </c>
      <c r="N740" s="3">
        <v>49.99</v>
      </c>
      <c r="O740" s="2" t="s">
        <v>243</v>
      </c>
      <c r="P740" s="2" t="s">
        <v>295</v>
      </c>
      <c r="Q740" s="2" t="s">
        <v>237</v>
      </c>
      <c r="R740" s="2" t="s">
        <v>231</v>
      </c>
      <c r="S740" s="2" t="s">
        <v>4076</v>
      </c>
      <c r="T740" s="2" t="s">
        <v>3741</v>
      </c>
      <c r="U740" s="2" t="s">
        <v>298</v>
      </c>
      <c r="V740" s="2" t="s">
        <v>239</v>
      </c>
      <c r="W740" s="2" t="s">
        <v>273</v>
      </c>
      <c r="X740" s="2" t="s">
        <v>231</v>
      </c>
      <c r="Y740" s="2" t="s">
        <v>231</v>
      </c>
      <c r="Z740" s="4"/>
      <c r="AA740" s="4">
        <f>=ROUNDDOWN({0},0)</f>
      </c>
      <c r="AB740" s="5"/>
      <c r="AC740" s="2" t="s">
        <v>231</v>
      </c>
      <c r="AD740" s="4"/>
      <c r="AE740" s="4"/>
      <c r="AF740" s="6">
        <v>67</v>
      </c>
      <c r="AG740" s="6"/>
      <c r="AH740" s="7">
        <v>0</v>
      </c>
      <c r="AI740" s="4"/>
      <c r="AJ740" s="4">
        <f>=ROUNDDOWN({0},0)</f>
      </c>
      <c r="AK740" s="5"/>
      <c r="AL740" s="2" t="s">
        <v>231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231</v>
      </c>
      <c r="AW740" s="8" t="s">
        <v>231</v>
      </c>
      <c r="AX740" s="4" t="s">
        <v>231</v>
      </c>
      <c r="AY740" s="8" t="s">
        <v>231</v>
      </c>
      <c r="AZ740" s="7" t="s">
        <v>231</v>
      </c>
      <c r="BA740" s="7" t="s">
        <v>231</v>
      </c>
      <c r="BB740" s="7"/>
      <c r="BC740" s="4" t="s">
        <v>231</v>
      </c>
      <c r="BD740" s="8" t="s">
        <v>231</v>
      </c>
      <c r="BE740" s="4" t="s">
        <v>231</v>
      </c>
      <c r="BF740" s="8" t="s">
        <v>231</v>
      </c>
      <c r="BG740" s="7" t="s">
        <v>231</v>
      </c>
      <c r="BH740" s="7" t="s">
        <v>231</v>
      </c>
      <c r="BI740" s="7"/>
      <c r="BJ740" s="4"/>
      <c r="BK740" s="8"/>
      <c r="BL740" s="2" t="s">
        <v>231</v>
      </c>
      <c r="BM740" s="7"/>
      <c r="BN740" s="7"/>
      <c r="BO740" s="4"/>
      <c r="BP740" s="8"/>
      <c r="BQ740" s="4"/>
      <c r="BR740" s="8"/>
      <c r="BS740" s="7"/>
      <c r="BT740" s="7"/>
      <c r="BU740" s="2" t="s">
        <v>241</v>
      </c>
      <c r="BV740" s="2" t="s">
        <v>231</v>
      </c>
      <c r="BW740" s="2" t="s">
        <v>231</v>
      </c>
      <c r="BX740" s="2" t="s">
        <v>241</v>
      </c>
      <c r="BY740" s="2" t="s">
        <v>242</v>
      </c>
      <c r="BZ740" s="2" t="s">
        <v>243</v>
      </c>
      <c r="CA740" s="2" t="s">
        <v>231</v>
      </c>
      <c r="CB740" s="2" t="s">
        <v>231</v>
      </c>
      <c r="CC740" s="2" t="s">
        <v>244</v>
      </c>
      <c r="CD740" s="2" t="s">
        <v>231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</row>
    <row r="741">
      <c r="A741" s="2" t="s">
        <v>4080</v>
      </c>
      <c r="B741" s="2" t="s">
        <v>287</v>
      </c>
      <c r="C741" s="2" t="s">
        <v>825</v>
      </c>
      <c r="D741" s="2" t="s">
        <v>289</v>
      </c>
      <c r="E741" s="2" t="s">
        <v>290</v>
      </c>
      <c r="F741" s="2" t="s">
        <v>4062</v>
      </c>
      <c r="G741" s="2" t="s">
        <v>4062</v>
      </c>
      <c r="H741" s="2" t="s">
        <v>4062</v>
      </c>
      <c r="I741" s="2" t="s">
        <v>4063</v>
      </c>
      <c r="J741" s="2" t="s">
        <v>302</v>
      </c>
      <c r="K741" s="2" t="s">
        <v>486</v>
      </c>
      <c r="L741" s="3">
        <v>26.95</v>
      </c>
      <c r="M741" s="3">
        <v>28.3</v>
      </c>
      <c r="N741" s="3">
        <v>54.99</v>
      </c>
      <c r="O741" s="2" t="s">
        <v>243</v>
      </c>
      <c r="P741" s="2" t="s">
        <v>295</v>
      </c>
      <c r="Q741" s="2" t="s">
        <v>237</v>
      </c>
      <c r="R741" s="2" t="s">
        <v>231</v>
      </c>
      <c r="S741" s="2" t="s">
        <v>4076</v>
      </c>
      <c r="T741" s="2" t="s">
        <v>3741</v>
      </c>
      <c r="U741" s="2" t="s">
        <v>298</v>
      </c>
      <c r="V741" s="2" t="s">
        <v>239</v>
      </c>
      <c r="W741" s="2" t="s">
        <v>273</v>
      </c>
      <c r="X741" s="2" t="s">
        <v>231</v>
      </c>
      <c r="Y741" s="2" t="s">
        <v>231</v>
      </c>
      <c r="Z741" s="4"/>
      <c r="AA741" s="4">
        <f>=ROUNDDOWN({0},0)</f>
      </c>
      <c r="AB741" s="5"/>
      <c r="AC741" s="2" t="s">
        <v>231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231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231</v>
      </c>
      <c r="AW741" s="8" t="s">
        <v>231</v>
      </c>
      <c r="AX741" s="4" t="s">
        <v>231</v>
      </c>
      <c r="AY741" s="8" t="s">
        <v>231</v>
      </c>
      <c r="AZ741" s="7" t="s">
        <v>231</v>
      </c>
      <c r="BA741" s="7" t="s">
        <v>231</v>
      </c>
      <c r="BB741" s="7"/>
      <c r="BC741" s="4" t="s">
        <v>231</v>
      </c>
      <c r="BD741" s="8" t="s">
        <v>231</v>
      </c>
      <c r="BE741" s="4" t="s">
        <v>231</v>
      </c>
      <c r="BF741" s="8" t="s">
        <v>231</v>
      </c>
      <c r="BG741" s="7" t="s">
        <v>231</v>
      </c>
      <c r="BH741" s="7" t="s">
        <v>231</v>
      </c>
      <c r="BI741" s="7"/>
      <c r="BJ741" s="4"/>
      <c r="BK741" s="8"/>
      <c r="BL741" s="2" t="s">
        <v>231</v>
      </c>
      <c r="BM741" s="7"/>
      <c r="BN741" s="7"/>
      <c r="BO741" s="4"/>
      <c r="BP741" s="8"/>
      <c r="BQ741" s="4"/>
      <c r="BR741" s="8"/>
      <c r="BS741" s="7"/>
      <c r="BT741" s="7"/>
      <c r="BU741" s="2" t="s">
        <v>241</v>
      </c>
      <c r="BV741" s="2" t="s">
        <v>231</v>
      </c>
      <c r="BW741" s="2" t="s">
        <v>231</v>
      </c>
      <c r="BX741" s="2" t="s">
        <v>241</v>
      </c>
      <c r="BY741" s="2" t="s">
        <v>242</v>
      </c>
      <c r="BZ741" s="2" t="s">
        <v>243</v>
      </c>
      <c r="CA741" s="2" t="s">
        <v>231</v>
      </c>
      <c r="CB741" s="2" t="s">
        <v>231</v>
      </c>
      <c r="CC741" s="2" t="s">
        <v>244</v>
      </c>
      <c r="CD741" s="2" t="s">
        <v>231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</row>
    <row r="742">
      <c r="A742" s="2" t="s">
        <v>4081</v>
      </c>
      <c r="B742" s="2" t="s">
        <v>287</v>
      </c>
      <c r="C742" s="2" t="s">
        <v>825</v>
      </c>
      <c r="D742" s="2" t="s">
        <v>289</v>
      </c>
      <c r="E742" s="2" t="s">
        <v>290</v>
      </c>
      <c r="F742" s="2" t="s">
        <v>4062</v>
      </c>
      <c r="G742" s="2" t="s">
        <v>4062</v>
      </c>
      <c r="H742" s="2" t="s">
        <v>4062</v>
      </c>
      <c r="I742" s="2" t="s">
        <v>4063</v>
      </c>
      <c r="J742" s="2" t="s">
        <v>268</v>
      </c>
      <c r="K742" s="2" t="s">
        <v>4082</v>
      </c>
      <c r="L742" s="3">
        <v>20.16</v>
      </c>
      <c r="M742" s="3">
        <v>21.17</v>
      </c>
      <c r="N742" s="3">
        <v>41.99</v>
      </c>
      <c r="O742" s="2" t="s">
        <v>243</v>
      </c>
      <c r="P742" s="2" t="s">
        <v>270</v>
      </c>
      <c r="Q742" s="2" t="s">
        <v>237</v>
      </c>
      <c r="R742" s="2" t="s">
        <v>231</v>
      </c>
      <c r="S742" s="2" t="s">
        <v>4083</v>
      </c>
      <c r="T742" s="2" t="s">
        <v>3741</v>
      </c>
      <c r="U742" s="2" t="s">
        <v>835</v>
      </c>
      <c r="V742" s="2" t="s">
        <v>239</v>
      </c>
      <c r="W742" s="2" t="s">
        <v>273</v>
      </c>
      <c r="X742" s="2" t="s">
        <v>231</v>
      </c>
      <c r="Y742" s="2" t="s">
        <v>274</v>
      </c>
      <c r="Z742" s="4">
        <v>220</v>
      </c>
      <c r="AA742" s="4">
        <f>=ROUNDDOWN(24.4444444444444,0)</f>
      </c>
      <c r="AB742" s="5">
        <v>9</v>
      </c>
      <c r="AC742" s="2" t="s">
        <v>4065</v>
      </c>
      <c r="AD742" s="4">
        <v>90</v>
      </c>
      <c r="AE742" s="4">
        <v>510</v>
      </c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231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231</v>
      </c>
      <c r="BD742" s="8" t="s">
        <v>231</v>
      </c>
      <c r="BE742" s="4" t="s">
        <v>231</v>
      </c>
      <c r="BF742" s="8" t="s">
        <v>231</v>
      </c>
      <c r="BG742" s="7" t="s">
        <v>231</v>
      </c>
      <c r="BH742" s="7" t="s">
        <v>231</v>
      </c>
      <c r="BI742" s="7"/>
      <c r="BJ742" s="4">
        <v>71</v>
      </c>
      <c r="BK742" s="8">
        <v>1495.87</v>
      </c>
      <c r="BL742" s="2" t="s">
        <v>4084</v>
      </c>
      <c r="BM742" s="7"/>
      <c r="BN742" s="7"/>
      <c r="BO742" s="4"/>
      <c r="BP742" s="8"/>
      <c r="BQ742" s="4"/>
      <c r="BR742" s="8"/>
      <c r="BS742" s="7"/>
      <c r="BT742" s="7"/>
      <c r="BU742" s="2" t="s">
        <v>4085</v>
      </c>
      <c r="BV742" s="2" t="s">
        <v>231</v>
      </c>
      <c r="BW742" s="2" t="s">
        <v>231</v>
      </c>
      <c r="BX742" s="2" t="s">
        <v>241</v>
      </c>
      <c r="BY742" s="2" t="s">
        <v>277</v>
      </c>
      <c r="BZ742" s="2" t="s">
        <v>243</v>
      </c>
      <c r="CA742" s="2" t="s">
        <v>284</v>
      </c>
      <c r="CB742" s="2" t="s">
        <v>4086</v>
      </c>
      <c r="CC742" s="2" t="s">
        <v>244</v>
      </c>
      <c r="CD742" s="2" t="s">
        <v>231</v>
      </c>
      <c r="CE742" s="4">
        <v>220</v>
      </c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>
        <v>90</v>
      </c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>
        <v>110</v>
      </c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>
        <v>80</v>
      </c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>
        <v>140</v>
      </c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>
        <v>90</v>
      </c>
      <c r="HF742" s="4"/>
      <c r="HG742" s="4"/>
      <c r="HH742" s="4"/>
      <c r="HI742" s="4"/>
      <c r="HJ742" s="4"/>
      <c r="HK742" s="4"/>
      <c r="HL742" s="4"/>
    </row>
    <row r="743">
      <c r="A743" s="2" t="s">
        <v>4087</v>
      </c>
      <c r="B743" s="2" t="s">
        <v>287</v>
      </c>
      <c r="C743" s="2" t="s">
        <v>825</v>
      </c>
      <c r="D743" s="2" t="s">
        <v>289</v>
      </c>
      <c r="E743" s="2" t="s">
        <v>290</v>
      </c>
      <c r="F743" s="2" t="s">
        <v>4062</v>
      </c>
      <c r="G743" s="2" t="s">
        <v>4062</v>
      </c>
      <c r="H743" s="2" t="s">
        <v>4062</v>
      </c>
      <c r="I743" s="2" t="s">
        <v>4063</v>
      </c>
      <c r="J743" s="2" t="s">
        <v>318</v>
      </c>
      <c r="K743" s="2" t="s">
        <v>253</v>
      </c>
      <c r="L743" s="3">
        <v>18.8</v>
      </c>
      <c r="M743" s="3">
        <v>19.74</v>
      </c>
      <c r="N743" s="3">
        <v>39.99</v>
      </c>
      <c r="O743" s="2" t="s">
        <v>243</v>
      </c>
      <c r="P743" s="2" t="s">
        <v>295</v>
      </c>
      <c r="Q743" s="2" t="s">
        <v>237</v>
      </c>
      <c r="R743" s="2" t="s">
        <v>231</v>
      </c>
      <c r="S743" s="2" t="s">
        <v>4088</v>
      </c>
      <c r="T743" s="2" t="s">
        <v>3741</v>
      </c>
      <c r="U743" s="2" t="s">
        <v>835</v>
      </c>
      <c r="V743" s="2" t="s">
        <v>239</v>
      </c>
      <c r="W743" s="2" t="s">
        <v>273</v>
      </c>
      <c r="X743" s="2" t="s">
        <v>231</v>
      </c>
      <c r="Y743" s="2" t="s">
        <v>231</v>
      </c>
      <c r="Z743" s="4"/>
      <c r="AA743" s="4">
        <f>=ROUNDDOWN({0},0)</f>
      </c>
      <c r="AB743" s="5"/>
      <c r="AC743" s="2" t="s">
        <v>231</v>
      </c>
      <c r="AD743" s="4"/>
      <c r="AE743" s="4"/>
      <c r="AF743" s="6">
        <v>67</v>
      </c>
      <c r="AG743" s="6"/>
      <c r="AH743" s="7">
        <v>0</v>
      </c>
      <c r="AI743" s="4"/>
      <c r="AJ743" s="4">
        <f>=ROUNDDOWN({0},0)</f>
      </c>
      <c r="AK743" s="5"/>
      <c r="AL743" s="2" t="s">
        <v>231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231</v>
      </c>
      <c r="AW743" s="8" t="s">
        <v>231</v>
      </c>
      <c r="AX743" s="4" t="s">
        <v>231</v>
      </c>
      <c r="AY743" s="8" t="s">
        <v>231</v>
      </c>
      <c r="AZ743" s="7" t="s">
        <v>231</v>
      </c>
      <c r="BA743" s="7" t="s">
        <v>231</v>
      </c>
      <c r="BB743" s="7"/>
      <c r="BC743" s="4" t="s">
        <v>231</v>
      </c>
      <c r="BD743" s="8" t="s">
        <v>231</v>
      </c>
      <c r="BE743" s="4" t="s">
        <v>231</v>
      </c>
      <c r="BF743" s="8" t="s">
        <v>231</v>
      </c>
      <c r="BG743" s="7" t="s">
        <v>231</v>
      </c>
      <c r="BH743" s="7" t="s">
        <v>231</v>
      </c>
      <c r="BI743" s="7"/>
      <c r="BJ743" s="4"/>
      <c r="BK743" s="8"/>
      <c r="BL743" s="2" t="s">
        <v>231</v>
      </c>
      <c r="BM743" s="7"/>
      <c r="BN743" s="7"/>
      <c r="BO743" s="4"/>
      <c r="BP743" s="8"/>
      <c r="BQ743" s="4"/>
      <c r="BR743" s="8"/>
      <c r="BS743" s="7"/>
      <c r="BT743" s="7"/>
      <c r="BU743" s="2" t="s">
        <v>241</v>
      </c>
      <c r="BV743" s="2" t="s">
        <v>231</v>
      </c>
      <c r="BW743" s="2" t="s">
        <v>231</v>
      </c>
      <c r="BX743" s="2" t="s">
        <v>241</v>
      </c>
      <c r="BY743" s="2" t="s">
        <v>242</v>
      </c>
      <c r="BZ743" s="2" t="s">
        <v>243</v>
      </c>
      <c r="CA743" s="2" t="s">
        <v>231</v>
      </c>
      <c r="CB743" s="2" t="s">
        <v>231</v>
      </c>
      <c r="CC743" s="2" t="s">
        <v>244</v>
      </c>
      <c r="CD743" s="2" t="s">
        <v>231</v>
      </c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</row>
    <row r="744">
      <c r="A744" s="2" t="s">
        <v>4089</v>
      </c>
      <c r="B744" s="2" t="s">
        <v>287</v>
      </c>
      <c r="C744" s="2" t="s">
        <v>825</v>
      </c>
      <c r="D744" s="2" t="s">
        <v>289</v>
      </c>
      <c r="E744" s="2" t="s">
        <v>290</v>
      </c>
      <c r="F744" s="2" t="s">
        <v>4062</v>
      </c>
      <c r="G744" s="2" t="s">
        <v>4062</v>
      </c>
      <c r="H744" s="2" t="s">
        <v>4062</v>
      </c>
      <c r="I744" s="2" t="s">
        <v>4063</v>
      </c>
      <c r="J744" s="2" t="s">
        <v>268</v>
      </c>
      <c r="K744" s="2" t="s">
        <v>253</v>
      </c>
      <c r="L744" s="3">
        <v>20.16</v>
      </c>
      <c r="M744" s="3">
        <v>21.17</v>
      </c>
      <c r="N744" s="3">
        <v>41.99</v>
      </c>
      <c r="O744" s="2" t="s">
        <v>243</v>
      </c>
      <c r="P744" s="2" t="s">
        <v>295</v>
      </c>
      <c r="Q744" s="2" t="s">
        <v>237</v>
      </c>
      <c r="R744" s="2" t="s">
        <v>231</v>
      </c>
      <c r="S744" s="2" t="s">
        <v>4088</v>
      </c>
      <c r="T744" s="2" t="s">
        <v>3741</v>
      </c>
      <c r="U744" s="2" t="s">
        <v>835</v>
      </c>
      <c r="V744" s="2" t="s">
        <v>239</v>
      </c>
      <c r="W744" s="2" t="s">
        <v>273</v>
      </c>
      <c r="X744" s="2" t="s">
        <v>231</v>
      </c>
      <c r="Y744" s="2" t="s">
        <v>231</v>
      </c>
      <c r="Z744" s="4"/>
      <c r="AA744" s="4">
        <f>=ROUNDDOWN({0},0)</f>
      </c>
      <c r="AB744" s="5"/>
      <c r="AC744" s="2" t="s">
        <v>231</v>
      </c>
      <c r="AD744" s="4"/>
      <c r="AE744" s="4"/>
      <c r="AF744" s="6">
        <v>67</v>
      </c>
      <c r="AG744" s="6"/>
      <c r="AH744" s="7">
        <v>0</v>
      </c>
      <c r="AI744" s="4"/>
      <c r="AJ744" s="4">
        <f>=ROUNDDOWN({0},0)</f>
      </c>
      <c r="AK744" s="5"/>
      <c r="AL744" s="2" t="s">
        <v>231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231</v>
      </c>
      <c r="AW744" s="8" t="s">
        <v>231</v>
      </c>
      <c r="AX744" s="4" t="s">
        <v>231</v>
      </c>
      <c r="AY744" s="8" t="s">
        <v>231</v>
      </c>
      <c r="AZ744" s="7" t="s">
        <v>231</v>
      </c>
      <c r="BA744" s="7" t="s">
        <v>231</v>
      </c>
      <c r="BB744" s="7"/>
      <c r="BC744" s="4" t="s">
        <v>231</v>
      </c>
      <c r="BD744" s="8" t="s">
        <v>231</v>
      </c>
      <c r="BE744" s="4" t="s">
        <v>231</v>
      </c>
      <c r="BF744" s="8" t="s">
        <v>231</v>
      </c>
      <c r="BG744" s="7" t="s">
        <v>231</v>
      </c>
      <c r="BH744" s="7" t="s">
        <v>231</v>
      </c>
      <c r="BI744" s="7"/>
      <c r="BJ744" s="4"/>
      <c r="BK744" s="8"/>
      <c r="BL744" s="2" t="s">
        <v>231</v>
      </c>
      <c r="BM744" s="7"/>
      <c r="BN744" s="7"/>
      <c r="BO744" s="4"/>
      <c r="BP744" s="8"/>
      <c r="BQ744" s="4"/>
      <c r="BR744" s="8"/>
      <c r="BS744" s="7"/>
      <c r="BT744" s="7"/>
      <c r="BU744" s="2" t="s">
        <v>241</v>
      </c>
      <c r="BV744" s="2" t="s">
        <v>231</v>
      </c>
      <c r="BW744" s="2" t="s">
        <v>231</v>
      </c>
      <c r="BX744" s="2" t="s">
        <v>241</v>
      </c>
      <c r="BY744" s="2" t="s">
        <v>242</v>
      </c>
      <c r="BZ744" s="2" t="s">
        <v>243</v>
      </c>
      <c r="CA744" s="2" t="s">
        <v>231</v>
      </c>
      <c r="CB744" s="2" t="s">
        <v>231</v>
      </c>
      <c r="CC744" s="2" t="s">
        <v>244</v>
      </c>
      <c r="CD744" s="2" t="s">
        <v>231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</row>
    <row r="745">
      <c r="A745" s="2" t="s">
        <v>4090</v>
      </c>
      <c r="B745" s="2" t="s">
        <v>287</v>
      </c>
      <c r="C745" s="2" t="s">
        <v>825</v>
      </c>
      <c r="D745" s="2" t="s">
        <v>289</v>
      </c>
      <c r="E745" s="2" t="s">
        <v>290</v>
      </c>
      <c r="F745" s="2" t="s">
        <v>4062</v>
      </c>
      <c r="G745" s="2" t="s">
        <v>4062</v>
      </c>
      <c r="H745" s="2" t="s">
        <v>4062</v>
      </c>
      <c r="I745" s="2" t="s">
        <v>4063</v>
      </c>
      <c r="J745" s="2" t="s">
        <v>281</v>
      </c>
      <c r="K745" s="2" t="s">
        <v>253</v>
      </c>
      <c r="L745" s="3">
        <v>21.6</v>
      </c>
      <c r="M745" s="3">
        <v>22.68</v>
      </c>
      <c r="N745" s="3">
        <v>44.99</v>
      </c>
      <c r="O745" s="2" t="s">
        <v>243</v>
      </c>
      <c r="P745" s="2" t="s">
        <v>295</v>
      </c>
      <c r="Q745" s="2" t="s">
        <v>237</v>
      </c>
      <c r="R745" s="2" t="s">
        <v>231</v>
      </c>
      <c r="S745" s="2" t="s">
        <v>4088</v>
      </c>
      <c r="T745" s="2" t="s">
        <v>3741</v>
      </c>
      <c r="U745" s="2" t="s">
        <v>298</v>
      </c>
      <c r="V745" s="2" t="s">
        <v>239</v>
      </c>
      <c r="W745" s="2" t="s">
        <v>273</v>
      </c>
      <c r="X745" s="2" t="s">
        <v>231</v>
      </c>
      <c r="Y745" s="2" t="s">
        <v>231</v>
      </c>
      <c r="Z745" s="4"/>
      <c r="AA745" s="4">
        <f>=ROUNDDOWN({0},0)</f>
      </c>
      <c r="AB745" s="5"/>
      <c r="AC745" s="2" t="s">
        <v>231</v>
      </c>
      <c r="AD745" s="4"/>
      <c r="AE745" s="4"/>
      <c r="AF745" s="6">
        <v>67</v>
      </c>
      <c r="AG745" s="6"/>
      <c r="AH745" s="7">
        <v>0</v>
      </c>
      <c r="AI745" s="4"/>
      <c r="AJ745" s="4">
        <f>=ROUNDDOWN({0},0)</f>
      </c>
      <c r="AK745" s="5"/>
      <c r="AL745" s="2" t="s">
        <v>231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231</v>
      </c>
      <c r="AW745" s="8" t="s">
        <v>231</v>
      </c>
      <c r="AX745" s="4" t="s">
        <v>231</v>
      </c>
      <c r="AY745" s="8" t="s">
        <v>231</v>
      </c>
      <c r="AZ745" s="7" t="s">
        <v>231</v>
      </c>
      <c r="BA745" s="7" t="s">
        <v>231</v>
      </c>
      <c r="BB745" s="7"/>
      <c r="BC745" s="4" t="s">
        <v>231</v>
      </c>
      <c r="BD745" s="8" t="s">
        <v>231</v>
      </c>
      <c r="BE745" s="4" t="s">
        <v>231</v>
      </c>
      <c r="BF745" s="8" t="s">
        <v>231</v>
      </c>
      <c r="BG745" s="7" t="s">
        <v>231</v>
      </c>
      <c r="BH745" s="7" t="s">
        <v>231</v>
      </c>
      <c r="BI745" s="7"/>
      <c r="BJ745" s="4"/>
      <c r="BK745" s="8"/>
      <c r="BL745" s="2" t="s">
        <v>231</v>
      </c>
      <c r="BM745" s="7"/>
      <c r="BN745" s="7"/>
      <c r="BO745" s="4"/>
      <c r="BP745" s="8"/>
      <c r="BQ745" s="4"/>
      <c r="BR745" s="8"/>
      <c r="BS745" s="7"/>
      <c r="BT745" s="7"/>
      <c r="BU745" s="2" t="s">
        <v>241</v>
      </c>
      <c r="BV745" s="2" t="s">
        <v>231</v>
      </c>
      <c r="BW745" s="2" t="s">
        <v>231</v>
      </c>
      <c r="BX745" s="2" t="s">
        <v>241</v>
      </c>
      <c r="BY745" s="2" t="s">
        <v>242</v>
      </c>
      <c r="BZ745" s="2" t="s">
        <v>243</v>
      </c>
      <c r="CA745" s="2" t="s">
        <v>231</v>
      </c>
      <c r="CB745" s="2" t="s">
        <v>231</v>
      </c>
      <c r="CC745" s="2" t="s">
        <v>244</v>
      </c>
      <c r="CD745" s="2" t="s">
        <v>231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</row>
    <row r="746">
      <c r="A746" s="2" t="s">
        <v>4091</v>
      </c>
      <c r="B746" s="2" t="s">
        <v>287</v>
      </c>
      <c r="C746" s="2" t="s">
        <v>825</v>
      </c>
      <c r="D746" s="2" t="s">
        <v>289</v>
      </c>
      <c r="E746" s="2" t="s">
        <v>290</v>
      </c>
      <c r="F746" s="2" t="s">
        <v>4062</v>
      </c>
      <c r="G746" s="2" t="s">
        <v>4062</v>
      </c>
      <c r="H746" s="2" t="s">
        <v>4062</v>
      </c>
      <c r="I746" s="2" t="s">
        <v>4063</v>
      </c>
      <c r="J746" s="2" t="s">
        <v>293</v>
      </c>
      <c r="K746" s="2" t="s">
        <v>253</v>
      </c>
      <c r="L746" s="3">
        <v>24.5</v>
      </c>
      <c r="M746" s="3">
        <v>25.73</v>
      </c>
      <c r="N746" s="3">
        <v>49.99</v>
      </c>
      <c r="O746" s="2" t="s">
        <v>243</v>
      </c>
      <c r="P746" s="2" t="s">
        <v>295</v>
      </c>
      <c r="Q746" s="2" t="s">
        <v>237</v>
      </c>
      <c r="R746" s="2" t="s">
        <v>231</v>
      </c>
      <c r="S746" s="2" t="s">
        <v>4088</v>
      </c>
      <c r="T746" s="2" t="s">
        <v>3741</v>
      </c>
      <c r="U746" s="2" t="s">
        <v>298</v>
      </c>
      <c r="V746" s="2" t="s">
        <v>239</v>
      </c>
      <c r="W746" s="2" t="s">
        <v>273</v>
      </c>
      <c r="X746" s="2" t="s">
        <v>231</v>
      </c>
      <c r="Y746" s="2" t="s">
        <v>231</v>
      </c>
      <c r="Z746" s="4"/>
      <c r="AA746" s="4">
        <f>=ROUNDDOWN({0},0)</f>
      </c>
      <c r="AB746" s="5"/>
      <c r="AC746" s="2" t="s">
        <v>231</v>
      </c>
      <c r="AD746" s="4"/>
      <c r="AE746" s="4"/>
      <c r="AF746" s="6">
        <v>67</v>
      </c>
      <c r="AG746" s="6"/>
      <c r="AH746" s="7">
        <v>0</v>
      </c>
      <c r="AI746" s="4"/>
      <c r="AJ746" s="4">
        <f>=ROUNDDOWN({0},0)</f>
      </c>
      <c r="AK746" s="5"/>
      <c r="AL746" s="2" t="s">
        <v>231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231</v>
      </c>
      <c r="AW746" s="8" t="s">
        <v>231</v>
      </c>
      <c r="AX746" s="4" t="s">
        <v>231</v>
      </c>
      <c r="AY746" s="8" t="s">
        <v>231</v>
      </c>
      <c r="AZ746" s="7" t="s">
        <v>231</v>
      </c>
      <c r="BA746" s="7" t="s">
        <v>231</v>
      </c>
      <c r="BB746" s="7"/>
      <c r="BC746" s="4" t="s">
        <v>231</v>
      </c>
      <c r="BD746" s="8" t="s">
        <v>231</v>
      </c>
      <c r="BE746" s="4" t="s">
        <v>231</v>
      </c>
      <c r="BF746" s="8" t="s">
        <v>231</v>
      </c>
      <c r="BG746" s="7" t="s">
        <v>231</v>
      </c>
      <c r="BH746" s="7" t="s">
        <v>231</v>
      </c>
      <c r="BI746" s="7"/>
      <c r="BJ746" s="4"/>
      <c r="BK746" s="8"/>
      <c r="BL746" s="2" t="s">
        <v>231</v>
      </c>
      <c r="BM746" s="7"/>
      <c r="BN746" s="7"/>
      <c r="BO746" s="4"/>
      <c r="BP746" s="8"/>
      <c r="BQ746" s="4"/>
      <c r="BR746" s="8"/>
      <c r="BS746" s="7"/>
      <c r="BT746" s="7"/>
      <c r="BU746" s="2" t="s">
        <v>241</v>
      </c>
      <c r="BV746" s="2" t="s">
        <v>231</v>
      </c>
      <c r="BW746" s="2" t="s">
        <v>231</v>
      </c>
      <c r="BX746" s="2" t="s">
        <v>241</v>
      </c>
      <c r="BY746" s="2" t="s">
        <v>242</v>
      </c>
      <c r="BZ746" s="2" t="s">
        <v>243</v>
      </c>
      <c r="CA746" s="2" t="s">
        <v>231</v>
      </c>
      <c r="CB746" s="2" t="s">
        <v>231</v>
      </c>
      <c r="CC746" s="2" t="s">
        <v>244</v>
      </c>
      <c r="CD746" s="2" t="s">
        <v>231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</row>
    <row r="747">
      <c r="A747" s="2" t="s">
        <v>4092</v>
      </c>
      <c r="B747" s="2" t="s">
        <v>287</v>
      </c>
      <c r="C747" s="2" t="s">
        <v>825</v>
      </c>
      <c r="D747" s="2" t="s">
        <v>289</v>
      </c>
      <c r="E747" s="2" t="s">
        <v>290</v>
      </c>
      <c r="F747" s="2" t="s">
        <v>4062</v>
      </c>
      <c r="G747" s="2" t="s">
        <v>4062</v>
      </c>
      <c r="H747" s="2" t="s">
        <v>4062</v>
      </c>
      <c r="I747" s="2" t="s">
        <v>4063</v>
      </c>
      <c r="J747" s="2" t="s">
        <v>302</v>
      </c>
      <c r="K747" s="2" t="s">
        <v>253</v>
      </c>
      <c r="L747" s="3">
        <v>26.95</v>
      </c>
      <c r="M747" s="3">
        <v>28.3</v>
      </c>
      <c r="N747" s="3">
        <v>54.99</v>
      </c>
      <c r="O747" s="2" t="s">
        <v>243</v>
      </c>
      <c r="P747" s="2" t="s">
        <v>295</v>
      </c>
      <c r="Q747" s="2" t="s">
        <v>237</v>
      </c>
      <c r="R747" s="2" t="s">
        <v>231</v>
      </c>
      <c r="S747" s="2" t="s">
        <v>4088</v>
      </c>
      <c r="T747" s="2" t="s">
        <v>3741</v>
      </c>
      <c r="U747" s="2" t="s">
        <v>298</v>
      </c>
      <c r="V747" s="2" t="s">
        <v>239</v>
      </c>
      <c r="W747" s="2" t="s">
        <v>273</v>
      </c>
      <c r="X747" s="2" t="s">
        <v>231</v>
      </c>
      <c r="Y747" s="2" t="s">
        <v>231</v>
      </c>
      <c r="Z747" s="4"/>
      <c r="AA747" s="4">
        <f>=ROUNDDOWN({0},0)</f>
      </c>
      <c r="AB747" s="5"/>
      <c r="AC747" s="2" t="s">
        <v>231</v>
      </c>
      <c r="AD747" s="4"/>
      <c r="AE747" s="4"/>
      <c r="AF747" s="6">
        <v>67</v>
      </c>
      <c r="AG747" s="6"/>
      <c r="AH747" s="7">
        <v>0</v>
      </c>
      <c r="AI747" s="4"/>
      <c r="AJ747" s="4">
        <f>=ROUNDDOWN({0},0)</f>
      </c>
      <c r="AK747" s="5"/>
      <c r="AL747" s="2" t="s">
        <v>231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231</v>
      </c>
      <c r="AW747" s="8" t="s">
        <v>231</v>
      </c>
      <c r="AX747" s="4" t="s">
        <v>231</v>
      </c>
      <c r="AY747" s="8" t="s">
        <v>231</v>
      </c>
      <c r="AZ747" s="7" t="s">
        <v>231</v>
      </c>
      <c r="BA747" s="7" t="s">
        <v>231</v>
      </c>
      <c r="BB747" s="7"/>
      <c r="BC747" s="4" t="s">
        <v>231</v>
      </c>
      <c r="BD747" s="8" t="s">
        <v>231</v>
      </c>
      <c r="BE747" s="4" t="s">
        <v>231</v>
      </c>
      <c r="BF747" s="8" t="s">
        <v>231</v>
      </c>
      <c r="BG747" s="7" t="s">
        <v>231</v>
      </c>
      <c r="BH747" s="7" t="s">
        <v>231</v>
      </c>
      <c r="BI747" s="7"/>
      <c r="BJ747" s="4"/>
      <c r="BK747" s="8"/>
      <c r="BL747" s="2" t="s">
        <v>231</v>
      </c>
      <c r="BM747" s="7"/>
      <c r="BN747" s="7"/>
      <c r="BO747" s="4"/>
      <c r="BP747" s="8"/>
      <c r="BQ747" s="4"/>
      <c r="BR747" s="8"/>
      <c r="BS747" s="7"/>
      <c r="BT747" s="7"/>
      <c r="BU747" s="2" t="s">
        <v>241</v>
      </c>
      <c r="BV747" s="2" t="s">
        <v>231</v>
      </c>
      <c r="BW747" s="2" t="s">
        <v>231</v>
      </c>
      <c r="BX747" s="2" t="s">
        <v>241</v>
      </c>
      <c r="BY747" s="2" t="s">
        <v>242</v>
      </c>
      <c r="BZ747" s="2" t="s">
        <v>243</v>
      </c>
      <c r="CA747" s="2" t="s">
        <v>231</v>
      </c>
      <c r="CB747" s="2" t="s">
        <v>231</v>
      </c>
      <c r="CC747" s="2" t="s">
        <v>244</v>
      </c>
      <c r="CD747" s="2" t="s">
        <v>231</v>
      </c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</row>
    <row r="748">
      <c r="A748" s="2" t="s">
        <v>4093</v>
      </c>
      <c r="B748" s="2" t="s">
        <v>287</v>
      </c>
      <c r="C748" s="2" t="s">
        <v>825</v>
      </c>
      <c r="D748" s="2" t="s">
        <v>289</v>
      </c>
      <c r="E748" s="2" t="s">
        <v>290</v>
      </c>
      <c r="F748" s="2" t="s">
        <v>4062</v>
      </c>
      <c r="G748" s="2" t="s">
        <v>4062</v>
      </c>
      <c r="H748" s="2" t="s">
        <v>4062</v>
      </c>
      <c r="I748" s="2" t="s">
        <v>4063</v>
      </c>
      <c r="J748" s="2" t="s">
        <v>318</v>
      </c>
      <c r="K748" s="2" t="s">
        <v>4094</v>
      </c>
      <c r="L748" s="3">
        <v>18.8</v>
      </c>
      <c r="M748" s="3">
        <v>19.74</v>
      </c>
      <c r="N748" s="3">
        <v>39.99</v>
      </c>
      <c r="O748" s="2" t="s">
        <v>243</v>
      </c>
      <c r="P748" s="2" t="s">
        <v>295</v>
      </c>
      <c r="Q748" s="2" t="s">
        <v>237</v>
      </c>
      <c r="R748" s="2" t="s">
        <v>231</v>
      </c>
      <c r="S748" s="2" t="s">
        <v>4095</v>
      </c>
      <c r="T748" s="2" t="s">
        <v>3741</v>
      </c>
      <c r="U748" s="2" t="s">
        <v>835</v>
      </c>
      <c r="V748" s="2" t="s">
        <v>239</v>
      </c>
      <c r="W748" s="2" t="s">
        <v>273</v>
      </c>
      <c r="X748" s="2" t="s">
        <v>231</v>
      </c>
      <c r="Y748" s="2" t="s">
        <v>231</v>
      </c>
      <c r="Z748" s="4"/>
      <c r="AA748" s="4">
        <f>=ROUNDDOWN({0},0)</f>
      </c>
      <c r="AB748" s="5"/>
      <c r="AC748" s="2" t="s">
        <v>231</v>
      </c>
      <c r="AD748" s="4"/>
      <c r="AE748" s="4"/>
      <c r="AF748" s="6">
        <v>67</v>
      </c>
      <c r="AG748" s="6"/>
      <c r="AH748" s="7">
        <v>0</v>
      </c>
      <c r="AI748" s="4"/>
      <c r="AJ748" s="4">
        <f>=ROUNDDOWN({0},0)</f>
      </c>
      <c r="AK748" s="5"/>
      <c r="AL748" s="2" t="s">
        <v>231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231</v>
      </c>
      <c r="AW748" s="8" t="s">
        <v>231</v>
      </c>
      <c r="AX748" s="4" t="s">
        <v>231</v>
      </c>
      <c r="AY748" s="8" t="s">
        <v>231</v>
      </c>
      <c r="AZ748" s="7" t="s">
        <v>231</v>
      </c>
      <c r="BA748" s="7" t="s">
        <v>231</v>
      </c>
      <c r="BB748" s="7"/>
      <c r="BC748" s="4" t="s">
        <v>231</v>
      </c>
      <c r="BD748" s="8" t="s">
        <v>231</v>
      </c>
      <c r="BE748" s="4" t="s">
        <v>231</v>
      </c>
      <c r="BF748" s="8" t="s">
        <v>231</v>
      </c>
      <c r="BG748" s="7" t="s">
        <v>231</v>
      </c>
      <c r="BH748" s="7" t="s">
        <v>231</v>
      </c>
      <c r="BI748" s="7"/>
      <c r="BJ748" s="4"/>
      <c r="BK748" s="8"/>
      <c r="BL748" s="2" t="s">
        <v>231</v>
      </c>
      <c r="BM748" s="7"/>
      <c r="BN748" s="7"/>
      <c r="BO748" s="4"/>
      <c r="BP748" s="8"/>
      <c r="BQ748" s="4"/>
      <c r="BR748" s="8"/>
      <c r="BS748" s="7"/>
      <c r="BT748" s="7"/>
      <c r="BU748" s="2" t="s">
        <v>241</v>
      </c>
      <c r="BV748" s="2" t="s">
        <v>231</v>
      </c>
      <c r="BW748" s="2" t="s">
        <v>231</v>
      </c>
      <c r="BX748" s="2" t="s">
        <v>241</v>
      </c>
      <c r="BY748" s="2" t="s">
        <v>242</v>
      </c>
      <c r="BZ748" s="2" t="s">
        <v>243</v>
      </c>
      <c r="CA748" s="2" t="s">
        <v>231</v>
      </c>
      <c r="CB748" s="2" t="s">
        <v>231</v>
      </c>
      <c r="CC748" s="2" t="s">
        <v>244</v>
      </c>
      <c r="CD748" s="2" t="s">
        <v>231</v>
      </c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</row>
    <row r="749">
      <c r="A749" s="2" t="s">
        <v>4096</v>
      </c>
      <c r="B749" s="2" t="s">
        <v>287</v>
      </c>
      <c r="C749" s="2" t="s">
        <v>825</v>
      </c>
      <c r="D749" s="2" t="s">
        <v>289</v>
      </c>
      <c r="E749" s="2" t="s">
        <v>290</v>
      </c>
      <c r="F749" s="2" t="s">
        <v>4062</v>
      </c>
      <c r="G749" s="2" t="s">
        <v>4062</v>
      </c>
      <c r="H749" s="2" t="s">
        <v>4062</v>
      </c>
      <c r="I749" s="2" t="s">
        <v>4063</v>
      </c>
      <c r="J749" s="2" t="s">
        <v>268</v>
      </c>
      <c r="K749" s="2" t="s">
        <v>4094</v>
      </c>
      <c r="L749" s="3">
        <v>20.16</v>
      </c>
      <c r="M749" s="3">
        <v>21.17</v>
      </c>
      <c r="N749" s="3">
        <v>41.99</v>
      </c>
      <c r="O749" s="2" t="s">
        <v>243</v>
      </c>
      <c r="P749" s="2" t="s">
        <v>295</v>
      </c>
      <c r="Q749" s="2" t="s">
        <v>237</v>
      </c>
      <c r="R749" s="2" t="s">
        <v>231</v>
      </c>
      <c r="S749" s="2" t="s">
        <v>4095</v>
      </c>
      <c r="T749" s="2" t="s">
        <v>3741</v>
      </c>
      <c r="U749" s="2" t="s">
        <v>835</v>
      </c>
      <c r="V749" s="2" t="s">
        <v>239</v>
      </c>
      <c r="W749" s="2" t="s">
        <v>273</v>
      </c>
      <c r="X749" s="2" t="s">
        <v>231</v>
      </c>
      <c r="Y749" s="2" t="s">
        <v>231</v>
      </c>
      <c r="Z749" s="4"/>
      <c r="AA749" s="4">
        <f>=ROUNDDOWN({0},0)</f>
      </c>
      <c r="AB749" s="5"/>
      <c r="AC749" s="2" t="s">
        <v>231</v>
      </c>
      <c r="AD749" s="4"/>
      <c r="AE749" s="4"/>
      <c r="AF749" s="6">
        <v>67</v>
      </c>
      <c r="AG749" s="6"/>
      <c r="AH749" s="7">
        <v>0</v>
      </c>
      <c r="AI749" s="4"/>
      <c r="AJ749" s="4">
        <f>=ROUNDDOWN({0},0)</f>
      </c>
      <c r="AK749" s="5"/>
      <c r="AL749" s="2" t="s">
        <v>231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231</v>
      </c>
      <c r="AW749" s="8" t="s">
        <v>231</v>
      </c>
      <c r="AX749" s="4" t="s">
        <v>231</v>
      </c>
      <c r="AY749" s="8" t="s">
        <v>231</v>
      </c>
      <c r="AZ749" s="7" t="s">
        <v>231</v>
      </c>
      <c r="BA749" s="7" t="s">
        <v>231</v>
      </c>
      <c r="BB749" s="7"/>
      <c r="BC749" s="4" t="s">
        <v>231</v>
      </c>
      <c r="BD749" s="8" t="s">
        <v>231</v>
      </c>
      <c r="BE749" s="4" t="s">
        <v>231</v>
      </c>
      <c r="BF749" s="8" t="s">
        <v>231</v>
      </c>
      <c r="BG749" s="7" t="s">
        <v>231</v>
      </c>
      <c r="BH749" s="7" t="s">
        <v>231</v>
      </c>
      <c r="BI749" s="7"/>
      <c r="BJ749" s="4"/>
      <c r="BK749" s="8"/>
      <c r="BL749" s="2" t="s">
        <v>231</v>
      </c>
      <c r="BM749" s="7"/>
      <c r="BN749" s="7"/>
      <c r="BO749" s="4"/>
      <c r="BP749" s="8"/>
      <c r="BQ749" s="4"/>
      <c r="BR749" s="8"/>
      <c r="BS749" s="7"/>
      <c r="BT749" s="7"/>
      <c r="BU749" s="2" t="s">
        <v>241</v>
      </c>
      <c r="BV749" s="2" t="s">
        <v>231</v>
      </c>
      <c r="BW749" s="2" t="s">
        <v>231</v>
      </c>
      <c r="BX749" s="2" t="s">
        <v>241</v>
      </c>
      <c r="BY749" s="2" t="s">
        <v>242</v>
      </c>
      <c r="BZ749" s="2" t="s">
        <v>243</v>
      </c>
      <c r="CA749" s="2" t="s">
        <v>231</v>
      </c>
      <c r="CB749" s="2" t="s">
        <v>231</v>
      </c>
      <c r="CC749" s="2" t="s">
        <v>244</v>
      </c>
      <c r="CD749" s="2" t="s">
        <v>231</v>
      </c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</row>
    <row r="750">
      <c r="A750" s="2" t="s">
        <v>4097</v>
      </c>
      <c r="B750" s="2" t="s">
        <v>287</v>
      </c>
      <c r="C750" s="2" t="s">
        <v>825</v>
      </c>
      <c r="D750" s="2" t="s">
        <v>289</v>
      </c>
      <c r="E750" s="2" t="s">
        <v>290</v>
      </c>
      <c r="F750" s="2" t="s">
        <v>4062</v>
      </c>
      <c r="G750" s="2" t="s">
        <v>4062</v>
      </c>
      <c r="H750" s="2" t="s">
        <v>4062</v>
      </c>
      <c r="I750" s="2" t="s">
        <v>4063</v>
      </c>
      <c r="J750" s="2" t="s">
        <v>281</v>
      </c>
      <c r="K750" s="2" t="s">
        <v>4094</v>
      </c>
      <c r="L750" s="3">
        <v>21.6</v>
      </c>
      <c r="M750" s="3">
        <v>22.68</v>
      </c>
      <c r="N750" s="3">
        <v>44.99</v>
      </c>
      <c r="O750" s="2" t="s">
        <v>243</v>
      </c>
      <c r="P750" s="2" t="s">
        <v>295</v>
      </c>
      <c r="Q750" s="2" t="s">
        <v>237</v>
      </c>
      <c r="R750" s="2" t="s">
        <v>231</v>
      </c>
      <c r="S750" s="2" t="s">
        <v>4095</v>
      </c>
      <c r="T750" s="2" t="s">
        <v>3741</v>
      </c>
      <c r="U750" s="2" t="s">
        <v>298</v>
      </c>
      <c r="V750" s="2" t="s">
        <v>239</v>
      </c>
      <c r="W750" s="2" t="s">
        <v>273</v>
      </c>
      <c r="X750" s="2" t="s">
        <v>231</v>
      </c>
      <c r="Y750" s="2" t="s">
        <v>231</v>
      </c>
      <c r="Z750" s="4"/>
      <c r="AA750" s="4">
        <f>=ROUNDDOWN({0},0)</f>
      </c>
      <c r="AB750" s="5"/>
      <c r="AC750" s="2" t="s">
        <v>231</v>
      </c>
      <c r="AD750" s="4"/>
      <c r="AE750" s="4"/>
      <c r="AF750" s="6">
        <v>67</v>
      </c>
      <c r="AG750" s="6"/>
      <c r="AH750" s="7">
        <v>0</v>
      </c>
      <c r="AI750" s="4"/>
      <c r="AJ750" s="4">
        <f>=ROUNDDOWN({0},0)</f>
      </c>
      <c r="AK750" s="5"/>
      <c r="AL750" s="2" t="s">
        <v>231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231</v>
      </c>
      <c r="AW750" s="8" t="s">
        <v>231</v>
      </c>
      <c r="AX750" s="4" t="s">
        <v>231</v>
      </c>
      <c r="AY750" s="8" t="s">
        <v>231</v>
      </c>
      <c r="AZ750" s="7" t="s">
        <v>231</v>
      </c>
      <c r="BA750" s="7" t="s">
        <v>231</v>
      </c>
      <c r="BB750" s="7"/>
      <c r="BC750" s="4" t="s">
        <v>231</v>
      </c>
      <c r="BD750" s="8" t="s">
        <v>231</v>
      </c>
      <c r="BE750" s="4" t="s">
        <v>231</v>
      </c>
      <c r="BF750" s="8" t="s">
        <v>231</v>
      </c>
      <c r="BG750" s="7" t="s">
        <v>231</v>
      </c>
      <c r="BH750" s="7" t="s">
        <v>231</v>
      </c>
      <c r="BI750" s="7"/>
      <c r="BJ750" s="4"/>
      <c r="BK750" s="8"/>
      <c r="BL750" s="2" t="s">
        <v>231</v>
      </c>
      <c r="BM750" s="7"/>
      <c r="BN750" s="7"/>
      <c r="BO750" s="4"/>
      <c r="BP750" s="8"/>
      <c r="BQ750" s="4"/>
      <c r="BR750" s="8"/>
      <c r="BS750" s="7"/>
      <c r="BT750" s="7"/>
      <c r="BU750" s="2" t="s">
        <v>241</v>
      </c>
      <c r="BV750" s="2" t="s">
        <v>231</v>
      </c>
      <c r="BW750" s="2" t="s">
        <v>231</v>
      </c>
      <c r="BX750" s="2" t="s">
        <v>241</v>
      </c>
      <c r="BY750" s="2" t="s">
        <v>242</v>
      </c>
      <c r="BZ750" s="2" t="s">
        <v>243</v>
      </c>
      <c r="CA750" s="2" t="s">
        <v>231</v>
      </c>
      <c r="CB750" s="2" t="s">
        <v>231</v>
      </c>
      <c r="CC750" s="2" t="s">
        <v>244</v>
      </c>
      <c r="CD750" s="2" t="s">
        <v>231</v>
      </c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</row>
    <row r="751">
      <c r="A751" s="2" t="s">
        <v>4098</v>
      </c>
      <c r="B751" s="2" t="s">
        <v>287</v>
      </c>
      <c r="C751" s="2" t="s">
        <v>825</v>
      </c>
      <c r="D751" s="2" t="s">
        <v>289</v>
      </c>
      <c r="E751" s="2" t="s">
        <v>290</v>
      </c>
      <c r="F751" s="2" t="s">
        <v>4062</v>
      </c>
      <c r="G751" s="2" t="s">
        <v>4062</v>
      </c>
      <c r="H751" s="2" t="s">
        <v>4062</v>
      </c>
      <c r="I751" s="2" t="s">
        <v>4063</v>
      </c>
      <c r="J751" s="2" t="s">
        <v>293</v>
      </c>
      <c r="K751" s="2" t="s">
        <v>4094</v>
      </c>
      <c r="L751" s="3">
        <v>24.5</v>
      </c>
      <c r="M751" s="3">
        <v>25.73</v>
      </c>
      <c r="N751" s="3">
        <v>49.99</v>
      </c>
      <c r="O751" s="2" t="s">
        <v>243</v>
      </c>
      <c r="P751" s="2" t="s">
        <v>295</v>
      </c>
      <c r="Q751" s="2" t="s">
        <v>237</v>
      </c>
      <c r="R751" s="2" t="s">
        <v>231</v>
      </c>
      <c r="S751" s="2" t="s">
        <v>4095</v>
      </c>
      <c r="T751" s="2" t="s">
        <v>3741</v>
      </c>
      <c r="U751" s="2" t="s">
        <v>298</v>
      </c>
      <c r="V751" s="2" t="s">
        <v>239</v>
      </c>
      <c r="W751" s="2" t="s">
        <v>273</v>
      </c>
      <c r="X751" s="2" t="s">
        <v>231</v>
      </c>
      <c r="Y751" s="2" t="s">
        <v>231</v>
      </c>
      <c r="Z751" s="4"/>
      <c r="AA751" s="4">
        <f>=ROUNDDOWN({0},0)</f>
      </c>
      <c r="AB751" s="5"/>
      <c r="AC751" s="2" t="s">
        <v>231</v>
      </c>
      <c r="AD751" s="4"/>
      <c r="AE751" s="4"/>
      <c r="AF751" s="6">
        <v>67</v>
      </c>
      <c r="AG751" s="6"/>
      <c r="AH751" s="7">
        <v>0</v>
      </c>
      <c r="AI751" s="4"/>
      <c r="AJ751" s="4">
        <f>=ROUNDDOWN({0},0)</f>
      </c>
      <c r="AK751" s="5"/>
      <c r="AL751" s="2" t="s">
        <v>231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231</v>
      </c>
      <c r="AW751" s="8" t="s">
        <v>231</v>
      </c>
      <c r="AX751" s="4" t="s">
        <v>231</v>
      </c>
      <c r="AY751" s="8" t="s">
        <v>231</v>
      </c>
      <c r="AZ751" s="7" t="s">
        <v>231</v>
      </c>
      <c r="BA751" s="7" t="s">
        <v>231</v>
      </c>
      <c r="BB751" s="7"/>
      <c r="BC751" s="4" t="s">
        <v>231</v>
      </c>
      <c r="BD751" s="8" t="s">
        <v>231</v>
      </c>
      <c r="BE751" s="4" t="s">
        <v>231</v>
      </c>
      <c r="BF751" s="8" t="s">
        <v>231</v>
      </c>
      <c r="BG751" s="7" t="s">
        <v>231</v>
      </c>
      <c r="BH751" s="7" t="s">
        <v>231</v>
      </c>
      <c r="BI751" s="7"/>
      <c r="BJ751" s="4"/>
      <c r="BK751" s="8"/>
      <c r="BL751" s="2" t="s">
        <v>231</v>
      </c>
      <c r="BM751" s="7"/>
      <c r="BN751" s="7"/>
      <c r="BO751" s="4"/>
      <c r="BP751" s="8"/>
      <c r="BQ751" s="4"/>
      <c r="BR751" s="8"/>
      <c r="BS751" s="7"/>
      <c r="BT751" s="7"/>
      <c r="BU751" s="2" t="s">
        <v>241</v>
      </c>
      <c r="BV751" s="2" t="s">
        <v>231</v>
      </c>
      <c r="BW751" s="2" t="s">
        <v>231</v>
      </c>
      <c r="BX751" s="2" t="s">
        <v>241</v>
      </c>
      <c r="BY751" s="2" t="s">
        <v>242</v>
      </c>
      <c r="BZ751" s="2" t="s">
        <v>243</v>
      </c>
      <c r="CA751" s="2" t="s">
        <v>231</v>
      </c>
      <c r="CB751" s="2" t="s">
        <v>231</v>
      </c>
      <c r="CC751" s="2" t="s">
        <v>244</v>
      </c>
      <c r="CD751" s="2" t="s">
        <v>231</v>
      </c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</row>
    <row r="752">
      <c r="A752" s="2" t="s">
        <v>4099</v>
      </c>
      <c r="B752" s="2" t="s">
        <v>287</v>
      </c>
      <c r="C752" s="2" t="s">
        <v>825</v>
      </c>
      <c r="D752" s="2" t="s">
        <v>289</v>
      </c>
      <c r="E752" s="2" t="s">
        <v>290</v>
      </c>
      <c r="F752" s="2" t="s">
        <v>4062</v>
      </c>
      <c r="G752" s="2" t="s">
        <v>4062</v>
      </c>
      <c r="H752" s="2" t="s">
        <v>4062</v>
      </c>
      <c r="I752" s="2" t="s">
        <v>4063</v>
      </c>
      <c r="J752" s="2" t="s">
        <v>302</v>
      </c>
      <c r="K752" s="2" t="s">
        <v>4094</v>
      </c>
      <c r="L752" s="3">
        <v>26.95</v>
      </c>
      <c r="M752" s="3">
        <v>28.3</v>
      </c>
      <c r="N752" s="3">
        <v>54.99</v>
      </c>
      <c r="O752" s="2" t="s">
        <v>243</v>
      </c>
      <c r="P752" s="2" t="s">
        <v>295</v>
      </c>
      <c r="Q752" s="2" t="s">
        <v>237</v>
      </c>
      <c r="R752" s="2" t="s">
        <v>231</v>
      </c>
      <c r="S752" s="2" t="s">
        <v>4095</v>
      </c>
      <c r="T752" s="2" t="s">
        <v>3741</v>
      </c>
      <c r="U752" s="2" t="s">
        <v>298</v>
      </c>
      <c r="V752" s="2" t="s">
        <v>239</v>
      </c>
      <c r="W752" s="2" t="s">
        <v>273</v>
      </c>
      <c r="X752" s="2" t="s">
        <v>231</v>
      </c>
      <c r="Y752" s="2" t="s">
        <v>231</v>
      </c>
      <c r="Z752" s="4"/>
      <c r="AA752" s="4">
        <f>=ROUNDDOWN({0},0)</f>
      </c>
      <c r="AB752" s="5"/>
      <c r="AC752" s="2" t="s">
        <v>231</v>
      </c>
      <c r="AD752" s="4"/>
      <c r="AE752" s="4"/>
      <c r="AF752" s="6">
        <v>67</v>
      </c>
      <c r="AG752" s="6"/>
      <c r="AH752" s="7">
        <v>0</v>
      </c>
      <c r="AI752" s="4"/>
      <c r="AJ752" s="4">
        <f>=ROUNDDOWN({0},0)</f>
      </c>
      <c r="AK752" s="5"/>
      <c r="AL752" s="2" t="s">
        <v>231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231</v>
      </c>
      <c r="AW752" s="8" t="s">
        <v>231</v>
      </c>
      <c r="AX752" s="4" t="s">
        <v>231</v>
      </c>
      <c r="AY752" s="8" t="s">
        <v>231</v>
      </c>
      <c r="AZ752" s="7" t="s">
        <v>231</v>
      </c>
      <c r="BA752" s="7" t="s">
        <v>231</v>
      </c>
      <c r="BB752" s="7"/>
      <c r="BC752" s="4" t="s">
        <v>231</v>
      </c>
      <c r="BD752" s="8" t="s">
        <v>231</v>
      </c>
      <c r="BE752" s="4" t="s">
        <v>231</v>
      </c>
      <c r="BF752" s="8" t="s">
        <v>231</v>
      </c>
      <c r="BG752" s="7" t="s">
        <v>231</v>
      </c>
      <c r="BH752" s="7" t="s">
        <v>231</v>
      </c>
      <c r="BI752" s="7"/>
      <c r="BJ752" s="4"/>
      <c r="BK752" s="8"/>
      <c r="BL752" s="2" t="s">
        <v>231</v>
      </c>
      <c r="BM752" s="7"/>
      <c r="BN752" s="7"/>
      <c r="BO752" s="4"/>
      <c r="BP752" s="8"/>
      <c r="BQ752" s="4"/>
      <c r="BR752" s="8"/>
      <c r="BS752" s="7"/>
      <c r="BT752" s="7"/>
      <c r="BU752" s="2" t="s">
        <v>241</v>
      </c>
      <c r="BV752" s="2" t="s">
        <v>231</v>
      </c>
      <c r="BW752" s="2" t="s">
        <v>231</v>
      </c>
      <c r="BX752" s="2" t="s">
        <v>241</v>
      </c>
      <c r="BY752" s="2" t="s">
        <v>242</v>
      </c>
      <c r="BZ752" s="2" t="s">
        <v>243</v>
      </c>
      <c r="CA752" s="2" t="s">
        <v>231</v>
      </c>
      <c r="CB752" s="2" t="s">
        <v>231</v>
      </c>
      <c r="CC752" s="2" t="s">
        <v>244</v>
      </c>
      <c r="CD752" s="2" t="s">
        <v>231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</row>
    <row r="753">
      <c r="A753" s="2" t="s">
        <v>4100</v>
      </c>
      <c r="B753" s="2" t="s">
        <v>287</v>
      </c>
      <c r="C753" s="2" t="s">
        <v>825</v>
      </c>
      <c r="D753" s="2" t="s">
        <v>289</v>
      </c>
      <c r="E753" s="2" t="s">
        <v>290</v>
      </c>
      <c r="F753" s="2" t="s">
        <v>4062</v>
      </c>
      <c r="G753" s="2" t="s">
        <v>4062</v>
      </c>
      <c r="H753" s="2" t="s">
        <v>4062</v>
      </c>
      <c r="I753" s="2" t="s">
        <v>4063</v>
      </c>
      <c r="J753" s="2" t="s">
        <v>318</v>
      </c>
      <c r="K753" s="2" t="s">
        <v>778</v>
      </c>
      <c r="L753" s="3">
        <v>18.8</v>
      </c>
      <c r="M753" s="3">
        <v>19.74</v>
      </c>
      <c r="N753" s="3">
        <v>39.99</v>
      </c>
      <c r="O753" s="2" t="s">
        <v>243</v>
      </c>
      <c r="P753" s="2" t="s">
        <v>270</v>
      </c>
      <c r="Q753" s="2" t="s">
        <v>237</v>
      </c>
      <c r="R753" s="2" t="s">
        <v>231</v>
      </c>
      <c r="S753" s="2" t="s">
        <v>4101</v>
      </c>
      <c r="T753" s="2" t="s">
        <v>3741</v>
      </c>
      <c r="U753" s="2" t="s">
        <v>835</v>
      </c>
      <c r="V753" s="2" t="s">
        <v>239</v>
      </c>
      <c r="W753" s="2" t="s">
        <v>273</v>
      </c>
      <c r="X753" s="2" t="s">
        <v>231</v>
      </c>
      <c r="Y753" s="2" t="s">
        <v>614</v>
      </c>
      <c r="Z753" s="4">
        <v>329</v>
      </c>
      <c r="AA753" s="4">
        <f>=ROUNDDOWN(13.16,0)</f>
      </c>
      <c r="AB753" s="5">
        <v>25</v>
      </c>
      <c r="AC753" s="2" t="s">
        <v>4102</v>
      </c>
      <c r="AD753" s="4">
        <v>130</v>
      </c>
      <c r="AE753" s="4">
        <v>490</v>
      </c>
      <c r="AF753" s="6">
        <v>67</v>
      </c>
      <c r="AG753" s="6"/>
      <c r="AH753" s="7">
        <v>1</v>
      </c>
      <c r="AI753" s="4"/>
      <c r="AJ753" s="4">
        <f>=ROUNDDOWN({0},0)</f>
      </c>
      <c r="AK753" s="5"/>
      <c r="AL753" s="2" t="s">
        <v>231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231</v>
      </c>
      <c r="AW753" s="8" t="s">
        <v>231</v>
      </c>
      <c r="AX753" s="4" t="s">
        <v>231</v>
      </c>
      <c r="AY753" s="8" t="s">
        <v>231</v>
      </c>
      <c r="AZ753" s="7" t="s">
        <v>231</v>
      </c>
      <c r="BA753" s="7" t="s">
        <v>231</v>
      </c>
      <c r="BB753" s="7"/>
      <c r="BC753" s="4" t="s">
        <v>231</v>
      </c>
      <c r="BD753" s="8" t="s">
        <v>231</v>
      </c>
      <c r="BE753" s="4" t="s">
        <v>231</v>
      </c>
      <c r="BF753" s="8" t="s">
        <v>231</v>
      </c>
      <c r="BG753" s="7" t="s">
        <v>231</v>
      </c>
      <c r="BH753" s="7" t="s">
        <v>231</v>
      </c>
      <c r="BI753" s="7"/>
      <c r="BJ753" s="4">
        <v>95</v>
      </c>
      <c r="BK753" s="8">
        <v>1906.03</v>
      </c>
      <c r="BL753" s="2" t="s">
        <v>4103</v>
      </c>
      <c r="BM753" s="7"/>
      <c r="BN753" s="7"/>
      <c r="BO753" s="4"/>
      <c r="BP753" s="8"/>
      <c r="BQ753" s="4"/>
      <c r="BR753" s="8"/>
      <c r="BS753" s="7"/>
      <c r="BT753" s="7"/>
      <c r="BU753" s="2" t="s">
        <v>4104</v>
      </c>
      <c r="BV753" s="2" t="s">
        <v>231</v>
      </c>
      <c r="BW753" s="2" t="s">
        <v>231</v>
      </c>
      <c r="BX753" s="2" t="s">
        <v>241</v>
      </c>
      <c r="BY753" s="2" t="s">
        <v>277</v>
      </c>
      <c r="BZ753" s="2" t="s">
        <v>243</v>
      </c>
      <c r="CA753" s="2" t="s">
        <v>284</v>
      </c>
      <c r="CB753" s="2" t="s">
        <v>4105</v>
      </c>
      <c r="CC753" s="2" t="s">
        <v>244</v>
      </c>
      <c r="CD753" s="2" t="s">
        <v>231</v>
      </c>
      <c r="CE753" s="4">
        <v>329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>
        <v>130</v>
      </c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>
        <v>100</v>
      </c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>
        <v>260</v>
      </c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</row>
    <row r="754">
      <c r="A754" s="2" t="s">
        <v>4106</v>
      </c>
      <c r="B754" s="2" t="s">
        <v>287</v>
      </c>
      <c r="C754" s="2" t="s">
        <v>825</v>
      </c>
      <c r="D754" s="2" t="s">
        <v>289</v>
      </c>
      <c r="E754" s="2" t="s">
        <v>290</v>
      </c>
      <c r="F754" s="2" t="s">
        <v>4062</v>
      </c>
      <c r="G754" s="2" t="s">
        <v>4062</v>
      </c>
      <c r="H754" s="2" t="s">
        <v>4062</v>
      </c>
      <c r="I754" s="2" t="s">
        <v>4063</v>
      </c>
      <c r="J754" s="2" t="s">
        <v>268</v>
      </c>
      <c r="K754" s="2" t="s">
        <v>778</v>
      </c>
      <c r="L754" s="3">
        <v>20.16</v>
      </c>
      <c r="M754" s="3">
        <v>21.17</v>
      </c>
      <c r="N754" s="3">
        <v>41.99</v>
      </c>
      <c r="O754" s="2" t="s">
        <v>243</v>
      </c>
      <c r="P754" s="2" t="s">
        <v>270</v>
      </c>
      <c r="Q754" s="2" t="s">
        <v>237</v>
      </c>
      <c r="R754" s="2" t="s">
        <v>231</v>
      </c>
      <c r="S754" s="2" t="s">
        <v>4101</v>
      </c>
      <c r="T754" s="2" t="s">
        <v>3741</v>
      </c>
      <c r="U754" s="2" t="s">
        <v>835</v>
      </c>
      <c r="V754" s="2" t="s">
        <v>239</v>
      </c>
      <c r="W754" s="2" t="s">
        <v>273</v>
      </c>
      <c r="X754" s="2" t="s">
        <v>231</v>
      </c>
      <c r="Y754" s="2" t="s">
        <v>274</v>
      </c>
      <c r="Z754" s="4">
        <v>103</v>
      </c>
      <c r="AA754" s="4">
        <f>=ROUNDDOWN(6.86666666666667,0)</f>
      </c>
      <c r="AB754" s="5">
        <v>15</v>
      </c>
      <c r="AC754" s="2" t="s">
        <v>4065</v>
      </c>
      <c r="AD754" s="4">
        <v>250</v>
      </c>
      <c r="AE754" s="4">
        <v>720</v>
      </c>
      <c r="AF754" s="6">
        <v>67</v>
      </c>
      <c r="AG754" s="6"/>
      <c r="AH754" s="7">
        <v>1</v>
      </c>
      <c r="AI754" s="4"/>
      <c r="AJ754" s="4">
        <f>=ROUNDDOWN({0},0)</f>
      </c>
      <c r="AK754" s="5"/>
      <c r="AL754" s="2" t="s">
        <v>231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231</v>
      </c>
      <c r="AW754" s="8" t="s">
        <v>231</v>
      </c>
      <c r="AX754" s="4" t="s">
        <v>231</v>
      </c>
      <c r="AY754" s="8" t="s">
        <v>231</v>
      </c>
      <c r="AZ754" s="7" t="s">
        <v>231</v>
      </c>
      <c r="BA754" s="7" t="s">
        <v>231</v>
      </c>
      <c r="BB754" s="7"/>
      <c r="BC754" s="4" t="s">
        <v>231</v>
      </c>
      <c r="BD754" s="8" t="s">
        <v>231</v>
      </c>
      <c r="BE754" s="4" t="s">
        <v>231</v>
      </c>
      <c r="BF754" s="8" t="s">
        <v>231</v>
      </c>
      <c r="BG754" s="7" t="s">
        <v>231</v>
      </c>
      <c r="BH754" s="7" t="s">
        <v>231</v>
      </c>
      <c r="BI754" s="7"/>
      <c r="BJ754" s="4">
        <v>58</v>
      </c>
      <c r="BK754" s="8">
        <v>1232.16</v>
      </c>
      <c r="BL754" s="2" t="s">
        <v>4084</v>
      </c>
      <c r="BM754" s="7"/>
      <c r="BN754" s="7"/>
      <c r="BO754" s="4"/>
      <c r="BP754" s="8"/>
      <c r="BQ754" s="4"/>
      <c r="BR754" s="8"/>
      <c r="BS754" s="7"/>
      <c r="BT754" s="7"/>
      <c r="BU754" s="2" t="s">
        <v>4107</v>
      </c>
      <c r="BV754" s="2" t="s">
        <v>231</v>
      </c>
      <c r="BW754" s="2" t="s">
        <v>231</v>
      </c>
      <c r="BX754" s="2" t="s">
        <v>241</v>
      </c>
      <c r="BY754" s="2" t="s">
        <v>277</v>
      </c>
      <c r="BZ754" s="2" t="s">
        <v>243</v>
      </c>
      <c r="CA754" s="2" t="s">
        <v>284</v>
      </c>
      <c r="CB754" s="2" t="s">
        <v>1177</v>
      </c>
      <c r="CC754" s="2" t="s">
        <v>244</v>
      </c>
      <c r="CD754" s="2" t="s">
        <v>231</v>
      </c>
      <c r="CE754" s="4">
        <v>103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>
        <v>250</v>
      </c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>
        <v>150</v>
      </c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>
        <v>120</v>
      </c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>
        <v>50</v>
      </c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>
        <v>150</v>
      </c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</row>
    <row r="755">
      <c r="A755" s="2" t="s">
        <v>4108</v>
      </c>
      <c r="B755" s="2" t="s">
        <v>287</v>
      </c>
      <c r="C755" s="2" t="s">
        <v>825</v>
      </c>
      <c r="D755" s="2" t="s">
        <v>289</v>
      </c>
      <c r="E755" s="2" t="s">
        <v>290</v>
      </c>
      <c r="F755" s="2" t="s">
        <v>4062</v>
      </c>
      <c r="G755" s="2" t="s">
        <v>4062</v>
      </c>
      <c r="H755" s="2" t="s">
        <v>4062</v>
      </c>
      <c r="I755" s="2" t="s">
        <v>4063</v>
      </c>
      <c r="J755" s="2" t="s">
        <v>293</v>
      </c>
      <c r="K755" s="2" t="s">
        <v>778</v>
      </c>
      <c r="L755" s="3">
        <v>24.5</v>
      </c>
      <c r="M755" s="3">
        <v>25.72</v>
      </c>
      <c r="N755" s="3">
        <v>49.99</v>
      </c>
      <c r="O755" s="2" t="s">
        <v>243</v>
      </c>
      <c r="P755" s="2" t="s">
        <v>871</v>
      </c>
      <c r="Q755" s="2" t="s">
        <v>237</v>
      </c>
      <c r="R755" s="2" t="s">
        <v>231</v>
      </c>
      <c r="S755" s="2" t="s">
        <v>4101</v>
      </c>
      <c r="T755" s="2" t="s">
        <v>3741</v>
      </c>
      <c r="U755" s="2" t="s">
        <v>298</v>
      </c>
      <c r="V755" s="2" t="s">
        <v>239</v>
      </c>
      <c r="W755" s="2" t="s">
        <v>273</v>
      </c>
      <c r="X755" s="2" t="s">
        <v>231</v>
      </c>
      <c r="Y755" s="2" t="s">
        <v>274</v>
      </c>
      <c r="Z755" s="4">
        <v>309</v>
      </c>
      <c r="AA755" s="4">
        <f>=ROUNDDOWN(9.62616822429907,0)</f>
      </c>
      <c r="AB755" s="5">
        <v>32.1</v>
      </c>
      <c r="AC755" s="2" t="s">
        <v>4065</v>
      </c>
      <c r="AD755" s="4">
        <v>270</v>
      </c>
      <c r="AE755" s="4">
        <v>1200</v>
      </c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231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231</v>
      </c>
      <c r="AW755" s="8" t="s">
        <v>231</v>
      </c>
      <c r="AX755" s="4" t="s">
        <v>231</v>
      </c>
      <c r="AY755" s="8" t="s">
        <v>231</v>
      </c>
      <c r="AZ755" s="7" t="s">
        <v>231</v>
      </c>
      <c r="BA755" s="7" t="s">
        <v>231</v>
      </c>
      <c r="BB755" s="7"/>
      <c r="BC755" s="4" t="s">
        <v>231</v>
      </c>
      <c r="BD755" s="8" t="s">
        <v>231</v>
      </c>
      <c r="BE755" s="4" t="s">
        <v>231</v>
      </c>
      <c r="BF755" s="8" t="s">
        <v>231</v>
      </c>
      <c r="BG755" s="7" t="s">
        <v>231</v>
      </c>
      <c r="BH755" s="7" t="s">
        <v>231</v>
      </c>
      <c r="BI755" s="7"/>
      <c r="BJ755" s="4">
        <v>122</v>
      </c>
      <c r="BK755" s="8">
        <v>3065.99</v>
      </c>
      <c r="BL755" s="2" t="s">
        <v>4109</v>
      </c>
      <c r="BM755" s="7"/>
      <c r="BN755" s="7"/>
      <c r="BO755" s="4"/>
      <c r="BP755" s="8"/>
      <c r="BQ755" s="4"/>
      <c r="BR755" s="8"/>
      <c r="BS755" s="7"/>
      <c r="BT755" s="7"/>
      <c r="BU755" s="2" t="s">
        <v>4110</v>
      </c>
      <c r="BV755" s="2" t="s">
        <v>231</v>
      </c>
      <c r="BW755" s="2" t="s">
        <v>231</v>
      </c>
      <c r="BX755" s="2" t="s">
        <v>241</v>
      </c>
      <c r="BY755" s="2" t="s">
        <v>277</v>
      </c>
      <c r="BZ755" s="2" t="s">
        <v>243</v>
      </c>
      <c r="CA755" s="2" t="s">
        <v>284</v>
      </c>
      <c r="CB755" s="2" t="s">
        <v>990</v>
      </c>
      <c r="CC755" s="2" t="s">
        <v>244</v>
      </c>
      <c r="CD755" s="2" t="s">
        <v>231</v>
      </c>
      <c r="CE755" s="4">
        <v>309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>
        <v>270</v>
      </c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>
        <v>110</v>
      </c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>
        <v>350</v>
      </c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>
        <v>220</v>
      </c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>
        <v>250</v>
      </c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</row>
    <row r="756">
      <c r="A756" s="2" t="s">
        <v>4111</v>
      </c>
      <c r="B756" s="2" t="s">
        <v>287</v>
      </c>
      <c r="C756" s="2" t="s">
        <v>825</v>
      </c>
      <c r="D756" s="2" t="s">
        <v>289</v>
      </c>
      <c r="E756" s="2" t="s">
        <v>290</v>
      </c>
      <c r="F756" s="2" t="s">
        <v>4062</v>
      </c>
      <c r="G756" s="2" t="s">
        <v>4062</v>
      </c>
      <c r="H756" s="2" t="s">
        <v>4062</v>
      </c>
      <c r="I756" s="2" t="s">
        <v>4063</v>
      </c>
      <c r="J756" s="2" t="s">
        <v>318</v>
      </c>
      <c r="K756" s="2" t="s">
        <v>723</v>
      </c>
      <c r="L756" s="3">
        <v>18.8</v>
      </c>
      <c r="M756" s="3">
        <v>19.74</v>
      </c>
      <c r="N756" s="3">
        <v>39.99</v>
      </c>
      <c r="O756" s="2" t="s">
        <v>243</v>
      </c>
      <c r="P756" s="2" t="s">
        <v>270</v>
      </c>
      <c r="Q756" s="2" t="s">
        <v>237</v>
      </c>
      <c r="R756" s="2" t="s">
        <v>231</v>
      </c>
      <c r="S756" s="2" t="s">
        <v>4112</v>
      </c>
      <c r="T756" s="2" t="s">
        <v>3741</v>
      </c>
      <c r="U756" s="2" t="s">
        <v>835</v>
      </c>
      <c r="V756" s="2" t="s">
        <v>239</v>
      </c>
      <c r="W756" s="2" t="s">
        <v>273</v>
      </c>
      <c r="X756" s="2" t="s">
        <v>231</v>
      </c>
      <c r="Y756" s="2" t="s">
        <v>4113</v>
      </c>
      <c r="Z756" s="4">
        <v>150</v>
      </c>
      <c r="AA756" s="4">
        <f>=ROUNDDOWN(10,0)</f>
      </c>
      <c r="AB756" s="5">
        <v>15</v>
      </c>
      <c r="AC756" s="2" t="s">
        <v>1754</v>
      </c>
      <c r="AD756" s="4">
        <v>80</v>
      </c>
      <c r="AE756" s="4">
        <v>410</v>
      </c>
      <c r="AF756" s="6">
        <v>67</v>
      </c>
      <c r="AG756" s="6"/>
      <c r="AH756" s="7">
        <v>1</v>
      </c>
      <c r="AI756" s="4"/>
      <c r="AJ756" s="4">
        <f>=ROUNDDOWN({0},0)</f>
      </c>
      <c r="AK756" s="5"/>
      <c r="AL756" s="2" t="s">
        <v>231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231</v>
      </c>
      <c r="AW756" s="8" t="s">
        <v>231</v>
      </c>
      <c r="AX756" s="4" t="s">
        <v>231</v>
      </c>
      <c r="AY756" s="8" t="s">
        <v>231</v>
      </c>
      <c r="AZ756" s="7" t="s">
        <v>231</v>
      </c>
      <c r="BA756" s="7" t="s">
        <v>231</v>
      </c>
      <c r="BB756" s="7"/>
      <c r="BC756" s="4" t="s">
        <v>231</v>
      </c>
      <c r="BD756" s="8" t="s">
        <v>231</v>
      </c>
      <c r="BE756" s="4" t="s">
        <v>231</v>
      </c>
      <c r="BF756" s="8" t="s">
        <v>231</v>
      </c>
      <c r="BG756" s="7" t="s">
        <v>231</v>
      </c>
      <c r="BH756" s="7" t="s">
        <v>231</v>
      </c>
      <c r="BI756" s="7"/>
      <c r="BJ756" s="4">
        <v>63</v>
      </c>
      <c r="BK756" s="8">
        <v>1247.93</v>
      </c>
      <c r="BL756" s="2" t="s">
        <v>1657</v>
      </c>
      <c r="BM756" s="7"/>
      <c r="BN756" s="7"/>
      <c r="BO756" s="4"/>
      <c r="BP756" s="8"/>
      <c r="BQ756" s="4"/>
      <c r="BR756" s="8"/>
      <c r="BS756" s="7"/>
      <c r="BT756" s="7"/>
      <c r="BU756" s="2" t="s">
        <v>4114</v>
      </c>
      <c r="BV756" s="2" t="s">
        <v>231</v>
      </c>
      <c r="BW756" s="2" t="s">
        <v>231</v>
      </c>
      <c r="BX756" s="2" t="s">
        <v>241</v>
      </c>
      <c r="BY756" s="2" t="s">
        <v>277</v>
      </c>
      <c r="BZ756" s="2" t="s">
        <v>243</v>
      </c>
      <c r="CA756" s="2" t="s">
        <v>1950</v>
      </c>
      <c r="CB756" s="2" t="s">
        <v>4115</v>
      </c>
      <c r="CC756" s="2" t="s">
        <v>244</v>
      </c>
      <c r="CD756" s="2" t="s">
        <v>231</v>
      </c>
      <c r="CE756" s="4">
        <v>150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>
        <v>80</v>
      </c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>
        <v>120</v>
      </c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>
        <v>70</v>
      </c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>
        <v>80</v>
      </c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>
        <v>60</v>
      </c>
      <c r="HF756" s="4"/>
      <c r="HG756" s="4"/>
      <c r="HH756" s="4"/>
      <c r="HI756" s="4"/>
      <c r="HJ756" s="4"/>
      <c r="HK756" s="4"/>
      <c r="HL756" s="4"/>
    </row>
    <row r="757">
      <c r="A757" s="2" t="s">
        <v>4116</v>
      </c>
      <c r="B757" s="2" t="s">
        <v>287</v>
      </c>
      <c r="C757" s="2" t="s">
        <v>825</v>
      </c>
      <c r="D757" s="2" t="s">
        <v>289</v>
      </c>
      <c r="E757" s="2" t="s">
        <v>290</v>
      </c>
      <c r="F757" s="2" t="s">
        <v>4062</v>
      </c>
      <c r="G757" s="2" t="s">
        <v>4062</v>
      </c>
      <c r="H757" s="2" t="s">
        <v>4062</v>
      </c>
      <c r="I757" s="2" t="s">
        <v>4063</v>
      </c>
      <c r="J757" s="2" t="s">
        <v>268</v>
      </c>
      <c r="K757" s="2" t="s">
        <v>723</v>
      </c>
      <c r="L757" s="3">
        <v>20.16</v>
      </c>
      <c r="M757" s="3">
        <v>21.17</v>
      </c>
      <c r="N757" s="3">
        <v>41.99</v>
      </c>
      <c r="O757" s="2" t="s">
        <v>243</v>
      </c>
      <c r="P757" s="2" t="s">
        <v>270</v>
      </c>
      <c r="Q757" s="2" t="s">
        <v>237</v>
      </c>
      <c r="R757" s="2" t="s">
        <v>231</v>
      </c>
      <c r="S757" s="2" t="s">
        <v>4112</v>
      </c>
      <c r="T757" s="2" t="s">
        <v>3741</v>
      </c>
      <c r="U757" s="2" t="s">
        <v>835</v>
      </c>
      <c r="V757" s="2" t="s">
        <v>239</v>
      </c>
      <c r="W757" s="2" t="s">
        <v>273</v>
      </c>
      <c r="X757" s="2" t="s">
        <v>231</v>
      </c>
      <c r="Y757" s="2" t="s">
        <v>4113</v>
      </c>
      <c r="Z757" s="4">
        <v>233</v>
      </c>
      <c r="AA757" s="4">
        <f>=ROUNDDOWN(25.8888888888889,0)</f>
      </c>
      <c r="AB757" s="5">
        <v>9</v>
      </c>
      <c r="AC757" s="2" t="s">
        <v>1754</v>
      </c>
      <c r="AD757" s="4">
        <v>110</v>
      </c>
      <c r="AE757" s="4">
        <v>300</v>
      </c>
      <c r="AF757" s="6">
        <v>67</v>
      </c>
      <c r="AG757" s="6"/>
      <c r="AH757" s="7">
        <v>1</v>
      </c>
      <c r="AI757" s="4"/>
      <c r="AJ757" s="4">
        <f>=ROUNDDOWN({0},0)</f>
      </c>
      <c r="AK757" s="5"/>
      <c r="AL757" s="2" t="s">
        <v>231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231</v>
      </c>
      <c r="AW757" s="8" t="s">
        <v>231</v>
      </c>
      <c r="AX757" s="4" t="s">
        <v>231</v>
      </c>
      <c r="AY757" s="8" t="s">
        <v>231</v>
      </c>
      <c r="AZ757" s="7" t="s">
        <v>231</v>
      </c>
      <c r="BA757" s="7" t="s">
        <v>231</v>
      </c>
      <c r="BB757" s="7"/>
      <c r="BC757" s="4" t="s">
        <v>231</v>
      </c>
      <c r="BD757" s="8" t="s">
        <v>231</v>
      </c>
      <c r="BE757" s="4" t="s">
        <v>231</v>
      </c>
      <c r="BF757" s="8" t="s">
        <v>231</v>
      </c>
      <c r="BG757" s="7" t="s">
        <v>231</v>
      </c>
      <c r="BH757" s="7" t="s">
        <v>231</v>
      </c>
      <c r="BI757" s="7"/>
      <c r="BJ757" s="4">
        <v>39</v>
      </c>
      <c r="BK757" s="8">
        <v>819.49</v>
      </c>
      <c r="BL757" s="2" t="s">
        <v>4117</v>
      </c>
      <c r="BM757" s="7"/>
      <c r="BN757" s="7"/>
      <c r="BO757" s="4"/>
      <c r="BP757" s="8"/>
      <c r="BQ757" s="4"/>
      <c r="BR757" s="8"/>
      <c r="BS757" s="7"/>
      <c r="BT757" s="7"/>
      <c r="BU757" s="2" t="s">
        <v>4118</v>
      </c>
      <c r="BV757" s="2" t="s">
        <v>231</v>
      </c>
      <c r="BW757" s="2" t="s">
        <v>231</v>
      </c>
      <c r="BX757" s="2" t="s">
        <v>241</v>
      </c>
      <c r="BY757" s="2" t="s">
        <v>277</v>
      </c>
      <c r="BZ757" s="2" t="s">
        <v>243</v>
      </c>
      <c r="CA757" s="2" t="s">
        <v>1950</v>
      </c>
      <c r="CB757" s="2" t="s">
        <v>2902</v>
      </c>
      <c r="CC757" s="2" t="s">
        <v>244</v>
      </c>
      <c r="CD757" s="2" t="s">
        <v>231</v>
      </c>
      <c r="CE757" s="4">
        <v>233</v>
      </c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>
        <v>110</v>
      </c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>
        <v>60</v>
      </c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>
        <v>50</v>
      </c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>
        <v>40</v>
      </c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>
        <v>40</v>
      </c>
      <c r="HF757" s="4"/>
      <c r="HG757" s="4"/>
      <c r="HH757" s="4"/>
      <c r="HI757" s="4"/>
      <c r="HJ757" s="4"/>
      <c r="HK757" s="4"/>
      <c r="HL757" s="4"/>
    </row>
    <row r="758">
      <c r="A758" s="2" t="s">
        <v>4119</v>
      </c>
      <c r="B758" s="2" t="s">
        <v>287</v>
      </c>
      <c r="C758" s="2" t="s">
        <v>825</v>
      </c>
      <c r="D758" s="2" t="s">
        <v>289</v>
      </c>
      <c r="E758" s="2" t="s">
        <v>290</v>
      </c>
      <c r="F758" s="2" t="s">
        <v>4062</v>
      </c>
      <c r="G758" s="2" t="s">
        <v>4062</v>
      </c>
      <c r="H758" s="2" t="s">
        <v>4062</v>
      </c>
      <c r="I758" s="2" t="s">
        <v>4063</v>
      </c>
      <c r="J758" s="2" t="s">
        <v>293</v>
      </c>
      <c r="K758" s="2" t="s">
        <v>723</v>
      </c>
      <c r="L758" s="3">
        <v>24.5</v>
      </c>
      <c r="M758" s="3">
        <v>25.72</v>
      </c>
      <c r="N758" s="3">
        <v>49.99</v>
      </c>
      <c r="O758" s="2" t="s">
        <v>243</v>
      </c>
      <c r="P758" s="2" t="s">
        <v>270</v>
      </c>
      <c r="Q758" s="2" t="s">
        <v>237</v>
      </c>
      <c r="R758" s="2" t="s">
        <v>231</v>
      </c>
      <c r="S758" s="2" t="s">
        <v>4112</v>
      </c>
      <c r="T758" s="2" t="s">
        <v>3741</v>
      </c>
      <c r="U758" s="2" t="s">
        <v>298</v>
      </c>
      <c r="V758" s="2" t="s">
        <v>239</v>
      </c>
      <c r="W758" s="2" t="s">
        <v>273</v>
      </c>
      <c r="X758" s="2" t="s">
        <v>231</v>
      </c>
      <c r="Y758" s="2" t="s">
        <v>4113</v>
      </c>
      <c r="Z758" s="4">
        <v>158</v>
      </c>
      <c r="AA758" s="4">
        <f>=ROUNDDOWN(7.52380952380952,0)</f>
      </c>
      <c r="AB758" s="5">
        <v>21</v>
      </c>
      <c r="AC758" s="2" t="s">
        <v>4065</v>
      </c>
      <c r="AD758" s="4">
        <v>250</v>
      </c>
      <c r="AE758" s="4">
        <v>890</v>
      </c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231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231</v>
      </c>
      <c r="AW758" s="8" t="s">
        <v>231</v>
      </c>
      <c r="AX758" s="4" t="s">
        <v>231</v>
      </c>
      <c r="AY758" s="8" t="s">
        <v>231</v>
      </c>
      <c r="AZ758" s="7" t="s">
        <v>231</v>
      </c>
      <c r="BA758" s="7" t="s">
        <v>231</v>
      </c>
      <c r="BB758" s="7"/>
      <c r="BC758" s="4" t="s">
        <v>231</v>
      </c>
      <c r="BD758" s="8" t="s">
        <v>231</v>
      </c>
      <c r="BE758" s="4" t="s">
        <v>231</v>
      </c>
      <c r="BF758" s="8" t="s">
        <v>231</v>
      </c>
      <c r="BG758" s="7" t="s">
        <v>231</v>
      </c>
      <c r="BH758" s="7" t="s">
        <v>231</v>
      </c>
      <c r="BI758" s="7"/>
      <c r="BJ758" s="4">
        <v>72</v>
      </c>
      <c r="BK758" s="8">
        <v>1881.87</v>
      </c>
      <c r="BL758" s="2" t="s">
        <v>4120</v>
      </c>
      <c r="BM758" s="7"/>
      <c r="BN758" s="7"/>
      <c r="BO758" s="4"/>
      <c r="BP758" s="8"/>
      <c r="BQ758" s="4"/>
      <c r="BR758" s="8"/>
      <c r="BS758" s="7"/>
      <c r="BT758" s="7"/>
      <c r="BU758" s="2" t="s">
        <v>4121</v>
      </c>
      <c r="BV758" s="2" t="s">
        <v>231</v>
      </c>
      <c r="BW758" s="2" t="s">
        <v>231</v>
      </c>
      <c r="BX758" s="2" t="s">
        <v>241</v>
      </c>
      <c r="BY758" s="2" t="s">
        <v>277</v>
      </c>
      <c r="BZ758" s="2" t="s">
        <v>243</v>
      </c>
      <c r="CA758" s="2" t="s">
        <v>1950</v>
      </c>
      <c r="CB758" s="2" t="s">
        <v>4115</v>
      </c>
      <c r="CC758" s="2" t="s">
        <v>244</v>
      </c>
      <c r="CD758" s="2" t="s">
        <v>231</v>
      </c>
      <c r="CE758" s="4">
        <v>158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>
        <v>250</v>
      </c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>
        <v>100</v>
      </c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>
        <v>200</v>
      </c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>
        <v>170</v>
      </c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>
        <v>90</v>
      </c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>
        <v>80</v>
      </c>
      <c r="HF758" s="4"/>
      <c r="HG758" s="4"/>
      <c r="HH758" s="4"/>
      <c r="HI758" s="4"/>
      <c r="HJ758" s="4"/>
      <c r="HK758" s="4"/>
      <c r="HL758" s="4"/>
    </row>
    <row r="759">
      <c r="A759" s="2" t="s">
        <v>4122</v>
      </c>
      <c r="B759" s="2" t="s">
        <v>287</v>
      </c>
      <c r="C759" s="2" t="s">
        <v>825</v>
      </c>
      <c r="D759" s="2" t="s">
        <v>289</v>
      </c>
      <c r="E759" s="2" t="s">
        <v>290</v>
      </c>
      <c r="F759" s="2" t="s">
        <v>4062</v>
      </c>
      <c r="G759" s="2" t="s">
        <v>4062</v>
      </c>
      <c r="H759" s="2" t="s">
        <v>4062</v>
      </c>
      <c r="I759" s="2" t="s">
        <v>4063</v>
      </c>
      <c r="J759" s="2" t="s">
        <v>318</v>
      </c>
      <c r="K759" s="2" t="s">
        <v>319</v>
      </c>
      <c r="L759" s="3">
        <v>18.8</v>
      </c>
      <c r="M759" s="3">
        <v>19.74</v>
      </c>
      <c r="N759" s="3">
        <v>39.99</v>
      </c>
      <c r="O759" s="2" t="s">
        <v>243</v>
      </c>
      <c r="P759" s="2" t="s">
        <v>270</v>
      </c>
      <c r="Q759" s="2" t="s">
        <v>237</v>
      </c>
      <c r="R759" s="2" t="s">
        <v>231</v>
      </c>
      <c r="S759" s="2" t="s">
        <v>4123</v>
      </c>
      <c r="T759" s="2" t="s">
        <v>3741</v>
      </c>
      <c r="U759" s="2" t="s">
        <v>835</v>
      </c>
      <c r="V759" s="2" t="s">
        <v>239</v>
      </c>
      <c r="W759" s="2" t="s">
        <v>273</v>
      </c>
      <c r="X759" s="2" t="s">
        <v>231</v>
      </c>
      <c r="Y759" s="2" t="s">
        <v>274</v>
      </c>
      <c r="Z759" s="4">
        <v>39</v>
      </c>
      <c r="AA759" s="4">
        <f>=ROUNDDOWN(1.50579150579151,0)</f>
      </c>
      <c r="AB759" s="5">
        <v>25.9</v>
      </c>
      <c r="AC759" s="2" t="s">
        <v>4065</v>
      </c>
      <c r="AD759" s="4">
        <v>90</v>
      </c>
      <c r="AE759" s="4">
        <v>580</v>
      </c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231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231</v>
      </c>
      <c r="AW759" s="8" t="s">
        <v>231</v>
      </c>
      <c r="AX759" s="4" t="s">
        <v>231</v>
      </c>
      <c r="AY759" s="8" t="s">
        <v>231</v>
      </c>
      <c r="AZ759" s="7" t="s">
        <v>231</v>
      </c>
      <c r="BA759" s="7" t="s">
        <v>231</v>
      </c>
      <c r="BB759" s="7"/>
      <c r="BC759" s="4" t="s">
        <v>231</v>
      </c>
      <c r="BD759" s="8" t="s">
        <v>231</v>
      </c>
      <c r="BE759" s="4" t="s">
        <v>231</v>
      </c>
      <c r="BF759" s="8" t="s">
        <v>231</v>
      </c>
      <c r="BG759" s="7" t="s">
        <v>231</v>
      </c>
      <c r="BH759" s="7" t="s">
        <v>231</v>
      </c>
      <c r="BI759" s="7"/>
      <c r="BJ759" s="4">
        <v>109</v>
      </c>
      <c r="BK759" s="8">
        <v>2211.87</v>
      </c>
      <c r="BL759" s="2" t="s">
        <v>4084</v>
      </c>
      <c r="BM759" s="7"/>
      <c r="BN759" s="7"/>
      <c r="BO759" s="4"/>
      <c r="BP759" s="8"/>
      <c r="BQ759" s="4"/>
      <c r="BR759" s="8"/>
      <c r="BS759" s="7"/>
      <c r="BT759" s="7"/>
      <c r="BU759" s="2" t="s">
        <v>4124</v>
      </c>
      <c r="BV759" s="2" t="s">
        <v>231</v>
      </c>
      <c r="BW759" s="2" t="s">
        <v>231</v>
      </c>
      <c r="BX759" s="2" t="s">
        <v>241</v>
      </c>
      <c r="BY759" s="2" t="s">
        <v>277</v>
      </c>
      <c r="BZ759" s="2" t="s">
        <v>243</v>
      </c>
      <c r="CA759" s="2" t="s">
        <v>284</v>
      </c>
      <c r="CB759" s="2" t="s">
        <v>4125</v>
      </c>
      <c r="CC759" s="2" t="s">
        <v>244</v>
      </c>
      <c r="CD759" s="2" t="s">
        <v>231</v>
      </c>
      <c r="CE759" s="4">
        <v>39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>
        <v>90</v>
      </c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>
        <v>70</v>
      </c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>
        <v>60</v>
      </c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>
        <v>120</v>
      </c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>
        <v>140</v>
      </c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>
        <v>100</v>
      </c>
      <c r="HF759" s="4"/>
      <c r="HG759" s="4"/>
      <c r="HH759" s="4"/>
      <c r="HI759" s="4"/>
      <c r="HJ759" s="4"/>
      <c r="HK759" s="4"/>
      <c r="HL759" s="4"/>
    </row>
    <row r="760">
      <c r="A760" s="2" t="s">
        <v>4126</v>
      </c>
      <c r="B760" s="2" t="s">
        <v>287</v>
      </c>
      <c r="C760" s="2" t="s">
        <v>825</v>
      </c>
      <c r="D760" s="2" t="s">
        <v>289</v>
      </c>
      <c r="E760" s="2" t="s">
        <v>290</v>
      </c>
      <c r="F760" s="2" t="s">
        <v>4062</v>
      </c>
      <c r="G760" s="2" t="s">
        <v>4062</v>
      </c>
      <c r="H760" s="2" t="s">
        <v>4062</v>
      </c>
      <c r="I760" s="2" t="s">
        <v>4063</v>
      </c>
      <c r="J760" s="2" t="s">
        <v>293</v>
      </c>
      <c r="K760" s="2" t="s">
        <v>319</v>
      </c>
      <c r="L760" s="3">
        <v>24.5</v>
      </c>
      <c r="M760" s="3">
        <v>25.72</v>
      </c>
      <c r="N760" s="3">
        <v>49.99</v>
      </c>
      <c r="O760" s="2" t="s">
        <v>243</v>
      </c>
      <c r="P760" s="2" t="s">
        <v>270</v>
      </c>
      <c r="Q760" s="2" t="s">
        <v>237</v>
      </c>
      <c r="R760" s="2" t="s">
        <v>231</v>
      </c>
      <c r="S760" s="2" t="s">
        <v>4123</v>
      </c>
      <c r="T760" s="2" t="s">
        <v>3741</v>
      </c>
      <c r="U760" s="2" t="s">
        <v>298</v>
      </c>
      <c r="V760" s="2" t="s">
        <v>239</v>
      </c>
      <c r="W760" s="2" t="s">
        <v>273</v>
      </c>
      <c r="X760" s="2" t="s">
        <v>231</v>
      </c>
      <c r="Y760" s="2" t="s">
        <v>274</v>
      </c>
      <c r="Z760" s="4">
        <v>458</v>
      </c>
      <c r="AA760" s="4">
        <f>=ROUNDDOWN(28.625,0)</f>
      </c>
      <c r="AB760" s="5">
        <v>16</v>
      </c>
      <c r="AC760" s="2" t="s">
        <v>1754</v>
      </c>
      <c r="AD760" s="4">
        <v>20</v>
      </c>
      <c r="AE760" s="4">
        <v>200</v>
      </c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231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231</v>
      </c>
      <c r="AW760" s="8" t="s">
        <v>231</v>
      </c>
      <c r="AX760" s="4" t="s">
        <v>231</v>
      </c>
      <c r="AY760" s="8" t="s">
        <v>231</v>
      </c>
      <c r="AZ760" s="7" t="s">
        <v>231</v>
      </c>
      <c r="BA760" s="7" t="s">
        <v>231</v>
      </c>
      <c r="BB760" s="7"/>
      <c r="BC760" s="4" t="s">
        <v>231</v>
      </c>
      <c r="BD760" s="8" t="s">
        <v>231</v>
      </c>
      <c r="BE760" s="4" t="s">
        <v>231</v>
      </c>
      <c r="BF760" s="8" t="s">
        <v>231</v>
      </c>
      <c r="BG760" s="7" t="s">
        <v>231</v>
      </c>
      <c r="BH760" s="7" t="s">
        <v>231</v>
      </c>
      <c r="BI760" s="7"/>
      <c r="BJ760" s="4">
        <v>58</v>
      </c>
      <c r="BK760" s="8">
        <v>1483.74</v>
      </c>
      <c r="BL760" s="2" t="s">
        <v>4127</v>
      </c>
      <c r="BM760" s="7"/>
      <c r="BN760" s="7"/>
      <c r="BO760" s="4"/>
      <c r="BP760" s="8"/>
      <c r="BQ760" s="4"/>
      <c r="BR760" s="8"/>
      <c r="BS760" s="7"/>
      <c r="BT760" s="7"/>
      <c r="BU760" s="2" t="s">
        <v>4128</v>
      </c>
      <c r="BV760" s="2" t="s">
        <v>231</v>
      </c>
      <c r="BW760" s="2" t="s">
        <v>231</v>
      </c>
      <c r="BX760" s="2" t="s">
        <v>241</v>
      </c>
      <c r="BY760" s="2" t="s">
        <v>277</v>
      </c>
      <c r="BZ760" s="2" t="s">
        <v>243</v>
      </c>
      <c r="CA760" s="2" t="s">
        <v>284</v>
      </c>
      <c r="CB760" s="2" t="s">
        <v>4129</v>
      </c>
      <c r="CC760" s="2" t="s">
        <v>244</v>
      </c>
      <c r="CD760" s="2" t="s">
        <v>231</v>
      </c>
      <c r="CE760" s="4">
        <v>458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>
        <v>20</v>
      </c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>
        <v>20</v>
      </c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>
        <v>40</v>
      </c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>
        <v>120</v>
      </c>
      <c r="HF760" s="4"/>
      <c r="HG760" s="4"/>
      <c r="HH760" s="4"/>
      <c r="HI760" s="4"/>
      <c r="HJ760" s="4"/>
      <c r="HK760" s="4"/>
      <c r="HL760" s="4"/>
    </row>
    <row r="761">
      <c r="A761" s="2" t="s">
        <v>4130</v>
      </c>
      <c r="B761" s="2" t="s">
        <v>287</v>
      </c>
      <c r="C761" s="2" t="s">
        <v>1299</v>
      </c>
      <c r="D761" s="2" t="s">
        <v>289</v>
      </c>
      <c r="E761" s="2" t="s">
        <v>290</v>
      </c>
      <c r="F761" s="2" t="s">
        <v>4131</v>
      </c>
      <c r="G761" s="2" t="s">
        <v>4131</v>
      </c>
      <c r="H761" s="2" t="s">
        <v>4131</v>
      </c>
      <c r="I761" s="2" t="s">
        <v>359</v>
      </c>
      <c r="J761" s="2" t="s">
        <v>318</v>
      </c>
      <c r="K761" s="2" t="s">
        <v>4132</v>
      </c>
      <c r="L761" s="3">
        <v>19.8</v>
      </c>
      <c r="M761" s="3">
        <v>20.79</v>
      </c>
      <c r="N761" s="3">
        <v>44.99</v>
      </c>
      <c r="O761" s="2" t="s">
        <v>243</v>
      </c>
      <c r="P761" s="2" t="s">
        <v>270</v>
      </c>
      <c r="Q761" s="2" t="s">
        <v>237</v>
      </c>
      <c r="R761" s="2" t="s">
        <v>231</v>
      </c>
      <c r="S761" s="2" t="s">
        <v>4133</v>
      </c>
      <c r="T761" s="2" t="s">
        <v>4134</v>
      </c>
      <c r="U761" s="2" t="s">
        <v>835</v>
      </c>
      <c r="V761" s="2" t="s">
        <v>4046</v>
      </c>
      <c r="W761" s="2" t="s">
        <v>897</v>
      </c>
      <c r="X761" s="2" t="s">
        <v>273</v>
      </c>
      <c r="Y761" s="2" t="s">
        <v>1611</v>
      </c>
      <c r="Z761" s="4">
        <v>187</v>
      </c>
      <c r="AA761" s="4">
        <f>=ROUNDDOWN(17,0)</f>
      </c>
      <c r="AB761" s="5">
        <v>11</v>
      </c>
      <c r="AC761" s="2" t="s">
        <v>4135</v>
      </c>
      <c r="AD761" s="4">
        <v>54</v>
      </c>
      <c r="AE761" s="4">
        <v>385</v>
      </c>
      <c r="AF761" s="6">
        <v>74</v>
      </c>
      <c r="AG761" s="6"/>
      <c r="AH761" s="7">
        <v>1</v>
      </c>
      <c r="AI761" s="4"/>
      <c r="AJ761" s="4">
        <f>=ROUNDDOWN({0},0)</f>
      </c>
      <c r="AK761" s="5"/>
      <c r="AL761" s="2" t="s">
        <v>231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231</v>
      </c>
      <c r="AW761" s="8" t="s">
        <v>231</v>
      </c>
      <c r="AX761" s="4" t="s">
        <v>231</v>
      </c>
      <c r="AY761" s="8" t="s">
        <v>231</v>
      </c>
      <c r="AZ761" s="7" t="s">
        <v>231</v>
      </c>
      <c r="BA761" s="7" t="s">
        <v>231</v>
      </c>
      <c r="BB761" s="7"/>
      <c r="BC761" s="4" t="s">
        <v>231</v>
      </c>
      <c r="BD761" s="8" t="s">
        <v>231</v>
      </c>
      <c r="BE761" s="4" t="s">
        <v>231</v>
      </c>
      <c r="BF761" s="8" t="s">
        <v>231</v>
      </c>
      <c r="BG761" s="7" t="s">
        <v>231</v>
      </c>
      <c r="BH761" s="7" t="s">
        <v>231</v>
      </c>
      <c r="BI761" s="7"/>
      <c r="BJ761" s="4">
        <v>2</v>
      </c>
      <c r="BK761" s="8">
        <v>43.66</v>
      </c>
      <c r="BL761" s="2" t="s">
        <v>4136</v>
      </c>
      <c r="BM761" s="7"/>
      <c r="BN761" s="7"/>
      <c r="BO761" s="4"/>
      <c r="BP761" s="8"/>
      <c r="BQ761" s="4"/>
      <c r="BR761" s="8"/>
      <c r="BS761" s="7"/>
      <c r="BT761" s="7"/>
      <c r="BU761" s="2" t="s">
        <v>4137</v>
      </c>
      <c r="BV761" s="2" t="s">
        <v>231</v>
      </c>
      <c r="BW761" s="2" t="s">
        <v>231</v>
      </c>
      <c r="BX761" s="2" t="s">
        <v>4138</v>
      </c>
      <c r="BY761" s="2" t="s">
        <v>277</v>
      </c>
      <c r="BZ761" s="2" t="s">
        <v>243</v>
      </c>
      <c r="CA761" s="2" t="s">
        <v>445</v>
      </c>
      <c r="CB761" s="2" t="s">
        <v>446</v>
      </c>
      <c r="CC761" s="2" t="s">
        <v>244</v>
      </c>
      <c r="CD761" s="2" t="s">
        <v>231</v>
      </c>
      <c r="CE761" s="4">
        <v>187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>
        <v>54</v>
      </c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>
        <v>230</v>
      </c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>
        <v>101</v>
      </c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</row>
    <row r="762">
      <c r="A762" s="2" t="s">
        <v>4139</v>
      </c>
      <c r="B762" s="2" t="s">
        <v>287</v>
      </c>
      <c r="C762" s="2" t="s">
        <v>1299</v>
      </c>
      <c r="D762" s="2" t="s">
        <v>289</v>
      </c>
      <c r="E762" s="2" t="s">
        <v>290</v>
      </c>
      <c r="F762" s="2" t="s">
        <v>4131</v>
      </c>
      <c r="G762" s="2" t="s">
        <v>4131</v>
      </c>
      <c r="H762" s="2" t="s">
        <v>4131</v>
      </c>
      <c r="I762" s="2" t="s">
        <v>359</v>
      </c>
      <c r="J762" s="2" t="s">
        <v>293</v>
      </c>
      <c r="K762" s="2" t="s">
        <v>4132</v>
      </c>
      <c r="L762" s="3">
        <v>24.3</v>
      </c>
      <c r="M762" s="3">
        <v>25.52</v>
      </c>
      <c r="N762" s="3">
        <v>54.99</v>
      </c>
      <c r="O762" s="2" t="s">
        <v>243</v>
      </c>
      <c r="P762" s="2" t="s">
        <v>1281</v>
      </c>
      <c r="Q762" s="2" t="s">
        <v>237</v>
      </c>
      <c r="R762" s="2" t="s">
        <v>231</v>
      </c>
      <c r="S762" s="2" t="s">
        <v>4133</v>
      </c>
      <c r="T762" s="2" t="s">
        <v>4134</v>
      </c>
      <c r="U762" s="2" t="s">
        <v>298</v>
      </c>
      <c r="V762" s="2" t="s">
        <v>4046</v>
      </c>
      <c r="W762" s="2" t="s">
        <v>897</v>
      </c>
      <c r="X762" s="2" t="s">
        <v>273</v>
      </c>
      <c r="Y762" s="2" t="s">
        <v>1611</v>
      </c>
      <c r="Z762" s="4">
        <v>1</v>
      </c>
      <c r="AA762" s="4">
        <f>=ROUNDDOWN(0.0384615384615385,0)</f>
      </c>
      <c r="AB762" s="5">
        <v>26</v>
      </c>
      <c r="AC762" s="2" t="s">
        <v>4135</v>
      </c>
      <c r="AD762" s="4">
        <v>200</v>
      </c>
      <c r="AE762" s="4">
        <v>909</v>
      </c>
      <c r="AF762" s="6">
        <v>74</v>
      </c>
      <c r="AG762" s="6"/>
      <c r="AH762" s="7">
        <v>0</v>
      </c>
      <c r="AI762" s="4"/>
      <c r="AJ762" s="4">
        <f>=ROUNDDOWN({0},0)</f>
      </c>
      <c r="AK762" s="5"/>
      <c r="AL762" s="2" t="s">
        <v>231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231</v>
      </c>
      <c r="AW762" s="8" t="s">
        <v>231</v>
      </c>
      <c r="AX762" s="4" t="s">
        <v>231</v>
      </c>
      <c r="AY762" s="8" t="s">
        <v>231</v>
      </c>
      <c r="AZ762" s="7" t="s">
        <v>231</v>
      </c>
      <c r="BA762" s="7" t="s">
        <v>231</v>
      </c>
      <c r="BB762" s="7"/>
      <c r="BC762" s="4" t="s">
        <v>231</v>
      </c>
      <c r="BD762" s="8" t="s">
        <v>231</v>
      </c>
      <c r="BE762" s="4" t="s">
        <v>231</v>
      </c>
      <c r="BF762" s="8" t="s">
        <v>231</v>
      </c>
      <c r="BG762" s="7" t="s">
        <v>231</v>
      </c>
      <c r="BH762" s="7" t="s">
        <v>231</v>
      </c>
      <c r="BI762" s="7"/>
      <c r="BJ762" s="4"/>
      <c r="BK762" s="8"/>
      <c r="BL762" s="2" t="s">
        <v>231</v>
      </c>
      <c r="BM762" s="7"/>
      <c r="BN762" s="7"/>
      <c r="BO762" s="4"/>
      <c r="BP762" s="8"/>
      <c r="BQ762" s="4"/>
      <c r="BR762" s="8"/>
      <c r="BS762" s="7"/>
      <c r="BT762" s="7"/>
      <c r="BU762" s="2" t="s">
        <v>4140</v>
      </c>
      <c r="BV762" s="2" t="s">
        <v>231</v>
      </c>
      <c r="BW762" s="2" t="s">
        <v>231</v>
      </c>
      <c r="BX762" s="2" t="s">
        <v>4138</v>
      </c>
      <c r="BY762" s="2" t="s">
        <v>277</v>
      </c>
      <c r="BZ762" s="2" t="s">
        <v>243</v>
      </c>
      <c r="CA762" s="2" t="s">
        <v>445</v>
      </c>
      <c r="CB762" s="2" t="s">
        <v>948</v>
      </c>
      <c r="CC762" s="2" t="s">
        <v>244</v>
      </c>
      <c r="CD762" s="2" t="s">
        <v>231</v>
      </c>
      <c r="CE762" s="4">
        <v>1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>
        <v>200</v>
      </c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>
        <v>481</v>
      </c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>
        <v>228</v>
      </c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</row>
    <row r="763">
      <c r="A763" s="2" t="s">
        <v>4141</v>
      </c>
      <c r="B763" s="2" t="s">
        <v>287</v>
      </c>
      <c r="C763" s="2" t="s">
        <v>1299</v>
      </c>
      <c r="D763" s="2" t="s">
        <v>289</v>
      </c>
      <c r="E763" s="2" t="s">
        <v>290</v>
      </c>
      <c r="F763" s="2" t="s">
        <v>4131</v>
      </c>
      <c r="G763" s="2" t="s">
        <v>4131</v>
      </c>
      <c r="H763" s="2" t="s">
        <v>4131</v>
      </c>
      <c r="I763" s="2" t="s">
        <v>359</v>
      </c>
      <c r="J763" s="2" t="s">
        <v>302</v>
      </c>
      <c r="K763" s="2" t="s">
        <v>4132</v>
      </c>
      <c r="L763" s="3">
        <v>28.98</v>
      </c>
      <c r="M763" s="3">
        <v>30.43</v>
      </c>
      <c r="N763" s="3">
        <v>64.99</v>
      </c>
      <c r="O763" s="2" t="s">
        <v>243</v>
      </c>
      <c r="P763" s="2" t="s">
        <v>270</v>
      </c>
      <c r="Q763" s="2" t="s">
        <v>237</v>
      </c>
      <c r="R763" s="2" t="s">
        <v>231</v>
      </c>
      <c r="S763" s="2" t="s">
        <v>4133</v>
      </c>
      <c r="T763" s="2" t="s">
        <v>4134</v>
      </c>
      <c r="U763" s="2" t="s">
        <v>298</v>
      </c>
      <c r="V763" s="2" t="s">
        <v>4046</v>
      </c>
      <c r="W763" s="2" t="s">
        <v>897</v>
      </c>
      <c r="X763" s="2" t="s">
        <v>273</v>
      </c>
      <c r="Y763" s="2" t="s">
        <v>1611</v>
      </c>
      <c r="Z763" s="4"/>
      <c r="AA763" s="4">
        <f>=ROUNDDOWN({0},0)</f>
      </c>
      <c r="AB763" s="5">
        <v>14</v>
      </c>
      <c r="AC763" s="2" t="s">
        <v>4135</v>
      </c>
      <c r="AD763" s="4">
        <v>146</v>
      </c>
      <c r="AE763" s="4">
        <v>549</v>
      </c>
      <c r="AF763" s="6">
        <v>74</v>
      </c>
      <c r="AG763" s="6"/>
      <c r="AH763" s="7">
        <v>0</v>
      </c>
      <c r="AI763" s="4"/>
      <c r="AJ763" s="4">
        <f>=ROUNDDOWN({0},0)</f>
      </c>
      <c r="AK763" s="5"/>
      <c r="AL763" s="2" t="s">
        <v>231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231</v>
      </c>
      <c r="AW763" s="8" t="s">
        <v>231</v>
      </c>
      <c r="AX763" s="4" t="s">
        <v>231</v>
      </c>
      <c r="AY763" s="8" t="s">
        <v>231</v>
      </c>
      <c r="AZ763" s="7" t="s">
        <v>231</v>
      </c>
      <c r="BA763" s="7" t="s">
        <v>231</v>
      </c>
      <c r="BB763" s="7"/>
      <c r="BC763" s="4" t="s">
        <v>231</v>
      </c>
      <c r="BD763" s="8" t="s">
        <v>231</v>
      </c>
      <c r="BE763" s="4" t="s">
        <v>231</v>
      </c>
      <c r="BF763" s="8" t="s">
        <v>231</v>
      </c>
      <c r="BG763" s="7" t="s">
        <v>231</v>
      </c>
      <c r="BH763" s="7" t="s">
        <v>231</v>
      </c>
      <c r="BI763" s="7"/>
      <c r="BJ763" s="4"/>
      <c r="BK763" s="8"/>
      <c r="BL763" s="2" t="s">
        <v>231</v>
      </c>
      <c r="BM763" s="7"/>
      <c r="BN763" s="7"/>
      <c r="BO763" s="4"/>
      <c r="BP763" s="8"/>
      <c r="BQ763" s="4"/>
      <c r="BR763" s="8"/>
      <c r="BS763" s="7"/>
      <c r="BT763" s="7"/>
      <c r="BU763" s="2" t="s">
        <v>4142</v>
      </c>
      <c r="BV763" s="2" t="s">
        <v>231</v>
      </c>
      <c r="BW763" s="2" t="s">
        <v>231</v>
      </c>
      <c r="BX763" s="2" t="s">
        <v>4138</v>
      </c>
      <c r="BY763" s="2" t="s">
        <v>277</v>
      </c>
      <c r="BZ763" s="2" t="s">
        <v>243</v>
      </c>
      <c r="CA763" s="2" t="s">
        <v>445</v>
      </c>
      <c r="CB763" s="2" t="s">
        <v>4143</v>
      </c>
      <c r="CC763" s="2" t="s">
        <v>244</v>
      </c>
      <c r="CD763" s="2" t="s">
        <v>231</v>
      </c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>
        <v>146</v>
      </c>
      <c r="DR763" s="4"/>
      <c r="DS763" s="4"/>
      <c r="DT763" s="4"/>
      <c r="DU763" s="4"/>
      <c r="DV763" s="4"/>
      <c r="DW763" s="4">
        <v>3</v>
      </c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>
        <v>266</v>
      </c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>
        <v>134</v>
      </c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</row>
    <row r="764">
      <c r="A764" s="2" t="s">
        <v>4144</v>
      </c>
      <c r="B764" s="2" t="s">
        <v>287</v>
      </c>
      <c r="C764" s="2" t="s">
        <v>1299</v>
      </c>
      <c r="D764" s="2" t="s">
        <v>289</v>
      </c>
      <c r="E764" s="2" t="s">
        <v>290</v>
      </c>
      <c r="F764" s="2" t="s">
        <v>4131</v>
      </c>
      <c r="G764" s="2" t="s">
        <v>4131</v>
      </c>
      <c r="H764" s="2" t="s">
        <v>4131</v>
      </c>
      <c r="I764" s="2" t="s">
        <v>359</v>
      </c>
      <c r="J764" s="2" t="s">
        <v>304</v>
      </c>
      <c r="K764" s="2" t="s">
        <v>4132</v>
      </c>
      <c r="L764" s="3">
        <v>28.98</v>
      </c>
      <c r="M764" s="3">
        <v>30.43</v>
      </c>
      <c r="N764" s="3">
        <v>64.99</v>
      </c>
      <c r="O764" s="2" t="s">
        <v>243</v>
      </c>
      <c r="P764" s="2" t="s">
        <v>270</v>
      </c>
      <c r="Q764" s="2" t="s">
        <v>237</v>
      </c>
      <c r="R764" s="2" t="s">
        <v>231</v>
      </c>
      <c r="S764" s="2" t="s">
        <v>4133</v>
      </c>
      <c r="T764" s="2" t="s">
        <v>4134</v>
      </c>
      <c r="U764" s="2" t="s">
        <v>298</v>
      </c>
      <c r="V764" s="2" t="s">
        <v>4046</v>
      </c>
      <c r="W764" s="2" t="s">
        <v>897</v>
      </c>
      <c r="X764" s="2" t="s">
        <v>273</v>
      </c>
      <c r="Y764" s="2" t="s">
        <v>1611</v>
      </c>
      <c r="Z764" s="4"/>
      <c r="AA764" s="4">
        <f>=ROUNDDOWN({0},0)</f>
      </c>
      <c r="AB764" s="5">
        <v>7</v>
      </c>
      <c r="AC764" s="2" t="s">
        <v>4135</v>
      </c>
      <c r="AD764" s="4">
        <v>69</v>
      </c>
      <c r="AE764" s="4">
        <v>274</v>
      </c>
      <c r="AF764" s="6">
        <v>74</v>
      </c>
      <c r="AG764" s="6"/>
      <c r="AH764" s="7">
        <v>0</v>
      </c>
      <c r="AI764" s="4"/>
      <c r="AJ764" s="4">
        <f>=ROUNDDOWN({0},0)</f>
      </c>
      <c r="AK764" s="5"/>
      <c r="AL764" s="2" t="s">
        <v>231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231</v>
      </c>
      <c r="AW764" s="8" t="s">
        <v>231</v>
      </c>
      <c r="AX764" s="4" t="s">
        <v>231</v>
      </c>
      <c r="AY764" s="8" t="s">
        <v>231</v>
      </c>
      <c r="AZ764" s="7" t="s">
        <v>231</v>
      </c>
      <c r="BA764" s="7" t="s">
        <v>231</v>
      </c>
      <c r="BB764" s="7"/>
      <c r="BC764" s="4" t="s">
        <v>231</v>
      </c>
      <c r="BD764" s="8" t="s">
        <v>231</v>
      </c>
      <c r="BE764" s="4" t="s">
        <v>231</v>
      </c>
      <c r="BF764" s="8" t="s">
        <v>231</v>
      </c>
      <c r="BG764" s="7" t="s">
        <v>231</v>
      </c>
      <c r="BH764" s="7" t="s">
        <v>231</v>
      </c>
      <c r="BI764" s="7"/>
      <c r="BJ764" s="4"/>
      <c r="BK764" s="8"/>
      <c r="BL764" s="2" t="s">
        <v>231</v>
      </c>
      <c r="BM764" s="7"/>
      <c r="BN764" s="7"/>
      <c r="BO764" s="4"/>
      <c r="BP764" s="8"/>
      <c r="BQ764" s="4"/>
      <c r="BR764" s="8"/>
      <c r="BS764" s="7"/>
      <c r="BT764" s="7"/>
      <c r="BU764" s="2" t="s">
        <v>4145</v>
      </c>
      <c r="BV764" s="2" t="s">
        <v>231</v>
      </c>
      <c r="BW764" s="2" t="s">
        <v>231</v>
      </c>
      <c r="BX764" s="2" t="s">
        <v>4138</v>
      </c>
      <c r="BY764" s="2" t="s">
        <v>277</v>
      </c>
      <c r="BZ764" s="2" t="s">
        <v>243</v>
      </c>
      <c r="CA764" s="2" t="s">
        <v>445</v>
      </c>
      <c r="CB764" s="2" t="s">
        <v>456</v>
      </c>
      <c r="CC764" s="2" t="s">
        <v>244</v>
      </c>
      <c r="CD764" s="2" t="s">
        <v>231</v>
      </c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>
        <v>69</v>
      </c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>
        <v>138</v>
      </c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>
        <v>67</v>
      </c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</row>
    <row r="765">
      <c r="A765" s="2" t="s">
        <v>4146</v>
      </c>
      <c r="B765" s="2" t="s">
        <v>287</v>
      </c>
      <c r="C765" s="2" t="s">
        <v>1299</v>
      </c>
      <c r="D765" s="2" t="s">
        <v>289</v>
      </c>
      <c r="E765" s="2" t="s">
        <v>290</v>
      </c>
      <c r="F765" s="2" t="s">
        <v>4131</v>
      </c>
      <c r="G765" s="2" t="s">
        <v>4131</v>
      </c>
      <c r="H765" s="2" t="s">
        <v>4131</v>
      </c>
      <c r="I765" s="2" t="s">
        <v>359</v>
      </c>
      <c r="J765" s="2" t="s">
        <v>318</v>
      </c>
      <c r="K765" s="2" t="s">
        <v>4147</v>
      </c>
      <c r="L765" s="3">
        <v>19.8</v>
      </c>
      <c r="M765" s="3">
        <v>20.79</v>
      </c>
      <c r="N765" s="3">
        <v>44.99</v>
      </c>
      <c r="O765" s="2" t="s">
        <v>235</v>
      </c>
      <c r="P765" s="2" t="s">
        <v>341</v>
      </c>
      <c r="Q765" s="2" t="s">
        <v>237</v>
      </c>
      <c r="R765" s="2" t="s">
        <v>231</v>
      </c>
      <c r="S765" s="2" t="s">
        <v>4148</v>
      </c>
      <c r="T765" s="2" t="s">
        <v>4134</v>
      </c>
      <c r="U765" s="2" t="s">
        <v>231</v>
      </c>
      <c r="V765" s="2" t="s">
        <v>4046</v>
      </c>
      <c r="W765" s="2" t="s">
        <v>897</v>
      </c>
      <c r="X765" s="2" t="s">
        <v>231</v>
      </c>
      <c r="Y765" s="2" t="s">
        <v>1374</v>
      </c>
      <c r="Z765" s="4">
        <v>215</v>
      </c>
      <c r="AA765" s="4">
        <f>=ROUNDDOWN(69.3548387096774,0)</f>
      </c>
      <c r="AB765" s="5">
        <v>3.1</v>
      </c>
      <c r="AC765" s="2" t="s">
        <v>231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231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231</v>
      </c>
      <c r="AW765" s="8" t="s">
        <v>231</v>
      </c>
      <c r="AX765" s="4" t="s">
        <v>231</v>
      </c>
      <c r="AY765" s="8" t="s">
        <v>231</v>
      </c>
      <c r="AZ765" s="7" t="s">
        <v>231</v>
      </c>
      <c r="BA765" s="7" t="s">
        <v>231</v>
      </c>
      <c r="BB765" s="7"/>
      <c r="BC765" s="4" t="s">
        <v>231</v>
      </c>
      <c r="BD765" s="8" t="s">
        <v>231</v>
      </c>
      <c r="BE765" s="4" t="s">
        <v>231</v>
      </c>
      <c r="BF765" s="8" t="s">
        <v>231</v>
      </c>
      <c r="BG765" s="7" t="s">
        <v>231</v>
      </c>
      <c r="BH765" s="7" t="s">
        <v>231</v>
      </c>
      <c r="BI765" s="7"/>
      <c r="BJ765" s="4">
        <v>2</v>
      </c>
      <c r="BK765" s="8">
        <v>47.4</v>
      </c>
      <c r="BL765" s="2" t="s">
        <v>838</v>
      </c>
      <c r="BM765" s="7"/>
      <c r="BN765" s="7"/>
      <c r="BO765" s="4"/>
      <c r="BP765" s="8"/>
      <c r="BQ765" s="4"/>
      <c r="BR765" s="8"/>
      <c r="BS765" s="7"/>
      <c r="BT765" s="7"/>
      <c r="BU765" s="2" t="s">
        <v>4149</v>
      </c>
      <c r="BV765" s="2" t="s">
        <v>231</v>
      </c>
      <c r="BW765" s="2" t="s">
        <v>231</v>
      </c>
      <c r="BX765" s="2" t="s">
        <v>1360</v>
      </c>
      <c r="BY765" s="2" t="s">
        <v>277</v>
      </c>
      <c r="BZ765" s="2" t="s">
        <v>243</v>
      </c>
      <c r="CA765" s="2" t="s">
        <v>4150</v>
      </c>
      <c r="CB765" s="2" t="s">
        <v>4151</v>
      </c>
      <c r="CC765" s="2" t="s">
        <v>244</v>
      </c>
      <c r="CD765" s="2" t="s">
        <v>231</v>
      </c>
      <c r="CE765" s="4">
        <v>215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</row>
    <row r="766">
      <c r="A766" s="2" t="s">
        <v>4152</v>
      </c>
      <c r="B766" s="2" t="s">
        <v>287</v>
      </c>
      <c r="C766" s="2" t="s">
        <v>1299</v>
      </c>
      <c r="D766" s="2" t="s">
        <v>289</v>
      </c>
      <c r="E766" s="2" t="s">
        <v>290</v>
      </c>
      <c r="F766" s="2" t="s">
        <v>4131</v>
      </c>
      <c r="G766" s="2" t="s">
        <v>4131</v>
      </c>
      <c r="H766" s="2" t="s">
        <v>4131</v>
      </c>
      <c r="I766" s="2" t="s">
        <v>359</v>
      </c>
      <c r="J766" s="2" t="s">
        <v>293</v>
      </c>
      <c r="K766" s="2" t="s">
        <v>4147</v>
      </c>
      <c r="L766" s="3">
        <v>24.3</v>
      </c>
      <c r="M766" s="3">
        <v>25.52</v>
      </c>
      <c r="N766" s="3">
        <v>54.99</v>
      </c>
      <c r="O766" s="2" t="s">
        <v>235</v>
      </c>
      <c r="P766" s="2" t="s">
        <v>341</v>
      </c>
      <c r="Q766" s="2" t="s">
        <v>237</v>
      </c>
      <c r="R766" s="2" t="s">
        <v>231</v>
      </c>
      <c r="S766" s="2" t="s">
        <v>4148</v>
      </c>
      <c r="T766" s="2" t="s">
        <v>4134</v>
      </c>
      <c r="U766" s="2" t="s">
        <v>231</v>
      </c>
      <c r="V766" s="2" t="s">
        <v>4046</v>
      </c>
      <c r="W766" s="2" t="s">
        <v>897</v>
      </c>
      <c r="X766" s="2" t="s">
        <v>231</v>
      </c>
      <c r="Y766" s="2" t="s">
        <v>1374</v>
      </c>
      <c r="Z766" s="4"/>
      <c r="AA766" s="4">
        <f>=ROUNDDOWN({0},0)</f>
      </c>
      <c r="AB766" s="5">
        <v>7.8</v>
      </c>
      <c r="AC766" s="2" t="s">
        <v>231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231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231</v>
      </c>
      <c r="AW766" s="8" t="s">
        <v>231</v>
      </c>
      <c r="AX766" s="4" t="s">
        <v>231</v>
      </c>
      <c r="AY766" s="8" t="s">
        <v>231</v>
      </c>
      <c r="AZ766" s="7" t="s">
        <v>231</v>
      </c>
      <c r="BA766" s="7" t="s">
        <v>231</v>
      </c>
      <c r="BB766" s="7"/>
      <c r="BC766" s="4" t="s">
        <v>231</v>
      </c>
      <c r="BD766" s="8" t="s">
        <v>231</v>
      </c>
      <c r="BE766" s="4" t="s">
        <v>231</v>
      </c>
      <c r="BF766" s="8" t="s">
        <v>231</v>
      </c>
      <c r="BG766" s="7" t="s">
        <v>231</v>
      </c>
      <c r="BH766" s="7" t="s">
        <v>231</v>
      </c>
      <c r="BI766" s="7"/>
      <c r="BJ766" s="4"/>
      <c r="BK766" s="8"/>
      <c r="BL766" s="2" t="s">
        <v>4153</v>
      </c>
      <c r="BM766" s="7"/>
      <c r="BN766" s="7"/>
      <c r="BO766" s="4"/>
      <c r="BP766" s="8"/>
      <c r="BQ766" s="4"/>
      <c r="BR766" s="8"/>
      <c r="BS766" s="7"/>
      <c r="BT766" s="7"/>
      <c r="BU766" s="2" t="s">
        <v>4154</v>
      </c>
      <c r="BV766" s="2" t="s">
        <v>231</v>
      </c>
      <c r="BW766" s="2" t="s">
        <v>231</v>
      </c>
      <c r="BX766" s="2" t="s">
        <v>1360</v>
      </c>
      <c r="BY766" s="2" t="s">
        <v>277</v>
      </c>
      <c r="BZ766" s="2" t="s">
        <v>243</v>
      </c>
      <c r="CA766" s="2" t="s">
        <v>4150</v>
      </c>
      <c r="CB766" s="2" t="s">
        <v>4155</v>
      </c>
      <c r="CC766" s="2" t="s">
        <v>244</v>
      </c>
      <c r="CD766" s="2" t="s">
        <v>231</v>
      </c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</row>
    <row r="767">
      <c r="A767" s="2" t="s">
        <v>4156</v>
      </c>
      <c r="B767" s="2" t="s">
        <v>287</v>
      </c>
      <c r="C767" s="2" t="s">
        <v>1299</v>
      </c>
      <c r="D767" s="2" t="s">
        <v>289</v>
      </c>
      <c r="E767" s="2" t="s">
        <v>290</v>
      </c>
      <c r="F767" s="2" t="s">
        <v>4131</v>
      </c>
      <c r="G767" s="2" t="s">
        <v>4131</v>
      </c>
      <c r="H767" s="2" t="s">
        <v>4131</v>
      </c>
      <c r="I767" s="2" t="s">
        <v>359</v>
      </c>
      <c r="J767" s="2" t="s">
        <v>318</v>
      </c>
      <c r="K767" s="2" t="s">
        <v>4157</v>
      </c>
      <c r="L767" s="3">
        <v>19.8</v>
      </c>
      <c r="M767" s="3">
        <v>20.79</v>
      </c>
      <c r="N767" s="3">
        <v>44.99</v>
      </c>
      <c r="O767" s="2" t="s">
        <v>243</v>
      </c>
      <c r="P767" s="2" t="s">
        <v>341</v>
      </c>
      <c r="Q767" s="2" t="s">
        <v>237</v>
      </c>
      <c r="R767" s="2" t="s">
        <v>231</v>
      </c>
      <c r="S767" s="2" t="s">
        <v>4158</v>
      </c>
      <c r="T767" s="2" t="s">
        <v>4134</v>
      </c>
      <c r="U767" s="2" t="s">
        <v>231</v>
      </c>
      <c r="V767" s="2" t="s">
        <v>4046</v>
      </c>
      <c r="W767" s="2" t="s">
        <v>897</v>
      </c>
      <c r="X767" s="2" t="s">
        <v>273</v>
      </c>
      <c r="Y767" s="2" t="s">
        <v>2848</v>
      </c>
      <c r="Z767" s="4"/>
      <c r="AA767" s="4">
        <f>=ROUNDDOWN({0},0)</f>
      </c>
      <c r="AB767" s="5">
        <v>3</v>
      </c>
      <c r="AC767" s="2" t="s">
        <v>231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231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231</v>
      </c>
      <c r="AW767" s="8" t="s">
        <v>231</v>
      </c>
      <c r="AX767" s="4" t="s">
        <v>231</v>
      </c>
      <c r="AY767" s="8" t="s">
        <v>231</v>
      </c>
      <c r="AZ767" s="7" t="s">
        <v>231</v>
      </c>
      <c r="BA767" s="7" t="s">
        <v>231</v>
      </c>
      <c r="BB767" s="7"/>
      <c r="BC767" s="4" t="s">
        <v>231</v>
      </c>
      <c r="BD767" s="8" t="s">
        <v>231</v>
      </c>
      <c r="BE767" s="4" t="s">
        <v>231</v>
      </c>
      <c r="BF767" s="8" t="s">
        <v>231</v>
      </c>
      <c r="BG767" s="7" t="s">
        <v>231</v>
      </c>
      <c r="BH767" s="7" t="s">
        <v>231</v>
      </c>
      <c r="BI767" s="7"/>
      <c r="BJ767" s="4"/>
      <c r="BK767" s="8"/>
      <c r="BL767" s="2" t="s">
        <v>1358</v>
      </c>
      <c r="BM767" s="7"/>
      <c r="BN767" s="7"/>
      <c r="BO767" s="4"/>
      <c r="BP767" s="8"/>
      <c r="BQ767" s="4"/>
      <c r="BR767" s="8"/>
      <c r="BS767" s="7"/>
      <c r="BT767" s="7"/>
      <c r="BU767" s="2" t="s">
        <v>4159</v>
      </c>
      <c r="BV767" s="2" t="s">
        <v>231</v>
      </c>
      <c r="BW767" s="2" t="s">
        <v>231</v>
      </c>
      <c r="BX767" s="2" t="s">
        <v>1360</v>
      </c>
      <c r="BY767" s="2" t="s">
        <v>277</v>
      </c>
      <c r="BZ767" s="2" t="s">
        <v>243</v>
      </c>
      <c r="CA767" s="2" t="s">
        <v>4160</v>
      </c>
      <c r="CB767" s="2" t="s">
        <v>4161</v>
      </c>
      <c r="CC767" s="2" t="s">
        <v>244</v>
      </c>
      <c r="CD767" s="2" t="s">
        <v>231</v>
      </c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</row>
    <row r="768">
      <c r="A768" s="2" t="s">
        <v>4162</v>
      </c>
      <c r="B768" s="2" t="s">
        <v>287</v>
      </c>
      <c r="C768" s="2" t="s">
        <v>1299</v>
      </c>
      <c r="D768" s="2" t="s">
        <v>289</v>
      </c>
      <c r="E768" s="2" t="s">
        <v>290</v>
      </c>
      <c r="F768" s="2" t="s">
        <v>4131</v>
      </c>
      <c r="G768" s="2" t="s">
        <v>4131</v>
      </c>
      <c r="H768" s="2" t="s">
        <v>4131</v>
      </c>
      <c r="I768" s="2" t="s">
        <v>359</v>
      </c>
      <c r="J768" s="2" t="s">
        <v>302</v>
      </c>
      <c r="K768" s="2" t="s">
        <v>4157</v>
      </c>
      <c r="L768" s="3">
        <v>28.98</v>
      </c>
      <c r="M768" s="3">
        <v>30.43</v>
      </c>
      <c r="N768" s="3">
        <v>64.99</v>
      </c>
      <c r="O768" s="2" t="s">
        <v>243</v>
      </c>
      <c r="P768" s="2" t="s">
        <v>341</v>
      </c>
      <c r="Q768" s="2" t="s">
        <v>237</v>
      </c>
      <c r="R768" s="2" t="s">
        <v>231</v>
      </c>
      <c r="S768" s="2" t="s">
        <v>4163</v>
      </c>
      <c r="T768" s="2" t="s">
        <v>4134</v>
      </c>
      <c r="U768" s="2" t="s">
        <v>231</v>
      </c>
      <c r="V768" s="2" t="s">
        <v>4046</v>
      </c>
      <c r="W768" s="2" t="s">
        <v>897</v>
      </c>
      <c r="X768" s="2" t="s">
        <v>273</v>
      </c>
      <c r="Y768" s="2" t="s">
        <v>2848</v>
      </c>
      <c r="Z768" s="4"/>
      <c r="AA768" s="4">
        <f>=ROUNDDOWN({0},0)</f>
      </c>
      <c r="AB768" s="5">
        <v>4</v>
      </c>
      <c r="AC768" s="2" t="s">
        <v>231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231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231</v>
      </c>
      <c r="AW768" s="8" t="s">
        <v>231</v>
      </c>
      <c r="AX768" s="4" t="s">
        <v>231</v>
      </c>
      <c r="AY768" s="8" t="s">
        <v>231</v>
      </c>
      <c r="AZ768" s="7" t="s">
        <v>231</v>
      </c>
      <c r="BA768" s="7" t="s">
        <v>231</v>
      </c>
      <c r="BB768" s="7"/>
      <c r="BC768" s="4" t="s">
        <v>231</v>
      </c>
      <c r="BD768" s="8" t="s">
        <v>231</v>
      </c>
      <c r="BE768" s="4" t="s">
        <v>231</v>
      </c>
      <c r="BF768" s="8" t="s">
        <v>231</v>
      </c>
      <c r="BG768" s="7" t="s">
        <v>231</v>
      </c>
      <c r="BH768" s="7" t="s">
        <v>231</v>
      </c>
      <c r="BI768" s="7"/>
      <c r="BJ768" s="4"/>
      <c r="BK768" s="8"/>
      <c r="BL768" s="2" t="s">
        <v>4164</v>
      </c>
      <c r="BM768" s="7"/>
      <c r="BN768" s="7"/>
      <c r="BO768" s="4"/>
      <c r="BP768" s="8"/>
      <c r="BQ768" s="4"/>
      <c r="BR768" s="8"/>
      <c r="BS768" s="7"/>
      <c r="BT768" s="7"/>
      <c r="BU768" s="2" t="s">
        <v>4165</v>
      </c>
      <c r="BV768" s="2" t="s">
        <v>231</v>
      </c>
      <c r="BW768" s="2" t="s">
        <v>231</v>
      </c>
      <c r="BX768" s="2" t="s">
        <v>1360</v>
      </c>
      <c r="BY768" s="2" t="s">
        <v>277</v>
      </c>
      <c r="BZ768" s="2" t="s">
        <v>243</v>
      </c>
      <c r="CA768" s="2" t="s">
        <v>4160</v>
      </c>
      <c r="CB768" s="2" t="s">
        <v>4166</v>
      </c>
      <c r="CC768" s="2" t="s">
        <v>244</v>
      </c>
      <c r="CD768" s="2" t="s">
        <v>231</v>
      </c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</row>
    <row r="769">
      <c r="A769" s="2" t="s">
        <v>4167</v>
      </c>
      <c r="B769" s="2" t="s">
        <v>287</v>
      </c>
      <c r="C769" s="2" t="s">
        <v>1299</v>
      </c>
      <c r="D769" s="2" t="s">
        <v>289</v>
      </c>
      <c r="E769" s="2" t="s">
        <v>290</v>
      </c>
      <c r="F769" s="2" t="s">
        <v>4131</v>
      </c>
      <c r="G769" s="2" t="s">
        <v>4131</v>
      </c>
      <c r="H769" s="2" t="s">
        <v>4131</v>
      </c>
      <c r="I769" s="2" t="s">
        <v>359</v>
      </c>
      <c r="J769" s="2" t="s">
        <v>293</v>
      </c>
      <c r="K769" s="2" t="s">
        <v>4168</v>
      </c>
      <c r="L769" s="3">
        <v>24.3</v>
      </c>
      <c r="M769" s="3">
        <v>25.52</v>
      </c>
      <c r="N769" s="3">
        <v>54.99</v>
      </c>
      <c r="O769" s="2" t="s">
        <v>243</v>
      </c>
      <c r="P769" s="2" t="s">
        <v>270</v>
      </c>
      <c r="Q769" s="2" t="s">
        <v>237</v>
      </c>
      <c r="R769" s="2" t="s">
        <v>231</v>
      </c>
      <c r="S769" s="2" t="s">
        <v>4169</v>
      </c>
      <c r="T769" s="2" t="s">
        <v>4134</v>
      </c>
      <c r="U769" s="2" t="s">
        <v>231</v>
      </c>
      <c r="V769" s="2" t="s">
        <v>1304</v>
      </c>
      <c r="W769" s="2" t="s">
        <v>897</v>
      </c>
      <c r="X769" s="2" t="s">
        <v>273</v>
      </c>
      <c r="Y769" s="2" t="s">
        <v>4170</v>
      </c>
      <c r="Z769" s="4"/>
      <c r="AA769" s="4">
        <f>=ROUNDDOWN({0},0)</f>
      </c>
      <c r="AB769" s="5">
        <v>43</v>
      </c>
      <c r="AC769" s="2" t="s">
        <v>4135</v>
      </c>
      <c r="AD769" s="4">
        <v>356</v>
      </c>
      <c r="AE769" s="4">
        <v>1450</v>
      </c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231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231</v>
      </c>
      <c r="AW769" s="8" t="s">
        <v>231</v>
      </c>
      <c r="AX769" s="4" t="s">
        <v>231</v>
      </c>
      <c r="AY769" s="8" t="s">
        <v>231</v>
      </c>
      <c r="AZ769" s="7" t="s">
        <v>231</v>
      </c>
      <c r="BA769" s="7" t="s">
        <v>231</v>
      </c>
      <c r="BB769" s="7"/>
      <c r="BC769" s="4" t="s">
        <v>231</v>
      </c>
      <c r="BD769" s="8" t="s">
        <v>231</v>
      </c>
      <c r="BE769" s="4" t="s">
        <v>231</v>
      </c>
      <c r="BF769" s="8" t="s">
        <v>231</v>
      </c>
      <c r="BG769" s="7" t="s">
        <v>231</v>
      </c>
      <c r="BH769" s="7" t="s">
        <v>231</v>
      </c>
      <c r="BI769" s="7"/>
      <c r="BJ769" s="4"/>
      <c r="BK769" s="8"/>
      <c r="BL769" s="2" t="s">
        <v>231</v>
      </c>
      <c r="BM769" s="7"/>
      <c r="BN769" s="7"/>
      <c r="BO769" s="4"/>
      <c r="BP769" s="8"/>
      <c r="BQ769" s="4"/>
      <c r="BR769" s="8"/>
      <c r="BS769" s="7"/>
      <c r="BT769" s="7"/>
      <c r="BU769" s="2" t="s">
        <v>4171</v>
      </c>
      <c r="BV769" s="2" t="s">
        <v>231</v>
      </c>
      <c r="BW769" s="2" t="s">
        <v>231</v>
      </c>
      <c r="BX769" s="2" t="s">
        <v>4138</v>
      </c>
      <c r="BY769" s="2" t="s">
        <v>277</v>
      </c>
      <c r="BZ769" s="2" t="s">
        <v>243</v>
      </c>
      <c r="CA769" s="2" t="s">
        <v>4160</v>
      </c>
      <c r="CB769" s="2" t="s">
        <v>4172</v>
      </c>
      <c r="CC769" s="2" t="s">
        <v>244</v>
      </c>
      <c r="CD769" s="2" t="s">
        <v>231</v>
      </c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>
        <v>356</v>
      </c>
      <c r="DR769" s="4"/>
      <c r="DS769" s="4"/>
      <c r="DT769" s="4"/>
      <c r="DU769" s="4"/>
      <c r="DV769" s="4"/>
      <c r="DW769" s="4">
        <v>8</v>
      </c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>
        <v>706</v>
      </c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>
        <v>380</v>
      </c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</row>
    <row r="770">
      <c r="A770" s="2" t="s">
        <v>4173</v>
      </c>
      <c r="B770" s="2" t="s">
        <v>287</v>
      </c>
      <c r="C770" s="2" t="s">
        <v>1299</v>
      </c>
      <c r="D770" s="2" t="s">
        <v>289</v>
      </c>
      <c r="E770" s="2" t="s">
        <v>290</v>
      </c>
      <c r="F770" s="2" t="s">
        <v>4131</v>
      </c>
      <c r="G770" s="2" t="s">
        <v>4131</v>
      </c>
      <c r="H770" s="2" t="s">
        <v>4131</v>
      </c>
      <c r="I770" s="2" t="s">
        <v>359</v>
      </c>
      <c r="J770" s="2" t="s">
        <v>302</v>
      </c>
      <c r="K770" s="2" t="s">
        <v>4168</v>
      </c>
      <c r="L770" s="3">
        <v>28.98</v>
      </c>
      <c r="M770" s="3">
        <v>30.43</v>
      </c>
      <c r="N770" s="3">
        <v>64.99</v>
      </c>
      <c r="O770" s="2" t="s">
        <v>243</v>
      </c>
      <c r="P770" s="2" t="s">
        <v>270</v>
      </c>
      <c r="Q770" s="2" t="s">
        <v>237</v>
      </c>
      <c r="R770" s="2" t="s">
        <v>231</v>
      </c>
      <c r="S770" s="2" t="s">
        <v>4169</v>
      </c>
      <c r="T770" s="2" t="s">
        <v>4134</v>
      </c>
      <c r="U770" s="2" t="s">
        <v>231</v>
      </c>
      <c r="V770" s="2" t="s">
        <v>1304</v>
      </c>
      <c r="W770" s="2" t="s">
        <v>897</v>
      </c>
      <c r="X770" s="2" t="s">
        <v>273</v>
      </c>
      <c r="Y770" s="2" t="s">
        <v>4170</v>
      </c>
      <c r="Z770" s="4"/>
      <c r="AA770" s="4">
        <f>=ROUNDDOWN({0},0)</f>
      </c>
      <c r="AB770" s="5">
        <v>12</v>
      </c>
      <c r="AC770" s="2" t="s">
        <v>4135</v>
      </c>
      <c r="AD770" s="4">
        <v>125</v>
      </c>
      <c r="AE770" s="4">
        <v>444</v>
      </c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231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231</v>
      </c>
      <c r="AW770" s="8" t="s">
        <v>231</v>
      </c>
      <c r="AX770" s="4" t="s">
        <v>231</v>
      </c>
      <c r="AY770" s="8" t="s">
        <v>231</v>
      </c>
      <c r="AZ770" s="7" t="s">
        <v>231</v>
      </c>
      <c r="BA770" s="7" t="s">
        <v>231</v>
      </c>
      <c r="BB770" s="7"/>
      <c r="BC770" s="4" t="s">
        <v>231</v>
      </c>
      <c r="BD770" s="8" t="s">
        <v>231</v>
      </c>
      <c r="BE770" s="4" t="s">
        <v>231</v>
      </c>
      <c r="BF770" s="8" t="s">
        <v>231</v>
      </c>
      <c r="BG770" s="7" t="s">
        <v>231</v>
      </c>
      <c r="BH770" s="7" t="s">
        <v>231</v>
      </c>
      <c r="BI770" s="7"/>
      <c r="BJ770" s="4"/>
      <c r="BK770" s="8"/>
      <c r="BL770" s="2" t="s">
        <v>4174</v>
      </c>
      <c r="BM770" s="7"/>
      <c r="BN770" s="7"/>
      <c r="BO770" s="4"/>
      <c r="BP770" s="8"/>
      <c r="BQ770" s="4"/>
      <c r="BR770" s="8"/>
      <c r="BS770" s="7"/>
      <c r="BT770" s="7"/>
      <c r="BU770" s="2" t="s">
        <v>4175</v>
      </c>
      <c r="BV770" s="2" t="s">
        <v>231</v>
      </c>
      <c r="BW770" s="2" t="s">
        <v>231</v>
      </c>
      <c r="BX770" s="2" t="s">
        <v>4138</v>
      </c>
      <c r="BY770" s="2" t="s">
        <v>277</v>
      </c>
      <c r="BZ770" s="2" t="s">
        <v>243</v>
      </c>
      <c r="CA770" s="2" t="s">
        <v>4160</v>
      </c>
      <c r="CB770" s="2" t="s">
        <v>771</v>
      </c>
      <c r="CC770" s="2" t="s">
        <v>244</v>
      </c>
      <c r="CD770" s="2" t="s">
        <v>231</v>
      </c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>
        <v>125</v>
      </c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>
        <v>206</v>
      </c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>
        <v>113</v>
      </c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</row>
    <row r="771">
      <c r="A771" s="2" t="s">
        <v>4176</v>
      </c>
      <c r="B771" s="2" t="s">
        <v>287</v>
      </c>
      <c r="C771" s="2" t="s">
        <v>1299</v>
      </c>
      <c r="D771" s="2" t="s">
        <v>289</v>
      </c>
      <c r="E771" s="2" t="s">
        <v>290</v>
      </c>
      <c r="F771" s="2" t="s">
        <v>4131</v>
      </c>
      <c r="G771" s="2" t="s">
        <v>4131</v>
      </c>
      <c r="H771" s="2" t="s">
        <v>4131</v>
      </c>
      <c r="I771" s="2" t="s">
        <v>359</v>
      </c>
      <c r="J771" s="2" t="s">
        <v>304</v>
      </c>
      <c r="K771" s="2" t="s">
        <v>4168</v>
      </c>
      <c r="L771" s="3">
        <v>28.98</v>
      </c>
      <c r="M771" s="3">
        <v>30.43</v>
      </c>
      <c r="N771" s="3">
        <v>64.99</v>
      </c>
      <c r="O771" s="2" t="s">
        <v>243</v>
      </c>
      <c r="P771" s="2" t="s">
        <v>270</v>
      </c>
      <c r="Q771" s="2" t="s">
        <v>237</v>
      </c>
      <c r="R771" s="2" t="s">
        <v>231</v>
      </c>
      <c r="S771" s="2" t="s">
        <v>4169</v>
      </c>
      <c r="T771" s="2" t="s">
        <v>4134</v>
      </c>
      <c r="U771" s="2" t="s">
        <v>231</v>
      </c>
      <c r="V771" s="2" t="s">
        <v>1304</v>
      </c>
      <c r="W771" s="2" t="s">
        <v>897</v>
      </c>
      <c r="X771" s="2" t="s">
        <v>273</v>
      </c>
      <c r="Y771" s="2" t="s">
        <v>4170</v>
      </c>
      <c r="Z771" s="4"/>
      <c r="AA771" s="4">
        <f>=ROUNDDOWN({0},0)</f>
      </c>
      <c r="AB771" s="5">
        <v>7</v>
      </c>
      <c r="AC771" s="2" t="s">
        <v>4135</v>
      </c>
      <c r="AD771" s="4">
        <v>76</v>
      </c>
      <c r="AE771" s="4">
        <v>304</v>
      </c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231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231</v>
      </c>
      <c r="AW771" s="8" t="s">
        <v>231</v>
      </c>
      <c r="AX771" s="4" t="s">
        <v>231</v>
      </c>
      <c r="AY771" s="8" t="s">
        <v>231</v>
      </c>
      <c r="AZ771" s="7" t="s">
        <v>231</v>
      </c>
      <c r="BA771" s="7" t="s">
        <v>231</v>
      </c>
      <c r="BB771" s="7"/>
      <c r="BC771" s="4" t="s">
        <v>231</v>
      </c>
      <c r="BD771" s="8" t="s">
        <v>231</v>
      </c>
      <c r="BE771" s="4" t="s">
        <v>231</v>
      </c>
      <c r="BF771" s="8" t="s">
        <v>231</v>
      </c>
      <c r="BG771" s="7" t="s">
        <v>231</v>
      </c>
      <c r="BH771" s="7" t="s">
        <v>231</v>
      </c>
      <c r="BI771" s="7"/>
      <c r="BJ771" s="4"/>
      <c r="BK771" s="8"/>
      <c r="BL771" s="2" t="s">
        <v>4177</v>
      </c>
      <c r="BM771" s="7"/>
      <c r="BN771" s="7"/>
      <c r="BO771" s="4"/>
      <c r="BP771" s="8"/>
      <c r="BQ771" s="4"/>
      <c r="BR771" s="8"/>
      <c r="BS771" s="7"/>
      <c r="BT771" s="7"/>
      <c r="BU771" s="2" t="s">
        <v>4178</v>
      </c>
      <c r="BV771" s="2" t="s">
        <v>231</v>
      </c>
      <c r="BW771" s="2" t="s">
        <v>231</v>
      </c>
      <c r="BX771" s="2" t="s">
        <v>4138</v>
      </c>
      <c r="BY771" s="2" t="s">
        <v>277</v>
      </c>
      <c r="BZ771" s="2" t="s">
        <v>243</v>
      </c>
      <c r="CA771" s="2" t="s">
        <v>4160</v>
      </c>
      <c r="CB771" s="2" t="s">
        <v>4179</v>
      </c>
      <c r="CC771" s="2" t="s">
        <v>244</v>
      </c>
      <c r="CD771" s="2" t="s">
        <v>231</v>
      </c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>
        <v>76</v>
      </c>
      <c r="DR771" s="4"/>
      <c r="DS771" s="4"/>
      <c r="DT771" s="4"/>
      <c r="DU771" s="4"/>
      <c r="DV771" s="4"/>
      <c r="DW771" s="4">
        <v>6</v>
      </c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>
        <v>152</v>
      </c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>
        <v>70</v>
      </c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</row>
    <row r="772">
      <c r="A772" s="2" t="s">
        <v>4180</v>
      </c>
      <c r="B772" s="2" t="s">
        <v>287</v>
      </c>
      <c r="C772" s="2" t="s">
        <v>1299</v>
      </c>
      <c r="D772" s="2" t="s">
        <v>289</v>
      </c>
      <c r="E772" s="2" t="s">
        <v>290</v>
      </c>
      <c r="F772" s="2" t="s">
        <v>4131</v>
      </c>
      <c r="G772" s="2" t="s">
        <v>4131</v>
      </c>
      <c r="H772" s="2" t="s">
        <v>4131</v>
      </c>
      <c r="I772" s="2" t="s">
        <v>359</v>
      </c>
      <c r="J772" s="2" t="s">
        <v>293</v>
      </c>
      <c r="K772" s="2" t="s">
        <v>4181</v>
      </c>
      <c r="L772" s="3">
        <v>24.3</v>
      </c>
      <c r="M772" s="3">
        <v>25.52</v>
      </c>
      <c r="N772" s="3">
        <v>54.99</v>
      </c>
      <c r="O772" s="2" t="s">
        <v>243</v>
      </c>
      <c r="P772" s="2" t="s">
        <v>1281</v>
      </c>
      <c r="Q772" s="2" t="s">
        <v>237</v>
      </c>
      <c r="R772" s="2" t="s">
        <v>231</v>
      </c>
      <c r="S772" s="2" t="s">
        <v>4182</v>
      </c>
      <c r="T772" s="2" t="s">
        <v>4134</v>
      </c>
      <c r="U772" s="2" t="s">
        <v>298</v>
      </c>
      <c r="V772" s="2" t="s">
        <v>4046</v>
      </c>
      <c r="W772" s="2" t="s">
        <v>273</v>
      </c>
      <c r="X772" s="2" t="s">
        <v>231</v>
      </c>
      <c r="Y772" s="2" t="s">
        <v>4183</v>
      </c>
      <c r="Z772" s="4"/>
      <c r="AA772" s="4">
        <f>=ROUNDDOWN({0},0)</f>
      </c>
      <c r="AB772" s="5">
        <v>33</v>
      </c>
      <c r="AC772" s="2" t="s">
        <v>4135</v>
      </c>
      <c r="AD772" s="4">
        <v>280</v>
      </c>
      <c r="AE772" s="4">
        <v>1098</v>
      </c>
      <c r="AF772" s="6">
        <v>70</v>
      </c>
      <c r="AG772" s="6"/>
      <c r="AH772" s="7">
        <v>0</v>
      </c>
      <c r="AI772" s="4"/>
      <c r="AJ772" s="4">
        <f>=ROUNDDOWN({0},0)</f>
      </c>
      <c r="AK772" s="5"/>
      <c r="AL772" s="2" t="s">
        <v>231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231</v>
      </c>
      <c r="AW772" s="8" t="s">
        <v>231</v>
      </c>
      <c r="AX772" s="4" t="s">
        <v>231</v>
      </c>
      <c r="AY772" s="8" t="s">
        <v>231</v>
      </c>
      <c r="AZ772" s="7" t="s">
        <v>231</v>
      </c>
      <c r="BA772" s="7" t="s">
        <v>231</v>
      </c>
      <c r="BB772" s="7"/>
      <c r="BC772" s="4" t="s">
        <v>231</v>
      </c>
      <c r="BD772" s="8" t="s">
        <v>231</v>
      </c>
      <c r="BE772" s="4" t="s">
        <v>231</v>
      </c>
      <c r="BF772" s="8" t="s">
        <v>231</v>
      </c>
      <c r="BG772" s="7" t="s">
        <v>231</v>
      </c>
      <c r="BH772" s="7" t="s">
        <v>231</v>
      </c>
      <c r="BI772" s="7"/>
      <c r="BJ772" s="4"/>
      <c r="BK772" s="8"/>
      <c r="BL772" s="2" t="s">
        <v>1306</v>
      </c>
      <c r="BM772" s="7"/>
      <c r="BN772" s="7"/>
      <c r="BO772" s="4"/>
      <c r="BP772" s="8"/>
      <c r="BQ772" s="4"/>
      <c r="BR772" s="8"/>
      <c r="BS772" s="7"/>
      <c r="BT772" s="7"/>
      <c r="BU772" s="2" t="s">
        <v>4184</v>
      </c>
      <c r="BV772" s="2" t="s">
        <v>231</v>
      </c>
      <c r="BW772" s="2" t="s">
        <v>231</v>
      </c>
      <c r="BX772" s="2" t="s">
        <v>4138</v>
      </c>
      <c r="BY772" s="2" t="s">
        <v>277</v>
      </c>
      <c r="BZ772" s="2" t="s">
        <v>243</v>
      </c>
      <c r="CA772" s="2" t="s">
        <v>4185</v>
      </c>
      <c r="CB772" s="2" t="s">
        <v>4186</v>
      </c>
      <c r="CC772" s="2" t="s">
        <v>244</v>
      </c>
      <c r="CD772" s="2" t="s">
        <v>231</v>
      </c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>
        <v>280</v>
      </c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>
        <v>520</v>
      </c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>
        <v>298</v>
      </c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</row>
    <row r="773">
      <c r="A773" s="2" t="s">
        <v>4187</v>
      </c>
      <c r="B773" s="2" t="s">
        <v>287</v>
      </c>
      <c r="C773" s="2" t="s">
        <v>1299</v>
      </c>
      <c r="D773" s="2" t="s">
        <v>289</v>
      </c>
      <c r="E773" s="2" t="s">
        <v>290</v>
      </c>
      <c r="F773" s="2" t="s">
        <v>4131</v>
      </c>
      <c r="G773" s="2" t="s">
        <v>4131</v>
      </c>
      <c r="H773" s="2" t="s">
        <v>4131</v>
      </c>
      <c r="I773" s="2" t="s">
        <v>359</v>
      </c>
      <c r="J773" s="2" t="s">
        <v>302</v>
      </c>
      <c r="K773" s="2" t="s">
        <v>4181</v>
      </c>
      <c r="L773" s="3">
        <v>28.98</v>
      </c>
      <c r="M773" s="3">
        <v>30.43</v>
      </c>
      <c r="N773" s="3">
        <v>64.99</v>
      </c>
      <c r="O773" s="2" t="s">
        <v>243</v>
      </c>
      <c r="P773" s="2" t="s">
        <v>270</v>
      </c>
      <c r="Q773" s="2" t="s">
        <v>237</v>
      </c>
      <c r="R773" s="2" t="s">
        <v>231</v>
      </c>
      <c r="S773" s="2" t="s">
        <v>4188</v>
      </c>
      <c r="T773" s="2" t="s">
        <v>4134</v>
      </c>
      <c r="U773" s="2" t="s">
        <v>298</v>
      </c>
      <c r="V773" s="2" t="s">
        <v>4046</v>
      </c>
      <c r="W773" s="2" t="s">
        <v>897</v>
      </c>
      <c r="X773" s="2" t="s">
        <v>273</v>
      </c>
      <c r="Y773" s="2" t="s">
        <v>4183</v>
      </c>
      <c r="Z773" s="4"/>
      <c r="AA773" s="4">
        <f>=ROUNDDOWN({0},0)</f>
      </c>
      <c r="AB773" s="5">
        <v>11</v>
      </c>
      <c r="AC773" s="2" t="s">
        <v>4135</v>
      </c>
      <c r="AD773" s="4">
        <v>114</v>
      </c>
      <c r="AE773" s="4">
        <v>403</v>
      </c>
      <c r="AF773" s="6">
        <v>70</v>
      </c>
      <c r="AG773" s="6"/>
      <c r="AH773" s="7">
        <v>0</v>
      </c>
      <c r="AI773" s="4"/>
      <c r="AJ773" s="4">
        <f>=ROUNDDOWN({0},0)</f>
      </c>
      <c r="AK773" s="5"/>
      <c r="AL773" s="2" t="s">
        <v>231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231</v>
      </c>
      <c r="AW773" s="8" t="s">
        <v>231</v>
      </c>
      <c r="AX773" s="4" t="s">
        <v>231</v>
      </c>
      <c r="AY773" s="8" t="s">
        <v>231</v>
      </c>
      <c r="AZ773" s="7" t="s">
        <v>231</v>
      </c>
      <c r="BA773" s="7" t="s">
        <v>231</v>
      </c>
      <c r="BB773" s="7"/>
      <c r="BC773" s="4" t="s">
        <v>231</v>
      </c>
      <c r="BD773" s="8" t="s">
        <v>231</v>
      </c>
      <c r="BE773" s="4" t="s">
        <v>231</v>
      </c>
      <c r="BF773" s="8" t="s">
        <v>231</v>
      </c>
      <c r="BG773" s="7" t="s">
        <v>231</v>
      </c>
      <c r="BH773" s="7" t="s">
        <v>231</v>
      </c>
      <c r="BI773" s="7"/>
      <c r="BJ773" s="4"/>
      <c r="BK773" s="8"/>
      <c r="BL773" s="2" t="s">
        <v>4189</v>
      </c>
      <c r="BM773" s="7"/>
      <c r="BN773" s="7"/>
      <c r="BO773" s="4"/>
      <c r="BP773" s="8"/>
      <c r="BQ773" s="4"/>
      <c r="BR773" s="8"/>
      <c r="BS773" s="7"/>
      <c r="BT773" s="7"/>
      <c r="BU773" s="2" t="s">
        <v>4190</v>
      </c>
      <c r="BV773" s="2" t="s">
        <v>231</v>
      </c>
      <c r="BW773" s="2" t="s">
        <v>231</v>
      </c>
      <c r="BX773" s="2" t="s">
        <v>4138</v>
      </c>
      <c r="BY773" s="2" t="s">
        <v>277</v>
      </c>
      <c r="BZ773" s="2" t="s">
        <v>243</v>
      </c>
      <c r="CA773" s="2" t="s">
        <v>4185</v>
      </c>
      <c r="CB773" s="2" t="s">
        <v>4191</v>
      </c>
      <c r="CC773" s="2" t="s">
        <v>244</v>
      </c>
      <c r="CD773" s="2" t="s">
        <v>231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>
        <v>114</v>
      </c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>
        <v>183</v>
      </c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>
        <v>106</v>
      </c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</row>
    <row r="774">
      <c r="A774" s="2" t="s">
        <v>4192</v>
      </c>
      <c r="B774" s="2" t="s">
        <v>287</v>
      </c>
      <c r="C774" s="2" t="s">
        <v>1299</v>
      </c>
      <c r="D774" s="2" t="s">
        <v>289</v>
      </c>
      <c r="E774" s="2" t="s">
        <v>290</v>
      </c>
      <c r="F774" s="2" t="s">
        <v>4131</v>
      </c>
      <c r="G774" s="2" t="s">
        <v>4131</v>
      </c>
      <c r="H774" s="2" t="s">
        <v>4131</v>
      </c>
      <c r="I774" s="2" t="s">
        <v>359</v>
      </c>
      <c r="J774" s="2" t="s">
        <v>318</v>
      </c>
      <c r="K774" s="2" t="s">
        <v>4193</v>
      </c>
      <c r="L774" s="3">
        <v>19.8</v>
      </c>
      <c r="M774" s="3">
        <v>20.79</v>
      </c>
      <c r="N774" s="3">
        <v>44.99</v>
      </c>
      <c r="O774" s="2" t="s">
        <v>243</v>
      </c>
      <c r="P774" s="2" t="s">
        <v>236</v>
      </c>
      <c r="Q774" s="2" t="s">
        <v>237</v>
      </c>
      <c r="R774" s="2" t="s">
        <v>231</v>
      </c>
      <c r="S774" s="2" t="s">
        <v>4194</v>
      </c>
      <c r="T774" s="2" t="s">
        <v>4134</v>
      </c>
      <c r="U774" s="2" t="s">
        <v>835</v>
      </c>
      <c r="V774" s="2" t="s">
        <v>4046</v>
      </c>
      <c r="W774" s="2" t="s">
        <v>897</v>
      </c>
      <c r="X774" s="2" t="s">
        <v>273</v>
      </c>
      <c r="Y774" s="2" t="s">
        <v>231</v>
      </c>
      <c r="Z774" s="4"/>
      <c r="AA774" s="4">
        <f>=ROUNDDOWN({0},0)</f>
      </c>
      <c r="AB774" s="5"/>
      <c r="AC774" s="2" t="s">
        <v>4195</v>
      </c>
      <c r="AD774" s="4">
        <v>435</v>
      </c>
      <c r="AE774" s="4">
        <v>696</v>
      </c>
      <c r="AF774" s="6">
        <v>69</v>
      </c>
      <c r="AG774" s="6"/>
      <c r="AH774" s="7">
        <v>0</v>
      </c>
      <c r="AI774" s="4"/>
      <c r="AJ774" s="4">
        <f>=ROUNDDOWN({0},0)</f>
      </c>
      <c r="AK774" s="5"/>
      <c r="AL774" s="2" t="s">
        <v>231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231</v>
      </c>
      <c r="AW774" s="8" t="s">
        <v>231</v>
      </c>
      <c r="AX774" s="4" t="s">
        <v>231</v>
      </c>
      <c r="AY774" s="8" t="s">
        <v>231</v>
      </c>
      <c r="AZ774" s="7" t="s">
        <v>231</v>
      </c>
      <c r="BA774" s="7" t="s">
        <v>231</v>
      </c>
      <c r="BB774" s="7"/>
      <c r="BC774" s="4" t="s">
        <v>231</v>
      </c>
      <c r="BD774" s="8" t="s">
        <v>231</v>
      </c>
      <c r="BE774" s="4" t="s">
        <v>231</v>
      </c>
      <c r="BF774" s="8" t="s">
        <v>231</v>
      </c>
      <c r="BG774" s="7" t="s">
        <v>231</v>
      </c>
      <c r="BH774" s="7" t="s">
        <v>231</v>
      </c>
      <c r="BI774" s="7"/>
      <c r="BJ774" s="4"/>
      <c r="BK774" s="8"/>
      <c r="BL774" s="2" t="s">
        <v>231</v>
      </c>
      <c r="BM774" s="7"/>
      <c r="BN774" s="7"/>
      <c r="BO774" s="4"/>
      <c r="BP774" s="8"/>
      <c r="BQ774" s="4"/>
      <c r="BR774" s="8"/>
      <c r="BS774" s="7"/>
      <c r="BT774" s="7"/>
      <c r="BU774" s="2" t="s">
        <v>241</v>
      </c>
      <c r="BV774" s="2" t="s">
        <v>231</v>
      </c>
      <c r="BW774" s="2" t="s">
        <v>231</v>
      </c>
      <c r="BX774" s="2" t="s">
        <v>4138</v>
      </c>
      <c r="BY774" s="2" t="s">
        <v>242</v>
      </c>
      <c r="BZ774" s="2" t="s">
        <v>243</v>
      </c>
      <c r="CA774" s="2" t="s">
        <v>231</v>
      </c>
      <c r="CB774" s="2" t="s">
        <v>231</v>
      </c>
      <c r="CC774" s="2" t="s">
        <v>244</v>
      </c>
      <c r="CD774" s="2" t="s">
        <v>231</v>
      </c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>
        <v>435</v>
      </c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>
        <v>261</v>
      </c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</row>
    <row r="775">
      <c r="A775" s="2" t="s">
        <v>4196</v>
      </c>
      <c r="B775" s="2" t="s">
        <v>287</v>
      </c>
      <c r="C775" s="2" t="s">
        <v>1299</v>
      </c>
      <c r="D775" s="2" t="s">
        <v>289</v>
      </c>
      <c r="E775" s="2" t="s">
        <v>290</v>
      </c>
      <c r="F775" s="2" t="s">
        <v>4131</v>
      </c>
      <c r="G775" s="2" t="s">
        <v>4131</v>
      </c>
      <c r="H775" s="2" t="s">
        <v>4131</v>
      </c>
      <c r="I775" s="2" t="s">
        <v>359</v>
      </c>
      <c r="J775" s="2" t="s">
        <v>281</v>
      </c>
      <c r="K775" s="2" t="s">
        <v>4193</v>
      </c>
      <c r="L775" s="3">
        <v>21.78</v>
      </c>
      <c r="M775" s="3">
        <v>22.87</v>
      </c>
      <c r="N775" s="3">
        <v>49.99</v>
      </c>
      <c r="O775" s="2" t="s">
        <v>243</v>
      </c>
      <c r="P775" s="2" t="s">
        <v>236</v>
      </c>
      <c r="Q775" s="2" t="s">
        <v>237</v>
      </c>
      <c r="R775" s="2" t="s">
        <v>231</v>
      </c>
      <c r="S775" s="2" t="s">
        <v>4194</v>
      </c>
      <c r="T775" s="2" t="s">
        <v>4134</v>
      </c>
      <c r="U775" s="2" t="s">
        <v>298</v>
      </c>
      <c r="V775" s="2" t="s">
        <v>4046</v>
      </c>
      <c r="W775" s="2" t="s">
        <v>897</v>
      </c>
      <c r="X775" s="2" t="s">
        <v>273</v>
      </c>
      <c r="Y775" s="2" t="s">
        <v>231</v>
      </c>
      <c r="Z775" s="4"/>
      <c r="AA775" s="4">
        <f>=ROUNDDOWN({0},0)</f>
      </c>
      <c r="AB775" s="5"/>
      <c r="AC775" s="2" t="s">
        <v>4195</v>
      </c>
      <c r="AD775" s="4">
        <v>336</v>
      </c>
      <c r="AE775" s="4">
        <v>538</v>
      </c>
      <c r="AF775" s="6">
        <v>69</v>
      </c>
      <c r="AG775" s="6"/>
      <c r="AH775" s="7">
        <v>0</v>
      </c>
      <c r="AI775" s="4"/>
      <c r="AJ775" s="4">
        <f>=ROUNDDOWN({0},0)</f>
      </c>
      <c r="AK775" s="5"/>
      <c r="AL775" s="2" t="s">
        <v>231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231</v>
      </c>
      <c r="AW775" s="8" t="s">
        <v>231</v>
      </c>
      <c r="AX775" s="4" t="s">
        <v>231</v>
      </c>
      <c r="AY775" s="8" t="s">
        <v>231</v>
      </c>
      <c r="AZ775" s="7" t="s">
        <v>231</v>
      </c>
      <c r="BA775" s="7" t="s">
        <v>231</v>
      </c>
      <c r="BB775" s="7"/>
      <c r="BC775" s="4" t="s">
        <v>231</v>
      </c>
      <c r="BD775" s="8" t="s">
        <v>231</v>
      </c>
      <c r="BE775" s="4" t="s">
        <v>231</v>
      </c>
      <c r="BF775" s="8" t="s">
        <v>231</v>
      </c>
      <c r="BG775" s="7" t="s">
        <v>231</v>
      </c>
      <c r="BH775" s="7" t="s">
        <v>231</v>
      </c>
      <c r="BI775" s="7"/>
      <c r="BJ775" s="4"/>
      <c r="BK775" s="8"/>
      <c r="BL775" s="2" t="s">
        <v>231</v>
      </c>
      <c r="BM775" s="7"/>
      <c r="BN775" s="7"/>
      <c r="BO775" s="4"/>
      <c r="BP775" s="8"/>
      <c r="BQ775" s="4"/>
      <c r="BR775" s="8"/>
      <c r="BS775" s="7"/>
      <c r="BT775" s="7"/>
      <c r="BU775" s="2" t="s">
        <v>241</v>
      </c>
      <c r="BV775" s="2" t="s">
        <v>231</v>
      </c>
      <c r="BW775" s="2" t="s">
        <v>231</v>
      </c>
      <c r="BX775" s="2" t="s">
        <v>4138</v>
      </c>
      <c r="BY775" s="2" t="s">
        <v>242</v>
      </c>
      <c r="BZ775" s="2" t="s">
        <v>243</v>
      </c>
      <c r="CA775" s="2" t="s">
        <v>231</v>
      </c>
      <c r="CB775" s="2" t="s">
        <v>231</v>
      </c>
      <c r="CC775" s="2" t="s">
        <v>244</v>
      </c>
      <c r="CD775" s="2" t="s">
        <v>231</v>
      </c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>
        <v>336</v>
      </c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>
        <v>202</v>
      </c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</row>
    <row r="776">
      <c r="A776" s="2" t="s">
        <v>4197</v>
      </c>
      <c r="B776" s="2" t="s">
        <v>287</v>
      </c>
      <c r="C776" s="2" t="s">
        <v>1299</v>
      </c>
      <c r="D776" s="2" t="s">
        <v>289</v>
      </c>
      <c r="E776" s="2" t="s">
        <v>290</v>
      </c>
      <c r="F776" s="2" t="s">
        <v>4131</v>
      </c>
      <c r="G776" s="2" t="s">
        <v>4131</v>
      </c>
      <c r="H776" s="2" t="s">
        <v>4131</v>
      </c>
      <c r="I776" s="2" t="s">
        <v>359</v>
      </c>
      <c r="J776" s="2" t="s">
        <v>293</v>
      </c>
      <c r="K776" s="2" t="s">
        <v>4193</v>
      </c>
      <c r="L776" s="3">
        <v>24.3</v>
      </c>
      <c r="M776" s="3">
        <v>25.52</v>
      </c>
      <c r="N776" s="3">
        <v>54.99</v>
      </c>
      <c r="O776" s="2" t="s">
        <v>243</v>
      </c>
      <c r="P776" s="2" t="s">
        <v>4057</v>
      </c>
      <c r="Q776" s="2" t="s">
        <v>237</v>
      </c>
      <c r="R776" s="2" t="s">
        <v>231</v>
      </c>
      <c r="S776" s="2" t="s">
        <v>4198</v>
      </c>
      <c r="T776" s="2" t="s">
        <v>4134</v>
      </c>
      <c r="U776" s="2" t="s">
        <v>231</v>
      </c>
      <c r="V776" s="2" t="s">
        <v>4046</v>
      </c>
      <c r="W776" s="2" t="s">
        <v>897</v>
      </c>
      <c r="X776" s="2" t="s">
        <v>273</v>
      </c>
      <c r="Y776" s="2" t="s">
        <v>274</v>
      </c>
      <c r="Z776" s="4">
        <v>2</v>
      </c>
      <c r="AA776" s="4">
        <f>=ROUNDDOWN(0.0303030303030303,0)</f>
      </c>
      <c r="AB776" s="5">
        <v>66</v>
      </c>
      <c r="AC776" s="2" t="s">
        <v>4135</v>
      </c>
      <c r="AD776" s="4">
        <v>630</v>
      </c>
      <c r="AE776" s="4">
        <v>2296</v>
      </c>
      <c r="AF776" s="6">
        <v>69</v>
      </c>
      <c r="AG776" s="6"/>
      <c r="AH776" s="7">
        <v>0</v>
      </c>
      <c r="AI776" s="4"/>
      <c r="AJ776" s="4">
        <f>=ROUNDDOWN({0},0)</f>
      </c>
      <c r="AK776" s="5"/>
      <c r="AL776" s="2" t="s">
        <v>231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231</v>
      </c>
      <c r="AW776" s="8" t="s">
        <v>231</v>
      </c>
      <c r="AX776" s="4" t="s">
        <v>231</v>
      </c>
      <c r="AY776" s="8" t="s">
        <v>231</v>
      </c>
      <c r="AZ776" s="7" t="s">
        <v>231</v>
      </c>
      <c r="BA776" s="7" t="s">
        <v>231</v>
      </c>
      <c r="BB776" s="7"/>
      <c r="BC776" s="4" t="s">
        <v>231</v>
      </c>
      <c r="BD776" s="8" t="s">
        <v>231</v>
      </c>
      <c r="BE776" s="4" t="s">
        <v>231</v>
      </c>
      <c r="BF776" s="8" t="s">
        <v>231</v>
      </c>
      <c r="BG776" s="7" t="s">
        <v>231</v>
      </c>
      <c r="BH776" s="7" t="s">
        <v>231</v>
      </c>
      <c r="BI776" s="7"/>
      <c r="BJ776" s="4">
        <v>1</v>
      </c>
      <c r="BK776" s="8">
        <v>54.99</v>
      </c>
      <c r="BL776" s="2" t="s">
        <v>1028</v>
      </c>
      <c r="BM776" s="7"/>
      <c r="BN776" s="7"/>
      <c r="BO776" s="4"/>
      <c r="BP776" s="8"/>
      <c r="BQ776" s="4"/>
      <c r="BR776" s="8"/>
      <c r="BS776" s="7"/>
      <c r="BT776" s="7"/>
      <c r="BU776" s="2" t="s">
        <v>4199</v>
      </c>
      <c r="BV776" s="2" t="s">
        <v>231</v>
      </c>
      <c r="BW776" s="2" t="s">
        <v>231</v>
      </c>
      <c r="BX776" s="2" t="s">
        <v>4138</v>
      </c>
      <c r="BY776" s="2" t="s">
        <v>277</v>
      </c>
      <c r="BZ776" s="2" t="s">
        <v>243</v>
      </c>
      <c r="CA776" s="2" t="s">
        <v>4200</v>
      </c>
      <c r="CB776" s="2" t="s">
        <v>4201</v>
      </c>
      <c r="CC776" s="2" t="s">
        <v>244</v>
      </c>
      <c r="CD776" s="2" t="s">
        <v>231</v>
      </c>
      <c r="CE776" s="4">
        <v>2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>
        <v>630</v>
      </c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>
        <v>1080</v>
      </c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>
        <v>586</v>
      </c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</row>
    <row r="777">
      <c r="A777" s="2" t="s">
        <v>4202</v>
      </c>
      <c r="B777" s="2" t="s">
        <v>287</v>
      </c>
      <c r="C777" s="2" t="s">
        <v>1299</v>
      </c>
      <c r="D777" s="2" t="s">
        <v>289</v>
      </c>
      <c r="E777" s="2" t="s">
        <v>290</v>
      </c>
      <c r="F777" s="2" t="s">
        <v>4131</v>
      </c>
      <c r="G777" s="2" t="s">
        <v>4131</v>
      </c>
      <c r="H777" s="2" t="s">
        <v>4131</v>
      </c>
      <c r="I777" s="2" t="s">
        <v>359</v>
      </c>
      <c r="J777" s="2" t="s">
        <v>302</v>
      </c>
      <c r="K777" s="2" t="s">
        <v>4193</v>
      </c>
      <c r="L777" s="3">
        <v>28.98</v>
      </c>
      <c r="M777" s="3">
        <v>30.43</v>
      </c>
      <c r="N777" s="3">
        <v>64.99</v>
      </c>
      <c r="O777" s="2" t="s">
        <v>243</v>
      </c>
      <c r="P777" s="2" t="s">
        <v>1281</v>
      </c>
      <c r="Q777" s="2" t="s">
        <v>237</v>
      </c>
      <c r="R777" s="2" t="s">
        <v>231</v>
      </c>
      <c r="S777" s="2" t="s">
        <v>4198</v>
      </c>
      <c r="T777" s="2" t="s">
        <v>4134</v>
      </c>
      <c r="U777" s="2" t="s">
        <v>231</v>
      </c>
      <c r="V777" s="2" t="s">
        <v>4046</v>
      </c>
      <c r="W777" s="2" t="s">
        <v>897</v>
      </c>
      <c r="X777" s="2" t="s">
        <v>273</v>
      </c>
      <c r="Y777" s="2" t="s">
        <v>274</v>
      </c>
      <c r="Z777" s="4"/>
      <c r="AA777" s="4">
        <f>=ROUNDDOWN({0},0)</f>
      </c>
      <c r="AB777" s="5">
        <v>17</v>
      </c>
      <c r="AC777" s="2" t="s">
        <v>4135</v>
      </c>
      <c r="AD777" s="4">
        <v>172</v>
      </c>
      <c r="AE777" s="4">
        <v>613</v>
      </c>
      <c r="AF777" s="6">
        <v>69</v>
      </c>
      <c r="AG777" s="6"/>
      <c r="AH777" s="7">
        <v>0</v>
      </c>
      <c r="AI777" s="4"/>
      <c r="AJ777" s="4">
        <f>=ROUNDDOWN({0},0)</f>
      </c>
      <c r="AK777" s="5"/>
      <c r="AL777" s="2" t="s">
        <v>231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231</v>
      </c>
      <c r="AW777" s="8" t="s">
        <v>231</v>
      </c>
      <c r="AX777" s="4" t="s">
        <v>231</v>
      </c>
      <c r="AY777" s="8" t="s">
        <v>231</v>
      </c>
      <c r="AZ777" s="7" t="s">
        <v>231</v>
      </c>
      <c r="BA777" s="7" t="s">
        <v>231</v>
      </c>
      <c r="BB777" s="7"/>
      <c r="BC777" s="4" t="s">
        <v>231</v>
      </c>
      <c r="BD777" s="8" t="s">
        <v>231</v>
      </c>
      <c r="BE777" s="4" t="s">
        <v>231</v>
      </c>
      <c r="BF777" s="8" t="s">
        <v>231</v>
      </c>
      <c r="BG777" s="7" t="s">
        <v>231</v>
      </c>
      <c r="BH777" s="7" t="s">
        <v>231</v>
      </c>
      <c r="BI777" s="7"/>
      <c r="BJ777" s="4"/>
      <c r="BK777" s="8"/>
      <c r="BL777" s="2" t="s">
        <v>4203</v>
      </c>
      <c r="BM777" s="7"/>
      <c r="BN777" s="7"/>
      <c r="BO777" s="4"/>
      <c r="BP777" s="8"/>
      <c r="BQ777" s="4"/>
      <c r="BR777" s="8"/>
      <c r="BS777" s="7"/>
      <c r="BT777" s="7"/>
      <c r="BU777" s="2" t="s">
        <v>4204</v>
      </c>
      <c r="BV777" s="2" t="s">
        <v>231</v>
      </c>
      <c r="BW777" s="2" t="s">
        <v>231</v>
      </c>
      <c r="BX777" s="2" t="s">
        <v>4138</v>
      </c>
      <c r="BY777" s="2" t="s">
        <v>277</v>
      </c>
      <c r="BZ777" s="2" t="s">
        <v>243</v>
      </c>
      <c r="CA777" s="2" t="s">
        <v>4200</v>
      </c>
      <c r="CB777" s="2" t="s">
        <v>4205</v>
      </c>
      <c r="CC777" s="2" t="s">
        <v>244</v>
      </c>
      <c r="CD777" s="2" t="s">
        <v>231</v>
      </c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>
        <v>172</v>
      </c>
      <c r="DR777" s="4"/>
      <c r="DS777" s="4"/>
      <c r="DT777" s="4"/>
      <c r="DU777" s="4"/>
      <c r="DV777" s="4"/>
      <c r="DW777" s="4">
        <v>4</v>
      </c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>
        <v>281</v>
      </c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>
        <v>156</v>
      </c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</row>
    <row r="778">
      <c r="A778" s="2" t="s">
        <v>4206</v>
      </c>
      <c r="B778" s="2" t="s">
        <v>287</v>
      </c>
      <c r="C778" s="2" t="s">
        <v>1299</v>
      </c>
      <c r="D778" s="2" t="s">
        <v>289</v>
      </c>
      <c r="E778" s="2" t="s">
        <v>290</v>
      </c>
      <c r="F778" s="2" t="s">
        <v>4131</v>
      </c>
      <c r="G778" s="2" t="s">
        <v>4131</v>
      </c>
      <c r="H778" s="2" t="s">
        <v>4131</v>
      </c>
      <c r="I778" s="2" t="s">
        <v>359</v>
      </c>
      <c r="J778" s="2" t="s">
        <v>304</v>
      </c>
      <c r="K778" s="2" t="s">
        <v>4193</v>
      </c>
      <c r="L778" s="3">
        <v>28.98</v>
      </c>
      <c r="M778" s="3">
        <v>30.43</v>
      </c>
      <c r="N778" s="3">
        <v>64.99</v>
      </c>
      <c r="O778" s="2" t="s">
        <v>243</v>
      </c>
      <c r="P778" s="2" t="s">
        <v>270</v>
      </c>
      <c r="Q778" s="2" t="s">
        <v>237</v>
      </c>
      <c r="R778" s="2" t="s">
        <v>231</v>
      </c>
      <c r="S778" s="2" t="s">
        <v>4198</v>
      </c>
      <c r="T778" s="2" t="s">
        <v>4134</v>
      </c>
      <c r="U778" s="2" t="s">
        <v>231</v>
      </c>
      <c r="V778" s="2" t="s">
        <v>4046</v>
      </c>
      <c r="W778" s="2" t="s">
        <v>897</v>
      </c>
      <c r="X778" s="2" t="s">
        <v>273</v>
      </c>
      <c r="Y778" s="2" t="s">
        <v>274</v>
      </c>
      <c r="Z778" s="4"/>
      <c r="AA778" s="4">
        <f>=ROUNDDOWN({0},0)</f>
      </c>
      <c r="AB778" s="5">
        <v>11</v>
      </c>
      <c r="AC778" s="2" t="s">
        <v>4135</v>
      </c>
      <c r="AD778" s="4">
        <v>105</v>
      </c>
      <c r="AE778" s="4">
        <v>390</v>
      </c>
      <c r="AF778" s="6">
        <v>69</v>
      </c>
      <c r="AG778" s="6"/>
      <c r="AH778" s="7">
        <v>0</v>
      </c>
      <c r="AI778" s="4"/>
      <c r="AJ778" s="4">
        <f>=ROUNDDOWN({0},0)</f>
      </c>
      <c r="AK778" s="5"/>
      <c r="AL778" s="2" t="s">
        <v>231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231</v>
      </c>
      <c r="AW778" s="8" t="s">
        <v>231</v>
      </c>
      <c r="AX778" s="4" t="s">
        <v>231</v>
      </c>
      <c r="AY778" s="8" t="s">
        <v>231</v>
      </c>
      <c r="AZ778" s="7" t="s">
        <v>231</v>
      </c>
      <c r="BA778" s="7" t="s">
        <v>231</v>
      </c>
      <c r="BB778" s="7"/>
      <c r="BC778" s="4" t="s">
        <v>231</v>
      </c>
      <c r="BD778" s="8" t="s">
        <v>231</v>
      </c>
      <c r="BE778" s="4" t="s">
        <v>231</v>
      </c>
      <c r="BF778" s="8" t="s">
        <v>231</v>
      </c>
      <c r="BG778" s="7" t="s">
        <v>231</v>
      </c>
      <c r="BH778" s="7" t="s">
        <v>231</v>
      </c>
      <c r="BI778" s="7"/>
      <c r="BJ778" s="4"/>
      <c r="BK778" s="8"/>
      <c r="BL778" s="2" t="s">
        <v>231</v>
      </c>
      <c r="BM778" s="7"/>
      <c r="BN778" s="7"/>
      <c r="BO778" s="4"/>
      <c r="BP778" s="8"/>
      <c r="BQ778" s="4"/>
      <c r="BR778" s="8"/>
      <c r="BS778" s="7"/>
      <c r="BT778" s="7"/>
      <c r="BU778" s="2" t="s">
        <v>4207</v>
      </c>
      <c r="BV778" s="2" t="s">
        <v>231</v>
      </c>
      <c r="BW778" s="2" t="s">
        <v>231</v>
      </c>
      <c r="BX778" s="2" t="s">
        <v>4138</v>
      </c>
      <c r="BY778" s="2" t="s">
        <v>277</v>
      </c>
      <c r="BZ778" s="2" t="s">
        <v>243</v>
      </c>
      <c r="CA778" s="2" t="s">
        <v>4200</v>
      </c>
      <c r="CB778" s="2" t="s">
        <v>4208</v>
      </c>
      <c r="CC778" s="2" t="s">
        <v>244</v>
      </c>
      <c r="CD778" s="2" t="s">
        <v>231</v>
      </c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>
        <v>105</v>
      </c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>
        <v>188</v>
      </c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>
        <v>97</v>
      </c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</row>
    <row r="779">
      <c r="A779" s="2" t="s">
        <v>4209</v>
      </c>
      <c r="B779" s="2" t="s">
        <v>287</v>
      </c>
      <c r="C779" s="2" t="s">
        <v>1299</v>
      </c>
      <c r="D779" s="2" t="s">
        <v>289</v>
      </c>
      <c r="E779" s="2" t="s">
        <v>290</v>
      </c>
      <c r="F779" s="2" t="s">
        <v>4131</v>
      </c>
      <c r="G779" s="2" t="s">
        <v>4131</v>
      </c>
      <c r="H779" s="2" t="s">
        <v>4131</v>
      </c>
      <c r="I779" s="2" t="s">
        <v>359</v>
      </c>
      <c r="J779" s="2" t="s">
        <v>293</v>
      </c>
      <c r="K779" s="2" t="s">
        <v>4210</v>
      </c>
      <c r="L779" s="3">
        <v>24.3</v>
      </c>
      <c r="M779" s="3">
        <v>25.52</v>
      </c>
      <c r="N779" s="3">
        <v>54.99</v>
      </c>
      <c r="O779" s="2" t="s">
        <v>243</v>
      </c>
      <c r="P779" s="2" t="s">
        <v>1281</v>
      </c>
      <c r="Q779" s="2" t="s">
        <v>237</v>
      </c>
      <c r="R779" s="2" t="s">
        <v>231</v>
      </c>
      <c r="S779" s="2" t="s">
        <v>4211</v>
      </c>
      <c r="T779" s="2" t="s">
        <v>4134</v>
      </c>
      <c r="U779" s="2" t="s">
        <v>231</v>
      </c>
      <c r="V779" s="2" t="s">
        <v>4046</v>
      </c>
      <c r="W779" s="2" t="s">
        <v>897</v>
      </c>
      <c r="X779" s="2" t="s">
        <v>273</v>
      </c>
      <c r="Y779" s="2" t="s">
        <v>4170</v>
      </c>
      <c r="Z779" s="4"/>
      <c r="AA779" s="4">
        <f>=ROUNDDOWN({0},0)</f>
      </c>
      <c r="AB779" s="5">
        <v>30</v>
      </c>
      <c r="AC779" s="2" t="s">
        <v>4212</v>
      </c>
      <c r="AD779" s="4">
        <v>291</v>
      </c>
      <c r="AE779" s="4">
        <v>1071</v>
      </c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231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231</v>
      </c>
      <c r="AW779" s="8" t="s">
        <v>231</v>
      </c>
      <c r="AX779" s="4" t="s">
        <v>231</v>
      </c>
      <c r="AY779" s="8" t="s">
        <v>231</v>
      </c>
      <c r="AZ779" s="7" t="s">
        <v>231</v>
      </c>
      <c r="BA779" s="7" t="s">
        <v>231</v>
      </c>
      <c r="BB779" s="7"/>
      <c r="BC779" s="4" t="s">
        <v>231</v>
      </c>
      <c r="BD779" s="8" t="s">
        <v>231</v>
      </c>
      <c r="BE779" s="4" t="s">
        <v>231</v>
      </c>
      <c r="BF779" s="8" t="s">
        <v>231</v>
      </c>
      <c r="BG779" s="7" t="s">
        <v>231</v>
      </c>
      <c r="BH779" s="7" t="s">
        <v>231</v>
      </c>
      <c r="BI779" s="7"/>
      <c r="BJ779" s="4"/>
      <c r="BK779" s="8"/>
      <c r="BL779" s="2" t="s">
        <v>231</v>
      </c>
      <c r="BM779" s="7"/>
      <c r="BN779" s="7"/>
      <c r="BO779" s="4"/>
      <c r="BP779" s="8"/>
      <c r="BQ779" s="4"/>
      <c r="BR779" s="8"/>
      <c r="BS779" s="7"/>
      <c r="BT779" s="7"/>
      <c r="BU779" s="2" t="s">
        <v>4213</v>
      </c>
      <c r="BV779" s="2" t="s">
        <v>231</v>
      </c>
      <c r="BW779" s="2" t="s">
        <v>231</v>
      </c>
      <c r="BX779" s="2" t="s">
        <v>4138</v>
      </c>
      <c r="BY779" s="2" t="s">
        <v>277</v>
      </c>
      <c r="BZ779" s="2" t="s">
        <v>243</v>
      </c>
      <c r="CA779" s="2" t="s">
        <v>4160</v>
      </c>
      <c r="CB779" s="2" t="s">
        <v>4166</v>
      </c>
      <c r="CC779" s="2" t="s">
        <v>244</v>
      </c>
      <c r="CD779" s="2" t="s">
        <v>231</v>
      </c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>
        <v>291</v>
      </c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>
        <v>500</v>
      </c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>
        <v>280</v>
      </c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</row>
    <row r="780">
      <c r="A780" s="2" t="s">
        <v>4214</v>
      </c>
      <c r="B780" s="2" t="s">
        <v>287</v>
      </c>
      <c r="C780" s="2" t="s">
        <v>1299</v>
      </c>
      <c r="D780" s="2" t="s">
        <v>289</v>
      </c>
      <c r="E780" s="2" t="s">
        <v>290</v>
      </c>
      <c r="F780" s="2" t="s">
        <v>4131</v>
      </c>
      <c r="G780" s="2" t="s">
        <v>4131</v>
      </c>
      <c r="H780" s="2" t="s">
        <v>4131</v>
      </c>
      <c r="I780" s="2" t="s">
        <v>359</v>
      </c>
      <c r="J780" s="2" t="s">
        <v>302</v>
      </c>
      <c r="K780" s="2" t="s">
        <v>4210</v>
      </c>
      <c r="L780" s="3">
        <v>28.98</v>
      </c>
      <c r="M780" s="3">
        <v>30.43</v>
      </c>
      <c r="N780" s="3">
        <v>64.99</v>
      </c>
      <c r="O780" s="2" t="s">
        <v>243</v>
      </c>
      <c r="P780" s="2" t="s">
        <v>270</v>
      </c>
      <c r="Q780" s="2" t="s">
        <v>237</v>
      </c>
      <c r="R780" s="2" t="s">
        <v>231</v>
      </c>
      <c r="S780" s="2" t="s">
        <v>4211</v>
      </c>
      <c r="T780" s="2" t="s">
        <v>4134</v>
      </c>
      <c r="U780" s="2" t="s">
        <v>231</v>
      </c>
      <c r="V780" s="2" t="s">
        <v>4046</v>
      </c>
      <c r="W780" s="2" t="s">
        <v>897</v>
      </c>
      <c r="X780" s="2" t="s">
        <v>273</v>
      </c>
      <c r="Y780" s="2" t="s">
        <v>4170</v>
      </c>
      <c r="Z780" s="4"/>
      <c r="AA780" s="4">
        <f>=ROUNDDOWN({0},0)</f>
      </c>
      <c r="AB780" s="5">
        <v>9</v>
      </c>
      <c r="AC780" s="2" t="s">
        <v>4212</v>
      </c>
      <c r="AD780" s="4">
        <v>93</v>
      </c>
      <c r="AE780" s="4">
        <v>345</v>
      </c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231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231</v>
      </c>
      <c r="AW780" s="8" t="s">
        <v>231</v>
      </c>
      <c r="AX780" s="4" t="s">
        <v>231</v>
      </c>
      <c r="AY780" s="8" t="s">
        <v>231</v>
      </c>
      <c r="AZ780" s="7" t="s">
        <v>231</v>
      </c>
      <c r="BA780" s="7" t="s">
        <v>231</v>
      </c>
      <c r="BB780" s="7"/>
      <c r="BC780" s="4" t="s">
        <v>231</v>
      </c>
      <c r="BD780" s="8" t="s">
        <v>231</v>
      </c>
      <c r="BE780" s="4" t="s">
        <v>231</v>
      </c>
      <c r="BF780" s="8" t="s">
        <v>231</v>
      </c>
      <c r="BG780" s="7" t="s">
        <v>231</v>
      </c>
      <c r="BH780" s="7" t="s">
        <v>231</v>
      </c>
      <c r="BI780" s="7"/>
      <c r="BJ780" s="4"/>
      <c r="BK780" s="8"/>
      <c r="BL780" s="2" t="s">
        <v>1164</v>
      </c>
      <c r="BM780" s="7"/>
      <c r="BN780" s="7"/>
      <c r="BO780" s="4"/>
      <c r="BP780" s="8"/>
      <c r="BQ780" s="4"/>
      <c r="BR780" s="8"/>
      <c r="BS780" s="7"/>
      <c r="BT780" s="7"/>
      <c r="BU780" s="2" t="s">
        <v>4215</v>
      </c>
      <c r="BV780" s="2" t="s">
        <v>231</v>
      </c>
      <c r="BW780" s="2" t="s">
        <v>231</v>
      </c>
      <c r="BX780" s="2" t="s">
        <v>4138</v>
      </c>
      <c r="BY780" s="2" t="s">
        <v>277</v>
      </c>
      <c r="BZ780" s="2" t="s">
        <v>243</v>
      </c>
      <c r="CA780" s="2" t="s">
        <v>4160</v>
      </c>
      <c r="CB780" s="2" t="s">
        <v>4216</v>
      </c>
      <c r="CC780" s="2" t="s">
        <v>244</v>
      </c>
      <c r="CD780" s="2" t="s">
        <v>231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>
        <v>93</v>
      </c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>
        <v>165</v>
      </c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>
        <v>87</v>
      </c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</row>
    <row r="781">
      <c r="A781" s="2" t="s">
        <v>4217</v>
      </c>
      <c r="B781" s="2" t="s">
        <v>287</v>
      </c>
      <c r="C781" s="2" t="s">
        <v>1299</v>
      </c>
      <c r="D781" s="2" t="s">
        <v>289</v>
      </c>
      <c r="E781" s="2" t="s">
        <v>290</v>
      </c>
      <c r="F781" s="2" t="s">
        <v>4131</v>
      </c>
      <c r="G781" s="2" t="s">
        <v>4131</v>
      </c>
      <c r="H781" s="2" t="s">
        <v>4131</v>
      </c>
      <c r="I781" s="2" t="s">
        <v>359</v>
      </c>
      <c r="J781" s="2" t="s">
        <v>304</v>
      </c>
      <c r="K781" s="2" t="s">
        <v>4210</v>
      </c>
      <c r="L781" s="3">
        <v>28.98</v>
      </c>
      <c r="M781" s="3">
        <v>30.43</v>
      </c>
      <c r="N781" s="3">
        <v>64.99</v>
      </c>
      <c r="O781" s="2" t="s">
        <v>243</v>
      </c>
      <c r="P781" s="2" t="s">
        <v>270</v>
      </c>
      <c r="Q781" s="2" t="s">
        <v>237</v>
      </c>
      <c r="R781" s="2" t="s">
        <v>231</v>
      </c>
      <c r="S781" s="2" t="s">
        <v>4211</v>
      </c>
      <c r="T781" s="2" t="s">
        <v>4134</v>
      </c>
      <c r="U781" s="2" t="s">
        <v>231</v>
      </c>
      <c r="V781" s="2" t="s">
        <v>4046</v>
      </c>
      <c r="W781" s="2" t="s">
        <v>897</v>
      </c>
      <c r="X781" s="2" t="s">
        <v>273</v>
      </c>
      <c r="Y781" s="2" t="s">
        <v>4170</v>
      </c>
      <c r="Z781" s="4">
        <v>3</v>
      </c>
      <c r="AA781" s="4">
        <f>=ROUNDDOWN(0.428571428571429,0)</f>
      </c>
      <c r="AB781" s="5">
        <v>7</v>
      </c>
      <c r="AC781" s="2" t="s">
        <v>4212</v>
      </c>
      <c r="AD781" s="4">
        <v>74</v>
      </c>
      <c r="AE781" s="4">
        <v>258</v>
      </c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231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231</v>
      </c>
      <c r="AW781" s="8" t="s">
        <v>231</v>
      </c>
      <c r="AX781" s="4" t="s">
        <v>231</v>
      </c>
      <c r="AY781" s="8" t="s">
        <v>231</v>
      </c>
      <c r="AZ781" s="7" t="s">
        <v>231</v>
      </c>
      <c r="BA781" s="7" t="s">
        <v>231</v>
      </c>
      <c r="BB781" s="7"/>
      <c r="BC781" s="4" t="s">
        <v>231</v>
      </c>
      <c r="BD781" s="8" t="s">
        <v>231</v>
      </c>
      <c r="BE781" s="4" t="s">
        <v>231</v>
      </c>
      <c r="BF781" s="8" t="s">
        <v>231</v>
      </c>
      <c r="BG781" s="7" t="s">
        <v>231</v>
      </c>
      <c r="BH781" s="7" t="s">
        <v>231</v>
      </c>
      <c r="BI781" s="7"/>
      <c r="BJ781" s="4"/>
      <c r="BK781" s="8"/>
      <c r="BL781" s="2" t="s">
        <v>4218</v>
      </c>
      <c r="BM781" s="7"/>
      <c r="BN781" s="7"/>
      <c r="BO781" s="4"/>
      <c r="BP781" s="8"/>
      <c r="BQ781" s="4"/>
      <c r="BR781" s="8"/>
      <c r="BS781" s="7"/>
      <c r="BT781" s="7"/>
      <c r="BU781" s="2" t="s">
        <v>4219</v>
      </c>
      <c r="BV781" s="2" t="s">
        <v>231</v>
      </c>
      <c r="BW781" s="2" t="s">
        <v>231</v>
      </c>
      <c r="BX781" s="2" t="s">
        <v>4138</v>
      </c>
      <c r="BY781" s="2" t="s">
        <v>277</v>
      </c>
      <c r="BZ781" s="2" t="s">
        <v>243</v>
      </c>
      <c r="CA781" s="2" t="s">
        <v>4160</v>
      </c>
      <c r="CB781" s="2" t="s">
        <v>4220</v>
      </c>
      <c r="CC781" s="2" t="s">
        <v>244</v>
      </c>
      <c r="CD781" s="2" t="s">
        <v>231</v>
      </c>
      <c r="CE781" s="4">
        <v>3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>
        <v>74</v>
      </c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>
        <v>116</v>
      </c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>
        <v>68</v>
      </c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</row>
    <row r="782">
      <c r="A782" s="2" t="s">
        <v>4221</v>
      </c>
      <c r="B782" s="2" t="s">
        <v>287</v>
      </c>
      <c r="C782" s="2" t="s">
        <v>1299</v>
      </c>
      <c r="D782" s="2" t="s">
        <v>289</v>
      </c>
      <c r="E782" s="2" t="s">
        <v>290</v>
      </c>
      <c r="F782" s="2" t="s">
        <v>4131</v>
      </c>
      <c r="G782" s="2" t="s">
        <v>4131</v>
      </c>
      <c r="H782" s="2" t="s">
        <v>4131</v>
      </c>
      <c r="I782" s="2" t="s">
        <v>359</v>
      </c>
      <c r="J782" s="2" t="s">
        <v>293</v>
      </c>
      <c r="K782" s="2" t="s">
        <v>4222</v>
      </c>
      <c r="L782" s="3">
        <v>24.3</v>
      </c>
      <c r="M782" s="3">
        <v>25.52</v>
      </c>
      <c r="N782" s="3">
        <v>54.99</v>
      </c>
      <c r="O782" s="2" t="s">
        <v>243</v>
      </c>
      <c r="P782" s="2" t="s">
        <v>1281</v>
      </c>
      <c r="Q782" s="2" t="s">
        <v>237</v>
      </c>
      <c r="R782" s="2" t="s">
        <v>231</v>
      </c>
      <c r="S782" s="2" t="s">
        <v>4223</v>
      </c>
      <c r="T782" s="2" t="s">
        <v>4134</v>
      </c>
      <c r="U782" s="2" t="s">
        <v>231</v>
      </c>
      <c r="V782" s="2" t="s">
        <v>1304</v>
      </c>
      <c r="W782" s="2" t="s">
        <v>897</v>
      </c>
      <c r="X782" s="2" t="s">
        <v>273</v>
      </c>
      <c r="Y782" s="2" t="s">
        <v>4224</v>
      </c>
      <c r="Z782" s="4"/>
      <c r="AA782" s="4">
        <f>=ROUNDDOWN({0},0)</f>
      </c>
      <c r="AB782" s="5">
        <v>31</v>
      </c>
      <c r="AC782" s="2" t="s">
        <v>4212</v>
      </c>
      <c r="AD782" s="4">
        <v>314</v>
      </c>
      <c r="AE782" s="4">
        <v>1155</v>
      </c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231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231</v>
      </c>
      <c r="AW782" s="8" t="s">
        <v>231</v>
      </c>
      <c r="AX782" s="4" t="s">
        <v>231</v>
      </c>
      <c r="AY782" s="8" t="s">
        <v>231</v>
      </c>
      <c r="AZ782" s="7" t="s">
        <v>231</v>
      </c>
      <c r="BA782" s="7" t="s">
        <v>231</v>
      </c>
      <c r="BB782" s="7"/>
      <c r="BC782" s="4" t="s">
        <v>231</v>
      </c>
      <c r="BD782" s="8" t="s">
        <v>231</v>
      </c>
      <c r="BE782" s="4" t="s">
        <v>231</v>
      </c>
      <c r="BF782" s="8" t="s">
        <v>231</v>
      </c>
      <c r="BG782" s="7" t="s">
        <v>231</v>
      </c>
      <c r="BH782" s="7" t="s">
        <v>231</v>
      </c>
      <c r="BI782" s="7"/>
      <c r="BJ782" s="4"/>
      <c r="BK782" s="8"/>
      <c r="BL782" s="2" t="s">
        <v>231</v>
      </c>
      <c r="BM782" s="7"/>
      <c r="BN782" s="7"/>
      <c r="BO782" s="4"/>
      <c r="BP782" s="8"/>
      <c r="BQ782" s="4"/>
      <c r="BR782" s="8"/>
      <c r="BS782" s="7"/>
      <c r="BT782" s="7"/>
      <c r="BU782" s="2" t="s">
        <v>4225</v>
      </c>
      <c r="BV782" s="2" t="s">
        <v>231</v>
      </c>
      <c r="BW782" s="2" t="s">
        <v>231</v>
      </c>
      <c r="BX782" s="2" t="s">
        <v>4138</v>
      </c>
      <c r="BY782" s="2" t="s">
        <v>277</v>
      </c>
      <c r="BZ782" s="2" t="s">
        <v>243</v>
      </c>
      <c r="CA782" s="2" t="s">
        <v>4200</v>
      </c>
      <c r="CB782" s="2" t="s">
        <v>3487</v>
      </c>
      <c r="CC782" s="2" t="s">
        <v>244</v>
      </c>
      <c r="CD782" s="2" t="s">
        <v>231</v>
      </c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>
        <v>314</v>
      </c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>
        <v>572</v>
      </c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>
        <v>269</v>
      </c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</row>
    <row r="783">
      <c r="A783" s="2" t="s">
        <v>4226</v>
      </c>
      <c r="B783" s="2" t="s">
        <v>287</v>
      </c>
      <c r="C783" s="2" t="s">
        <v>1299</v>
      </c>
      <c r="D783" s="2" t="s">
        <v>289</v>
      </c>
      <c r="E783" s="2" t="s">
        <v>290</v>
      </c>
      <c r="F783" s="2" t="s">
        <v>4131</v>
      </c>
      <c r="G783" s="2" t="s">
        <v>4131</v>
      </c>
      <c r="H783" s="2" t="s">
        <v>4131</v>
      </c>
      <c r="I783" s="2" t="s">
        <v>359</v>
      </c>
      <c r="J783" s="2" t="s">
        <v>302</v>
      </c>
      <c r="K783" s="2" t="s">
        <v>4222</v>
      </c>
      <c r="L783" s="3">
        <v>28.98</v>
      </c>
      <c r="M783" s="3">
        <v>30.43</v>
      </c>
      <c r="N783" s="3">
        <v>64.99</v>
      </c>
      <c r="O783" s="2" t="s">
        <v>243</v>
      </c>
      <c r="P783" s="2" t="s">
        <v>270</v>
      </c>
      <c r="Q783" s="2" t="s">
        <v>237</v>
      </c>
      <c r="R783" s="2" t="s">
        <v>231</v>
      </c>
      <c r="S783" s="2" t="s">
        <v>4223</v>
      </c>
      <c r="T783" s="2" t="s">
        <v>4134</v>
      </c>
      <c r="U783" s="2" t="s">
        <v>231</v>
      </c>
      <c r="V783" s="2" t="s">
        <v>1304</v>
      </c>
      <c r="W783" s="2" t="s">
        <v>897</v>
      </c>
      <c r="X783" s="2" t="s">
        <v>273</v>
      </c>
      <c r="Y783" s="2" t="s">
        <v>274</v>
      </c>
      <c r="Z783" s="4"/>
      <c r="AA783" s="4">
        <f>=ROUNDDOWN({0},0)</f>
      </c>
      <c r="AB783" s="5">
        <v>16</v>
      </c>
      <c r="AC783" s="2" t="s">
        <v>4212</v>
      </c>
      <c r="AD783" s="4">
        <v>168</v>
      </c>
      <c r="AE783" s="4">
        <v>616</v>
      </c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231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231</v>
      </c>
      <c r="AW783" s="8" t="s">
        <v>231</v>
      </c>
      <c r="AX783" s="4" t="s">
        <v>231</v>
      </c>
      <c r="AY783" s="8" t="s">
        <v>231</v>
      </c>
      <c r="AZ783" s="7" t="s">
        <v>231</v>
      </c>
      <c r="BA783" s="7" t="s">
        <v>231</v>
      </c>
      <c r="BB783" s="7"/>
      <c r="BC783" s="4" t="s">
        <v>231</v>
      </c>
      <c r="BD783" s="8" t="s">
        <v>231</v>
      </c>
      <c r="BE783" s="4" t="s">
        <v>231</v>
      </c>
      <c r="BF783" s="8" t="s">
        <v>231</v>
      </c>
      <c r="BG783" s="7" t="s">
        <v>231</v>
      </c>
      <c r="BH783" s="7" t="s">
        <v>231</v>
      </c>
      <c r="BI783" s="7"/>
      <c r="BJ783" s="4"/>
      <c r="BK783" s="8"/>
      <c r="BL783" s="2" t="s">
        <v>1020</v>
      </c>
      <c r="BM783" s="7"/>
      <c r="BN783" s="7"/>
      <c r="BO783" s="4"/>
      <c r="BP783" s="8"/>
      <c r="BQ783" s="4"/>
      <c r="BR783" s="8"/>
      <c r="BS783" s="7"/>
      <c r="BT783" s="7"/>
      <c r="BU783" s="2" t="s">
        <v>4227</v>
      </c>
      <c r="BV783" s="2" t="s">
        <v>231</v>
      </c>
      <c r="BW783" s="2" t="s">
        <v>231</v>
      </c>
      <c r="BX783" s="2" t="s">
        <v>4138</v>
      </c>
      <c r="BY783" s="2" t="s">
        <v>277</v>
      </c>
      <c r="BZ783" s="2" t="s">
        <v>243</v>
      </c>
      <c r="CA783" s="2" t="s">
        <v>4200</v>
      </c>
      <c r="CB783" s="2" t="s">
        <v>3487</v>
      </c>
      <c r="CC783" s="2" t="s">
        <v>244</v>
      </c>
      <c r="CD783" s="2" t="s">
        <v>231</v>
      </c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>
        <v>168</v>
      </c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>
        <v>300</v>
      </c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>
        <v>148</v>
      </c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</row>
    <row r="784">
      <c r="A784" s="2" t="s">
        <v>4228</v>
      </c>
      <c r="B784" s="2" t="s">
        <v>287</v>
      </c>
      <c r="C784" s="2" t="s">
        <v>1299</v>
      </c>
      <c r="D784" s="2" t="s">
        <v>289</v>
      </c>
      <c r="E784" s="2" t="s">
        <v>290</v>
      </c>
      <c r="F784" s="2" t="s">
        <v>4131</v>
      </c>
      <c r="G784" s="2" t="s">
        <v>4131</v>
      </c>
      <c r="H784" s="2" t="s">
        <v>4131</v>
      </c>
      <c r="I784" s="2" t="s">
        <v>359</v>
      </c>
      <c r="J784" s="2" t="s">
        <v>304</v>
      </c>
      <c r="K784" s="2" t="s">
        <v>4222</v>
      </c>
      <c r="L784" s="3">
        <v>28.98</v>
      </c>
      <c r="M784" s="3">
        <v>30.43</v>
      </c>
      <c r="N784" s="3">
        <v>64.99</v>
      </c>
      <c r="O784" s="2" t="s">
        <v>243</v>
      </c>
      <c r="P784" s="2" t="s">
        <v>270</v>
      </c>
      <c r="Q784" s="2" t="s">
        <v>237</v>
      </c>
      <c r="R784" s="2" t="s">
        <v>231</v>
      </c>
      <c r="S784" s="2" t="s">
        <v>4223</v>
      </c>
      <c r="T784" s="2" t="s">
        <v>4134</v>
      </c>
      <c r="U784" s="2" t="s">
        <v>231</v>
      </c>
      <c r="V784" s="2" t="s">
        <v>1304</v>
      </c>
      <c r="W784" s="2" t="s">
        <v>897</v>
      </c>
      <c r="X784" s="2" t="s">
        <v>273</v>
      </c>
      <c r="Y784" s="2" t="s">
        <v>274</v>
      </c>
      <c r="Z784" s="4"/>
      <c r="AA784" s="4">
        <f>=ROUNDDOWN({0},0)</f>
      </c>
      <c r="AB784" s="5">
        <v>9</v>
      </c>
      <c r="AC784" s="2" t="s">
        <v>4212</v>
      </c>
      <c r="AD784" s="4">
        <v>97</v>
      </c>
      <c r="AE784" s="4">
        <v>360</v>
      </c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231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231</v>
      </c>
      <c r="AW784" s="8" t="s">
        <v>231</v>
      </c>
      <c r="AX784" s="4" t="s">
        <v>231</v>
      </c>
      <c r="AY784" s="8" t="s">
        <v>231</v>
      </c>
      <c r="AZ784" s="7" t="s">
        <v>231</v>
      </c>
      <c r="BA784" s="7" t="s">
        <v>231</v>
      </c>
      <c r="BB784" s="7"/>
      <c r="BC784" s="4" t="s">
        <v>231</v>
      </c>
      <c r="BD784" s="8" t="s">
        <v>231</v>
      </c>
      <c r="BE784" s="4" t="s">
        <v>231</v>
      </c>
      <c r="BF784" s="8" t="s">
        <v>231</v>
      </c>
      <c r="BG784" s="7" t="s">
        <v>231</v>
      </c>
      <c r="BH784" s="7" t="s">
        <v>231</v>
      </c>
      <c r="BI784" s="7"/>
      <c r="BJ784" s="4"/>
      <c r="BK784" s="8"/>
      <c r="BL784" s="2" t="s">
        <v>4229</v>
      </c>
      <c r="BM784" s="7"/>
      <c r="BN784" s="7"/>
      <c r="BO784" s="4"/>
      <c r="BP784" s="8"/>
      <c r="BQ784" s="4"/>
      <c r="BR784" s="8"/>
      <c r="BS784" s="7"/>
      <c r="BT784" s="7"/>
      <c r="BU784" s="2" t="s">
        <v>4230</v>
      </c>
      <c r="BV784" s="2" t="s">
        <v>231</v>
      </c>
      <c r="BW784" s="2" t="s">
        <v>231</v>
      </c>
      <c r="BX784" s="2" t="s">
        <v>4138</v>
      </c>
      <c r="BY784" s="2" t="s">
        <v>277</v>
      </c>
      <c r="BZ784" s="2" t="s">
        <v>243</v>
      </c>
      <c r="CA784" s="2" t="s">
        <v>4200</v>
      </c>
      <c r="CB784" s="2" t="s">
        <v>4231</v>
      </c>
      <c r="CC784" s="2" t="s">
        <v>244</v>
      </c>
      <c r="CD784" s="2" t="s">
        <v>231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>
        <v>97</v>
      </c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>
        <v>180</v>
      </c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>
        <v>83</v>
      </c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</row>
    <row r="785">
      <c r="A785" s="2" t="s">
        <v>4232</v>
      </c>
      <c r="B785" s="2" t="s">
        <v>287</v>
      </c>
      <c r="C785" s="2" t="s">
        <v>1299</v>
      </c>
      <c r="D785" s="2" t="s">
        <v>289</v>
      </c>
      <c r="E785" s="2" t="s">
        <v>290</v>
      </c>
      <c r="F785" s="2" t="s">
        <v>4131</v>
      </c>
      <c r="G785" s="2" t="s">
        <v>4131</v>
      </c>
      <c r="H785" s="2" t="s">
        <v>4131</v>
      </c>
      <c r="I785" s="2" t="s">
        <v>359</v>
      </c>
      <c r="J785" s="2" t="s">
        <v>318</v>
      </c>
      <c r="K785" s="2" t="s">
        <v>4233</v>
      </c>
      <c r="L785" s="3">
        <v>19.8</v>
      </c>
      <c r="M785" s="3">
        <v>20.79</v>
      </c>
      <c r="N785" s="3">
        <v>44.99</v>
      </c>
      <c r="O785" s="2" t="s">
        <v>243</v>
      </c>
      <c r="P785" s="2" t="s">
        <v>236</v>
      </c>
      <c r="Q785" s="2" t="s">
        <v>237</v>
      </c>
      <c r="R785" s="2" t="s">
        <v>231</v>
      </c>
      <c r="S785" s="2" t="s">
        <v>4234</v>
      </c>
      <c r="T785" s="2" t="s">
        <v>4134</v>
      </c>
      <c r="U785" s="2" t="s">
        <v>835</v>
      </c>
      <c r="V785" s="2" t="s">
        <v>4235</v>
      </c>
      <c r="W785" s="2" t="s">
        <v>897</v>
      </c>
      <c r="X785" s="2" t="s">
        <v>273</v>
      </c>
      <c r="Y785" s="2" t="s">
        <v>231</v>
      </c>
      <c r="Z785" s="4"/>
      <c r="AA785" s="4">
        <f>=ROUNDDOWN({0},0)</f>
      </c>
      <c r="AB785" s="5"/>
      <c r="AC785" s="2" t="s">
        <v>4195</v>
      </c>
      <c r="AD785" s="4">
        <v>262</v>
      </c>
      <c r="AE785" s="4">
        <v>489</v>
      </c>
      <c r="AF785" s="6">
        <v>69</v>
      </c>
      <c r="AG785" s="6"/>
      <c r="AH785" s="7">
        <v>0</v>
      </c>
      <c r="AI785" s="4"/>
      <c r="AJ785" s="4">
        <f>=ROUNDDOWN({0},0)</f>
      </c>
      <c r="AK785" s="5"/>
      <c r="AL785" s="2" t="s">
        <v>231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231</v>
      </c>
      <c r="AW785" s="8" t="s">
        <v>231</v>
      </c>
      <c r="AX785" s="4" t="s">
        <v>231</v>
      </c>
      <c r="AY785" s="8" t="s">
        <v>231</v>
      </c>
      <c r="AZ785" s="7" t="s">
        <v>231</v>
      </c>
      <c r="BA785" s="7" t="s">
        <v>231</v>
      </c>
      <c r="BB785" s="7"/>
      <c r="BC785" s="4" t="s">
        <v>231</v>
      </c>
      <c r="BD785" s="8" t="s">
        <v>231</v>
      </c>
      <c r="BE785" s="4" t="s">
        <v>231</v>
      </c>
      <c r="BF785" s="8" t="s">
        <v>231</v>
      </c>
      <c r="BG785" s="7" t="s">
        <v>231</v>
      </c>
      <c r="BH785" s="7" t="s">
        <v>231</v>
      </c>
      <c r="BI785" s="7"/>
      <c r="BJ785" s="4"/>
      <c r="BK785" s="8"/>
      <c r="BL785" s="2" t="s">
        <v>231</v>
      </c>
      <c r="BM785" s="7"/>
      <c r="BN785" s="7"/>
      <c r="BO785" s="4"/>
      <c r="BP785" s="8"/>
      <c r="BQ785" s="4"/>
      <c r="BR785" s="8"/>
      <c r="BS785" s="7"/>
      <c r="BT785" s="7"/>
      <c r="BU785" s="2" t="s">
        <v>241</v>
      </c>
      <c r="BV785" s="2" t="s">
        <v>231</v>
      </c>
      <c r="BW785" s="2" t="s">
        <v>231</v>
      </c>
      <c r="BX785" s="2" t="s">
        <v>4138</v>
      </c>
      <c r="BY785" s="2" t="s">
        <v>242</v>
      </c>
      <c r="BZ785" s="2" t="s">
        <v>243</v>
      </c>
      <c r="CA785" s="2" t="s">
        <v>231</v>
      </c>
      <c r="CB785" s="2" t="s">
        <v>231</v>
      </c>
      <c r="CC785" s="2" t="s">
        <v>244</v>
      </c>
      <c r="CD785" s="2" t="s">
        <v>231</v>
      </c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>
        <v>262</v>
      </c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>
        <v>227</v>
      </c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</row>
    <row r="786">
      <c r="A786" s="2" t="s">
        <v>4236</v>
      </c>
      <c r="B786" s="2" t="s">
        <v>287</v>
      </c>
      <c r="C786" s="2" t="s">
        <v>1299</v>
      </c>
      <c r="D786" s="2" t="s">
        <v>289</v>
      </c>
      <c r="E786" s="2" t="s">
        <v>290</v>
      </c>
      <c r="F786" s="2" t="s">
        <v>4131</v>
      </c>
      <c r="G786" s="2" t="s">
        <v>4131</v>
      </c>
      <c r="H786" s="2" t="s">
        <v>4131</v>
      </c>
      <c r="I786" s="2" t="s">
        <v>359</v>
      </c>
      <c r="J786" s="2" t="s">
        <v>281</v>
      </c>
      <c r="K786" s="2" t="s">
        <v>4233</v>
      </c>
      <c r="L786" s="3">
        <v>21.78</v>
      </c>
      <c r="M786" s="3">
        <v>22.87</v>
      </c>
      <c r="N786" s="3">
        <v>49.99</v>
      </c>
      <c r="O786" s="2" t="s">
        <v>243</v>
      </c>
      <c r="P786" s="2" t="s">
        <v>236</v>
      </c>
      <c r="Q786" s="2" t="s">
        <v>237</v>
      </c>
      <c r="R786" s="2" t="s">
        <v>231</v>
      </c>
      <c r="S786" s="2" t="s">
        <v>4234</v>
      </c>
      <c r="T786" s="2" t="s">
        <v>4134</v>
      </c>
      <c r="U786" s="2" t="s">
        <v>298</v>
      </c>
      <c r="V786" s="2" t="s">
        <v>4235</v>
      </c>
      <c r="W786" s="2" t="s">
        <v>897</v>
      </c>
      <c r="X786" s="2" t="s">
        <v>273</v>
      </c>
      <c r="Y786" s="2" t="s">
        <v>231</v>
      </c>
      <c r="Z786" s="4"/>
      <c r="AA786" s="4">
        <f>=ROUNDDOWN({0},0)</f>
      </c>
      <c r="AB786" s="5"/>
      <c r="AC786" s="2" t="s">
        <v>4195</v>
      </c>
      <c r="AD786" s="4">
        <v>257</v>
      </c>
      <c r="AE786" s="4">
        <v>521</v>
      </c>
      <c r="AF786" s="6">
        <v>69</v>
      </c>
      <c r="AG786" s="6"/>
      <c r="AH786" s="7">
        <v>0</v>
      </c>
      <c r="AI786" s="4"/>
      <c r="AJ786" s="4">
        <f>=ROUNDDOWN({0},0)</f>
      </c>
      <c r="AK786" s="5"/>
      <c r="AL786" s="2" t="s">
        <v>231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231</v>
      </c>
      <c r="AW786" s="8" t="s">
        <v>231</v>
      </c>
      <c r="AX786" s="4" t="s">
        <v>231</v>
      </c>
      <c r="AY786" s="8" t="s">
        <v>231</v>
      </c>
      <c r="AZ786" s="7" t="s">
        <v>231</v>
      </c>
      <c r="BA786" s="7" t="s">
        <v>231</v>
      </c>
      <c r="BB786" s="7"/>
      <c r="BC786" s="4" t="s">
        <v>231</v>
      </c>
      <c r="BD786" s="8" t="s">
        <v>231</v>
      </c>
      <c r="BE786" s="4" t="s">
        <v>231</v>
      </c>
      <c r="BF786" s="8" t="s">
        <v>231</v>
      </c>
      <c r="BG786" s="7" t="s">
        <v>231</v>
      </c>
      <c r="BH786" s="7" t="s">
        <v>231</v>
      </c>
      <c r="BI786" s="7"/>
      <c r="BJ786" s="4"/>
      <c r="BK786" s="8"/>
      <c r="BL786" s="2" t="s">
        <v>231</v>
      </c>
      <c r="BM786" s="7"/>
      <c r="BN786" s="7"/>
      <c r="BO786" s="4"/>
      <c r="BP786" s="8"/>
      <c r="BQ786" s="4"/>
      <c r="BR786" s="8"/>
      <c r="BS786" s="7"/>
      <c r="BT786" s="7"/>
      <c r="BU786" s="2" t="s">
        <v>241</v>
      </c>
      <c r="BV786" s="2" t="s">
        <v>231</v>
      </c>
      <c r="BW786" s="2" t="s">
        <v>231</v>
      </c>
      <c r="BX786" s="2" t="s">
        <v>4138</v>
      </c>
      <c r="BY786" s="2" t="s">
        <v>242</v>
      </c>
      <c r="BZ786" s="2" t="s">
        <v>243</v>
      </c>
      <c r="CA786" s="2" t="s">
        <v>231</v>
      </c>
      <c r="CB786" s="2" t="s">
        <v>231</v>
      </c>
      <c r="CC786" s="2" t="s">
        <v>244</v>
      </c>
      <c r="CD786" s="2" t="s">
        <v>231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>
        <v>257</v>
      </c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>
        <v>264</v>
      </c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</row>
    <row r="787">
      <c r="A787" s="2" t="s">
        <v>4237</v>
      </c>
      <c r="B787" s="2" t="s">
        <v>287</v>
      </c>
      <c r="C787" s="2" t="s">
        <v>1299</v>
      </c>
      <c r="D787" s="2" t="s">
        <v>289</v>
      </c>
      <c r="E787" s="2" t="s">
        <v>290</v>
      </c>
      <c r="F787" s="2" t="s">
        <v>4131</v>
      </c>
      <c r="G787" s="2" t="s">
        <v>4131</v>
      </c>
      <c r="H787" s="2" t="s">
        <v>4131</v>
      </c>
      <c r="I787" s="2" t="s">
        <v>359</v>
      </c>
      <c r="J787" s="2" t="s">
        <v>293</v>
      </c>
      <c r="K787" s="2" t="s">
        <v>4233</v>
      </c>
      <c r="L787" s="3">
        <v>24.3</v>
      </c>
      <c r="M787" s="3">
        <v>25.52</v>
      </c>
      <c r="N787" s="3">
        <v>54.99</v>
      </c>
      <c r="O787" s="2" t="s">
        <v>243</v>
      </c>
      <c r="P787" s="2" t="s">
        <v>236</v>
      </c>
      <c r="Q787" s="2" t="s">
        <v>237</v>
      </c>
      <c r="R787" s="2" t="s">
        <v>231</v>
      </c>
      <c r="S787" s="2" t="s">
        <v>4234</v>
      </c>
      <c r="T787" s="2" t="s">
        <v>4134</v>
      </c>
      <c r="U787" s="2" t="s">
        <v>298</v>
      </c>
      <c r="V787" s="2" t="s">
        <v>4235</v>
      </c>
      <c r="W787" s="2" t="s">
        <v>897</v>
      </c>
      <c r="X787" s="2" t="s">
        <v>273</v>
      </c>
      <c r="Y787" s="2" t="s">
        <v>231</v>
      </c>
      <c r="Z787" s="4"/>
      <c r="AA787" s="4">
        <f>=ROUNDDOWN({0},0)</f>
      </c>
      <c r="AB787" s="5"/>
      <c r="AC787" s="2" t="s">
        <v>4195</v>
      </c>
      <c r="AD787" s="4">
        <v>609</v>
      </c>
      <c r="AE787" s="4">
        <v>1234</v>
      </c>
      <c r="AF787" s="6">
        <v>69</v>
      </c>
      <c r="AG787" s="6"/>
      <c r="AH787" s="7">
        <v>0</v>
      </c>
      <c r="AI787" s="4"/>
      <c r="AJ787" s="4">
        <f>=ROUNDDOWN({0},0)</f>
      </c>
      <c r="AK787" s="5"/>
      <c r="AL787" s="2" t="s">
        <v>231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231</v>
      </c>
      <c r="AW787" s="8" t="s">
        <v>231</v>
      </c>
      <c r="AX787" s="4" t="s">
        <v>231</v>
      </c>
      <c r="AY787" s="8" t="s">
        <v>231</v>
      </c>
      <c r="AZ787" s="7" t="s">
        <v>231</v>
      </c>
      <c r="BA787" s="7" t="s">
        <v>231</v>
      </c>
      <c r="BB787" s="7"/>
      <c r="BC787" s="4" t="s">
        <v>231</v>
      </c>
      <c r="BD787" s="8" t="s">
        <v>231</v>
      </c>
      <c r="BE787" s="4" t="s">
        <v>231</v>
      </c>
      <c r="BF787" s="8" t="s">
        <v>231</v>
      </c>
      <c r="BG787" s="7" t="s">
        <v>231</v>
      </c>
      <c r="BH787" s="7" t="s">
        <v>231</v>
      </c>
      <c r="BI787" s="7"/>
      <c r="BJ787" s="4"/>
      <c r="BK787" s="8"/>
      <c r="BL787" s="2" t="s">
        <v>231</v>
      </c>
      <c r="BM787" s="7"/>
      <c r="BN787" s="7"/>
      <c r="BO787" s="4"/>
      <c r="BP787" s="8"/>
      <c r="BQ787" s="4"/>
      <c r="BR787" s="8"/>
      <c r="BS787" s="7"/>
      <c r="BT787" s="7"/>
      <c r="BU787" s="2" t="s">
        <v>241</v>
      </c>
      <c r="BV787" s="2" t="s">
        <v>231</v>
      </c>
      <c r="BW787" s="2" t="s">
        <v>231</v>
      </c>
      <c r="BX787" s="2" t="s">
        <v>4138</v>
      </c>
      <c r="BY787" s="2" t="s">
        <v>242</v>
      </c>
      <c r="BZ787" s="2" t="s">
        <v>243</v>
      </c>
      <c r="CA787" s="2" t="s">
        <v>231</v>
      </c>
      <c r="CB787" s="2" t="s">
        <v>231</v>
      </c>
      <c r="CC787" s="2" t="s">
        <v>244</v>
      </c>
      <c r="CD787" s="2" t="s">
        <v>231</v>
      </c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>
        <v>609</v>
      </c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>
        <v>625</v>
      </c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</row>
    <row r="788">
      <c r="A788" s="2" t="s">
        <v>4238</v>
      </c>
      <c r="B788" s="2" t="s">
        <v>287</v>
      </c>
      <c r="C788" s="2" t="s">
        <v>1299</v>
      </c>
      <c r="D788" s="2" t="s">
        <v>289</v>
      </c>
      <c r="E788" s="2" t="s">
        <v>290</v>
      </c>
      <c r="F788" s="2" t="s">
        <v>4131</v>
      </c>
      <c r="G788" s="2" t="s">
        <v>4131</v>
      </c>
      <c r="H788" s="2" t="s">
        <v>4131</v>
      </c>
      <c r="I788" s="2" t="s">
        <v>359</v>
      </c>
      <c r="J788" s="2" t="s">
        <v>302</v>
      </c>
      <c r="K788" s="2" t="s">
        <v>4233</v>
      </c>
      <c r="L788" s="3">
        <v>28.98</v>
      </c>
      <c r="M788" s="3">
        <v>30.43</v>
      </c>
      <c r="N788" s="3">
        <v>64.99</v>
      </c>
      <c r="O788" s="2" t="s">
        <v>243</v>
      </c>
      <c r="P788" s="2" t="s">
        <v>236</v>
      </c>
      <c r="Q788" s="2" t="s">
        <v>237</v>
      </c>
      <c r="R788" s="2" t="s">
        <v>231</v>
      </c>
      <c r="S788" s="2" t="s">
        <v>4234</v>
      </c>
      <c r="T788" s="2" t="s">
        <v>4134</v>
      </c>
      <c r="U788" s="2" t="s">
        <v>298</v>
      </c>
      <c r="V788" s="2" t="s">
        <v>4235</v>
      </c>
      <c r="W788" s="2" t="s">
        <v>897</v>
      </c>
      <c r="X788" s="2" t="s">
        <v>273</v>
      </c>
      <c r="Y788" s="2" t="s">
        <v>231</v>
      </c>
      <c r="Z788" s="4"/>
      <c r="AA788" s="4">
        <f>=ROUNDDOWN({0},0)</f>
      </c>
      <c r="AB788" s="5"/>
      <c r="AC788" s="2" t="s">
        <v>4195</v>
      </c>
      <c r="AD788" s="4">
        <v>387</v>
      </c>
      <c r="AE788" s="4">
        <v>739</v>
      </c>
      <c r="AF788" s="6">
        <v>69</v>
      </c>
      <c r="AG788" s="6"/>
      <c r="AH788" s="7">
        <v>0</v>
      </c>
      <c r="AI788" s="4"/>
      <c r="AJ788" s="4">
        <f>=ROUNDDOWN({0},0)</f>
      </c>
      <c r="AK788" s="5"/>
      <c r="AL788" s="2" t="s">
        <v>231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231</v>
      </c>
      <c r="AW788" s="8" t="s">
        <v>231</v>
      </c>
      <c r="AX788" s="4" t="s">
        <v>231</v>
      </c>
      <c r="AY788" s="8" t="s">
        <v>231</v>
      </c>
      <c r="AZ788" s="7" t="s">
        <v>231</v>
      </c>
      <c r="BA788" s="7" t="s">
        <v>231</v>
      </c>
      <c r="BB788" s="7"/>
      <c r="BC788" s="4" t="s">
        <v>231</v>
      </c>
      <c r="BD788" s="8" t="s">
        <v>231</v>
      </c>
      <c r="BE788" s="4" t="s">
        <v>231</v>
      </c>
      <c r="BF788" s="8" t="s">
        <v>231</v>
      </c>
      <c r="BG788" s="7" t="s">
        <v>231</v>
      </c>
      <c r="BH788" s="7" t="s">
        <v>231</v>
      </c>
      <c r="BI788" s="7"/>
      <c r="BJ788" s="4"/>
      <c r="BK788" s="8"/>
      <c r="BL788" s="2" t="s">
        <v>231</v>
      </c>
      <c r="BM788" s="7"/>
      <c r="BN788" s="7"/>
      <c r="BO788" s="4"/>
      <c r="BP788" s="8"/>
      <c r="BQ788" s="4"/>
      <c r="BR788" s="8"/>
      <c r="BS788" s="7"/>
      <c r="BT788" s="7"/>
      <c r="BU788" s="2" t="s">
        <v>241</v>
      </c>
      <c r="BV788" s="2" t="s">
        <v>231</v>
      </c>
      <c r="BW788" s="2" t="s">
        <v>231</v>
      </c>
      <c r="BX788" s="2" t="s">
        <v>4138</v>
      </c>
      <c r="BY788" s="2" t="s">
        <v>242</v>
      </c>
      <c r="BZ788" s="2" t="s">
        <v>243</v>
      </c>
      <c r="CA788" s="2" t="s">
        <v>231</v>
      </c>
      <c r="CB788" s="2" t="s">
        <v>231</v>
      </c>
      <c r="CC788" s="2" t="s">
        <v>244</v>
      </c>
      <c r="CD788" s="2" t="s">
        <v>231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>
        <v>387</v>
      </c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>
        <v>352</v>
      </c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</row>
    <row r="789">
      <c r="A789" s="2" t="s">
        <v>4239</v>
      </c>
      <c r="B789" s="2" t="s">
        <v>287</v>
      </c>
      <c r="C789" s="2" t="s">
        <v>1299</v>
      </c>
      <c r="D789" s="2" t="s">
        <v>289</v>
      </c>
      <c r="E789" s="2" t="s">
        <v>290</v>
      </c>
      <c r="F789" s="2" t="s">
        <v>4131</v>
      </c>
      <c r="G789" s="2" t="s">
        <v>4131</v>
      </c>
      <c r="H789" s="2" t="s">
        <v>4131</v>
      </c>
      <c r="I789" s="2" t="s">
        <v>359</v>
      </c>
      <c r="J789" s="2" t="s">
        <v>304</v>
      </c>
      <c r="K789" s="2" t="s">
        <v>4233</v>
      </c>
      <c r="L789" s="3">
        <v>28.98</v>
      </c>
      <c r="M789" s="3">
        <v>30.43</v>
      </c>
      <c r="N789" s="3">
        <v>64.99</v>
      </c>
      <c r="O789" s="2" t="s">
        <v>243</v>
      </c>
      <c r="P789" s="2" t="s">
        <v>236</v>
      </c>
      <c r="Q789" s="2" t="s">
        <v>237</v>
      </c>
      <c r="R789" s="2" t="s">
        <v>231</v>
      </c>
      <c r="S789" s="2" t="s">
        <v>4234</v>
      </c>
      <c r="T789" s="2" t="s">
        <v>4134</v>
      </c>
      <c r="U789" s="2" t="s">
        <v>298</v>
      </c>
      <c r="V789" s="2" t="s">
        <v>4235</v>
      </c>
      <c r="W789" s="2" t="s">
        <v>897</v>
      </c>
      <c r="X789" s="2" t="s">
        <v>273</v>
      </c>
      <c r="Y789" s="2" t="s">
        <v>231</v>
      </c>
      <c r="Z789" s="4"/>
      <c r="AA789" s="4">
        <f>=ROUNDDOWN({0},0)</f>
      </c>
      <c r="AB789" s="5"/>
      <c r="AC789" s="2" t="s">
        <v>4195</v>
      </c>
      <c r="AD789" s="4">
        <v>194</v>
      </c>
      <c r="AE789" s="4">
        <v>350</v>
      </c>
      <c r="AF789" s="6">
        <v>69</v>
      </c>
      <c r="AG789" s="6"/>
      <c r="AH789" s="7">
        <v>0</v>
      </c>
      <c r="AI789" s="4"/>
      <c r="AJ789" s="4">
        <f>=ROUNDDOWN({0},0)</f>
      </c>
      <c r="AK789" s="5"/>
      <c r="AL789" s="2" t="s">
        <v>231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231</v>
      </c>
      <c r="AW789" s="8" t="s">
        <v>231</v>
      </c>
      <c r="AX789" s="4" t="s">
        <v>231</v>
      </c>
      <c r="AY789" s="8" t="s">
        <v>231</v>
      </c>
      <c r="AZ789" s="7" t="s">
        <v>231</v>
      </c>
      <c r="BA789" s="7" t="s">
        <v>231</v>
      </c>
      <c r="BB789" s="7"/>
      <c r="BC789" s="4" t="s">
        <v>231</v>
      </c>
      <c r="BD789" s="8" t="s">
        <v>231</v>
      </c>
      <c r="BE789" s="4" t="s">
        <v>231</v>
      </c>
      <c r="BF789" s="8" t="s">
        <v>231</v>
      </c>
      <c r="BG789" s="7" t="s">
        <v>231</v>
      </c>
      <c r="BH789" s="7" t="s">
        <v>231</v>
      </c>
      <c r="BI789" s="7"/>
      <c r="BJ789" s="4"/>
      <c r="BK789" s="8"/>
      <c r="BL789" s="2" t="s">
        <v>231</v>
      </c>
      <c r="BM789" s="7"/>
      <c r="BN789" s="7"/>
      <c r="BO789" s="4"/>
      <c r="BP789" s="8"/>
      <c r="BQ789" s="4"/>
      <c r="BR789" s="8"/>
      <c r="BS789" s="7"/>
      <c r="BT789" s="7"/>
      <c r="BU789" s="2" t="s">
        <v>241</v>
      </c>
      <c r="BV789" s="2" t="s">
        <v>231</v>
      </c>
      <c r="BW789" s="2" t="s">
        <v>231</v>
      </c>
      <c r="BX789" s="2" t="s">
        <v>4138</v>
      </c>
      <c r="BY789" s="2" t="s">
        <v>242</v>
      </c>
      <c r="BZ789" s="2" t="s">
        <v>243</v>
      </c>
      <c r="CA789" s="2" t="s">
        <v>231</v>
      </c>
      <c r="CB789" s="2" t="s">
        <v>231</v>
      </c>
      <c r="CC789" s="2" t="s">
        <v>244</v>
      </c>
      <c r="CD789" s="2" t="s">
        <v>231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>
        <v>194</v>
      </c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>
        <v>156</v>
      </c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</row>
    <row r="790">
      <c r="A790" s="2" t="s">
        <v>4240</v>
      </c>
      <c r="B790" s="2" t="s">
        <v>287</v>
      </c>
      <c r="C790" s="2" t="s">
        <v>1299</v>
      </c>
      <c r="D790" s="2" t="s">
        <v>289</v>
      </c>
      <c r="E790" s="2" t="s">
        <v>290</v>
      </c>
      <c r="F790" s="2" t="s">
        <v>4131</v>
      </c>
      <c r="G790" s="2" t="s">
        <v>4131</v>
      </c>
      <c r="H790" s="2" t="s">
        <v>4131</v>
      </c>
      <c r="I790" s="2" t="s">
        <v>359</v>
      </c>
      <c r="J790" s="2" t="s">
        <v>318</v>
      </c>
      <c r="K790" s="2" t="s">
        <v>2395</v>
      </c>
      <c r="L790" s="3">
        <v>19.8</v>
      </c>
      <c r="M790" s="3">
        <v>20.79</v>
      </c>
      <c r="N790" s="3">
        <v>44.99</v>
      </c>
      <c r="O790" s="2" t="s">
        <v>243</v>
      </c>
      <c r="P790" s="2" t="s">
        <v>236</v>
      </c>
      <c r="Q790" s="2" t="s">
        <v>237</v>
      </c>
      <c r="R790" s="2" t="s">
        <v>231</v>
      </c>
      <c r="S790" s="2" t="s">
        <v>4241</v>
      </c>
      <c r="T790" s="2" t="s">
        <v>4134</v>
      </c>
      <c r="U790" s="2" t="s">
        <v>298</v>
      </c>
      <c r="V790" s="2" t="s">
        <v>1304</v>
      </c>
      <c r="W790" s="2" t="s">
        <v>897</v>
      </c>
      <c r="X790" s="2" t="s">
        <v>273</v>
      </c>
      <c r="Y790" s="2" t="s">
        <v>231</v>
      </c>
      <c r="Z790" s="4"/>
      <c r="AA790" s="4">
        <f>=ROUNDDOWN({0},0)</f>
      </c>
      <c r="AB790" s="5"/>
      <c r="AC790" s="2" t="s">
        <v>4195</v>
      </c>
      <c r="AD790" s="4">
        <v>769</v>
      </c>
      <c r="AE790" s="4">
        <v>1230</v>
      </c>
      <c r="AF790" s="6">
        <v>69</v>
      </c>
      <c r="AG790" s="6"/>
      <c r="AH790" s="7">
        <v>0</v>
      </c>
      <c r="AI790" s="4"/>
      <c r="AJ790" s="4">
        <f>=ROUNDDOWN({0},0)</f>
      </c>
      <c r="AK790" s="5"/>
      <c r="AL790" s="2" t="s">
        <v>231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231</v>
      </c>
      <c r="AW790" s="8" t="s">
        <v>231</v>
      </c>
      <c r="AX790" s="4" t="s">
        <v>231</v>
      </c>
      <c r="AY790" s="8" t="s">
        <v>231</v>
      </c>
      <c r="AZ790" s="7" t="s">
        <v>231</v>
      </c>
      <c r="BA790" s="7" t="s">
        <v>231</v>
      </c>
      <c r="BB790" s="7"/>
      <c r="BC790" s="4" t="s">
        <v>231</v>
      </c>
      <c r="BD790" s="8" t="s">
        <v>231</v>
      </c>
      <c r="BE790" s="4" t="s">
        <v>231</v>
      </c>
      <c r="BF790" s="8" t="s">
        <v>231</v>
      </c>
      <c r="BG790" s="7" t="s">
        <v>231</v>
      </c>
      <c r="BH790" s="7" t="s">
        <v>231</v>
      </c>
      <c r="BI790" s="7"/>
      <c r="BJ790" s="4"/>
      <c r="BK790" s="8"/>
      <c r="BL790" s="2" t="s">
        <v>231</v>
      </c>
      <c r="BM790" s="7"/>
      <c r="BN790" s="7"/>
      <c r="BO790" s="4"/>
      <c r="BP790" s="8"/>
      <c r="BQ790" s="4"/>
      <c r="BR790" s="8"/>
      <c r="BS790" s="7"/>
      <c r="BT790" s="7"/>
      <c r="BU790" s="2" t="s">
        <v>241</v>
      </c>
      <c r="BV790" s="2" t="s">
        <v>231</v>
      </c>
      <c r="BW790" s="2" t="s">
        <v>231</v>
      </c>
      <c r="BX790" s="2" t="s">
        <v>4138</v>
      </c>
      <c r="BY790" s="2" t="s">
        <v>242</v>
      </c>
      <c r="BZ790" s="2" t="s">
        <v>243</v>
      </c>
      <c r="CA790" s="2" t="s">
        <v>231</v>
      </c>
      <c r="CB790" s="2" t="s">
        <v>231</v>
      </c>
      <c r="CC790" s="2" t="s">
        <v>244</v>
      </c>
      <c r="CD790" s="2" t="s">
        <v>231</v>
      </c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>
        <v>769</v>
      </c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>
        <v>461</v>
      </c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</row>
    <row r="791">
      <c r="A791" s="2" t="s">
        <v>4242</v>
      </c>
      <c r="B791" s="2" t="s">
        <v>287</v>
      </c>
      <c r="C791" s="2" t="s">
        <v>1299</v>
      </c>
      <c r="D791" s="2" t="s">
        <v>289</v>
      </c>
      <c r="E791" s="2" t="s">
        <v>290</v>
      </c>
      <c r="F791" s="2" t="s">
        <v>4131</v>
      </c>
      <c r="G791" s="2" t="s">
        <v>4131</v>
      </c>
      <c r="H791" s="2" t="s">
        <v>4131</v>
      </c>
      <c r="I791" s="2" t="s">
        <v>359</v>
      </c>
      <c r="J791" s="2" t="s">
        <v>281</v>
      </c>
      <c r="K791" s="2" t="s">
        <v>2395</v>
      </c>
      <c r="L791" s="3">
        <v>21.78</v>
      </c>
      <c r="M791" s="3">
        <v>22.87</v>
      </c>
      <c r="N791" s="3">
        <v>49.99</v>
      </c>
      <c r="O791" s="2" t="s">
        <v>243</v>
      </c>
      <c r="P791" s="2" t="s">
        <v>236</v>
      </c>
      <c r="Q791" s="2" t="s">
        <v>237</v>
      </c>
      <c r="R791" s="2" t="s">
        <v>231</v>
      </c>
      <c r="S791" s="2" t="s">
        <v>4241</v>
      </c>
      <c r="T791" s="2" t="s">
        <v>4134</v>
      </c>
      <c r="U791" s="2" t="s">
        <v>298</v>
      </c>
      <c r="V791" s="2" t="s">
        <v>1304</v>
      </c>
      <c r="W791" s="2" t="s">
        <v>897</v>
      </c>
      <c r="X791" s="2" t="s">
        <v>273</v>
      </c>
      <c r="Y791" s="2" t="s">
        <v>231</v>
      </c>
      <c r="Z791" s="4"/>
      <c r="AA791" s="4">
        <f>=ROUNDDOWN({0},0)</f>
      </c>
      <c r="AB791" s="5"/>
      <c r="AC791" s="2" t="s">
        <v>4195</v>
      </c>
      <c r="AD791" s="4">
        <v>594</v>
      </c>
      <c r="AE791" s="4">
        <v>950</v>
      </c>
      <c r="AF791" s="6">
        <v>69</v>
      </c>
      <c r="AG791" s="6"/>
      <c r="AH791" s="7">
        <v>0</v>
      </c>
      <c r="AI791" s="4"/>
      <c r="AJ791" s="4">
        <f>=ROUNDDOWN({0},0)</f>
      </c>
      <c r="AK791" s="5"/>
      <c r="AL791" s="2" t="s">
        <v>231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231</v>
      </c>
      <c r="AW791" s="8" t="s">
        <v>231</v>
      </c>
      <c r="AX791" s="4" t="s">
        <v>231</v>
      </c>
      <c r="AY791" s="8" t="s">
        <v>231</v>
      </c>
      <c r="AZ791" s="7" t="s">
        <v>231</v>
      </c>
      <c r="BA791" s="7" t="s">
        <v>231</v>
      </c>
      <c r="BB791" s="7"/>
      <c r="BC791" s="4" t="s">
        <v>231</v>
      </c>
      <c r="BD791" s="8" t="s">
        <v>231</v>
      </c>
      <c r="BE791" s="4" t="s">
        <v>231</v>
      </c>
      <c r="BF791" s="8" t="s">
        <v>231</v>
      </c>
      <c r="BG791" s="7" t="s">
        <v>231</v>
      </c>
      <c r="BH791" s="7" t="s">
        <v>231</v>
      </c>
      <c r="BI791" s="7"/>
      <c r="BJ791" s="4"/>
      <c r="BK791" s="8"/>
      <c r="BL791" s="2" t="s">
        <v>231</v>
      </c>
      <c r="BM791" s="7"/>
      <c r="BN791" s="7"/>
      <c r="BO791" s="4"/>
      <c r="BP791" s="8"/>
      <c r="BQ791" s="4"/>
      <c r="BR791" s="8"/>
      <c r="BS791" s="7"/>
      <c r="BT791" s="7"/>
      <c r="BU791" s="2" t="s">
        <v>241</v>
      </c>
      <c r="BV791" s="2" t="s">
        <v>231</v>
      </c>
      <c r="BW791" s="2" t="s">
        <v>231</v>
      </c>
      <c r="BX791" s="2" t="s">
        <v>4138</v>
      </c>
      <c r="BY791" s="2" t="s">
        <v>242</v>
      </c>
      <c r="BZ791" s="2" t="s">
        <v>243</v>
      </c>
      <c r="CA791" s="2" t="s">
        <v>231</v>
      </c>
      <c r="CB791" s="2" t="s">
        <v>231</v>
      </c>
      <c r="CC791" s="2" t="s">
        <v>244</v>
      </c>
      <c r="CD791" s="2" t="s">
        <v>231</v>
      </c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>
        <v>594</v>
      </c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>
        <v>356</v>
      </c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</row>
    <row r="792">
      <c r="A792" s="2" t="s">
        <v>4243</v>
      </c>
      <c r="B792" s="2" t="s">
        <v>287</v>
      </c>
      <c r="C792" s="2" t="s">
        <v>1299</v>
      </c>
      <c r="D792" s="2" t="s">
        <v>289</v>
      </c>
      <c r="E792" s="2" t="s">
        <v>290</v>
      </c>
      <c r="F792" s="2" t="s">
        <v>4131</v>
      </c>
      <c r="G792" s="2" t="s">
        <v>4131</v>
      </c>
      <c r="H792" s="2" t="s">
        <v>4131</v>
      </c>
      <c r="I792" s="2" t="s">
        <v>359</v>
      </c>
      <c r="J792" s="2" t="s">
        <v>293</v>
      </c>
      <c r="K792" s="2" t="s">
        <v>2395</v>
      </c>
      <c r="L792" s="3">
        <v>24.3</v>
      </c>
      <c r="M792" s="3">
        <v>25.52</v>
      </c>
      <c r="N792" s="3">
        <v>54.99</v>
      </c>
      <c r="O792" s="2" t="s">
        <v>243</v>
      </c>
      <c r="P792" s="2" t="s">
        <v>1332</v>
      </c>
      <c r="Q792" s="2" t="s">
        <v>237</v>
      </c>
      <c r="R792" s="2" t="s">
        <v>231</v>
      </c>
      <c r="S792" s="2" t="s">
        <v>4244</v>
      </c>
      <c r="T792" s="2" t="s">
        <v>4134</v>
      </c>
      <c r="U792" s="2" t="s">
        <v>231</v>
      </c>
      <c r="V792" s="2" t="s">
        <v>1304</v>
      </c>
      <c r="W792" s="2" t="s">
        <v>897</v>
      </c>
      <c r="X792" s="2" t="s">
        <v>273</v>
      </c>
      <c r="Y792" s="2" t="s">
        <v>274</v>
      </c>
      <c r="Z792" s="4">
        <v>1</v>
      </c>
      <c r="AA792" s="4">
        <f>=ROUNDDOWN(0.0185185185185185,0)</f>
      </c>
      <c r="AB792" s="5">
        <v>54</v>
      </c>
      <c r="AC792" s="2" t="s">
        <v>4212</v>
      </c>
      <c r="AD792" s="4">
        <v>467</v>
      </c>
      <c r="AE792" s="4">
        <v>1908</v>
      </c>
      <c r="AF792" s="6">
        <v>69</v>
      </c>
      <c r="AG792" s="6"/>
      <c r="AH792" s="7">
        <v>0</v>
      </c>
      <c r="AI792" s="4"/>
      <c r="AJ792" s="4">
        <f>=ROUNDDOWN({0},0)</f>
      </c>
      <c r="AK792" s="5"/>
      <c r="AL792" s="2" t="s">
        <v>231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231</v>
      </c>
      <c r="AW792" s="8" t="s">
        <v>231</v>
      </c>
      <c r="AX792" s="4" t="s">
        <v>231</v>
      </c>
      <c r="AY792" s="8" t="s">
        <v>231</v>
      </c>
      <c r="AZ792" s="7" t="s">
        <v>231</v>
      </c>
      <c r="BA792" s="7" t="s">
        <v>231</v>
      </c>
      <c r="BB792" s="7"/>
      <c r="BC792" s="4" t="s">
        <v>231</v>
      </c>
      <c r="BD792" s="8" t="s">
        <v>231</v>
      </c>
      <c r="BE792" s="4" t="s">
        <v>231</v>
      </c>
      <c r="BF792" s="8" t="s">
        <v>231</v>
      </c>
      <c r="BG792" s="7" t="s">
        <v>231</v>
      </c>
      <c r="BH792" s="7" t="s">
        <v>231</v>
      </c>
      <c r="BI792" s="7"/>
      <c r="BJ792" s="4">
        <v>1</v>
      </c>
      <c r="BK792" s="8">
        <v>27.49</v>
      </c>
      <c r="BL792" s="2" t="s">
        <v>1028</v>
      </c>
      <c r="BM792" s="7"/>
      <c r="BN792" s="7"/>
      <c r="BO792" s="4"/>
      <c r="BP792" s="8"/>
      <c r="BQ792" s="4"/>
      <c r="BR792" s="8"/>
      <c r="BS792" s="7"/>
      <c r="BT792" s="7"/>
      <c r="BU792" s="2" t="s">
        <v>4245</v>
      </c>
      <c r="BV792" s="2" t="s">
        <v>231</v>
      </c>
      <c r="BW792" s="2" t="s">
        <v>231</v>
      </c>
      <c r="BX792" s="2" t="s">
        <v>4138</v>
      </c>
      <c r="BY792" s="2" t="s">
        <v>277</v>
      </c>
      <c r="BZ792" s="2" t="s">
        <v>243</v>
      </c>
      <c r="CA792" s="2" t="s">
        <v>4200</v>
      </c>
      <c r="CB792" s="2" t="s">
        <v>3487</v>
      </c>
      <c r="CC792" s="2" t="s">
        <v>244</v>
      </c>
      <c r="CD792" s="2" t="s">
        <v>231</v>
      </c>
      <c r="CE792" s="4">
        <v>1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>
        <v>467</v>
      </c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>
        <v>966</v>
      </c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>
        <v>475</v>
      </c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</row>
    <row r="793">
      <c r="A793" s="2" t="s">
        <v>4246</v>
      </c>
      <c r="B793" s="2" t="s">
        <v>287</v>
      </c>
      <c r="C793" s="2" t="s">
        <v>1299</v>
      </c>
      <c r="D793" s="2" t="s">
        <v>289</v>
      </c>
      <c r="E793" s="2" t="s">
        <v>290</v>
      </c>
      <c r="F793" s="2" t="s">
        <v>4131</v>
      </c>
      <c r="G793" s="2" t="s">
        <v>4131</v>
      </c>
      <c r="H793" s="2" t="s">
        <v>4131</v>
      </c>
      <c r="I793" s="2" t="s">
        <v>359</v>
      </c>
      <c r="J793" s="2" t="s">
        <v>302</v>
      </c>
      <c r="K793" s="2" t="s">
        <v>2395</v>
      </c>
      <c r="L793" s="3">
        <v>28.98</v>
      </c>
      <c r="M793" s="3">
        <v>30.43</v>
      </c>
      <c r="N793" s="3">
        <v>64.99</v>
      </c>
      <c r="O793" s="2" t="s">
        <v>243</v>
      </c>
      <c r="P793" s="2" t="s">
        <v>1281</v>
      </c>
      <c r="Q793" s="2" t="s">
        <v>237</v>
      </c>
      <c r="R793" s="2" t="s">
        <v>231</v>
      </c>
      <c r="S793" s="2" t="s">
        <v>4244</v>
      </c>
      <c r="T793" s="2" t="s">
        <v>4134</v>
      </c>
      <c r="U793" s="2" t="s">
        <v>231</v>
      </c>
      <c r="V793" s="2" t="s">
        <v>1304</v>
      </c>
      <c r="W793" s="2" t="s">
        <v>897</v>
      </c>
      <c r="X793" s="2" t="s">
        <v>273</v>
      </c>
      <c r="Y793" s="2" t="s">
        <v>274</v>
      </c>
      <c r="Z793" s="4"/>
      <c r="AA793" s="4">
        <f>=ROUNDDOWN({0},0)</f>
      </c>
      <c r="AB793" s="5">
        <v>30</v>
      </c>
      <c r="AC793" s="2" t="s">
        <v>4212</v>
      </c>
      <c r="AD793" s="4">
        <v>291</v>
      </c>
      <c r="AE793" s="4">
        <v>1094</v>
      </c>
      <c r="AF793" s="6">
        <v>69</v>
      </c>
      <c r="AG793" s="6"/>
      <c r="AH793" s="7">
        <v>0</v>
      </c>
      <c r="AI793" s="4"/>
      <c r="AJ793" s="4">
        <f>=ROUNDDOWN({0},0)</f>
      </c>
      <c r="AK793" s="5"/>
      <c r="AL793" s="2" t="s">
        <v>231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231</v>
      </c>
      <c r="AW793" s="8" t="s">
        <v>231</v>
      </c>
      <c r="AX793" s="4" t="s">
        <v>231</v>
      </c>
      <c r="AY793" s="8" t="s">
        <v>231</v>
      </c>
      <c r="AZ793" s="7" t="s">
        <v>231</v>
      </c>
      <c r="BA793" s="7" t="s">
        <v>231</v>
      </c>
      <c r="BB793" s="7"/>
      <c r="BC793" s="4" t="s">
        <v>231</v>
      </c>
      <c r="BD793" s="8" t="s">
        <v>231</v>
      </c>
      <c r="BE793" s="4" t="s">
        <v>231</v>
      </c>
      <c r="BF793" s="8" t="s">
        <v>231</v>
      </c>
      <c r="BG793" s="7" t="s">
        <v>231</v>
      </c>
      <c r="BH793" s="7" t="s">
        <v>231</v>
      </c>
      <c r="BI793" s="7"/>
      <c r="BJ793" s="4"/>
      <c r="BK793" s="8"/>
      <c r="BL793" s="2" t="s">
        <v>231</v>
      </c>
      <c r="BM793" s="7"/>
      <c r="BN793" s="7"/>
      <c r="BO793" s="4"/>
      <c r="BP793" s="8"/>
      <c r="BQ793" s="4"/>
      <c r="BR793" s="8"/>
      <c r="BS793" s="7"/>
      <c r="BT793" s="7"/>
      <c r="BU793" s="2" t="s">
        <v>4247</v>
      </c>
      <c r="BV793" s="2" t="s">
        <v>231</v>
      </c>
      <c r="BW793" s="2" t="s">
        <v>231</v>
      </c>
      <c r="BX793" s="2" t="s">
        <v>4138</v>
      </c>
      <c r="BY793" s="2" t="s">
        <v>277</v>
      </c>
      <c r="BZ793" s="2" t="s">
        <v>243</v>
      </c>
      <c r="CA793" s="2" t="s">
        <v>4200</v>
      </c>
      <c r="CB793" s="2" t="s">
        <v>4248</v>
      </c>
      <c r="CC793" s="2" t="s">
        <v>244</v>
      </c>
      <c r="CD793" s="2" t="s">
        <v>231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>
        <v>291</v>
      </c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>
        <v>546</v>
      </c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>
        <v>257</v>
      </c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</row>
    <row r="794">
      <c r="A794" s="2" t="s">
        <v>4249</v>
      </c>
      <c r="B794" s="2" t="s">
        <v>287</v>
      </c>
      <c r="C794" s="2" t="s">
        <v>1299</v>
      </c>
      <c r="D794" s="2" t="s">
        <v>289</v>
      </c>
      <c r="E794" s="2" t="s">
        <v>290</v>
      </c>
      <c r="F794" s="2" t="s">
        <v>4131</v>
      </c>
      <c r="G794" s="2" t="s">
        <v>4131</v>
      </c>
      <c r="H794" s="2" t="s">
        <v>4131</v>
      </c>
      <c r="I794" s="2" t="s">
        <v>359</v>
      </c>
      <c r="J794" s="2" t="s">
        <v>304</v>
      </c>
      <c r="K794" s="2" t="s">
        <v>2395</v>
      </c>
      <c r="L794" s="3">
        <v>28.98</v>
      </c>
      <c r="M794" s="3">
        <v>30.43</v>
      </c>
      <c r="N794" s="3">
        <v>64.99</v>
      </c>
      <c r="O794" s="2" t="s">
        <v>243</v>
      </c>
      <c r="P794" s="2" t="s">
        <v>236</v>
      </c>
      <c r="Q794" s="2" t="s">
        <v>237</v>
      </c>
      <c r="R794" s="2" t="s">
        <v>231</v>
      </c>
      <c r="S794" s="2" t="s">
        <v>4241</v>
      </c>
      <c r="T794" s="2" t="s">
        <v>4134</v>
      </c>
      <c r="U794" s="2" t="s">
        <v>298</v>
      </c>
      <c r="V794" s="2" t="s">
        <v>1304</v>
      </c>
      <c r="W794" s="2" t="s">
        <v>897</v>
      </c>
      <c r="X794" s="2" t="s">
        <v>273</v>
      </c>
      <c r="Y794" s="2" t="s">
        <v>231</v>
      </c>
      <c r="Z794" s="4"/>
      <c r="AA794" s="4">
        <f>=ROUNDDOWN({0},0)</f>
      </c>
      <c r="AB794" s="5"/>
      <c r="AC794" s="2" t="s">
        <v>4195</v>
      </c>
      <c r="AD794" s="4">
        <v>314</v>
      </c>
      <c r="AE794" s="4">
        <v>503</v>
      </c>
      <c r="AF794" s="6">
        <v>69</v>
      </c>
      <c r="AG794" s="6"/>
      <c r="AH794" s="7">
        <v>0</v>
      </c>
      <c r="AI794" s="4"/>
      <c r="AJ794" s="4">
        <f>=ROUNDDOWN({0},0)</f>
      </c>
      <c r="AK794" s="5"/>
      <c r="AL794" s="2" t="s">
        <v>231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231</v>
      </c>
      <c r="AW794" s="8" t="s">
        <v>231</v>
      </c>
      <c r="AX794" s="4" t="s">
        <v>231</v>
      </c>
      <c r="AY794" s="8" t="s">
        <v>231</v>
      </c>
      <c r="AZ794" s="7" t="s">
        <v>231</v>
      </c>
      <c r="BA794" s="7" t="s">
        <v>231</v>
      </c>
      <c r="BB794" s="7"/>
      <c r="BC794" s="4" t="s">
        <v>231</v>
      </c>
      <c r="BD794" s="8" t="s">
        <v>231</v>
      </c>
      <c r="BE794" s="4" t="s">
        <v>231</v>
      </c>
      <c r="BF794" s="8" t="s">
        <v>231</v>
      </c>
      <c r="BG794" s="7" t="s">
        <v>231</v>
      </c>
      <c r="BH794" s="7" t="s">
        <v>231</v>
      </c>
      <c r="BI794" s="7"/>
      <c r="BJ794" s="4"/>
      <c r="BK794" s="8"/>
      <c r="BL794" s="2" t="s">
        <v>231</v>
      </c>
      <c r="BM794" s="7"/>
      <c r="BN794" s="7"/>
      <c r="BO794" s="4"/>
      <c r="BP794" s="8"/>
      <c r="BQ794" s="4"/>
      <c r="BR794" s="8"/>
      <c r="BS794" s="7"/>
      <c r="BT794" s="7"/>
      <c r="BU794" s="2" t="s">
        <v>241</v>
      </c>
      <c r="BV794" s="2" t="s">
        <v>231</v>
      </c>
      <c r="BW794" s="2" t="s">
        <v>231</v>
      </c>
      <c r="BX794" s="2" t="s">
        <v>4138</v>
      </c>
      <c r="BY794" s="2" t="s">
        <v>242</v>
      </c>
      <c r="BZ794" s="2" t="s">
        <v>243</v>
      </c>
      <c r="CA794" s="2" t="s">
        <v>231</v>
      </c>
      <c r="CB794" s="2" t="s">
        <v>231</v>
      </c>
      <c r="CC794" s="2" t="s">
        <v>244</v>
      </c>
      <c r="CD794" s="2" t="s">
        <v>231</v>
      </c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>
        <v>314</v>
      </c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>
        <v>189</v>
      </c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</row>
    <row r="795">
      <c r="A795" s="2" t="s">
        <v>4250</v>
      </c>
      <c r="B795" s="2" t="s">
        <v>287</v>
      </c>
      <c r="C795" s="2" t="s">
        <v>1299</v>
      </c>
      <c r="D795" s="2" t="s">
        <v>289</v>
      </c>
      <c r="E795" s="2" t="s">
        <v>290</v>
      </c>
      <c r="F795" s="2" t="s">
        <v>4131</v>
      </c>
      <c r="G795" s="2" t="s">
        <v>4131</v>
      </c>
      <c r="H795" s="2" t="s">
        <v>4131</v>
      </c>
      <c r="I795" s="2" t="s">
        <v>359</v>
      </c>
      <c r="J795" s="2" t="s">
        <v>318</v>
      </c>
      <c r="K795" s="2" t="s">
        <v>4251</v>
      </c>
      <c r="L795" s="3">
        <v>19.8</v>
      </c>
      <c r="M795" s="3">
        <v>20.79</v>
      </c>
      <c r="N795" s="3">
        <v>44.99</v>
      </c>
      <c r="O795" s="2" t="s">
        <v>243</v>
      </c>
      <c r="P795" s="2" t="s">
        <v>270</v>
      </c>
      <c r="Q795" s="2" t="s">
        <v>237</v>
      </c>
      <c r="R795" s="2" t="s">
        <v>231</v>
      </c>
      <c r="S795" s="2" t="s">
        <v>4252</v>
      </c>
      <c r="T795" s="2" t="s">
        <v>4134</v>
      </c>
      <c r="U795" s="2" t="s">
        <v>835</v>
      </c>
      <c r="V795" s="2" t="s">
        <v>4046</v>
      </c>
      <c r="W795" s="2" t="s">
        <v>897</v>
      </c>
      <c r="X795" s="2" t="s">
        <v>273</v>
      </c>
      <c r="Y795" s="2" t="s">
        <v>1611</v>
      </c>
      <c r="Z795" s="4">
        <v>50</v>
      </c>
      <c r="AA795" s="4">
        <f>=ROUNDDOWN(1.78571428571429,0)</f>
      </c>
      <c r="AB795" s="5">
        <v>28</v>
      </c>
      <c r="AC795" s="2" t="s">
        <v>4135</v>
      </c>
      <c r="AD795" s="4">
        <v>267</v>
      </c>
      <c r="AE795" s="4">
        <v>1022</v>
      </c>
      <c r="AF795" s="6">
        <v>74</v>
      </c>
      <c r="AG795" s="6"/>
      <c r="AH795" s="7">
        <v>1</v>
      </c>
      <c r="AI795" s="4"/>
      <c r="AJ795" s="4">
        <f>=ROUNDDOWN({0},0)</f>
      </c>
      <c r="AK795" s="5"/>
      <c r="AL795" s="2" t="s">
        <v>231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231</v>
      </c>
      <c r="AW795" s="8" t="s">
        <v>231</v>
      </c>
      <c r="AX795" s="4" t="s">
        <v>231</v>
      </c>
      <c r="AY795" s="8" t="s">
        <v>231</v>
      </c>
      <c r="AZ795" s="7" t="s">
        <v>231</v>
      </c>
      <c r="BA795" s="7" t="s">
        <v>231</v>
      </c>
      <c r="BB795" s="7"/>
      <c r="BC795" s="4" t="s">
        <v>231</v>
      </c>
      <c r="BD795" s="8" t="s">
        <v>231</v>
      </c>
      <c r="BE795" s="4" t="s">
        <v>231</v>
      </c>
      <c r="BF795" s="8" t="s">
        <v>231</v>
      </c>
      <c r="BG795" s="7" t="s">
        <v>231</v>
      </c>
      <c r="BH795" s="7" t="s">
        <v>231</v>
      </c>
      <c r="BI795" s="7"/>
      <c r="BJ795" s="4">
        <v>1</v>
      </c>
      <c r="BK795" s="8">
        <v>25</v>
      </c>
      <c r="BL795" s="2" t="s">
        <v>1423</v>
      </c>
      <c r="BM795" s="7"/>
      <c r="BN795" s="7"/>
      <c r="BO795" s="4"/>
      <c r="BP795" s="8"/>
      <c r="BQ795" s="4"/>
      <c r="BR795" s="8"/>
      <c r="BS795" s="7"/>
      <c r="BT795" s="7"/>
      <c r="BU795" s="2" t="s">
        <v>4253</v>
      </c>
      <c r="BV795" s="2" t="s">
        <v>231</v>
      </c>
      <c r="BW795" s="2" t="s">
        <v>231</v>
      </c>
      <c r="BX795" s="2" t="s">
        <v>4138</v>
      </c>
      <c r="BY795" s="2" t="s">
        <v>277</v>
      </c>
      <c r="BZ795" s="2" t="s">
        <v>243</v>
      </c>
      <c r="CA795" s="2" t="s">
        <v>445</v>
      </c>
      <c r="CB795" s="2" t="s">
        <v>446</v>
      </c>
      <c r="CC795" s="2" t="s">
        <v>244</v>
      </c>
      <c r="CD795" s="2" t="s">
        <v>231</v>
      </c>
      <c r="CE795" s="4">
        <v>50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>
        <v>267</v>
      </c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>
        <v>522</v>
      </c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>
        <v>233</v>
      </c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</row>
    <row r="796">
      <c r="A796" s="2" t="s">
        <v>4254</v>
      </c>
      <c r="B796" s="2" t="s">
        <v>287</v>
      </c>
      <c r="C796" s="2" t="s">
        <v>1299</v>
      </c>
      <c r="D796" s="2" t="s">
        <v>289</v>
      </c>
      <c r="E796" s="2" t="s">
        <v>290</v>
      </c>
      <c r="F796" s="2" t="s">
        <v>4131</v>
      </c>
      <c r="G796" s="2" t="s">
        <v>4131</v>
      </c>
      <c r="H796" s="2" t="s">
        <v>4131</v>
      </c>
      <c r="I796" s="2" t="s">
        <v>359</v>
      </c>
      <c r="J796" s="2" t="s">
        <v>281</v>
      </c>
      <c r="K796" s="2" t="s">
        <v>4251</v>
      </c>
      <c r="L796" s="3">
        <v>21.78</v>
      </c>
      <c r="M796" s="3">
        <v>22.87</v>
      </c>
      <c r="N796" s="3">
        <v>49.99</v>
      </c>
      <c r="O796" s="2" t="s">
        <v>243</v>
      </c>
      <c r="P796" s="2" t="s">
        <v>1281</v>
      </c>
      <c r="Q796" s="2" t="s">
        <v>237</v>
      </c>
      <c r="R796" s="2" t="s">
        <v>231</v>
      </c>
      <c r="S796" s="2" t="s">
        <v>4252</v>
      </c>
      <c r="T796" s="2" t="s">
        <v>4134</v>
      </c>
      <c r="U796" s="2" t="s">
        <v>298</v>
      </c>
      <c r="V796" s="2" t="s">
        <v>4046</v>
      </c>
      <c r="W796" s="2" t="s">
        <v>897</v>
      </c>
      <c r="X796" s="2" t="s">
        <v>273</v>
      </c>
      <c r="Y796" s="2" t="s">
        <v>1611</v>
      </c>
      <c r="Z796" s="4"/>
      <c r="AA796" s="4">
        <f>=ROUNDDOWN({0},0)</f>
      </c>
      <c r="AB796" s="5">
        <v>52</v>
      </c>
      <c r="AC796" s="2" t="s">
        <v>4135</v>
      </c>
      <c r="AD796" s="4">
        <v>490</v>
      </c>
      <c r="AE796" s="4">
        <v>1871</v>
      </c>
      <c r="AF796" s="6">
        <v>74</v>
      </c>
      <c r="AG796" s="6"/>
      <c r="AH796" s="7">
        <v>0</v>
      </c>
      <c r="AI796" s="4"/>
      <c r="AJ796" s="4">
        <f>=ROUNDDOWN({0},0)</f>
      </c>
      <c r="AK796" s="5"/>
      <c r="AL796" s="2" t="s">
        <v>231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231</v>
      </c>
      <c r="AW796" s="8" t="s">
        <v>231</v>
      </c>
      <c r="AX796" s="4" t="s">
        <v>231</v>
      </c>
      <c r="AY796" s="8" t="s">
        <v>231</v>
      </c>
      <c r="AZ796" s="7" t="s">
        <v>231</v>
      </c>
      <c r="BA796" s="7" t="s">
        <v>231</v>
      </c>
      <c r="BB796" s="7"/>
      <c r="BC796" s="4" t="s">
        <v>231</v>
      </c>
      <c r="BD796" s="8" t="s">
        <v>231</v>
      </c>
      <c r="BE796" s="4" t="s">
        <v>231</v>
      </c>
      <c r="BF796" s="8" t="s">
        <v>231</v>
      </c>
      <c r="BG796" s="7" t="s">
        <v>231</v>
      </c>
      <c r="BH796" s="7" t="s">
        <v>231</v>
      </c>
      <c r="BI796" s="7"/>
      <c r="BJ796" s="4"/>
      <c r="BK796" s="8"/>
      <c r="BL796" s="2" t="s">
        <v>231</v>
      </c>
      <c r="BM796" s="7"/>
      <c r="BN796" s="7"/>
      <c r="BO796" s="4"/>
      <c r="BP796" s="8"/>
      <c r="BQ796" s="4"/>
      <c r="BR796" s="8"/>
      <c r="BS796" s="7"/>
      <c r="BT796" s="7"/>
      <c r="BU796" s="2" t="s">
        <v>4255</v>
      </c>
      <c r="BV796" s="2" t="s">
        <v>231</v>
      </c>
      <c r="BW796" s="2" t="s">
        <v>231</v>
      </c>
      <c r="BX796" s="2" t="s">
        <v>4138</v>
      </c>
      <c r="BY796" s="2" t="s">
        <v>277</v>
      </c>
      <c r="BZ796" s="2" t="s">
        <v>243</v>
      </c>
      <c r="CA796" s="2" t="s">
        <v>445</v>
      </c>
      <c r="CB796" s="2" t="s">
        <v>2342</v>
      </c>
      <c r="CC796" s="2" t="s">
        <v>244</v>
      </c>
      <c r="CD796" s="2" t="s">
        <v>231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>
        <v>490</v>
      </c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>
        <v>945</v>
      </c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>
        <v>436</v>
      </c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</row>
    <row r="797">
      <c r="A797" s="2" t="s">
        <v>4256</v>
      </c>
      <c r="B797" s="2" t="s">
        <v>287</v>
      </c>
      <c r="C797" s="2" t="s">
        <v>1299</v>
      </c>
      <c r="D797" s="2" t="s">
        <v>289</v>
      </c>
      <c r="E797" s="2" t="s">
        <v>290</v>
      </c>
      <c r="F797" s="2" t="s">
        <v>4131</v>
      </c>
      <c r="G797" s="2" t="s">
        <v>4131</v>
      </c>
      <c r="H797" s="2" t="s">
        <v>4131</v>
      </c>
      <c r="I797" s="2" t="s">
        <v>359</v>
      </c>
      <c r="J797" s="2" t="s">
        <v>293</v>
      </c>
      <c r="K797" s="2" t="s">
        <v>4251</v>
      </c>
      <c r="L797" s="3">
        <v>24.3</v>
      </c>
      <c r="M797" s="3">
        <v>25.52</v>
      </c>
      <c r="N797" s="3">
        <v>54.99</v>
      </c>
      <c r="O797" s="2" t="s">
        <v>243</v>
      </c>
      <c r="P797" s="2" t="s">
        <v>1281</v>
      </c>
      <c r="Q797" s="2" t="s">
        <v>237</v>
      </c>
      <c r="R797" s="2" t="s">
        <v>231</v>
      </c>
      <c r="S797" s="2" t="s">
        <v>4252</v>
      </c>
      <c r="T797" s="2" t="s">
        <v>4134</v>
      </c>
      <c r="U797" s="2" t="s">
        <v>298</v>
      </c>
      <c r="V797" s="2" t="s">
        <v>4046</v>
      </c>
      <c r="W797" s="2" t="s">
        <v>897</v>
      </c>
      <c r="X797" s="2" t="s">
        <v>273</v>
      </c>
      <c r="Y797" s="2" t="s">
        <v>1611</v>
      </c>
      <c r="Z797" s="4"/>
      <c r="AA797" s="4">
        <f>=ROUNDDOWN({0},0)</f>
      </c>
      <c r="AB797" s="5">
        <v>86</v>
      </c>
      <c r="AC797" s="2" t="s">
        <v>4135</v>
      </c>
      <c r="AD797" s="4">
        <v>822</v>
      </c>
      <c r="AE797" s="4">
        <v>3098</v>
      </c>
      <c r="AF797" s="6">
        <v>74</v>
      </c>
      <c r="AG797" s="6"/>
      <c r="AH797" s="7">
        <v>0</v>
      </c>
      <c r="AI797" s="4"/>
      <c r="AJ797" s="4">
        <f>=ROUNDDOWN({0},0)</f>
      </c>
      <c r="AK797" s="5"/>
      <c r="AL797" s="2" t="s">
        <v>231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231</v>
      </c>
      <c r="AW797" s="8" t="s">
        <v>231</v>
      </c>
      <c r="AX797" s="4" t="s">
        <v>231</v>
      </c>
      <c r="AY797" s="8" t="s">
        <v>231</v>
      </c>
      <c r="AZ797" s="7" t="s">
        <v>231</v>
      </c>
      <c r="BA797" s="7" t="s">
        <v>231</v>
      </c>
      <c r="BB797" s="7"/>
      <c r="BC797" s="4" t="s">
        <v>231</v>
      </c>
      <c r="BD797" s="8" t="s">
        <v>231</v>
      </c>
      <c r="BE797" s="4" t="s">
        <v>231</v>
      </c>
      <c r="BF797" s="8" t="s">
        <v>231</v>
      </c>
      <c r="BG797" s="7" t="s">
        <v>231</v>
      </c>
      <c r="BH797" s="7" t="s">
        <v>231</v>
      </c>
      <c r="BI797" s="7"/>
      <c r="BJ797" s="4"/>
      <c r="BK797" s="8"/>
      <c r="BL797" s="2" t="s">
        <v>231</v>
      </c>
      <c r="BM797" s="7"/>
      <c r="BN797" s="7"/>
      <c r="BO797" s="4"/>
      <c r="BP797" s="8"/>
      <c r="BQ797" s="4"/>
      <c r="BR797" s="8"/>
      <c r="BS797" s="7"/>
      <c r="BT797" s="7"/>
      <c r="BU797" s="2" t="s">
        <v>4257</v>
      </c>
      <c r="BV797" s="2" t="s">
        <v>231</v>
      </c>
      <c r="BW797" s="2" t="s">
        <v>231</v>
      </c>
      <c r="BX797" s="2" t="s">
        <v>4138</v>
      </c>
      <c r="BY797" s="2" t="s">
        <v>277</v>
      </c>
      <c r="BZ797" s="2" t="s">
        <v>243</v>
      </c>
      <c r="CA797" s="2" t="s">
        <v>445</v>
      </c>
      <c r="CB797" s="2" t="s">
        <v>3452</v>
      </c>
      <c r="CC797" s="2" t="s">
        <v>244</v>
      </c>
      <c r="CD797" s="2" t="s">
        <v>231</v>
      </c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>
        <v>822</v>
      </c>
      <c r="DR797" s="4"/>
      <c r="DS797" s="4"/>
      <c r="DT797" s="4"/>
      <c r="DU797" s="4"/>
      <c r="DV797" s="4"/>
      <c r="DW797" s="4">
        <v>4</v>
      </c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>
        <v>1554</v>
      </c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>
        <v>718</v>
      </c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</row>
    <row r="798">
      <c r="A798" s="2" t="s">
        <v>4258</v>
      </c>
      <c r="B798" s="2" t="s">
        <v>287</v>
      </c>
      <c r="C798" s="2" t="s">
        <v>1299</v>
      </c>
      <c r="D798" s="2" t="s">
        <v>289</v>
      </c>
      <c r="E798" s="2" t="s">
        <v>290</v>
      </c>
      <c r="F798" s="2" t="s">
        <v>4131</v>
      </c>
      <c r="G798" s="2" t="s">
        <v>4131</v>
      </c>
      <c r="H798" s="2" t="s">
        <v>4131</v>
      </c>
      <c r="I798" s="2" t="s">
        <v>359</v>
      </c>
      <c r="J798" s="2" t="s">
        <v>302</v>
      </c>
      <c r="K798" s="2" t="s">
        <v>4251</v>
      </c>
      <c r="L798" s="3">
        <v>28.98</v>
      </c>
      <c r="M798" s="3">
        <v>30.43</v>
      </c>
      <c r="N798" s="3">
        <v>64.99</v>
      </c>
      <c r="O798" s="2" t="s">
        <v>243</v>
      </c>
      <c r="P798" s="2" t="s">
        <v>1281</v>
      </c>
      <c r="Q798" s="2" t="s">
        <v>237</v>
      </c>
      <c r="R798" s="2" t="s">
        <v>231</v>
      </c>
      <c r="S798" s="2" t="s">
        <v>4252</v>
      </c>
      <c r="T798" s="2" t="s">
        <v>4134</v>
      </c>
      <c r="U798" s="2" t="s">
        <v>298</v>
      </c>
      <c r="V798" s="2" t="s">
        <v>4046</v>
      </c>
      <c r="W798" s="2" t="s">
        <v>897</v>
      </c>
      <c r="X798" s="2" t="s">
        <v>273</v>
      </c>
      <c r="Y798" s="2" t="s">
        <v>1611</v>
      </c>
      <c r="Z798" s="4"/>
      <c r="AA798" s="4">
        <f>=ROUNDDOWN({0},0)</f>
      </c>
      <c r="AB798" s="5">
        <v>34</v>
      </c>
      <c r="AC798" s="2" t="s">
        <v>4135</v>
      </c>
      <c r="AD798" s="4">
        <v>341</v>
      </c>
      <c r="AE798" s="4">
        <v>1275</v>
      </c>
      <c r="AF798" s="6">
        <v>74</v>
      </c>
      <c r="AG798" s="6"/>
      <c r="AH798" s="7">
        <v>0</v>
      </c>
      <c r="AI798" s="4"/>
      <c r="AJ798" s="4">
        <f>=ROUNDDOWN({0},0)</f>
      </c>
      <c r="AK798" s="5"/>
      <c r="AL798" s="2" t="s">
        <v>231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231</v>
      </c>
      <c r="AW798" s="8" t="s">
        <v>231</v>
      </c>
      <c r="AX798" s="4" t="s">
        <v>231</v>
      </c>
      <c r="AY798" s="8" t="s">
        <v>231</v>
      </c>
      <c r="AZ798" s="7" t="s">
        <v>231</v>
      </c>
      <c r="BA798" s="7" t="s">
        <v>231</v>
      </c>
      <c r="BB798" s="7"/>
      <c r="BC798" s="4" t="s">
        <v>231</v>
      </c>
      <c r="BD798" s="8" t="s">
        <v>231</v>
      </c>
      <c r="BE798" s="4" t="s">
        <v>231</v>
      </c>
      <c r="BF798" s="8" t="s">
        <v>231</v>
      </c>
      <c r="BG798" s="7" t="s">
        <v>231</v>
      </c>
      <c r="BH798" s="7" t="s">
        <v>231</v>
      </c>
      <c r="BI798" s="7"/>
      <c r="BJ798" s="4"/>
      <c r="BK798" s="8"/>
      <c r="BL798" s="2" t="s">
        <v>231</v>
      </c>
      <c r="BM798" s="7"/>
      <c r="BN798" s="7"/>
      <c r="BO798" s="4"/>
      <c r="BP798" s="8"/>
      <c r="BQ798" s="4"/>
      <c r="BR798" s="8"/>
      <c r="BS798" s="7"/>
      <c r="BT798" s="7"/>
      <c r="BU798" s="2" t="s">
        <v>4259</v>
      </c>
      <c r="BV798" s="2" t="s">
        <v>231</v>
      </c>
      <c r="BW798" s="2" t="s">
        <v>231</v>
      </c>
      <c r="BX798" s="2" t="s">
        <v>4138</v>
      </c>
      <c r="BY798" s="2" t="s">
        <v>277</v>
      </c>
      <c r="BZ798" s="2" t="s">
        <v>243</v>
      </c>
      <c r="CA798" s="2" t="s">
        <v>445</v>
      </c>
      <c r="CB798" s="2" t="s">
        <v>3452</v>
      </c>
      <c r="CC798" s="2" t="s">
        <v>244</v>
      </c>
      <c r="CD798" s="2" t="s">
        <v>231</v>
      </c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>
        <v>341</v>
      </c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>
        <v>639</v>
      </c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>
        <v>295</v>
      </c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</row>
    <row r="799">
      <c r="A799" s="2" t="s">
        <v>4260</v>
      </c>
      <c r="B799" s="2" t="s">
        <v>287</v>
      </c>
      <c r="C799" s="2" t="s">
        <v>1299</v>
      </c>
      <c r="D799" s="2" t="s">
        <v>289</v>
      </c>
      <c r="E799" s="2" t="s">
        <v>290</v>
      </c>
      <c r="F799" s="2" t="s">
        <v>4131</v>
      </c>
      <c r="G799" s="2" t="s">
        <v>4131</v>
      </c>
      <c r="H799" s="2" t="s">
        <v>4131</v>
      </c>
      <c r="I799" s="2" t="s">
        <v>359</v>
      </c>
      <c r="J799" s="2" t="s">
        <v>304</v>
      </c>
      <c r="K799" s="2" t="s">
        <v>4251</v>
      </c>
      <c r="L799" s="3">
        <v>28.98</v>
      </c>
      <c r="M799" s="3">
        <v>30.43</v>
      </c>
      <c r="N799" s="3">
        <v>64.99</v>
      </c>
      <c r="O799" s="2" t="s">
        <v>243</v>
      </c>
      <c r="P799" s="2" t="s">
        <v>270</v>
      </c>
      <c r="Q799" s="2" t="s">
        <v>237</v>
      </c>
      <c r="R799" s="2" t="s">
        <v>231</v>
      </c>
      <c r="S799" s="2" t="s">
        <v>4252</v>
      </c>
      <c r="T799" s="2" t="s">
        <v>4134</v>
      </c>
      <c r="U799" s="2" t="s">
        <v>298</v>
      </c>
      <c r="V799" s="2" t="s">
        <v>4046</v>
      </c>
      <c r="W799" s="2" t="s">
        <v>897</v>
      </c>
      <c r="X799" s="2" t="s">
        <v>273</v>
      </c>
      <c r="Y799" s="2" t="s">
        <v>1611</v>
      </c>
      <c r="Z799" s="4">
        <v>1</v>
      </c>
      <c r="AA799" s="4">
        <f>=ROUNDDOWN(0.0769230769230769,0)</f>
      </c>
      <c r="AB799" s="5">
        <v>13</v>
      </c>
      <c r="AC799" s="2" t="s">
        <v>4135</v>
      </c>
      <c r="AD799" s="4">
        <v>105</v>
      </c>
      <c r="AE799" s="4">
        <v>487</v>
      </c>
      <c r="AF799" s="6">
        <v>74</v>
      </c>
      <c r="AG799" s="6"/>
      <c r="AH799" s="7">
        <v>0</v>
      </c>
      <c r="AI799" s="4"/>
      <c r="AJ799" s="4">
        <f>=ROUNDDOWN({0},0)</f>
      </c>
      <c r="AK799" s="5"/>
      <c r="AL799" s="2" t="s">
        <v>231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231</v>
      </c>
      <c r="AW799" s="8" t="s">
        <v>231</v>
      </c>
      <c r="AX799" s="4" t="s">
        <v>231</v>
      </c>
      <c r="AY799" s="8" t="s">
        <v>231</v>
      </c>
      <c r="AZ799" s="7" t="s">
        <v>231</v>
      </c>
      <c r="BA799" s="7" t="s">
        <v>231</v>
      </c>
      <c r="BB799" s="7"/>
      <c r="BC799" s="4" t="s">
        <v>231</v>
      </c>
      <c r="BD799" s="8" t="s">
        <v>231</v>
      </c>
      <c r="BE799" s="4" t="s">
        <v>231</v>
      </c>
      <c r="BF799" s="8" t="s">
        <v>231</v>
      </c>
      <c r="BG799" s="7" t="s">
        <v>231</v>
      </c>
      <c r="BH799" s="7" t="s">
        <v>231</v>
      </c>
      <c r="BI799" s="7"/>
      <c r="BJ799" s="4"/>
      <c r="BK799" s="8"/>
      <c r="BL799" s="2" t="s">
        <v>231</v>
      </c>
      <c r="BM799" s="7"/>
      <c r="BN799" s="7"/>
      <c r="BO799" s="4"/>
      <c r="BP799" s="8"/>
      <c r="BQ799" s="4"/>
      <c r="BR799" s="8"/>
      <c r="BS799" s="7"/>
      <c r="BT799" s="7"/>
      <c r="BU799" s="2" t="s">
        <v>4261</v>
      </c>
      <c r="BV799" s="2" t="s">
        <v>231</v>
      </c>
      <c r="BW799" s="2" t="s">
        <v>231</v>
      </c>
      <c r="BX799" s="2" t="s">
        <v>4138</v>
      </c>
      <c r="BY799" s="2" t="s">
        <v>277</v>
      </c>
      <c r="BZ799" s="2" t="s">
        <v>243</v>
      </c>
      <c r="CA799" s="2" t="s">
        <v>445</v>
      </c>
      <c r="CB799" s="2" t="s">
        <v>3452</v>
      </c>
      <c r="CC799" s="2" t="s">
        <v>244</v>
      </c>
      <c r="CD799" s="2" t="s">
        <v>231</v>
      </c>
      <c r="CE799" s="4">
        <v>1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>
        <v>105</v>
      </c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>
        <v>266</v>
      </c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>
        <v>116</v>
      </c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</row>
    <row r="800">
      <c r="A800" s="2" t="s">
        <v>4262</v>
      </c>
      <c r="B800" s="2" t="s">
        <v>287</v>
      </c>
      <c r="C800" s="2" t="s">
        <v>1299</v>
      </c>
      <c r="D800" s="2" t="s">
        <v>289</v>
      </c>
      <c r="E800" s="2" t="s">
        <v>290</v>
      </c>
      <c r="F800" s="2" t="s">
        <v>4131</v>
      </c>
      <c r="G800" s="2" t="s">
        <v>4131</v>
      </c>
      <c r="H800" s="2" t="s">
        <v>4131</v>
      </c>
      <c r="I800" s="2" t="s">
        <v>359</v>
      </c>
      <c r="J800" s="2" t="s">
        <v>318</v>
      </c>
      <c r="K800" s="2" t="s">
        <v>4263</v>
      </c>
      <c r="L800" s="3">
        <v>19.8</v>
      </c>
      <c r="M800" s="3">
        <v>20.79</v>
      </c>
      <c r="N800" s="3">
        <v>44.99</v>
      </c>
      <c r="O800" s="2" t="s">
        <v>243</v>
      </c>
      <c r="P800" s="2" t="s">
        <v>236</v>
      </c>
      <c r="Q800" s="2" t="s">
        <v>237</v>
      </c>
      <c r="R800" s="2" t="s">
        <v>231</v>
      </c>
      <c r="S800" s="2" t="s">
        <v>4264</v>
      </c>
      <c r="T800" s="2" t="s">
        <v>4134</v>
      </c>
      <c r="U800" s="2" t="s">
        <v>835</v>
      </c>
      <c r="V800" s="2" t="s">
        <v>4046</v>
      </c>
      <c r="W800" s="2" t="s">
        <v>897</v>
      </c>
      <c r="X800" s="2" t="s">
        <v>273</v>
      </c>
      <c r="Y800" s="2" t="s">
        <v>231</v>
      </c>
      <c r="Z800" s="4"/>
      <c r="AA800" s="4">
        <f>=ROUNDDOWN({0},0)</f>
      </c>
      <c r="AB800" s="5"/>
      <c r="AC800" s="2" t="s">
        <v>4195</v>
      </c>
      <c r="AD800" s="4">
        <v>461</v>
      </c>
      <c r="AE800" s="4">
        <v>808</v>
      </c>
      <c r="AF800" s="6">
        <v>69</v>
      </c>
      <c r="AG800" s="6"/>
      <c r="AH800" s="7">
        <v>0</v>
      </c>
      <c r="AI800" s="4"/>
      <c r="AJ800" s="4">
        <f>=ROUNDDOWN({0},0)</f>
      </c>
      <c r="AK800" s="5"/>
      <c r="AL800" s="2" t="s">
        <v>231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231</v>
      </c>
      <c r="AW800" s="8" t="s">
        <v>231</v>
      </c>
      <c r="AX800" s="4" t="s">
        <v>231</v>
      </c>
      <c r="AY800" s="8" t="s">
        <v>231</v>
      </c>
      <c r="AZ800" s="7" t="s">
        <v>231</v>
      </c>
      <c r="BA800" s="7" t="s">
        <v>231</v>
      </c>
      <c r="BB800" s="7"/>
      <c r="BC800" s="4" t="s">
        <v>231</v>
      </c>
      <c r="BD800" s="8" t="s">
        <v>231</v>
      </c>
      <c r="BE800" s="4" t="s">
        <v>231</v>
      </c>
      <c r="BF800" s="8" t="s">
        <v>231</v>
      </c>
      <c r="BG800" s="7" t="s">
        <v>231</v>
      </c>
      <c r="BH800" s="7" t="s">
        <v>231</v>
      </c>
      <c r="BI800" s="7"/>
      <c r="BJ800" s="4"/>
      <c r="BK800" s="8"/>
      <c r="BL800" s="2" t="s">
        <v>231</v>
      </c>
      <c r="BM800" s="7"/>
      <c r="BN800" s="7"/>
      <c r="BO800" s="4"/>
      <c r="BP800" s="8"/>
      <c r="BQ800" s="4"/>
      <c r="BR800" s="8"/>
      <c r="BS800" s="7"/>
      <c r="BT800" s="7"/>
      <c r="BU800" s="2" t="s">
        <v>241</v>
      </c>
      <c r="BV800" s="2" t="s">
        <v>231</v>
      </c>
      <c r="BW800" s="2" t="s">
        <v>231</v>
      </c>
      <c r="BX800" s="2" t="s">
        <v>4138</v>
      </c>
      <c r="BY800" s="2" t="s">
        <v>242</v>
      </c>
      <c r="BZ800" s="2" t="s">
        <v>243</v>
      </c>
      <c r="CA800" s="2" t="s">
        <v>231</v>
      </c>
      <c r="CB800" s="2" t="s">
        <v>231</v>
      </c>
      <c r="CC800" s="2" t="s">
        <v>244</v>
      </c>
      <c r="CD800" s="2" t="s">
        <v>231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>
        <v>461</v>
      </c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>
        <v>347</v>
      </c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</row>
    <row r="801">
      <c r="A801" s="2" t="s">
        <v>4265</v>
      </c>
      <c r="B801" s="2" t="s">
        <v>287</v>
      </c>
      <c r="C801" s="2" t="s">
        <v>1299</v>
      </c>
      <c r="D801" s="2" t="s">
        <v>289</v>
      </c>
      <c r="E801" s="2" t="s">
        <v>290</v>
      </c>
      <c r="F801" s="2" t="s">
        <v>4131</v>
      </c>
      <c r="G801" s="2" t="s">
        <v>4131</v>
      </c>
      <c r="H801" s="2" t="s">
        <v>4131</v>
      </c>
      <c r="I801" s="2" t="s">
        <v>359</v>
      </c>
      <c r="J801" s="2" t="s">
        <v>281</v>
      </c>
      <c r="K801" s="2" t="s">
        <v>4263</v>
      </c>
      <c r="L801" s="3">
        <v>21.78</v>
      </c>
      <c r="M801" s="3">
        <v>22.87</v>
      </c>
      <c r="N801" s="3">
        <v>49.99</v>
      </c>
      <c r="O801" s="2" t="s">
        <v>243</v>
      </c>
      <c r="P801" s="2" t="s">
        <v>236</v>
      </c>
      <c r="Q801" s="2" t="s">
        <v>237</v>
      </c>
      <c r="R801" s="2" t="s">
        <v>231</v>
      </c>
      <c r="S801" s="2" t="s">
        <v>4264</v>
      </c>
      <c r="T801" s="2" t="s">
        <v>4134</v>
      </c>
      <c r="U801" s="2" t="s">
        <v>298</v>
      </c>
      <c r="V801" s="2" t="s">
        <v>4046</v>
      </c>
      <c r="W801" s="2" t="s">
        <v>897</v>
      </c>
      <c r="X801" s="2" t="s">
        <v>273</v>
      </c>
      <c r="Y801" s="2" t="s">
        <v>231</v>
      </c>
      <c r="Z801" s="4"/>
      <c r="AA801" s="4">
        <f>=ROUNDDOWN({0},0)</f>
      </c>
      <c r="AB801" s="5"/>
      <c r="AC801" s="2" t="s">
        <v>4195</v>
      </c>
      <c r="AD801" s="4">
        <v>973</v>
      </c>
      <c r="AE801" s="4">
        <v>1667</v>
      </c>
      <c r="AF801" s="6">
        <v>69</v>
      </c>
      <c r="AG801" s="6"/>
      <c r="AH801" s="7">
        <v>0</v>
      </c>
      <c r="AI801" s="4"/>
      <c r="AJ801" s="4">
        <f>=ROUNDDOWN({0},0)</f>
      </c>
      <c r="AK801" s="5"/>
      <c r="AL801" s="2" t="s">
        <v>231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231</v>
      </c>
      <c r="AW801" s="8" t="s">
        <v>231</v>
      </c>
      <c r="AX801" s="4" t="s">
        <v>231</v>
      </c>
      <c r="AY801" s="8" t="s">
        <v>231</v>
      </c>
      <c r="AZ801" s="7" t="s">
        <v>231</v>
      </c>
      <c r="BA801" s="7" t="s">
        <v>231</v>
      </c>
      <c r="BB801" s="7"/>
      <c r="BC801" s="4" t="s">
        <v>231</v>
      </c>
      <c r="BD801" s="8" t="s">
        <v>231</v>
      </c>
      <c r="BE801" s="4" t="s">
        <v>231</v>
      </c>
      <c r="BF801" s="8" t="s">
        <v>231</v>
      </c>
      <c r="BG801" s="7" t="s">
        <v>231</v>
      </c>
      <c r="BH801" s="7" t="s">
        <v>231</v>
      </c>
      <c r="BI801" s="7"/>
      <c r="BJ801" s="4"/>
      <c r="BK801" s="8"/>
      <c r="BL801" s="2" t="s">
        <v>231</v>
      </c>
      <c r="BM801" s="7"/>
      <c r="BN801" s="7"/>
      <c r="BO801" s="4"/>
      <c r="BP801" s="8"/>
      <c r="BQ801" s="4"/>
      <c r="BR801" s="8"/>
      <c r="BS801" s="7"/>
      <c r="BT801" s="7"/>
      <c r="BU801" s="2" t="s">
        <v>241</v>
      </c>
      <c r="BV801" s="2" t="s">
        <v>231</v>
      </c>
      <c r="BW801" s="2" t="s">
        <v>231</v>
      </c>
      <c r="BX801" s="2" t="s">
        <v>4138</v>
      </c>
      <c r="BY801" s="2" t="s">
        <v>242</v>
      </c>
      <c r="BZ801" s="2" t="s">
        <v>243</v>
      </c>
      <c r="CA801" s="2" t="s">
        <v>231</v>
      </c>
      <c r="CB801" s="2" t="s">
        <v>231</v>
      </c>
      <c r="CC801" s="2" t="s">
        <v>244</v>
      </c>
      <c r="CD801" s="2" t="s">
        <v>231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>
        <v>973</v>
      </c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>
        <v>694</v>
      </c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</row>
    <row r="802">
      <c r="A802" s="2" t="s">
        <v>4266</v>
      </c>
      <c r="B802" s="2" t="s">
        <v>287</v>
      </c>
      <c r="C802" s="2" t="s">
        <v>1299</v>
      </c>
      <c r="D802" s="2" t="s">
        <v>289</v>
      </c>
      <c r="E802" s="2" t="s">
        <v>290</v>
      </c>
      <c r="F802" s="2" t="s">
        <v>4131</v>
      </c>
      <c r="G802" s="2" t="s">
        <v>4131</v>
      </c>
      <c r="H802" s="2" t="s">
        <v>4131</v>
      </c>
      <c r="I802" s="2" t="s">
        <v>359</v>
      </c>
      <c r="J802" s="2" t="s">
        <v>293</v>
      </c>
      <c r="K802" s="2" t="s">
        <v>4263</v>
      </c>
      <c r="L802" s="3">
        <v>24.3</v>
      </c>
      <c r="M802" s="3">
        <v>25.52</v>
      </c>
      <c r="N802" s="3">
        <v>54.99</v>
      </c>
      <c r="O802" s="2" t="s">
        <v>243</v>
      </c>
      <c r="P802" s="2" t="s">
        <v>236</v>
      </c>
      <c r="Q802" s="2" t="s">
        <v>237</v>
      </c>
      <c r="R802" s="2" t="s">
        <v>231</v>
      </c>
      <c r="S802" s="2" t="s">
        <v>4264</v>
      </c>
      <c r="T802" s="2" t="s">
        <v>4134</v>
      </c>
      <c r="U802" s="2" t="s">
        <v>298</v>
      </c>
      <c r="V802" s="2" t="s">
        <v>4046</v>
      </c>
      <c r="W802" s="2" t="s">
        <v>897</v>
      </c>
      <c r="X802" s="2" t="s">
        <v>273</v>
      </c>
      <c r="Y802" s="2" t="s">
        <v>231</v>
      </c>
      <c r="Z802" s="4"/>
      <c r="AA802" s="4">
        <f>=ROUNDDOWN({0},0)</f>
      </c>
      <c r="AB802" s="5"/>
      <c r="AC802" s="2" t="s">
        <v>4195</v>
      </c>
      <c r="AD802" s="4">
        <v>1569</v>
      </c>
      <c r="AE802" s="4">
        <v>2770</v>
      </c>
      <c r="AF802" s="6">
        <v>69</v>
      </c>
      <c r="AG802" s="6"/>
      <c r="AH802" s="7">
        <v>0</v>
      </c>
      <c r="AI802" s="4"/>
      <c r="AJ802" s="4">
        <f>=ROUNDDOWN({0},0)</f>
      </c>
      <c r="AK802" s="5"/>
      <c r="AL802" s="2" t="s">
        <v>231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231</v>
      </c>
      <c r="AW802" s="8" t="s">
        <v>231</v>
      </c>
      <c r="AX802" s="4" t="s">
        <v>231</v>
      </c>
      <c r="AY802" s="8" t="s">
        <v>231</v>
      </c>
      <c r="AZ802" s="7" t="s">
        <v>231</v>
      </c>
      <c r="BA802" s="7" t="s">
        <v>231</v>
      </c>
      <c r="BB802" s="7"/>
      <c r="BC802" s="4" t="s">
        <v>231</v>
      </c>
      <c r="BD802" s="8" t="s">
        <v>231</v>
      </c>
      <c r="BE802" s="4" t="s">
        <v>231</v>
      </c>
      <c r="BF802" s="8" t="s">
        <v>231</v>
      </c>
      <c r="BG802" s="7" t="s">
        <v>231</v>
      </c>
      <c r="BH802" s="7" t="s">
        <v>231</v>
      </c>
      <c r="BI802" s="7"/>
      <c r="BJ802" s="4"/>
      <c r="BK802" s="8"/>
      <c r="BL802" s="2" t="s">
        <v>231</v>
      </c>
      <c r="BM802" s="7"/>
      <c r="BN802" s="7"/>
      <c r="BO802" s="4"/>
      <c r="BP802" s="8"/>
      <c r="BQ802" s="4"/>
      <c r="BR802" s="8"/>
      <c r="BS802" s="7"/>
      <c r="BT802" s="7"/>
      <c r="BU802" s="2" t="s">
        <v>241</v>
      </c>
      <c r="BV802" s="2" t="s">
        <v>231</v>
      </c>
      <c r="BW802" s="2" t="s">
        <v>231</v>
      </c>
      <c r="BX802" s="2" t="s">
        <v>4138</v>
      </c>
      <c r="BY802" s="2" t="s">
        <v>242</v>
      </c>
      <c r="BZ802" s="2" t="s">
        <v>243</v>
      </c>
      <c r="CA802" s="2" t="s">
        <v>231</v>
      </c>
      <c r="CB802" s="2" t="s">
        <v>231</v>
      </c>
      <c r="CC802" s="2" t="s">
        <v>244</v>
      </c>
      <c r="CD802" s="2" t="s">
        <v>231</v>
      </c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>
        <v>1569</v>
      </c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>
        <v>1201</v>
      </c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</row>
    <row r="803">
      <c r="A803" s="2" t="s">
        <v>4267</v>
      </c>
      <c r="B803" s="2" t="s">
        <v>287</v>
      </c>
      <c r="C803" s="2" t="s">
        <v>1299</v>
      </c>
      <c r="D803" s="2" t="s">
        <v>289</v>
      </c>
      <c r="E803" s="2" t="s">
        <v>290</v>
      </c>
      <c r="F803" s="2" t="s">
        <v>4131</v>
      </c>
      <c r="G803" s="2" t="s">
        <v>4131</v>
      </c>
      <c r="H803" s="2" t="s">
        <v>4131</v>
      </c>
      <c r="I803" s="2" t="s">
        <v>359</v>
      </c>
      <c r="J803" s="2" t="s">
        <v>302</v>
      </c>
      <c r="K803" s="2" t="s">
        <v>4263</v>
      </c>
      <c r="L803" s="3">
        <v>28.98</v>
      </c>
      <c r="M803" s="3">
        <v>30.43</v>
      </c>
      <c r="N803" s="3">
        <v>64.99</v>
      </c>
      <c r="O803" s="2" t="s">
        <v>243</v>
      </c>
      <c r="P803" s="2" t="s">
        <v>236</v>
      </c>
      <c r="Q803" s="2" t="s">
        <v>237</v>
      </c>
      <c r="R803" s="2" t="s">
        <v>231</v>
      </c>
      <c r="S803" s="2" t="s">
        <v>4264</v>
      </c>
      <c r="T803" s="2" t="s">
        <v>4134</v>
      </c>
      <c r="U803" s="2" t="s">
        <v>298</v>
      </c>
      <c r="V803" s="2" t="s">
        <v>4046</v>
      </c>
      <c r="W803" s="2" t="s">
        <v>897</v>
      </c>
      <c r="X803" s="2" t="s">
        <v>273</v>
      </c>
      <c r="Y803" s="2" t="s">
        <v>231</v>
      </c>
      <c r="Z803" s="4"/>
      <c r="AA803" s="4">
        <f>=ROUNDDOWN({0},0)</f>
      </c>
      <c r="AB803" s="5"/>
      <c r="AC803" s="2" t="s">
        <v>4195</v>
      </c>
      <c r="AD803" s="4">
        <v>652</v>
      </c>
      <c r="AE803" s="4">
        <v>1163</v>
      </c>
      <c r="AF803" s="6">
        <v>69</v>
      </c>
      <c r="AG803" s="6"/>
      <c r="AH803" s="7">
        <v>0</v>
      </c>
      <c r="AI803" s="4"/>
      <c r="AJ803" s="4">
        <f>=ROUNDDOWN({0},0)</f>
      </c>
      <c r="AK803" s="5"/>
      <c r="AL803" s="2" t="s">
        <v>231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231</v>
      </c>
      <c r="AW803" s="8" t="s">
        <v>231</v>
      </c>
      <c r="AX803" s="4" t="s">
        <v>231</v>
      </c>
      <c r="AY803" s="8" t="s">
        <v>231</v>
      </c>
      <c r="AZ803" s="7" t="s">
        <v>231</v>
      </c>
      <c r="BA803" s="7" t="s">
        <v>231</v>
      </c>
      <c r="BB803" s="7"/>
      <c r="BC803" s="4" t="s">
        <v>231</v>
      </c>
      <c r="BD803" s="8" t="s">
        <v>231</v>
      </c>
      <c r="BE803" s="4" t="s">
        <v>231</v>
      </c>
      <c r="BF803" s="8" t="s">
        <v>231</v>
      </c>
      <c r="BG803" s="7" t="s">
        <v>231</v>
      </c>
      <c r="BH803" s="7" t="s">
        <v>231</v>
      </c>
      <c r="BI803" s="7"/>
      <c r="BJ803" s="4"/>
      <c r="BK803" s="8"/>
      <c r="BL803" s="2" t="s">
        <v>231</v>
      </c>
      <c r="BM803" s="7"/>
      <c r="BN803" s="7"/>
      <c r="BO803" s="4"/>
      <c r="BP803" s="8"/>
      <c r="BQ803" s="4"/>
      <c r="BR803" s="8"/>
      <c r="BS803" s="7"/>
      <c r="BT803" s="7"/>
      <c r="BU803" s="2" t="s">
        <v>241</v>
      </c>
      <c r="BV803" s="2" t="s">
        <v>231</v>
      </c>
      <c r="BW803" s="2" t="s">
        <v>231</v>
      </c>
      <c r="BX803" s="2" t="s">
        <v>4138</v>
      </c>
      <c r="BY803" s="2" t="s">
        <v>242</v>
      </c>
      <c r="BZ803" s="2" t="s">
        <v>243</v>
      </c>
      <c r="CA803" s="2" t="s">
        <v>231</v>
      </c>
      <c r="CB803" s="2" t="s">
        <v>231</v>
      </c>
      <c r="CC803" s="2" t="s">
        <v>244</v>
      </c>
      <c r="CD803" s="2" t="s">
        <v>231</v>
      </c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>
        <v>652</v>
      </c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>
        <v>511</v>
      </c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</row>
    <row r="804">
      <c r="A804" s="2" t="s">
        <v>4268</v>
      </c>
      <c r="B804" s="2" t="s">
        <v>287</v>
      </c>
      <c r="C804" s="2" t="s">
        <v>1299</v>
      </c>
      <c r="D804" s="2" t="s">
        <v>289</v>
      </c>
      <c r="E804" s="2" t="s">
        <v>290</v>
      </c>
      <c r="F804" s="2" t="s">
        <v>4131</v>
      </c>
      <c r="G804" s="2" t="s">
        <v>4131</v>
      </c>
      <c r="H804" s="2" t="s">
        <v>4131</v>
      </c>
      <c r="I804" s="2" t="s">
        <v>359</v>
      </c>
      <c r="J804" s="2" t="s">
        <v>304</v>
      </c>
      <c r="K804" s="2" t="s">
        <v>4263</v>
      </c>
      <c r="L804" s="3">
        <v>28.98</v>
      </c>
      <c r="M804" s="3">
        <v>30.43</v>
      </c>
      <c r="N804" s="3">
        <v>64.99</v>
      </c>
      <c r="O804" s="2" t="s">
        <v>243</v>
      </c>
      <c r="P804" s="2" t="s">
        <v>236</v>
      </c>
      <c r="Q804" s="2" t="s">
        <v>237</v>
      </c>
      <c r="R804" s="2" t="s">
        <v>231</v>
      </c>
      <c r="S804" s="2" t="s">
        <v>4264</v>
      </c>
      <c r="T804" s="2" t="s">
        <v>4134</v>
      </c>
      <c r="U804" s="2" t="s">
        <v>298</v>
      </c>
      <c r="V804" s="2" t="s">
        <v>4046</v>
      </c>
      <c r="W804" s="2" t="s">
        <v>897</v>
      </c>
      <c r="X804" s="2" t="s">
        <v>273</v>
      </c>
      <c r="Y804" s="2" t="s">
        <v>231</v>
      </c>
      <c r="Z804" s="4"/>
      <c r="AA804" s="4">
        <f>=ROUNDDOWN({0},0)</f>
      </c>
      <c r="AB804" s="5"/>
      <c r="AC804" s="2" t="s">
        <v>4195</v>
      </c>
      <c r="AD804" s="4">
        <v>304</v>
      </c>
      <c r="AE804" s="4">
        <v>527</v>
      </c>
      <c r="AF804" s="6">
        <v>69</v>
      </c>
      <c r="AG804" s="6"/>
      <c r="AH804" s="7">
        <v>0</v>
      </c>
      <c r="AI804" s="4"/>
      <c r="AJ804" s="4">
        <f>=ROUNDDOWN({0},0)</f>
      </c>
      <c r="AK804" s="5"/>
      <c r="AL804" s="2" t="s">
        <v>231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231</v>
      </c>
      <c r="AW804" s="8" t="s">
        <v>231</v>
      </c>
      <c r="AX804" s="4" t="s">
        <v>231</v>
      </c>
      <c r="AY804" s="8" t="s">
        <v>231</v>
      </c>
      <c r="AZ804" s="7" t="s">
        <v>231</v>
      </c>
      <c r="BA804" s="7" t="s">
        <v>231</v>
      </c>
      <c r="BB804" s="7"/>
      <c r="BC804" s="4" t="s">
        <v>231</v>
      </c>
      <c r="BD804" s="8" t="s">
        <v>231</v>
      </c>
      <c r="BE804" s="4" t="s">
        <v>231</v>
      </c>
      <c r="BF804" s="8" t="s">
        <v>231</v>
      </c>
      <c r="BG804" s="7" t="s">
        <v>231</v>
      </c>
      <c r="BH804" s="7" t="s">
        <v>231</v>
      </c>
      <c r="BI804" s="7"/>
      <c r="BJ804" s="4"/>
      <c r="BK804" s="8"/>
      <c r="BL804" s="2" t="s">
        <v>231</v>
      </c>
      <c r="BM804" s="7"/>
      <c r="BN804" s="7"/>
      <c r="BO804" s="4"/>
      <c r="BP804" s="8"/>
      <c r="BQ804" s="4"/>
      <c r="BR804" s="8"/>
      <c r="BS804" s="7"/>
      <c r="BT804" s="7"/>
      <c r="BU804" s="2" t="s">
        <v>241</v>
      </c>
      <c r="BV804" s="2" t="s">
        <v>231</v>
      </c>
      <c r="BW804" s="2" t="s">
        <v>231</v>
      </c>
      <c r="BX804" s="2" t="s">
        <v>4138</v>
      </c>
      <c r="BY804" s="2" t="s">
        <v>242</v>
      </c>
      <c r="BZ804" s="2" t="s">
        <v>243</v>
      </c>
      <c r="CA804" s="2" t="s">
        <v>231</v>
      </c>
      <c r="CB804" s="2" t="s">
        <v>231</v>
      </c>
      <c r="CC804" s="2" t="s">
        <v>244</v>
      </c>
      <c r="CD804" s="2" t="s">
        <v>231</v>
      </c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>
        <v>304</v>
      </c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>
        <v>223</v>
      </c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</row>
    <row r="805">
      <c r="A805" s="2" t="s">
        <v>4269</v>
      </c>
      <c r="B805" s="2" t="s">
        <v>287</v>
      </c>
      <c r="C805" s="2" t="s">
        <v>1299</v>
      </c>
      <c r="D805" s="2" t="s">
        <v>289</v>
      </c>
      <c r="E805" s="2" t="s">
        <v>290</v>
      </c>
      <c r="F805" s="2" t="s">
        <v>4131</v>
      </c>
      <c r="G805" s="2" t="s">
        <v>4131</v>
      </c>
      <c r="H805" s="2" t="s">
        <v>4131</v>
      </c>
      <c r="I805" s="2" t="s">
        <v>359</v>
      </c>
      <c r="J805" s="2" t="s">
        <v>293</v>
      </c>
      <c r="K805" s="2" t="s">
        <v>4270</v>
      </c>
      <c r="L805" s="3">
        <v>24.3</v>
      </c>
      <c r="M805" s="3">
        <v>25.52</v>
      </c>
      <c r="N805" s="3">
        <v>54.99</v>
      </c>
      <c r="O805" s="2" t="s">
        <v>243</v>
      </c>
      <c r="P805" s="2" t="s">
        <v>270</v>
      </c>
      <c r="Q805" s="2" t="s">
        <v>237</v>
      </c>
      <c r="R805" s="2" t="s">
        <v>231</v>
      </c>
      <c r="S805" s="2" t="s">
        <v>4188</v>
      </c>
      <c r="T805" s="2" t="s">
        <v>4134</v>
      </c>
      <c r="U805" s="2" t="s">
        <v>298</v>
      </c>
      <c r="V805" s="2" t="s">
        <v>4046</v>
      </c>
      <c r="W805" s="2" t="s">
        <v>897</v>
      </c>
      <c r="X805" s="2" t="s">
        <v>273</v>
      </c>
      <c r="Y805" s="2" t="s">
        <v>4183</v>
      </c>
      <c r="Z805" s="4"/>
      <c r="AA805" s="4">
        <f>=ROUNDDOWN({0},0)</f>
      </c>
      <c r="AB805" s="5">
        <v>20</v>
      </c>
      <c r="AC805" s="2" t="s">
        <v>4212</v>
      </c>
      <c r="AD805" s="4">
        <v>168</v>
      </c>
      <c r="AE805" s="4">
        <v>728</v>
      </c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231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231</v>
      </c>
      <c r="AW805" s="8" t="s">
        <v>231</v>
      </c>
      <c r="AX805" s="4" t="s">
        <v>231</v>
      </c>
      <c r="AY805" s="8" t="s">
        <v>231</v>
      </c>
      <c r="AZ805" s="7" t="s">
        <v>231</v>
      </c>
      <c r="BA805" s="7" t="s">
        <v>231</v>
      </c>
      <c r="BB805" s="7"/>
      <c r="BC805" s="4" t="s">
        <v>231</v>
      </c>
      <c r="BD805" s="8" t="s">
        <v>231</v>
      </c>
      <c r="BE805" s="4" t="s">
        <v>231</v>
      </c>
      <c r="BF805" s="8" t="s">
        <v>231</v>
      </c>
      <c r="BG805" s="7" t="s">
        <v>231</v>
      </c>
      <c r="BH805" s="7" t="s">
        <v>231</v>
      </c>
      <c r="BI805" s="7"/>
      <c r="BJ805" s="4"/>
      <c r="BK805" s="8"/>
      <c r="BL805" s="2" t="s">
        <v>4271</v>
      </c>
      <c r="BM805" s="7"/>
      <c r="BN805" s="7"/>
      <c r="BO805" s="4"/>
      <c r="BP805" s="8"/>
      <c r="BQ805" s="4"/>
      <c r="BR805" s="8"/>
      <c r="BS805" s="7"/>
      <c r="BT805" s="7"/>
      <c r="BU805" s="2" t="s">
        <v>4272</v>
      </c>
      <c r="BV805" s="2" t="s">
        <v>231</v>
      </c>
      <c r="BW805" s="2" t="s">
        <v>231</v>
      </c>
      <c r="BX805" s="2" t="s">
        <v>4138</v>
      </c>
      <c r="BY805" s="2" t="s">
        <v>277</v>
      </c>
      <c r="BZ805" s="2" t="s">
        <v>243</v>
      </c>
      <c r="CA805" s="2" t="s">
        <v>4185</v>
      </c>
      <c r="CB805" s="2" t="s">
        <v>4273</v>
      </c>
      <c r="CC805" s="2" t="s">
        <v>244</v>
      </c>
      <c r="CD805" s="2" t="s">
        <v>231</v>
      </c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>
        <v>168</v>
      </c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>
        <v>372</v>
      </c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>
        <v>188</v>
      </c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</row>
    <row r="806">
      <c r="A806" s="2" t="s">
        <v>4274</v>
      </c>
      <c r="B806" s="2" t="s">
        <v>287</v>
      </c>
      <c r="C806" s="2" t="s">
        <v>1299</v>
      </c>
      <c r="D806" s="2" t="s">
        <v>289</v>
      </c>
      <c r="E806" s="2" t="s">
        <v>290</v>
      </c>
      <c r="F806" s="2" t="s">
        <v>4131</v>
      </c>
      <c r="G806" s="2" t="s">
        <v>4131</v>
      </c>
      <c r="H806" s="2" t="s">
        <v>4131</v>
      </c>
      <c r="I806" s="2" t="s">
        <v>359</v>
      </c>
      <c r="J806" s="2" t="s">
        <v>302</v>
      </c>
      <c r="K806" s="2" t="s">
        <v>4270</v>
      </c>
      <c r="L806" s="3">
        <v>28.98</v>
      </c>
      <c r="M806" s="3">
        <v>30.43</v>
      </c>
      <c r="N806" s="3">
        <v>64.99</v>
      </c>
      <c r="O806" s="2" t="s">
        <v>243</v>
      </c>
      <c r="P806" s="2" t="s">
        <v>270</v>
      </c>
      <c r="Q806" s="2" t="s">
        <v>237</v>
      </c>
      <c r="R806" s="2" t="s">
        <v>231</v>
      </c>
      <c r="S806" s="2" t="s">
        <v>4188</v>
      </c>
      <c r="T806" s="2" t="s">
        <v>4134</v>
      </c>
      <c r="U806" s="2" t="s">
        <v>298</v>
      </c>
      <c r="V806" s="2" t="s">
        <v>4046</v>
      </c>
      <c r="W806" s="2" t="s">
        <v>897</v>
      </c>
      <c r="X806" s="2" t="s">
        <v>273</v>
      </c>
      <c r="Y806" s="2" t="s">
        <v>4183</v>
      </c>
      <c r="Z806" s="4"/>
      <c r="AA806" s="4">
        <f>=ROUNDDOWN({0},0)</f>
      </c>
      <c r="AB806" s="5">
        <v>8</v>
      </c>
      <c r="AC806" s="2" t="s">
        <v>4212</v>
      </c>
      <c r="AD806" s="4">
        <v>88</v>
      </c>
      <c r="AE806" s="4">
        <v>312</v>
      </c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231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231</v>
      </c>
      <c r="AW806" s="8" t="s">
        <v>231</v>
      </c>
      <c r="AX806" s="4" t="s">
        <v>231</v>
      </c>
      <c r="AY806" s="8" t="s">
        <v>231</v>
      </c>
      <c r="AZ806" s="7" t="s">
        <v>231</v>
      </c>
      <c r="BA806" s="7" t="s">
        <v>231</v>
      </c>
      <c r="BB806" s="7"/>
      <c r="BC806" s="4" t="s">
        <v>231</v>
      </c>
      <c r="BD806" s="8" t="s">
        <v>231</v>
      </c>
      <c r="BE806" s="4" t="s">
        <v>231</v>
      </c>
      <c r="BF806" s="8" t="s">
        <v>231</v>
      </c>
      <c r="BG806" s="7" t="s">
        <v>231</v>
      </c>
      <c r="BH806" s="7" t="s">
        <v>231</v>
      </c>
      <c r="BI806" s="7"/>
      <c r="BJ806" s="4"/>
      <c r="BK806" s="8"/>
      <c r="BL806" s="2" t="s">
        <v>4229</v>
      </c>
      <c r="BM806" s="7"/>
      <c r="BN806" s="7"/>
      <c r="BO806" s="4"/>
      <c r="BP806" s="8"/>
      <c r="BQ806" s="4"/>
      <c r="BR806" s="8"/>
      <c r="BS806" s="7"/>
      <c r="BT806" s="7"/>
      <c r="BU806" s="2" t="s">
        <v>4275</v>
      </c>
      <c r="BV806" s="2" t="s">
        <v>231</v>
      </c>
      <c r="BW806" s="2" t="s">
        <v>231</v>
      </c>
      <c r="BX806" s="2" t="s">
        <v>4138</v>
      </c>
      <c r="BY806" s="2" t="s">
        <v>277</v>
      </c>
      <c r="BZ806" s="2" t="s">
        <v>243</v>
      </c>
      <c r="CA806" s="2" t="s">
        <v>4276</v>
      </c>
      <c r="CB806" s="2" t="s">
        <v>2303</v>
      </c>
      <c r="CC806" s="2" t="s">
        <v>244</v>
      </c>
      <c r="CD806" s="2" t="s">
        <v>231</v>
      </c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>
        <v>88</v>
      </c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>
        <v>145</v>
      </c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>
        <v>79</v>
      </c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</row>
    <row r="807">
      <c r="A807" s="2" t="s">
        <v>4277</v>
      </c>
      <c r="B807" s="2" t="s">
        <v>287</v>
      </c>
      <c r="C807" s="2" t="s">
        <v>1299</v>
      </c>
      <c r="D807" s="2" t="s">
        <v>289</v>
      </c>
      <c r="E807" s="2" t="s">
        <v>290</v>
      </c>
      <c r="F807" s="2" t="s">
        <v>4131</v>
      </c>
      <c r="G807" s="2" t="s">
        <v>4131</v>
      </c>
      <c r="H807" s="2" t="s">
        <v>4131</v>
      </c>
      <c r="I807" s="2" t="s">
        <v>359</v>
      </c>
      <c r="J807" s="2" t="s">
        <v>304</v>
      </c>
      <c r="K807" s="2" t="s">
        <v>4270</v>
      </c>
      <c r="L807" s="3">
        <v>28.98</v>
      </c>
      <c r="M807" s="3">
        <v>30.43</v>
      </c>
      <c r="N807" s="3">
        <v>64.99</v>
      </c>
      <c r="O807" s="2" t="s">
        <v>243</v>
      </c>
      <c r="P807" s="2" t="s">
        <v>270</v>
      </c>
      <c r="Q807" s="2" t="s">
        <v>237</v>
      </c>
      <c r="R807" s="2" t="s">
        <v>231</v>
      </c>
      <c r="S807" s="2" t="s">
        <v>4188</v>
      </c>
      <c r="T807" s="2" t="s">
        <v>4134</v>
      </c>
      <c r="U807" s="2" t="s">
        <v>298</v>
      </c>
      <c r="V807" s="2" t="s">
        <v>4046</v>
      </c>
      <c r="W807" s="2" t="s">
        <v>897</v>
      </c>
      <c r="X807" s="2" t="s">
        <v>273</v>
      </c>
      <c r="Y807" s="2" t="s">
        <v>4183</v>
      </c>
      <c r="Z807" s="4"/>
      <c r="AA807" s="4">
        <f>=ROUNDDOWN({0},0)</f>
      </c>
      <c r="AB807" s="5">
        <v>6</v>
      </c>
      <c r="AC807" s="2" t="s">
        <v>4212</v>
      </c>
      <c r="AD807" s="4">
        <v>73</v>
      </c>
      <c r="AE807" s="4">
        <v>264</v>
      </c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231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231</v>
      </c>
      <c r="AW807" s="8" t="s">
        <v>231</v>
      </c>
      <c r="AX807" s="4" t="s">
        <v>231</v>
      </c>
      <c r="AY807" s="8" t="s">
        <v>231</v>
      </c>
      <c r="AZ807" s="7" t="s">
        <v>231</v>
      </c>
      <c r="BA807" s="7" t="s">
        <v>231</v>
      </c>
      <c r="BB807" s="7"/>
      <c r="BC807" s="4" t="s">
        <v>231</v>
      </c>
      <c r="BD807" s="8" t="s">
        <v>231</v>
      </c>
      <c r="BE807" s="4" t="s">
        <v>231</v>
      </c>
      <c r="BF807" s="8" t="s">
        <v>231</v>
      </c>
      <c r="BG807" s="7" t="s">
        <v>231</v>
      </c>
      <c r="BH807" s="7" t="s">
        <v>231</v>
      </c>
      <c r="BI807" s="7"/>
      <c r="BJ807" s="4"/>
      <c r="BK807" s="8"/>
      <c r="BL807" s="2" t="s">
        <v>4203</v>
      </c>
      <c r="BM807" s="7"/>
      <c r="BN807" s="7"/>
      <c r="BO807" s="4"/>
      <c r="BP807" s="8"/>
      <c r="BQ807" s="4"/>
      <c r="BR807" s="8"/>
      <c r="BS807" s="7"/>
      <c r="BT807" s="7"/>
      <c r="BU807" s="2" t="s">
        <v>4278</v>
      </c>
      <c r="BV807" s="2" t="s">
        <v>231</v>
      </c>
      <c r="BW807" s="2" t="s">
        <v>231</v>
      </c>
      <c r="BX807" s="2" t="s">
        <v>4138</v>
      </c>
      <c r="BY807" s="2" t="s">
        <v>277</v>
      </c>
      <c r="BZ807" s="2" t="s">
        <v>243</v>
      </c>
      <c r="CA807" s="2" t="s">
        <v>4276</v>
      </c>
      <c r="CB807" s="2" t="s">
        <v>4186</v>
      </c>
      <c r="CC807" s="2" t="s">
        <v>244</v>
      </c>
      <c r="CD807" s="2" t="s">
        <v>231</v>
      </c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>
        <v>73</v>
      </c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>
        <v>125</v>
      </c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>
        <v>66</v>
      </c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</row>
    <row r="808">
      <c r="A808" s="2" t="s">
        <v>4279</v>
      </c>
      <c r="B808" s="2" t="s">
        <v>287</v>
      </c>
      <c r="C808" s="2" t="s">
        <v>1299</v>
      </c>
      <c r="D808" s="2" t="s">
        <v>289</v>
      </c>
      <c r="E808" s="2" t="s">
        <v>290</v>
      </c>
      <c r="F808" s="2" t="s">
        <v>4131</v>
      </c>
      <c r="G808" s="2" t="s">
        <v>4131</v>
      </c>
      <c r="H808" s="2" t="s">
        <v>4131</v>
      </c>
      <c r="I808" s="2" t="s">
        <v>359</v>
      </c>
      <c r="J808" s="2" t="s">
        <v>293</v>
      </c>
      <c r="K808" s="2" t="s">
        <v>4280</v>
      </c>
      <c r="L808" s="3">
        <v>24.3</v>
      </c>
      <c r="M808" s="3">
        <v>25.52</v>
      </c>
      <c r="N808" s="3">
        <v>54.99</v>
      </c>
      <c r="O808" s="2" t="s">
        <v>243</v>
      </c>
      <c r="P808" s="2" t="s">
        <v>1281</v>
      </c>
      <c r="Q808" s="2" t="s">
        <v>237</v>
      </c>
      <c r="R808" s="2" t="s">
        <v>231</v>
      </c>
      <c r="S808" s="2" t="s">
        <v>4281</v>
      </c>
      <c r="T808" s="2" t="s">
        <v>4134</v>
      </c>
      <c r="U808" s="2" t="s">
        <v>231</v>
      </c>
      <c r="V808" s="2" t="s">
        <v>1304</v>
      </c>
      <c r="W808" s="2" t="s">
        <v>897</v>
      </c>
      <c r="X808" s="2" t="s">
        <v>273</v>
      </c>
      <c r="Y808" s="2" t="s">
        <v>2848</v>
      </c>
      <c r="Z808" s="4"/>
      <c r="AA808" s="4">
        <f>=ROUNDDOWN({0},0)</f>
      </c>
      <c r="AB808" s="5">
        <v>41</v>
      </c>
      <c r="AC808" s="2" t="s">
        <v>4212</v>
      </c>
      <c r="AD808" s="4">
        <v>372</v>
      </c>
      <c r="AE808" s="4">
        <v>1480</v>
      </c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231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231</v>
      </c>
      <c r="AW808" s="8" t="s">
        <v>231</v>
      </c>
      <c r="AX808" s="4" t="s">
        <v>231</v>
      </c>
      <c r="AY808" s="8" t="s">
        <v>231</v>
      </c>
      <c r="AZ808" s="7" t="s">
        <v>231</v>
      </c>
      <c r="BA808" s="7" t="s">
        <v>231</v>
      </c>
      <c r="BB808" s="7"/>
      <c r="BC808" s="4" t="s">
        <v>231</v>
      </c>
      <c r="BD808" s="8" t="s">
        <v>231</v>
      </c>
      <c r="BE808" s="4" t="s">
        <v>231</v>
      </c>
      <c r="BF808" s="8" t="s">
        <v>231</v>
      </c>
      <c r="BG808" s="7" t="s">
        <v>231</v>
      </c>
      <c r="BH808" s="7" t="s">
        <v>231</v>
      </c>
      <c r="BI808" s="7"/>
      <c r="BJ808" s="4"/>
      <c r="BK808" s="8"/>
      <c r="BL808" s="2" t="s">
        <v>1306</v>
      </c>
      <c r="BM808" s="7"/>
      <c r="BN808" s="7"/>
      <c r="BO808" s="4"/>
      <c r="BP808" s="8"/>
      <c r="BQ808" s="4"/>
      <c r="BR808" s="8"/>
      <c r="BS808" s="7"/>
      <c r="BT808" s="7"/>
      <c r="BU808" s="2" t="s">
        <v>4282</v>
      </c>
      <c r="BV808" s="2" t="s">
        <v>231</v>
      </c>
      <c r="BW808" s="2" t="s">
        <v>231</v>
      </c>
      <c r="BX808" s="2" t="s">
        <v>4138</v>
      </c>
      <c r="BY808" s="2" t="s">
        <v>277</v>
      </c>
      <c r="BZ808" s="2" t="s">
        <v>243</v>
      </c>
      <c r="CA808" s="2" t="s">
        <v>4160</v>
      </c>
      <c r="CB808" s="2" t="s">
        <v>4283</v>
      </c>
      <c r="CC808" s="2" t="s">
        <v>244</v>
      </c>
      <c r="CD808" s="2" t="s">
        <v>231</v>
      </c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>
        <v>372</v>
      </c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>
        <v>748</v>
      </c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>
        <v>360</v>
      </c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</row>
    <row r="809">
      <c r="A809" s="2" t="s">
        <v>4284</v>
      </c>
      <c r="B809" s="2" t="s">
        <v>287</v>
      </c>
      <c r="C809" s="2" t="s">
        <v>1299</v>
      </c>
      <c r="D809" s="2" t="s">
        <v>289</v>
      </c>
      <c r="E809" s="2" t="s">
        <v>290</v>
      </c>
      <c r="F809" s="2" t="s">
        <v>4131</v>
      </c>
      <c r="G809" s="2" t="s">
        <v>4131</v>
      </c>
      <c r="H809" s="2" t="s">
        <v>4131</v>
      </c>
      <c r="I809" s="2" t="s">
        <v>359</v>
      </c>
      <c r="J809" s="2" t="s">
        <v>302</v>
      </c>
      <c r="K809" s="2" t="s">
        <v>4280</v>
      </c>
      <c r="L809" s="3">
        <v>28.98</v>
      </c>
      <c r="M809" s="3">
        <v>30.43</v>
      </c>
      <c r="N809" s="3">
        <v>64.99</v>
      </c>
      <c r="O809" s="2" t="s">
        <v>243</v>
      </c>
      <c r="P809" s="2" t="s">
        <v>270</v>
      </c>
      <c r="Q809" s="2" t="s">
        <v>237</v>
      </c>
      <c r="R809" s="2" t="s">
        <v>231</v>
      </c>
      <c r="S809" s="2" t="s">
        <v>4281</v>
      </c>
      <c r="T809" s="2" t="s">
        <v>4134</v>
      </c>
      <c r="U809" s="2" t="s">
        <v>231</v>
      </c>
      <c r="V809" s="2" t="s">
        <v>1304</v>
      </c>
      <c r="W809" s="2" t="s">
        <v>897</v>
      </c>
      <c r="X809" s="2" t="s">
        <v>273</v>
      </c>
      <c r="Y809" s="2" t="s">
        <v>2848</v>
      </c>
      <c r="Z809" s="4"/>
      <c r="AA809" s="4">
        <f>=ROUNDDOWN({0},0)</f>
      </c>
      <c r="AB809" s="5">
        <v>11</v>
      </c>
      <c r="AC809" s="2" t="s">
        <v>4212</v>
      </c>
      <c r="AD809" s="4">
        <v>116</v>
      </c>
      <c r="AE809" s="4">
        <v>414</v>
      </c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231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231</v>
      </c>
      <c r="AW809" s="8" t="s">
        <v>231</v>
      </c>
      <c r="AX809" s="4" t="s">
        <v>231</v>
      </c>
      <c r="AY809" s="8" t="s">
        <v>231</v>
      </c>
      <c r="AZ809" s="7" t="s">
        <v>231</v>
      </c>
      <c r="BA809" s="7" t="s">
        <v>231</v>
      </c>
      <c r="BB809" s="7"/>
      <c r="BC809" s="4" t="s">
        <v>231</v>
      </c>
      <c r="BD809" s="8" t="s">
        <v>231</v>
      </c>
      <c r="BE809" s="4" t="s">
        <v>231</v>
      </c>
      <c r="BF809" s="8" t="s">
        <v>231</v>
      </c>
      <c r="BG809" s="7" t="s">
        <v>231</v>
      </c>
      <c r="BH809" s="7" t="s">
        <v>231</v>
      </c>
      <c r="BI809" s="7"/>
      <c r="BJ809" s="4"/>
      <c r="BK809" s="8"/>
      <c r="BL809" s="2" t="s">
        <v>2197</v>
      </c>
      <c r="BM809" s="7"/>
      <c r="BN809" s="7"/>
      <c r="BO809" s="4"/>
      <c r="BP809" s="8"/>
      <c r="BQ809" s="4"/>
      <c r="BR809" s="8"/>
      <c r="BS809" s="7"/>
      <c r="BT809" s="7"/>
      <c r="BU809" s="2" t="s">
        <v>4285</v>
      </c>
      <c r="BV809" s="2" t="s">
        <v>231</v>
      </c>
      <c r="BW809" s="2" t="s">
        <v>231</v>
      </c>
      <c r="BX809" s="2" t="s">
        <v>4138</v>
      </c>
      <c r="BY809" s="2" t="s">
        <v>277</v>
      </c>
      <c r="BZ809" s="2" t="s">
        <v>243</v>
      </c>
      <c r="CA809" s="2" t="s">
        <v>4160</v>
      </c>
      <c r="CB809" s="2" t="s">
        <v>4216</v>
      </c>
      <c r="CC809" s="2" t="s">
        <v>244</v>
      </c>
      <c r="CD809" s="2" t="s">
        <v>231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>
        <v>116</v>
      </c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>
        <v>191</v>
      </c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>
        <v>107</v>
      </c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</row>
    <row r="810">
      <c r="A810" s="2" t="s">
        <v>4286</v>
      </c>
      <c r="B810" s="2" t="s">
        <v>287</v>
      </c>
      <c r="C810" s="2" t="s">
        <v>1299</v>
      </c>
      <c r="D810" s="2" t="s">
        <v>289</v>
      </c>
      <c r="E810" s="2" t="s">
        <v>290</v>
      </c>
      <c r="F810" s="2" t="s">
        <v>4131</v>
      </c>
      <c r="G810" s="2" t="s">
        <v>4131</v>
      </c>
      <c r="H810" s="2" t="s">
        <v>4131</v>
      </c>
      <c r="I810" s="2" t="s">
        <v>359</v>
      </c>
      <c r="J810" s="2" t="s">
        <v>318</v>
      </c>
      <c r="K810" s="2" t="s">
        <v>4287</v>
      </c>
      <c r="L810" s="3">
        <v>19.8</v>
      </c>
      <c r="M810" s="3">
        <v>20.79</v>
      </c>
      <c r="N810" s="3">
        <v>44.99</v>
      </c>
      <c r="O810" s="2" t="s">
        <v>243</v>
      </c>
      <c r="P810" s="2" t="s">
        <v>236</v>
      </c>
      <c r="Q810" s="2" t="s">
        <v>237</v>
      </c>
      <c r="R810" s="2" t="s">
        <v>231</v>
      </c>
      <c r="S810" s="2" t="s">
        <v>4288</v>
      </c>
      <c r="T810" s="2" t="s">
        <v>4134</v>
      </c>
      <c r="U810" s="2" t="s">
        <v>835</v>
      </c>
      <c r="V810" s="2" t="s">
        <v>4046</v>
      </c>
      <c r="W810" s="2" t="s">
        <v>897</v>
      </c>
      <c r="X810" s="2" t="s">
        <v>273</v>
      </c>
      <c r="Y810" s="2" t="s">
        <v>231</v>
      </c>
      <c r="Z810" s="4"/>
      <c r="AA810" s="4">
        <f>=ROUNDDOWN({0},0)</f>
      </c>
      <c r="AB810" s="5"/>
      <c r="AC810" s="2" t="s">
        <v>4195</v>
      </c>
      <c r="AD810" s="4">
        <v>609</v>
      </c>
      <c r="AE810" s="4">
        <v>974</v>
      </c>
      <c r="AF810" s="6">
        <v>69</v>
      </c>
      <c r="AG810" s="6"/>
      <c r="AH810" s="7">
        <v>0</v>
      </c>
      <c r="AI810" s="4"/>
      <c r="AJ810" s="4">
        <f>=ROUNDDOWN({0},0)</f>
      </c>
      <c r="AK810" s="5"/>
      <c r="AL810" s="2" t="s">
        <v>231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231</v>
      </c>
      <c r="AW810" s="8" t="s">
        <v>231</v>
      </c>
      <c r="AX810" s="4" t="s">
        <v>231</v>
      </c>
      <c r="AY810" s="8" t="s">
        <v>231</v>
      </c>
      <c r="AZ810" s="7" t="s">
        <v>231</v>
      </c>
      <c r="BA810" s="7" t="s">
        <v>231</v>
      </c>
      <c r="BB810" s="7"/>
      <c r="BC810" s="4" t="s">
        <v>231</v>
      </c>
      <c r="BD810" s="8" t="s">
        <v>231</v>
      </c>
      <c r="BE810" s="4" t="s">
        <v>231</v>
      </c>
      <c r="BF810" s="8" t="s">
        <v>231</v>
      </c>
      <c r="BG810" s="7" t="s">
        <v>231</v>
      </c>
      <c r="BH810" s="7" t="s">
        <v>231</v>
      </c>
      <c r="BI810" s="7"/>
      <c r="BJ810" s="4"/>
      <c r="BK810" s="8"/>
      <c r="BL810" s="2" t="s">
        <v>231</v>
      </c>
      <c r="BM810" s="7"/>
      <c r="BN810" s="7"/>
      <c r="BO810" s="4"/>
      <c r="BP810" s="8"/>
      <c r="BQ810" s="4"/>
      <c r="BR810" s="8"/>
      <c r="BS810" s="7"/>
      <c r="BT810" s="7"/>
      <c r="BU810" s="2" t="s">
        <v>241</v>
      </c>
      <c r="BV810" s="2" t="s">
        <v>231</v>
      </c>
      <c r="BW810" s="2" t="s">
        <v>231</v>
      </c>
      <c r="BX810" s="2" t="s">
        <v>4138</v>
      </c>
      <c r="BY810" s="2" t="s">
        <v>242</v>
      </c>
      <c r="BZ810" s="2" t="s">
        <v>243</v>
      </c>
      <c r="CA810" s="2" t="s">
        <v>231</v>
      </c>
      <c r="CB810" s="2" t="s">
        <v>231</v>
      </c>
      <c r="CC810" s="2" t="s">
        <v>244</v>
      </c>
      <c r="CD810" s="2" t="s">
        <v>231</v>
      </c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>
        <v>609</v>
      </c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>
        <v>365</v>
      </c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</row>
    <row r="811">
      <c r="A811" s="2" t="s">
        <v>4289</v>
      </c>
      <c r="B811" s="2" t="s">
        <v>287</v>
      </c>
      <c r="C811" s="2" t="s">
        <v>1299</v>
      </c>
      <c r="D811" s="2" t="s">
        <v>289</v>
      </c>
      <c r="E811" s="2" t="s">
        <v>290</v>
      </c>
      <c r="F811" s="2" t="s">
        <v>4131</v>
      </c>
      <c r="G811" s="2" t="s">
        <v>4131</v>
      </c>
      <c r="H811" s="2" t="s">
        <v>4131</v>
      </c>
      <c r="I811" s="2" t="s">
        <v>359</v>
      </c>
      <c r="J811" s="2" t="s">
        <v>281</v>
      </c>
      <c r="K811" s="2" t="s">
        <v>4287</v>
      </c>
      <c r="L811" s="3">
        <v>21.78</v>
      </c>
      <c r="M811" s="3">
        <v>22.87</v>
      </c>
      <c r="N811" s="3">
        <v>49.99</v>
      </c>
      <c r="O811" s="2" t="s">
        <v>243</v>
      </c>
      <c r="P811" s="2" t="s">
        <v>236</v>
      </c>
      <c r="Q811" s="2" t="s">
        <v>237</v>
      </c>
      <c r="R811" s="2" t="s">
        <v>231</v>
      </c>
      <c r="S811" s="2" t="s">
        <v>4288</v>
      </c>
      <c r="T811" s="2" t="s">
        <v>4134</v>
      </c>
      <c r="U811" s="2" t="s">
        <v>298</v>
      </c>
      <c r="V811" s="2" t="s">
        <v>4046</v>
      </c>
      <c r="W811" s="2" t="s">
        <v>897</v>
      </c>
      <c r="X811" s="2" t="s">
        <v>273</v>
      </c>
      <c r="Y811" s="2" t="s">
        <v>231</v>
      </c>
      <c r="Z811" s="4"/>
      <c r="AA811" s="4">
        <f>=ROUNDDOWN({0},0)</f>
      </c>
      <c r="AB811" s="5"/>
      <c r="AC811" s="2" t="s">
        <v>4195</v>
      </c>
      <c r="AD811" s="4">
        <v>972</v>
      </c>
      <c r="AE811" s="4">
        <v>1555</v>
      </c>
      <c r="AF811" s="6">
        <v>69</v>
      </c>
      <c r="AG811" s="6"/>
      <c r="AH811" s="7">
        <v>0</v>
      </c>
      <c r="AI811" s="4"/>
      <c r="AJ811" s="4">
        <f>=ROUNDDOWN({0},0)</f>
      </c>
      <c r="AK811" s="5"/>
      <c r="AL811" s="2" t="s">
        <v>231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231</v>
      </c>
      <c r="AW811" s="8" t="s">
        <v>231</v>
      </c>
      <c r="AX811" s="4" t="s">
        <v>231</v>
      </c>
      <c r="AY811" s="8" t="s">
        <v>231</v>
      </c>
      <c r="AZ811" s="7" t="s">
        <v>231</v>
      </c>
      <c r="BA811" s="7" t="s">
        <v>231</v>
      </c>
      <c r="BB811" s="7"/>
      <c r="BC811" s="4" t="s">
        <v>231</v>
      </c>
      <c r="BD811" s="8" t="s">
        <v>231</v>
      </c>
      <c r="BE811" s="4" t="s">
        <v>231</v>
      </c>
      <c r="BF811" s="8" t="s">
        <v>231</v>
      </c>
      <c r="BG811" s="7" t="s">
        <v>231</v>
      </c>
      <c r="BH811" s="7" t="s">
        <v>231</v>
      </c>
      <c r="BI811" s="7"/>
      <c r="BJ811" s="4"/>
      <c r="BK811" s="8"/>
      <c r="BL811" s="2" t="s">
        <v>231</v>
      </c>
      <c r="BM811" s="7"/>
      <c r="BN811" s="7"/>
      <c r="BO811" s="4"/>
      <c r="BP811" s="8"/>
      <c r="BQ811" s="4"/>
      <c r="BR811" s="8"/>
      <c r="BS811" s="7"/>
      <c r="BT811" s="7"/>
      <c r="BU811" s="2" t="s">
        <v>241</v>
      </c>
      <c r="BV811" s="2" t="s">
        <v>231</v>
      </c>
      <c r="BW811" s="2" t="s">
        <v>231</v>
      </c>
      <c r="BX811" s="2" t="s">
        <v>4138</v>
      </c>
      <c r="BY811" s="2" t="s">
        <v>242</v>
      </c>
      <c r="BZ811" s="2" t="s">
        <v>243</v>
      </c>
      <c r="CA811" s="2" t="s">
        <v>231</v>
      </c>
      <c r="CB811" s="2" t="s">
        <v>231</v>
      </c>
      <c r="CC811" s="2" t="s">
        <v>244</v>
      </c>
      <c r="CD811" s="2" t="s">
        <v>231</v>
      </c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>
        <v>972</v>
      </c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>
        <v>583</v>
      </c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</row>
    <row r="812">
      <c r="A812" s="2" t="s">
        <v>4290</v>
      </c>
      <c r="B812" s="2" t="s">
        <v>287</v>
      </c>
      <c r="C812" s="2" t="s">
        <v>1299</v>
      </c>
      <c r="D812" s="2" t="s">
        <v>289</v>
      </c>
      <c r="E812" s="2" t="s">
        <v>290</v>
      </c>
      <c r="F812" s="2" t="s">
        <v>4131</v>
      </c>
      <c r="G812" s="2" t="s">
        <v>4131</v>
      </c>
      <c r="H812" s="2" t="s">
        <v>4131</v>
      </c>
      <c r="I812" s="2" t="s">
        <v>359</v>
      </c>
      <c r="J812" s="2" t="s">
        <v>293</v>
      </c>
      <c r="K812" s="2" t="s">
        <v>4287</v>
      </c>
      <c r="L812" s="3">
        <v>24.3</v>
      </c>
      <c r="M812" s="3">
        <v>25.52</v>
      </c>
      <c r="N812" s="3">
        <v>54.99</v>
      </c>
      <c r="O812" s="2" t="s">
        <v>243</v>
      </c>
      <c r="P812" s="2" t="s">
        <v>236</v>
      </c>
      <c r="Q812" s="2" t="s">
        <v>237</v>
      </c>
      <c r="R812" s="2" t="s">
        <v>231</v>
      </c>
      <c r="S812" s="2" t="s">
        <v>4288</v>
      </c>
      <c r="T812" s="2" t="s">
        <v>4134</v>
      </c>
      <c r="U812" s="2" t="s">
        <v>298</v>
      </c>
      <c r="V812" s="2" t="s">
        <v>4046</v>
      </c>
      <c r="W812" s="2" t="s">
        <v>897</v>
      </c>
      <c r="X812" s="2" t="s">
        <v>273</v>
      </c>
      <c r="Y812" s="2" t="s">
        <v>231</v>
      </c>
      <c r="Z812" s="4"/>
      <c r="AA812" s="4">
        <f>=ROUNDDOWN({0},0)</f>
      </c>
      <c r="AB812" s="5"/>
      <c r="AC812" s="2" t="s">
        <v>4195</v>
      </c>
      <c r="AD812" s="4">
        <v>1569</v>
      </c>
      <c r="AE812" s="4">
        <v>2510</v>
      </c>
      <c r="AF812" s="6">
        <v>69</v>
      </c>
      <c r="AG812" s="6"/>
      <c r="AH812" s="7">
        <v>0</v>
      </c>
      <c r="AI812" s="4"/>
      <c r="AJ812" s="4">
        <f>=ROUNDDOWN({0},0)</f>
      </c>
      <c r="AK812" s="5"/>
      <c r="AL812" s="2" t="s">
        <v>231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231</v>
      </c>
      <c r="AW812" s="8" t="s">
        <v>231</v>
      </c>
      <c r="AX812" s="4" t="s">
        <v>231</v>
      </c>
      <c r="AY812" s="8" t="s">
        <v>231</v>
      </c>
      <c r="AZ812" s="7" t="s">
        <v>231</v>
      </c>
      <c r="BA812" s="7" t="s">
        <v>231</v>
      </c>
      <c r="BB812" s="7"/>
      <c r="BC812" s="4" t="s">
        <v>231</v>
      </c>
      <c r="BD812" s="8" t="s">
        <v>231</v>
      </c>
      <c r="BE812" s="4" t="s">
        <v>231</v>
      </c>
      <c r="BF812" s="8" t="s">
        <v>231</v>
      </c>
      <c r="BG812" s="7" t="s">
        <v>231</v>
      </c>
      <c r="BH812" s="7" t="s">
        <v>231</v>
      </c>
      <c r="BI812" s="7"/>
      <c r="BJ812" s="4"/>
      <c r="BK812" s="8"/>
      <c r="BL812" s="2" t="s">
        <v>231</v>
      </c>
      <c r="BM812" s="7"/>
      <c r="BN812" s="7"/>
      <c r="BO812" s="4"/>
      <c r="BP812" s="8"/>
      <c r="BQ812" s="4"/>
      <c r="BR812" s="8"/>
      <c r="BS812" s="7"/>
      <c r="BT812" s="7"/>
      <c r="BU812" s="2" t="s">
        <v>241</v>
      </c>
      <c r="BV812" s="2" t="s">
        <v>231</v>
      </c>
      <c r="BW812" s="2" t="s">
        <v>231</v>
      </c>
      <c r="BX812" s="2" t="s">
        <v>4138</v>
      </c>
      <c r="BY812" s="2" t="s">
        <v>242</v>
      </c>
      <c r="BZ812" s="2" t="s">
        <v>243</v>
      </c>
      <c r="CA812" s="2" t="s">
        <v>231</v>
      </c>
      <c r="CB812" s="2" t="s">
        <v>231</v>
      </c>
      <c r="CC812" s="2" t="s">
        <v>244</v>
      </c>
      <c r="CD812" s="2" t="s">
        <v>231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>
        <v>1569</v>
      </c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>
        <v>941</v>
      </c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</row>
    <row r="813">
      <c r="A813" s="2" t="s">
        <v>4291</v>
      </c>
      <c r="B813" s="2" t="s">
        <v>287</v>
      </c>
      <c r="C813" s="2" t="s">
        <v>1299</v>
      </c>
      <c r="D813" s="2" t="s">
        <v>289</v>
      </c>
      <c r="E813" s="2" t="s">
        <v>290</v>
      </c>
      <c r="F813" s="2" t="s">
        <v>4131</v>
      </c>
      <c r="G813" s="2" t="s">
        <v>4131</v>
      </c>
      <c r="H813" s="2" t="s">
        <v>4131</v>
      </c>
      <c r="I813" s="2" t="s">
        <v>359</v>
      </c>
      <c r="J813" s="2" t="s">
        <v>302</v>
      </c>
      <c r="K813" s="2" t="s">
        <v>4287</v>
      </c>
      <c r="L813" s="3">
        <v>28.98</v>
      </c>
      <c r="M813" s="3">
        <v>30.43</v>
      </c>
      <c r="N813" s="3">
        <v>64.99</v>
      </c>
      <c r="O813" s="2" t="s">
        <v>243</v>
      </c>
      <c r="P813" s="2" t="s">
        <v>236</v>
      </c>
      <c r="Q813" s="2" t="s">
        <v>237</v>
      </c>
      <c r="R813" s="2" t="s">
        <v>231</v>
      </c>
      <c r="S813" s="2" t="s">
        <v>4288</v>
      </c>
      <c r="T813" s="2" t="s">
        <v>4134</v>
      </c>
      <c r="U813" s="2" t="s">
        <v>298</v>
      </c>
      <c r="V813" s="2" t="s">
        <v>4046</v>
      </c>
      <c r="W813" s="2" t="s">
        <v>897</v>
      </c>
      <c r="X813" s="2" t="s">
        <v>273</v>
      </c>
      <c r="Y813" s="2" t="s">
        <v>231</v>
      </c>
      <c r="Z813" s="4"/>
      <c r="AA813" s="4">
        <f>=ROUNDDOWN({0},0)</f>
      </c>
      <c r="AB813" s="5"/>
      <c r="AC813" s="2" t="s">
        <v>4195</v>
      </c>
      <c r="AD813" s="4">
        <v>652</v>
      </c>
      <c r="AE813" s="4">
        <v>1043</v>
      </c>
      <c r="AF813" s="6">
        <v>69</v>
      </c>
      <c r="AG813" s="6"/>
      <c r="AH813" s="7">
        <v>0</v>
      </c>
      <c r="AI813" s="4"/>
      <c r="AJ813" s="4">
        <f>=ROUNDDOWN({0},0)</f>
      </c>
      <c r="AK813" s="5"/>
      <c r="AL813" s="2" t="s">
        <v>231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231</v>
      </c>
      <c r="AW813" s="8" t="s">
        <v>231</v>
      </c>
      <c r="AX813" s="4" t="s">
        <v>231</v>
      </c>
      <c r="AY813" s="8" t="s">
        <v>231</v>
      </c>
      <c r="AZ813" s="7" t="s">
        <v>231</v>
      </c>
      <c r="BA813" s="7" t="s">
        <v>231</v>
      </c>
      <c r="BB813" s="7"/>
      <c r="BC813" s="4" t="s">
        <v>231</v>
      </c>
      <c r="BD813" s="8" t="s">
        <v>231</v>
      </c>
      <c r="BE813" s="4" t="s">
        <v>231</v>
      </c>
      <c r="BF813" s="8" t="s">
        <v>231</v>
      </c>
      <c r="BG813" s="7" t="s">
        <v>231</v>
      </c>
      <c r="BH813" s="7" t="s">
        <v>231</v>
      </c>
      <c r="BI813" s="7"/>
      <c r="BJ813" s="4"/>
      <c r="BK813" s="8"/>
      <c r="BL813" s="2" t="s">
        <v>231</v>
      </c>
      <c r="BM813" s="7"/>
      <c r="BN813" s="7"/>
      <c r="BO813" s="4"/>
      <c r="BP813" s="8"/>
      <c r="BQ813" s="4"/>
      <c r="BR813" s="8"/>
      <c r="BS813" s="7"/>
      <c r="BT813" s="7"/>
      <c r="BU813" s="2" t="s">
        <v>241</v>
      </c>
      <c r="BV813" s="2" t="s">
        <v>231</v>
      </c>
      <c r="BW813" s="2" t="s">
        <v>231</v>
      </c>
      <c r="BX813" s="2" t="s">
        <v>4138</v>
      </c>
      <c r="BY813" s="2" t="s">
        <v>242</v>
      </c>
      <c r="BZ813" s="2" t="s">
        <v>243</v>
      </c>
      <c r="CA813" s="2" t="s">
        <v>231</v>
      </c>
      <c r="CB813" s="2" t="s">
        <v>231</v>
      </c>
      <c r="CC813" s="2" t="s">
        <v>244</v>
      </c>
      <c r="CD813" s="2" t="s">
        <v>231</v>
      </c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>
        <v>652</v>
      </c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>
        <v>391</v>
      </c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</row>
    <row r="814">
      <c r="A814" s="2" t="s">
        <v>4292</v>
      </c>
      <c r="B814" s="2" t="s">
        <v>287</v>
      </c>
      <c r="C814" s="2" t="s">
        <v>1299</v>
      </c>
      <c r="D814" s="2" t="s">
        <v>289</v>
      </c>
      <c r="E814" s="2" t="s">
        <v>290</v>
      </c>
      <c r="F814" s="2" t="s">
        <v>4131</v>
      </c>
      <c r="G814" s="2" t="s">
        <v>4131</v>
      </c>
      <c r="H814" s="2" t="s">
        <v>4131</v>
      </c>
      <c r="I814" s="2" t="s">
        <v>359</v>
      </c>
      <c r="J814" s="2" t="s">
        <v>304</v>
      </c>
      <c r="K814" s="2" t="s">
        <v>4287</v>
      </c>
      <c r="L814" s="3">
        <v>28.98</v>
      </c>
      <c r="M814" s="3">
        <v>30.43</v>
      </c>
      <c r="N814" s="3">
        <v>64.99</v>
      </c>
      <c r="O814" s="2" t="s">
        <v>243</v>
      </c>
      <c r="P814" s="2" t="s">
        <v>236</v>
      </c>
      <c r="Q814" s="2" t="s">
        <v>237</v>
      </c>
      <c r="R814" s="2" t="s">
        <v>231</v>
      </c>
      <c r="S814" s="2" t="s">
        <v>4288</v>
      </c>
      <c r="T814" s="2" t="s">
        <v>4134</v>
      </c>
      <c r="U814" s="2" t="s">
        <v>298</v>
      </c>
      <c r="V814" s="2" t="s">
        <v>4046</v>
      </c>
      <c r="W814" s="2" t="s">
        <v>897</v>
      </c>
      <c r="X814" s="2" t="s">
        <v>273</v>
      </c>
      <c r="Y814" s="2" t="s">
        <v>231</v>
      </c>
      <c r="Z814" s="4"/>
      <c r="AA814" s="4">
        <f>=ROUNDDOWN({0},0)</f>
      </c>
      <c r="AB814" s="5"/>
      <c r="AC814" s="2" t="s">
        <v>4195</v>
      </c>
      <c r="AD814" s="4">
        <v>304</v>
      </c>
      <c r="AE814" s="4">
        <v>487</v>
      </c>
      <c r="AF814" s="6">
        <v>69</v>
      </c>
      <c r="AG814" s="6"/>
      <c r="AH814" s="7">
        <v>0</v>
      </c>
      <c r="AI814" s="4"/>
      <c r="AJ814" s="4">
        <f>=ROUNDDOWN({0},0)</f>
      </c>
      <c r="AK814" s="5"/>
      <c r="AL814" s="2" t="s">
        <v>231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231</v>
      </c>
      <c r="AW814" s="8" t="s">
        <v>231</v>
      </c>
      <c r="AX814" s="4" t="s">
        <v>231</v>
      </c>
      <c r="AY814" s="8" t="s">
        <v>231</v>
      </c>
      <c r="AZ814" s="7" t="s">
        <v>231</v>
      </c>
      <c r="BA814" s="7" t="s">
        <v>231</v>
      </c>
      <c r="BB814" s="7"/>
      <c r="BC814" s="4" t="s">
        <v>231</v>
      </c>
      <c r="BD814" s="8" t="s">
        <v>231</v>
      </c>
      <c r="BE814" s="4" t="s">
        <v>231</v>
      </c>
      <c r="BF814" s="8" t="s">
        <v>231</v>
      </c>
      <c r="BG814" s="7" t="s">
        <v>231</v>
      </c>
      <c r="BH814" s="7" t="s">
        <v>231</v>
      </c>
      <c r="BI814" s="7"/>
      <c r="BJ814" s="4"/>
      <c r="BK814" s="8"/>
      <c r="BL814" s="2" t="s">
        <v>231</v>
      </c>
      <c r="BM814" s="7"/>
      <c r="BN814" s="7"/>
      <c r="BO814" s="4"/>
      <c r="BP814" s="8"/>
      <c r="BQ814" s="4"/>
      <c r="BR814" s="8"/>
      <c r="BS814" s="7"/>
      <c r="BT814" s="7"/>
      <c r="BU814" s="2" t="s">
        <v>241</v>
      </c>
      <c r="BV814" s="2" t="s">
        <v>231</v>
      </c>
      <c r="BW814" s="2" t="s">
        <v>231</v>
      </c>
      <c r="BX814" s="2" t="s">
        <v>4138</v>
      </c>
      <c r="BY814" s="2" t="s">
        <v>242</v>
      </c>
      <c r="BZ814" s="2" t="s">
        <v>243</v>
      </c>
      <c r="CA814" s="2" t="s">
        <v>231</v>
      </c>
      <c r="CB814" s="2" t="s">
        <v>231</v>
      </c>
      <c r="CC814" s="2" t="s">
        <v>244</v>
      </c>
      <c r="CD814" s="2" t="s">
        <v>231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>
        <v>304</v>
      </c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>
        <v>183</v>
      </c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</row>
    <row r="815">
      <c r="A815" s="2" t="s">
        <v>4293</v>
      </c>
      <c r="B815" s="2" t="s">
        <v>287</v>
      </c>
      <c r="C815" s="2" t="s">
        <v>1299</v>
      </c>
      <c r="D815" s="2" t="s">
        <v>289</v>
      </c>
      <c r="E815" s="2" t="s">
        <v>290</v>
      </c>
      <c r="F815" s="2" t="s">
        <v>4131</v>
      </c>
      <c r="G815" s="2" t="s">
        <v>4131</v>
      </c>
      <c r="H815" s="2" t="s">
        <v>4131</v>
      </c>
      <c r="I815" s="2" t="s">
        <v>359</v>
      </c>
      <c r="J815" s="2" t="s">
        <v>318</v>
      </c>
      <c r="K815" s="2" t="s">
        <v>1348</v>
      </c>
      <c r="L815" s="3">
        <v>19.8</v>
      </c>
      <c r="M815" s="3">
        <v>20.79</v>
      </c>
      <c r="N815" s="3">
        <v>44.99</v>
      </c>
      <c r="O815" s="2" t="s">
        <v>243</v>
      </c>
      <c r="P815" s="2" t="s">
        <v>236</v>
      </c>
      <c r="Q815" s="2" t="s">
        <v>237</v>
      </c>
      <c r="R815" s="2" t="s">
        <v>231</v>
      </c>
      <c r="S815" s="2" t="s">
        <v>4294</v>
      </c>
      <c r="T815" s="2" t="s">
        <v>4134</v>
      </c>
      <c r="U815" s="2" t="s">
        <v>835</v>
      </c>
      <c r="V815" s="2" t="s">
        <v>1304</v>
      </c>
      <c r="W815" s="2" t="s">
        <v>897</v>
      </c>
      <c r="X815" s="2" t="s">
        <v>273</v>
      </c>
      <c r="Y815" s="2" t="s">
        <v>231</v>
      </c>
      <c r="Z815" s="4"/>
      <c r="AA815" s="4">
        <f>=ROUNDDOWN({0},0)</f>
      </c>
      <c r="AB815" s="5"/>
      <c r="AC815" s="2" t="s">
        <v>4195</v>
      </c>
      <c r="AD815" s="4">
        <v>753</v>
      </c>
      <c r="AE815" s="4">
        <v>1205</v>
      </c>
      <c r="AF815" s="6">
        <v>69</v>
      </c>
      <c r="AG815" s="6"/>
      <c r="AH815" s="7">
        <v>0</v>
      </c>
      <c r="AI815" s="4"/>
      <c r="AJ815" s="4">
        <f>=ROUNDDOWN({0},0)</f>
      </c>
      <c r="AK815" s="5"/>
      <c r="AL815" s="2" t="s">
        <v>231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231</v>
      </c>
      <c r="AW815" s="8" t="s">
        <v>231</v>
      </c>
      <c r="AX815" s="4" t="s">
        <v>231</v>
      </c>
      <c r="AY815" s="8" t="s">
        <v>231</v>
      </c>
      <c r="AZ815" s="7" t="s">
        <v>231</v>
      </c>
      <c r="BA815" s="7" t="s">
        <v>231</v>
      </c>
      <c r="BB815" s="7"/>
      <c r="BC815" s="4" t="s">
        <v>231</v>
      </c>
      <c r="BD815" s="8" t="s">
        <v>231</v>
      </c>
      <c r="BE815" s="4" t="s">
        <v>231</v>
      </c>
      <c r="BF815" s="8" t="s">
        <v>231</v>
      </c>
      <c r="BG815" s="7" t="s">
        <v>231</v>
      </c>
      <c r="BH815" s="7" t="s">
        <v>231</v>
      </c>
      <c r="BI815" s="7"/>
      <c r="BJ815" s="4"/>
      <c r="BK815" s="8"/>
      <c r="BL815" s="2" t="s">
        <v>231</v>
      </c>
      <c r="BM815" s="7"/>
      <c r="BN815" s="7"/>
      <c r="BO815" s="4"/>
      <c r="BP815" s="8"/>
      <c r="BQ815" s="4"/>
      <c r="BR815" s="8"/>
      <c r="BS815" s="7"/>
      <c r="BT815" s="7"/>
      <c r="BU815" s="2" t="s">
        <v>241</v>
      </c>
      <c r="BV815" s="2" t="s">
        <v>231</v>
      </c>
      <c r="BW815" s="2" t="s">
        <v>231</v>
      </c>
      <c r="BX815" s="2" t="s">
        <v>4138</v>
      </c>
      <c r="BY815" s="2" t="s">
        <v>242</v>
      </c>
      <c r="BZ815" s="2" t="s">
        <v>243</v>
      </c>
      <c r="CA815" s="2" t="s">
        <v>231</v>
      </c>
      <c r="CB815" s="2" t="s">
        <v>231</v>
      </c>
      <c r="CC815" s="2" t="s">
        <v>244</v>
      </c>
      <c r="CD815" s="2" t="s">
        <v>231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>
        <v>753</v>
      </c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>
        <v>452</v>
      </c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</row>
    <row r="816">
      <c r="A816" s="2" t="s">
        <v>4295</v>
      </c>
      <c r="B816" s="2" t="s">
        <v>287</v>
      </c>
      <c r="C816" s="2" t="s">
        <v>1299</v>
      </c>
      <c r="D816" s="2" t="s">
        <v>289</v>
      </c>
      <c r="E816" s="2" t="s">
        <v>290</v>
      </c>
      <c r="F816" s="2" t="s">
        <v>4131</v>
      </c>
      <c r="G816" s="2" t="s">
        <v>4131</v>
      </c>
      <c r="H816" s="2" t="s">
        <v>4131</v>
      </c>
      <c r="I816" s="2" t="s">
        <v>359</v>
      </c>
      <c r="J816" s="2" t="s">
        <v>281</v>
      </c>
      <c r="K816" s="2" t="s">
        <v>1348</v>
      </c>
      <c r="L816" s="3">
        <v>21.78</v>
      </c>
      <c r="M816" s="3">
        <v>22.87</v>
      </c>
      <c r="N816" s="3">
        <v>49.99</v>
      </c>
      <c r="O816" s="2" t="s">
        <v>243</v>
      </c>
      <c r="P816" s="2" t="s">
        <v>236</v>
      </c>
      <c r="Q816" s="2" t="s">
        <v>237</v>
      </c>
      <c r="R816" s="2" t="s">
        <v>231</v>
      </c>
      <c r="S816" s="2" t="s">
        <v>4294</v>
      </c>
      <c r="T816" s="2" t="s">
        <v>4134</v>
      </c>
      <c r="U816" s="2" t="s">
        <v>298</v>
      </c>
      <c r="V816" s="2" t="s">
        <v>1304</v>
      </c>
      <c r="W816" s="2" t="s">
        <v>897</v>
      </c>
      <c r="X816" s="2" t="s">
        <v>273</v>
      </c>
      <c r="Y816" s="2" t="s">
        <v>231</v>
      </c>
      <c r="Z816" s="4"/>
      <c r="AA816" s="4">
        <f>=ROUNDDOWN({0},0)</f>
      </c>
      <c r="AB816" s="5"/>
      <c r="AC816" s="2" t="s">
        <v>4195</v>
      </c>
      <c r="AD816" s="4">
        <v>582</v>
      </c>
      <c r="AE816" s="4">
        <v>931</v>
      </c>
      <c r="AF816" s="6">
        <v>69</v>
      </c>
      <c r="AG816" s="6"/>
      <c r="AH816" s="7">
        <v>0</v>
      </c>
      <c r="AI816" s="4"/>
      <c r="AJ816" s="4">
        <f>=ROUNDDOWN({0},0)</f>
      </c>
      <c r="AK816" s="5"/>
      <c r="AL816" s="2" t="s">
        <v>231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231</v>
      </c>
      <c r="AW816" s="8" t="s">
        <v>231</v>
      </c>
      <c r="AX816" s="4" t="s">
        <v>231</v>
      </c>
      <c r="AY816" s="8" t="s">
        <v>231</v>
      </c>
      <c r="AZ816" s="7" t="s">
        <v>231</v>
      </c>
      <c r="BA816" s="7" t="s">
        <v>231</v>
      </c>
      <c r="BB816" s="7"/>
      <c r="BC816" s="4" t="s">
        <v>231</v>
      </c>
      <c r="BD816" s="8" t="s">
        <v>231</v>
      </c>
      <c r="BE816" s="4" t="s">
        <v>231</v>
      </c>
      <c r="BF816" s="8" t="s">
        <v>231</v>
      </c>
      <c r="BG816" s="7" t="s">
        <v>231</v>
      </c>
      <c r="BH816" s="7" t="s">
        <v>231</v>
      </c>
      <c r="BI816" s="7"/>
      <c r="BJ816" s="4"/>
      <c r="BK816" s="8"/>
      <c r="BL816" s="2" t="s">
        <v>231</v>
      </c>
      <c r="BM816" s="7"/>
      <c r="BN816" s="7"/>
      <c r="BO816" s="4"/>
      <c r="BP816" s="8"/>
      <c r="BQ816" s="4"/>
      <c r="BR816" s="8"/>
      <c r="BS816" s="7"/>
      <c r="BT816" s="7"/>
      <c r="BU816" s="2" t="s">
        <v>241</v>
      </c>
      <c r="BV816" s="2" t="s">
        <v>231</v>
      </c>
      <c r="BW816" s="2" t="s">
        <v>231</v>
      </c>
      <c r="BX816" s="2" t="s">
        <v>4138</v>
      </c>
      <c r="BY816" s="2" t="s">
        <v>242</v>
      </c>
      <c r="BZ816" s="2" t="s">
        <v>243</v>
      </c>
      <c r="CA816" s="2" t="s">
        <v>231</v>
      </c>
      <c r="CB816" s="2" t="s">
        <v>231</v>
      </c>
      <c r="CC816" s="2" t="s">
        <v>244</v>
      </c>
      <c r="CD816" s="2" t="s">
        <v>231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>
        <v>582</v>
      </c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>
        <v>349</v>
      </c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</row>
    <row r="817">
      <c r="A817" s="2" t="s">
        <v>4296</v>
      </c>
      <c r="B817" s="2" t="s">
        <v>287</v>
      </c>
      <c r="C817" s="2" t="s">
        <v>1299</v>
      </c>
      <c r="D817" s="2" t="s">
        <v>289</v>
      </c>
      <c r="E817" s="2" t="s">
        <v>290</v>
      </c>
      <c r="F817" s="2" t="s">
        <v>4131</v>
      </c>
      <c r="G817" s="2" t="s">
        <v>4131</v>
      </c>
      <c r="H817" s="2" t="s">
        <v>4131</v>
      </c>
      <c r="I817" s="2" t="s">
        <v>359</v>
      </c>
      <c r="J817" s="2" t="s">
        <v>293</v>
      </c>
      <c r="K817" s="2" t="s">
        <v>1348</v>
      </c>
      <c r="L817" s="3">
        <v>24.3</v>
      </c>
      <c r="M817" s="3">
        <v>25.52</v>
      </c>
      <c r="N817" s="3">
        <v>54.99</v>
      </c>
      <c r="O817" s="2" t="s">
        <v>243</v>
      </c>
      <c r="P817" s="2" t="s">
        <v>1332</v>
      </c>
      <c r="Q817" s="2" t="s">
        <v>237</v>
      </c>
      <c r="R817" s="2" t="s">
        <v>231</v>
      </c>
      <c r="S817" s="2" t="s">
        <v>4297</v>
      </c>
      <c r="T817" s="2" t="s">
        <v>4134</v>
      </c>
      <c r="U817" s="2" t="s">
        <v>231</v>
      </c>
      <c r="V817" s="2" t="s">
        <v>1304</v>
      </c>
      <c r="W817" s="2" t="s">
        <v>897</v>
      </c>
      <c r="X817" s="2" t="s">
        <v>273</v>
      </c>
      <c r="Y817" s="2" t="s">
        <v>274</v>
      </c>
      <c r="Z817" s="4"/>
      <c r="AA817" s="4">
        <f>=ROUNDDOWN({0},0)</f>
      </c>
      <c r="AB817" s="5">
        <v>52</v>
      </c>
      <c r="AC817" s="2" t="s">
        <v>4135</v>
      </c>
      <c r="AD817" s="4">
        <v>314</v>
      </c>
      <c r="AE817" s="4">
        <v>1917</v>
      </c>
      <c r="AF817" s="6">
        <v>69</v>
      </c>
      <c r="AG817" s="6"/>
      <c r="AH817" s="7">
        <v>0</v>
      </c>
      <c r="AI817" s="4"/>
      <c r="AJ817" s="4">
        <f>=ROUNDDOWN({0},0)</f>
      </c>
      <c r="AK817" s="5"/>
      <c r="AL817" s="2" t="s">
        <v>231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231</v>
      </c>
      <c r="AW817" s="8" t="s">
        <v>231</v>
      </c>
      <c r="AX817" s="4" t="s">
        <v>231</v>
      </c>
      <c r="AY817" s="8" t="s">
        <v>231</v>
      </c>
      <c r="AZ817" s="7" t="s">
        <v>231</v>
      </c>
      <c r="BA817" s="7" t="s">
        <v>231</v>
      </c>
      <c r="BB817" s="7"/>
      <c r="BC817" s="4" t="s">
        <v>231</v>
      </c>
      <c r="BD817" s="8" t="s">
        <v>231</v>
      </c>
      <c r="BE817" s="4" t="s">
        <v>231</v>
      </c>
      <c r="BF817" s="8" t="s">
        <v>231</v>
      </c>
      <c r="BG817" s="7" t="s">
        <v>231</v>
      </c>
      <c r="BH817" s="7" t="s">
        <v>231</v>
      </c>
      <c r="BI817" s="7"/>
      <c r="BJ817" s="4"/>
      <c r="BK817" s="8"/>
      <c r="BL817" s="2" t="s">
        <v>231</v>
      </c>
      <c r="BM817" s="7"/>
      <c r="BN817" s="7"/>
      <c r="BO817" s="4"/>
      <c r="BP817" s="8"/>
      <c r="BQ817" s="4"/>
      <c r="BR817" s="8"/>
      <c r="BS817" s="7"/>
      <c r="BT817" s="7"/>
      <c r="BU817" s="2" t="s">
        <v>4298</v>
      </c>
      <c r="BV817" s="2" t="s">
        <v>231</v>
      </c>
      <c r="BW817" s="2" t="s">
        <v>231</v>
      </c>
      <c r="BX817" s="2" t="s">
        <v>4138</v>
      </c>
      <c r="BY817" s="2" t="s">
        <v>277</v>
      </c>
      <c r="BZ817" s="2" t="s">
        <v>243</v>
      </c>
      <c r="CA817" s="2" t="s">
        <v>4200</v>
      </c>
      <c r="CB817" s="2" t="s">
        <v>1868</v>
      </c>
      <c r="CC817" s="2" t="s">
        <v>244</v>
      </c>
      <c r="CD817" s="2" t="s">
        <v>231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>
        <v>314</v>
      </c>
      <c r="DR817" s="4"/>
      <c r="DS817" s="4"/>
      <c r="DT817" s="4"/>
      <c r="DU817" s="4"/>
      <c r="DV817" s="4"/>
      <c r="DW817" s="4">
        <v>148</v>
      </c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>
        <v>1016</v>
      </c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>
        <v>439</v>
      </c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</row>
    <row r="818">
      <c r="A818" s="2" t="s">
        <v>4299</v>
      </c>
      <c r="B818" s="2" t="s">
        <v>287</v>
      </c>
      <c r="C818" s="2" t="s">
        <v>1299</v>
      </c>
      <c r="D818" s="2" t="s">
        <v>289</v>
      </c>
      <c r="E818" s="2" t="s">
        <v>290</v>
      </c>
      <c r="F818" s="2" t="s">
        <v>4131</v>
      </c>
      <c r="G818" s="2" t="s">
        <v>4131</v>
      </c>
      <c r="H818" s="2" t="s">
        <v>4131</v>
      </c>
      <c r="I818" s="2" t="s">
        <v>359</v>
      </c>
      <c r="J818" s="2" t="s">
        <v>304</v>
      </c>
      <c r="K818" s="2" t="s">
        <v>1348</v>
      </c>
      <c r="L818" s="3">
        <v>28.98</v>
      </c>
      <c r="M818" s="3">
        <v>30.43</v>
      </c>
      <c r="N818" s="3">
        <v>64.99</v>
      </c>
      <c r="O818" s="2" t="s">
        <v>243</v>
      </c>
      <c r="P818" s="2" t="s">
        <v>1281</v>
      </c>
      <c r="Q818" s="2" t="s">
        <v>237</v>
      </c>
      <c r="R818" s="2" t="s">
        <v>231</v>
      </c>
      <c r="S818" s="2" t="s">
        <v>4297</v>
      </c>
      <c r="T818" s="2" t="s">
        <v>4134</v>
      </c>
      <c r="U818" s="2" t="s">
        <v>231</v>
      </c>
      <c r="V818" s="2" t="s">
        <v>1304</v>
      </c>
      <c r="W818" s="2" t="s">
        <v>897</v>
      </c>
      <c r="X818" s="2" t="s">
        <v>273</v>
      </c>
      <c r="Y818" s="2" t="s">
        <v>4300</v>
      </c>
      <c r="Z818" s="4"/>
      <c r="AA818" s="4">
        <f>=ROUNDDOWN({0},0)</f>
      </c>
      <c r="AB818" s="5">
        <v>16</v>
      </c>
      <c r="AC818" s="2" t="s">
        <v>4212</v>
      </c>
      <c r="AD818" s="4">
        <v>159</v>
      </c>
      <c r="AE818" s="4">
        <v>607</v>
      </c>
      <c r="AF818" s="6">
        <v>69</v>
      </c>
      <c r="AG818" s="6"/>
      <c r="AH818" s="7">
        <v>0</v>
      </c>
      <c r="AI818" s="4"/>
      <c r="AJ818" s="4">
        <f>=ROUNDDOWN({0},0)</f>
      </c>
      <c r="AK818" s="5"/>
      <c r="AL818" s="2" t="s">
        <v>231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231</v>
      </c>
      <c r="AW818" s="8" t="s">
        <v>231</v>
      </c>
      <c r="AX818" s="4" t="s">
        <v>231</v>
      </c>
      <c r="AY818" s="8" t="s">
        <v>231</v>
      </c>
      <c r="AZ818" s="7" t="s">
        <v>231</v>
      </c>
      <c r="BA818" s="7" t="s">
        <v>231</v>
      </c>
      <c r="BB818" s="7"/>
      <c r="BC818" s="4" t="s">
        <v>231</v>
      </c>
      <c r="BD818" s="8" t="s">
        <v>231</v>
      </c>
      <c r="BE818" s="4" t="s">
        <v>231</v>
      </c>
      <c r="BF818" s="8" t="s">
        <v>231</v>
      </c>
      <c r="BG818" s="7" t="s">
        <v>231</v>
      </c>
      <c r="BH818" s="7" t="s">
        <v>231</v>
      </c>
      <c r="BI818" s="7"/>
      <c r="BJ818" s="4"/>
      <c r="BK818" s="8"/>
      <c r="BL818" s="2" t="s">
        <v>231</v>
      </c>
      <c r="BM818" s="7"/>
      <c r="BN818" s="7"/>
      <c r="BO818" s="4"/>
      <c r="BP818" s="8"/>
      <c r="BQ818" s="4"/>
      <c r="BR818" s="8"/>
      <c r="BS818" s="7"/>
      <c r="BT818" s="7"/>
      <c r="BU818" s="2" t="s">
        <v>4301</v>
      </c>
      <c r="BV818" s="2" t="s">
        <v>231</v>
      </c>
      <c r="BW818" s="2" t="s">
        <v>231</v>
      </c>
      <c r="BX818" s="2" t="s">
        <v>4138</v>
      </c>
      <c r="BY818" s="2" t="s">
        <v>277</v>
      </c>
      <c r="BZ818" s="2" t="s">
        <v>243</v>
      </c>
      <c r="CA818" s="2" t="s">
        <v>4200</v>
      </c>
      <c r="CB818" s="2" t="s">
        <v>4302</v>
      </c>
      <c r="CC818" s="2" t="s">
        <v>244</v>
      </c>
      <c r="CD818" s="2" t="s">
        <v>231</v>
      </c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>
        <v>159</v>
      </c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>
        <v>305</v>
      </c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>
        <v>143</v>
      </c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</row>
    <row r="819">
      <c r="A819" s="2" t="s">
        <v>4303</v>
      </c>
      <c r="B819" s="2" t="s">
        <v>287</v>
      </c>
      <c r="C819" s="2" t="s">
        <v>1299</v>
      </c>
      <c r="D819" s="2" t="s">
        <v>289</v>
      </c>
      <c r="E819" s="2" t="s">
        <v>290</v>
      </c>
      <c r="F819" s="2" t="s">
        <v>4131</v>
      </c>
      <c r="G819" s="2" t="s">
        <v>4131</v>
      </c>
      <c r="H819" s="2" t="s">
        <v>4131</v>
      </c>
      <c r="I819" s="2" t="s">
        <v>359</v>
      </c>
      <c r="J819" s="2" t="s">
        <v>293</v>
      </c>
      <c r="K819" s="2" t="s">
        <v>1363</v>
      </c>
      <c r="L819" s="3">
        <v>24.3</v>
      </c>
      <c r="M819" s="3">
        <v>25.52</v>
      </c>
      <c r="N819" s="3">
        <v>54.99</v>
      </c>
      <c r="O819" s="2" t="s">
        <v>243</v>
      </c>
      <c r="P819" s="2" t="s">
        <v>1281</v>
      </c>
      <c r="Q819" s="2" t="s">
        <v>237</v>
      </c>
      <c r="R819" s="2" t="s">
        <v>231</v>
      </c>
      <c r="S819" s="2" t="s">
        <v>4304</v>
      </c>
      <c r="T819" s="2" t="s">
        <v>4134</v>
      </c>
      <c r="U819" s="2" t="s">
        <v>298</v>
      </c>
      <c r="V819" s="2" t="s">
        <v>1685</v>
      </c>
      <c r="W819" s="2" t="s">
        <v>897</v>
      </c>
      <c r="X819" s="2" t="s">
        <v>273</v>
      </c>
      <c r="Y819" s="2" t="s">
        <v>4183</v>
      </c>
      <c r="Z819" s="4">
        <v>3</v>
      </c>
      <c r="AA819" s="4">
        <f>=ROUNDDOWN(0.111111111111111,0)</f>
      </c>
      <c r="AB819" s="5">
        <v>27</v>
      </c>
      <c r="AC819" s="2" t="s">
        <v>4212</v>
      </c>
      <c r="AD819" s="4">
        <v>180</v>
      </c>
      <c r="AE819" s="4">
        <v>976</v>
      </c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231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 t="s">
        <v>231</v>
      </c>
      <c r="BD819" s="8" t="s">
        <v>231</v>
      </c>
      <c r="BE819" s="4" t="s">
        <v>231</v>
      </c>
      <c r="BF819" s="8" t="s">
        <v>231</v>
      </c>
      <c r="BG819" s="7" t="s">
        <v>231</v>
      </c>
      <c r="BH819" s="7" t="s">
        <v>231</v>
      </c>
      <c r="BI819" s="7"/>
      <c r="BJ819" s="4"/>
      <c r="BK819" s="8"/>
      <c r="BL819" s="2" t="s">
        <v>231</v>
      </c>
      <c r="BM819" s="7"/>
      <c r="BN819" s="7"/>
      <c r="BO819" s="4"/>
      <c r="BP819" s="8"/>
      <c r="BQ819" s="4"/>
      <c r="BR819" s="8"/>
      <c r="BS819" s="7"/>
      <c r="BT819" s="7"/>
      <c r="BU819" s="2" t="s">
        <v>4305</v>
      </c>
      <c r="BV819" s="2" t="s">
        <v>231</v>
      </c>
      <c r="BW819" s="2" t="s">
        <v>231</v>
      </c>
      <c r="BX819" s="2" t="s">
        <v>4138</v>
      </c>
      <c r="BY819" s="2" t="s">
        <v>277</v>
      </c>
      <c r="BZ819" s="2" t="s">
        <v>243</v>
      </c>
      <c r="CA819" s="2" t="s">
        <v>4276</v>
      </c>
      <c r="CB819" s="2" t="s">
        <v>4306</v>
      </c>
      <c r="CC819" s="2" t="s">
        <v>244</v>
      </c>
      <c r="CD819" s="2" t="s">
        <v>231</v>
      </c>
      <c r="CE819" s="4">
        <v>3</v>
      </c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>
        <v>180</v>
      </c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>
        <v>542</v>
      </c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>
        <v>254</v>
      </c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</row>
    <row r="820">
      <c r="A820" s="2" t="s">
        <v>4307</v>
      </c>
      <c r="B820" s="2" t="s">
        <v>287</v>
      </c>
      <c r="C820" s="2" t="s">
        <v>1299</v>
      </c>
      <c r="D820" s="2" t="s">
        <v>289</v>
      </c>
      <c r="E820" s="2" t="s">
        <v>290</v>
      </c>
      <c r="F820" s="2" t="s">
        <v>4131</v>
      </c>
      <c r="G820" s="2" t="s">
        <v>4131</v>
      </c>
      <c r="H820" s="2" t="s">
        <v>4131</v>
      </c>
      <c r="I820" s="2" t="s">
        <v>359</v>
      </c>
      <c r="J820" s="2" t="s">
        <v>318</v>
      </c>
      <c r="K820" s="2" t="s">
        <v>4308</v>
      </c>
      <c r="L820" s="3">
        <v>19.8</v>
      </c>
      <c r="M820" s="3">
        <v>20.79</v>
      </c>
      <c r="N820" s="3">
        <v>44.99</v>
      </c>
      <c r="O820" s="2" t="s">
        <v>243</v>
      </c>
      <c r="P820" s="2" t="s">
        <v>270</v>
      </c>
      <c r="Q820" s="2" t="s">
        <v>237</v>
      </c>
      <c r="R820" s="2" t="s">
        <v>231</v>
      </c>
      <c r="S820" s="2" t="s">
        <v>4309</v>
      </c>
      <c r="T820" s="2" t="s">
        <v>4134</v>
      </c>
      <c r="U820" s="2" t="s">
        <v>231</v>
      </c>
      <c r="V820" s="2" t="s">
        <v>4046</v>
      </c>
      <c r="W820" s="2" t="s">
        <v>897</v>
      </c>
      <c r="X820" s="2" t="s">
        <v>273</v>
      </c>
      <c r="Y820" s="2" t="s">
        <v>4170</v>
      </c>
      <c r="Z820" s="4">
        <v>3</v>
      </c>
      <c r="AA820" s="4">
        <f>=ROUNDDOWN(0.333333333333333,0)</f>
      </c>
      <c r="AB820" s="5">
        <v>9</v>
      </c>
      <c r="AC820" s="2" t="s">
        <v>4212</v>
      </c>
      <c r="AD820" s="4">
        <v>98</v>
      </c>
      <c r="AE820" s="4">
        <v>388</v>
      </c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231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231</v>
      </c>
      <c r="AW820" s="8" t="s">
        <v>231</v>
      </c>
      <c r="AX820" s="4" t="s">
        <v>231</v>
      </c>
      <c r="AY820" s="8" t="s">
        <v>231</v>
      </c>
      <c r="AZ820" s="7" t="s">
        <v>231</v>
      </c>
      <c r="BA820" s="7" t="s">
        <v>231</v>
      </c>
      <c r="BB820" s="7"/>
      <c r="BC820" s="4" t="s">
        <v>231</v>
      </c>
      <c r="BD820" s="8" t="s">
        <v>231</v>
      </c>
      <c r="BE820" s="4" t="s">
        <v>231</v>
      </c>
      <c r="BF820" s="8" t="s">
        <v>231</v>
      </c>
      <c r="BG820" s="7" t="s">
        <v>231</v>
      </c>
      <c r="BH820" s="7" t="s">
        <v>231</v>
      </c>
      <c r="BI820" s="7"/>
      <c r="BJ820" s="4"/>
      <c r="BK820" s="8"/>
      <c r="BL820" s="2" t="s">
        <v>231</v>
      </c>
      <c r="BM820" s="7"/>
      <c r="BN820" s="7"/>
      <c r="BO820" s="4"/>
      <c r="BP820" s="8"/>
      <c r="BQ820" s="4"/>
      <c r="BR820" s="8"/>
      <c r="BS820" s="7"/>
      <c r="BT820" s="7"/>
      <c r="BU820" s="2" t="s">
        <v>4310</v>
      </c>
      <c r="BV820" s="2" t="s">
        <v>231</v>
      </c>
      <c r="BW820" s="2" t="s">
        <v>231</v>
      </c>
      <c r="BX820" s="2" t="s">
        <v>4138</v>
      </c>
      <c r="BY820" s="2" t="s">
        <v>277</v>
      </c>
      <c r="BZ820" s="2" t="s">
        <v>243</v>
      </c>
      <c r="CA820" s="2" t="s">
        <v>4160</v>
      </c>
      <c r="CB820" s="2" t="s">
        <v>4172</v>
      </c>
      <c r="CC820" s="2" t="s">
        <v>244</v>
      </c>
      <c r="CD820" s="2" t="s">
        <v>231</v>
      </c>
      <c r="CE820" s="4">
        <v>3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>
        <v>98</v>
      </c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>
        <v>210</v>
      </c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>
        <v>80</v>
      </c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</row>
    <row r="821">
      <c r="A821" s="2" t="s">
        <v>4311</v>
      </c>
      <c r="B821" s="2" t="s">
        <v>287</v>
      </c>
      <c r="C821" s="2" t="s">
        <v>1299</v>
      </c>
      <c r="D821" s="2" t="s">
        <v>289</v>
      </c>
      <c r="E821" s="2" t="s">
        <v>290</v>
      </c>
      <c r="F821" s="2" t="s">
        <v>4131</v>
      </c>
      <c r="G821" s="2" t="s">
        <v>4131</v>
      </c>
      <c r="H821" s="2" t="s">
        <v>4131</v>
      </c>
      <c r="I821" s="2" t="s">
        <v>359</v>
      </c>
      <c r="J821" s="2" t="s">
        <v>281</v>
      </c>
      <c r="K821" s="2" t="s">
        <v>4308</v>
      </c>
      <c r="L821" s="3">
        <v>21.78</v>
      </c>
      <c r="M821" s="3">
        <v>22.87</v>
      </c>
      <c r="N821" s="3">
        <v>49.99</v>
      </c>
      <c r="O821" s="2" t="s">
        <v>243</v>
      </c>
      <c r="P821" s="2" t="s">
        <v>270</v>
      </c>
      <c r="Q821" s="2" t="s">
        <v>237</v>
      </c>
      <c r="R821" s="2" t="s">
        <v>231</v>
      </c>
      <c r="S821" s="2" t="s">
        <v>4309</v>
      </c>
      <c r="T821" s="2" t="s">
        <v>4134</v>
      </c>
      <c r="U821" s="2" t="s">
        <v>231</v>
      </c>
      <c r="V821" s="2" t="s">
        <v>4046</v>
      </c>
      <c r="W821" s="2" t="s">
        <v>897</v>
      </c>
      <c r="X821" s="2" t="s">
        <v>273</v>
      </c>
      <c r="Y821" s="2" t="s">
        <v>4170</v>
      </c>
      <c r="Z821" s="4"/>
      <c r="AA821" s="4">
        <f>=ROUNDDOWN({0},0)</f>
      </c>
      <c r="AB821" s="5">
        <v>13</v>
      </c>
      <c r="AC821" s="2" t="s">
        <v>4212</v>
      </c>
      <c r="AD821" s="4">
        <v>108</v>
      </c>
      <c r="AE821" s="4">
        <v>503</v>
      </c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231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231</v>
      </c>
      <c r="AW821" s="8" t="s">
        <v>231</v>
      </c>
      <c r="AX821" s="4" t="s">
        <v>231</v>
      </c>
      <c r="AY821" s="8" t="s">
        <v>231</v>
      </c>
      <c r="AZ821" s="7" t="s">
        <v>231</v>
      </c>
      <c r="BA821" s="7" t="s">
        <v>231</v>
      </c>
      <c r="BB821" s="7"/>
      <c r="BC821" s="4" t="s">
        <v>231</v>
      </c>
      <c r="BD821" s="8" t="s">
        <v>231</v>
      </c>
      <c r="BE821" s="4" t="s">
        <v>231</v>
      </c>
      <c r="BF821" s="8" t="s">
        <v>231</v>
      </c>
      <c r="BG821" s="7" t="s">
        <v>231</v>
      </c>
      <c r="BH821" s="7" t="s">
        <v>231</v>
      </c>
      <c r="BI821" s="7"/>
      <c r="BJ821" s="4"/>
      <c r="BK821" s="8"/>
      <c r="BL821" s="2" t="s">
        <v>231</v>
      </c>
      <c r="BM821" s="7"/>
      <c r="BN821" s="7"/>
      <c r="BO821" s="4"/>
      <c r="BP821" s="8"/>
      <c r="BQ821" s="4"/>
      <c r="BR821" s="8"/>
      <c r="BS821" s="7"/>
      <c r="BT821" s="7"/>
      <c r="BU821" s="2" t="s">
        <v>4312</v>
      </c>
      <c r="BV821" s="2" t="s">
        <v>231</v>
      </c>
      <c r="BW821" s="2" t="s">
        <v>231</v>
      </c>
      <c r="BX821" s="2" t="s">
        <v>4138</v>
      </c>
      <c r="BY821" s="2" t="s">
        <v>277</v>
      </c>
      <c r="BZ821" s="2" t="s">
        <v>243</v>
      </c>
      <c r="CA821" s="2" t="s">
        <v>4160</v>
      </c>
      <c r="CB821" s="2" t="s">
        <v>4172</v>
      </c>
      <c r="CC821" s="2" t="s">
        <v>244</v>
      </c>
      <c r="CD821" s="2" t="s">
        <v>231</v>
      </c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>
        <v>108</v>
      </c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>
        <v>286</v>
      </c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>
        <v>109</v>
      </c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</row>
    <row r="822">
      <c r="A822" s="2" t="s">
        <v>4313</v>
      </c>
      <c r="B822" s="2" t="s">
        <v>287</v>
      </c>
      <c r="C822" s="2" t="s">
        <v>1299</v>
      </c>
      <c r="D822" s="2" t="s">
        <v>289</v>
      </c>
      <c r="E822" s="2" t="s">
        <v>290</v>
      </c>
      <c r="F822" s="2" t="s">
        <v>4131</v>
      </c>
      <c r="G822" s="2" t="s">
        <v>4131</v>
      </c>
      <c r="H822" s="2" t="s">
        <v>4131</v>
      </c>
      <c r="I822" s="2" t="s">
        <v>359</v>
      </c>
      <c r="J822" s="2" t="s">
        <v>302</v>
      </c>
      <c r="K822" s="2" t="s">
        <v>4308</v>
      </c>
      <c r="L822" s="3">
        <v>28.98</v>
      </c>
      <c r="M822" s="3">
        <v>30.43</v>
      </c>
      <c r="N822" s="3">
        <v>64.99</v>
      </c>
      <c r="O822" s="2" t="s">
        <v>243</v>
      </c>
      <c r="P822" s="2" t="s">
        <v>270</v>
      </c>
      <c r="Q822" s="2" t="s">
        <v>237</v>
      </c>
      <c r="R822" s="2" t="s">
        <v>231</v>
      </c>
      <c r="S822" s="2" t="s">
        <v>4314</v>
      </c>
      <c r="T822" s="2" t="s">
        <v>4134</v>
      </c>
      <c r="U822" s="2" t="s">
        <v>231</v>
      </c>
      <c r="V822" s="2" t="s">
        <v>4046</v>
      </c>
      <c r="W822" s="2" t="s">
        <v>897</v>
      </c>
      <c r="X822" s="2" t="s">
        <v>273</v>
      </c>
      <c r="Y822" s="2" t="s">
        <v>4170</v>
      </c>
      <c r="Z822" s="4">
        <v>4</v>
      </c>
      <c r="AA822" s="4">
        <f>=ROUNDDOWN(0.5,0)</f>
      </c>
      <c r="AB822" s="5">
        <v>8</v>
      </c>
      <c r="AC822" s="2" t="s">
        <v>4212</v>
      </c>
      <c r="AD822" s="4">
        <v>83</v>
      </c>
      <c r="AE822" s="4">
        <v>321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231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231</v>
      </c>
      <c r="AW822" s="8" t="s">
        <v>231</v>
      </c>
      <c r="AX822" s="4" t="s">
        <v>231</v>
      </c>
      <c r="AY822" s="8" t="s">
        <v>231</v>
      </c>
      <c r="AZ822" s="7" t="s">
        <v>231</v>
      </c>
      <c r="BA822" s="7" t="s">
        <v>231</v>
      </c>
      <c r="BB822" s="7"/>
      <c r="BC822" s="4" t="s">
        <v>231</v>
      </c>
      <c r="BD822" s="8" t="s">
        <v>231</v>
      </c>
      <c r="BE822" s="4" t="s">
        <v>231</v>
      </c>
      <c r="BF822" s="8" t="s">
        <v>231</v>
      </c>
      <c r="BG822" s="7" t="s">
        <v>231</v>
      </c>
      <c r="BH822" s="7" t="s">
        <v>231</v>
      </c>
      <c r="BI822" s="7"/>
      <c r="BJ822" s="4">
        <v>3</v>
      </c>
      <c r="BK822" s="8">
        <v>97.71</v>
      </c>
      <c r="BL822" s="2" t="s">
        <v>4315</v>
      </c>
      <c r="BM822" s="7"/>
      <c r="BN822" s="7"/>
      <c r="BO822" s="4"/>
      <c r="BP822" s="8"/>
      <c r="BQ822" s="4"/>
      <c r="BR822" s="8"/>
      <c r="BS822" s="7"/>
      <c r="BT822" s="7"/>
      <c r="BU822" s="2" t="s">
        <v>4316</v>
      </c>
      <c r="BV822" s="2" t="s">
        <v>231</v>
      </c>
      <c r="BW822" s="2" t="s">
        <v>231</v>
      </c>
      <c r="BX822" s="2" t="s">
        <v>4138</v>
      </c>
      <c r="BY822" s="2" t="s">
        <v>277</v>
      </c>
      <c r="BZ822" s="2" t="s">
        <v>243</v>
      </c>
      <c r="CA822" s="2" t="s">
        <v>4160</v>
      </c>
      <c r="CB822" s="2" t="s">
        <v>4216</v>
      </c>
      <c r="CC822" s="2" t="s">
        <v>244</v>
      </c>
      <c r="CD822" s="2" t="s">
        <v>231</v>
      </c>
      <c r="CE822" s="4">
        <v>4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>
        <v>83</v>
      </c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>
        <v>167</v>
      </c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>
        <v>71</v>
      </c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</row>
    <row r="823">
      <c r="A823" s="2" t="s">
        <v>4317</v>
      </c>
      <c r="B823" s="2" t="s">
        <v>287</v>
      </c>
      <c r="C823" s="2" t="s">
        <v>1299</v>
      </c>
      <c r="D823" s="2" t="s">
        <v>289</v>
      </c>
      <c r="E823" s="2" t="s">
        <v>290</v>
      </c>
      <c r="F823" s="2" t="s">
        <v>4131</v>
      </c>
      <c r="G823" s="2" t="s">
        <v>4131</v>
      </c>
      <c r="H823" s="2" t="s">
        <v>4131</v>
      </c>
      <c r="I823" s="2" t="s">
        <v>359</v>
      </c>
      <c r="J823" s="2" t="s">
        <v>304</v>
      </c>
      <c r="K823" s="2" t="s">
        <v>4308</v>
      </c>
      <c r="L823" s="3">
        <v>28.98</v>
      </c>
      <c r="M823" s="3">
        <v>30.43</v>
      </c>
      <c r="N823" s="3">
        <v>64.99</v>
      </c>
      <c r="O823" s="2" t="s">
        <v>243</v>
      </c>
      <c r="P823" s="2" t="s">
        <v>270</v>
      </c>
      <c r="Q823" s="2" t="s">
        <v>237</v>
      </c>
      <c r="R823" s="2" t="s">
        <v>231</v>
      </c>
      <c r="S823" s="2" t="s">
        <v>4314</v>
      </c>
      <c r="T823" s="2" t="s">
        <v>4134</v>
      </c>
      <c r="U823" s="2" t="s">
        <v>231</v>
      </c>
      <c r="V823" s="2" t="s">
        <v>4046</v>
      </c>
      <c r="W823" s="2" t="s">
        <v>273</v>
      </c>
      <c r="X823" s="2" t="s">
        <v>231</v>
      </c>
      <c r="Y823" s="2" t="s">
        <v>4170</v>
      </c>
      <c r="Z823" s="4"/>
      <c r="AA823" s="4">
        <f>=ROUNDDOWN({0},0)</f>
      </c>
      <c r="AB823" s="5">
        <v>4</v>
      </c>
      <c r="AC823" s="2" t="s">
        <v>4212</v>
      </c>
      <c r="AD823" s="4">
        <v>53</v>
      </c>
      <c r="AE823" s="4">
        <v>203</v>
      </c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231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231</v>
      </c>
      <c r="AW823" s="8" t="s">
        <v>231</v>
      </c>
      <c r="AX823" s="4" t="s">
        <v>231</v>
      </c>
      <c r="AY823" s="8" t="s">
        <v>231</v>
      </c>
      <c r="AZ823" s="7" t="s">
        <v>231</v>
      </c>
      <c r="BA823" s="7" t="s">
        <v>231</v>
      </c>
      <c r="BB823" s="7"/>
      <c r="BC823" s="4" t="s">
        <v>231</v>
      </c>
      <c r="BD823" s="8" t="s">
        <v>231</v>
      </c>
      <c r="BE823" s="4" t="s">
        <v>231</v>
      </c>
      <c r="BF823" s="8" t="s">
        <v>231</v>
      </c>
      <c r="BG823" s="7" t="s">
        <v>231</v>
      </c>
      <c r="BH823" s="7" t="s">
        <v>231</v>
      </c>
      <c r="BI823" s="7"/>
      <c r="BJ823" s="4"/>
      <c r="BK823" s="8"/>
      <c r="BL823" s="2" t="s">
        <v>4229</v>
      </c>
      <c r="BM823" s="7"/>
      <c r="BN823" s="7"/>
      <c r="BO823" s="4"/>
      <c r="BP823" s="8"/>
      <c r="BQ823" s="4"/>
      <c r="BR823" s="8"/>
      <c r="BS823" s="7"/>
      <c r="BT823" s="7"/>
      <c r="BU823" s="2" t="s">
        <v>4318</v>
      </c>
      <c r="BV823" s="2" t="s">
        <v>231</v>
      </c>
      <c r="BW823" s="2" t="s">
        <v>231</v>
      </c>
      <c r="BX823" s="2" t="s">
        <v>4138</v>
      </c>
      <c r="BY823" s="2" t="s">
        <v>277</v>
      </c>
      <c r="BZ823" s="2" t="s">
        <v>243</v>
      </c>
      <c r="CA823" s="2" t="s">
        <v>4160</v>
      </c>
      <c r="CB823" s="2" t="s">
        <v>4172</v>
      </c>
      <c r="CC823" s="2" t="s">
        <v>244</v>
      </c>
      <c r="CD823" s="2" t="s">
        <v>231</v>
      </c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>
        <v>53</v>
      </c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>
        <v>105</v>
      </c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>
        <v>45</v>
      </c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</row>
    <row r="824">
      <c r="A824" s="2" t="s">
        <v>4319</v>
      </c>
      <c r="B824" s="2" t="s">
        <v>287</v>
      </c>
      <c r="C824" s="2" t="s">
        <v>1299</v>
      </c>
      <c r="D824" s="2" t="s">
        <v>289</v>
      </c>
      <c r="E824" s="2" t="s">
        <v>290</v>
      </c>
      <c r="F824" s="2" t="s">
        <v>4131</v>
      </c>
      <c r="G824" s="2" t="s">
        <v>4131</v>
      </c>
      <c r="H824" s="2" t="s">
        <v>4131</v>
      </c>
      <c r="I824" s="2" t="s">
        <v>359</v>
      </c>
      <c r="J824" s="2" t="s">
        <v>281</v>
      </c>
      <c r="K824" s="2" t="s">
        <v>4320</v>
      </c>
      <c r="L824" s="3">
        <v>21.78</v>
      </c>
      <c r="M824" s="3">
        <v>22.87</v>
      </c>
      <c r="N824" s="3">
        <v>49.99</v>
      </c>
      <c r="O824" s="2" t="s">
        <v>243</v>
      </c>
      <c r="P824" s="2" t="s">
        <v>270</v>
      </c>
      <c r="Q824" s="2" t="s">
        <v>237</v>
      </c>
      <c r="R824" s="2" t="s">
        <v>231</v>
      </c>
      <c r="S824" s="2" t="s">
        <v>4321</v>
      </c>
      <c r="T824" s="2" t="s">
        <v>4134</v>
      </c>
      <c r="U824" s="2" t="s">
        <v>231</v>
      </c>
      <c r="V824" s="2" t="s">
        <v>4046</v>
      </c>
      <c r="W824" s="2" t="s">
        <v>897</v>
      </c>
      <c r="X824" s="2" t="s">
        <v>273</v>
      </c>
      <c r="Y824" s="2" t="s">
        <v>2848</v>
      </c>
      <c r="Z824" s="4">
        <v>3</v>
      </c>
      <c r="AA824" s="4">
        <f>=ROUNDDOWN(0.428571428571429,0)</f>
      </c>
      <c r="AB824" s="5">
        <v>7</v>
      </c>
      <c r="AC824" s="2" t="s">
        <v>4212</v>
      </c>
      <c r="AD824" s="4">
        <v>74</v>
      </c>
      <c r="AE824" s="4">
        <v>279</v>
      </c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231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231</v>
      </c>
      <c r="AW824" s="8" t="s">
        <v>231</v>
      </c>
      <c r="AX824" s="4" t="s">
        <v>231</v>
      </c>
      <c r="AY824" s="8" t="s">
        <v>231</v>
      </c>
      <c r="AZ824" s="7" t="s">
        <v>231</v>
      </c>
      <c r="BA824" s="7" t="s">
        <v>231</v>
      </c>
      <c r="BB824" s="7"/>
      <c r="BC824" s="4" t="s">
        <v>231</v>
      </c>
      <c r="BD824" s="8" t="s">
        <v>231</v>
      </c>
      <c r="BE824" s="4" t="s">
        <v>231</v>
      </c>
      <c r="BF824" s="8" t="s">
        <v>231</v>
      </c>
      <c r="BG824" s="7" t="s">
        <v>231</v>
      </c>
      <c r="BH824" s="7" t="s">
        <v>231</v>
      </c>
      <c r="BI824" s="7"/>
      <c r="BJ824" s="4"/>
      <c r="BK824" s="8"/>
      <c r="BL824" s="2" t="s">
        <v>4322</v>
      </c>
      <c r="BM824" s="7"/>
      <c r="BN824" s="7"/>
      <c r="BO824" s="4"/>
      <c r="BP824" s="8"/>
      <c r="BQ824" s="4"/>
      <c r="BR824" s="8"/>
      <c r="BS824" s="7"/>
      <c r="BT824" s="7"/>
      <c r="BU824" s="2" t="s">
        <v>4323</v>
      </c>
      <c r="BV824" s="2" t="s">
        <v>231</v>
      </c>
      <c r="BW824" s="2" t="s">
        <v>231</v>
      </c>
      <c r="BX824" s="2" t="s">
        <v>4138</v>
      </c>
      <c r="BY824" s="2" t="s">
        <v>277</v>
      </c>
      <c r="BZ824" s="2" t="s">
        <v>243</v>
      </c>
      <c r="CA824" s="2" t="s">
        <v>4160</v>
      </c>
      <c r="CB824" s="2" t="s">
        <v>4324</v>
      </c>
      <c r="CC824" s="2" t="s">
        <v>244</v>
      </c>
      <c r="CD824" s="2" t="s">
        <v>231</v>
      </c>
      <c r="CE824" s="4">
        <v>3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>
        <v>74</v>
      </c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>
        <v>136</v>
      </c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>
        <v>69</v>
      </c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</row>
    <row r="825">
      <c r="A825" s="2" t="s">
        <v>4325</v>
      </c>
      <c r="B825" s="2" t="s">
        <v>287</v>
      </c>
      <c r="C825" s="2" t="s">
        <v>1299</v>
      </c>
      <c r="D825" s="2" t="s">
        <v>289</v>
      </c>
      <c r="E825" s="2" t="s">
        <v>290</v>
      </c>
      <c r="F825" s="2" t="s">
        <v>4131</v>
      </c>
      <c r="G825" s="2" t="s">
        <v>4131</v>
      </c>
      <c r="H825" s="2" t="s">
        <v>4131</v>
      </c>
      <c r="I825" s="2" t="s">
        <v>359</v>
      </c>
      <c r="J825" s="2" t="s">
        <v>293</v>
      </c>
      <c r="K825" s="2" t="s">
        <v>4320</v>
      </c>
      <c r="L825" s="3">
        <v>24.3</v>
      </c>
      <c r="M825" s="3">
        <v>25.52</v>
      </c>
      <c r="N825" s="3">
        <v>54.99</v>
      </c>
      <c r="O825" s="2" t="s">
        <v>243</v>
      </c>
      <c r="P825" s="2" t="s">
        <v>270</v>
      </c>
      <c r="Q825" s="2" t="s">
        <v>237</v>
      </c>
      <c r="R825" s="2" t="s">
        <v>231</v>
      </c>
      <c r="S825" s="2" t="s">
        <v>4326</v>
      </c>
      <c r="T825" s="2" t="s">
        <v>4134</v>
      </c>
      <c r="U825" s="2" t="s">
        <v>231</v>
      </c>
      <c r="V825" s="2" t="s">
        <v>4046</v>
      </c>
      <c r="W825" s="2" t="s">
        <v>897</v>
      </c>
      <c r="X825" s="2" t="s">
        <v>273</v>
      </c>
      <c r="Y825" s="2" t="s">
        <v>4327</v>
      </c>
      <c r="Z825" s="4"/>
      <c r="AA825" s="4">
        <f>=ROUNDDOWN({0},0)</f>
      </c>
      <c r="AB825" s="5">
        <v>11</v>
      </c>
      <c r="AC825" s="2" t="s">
        <v>4212</v>
      </c>
      <c r="AD825" s="4">
        <v>48</v>
      </c>
      <c r="AE825" s="4">
        <v>429</v>
      </c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231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231</v>
      </c>
      <c r="AW825" s="8" t="s">
        <v>231</v>
      </c>
      <c r="AX825" s="4" t="s">
        <v>231</v>
      </c>
      <c r="AY825" s="8" t="s">
        <v>231</v>
      </c>
      <c r="AZ825" s="7" t="s">
        <v>231</v>
      </c>
      <c r="BA825" s="7" t="s">
        <v>231</v>
      </c>
      <c r="BB825" s="7"/>
      <c r="BC825" s="4" t="s">
        <v>231</v>
      </c>
      <c r="BD825" s="8" t="s">
        <v>231</v>
      </c>
      <c r="BE825" s="4" t="s">
        <v>231</v>
      </c>
      <c r="BF825" s="8" t="s">
        <v>231</v>
      </c>
      <c r="BG825" s="7" t="s">
        <v>231</v>
      </c>
      <c r="BH825" s="7" t="s">
        <v>231</v>
      </c>
      <c r="BI825" s="7"/>
      <c r="BJ825" s="4"/>
      <c r="BK825" s="8"/>
      <c r="BL825" s="2" t="s">
        <v>4328</v>
      </c>
      <c r="BM825" s="7"/>
      <c r="BN825" s="7"/>
      <c r="BO825" s="4"/>
      <c r="BP825" s="8"/>
      <c r="BQ825" s="4"/>
      <c r="BR825" s="8"/>
      <c r="BS825" s="7"/>
      <c r="BT825" s="7"/>
      <c r="BU825" s="2" t="s">
        <v>4329</v>
      </c>
      <c r="BV825" s="2" t="s">
        <v>231</v>
      </c>
      <c r="BW825" s="2" t="s">
        <v>231</v>
      </c>
      <c r="BX825" s="2" t="s">
        <v>4138</v>
      </c>
      <c r="BY825" s="2" t="s">
        <v>277</v>
      </c>
      <c r="BZ825" s="2" t="s">
        <v>243</v>
      </c>
      <c r="CA825" s="2" t="s">
        <v>4160</v>
      </c>
      <c r="CB825" s="2" t="s">
        <v>4330</v>
      </c>
      <c r="CC825" s="2" t="s">
        <v>244</v>
      </c>
      <c r="CD825" s="2" t="s">
        <v>231</v>
      </c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>
        <v>48</v>
      </c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>
        <v>269</v>
      </c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>
        <v>112</v>
      </c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</row>
    <row r="826">
      <c r="A826" s="2" t="s">
        <v>4331</v>
      </c>
      <c r="B826" s="2" t="s">
        <v>287</v>
      </c>
      <c r="C826" s="2" t="s">
        <v>1299</v>
      </c>
      <c r="D826" s="2" t="s">
        <v>289</v>
      </c>
      <c r="E826" s="2" t="s">
        <v>290</v>
      </c>
      <c r="F826" s="2" t="s">
        <v>4131</v>
      </c>
      <c r="G826" s="2" t="s">
        <v>4131</v>
      </c>
      <c r="H826" s="2" t="s">
        <v>4131</v>
      </c>
      <c r="I826" s="2" t="s">
        <v>359</v>
      </c>
      <c r="J826" s="2" t="s">
        <v>302</v>
      </c>
      <c r="K826" s="2" t="s">
        <v>4320</v>
      </c>
      <c r="L826" s="3">
        <v>28.98</v>
      </c>
      <c r="M826" s="3">
        <v>30.43</v>
      </c>
      <c r="N826" s="3">
        <v>64.99</v>
      </c>
      <c r="O826" s="2" t="s">
        <v>243</v>
      </c>
      <c r="P826" s="2" t="s">
        <v>270</v>
      </c>
      <c r="Q826" s="2" t="s">
        <v>237</v>
      </c>
      <c r="R826" s="2" t="s">
        <v>231</v>
      </c>
      <c r="S826" s="2" t="s">
        <v>4326</v>
      </c>
      <c r="T826" s="2" t="s">
        <v>4134</v>
      </c>
      <c r="U826" s="2" t="s">
        <v>231</v>
      </c>
      <c r="V826" s="2" t="s">
        <v>4046</v>
      </c>
      <c r="W826" s="2" t="s">
        <v>897</v>
      </c>
      <c r="X826" s="2" t="s">
        <v>273</v>
      </c>
      <c r="Y826" s="2" t="s">
        <v>2848</v>
      </c>
      <c r="Z826" s="4">
        <v>1</v>
      </c>
      <c r="AA826" s="4">
        <f>=ROUNDDOWN(0.166666666666667,0)</f>
      </c>
      <c r="AB826" s="5">
        <v>6</v>
      </c>
      <c r="AC826" s="2" t="s">
        <v>4212</v>
      </c>
      <c r="AD826" s="4">
        <v>63</v>
      </c>
      <c r="AE826" s="4">
        <v>231</v>
      </c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231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231</v>
      </c>
      <c r="AW826" s="8" t="s">
        <v>231</v>
      </c>
      <c r="AX826" s="4" t="s">
        <v>231</v>
      </c>
      <c r="AY826" s="8" t="s">
        <v>231</v>
      </c>
      <c r="AZ826" s="7" t="s">
        <v>231</v>
      </c>
      <c r="BA826" s="7" t="s">
        <v>231</v>
      </c>
      <c r="BB826" s="7"/>
      <c r="BC826" s="4" t="s">
        <v>231</v>
      </c>
      <c r="BD826" s="8" t="s">
        <v>231</v>
      </c>
      <c r="BE826" s="4" t="s">
        <v>231</v>
      </c>
      <c r="BF826" s="8" t="s">
        <v>231</v>
      </c>
      <c r="BG826" s="7" t="s">
        <v>231</v>
      </c>
      <c r="BH826" s="7" t="s">
        <v>231</v>
      </c>
      <c r="BI826" s="7"/>
      <c r="BJ826" s="4"/>
      <c r="BK826" s="8"/>
      <c r="BL826" s="2" t="s">
        <v>4332</v>
      </c>
      <c r="BM826" s="7"/>
      <c r="BN826" s="7"/>
      <c r="BO826" s="4"/>
      <c r="BP826" s="8"/>
      <c r="BQ826" s="4"/>
      <c r="BR826" s="8"/>
      <c r="BS826" s="7"/>
      <c r="BT826" s="7"/>
      <c r="BU826" s="2" t="s">
        <v>4333</v>
      </c>
      <c r="BV826" s="2" t="s">
        <v>231</v>
      </c>
      <c r="BW826" s="2" t="s">
        <v>231</v>
      </c>
      <c r="BX826" s="2" t="s">
        <v>4138</v>
      </c>
      <c r="BY826" s="2" t="s">
        <v>277</v>
      </c>
      <c r="BZ826" s="2" t="s">
        <v>243</v>
      </c>
      <c r="CA826" s="2" t="s">
        <v>4160</v>
      </c>
      <c r="CB826" s="2" t="s">
        <v>4220</v>
      </c>
      <c r="CC826" s="2" t="s">
        <v>244</v>
      </c>
      <c r="CD826" s="2" t="s">
        <v>231</v>
      </c>
      <c r="CE826" s="4">
        <v>1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>
        <v>63</v>
      </c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>
        <v>107</v>
      </c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>
        <v>61</v>
      </c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</row>
    <row r="827">
      <c r="A827" s="2" t="s">
        <v>4334</v>
      </c>
      <c r="B827" s="2" t="s">
        <v>287</v>
      </c>
      <c r="C827" s="2" t="s">
        <v>1299</v>
      </c>
      <c r="D827" s="2" t="s">
        <v>289</v>
      </c>
      <c r="E827" s="2" t="s">
        <v>290</v>
      </c>
      <c r="F827" s="2" t="s">
        <v>4131</v>
      </c>
      <c r="G827" s="2" t="s">
        <v>4131</v>
      </c>
      <c r="H827" s="2" t="s">
        <v>4131</v>
      </c>
      <c r="I827" s="2" t="s">
        <v>359</v>
      </c>
      <c r="J827" s="2" t="s">
        <v>304</v>
      </c>
      <c r="K827" s="2" t="s">
        <v>4320</v>
      </c>
      <c r="L827" s="3">
        <v>28.98</v>
      </c>
      <c r="M827" s="3">
        <v>30.43</v>
      </c>
      <c r="N827" s="3">
        <v>64.99</v>
      </c>
      <c r="O827" s="2" t="s">
        <v>243</v>
      </c>
      <c r="P827" s="2" t="s">
        <v>270</v>
      </c>
      <c r="Q827" s="2" t="s">
        <v>237</v>
      </c>
      <c r="R827" s="2" t="s">
        <v>231</v>
      </c>
      <c r="S827" s="2" t="s">
        <v>4326</v>
      </c>
      <c r="T827" s="2" t="s">
        <v>4134</v>
      </c>
      <c r="U827" s="2" t="s">
        <v>231</v>
      </c>
      <c r="V827" s="2" t="s">
        <v>4046</v>
      </c>
      <c r="W827" s="2" t="s">
        <v>897</v>
      </c>
      <c r="X827" s="2" t="s">
        <v>273</v>
      </c>
      <c r="Y827" s="2" t="s">
        <v>4327</v>
      </c>
      <c r="Z827" s="4">
        <v>511</v>
      </c>
      <c r="AA827" s="4">
        <f>=ROUNDDOWN(127.75,0)</f>
      </c>
      <c r="AB827" s="5">
        <v>4</v>
      </c>
      <c r="AC827" s="2" t="s">
        <v>231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231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231</v>
      </c>
      <c r="AW827" s="8" t="s">
        <v>231</v>
      </c>
      <c r="AX827" s="4" t="s">
        <v>231</v>
      </c>
      <c r="AY827" s="8" t="s">
        <v>231</v>
      </c>
      <c r="AZ827" s="7" t="s">
        <v>231</v>
      </c>
      <c r="BA827" s="7" t="s">
        <v>231</v>
      </c>
      <c r="BB827" s="7"/>
      <c r="BC827" s="4" t="s">
        <v>231</v>
      </c>
      <c r="BD827" s="8" t="s">
        <v>231</v>
      </c>
      <c r="BE827" s="4" t="s">
        <v>231</v>
      </c>
      <c r="BF827" s="8" t="s">
        <v>231</v>
      </c>
      <c r="BG827" s="7" t="s">
        <v>231</v>
      </c>
      <c r="BH827" s="7" t="s">
        <v>231</v>
      </c>
      <c r="BI827" s="7"/>
      <c r="BJ827" s="4">
        <v>1</v>
      </c>
      <c r="BK827" s="8">
        <v>35.55</v>
      </c>
      <c r="BL827" s="2" t="s">
        <v>4335</v>
      </c>
      <c r="BM827" s="7"/>
      <c r="BN827" s="7"/>
      <c r="BO827" s="4"/>
      <c r="BP827" s="8"/>
      <c r="BQ827" s="4"/>
      <c r="BR827" s="8"/>
      <c r="BS827" s="7"/>
      <c r="BT827" s="7"/>
      <c r="BU827" s="2" t="s">
        <v>4336</v>
      </c>
      <c r="BV827" s="2" t="s">
        <v>231</v>
      </c>
      <c r="BW827" s="2" t="s">
        <v>231</v>
      </c>
      <c r="BX827" s="2" t="s">
        <v>4138</v>
      </c>
      <c r="BY827" s="2" t="s">
        <v>277</v>
      </c>
      <c r="BZ827" s="2" t="s">
        <v>243</v>
      </c>
      <c r="CA827" s="2" t="s">
        <v>4160</v>
      </c>
      <c r="CB827" s="2" t="s">
        <v>4216</v>
      </c>
      <c r="CC827" s="2" t="s">
        <v>244</v>
      </c>
      <c r="CD827" s="2" t="s">
        <v>231</v>
      </c>
      <c r="CE827" s="4">
        <v>511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</row>
    <row r="828">
      <c r="A828" s="2" t="s">
        <v>4337</v>
      </c>
      <c r="B828" s="2" t="s">
        <v>287</v>
      </c>
      <c r="C828" s="2" t="s">
        <v>1299</v>
      </c>
      <c r="D828" s="2" t="s">
        <v>289</v>
      </c>
      <c r="E828" s="2" t="s">
        <v>290</v>
      </c>
      <c r="F828" s="2" t="s">
        <v>4131</v>
      </c>
      <c r="G828" s="2" t="s">
        <v>4131</v>
      </c>
      <c r="H828" s="2" t="s">
        <v>4131</v>
      </c>
      <c r="I828" s="2" t="s">
        <v>359</v>
      </c>
      <c r="J828" s="2" t="s">
        <v>318</v>
      </c>
      <c r="K828" s="2" t="s">
        <v>1369</v>
      </c>
      <c r="L828" s="3">
        <v>19.8</v>
      </c>
      <c r="M828" s="3">
        <v>20.79</v>
      </c>
      <c r="N828" s="3">
        <v>44.99</v>
      </c>
      <c r="O828" s="2" t="s">
        <v>243</v>
      </c>
      <c r="P828" s="2" t="s">
        <v>236</v>
      </c>
      <c r="Q828" s="2" t="s">
        <v>237</v>
      </c>
      <c r="R828" s="2" t="s">
        <v>231</v>
      </c>
      <c r="S828" s="2" t="s">
        <v>4338</v>
      </c>
      <c r="T828" s="2" t="s">
        <v>4134</v>
      </c>
      <c r="U828" s="2" t="s">
        <v>835</v>
      </c>
      <c r="V828" s="2" t="s">
        <v>1304</v>
      </c>
      <c r="W828" s="2" t="s">
        <v>897</v>
      </c>
      <c r="X828" s="2" t="s">
        <v>273</v>
      </c>
      <c r="Y828" s="2" t="s">
        <v>231</v>
      </c>
      <c r="Z828" s="4"/>
      <c r="AA828" s="4">
        <f>=ROUNDDOWN({0},0)</f>
      </c>
      <c r="AB828" s="5"/>
      <c r="AC828" s="2" t="s">
        <v>4195</v>
      </c>
      <c r="AD828" s="4">
        <v>445</v>
      </c>
      <c r="AE828" s="4">
        <v>712</v>
      </c>
      <c r="AF828" s="6">
        <v>69</v>
      </c>
      <c r="AG828" s="6"/>
      <c r="AH828" s="7">
        <v>0</v>
      </c>
      <c r="AI828" s="4"/>
      <c r="AJ828" s="4">
        <f>=ROUNDDOWN({0},0)</f>
      </c>
      <c r="AK828" s="5"/>
      <c r="AL828" s="2" t="s">
        <v>231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231</v>
      </c>
      <c r="AW828" s="8" t="s">
        <v>231</v>
      </c>
      <c r="AX828" s="4" t="s">
        <v>231</v>
      </c>
      <c r="AY828" s="8" t="s">
        <v>231</v>
      </c>
      <c r="AZ828" s="7" t="s">
        <v>231</v>
      </c>
      <c r="BA828" s="7" t="s">
        <v>231</v>
      </c>
      <c r="BB828" s="7"/>
      <c r="BC828" s="4" t="s">
        <v>231</v>
      </c>
      <c r="BD828" s="8" t="s">
        <v>231</v>
      </c>
      <c r="BE828" s="4" t="s">
        <v>231</v>
      </c>
      <c r="BF828" s="8" t="s">
        <v>231</v>
      </c>
      <c r="BG828" s="7" t="s">
        <v>231</v>
      </c>
      <c r="BH828" s="7" t="s">
        <v>231</v>
      </c>
      <c r="BI828" s="7"/>
      <c r="BJ828" s="4"/>
      <c r="BK828" s="8"/>
      <c r="BL828" s="2" t="s">
        <v>231</v>
      </c>
      <c r="BM828" s="7"/>
      <c r="BN828" s="7"/>
      <c r="BO828" s="4"/>
      <c r="BP828" s="8"/>
      <c r="BQ828" s="4"/>
      <c r="BR828" s="8"/>
      <c r="BS828" s="7"/>
      <c r="BT828" s="7"/>
      <c r="BU828" s="2" t="s">
        <v>241</v>
      </c>
      <c r="BV828" s="2" t="s">
        <v>231</v>
      </c>
      <c r="BW828" s="2" t="s">
        <v>231</v>
      </c>
      <c r="BX828" s="2" t="s">
        <v>4138</v>
      </c>
      <c r="BY828" s="2" t="s">
        <v>242</v>
      </c>
      <c r="BZ828" s="2" t="s">
        <v>243</v>
      </c>
      <c r="CA828" s="2" t="s">
        <v>231</v>
      </c>
      <c r="CB828" s="2" t="s">
        <v>231</v>
      </c>
      <c r="CC828" s="2" t="s">
        <v>244</v>
      </c>
      <c r="CD828" s="2" t="s">
        <v>231</v>
      </c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>
        <v>445</v>
      </c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>
        <v>267</v>
      </c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</row>
    <row r="829">
      <c r="A829" s="2" t="s">
        <v>4339</v>
      </c>
      <c r="B829" s="2" t="s">
        <v>287</v>
      </c>
      <c r="C829" s="2" t="s">
        <v>1299</v>
      </c>
      <c r="D829" s="2" t="s">
        <v>289</v>
      </c>
      <c r="E829" s="2" t="s">
        <v>290</v>
      </c>
      <c r="F829" s="2" t="s">
        <v>4131</v>
      </c>
      <c r="G829" s="2" t="s">
        <v>4131</v>
      </c>
      <c r="H829" s="2" t="s">
        <v>4131</v>
      </c>
      <c r="I829" s="2" t="s">
        <v>359</v>
      </c>
      <c r="J829" s="2" t="s">
        <v>281</v>
      </c>
      <c r="K829" s="2" t="s">
        <v>1369</v>
      </c>
      <c r="L829" s="3">
        <v>21.78</v>
      </c>
      <c r="M829" s="3">
        <v>22.87</v>
      </c>
      <c r="N829" s="3">
        <v>49.99</v>
      </c>
      <c r="O829" s="2" t="s">
        <v>243</v>
      </c>
      <c r="P829" s="2" t="s">
        <v>236</v>
      </c>
      <c r="Q829" s="2" t="s">
        <v>237</v>
      </c>
      <c r="R829" s="2" t="s">
        <v>231</v>
      </c>
      <c r="S829" s="2" t="s">
        <v>4338</v>
      </c>
      <c r="T829" s="2" t="s">
        <v>4134</v>
      </c>
      <c r="U829" s="2" t="s">
        <v>298</v>
      </c>
      <c r="V829" s="2" t="s">
        <v>1304</v>
      </c>
      <c r="W829" s="2" t="s">
        <v>897</v>
      </c>
      <c r="X829" s="2" t="s">
        <v>273</v>
      </c>
      <c r="Y829" s="2" t="s">
        <v>231</v>
      </c>
      <c r="Z829" s="4"/>
      <c r="AA829" s="4">
        <f>=ROUNDDOWN({0},0)</f>
      </c>
      <c r="AB829" s="5"/>
      <c r="AC829" s="2" t="s">
        <v>4195</v>
      </c>
      <c r="AD829" s="4">
        <v>361</v>
      </c>
      <c r="AE829" s="4">
        <v>577</v>
      </c>
      <c r="AF829" s="6">
        <v>69</v>
      </c>
      <c r="AG829" s="6"/>
      <c r="AH829" s="7">
        <v>0</v>
      </c>
      <c r="AI829" s="4"/>
      <c r="AJ829" s="4">
        <f>=ROUNDDOWN({0},0)</f>
      </c>
      <c r="AK829" s="5"/>
      <c r="AL829" s="2" t="s">
        <v>231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231</v>
      </c>
      <c r="AW829" s="8" t="s">
        <v>231</v>
      </c>
      <c r="AX829" s="4" t="s">
        <v>231</v>
      </c>
      <c r="AY829" s="8" t="s">
        <v>231</v>
      </c>
      <c r="AZ829" s="7" t="s">
        <v>231</v>
      </c>
      <c r="BA829" s="7" t="s">
        <v>231</v>
      </c>
      <c r="BB829" s="7"/>
      <c r="BC829" s="4" t="s">
        <v>231</v>
      </c>
      <c r="BD829" s="8" t="s">
        <v>231</v>
      </c>
      <c r="BE829" s="4" t="s">
        <v>231</v>
      </c>
      <c r="BF829" s="8" t="s">
        <v>231</v>
      </c>
      <c r="BG829" s="7" t="s">
        <v>231</v>
      </c>
      <c r="BH829" s="7" t="s">
        <v>231</v>
      </c>
      <c r="BI829" s="7"/>
      <c r="BJ829" s="4"/>
      <c r="BK829" s="8"/>
      <c r="BL829" s="2" t="s">
        <v>231</v>
      </c>
      <c r="BM829" s="7"/>
      <c r="BN829" s="7"/>
      <c r="BO829" s="4"/>
      <c r="BP829" s="8"/>
      <c r="BQ829" s="4"/>
      <c r="BR829" s="8"/>
      <c r="BS829" s="7"/>
      <c r="BT829" s="7"/>
      <c r="BU829" s="2" t="s">
        <v>241</v>
      </c>
      <c r="BV829" s="2" t="s">
        <v>231</v>
      </c>
      <c r="BW829" s="2" t="s">
        <v>231</v>
      </c>
      <c r="BX829" s="2" t="s">
        <v>4138</v>
      </c>
      <c r="BY829" s="2" t="s">
        <v>242</v>
      </c>
      <c r="BZ829" s="2" t="s">
        <v>243</v>
      </c>
      <c r="CA829" s="2" t="s">
        <v>231</v>
      </c>
      <c r="CB829" s="2" t="s">
        <v>231</v>
      </c>
      <c r="CC829" s="2" t="s">
        <v>244</v>
      </c>
      <c r="CD829" s="2" t="s">
        <v>231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>
        <v>361</v>
      </c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>
        <v>216</v>
      </c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</row>
    <row r="830">
      <c r="A830" s="2" t="s">
        <v>4340</v>
      </c>
      <c r="B830" s="2" t="s">
        <v>287</v>
      </c>
      <c r="C830" s="2" t="s">
        <v>1299</v>
      </c>
      <c r="D830" s="2" t="s">
        <v>289</v>
      </c>
      <c r="E830" s="2" t="s">
        <v>290</v>
      </c>
      <c r="F830" s="2" t="s">
        <v>4131</v>
      </c>
      <c r="G830" s="2" t="s">
        <v>4131</v>
      </c>
      <c r="H830" s="2" t="s">
        <v>4131</v>
      </c>
      <c r="I830" s="2" t="s">
        <v>359</v>
      </c>
      <c r="J830" s="2" t="s">
        <v>293</v>
      </c>
      <c r="K830" s="2" t="s">
        <v>1369</v>
      </c>
      <c r="L830" s="3">
        <v>24.3</v>
      </c>
      <c r="M830" s="3">
        <v>25.52</v>
      </c>
      <c r="N830" s="3">
        <v>54.99</v>
      </c>
      <c r="O830" s="2" t="s">
        <v>243</v>
      </c>
      <c r="P830" s="2" t="s">
        <v>236</v>
      </c>
      <c r="Q830" s="2" t="s">
        <v>237</v>
      </c>
      <c r="R830" s="2" t="s">
        <v>231</v>
      </c>
      <c r="S830" s="2" t="s">
        <v>4338</v>
      </c>
      <c r="T830" s="2" t="s">
        <v>4134</v>
      </c>
      <c r="U830" s="2" t="s">
        <v>298</v>
      </c>
      <c r="V830" s="2" t="s">
        <v>1304</v>
      </c>
      <c r="W830" s="2" t="s">
        <v>897</v>
      </c>
      <c r="X830" s="2" t="s">
        <v>273</v>
      </c>
      <c r="Y830" s="2" t="s">
        <v>231</v>
      </c>
      <c r="Z830" s="4"/>
      <c r="AA830" s="4">
        <f>=ROUNDDOWN({0},0)</f>
      </c>
      <c r="AB830" s="5"/>
      <c r="AC830" s="2" t="s">
        <v>4195</v>
      </c>
      <c r="AD830" s="4">
        <v>785</v>
      </c>
      <c r="AE830" s="4">
        <v>1256</v>
      </c>
      <c r="AF830" s="6">
        <v>69</v>
      </c>
      <c r="AG830" s="6"/>
      <c r="AH830" s="7">
        <v>0</v>
      </c>
      <c r="AI830" s="4"/>
      <c r="AJ830" s="4">
        <f>=ROUNDDOWN({0},0)</f>
      </c>
      <c r="AK830" s="5"/>
      <c r="AL830" s="2" t="s">
        <v>231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231</v>
      </c>
      <c r="AW830" s="8" t="s">
        <v>231</v>
      </c>
      <c r="AX830" s="4" t="s">
        <v>231</v>
      </c>
      <c r="AY830" s="8" t="s">
        <v>231</v>
      </c>
      <c r="AZ830" s="7" t="s">
        <v>231</v>
      </c>
      <c r="BA830" s="7" t="s">
        <v>231</v>
      </c>
      <c r="BB830" s="7"/>
      <c r="BC830" s="4" t="s">
        <v>231</v>
      </c>
      <c r="BD830" s="8" t="s">
        <v>231</v>
      </c>
      <c r="BE830" s="4" t="s">
        <v>231</v>
      </c>
      <c r="BF830" s="8" t="s">
        <v>231</v>
      </c>
      <c r="BG830" s="7" t="s">
        <v>231</v>
      </c>
      <c r="BH830" s="7" t="s">
        <v>231</v>
      </c>
      <c r="BI830" s="7"/>
      <c r="BJ830" s="4"/>
      <c r="BK830" s="8"/>
      <c r="BL830" s="2" t="s">
        <v>231</v>
      </c>
      <c r="BM830" s="7"/>
      <c r="BN830" s="7"/>
      <c r="BO830" s="4"/>
      <c r="BP830" s="8"/>
      <c r="BQ830" s="4"/>
      <c r="BR830" s="8"/>
      <c r="BS830" s="7"/>
      <c r="BT830" s="7"/>
      <c r="BU830" s="2" t="s">
        <v>241</v>
      </c>
      <c r="BV830" s="2" t="s">
        <v>231</v>
      </c>
      <c r="BW830" s="2" t="s">
        <v>231</v>
      </c>
      <c r="BX830" s="2" t="s">
        <v>4138</v>
      </c>
      <c r="BY830" s="2" t="s">
        <v>242</v>
      </c>
      <c r="BZ830" s="2" t="s">
        <v>243</v>
      </c>
      <c r="CA830" s="2" t="s">
        <v>231</v>
      </c>
      <c r="CB830" s="2" t="s">
        <v>231</v>
      </c>
      <c r="CC830" s="2" t="s">
        <v>244</v>
      </c>
      <c r="CD830" s="2" t="s">
        <v>231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>
        <v>785</v>
      </c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>
        <v>471</v>
      </c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</row>
    <row r="831">
      <c r="A831" s="2" t="s">
        <v>4341</v>
      </c>
      <c r="B831" s="2" t="s">
        <v>287</v>
      </c>
      <c r="C831" s="2" t="s">
        <v>1299</v>
      </c>
      <c r="D831" s="2" t="s">
        <v>289</v>
      </c>
      <c r="E831" s="2" t="s">
        <v>290</v>
      </c>
      <c r="F831" s="2" t="s">
        <v>4131</v>
      </c>
      <c r="G831" s="2" t="s">
        <v>4131</v>
      </c>
      <c r="H831" s="2" t="s">
        <v>4131</v>
      </c>
      <c r="I831" s="2" t="s">
        <v>359</v>
      </c>
      <c r="J831" s="2" t="s">
        <v>302</v>
      </c>
      <c r="K831" s="2" t="s">
        <v>1369</v>
      </c>
      <c r="L831" s="3">
        <v>28.98</v>
      </c>
      <c r="M831" s="3">
        <v>30.43</v>
      </c>
      <c r="N831" s="3">
        <v>64.99</v>
      </c>
      <c r="O831" s="2" t="s">
        <v>243</v>
      </c>
      <c r="P831" s="2" t="s">
        <v>236</v>
      </c>
      <c r="Q831" s="2" t="s">
        <v>237</v>
      </c>
      <c r="R831" s="2" t="s">
        <v>231</v>
      </c>
      <c r="S831" s="2" t="s">
        <v>4338</v>
      </c>
      <c r="T831" s="2" t="s">
        <v>4134</v>
      </c>
      <c r="U831" s="2" t="s">
        <v>298</v>
      </c>
      <c r="V831" s="2" t="s">
        <v>1304</v>
      </c>
      <c r="W831" s="2" t="s">
        <v>897</v>
      </c>
      <c r="X831" s="2" t="s">
        <v>273</v>
      </c>
      <c r="Y831" s="2" t="s">
        <v>231</v>
      </c>
      <c r="Z831" s="4"/>
      <c r="AA831" s="4">
        <f>=ROUNDDOWN({0},0)</f>
      </c>
      <c r="AB831" s="5"/>
      <c r="AC831" s="2" t="s">
        <v>4195</v>
      </c>
      <c r="AD831" s="4">
        <v>228</v>
      </c>
      <c r="AE831" s="4">
        <v>365</v>
      </c>
      <c r="AF831" s="6">
        <v>69</v>
      </c>
      <c r="AG831" s="6"/>
      <c r="AH831" s="7">
        <v>0</v>
      </c>
      <c r="AI831" s="4"/>
      <c r="AJ831" s="4">
        <f>=ROUNDDOWN({0},0)</f>
      </c>
      <c r="AK831" s="5"/>
      <c r="AL831" s="2" t="s">
        <v>231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231</v>
      </c>
      <c r="AW831" s="8" t="s">
        <v>231</v>
      </c>
      <c r="AX831" s="4" t="s">
        <v>231</v>
      </c>
      <c r="AY831" s="8" t="s">
        <v>231</v>
      </c>
      <c r="AZ831" s="7" t="s">
        <v>231</v>
      </c>
      <c r="BA831" s="7" t="s">
        <v>231</v>
      </c>
      <c r="BB831" s="7"/>
      <c r="BC831" s="4" t="s">
        <v>231</v>
      </c>
      <c r="BD831" s="8" t="s">
        <v>231</v>
      </c>
      <c r="BE831" s="4" t="s">
        <v>231</v>
      </c>
      <c r="BF831" s="8" t="s">
        <v>231</v>
      </c>
      <c r="BG831" s="7" t="s">
        <v>231</v>
      </c>
      <c r="BH831" s="7" t="s">
        <v>231</v>
      </c>
      <c r="BI831" s="7"/>
      <c r="BJ831" s="4"/>
      <c r="BK831" s="8"/>
      <c r="BL831" s="2" t="s">
        <v>231</v>
      </c>
      <c r="BM831" s="7"/>
      <c r="BN831" s="7"/>
      <c r="BO831" s="4"/>
      <c r="BP831" s="8"/>
      <c r="BQ831" s="4"/>
      <c r="BR831" s="8"/>
      <c r="BS831" s="7"/>
      <c r="BT831" s="7"/>
      <c r="BU831" s="2" t="s">
        <v>241</v>
      </c>
      <c r="BV831" s="2" t="s">
        <v>231</v>
      </c>
      <c r="BW831" s="2" t="s">
        <v>231</v>
      </c>
      <c r="BX831" s="2" t="s">
        <v>4138</v>
      </c>
      <c r="BY831" s="2" t="s">
        <v>242</v>
      </c>
      <c r="BZ831" s="2" t="s">
        <v>243</v>
      </c>
      <c r="CA831" s="2" t="s">
        <v>231</v>
      </c>
      <c r="CB831" s="2" t="s">
        <v>231</v>
      </c>
      <c r="CC831" s="2" t="s">
        <v>244</v>
      </c>
      <c r="CD831" s="2" t="s">
        <v>231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>
        <v>228</v>
      </c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>
        <v>137</v>
      </c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</row>
    <row r="832">
      <c r="A832" s="2" t="s">
        <v>4342</v>
      </c>
      <c r="B832" s="2" t="s">
        <v>287</v>
      </c>
      <c r="C832" s="2" t="s">
        <v>1299</v>
      </c>
      <c r="D832" s="2" t="s">
        <v>289</v>
      </c>
      <c r="E832" s="2" t="s">
        <v>290</v>
      </c>
      <c r="F832" s="2" t="s">
        <v>4131</v>
      </c>
      <c r="G832" s="2" t="s">
        <v>4131</v>
      </c>
      <c r="H832" s="2" t="s">
        <v>4131</v>
      </c>
      <c r="I832" s="2" t="s">
        <v>359</v>
      </c>
      <c r="J832" s="2" t="s">
        <v>304</v>
      </c>
      <c r="K832" s="2" t="s">
        <v>1369</v>
      </c>
      <c r="L832" s="3">
        <v>28.98</v>
      </c>
      <c r="M832" s="3">
        <v>30.43</v>
      </c>
      <c r="N832" s="3">
        <v>64.99</v>
      </c>
      <c r="O832" s="2" t="s">
        <v>243</v>
      </c>
      <c r="P832" s="2" t="s">
        <v>236</v>
      </c>
      <c r="Q832" s="2" t="s">
        <v>237</v>
      </c>
      <c r="R832" s="2" t="s">
        <v>231</v>
      </c>
      <c r="S832" s="2" t="s">
        <v>4338</v>
      </c>
      <c r="T832" s="2" t="s">
        <v>4134</v>
      </c>
      <c r="U832" s="2" t="s">
        <v>298</v>
      </c>
      <c r="V832" s="2" t="s">
        <v>1304</v>
      </c>
      <c r="W832" s="2" t="s">
        <v>897</v>
      </c>
      <c r="X832" s="2" t="s">
        <v>273</v>
      </c>
      <c r="Y832" s="2" t="s">
        <v>231</v>
      </c>
      <c r="Z832" s="4"/>
      <c r="AA832" s="4">
        <f>=ROUNDDOWN({0},0)</f>
      </c>
      <c r="AB832" s="5"/>
      <c r="AC832" s="2" t="s">
        <v>4195</v>
      </c>
      <c r="AD832" s="4">
        <v>130</v>
      </c>
      <c r="AE832" s="4">
        <v>208</v>
      </c>
      <c r="AF832" s="6">
        <v>69</v>
      </c>
      <c r="AG832" s="6"/>
      <c r="AH832" s="7">
        <v>0</v>
      </c>
      <c r="AI832" s="4"/>
      <c r="AJ832" s="4">
        <f>=ROUNDDOWN({0},0)</f>
      </c>
      <c r="AK832" s="5"/>
      <c r="AL832" s="2" t="s">
        <v>231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231</v>
      </c>
      <c r="AW832" s="8" t="s">
        <v>231</v>
      </c>
      <c r="AX832" s="4" t="s">
        <v>231</v>
      </c>
      <c r="AY832" s="8" t="s">
        <v>231</v>
      </c>
      <c r="AZ832" s="7" t="s">
        <v>231</v>
      </c>
      <c r="BA832" s="7" t="s">
        <v>231</v>
      </c>
      <c r="BB832" s="7"/>
      <c r="BC832" s="4" t="s">
        <v>231</v>
      </c>
      <c r="BD832" s="8" t="s">
        <v>231</v>
      </c>
      <c r="BE832" s="4" t="s">
        <v>231</v>
      </c>
      <c r="BF832" s="8" t="s">
        <v>231</v>
      </c>
      <c r="BG832" s="7" t="s">
        <v>231</v>
      </c>
      <c r="BH832" s="7" t="s">
        <v>231</v>
      </c>
      <c r="BI832" s="7"/>
      <c r="BJ832" s="4"/>
      <c r="BK832" s="8"/>
      <c r="BL832" s="2" t="s">
        <v>231</v>
      </c>
      <c r="BM832" s="7"/>
      <c r="BN832" s="7"/>
      <c r="BO832" s="4"/>
      <c r="BP832" s="8"/>
      <c r="BQ832" s="4"/>
      <c r="BR832" s="8"/>
      <c r="BS832" s="7"/>
      <c r="BT832" s="7"/>
      <c r="BU832" s="2" t="s">
        <v>241</v>
      </c>
      <c r="BV832" s="2" t="s">
        <v>231</v>
      </c>
      <c r="BW832" s="2" t="s">
        <v>231</v>
      </c>
      <c r="BX832" s="2" t="s">
        <v>4138</v>
      </c>
      <c r="BY832" s="2" t="s">
        <v>242</v>
      </c>
      <c r="BZ832" s="2" t="s">
        <v>243</v>
      </c>
      <c r="CA832" s="2" t="s">
        <v>231</v>
      </c>
      <c r="CB832" s="2" t="s">
        <v>231</v>
      </c>
      <c r="CC832" s="2" t="s">
        <v>244</v>
      </c>
      <c r="CD832" s="2" t="s">
        <v>231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>
        <v>130</v>
      </c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>
        <v>78</v>
      </c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</row>
    <row r="833">
      <c r="A833" s="2" t="s">
        <v>4343</v>
      </c>
      <c r="B833" s="2" t="s">
        <v>287</v>
      </c>
      <c r="C833" s="2" t="s">
        <v>1299</v>
      </c>
      <c r="D833" s="2" t="s">
        <v>289</v>
      </c>
      <c r="E833" s="2" t="s">
        <v>290</v>
      </c>
      <c r="F833" s="2" t="s">
        <v>4131</v>
      </c>
      <c r="G833" s="2" t="s">
        <v>4131</v>
      </c>
      <c r="H833" s="2" t="s">
        <v>4131</v>
      </c>
      <c r="I833" s="2" t="s">
        <v>359</v>
      </c>
      <c r="J833" s="2" t="s">
        <v>293</v>
      </c>
      <c r="K833" s="2" t="s">
        <v>4344</v>
      </c>
      <c r="L833" s="3">
        <v>24.3</v>
      </c>
      <c r="M833" s="3">
        <v>25.52</v>
      </c>
      <c r="N833" s="3">
        <v>54.99</v>
      </c>
      <c r="O833" s="2" t="s">
        <v>243</v>
      </c>
      <c r="P833" s="2" t="s">
        <v>341</v>
      </c>
      <c r="Q833" s="2" t="s">
        <v>237</v>
      </c>
      <c r="R833" s="2" t="s">
        <v>231</v>
      </c>
      <c r="S833" s="2" t="s">
        <v>4345</v>
      </c>
      <c r="T833" s="2" t="s">
        <v>4134</v>
      </c>
      <c r="U833" s="2" t="s">
        <v>231</v>
      </c>
      <c r="V833" s="2" t="s">
        <v>4046</v>
      </c>
      <c r="W833" s="2" t="s">
        <v>897</v>
      </c>
      <c r="X833" s="2" t="s">
        <v>273</v>
      </c>
      <c r="Y833" s="2" t="s">
        <v>274</v>
      </c>
      <c r="Z833" s="4"/>
      <c r="AA833" s="4">
        <f>=ROUNDDOWN({0},0)</f>
      </c>
      <c r="AB833" s="5">
        <v>24</v>
      </c>
      <c r="AC833" s="2" t="s">
        <v>231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231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231</v>
      </c>
      <c r="AW833" s="8" t="s">
        <v>231</v>
      </c>
      <c r="AX833" s="4" t="s">
        <v>231</v>
      </c>
      <c r="AY833" s="8" t="s">
        <v>231</v>
      </c>
      <c r="AZ833" s="7" t="s">
        <v>231</v>
      </c>
      <c r="BA833" s="7" t="s">
        <v>231</v>
      </c>
      <c r="BB833" s="7"/>
      <c r="BC833" s="4" t="s">
        <v>231</v>
      </c>
      <c r="BD833" s="8" t="s">
        <v>231</v>
      </c>
      <c r="BE833" s="4" t="s">
        <v>231</v>
      </c>
      <c r="BF833" s="8" t="s">
        <v>231</v>
      </c>
      <c r="BG833" s="7" t="s">
        <v>231</v>
      </c>
      <c r="BH833" s="7" t="s">
        <v>231</v>
      </c>
      <c r="BI833" s="7"/>
      <c r="BJ833" s="4"/>
      <c r="BK833" s="8"/>
      <c r="BL833" s="2" t="s">
        <v>4346</v>
      </c>
      <c r="BM833" s="7"/>
      <c r="BN833" s="7"/>
      <c r="BO833" s="4"/>
      <c r="BP833" s="8"/>
      <c r="BQ833" s="4"/>
      <c r="BR833" s="8"/>
      <c r="BS833" s="7"/>
      <c r="BT833" s="7"/>
      <c r="BU833" s="2" t="s">
        <v>4347</v>
      </c>
      <c r="BV833" s="2" t="s">
        <v>231</v>
      </c>
      <c r="BW833" s="2" t="s">
        <v>231</v>
      </c>
      <c r="BX833" s="2" t="s">
        <v>1360</v>
      </c>
      <c r="BY833" s="2" t="s">
        <v>277</v>
      </c>
      <c r="BZ833" s="2" t="s">
        <v>243</v>
      </c>
      <c r="CA833" s="2" t="s">
        <v>4200</v>
      </c>
      <c r="CB833" s="2" t="s">
        <v>1868</v>
      </c>
      <c r="CC833" s="2" t="s">
        <v>244</v>
      </c>
      <c r="CD833" s="2" t="s">
        <v>231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</row>
    <row r="834">
      <c r="A834" s="2" t="s">
        <v>4348</v>
      </c>
      <c r="B834" s="2" t="s">
        <v>287</v>
      </c>
      <c r="C834" s="2" t="s">
        <v>1299</v>
      </c>
      <c r="D834" s="2" t="s">
        <v>289</v>
      </c>
      <c r="E834" s="2" t="s">
        <v>290</v>
      </c>
      <c r="F834" s="2" t="s">
        <v>4131</v>
      </c>
      <c r="G834" s="2" t="s">
        <v>4131</v>
      </c>
      <c r="H834" s="2" t="s">
        <v>4131</v>
      </c>
      <c r="I834" s="2" t="s">
        <v>359</v>
      </c>
      <c r="J834" s="2" t="s">
        <v>302</v>
      </c>
      <c r="K834" s="2" t="s">
        <v>4344</v>
      </c>
      <c r="L834" s="3">
        <v>28.98</v>
      </c>
      <c r="M834" s="3">
        <v>30.43</v>
      </c>
      <c r="N834" s="3">
        <v>64.99</v>
      </c>
      <c r="O834" s="2" t="s">
        <v>243</v>
      </c>
      <c r="P834" s="2" t="s">
        <v>341</v>
      </c>
      <c r="Q834" s="2" t="s">
        <v>237</v>
      </c>
      <c r="R834" s="2" t="s">
        <v>231</v>
      </c>
      <c r="S834" s="2" t="s">
        <v>4345</v>
      </c>
      <c r="T834" s="2" t="s">
        <v>4134</v>
      </c>
      <c r="U834" s="2" t="s">
        <v>231</v>
      </c>
      <c r="V834" s="2" t="s">
        <v>4046</v>
      </c>
      <c r="W834" s="2" t="s">
        <v>897</v>
      </c>
      <c r="X834" s="2" t="s">
        <v>273</v>
      </c>
      <c r="Y834" s="2" t="s">
        <v>274</v>
      </c>
      <c r="Z834" s="4"/>
      <c r="AA834" s="4">
        <f>=ROUNDDOWN({0},0)</f>
      </c>
      <c r="AB834" s="5">
        <v>10</v>
      </c>
      <c r="AC834" s="2" t="s">
        <v>231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231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231</v>
      </c>
      <c r="AW834" s="8" t="s">
        <v>231</v>
      </c>
      <c r="AX834" s="4" t="s">
        <v>231</v>
      </c>
      <c r="AY834" s="8" t="s">
        <v>231</v>
      </c>
      <c r="AZ834" s="7" t="s">
        <v>231</v>
      </c>
      <c r="BA834" s="7" t="s">
        <v>231</v>
      </c>
      <c r="BB834" s="7"/>
      <c r="BC834" s="4" t="s">
        <v>231</v>
      </c>
      <c r="BD834" s="8" t="s">
        <v>231</v>
      </c>
      <c r="BE834" s="4" t="s">
        <v>231</v>
      </c>
      <c r="BF834" s="8" t="s">
        <v>231</v>
      </c>
      <c r="BG834" s="7" t="s">
        <v>231</v>
      </c>
      <c r="BH834" s="7" t="s">
        <v>231</v>
      </c>
      <c r="BI834" s="7"/>
      <c r="BJ834" s="4"/>
      <c r="BK834" s="8"/>
      <c r="BL834" s="2" t="s">
        <v>4349</v>
      </c>
      <c r="BM834" s="7"/>
      <c r="BN834" s="7"/>
      <c r="BO834" s="4"/>
      <c r="BP834" s="8"/>
      <c r="BQ834" s="4"/>
      <c r="BR834" s="8"/>
      <c r="BS834" s="7"/>
      <c r="BT834" s="7"/>
      <c r="BU834" s="2" t="s">
        <v>4350</v>
      </c>
      <c r="BV834" s="2" t="s">
        <v>231</v>
      </c>
      <c r="BW834" s="2" t="s">
        <v>231</v>
      </c>
      <c r="BX834" s="2" t="s">
        <v>1360</v>
      </c>
      <c r="BY834" s="2" t="s">
        <v>277</v>
      </c>
      <c r="BZ834" s="2" t="s">
        <v>243</v>
      </c>
      <c r="CA834" s="2" t="s">
        <v>4200</v>
      </c>
      <c r="CB834" s="2" t="s">
        <v>3487</v>
      </c>
      <c r="CC834" s="2" t="s">
        <v>244</v>
      </c>
      <c r="CD834" s="2" t="s">
        <v>231</v>
      </c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</row>
    <row r="835">
      <c r="A835" s="2" t="s">
        <v>4351</v>
      </c>
      <c r="B835" s="2" t="s">
        <v>287</v>
      </c>
      <c r="C835" s="2" t="s">
        <v>1299</v>
      </c>
      <c r="D835" s="2" t="s">
        <v>289</v>
      </c>
      <c r="E835" s="2" t="s">
        <v>290</v>
      </c>
      <c r="F835" s="2" t="s">
        <v>4131</v>
      </c>
      <c r="G835" s="2" t="s">
        <v>4131</v>
      </c>
      <c r="H835" s="2" t="s">
        <v>4131</v>
      </c>
      <c r="I835" s="2" t="s">
        <v>359</v>
      </c>
      <c r="J835" s="2" t="s">
        <v>304</v>
      </c>
      <c r="K835" s="2" t="s">
        <v>4344</v>
      </c>
      <c r="L835" s="3">
        <v>28.98</v>
      </c>
      <c r="M835" s="3">
        <v>30.43</v>
      </c>
      <c r="N835" s="3">
        <v>64.99</v>
      </c>
      <c r="O835" s="2" t="s">
        <v>243</v>
      </c>
      <c r="P835" s="2" t="s">
        <v>341</v>
      </c>
      <c r="Q835" s="2" t="s">
        <v>237</v>
      </c>
      <c r="R835" s="2" t="s">
        <v>231</v>
      </c>
      <c r="S835" s="2" t="s">
        <v>4345</v>
      </c>
      <c r="T835" s="2" t="s">
        <v>4134</v>
      </c>
      <c r="U835" s="2" t="s">
        <v>231</v>
      </c>
      <c r="V835" s="2" t="s">
        <v>4046</v>
      </c>
      <c r="W835" s="2" t="s">
        <v>897</v>
      </c>
      <c r="X835" s="2" t="s">
        <v>273</v>
      </c>
      <c r="Y835" s="2" t="s">
        <v>274</v>
      </c>
      <c r="Z835" s="4"/>
      <c r="AA835" s="4">
        <f>=ROUNDDOWN({0},0)</f>
      </c>
      <c r="AB835" s="5">
        <v>5</v>
      </c>
      <c r="AC835" s="2" t="s">
        <v>231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231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231</v>
      </c>
      <c r="AW835" s="8" t="s">
        <v>231</v>
      </c>
      <c r="AX835" s="4" t="s">
        <v>231</v>
      </c>
      <c r="AY835" s="8" t="s">
        <v>231</v>
      </c>
      <c r="AZ835" s="7" t="s">
        <v>231</v>
      </c>
      <c r="BA835" s="7" t="s">
        <v>231</v>
      </c>
      <c r="BB835" s="7"/>
      <c r="BC835" s="4" t="s">
        <v>231</v>
      </c>
      <c r="BD835" s="8" t="s">
        <v>231</v>
      </c>
      <c r="BE835" s="4" t="s">
        <v>231</v>
      </c>
      <c r="BF835" s="8" t="s">
        <v>231</v>
      </c>
      <c r="BG835" s="7" t="s">
        <v>231</v>
      </c>
      <c r="BH835" s="7" t="s">
        <v>231</v>
      </c>
      <c r="BI835" s="7"/>
      <c r="BJ835" s="4"/>
      <c r="BK835" s="8"/>
      <c r="BL835" s="2" t="s">
        <v>4229</v>
      </c>
      <c r="BM835" s="7"/>
      <c r="BN835" s="7"/>
      <c r="BO835" s="4"/>
      <c r="BP835" s="8"/>
      <c r="BQ835" s="4"/>
      <c r="BR835" s="8"/>
      <c r="BS835" s="7"/>
      <c r="BT835" s="7"/>
      <c r="BU835" s="2" t="s">
        <v>4352</v>
      </c>
      <c r="BV835" s="2" t="s">
        <v>231</v>
      </c>
      <c r="BW835" s="2" t="s">
        <v>231</v>
      </c>
      <c r="BX835" s="2" t="s">
        <v>1360</v>
      </c>
      <c r="BY835" s="2" t="s">
        <v>277</v>
      </c>
      <c r="BZ835" s="2" t="s">
        <v>243</v>
      </c>
      <c r="CA835" s="2" t="s">
        <v>4200</v>
      </c>
      <c r="CB835" s="2" t="s">
        <v>4353</v>
      </c>
      <c r="CC835" s="2" t="s">
        <v>244</v>
      </c>
      <c r="CD835" s="2" t="s">
        <v>231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</row>
    <row r="836">
      <c r="A836" s="2" t="s">
        <v>4354</v>
      </c>
      <c r="B836" s="2" t="s">
        <v>1004</v>
      </c>
      <c r="C836" s="2" t="s">
        <v>288</v>
      </c>
      <c r="D836" s="2" t="s">
        <v>2130</v>
      </c>
      <c r="E836" s="2" t="s">
        <v>4355</v>
      </c>
      <c r="F836" s="2" t="s">
        <v>4356</v>
      </c>
      <c r="G836" s="2" t="s">
        <v>4357</v>
      </c>
      <c r="H836" s="2" t="s">
        <v>4358</v>
      </c>
      <c r="I836" s="2" t="s">
        <v>4359</v>
      </c>
      <c r="J836" s="2" t="s">
        <v>807</v>
      </c>
      <c r="K836" s="2" t="s">
        <v>4360</v>
      </c>
      <c r="L836" s="3">
        <v>256.5</v>
      </c>
      <c r="M836" s="3">
        <v>269.32</v>
      </c>
      <c r="N836" s="3">
        <v>549</v>
      </c>
      <c r="O836" s="2" t="s">
        <v>243</v>
      </c>
      <c r="P836" s="2" t="s">
        <v>341</v>
      </c>
      <c r="Q836" s="2" t="s">
        <v>237</v>
      </c>
      <c r="R836" s="2" t="s">
        <v>231</v>
      </c>
      <c r="S836" s="2" t="s">
        <v>4361</v>
      </c>
      <c r="T836" s="2" t="s">
        <v>231</v>
      </c>
      <c r="U836" s="2" t="s">
        <v>231</v>
      </c>
      <c r="V836" s="2" t="s">
        <v>662</v>
      </c>
      <c r="W836" s="2" t="s">
        <v>2541</v>
      </c>
      <c r="X836" s="2" t="s">
        <v>792</v>
      </c>
      <c r="Y836" s="2" t="s">
        <v>4362</v>
      </c>
      <c r="Z836" s="4">
        <v>43</v>
      </c>
      <c r="AA836" s="4">
        <f>=ROUNDDOWN(21.5,0)</f>
      </c>
      <c r="AB836" s="5">
        <v>2</v>
      </c>
      <c r="AC836" s="2" t="s">
        <v>231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231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>
        <v>11</v>
      </c>
      <c r="BK836" s="8">
        <v>2507.95</v>
      </c>
      <c r="BL836" s="2" t="s">
        <v>4363</v>
      </c>
      <c r="BM836" s="7"/>
      <c r="BN836" s="7"/>
      <c r="BO836" s="4"/>
      <c r="BP836" s="8"/>
      <c r="BQ836" s="4"/>
      <c r="BR836" s="8"/>
      <c r="BS836" s="7"/>
      <c r="BT836" s="7"/>
      <c r="BU836" s="2" t="s">
        <v>4364</v>
      </c>
      <c r="BV836" s="2" t="s">
        <v>231</v>
      </c>
      <c r="BW836" s="2" t="s">
        <v>231</v>
      </c>
      <c r="BX836" s="2" t="s">
        <v>231</v>
      </c>
      <c r="BY836" s="2" t="s">
        <v>277</v>
      </c>
      <c r="BZ836" s="2" t="s">
        <v>243</v>
      </c>
      <c r="CA836" s="2" t="s">
        <v>4365</v>
      </c>
      <c r="CB836" s="2" t="s">
        <v>4366</v>
      </c>
      <c r="CC836" s="2" t="s">
        <v>244</v>
      </c>
      <c r="CD836" s="2" t="s">
        <v>231</v>
      </c>
      <c r="CE836" s="4"/>
      <c r="CF836" s="4">
        <v>43</v>
      </c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</row>
    <row r="837">
      <c r="A837" s="2" t="s">
        <v>4367</v>
      </c>
      <c r="B837" s="2" t="s">
        <v>287</v>
      </c>
      <c r="C837" s="2" t="s">
        <v>965</v>
      </c>
      <c r="D837" s="2" t="s">
        <v>289</v>
      </c>
      <c r="E837" s="2" t="s">
        <v>290</v>
      </c>
      <c r="F837" s="2" t="s">
        <v>4368</v>
      </c>
      <c r="G837" s="2" t="s">
        <v>4368</v>
      </c>
      <c r="H837" s="2" t="s">
        <v>4368</v>
      </c>
      <c r="I837" s="2" t="s">
        <v>4369</v>
      </c>
      <c r="J837" s="2" t="s">
        <v>318</v>
      </c>
      <c r="K837" s="2" t="s">
        <v>4370</v>
      </c>
      <c r="L837" s="3">
        <v>14.89</v>
      </c>
      <c r="M837" s="3">
        <v>15.63</v>
      </c>
      <c r="N837" s="3">
        <v>31.99</v>
      </c>
      <c r="O837" s="2" t="s">
        <v>243</v>
      </c>
      <c r="P837" s="2" t="s">
        <v>1281</v>
      </c>
      <c r="Q837" s="2" t="s">
        <v>237</v>
      </c>
      <c r="R837" s="2" t="s">
        <v>231</v>
      </c>
      <c r="S837" s="2" t="s">
        <v>4371</v>
      </c>
      <c r="T837" s="2" t="s">
        <v>4134</v>
      </c>
      <c r="U837" s="2" t="s">
        <v>835</v>
      </c>
      <c r="V837" s="2" t="s">
        <v>3942</v>
      </c>
      <c r="W837" s="2" t="s">
        <v>273</v>
      </c>
      <c r="X837" s="2" t="s">
        <v>897</v>
      </c>
      <c r="Y837" s="2" t="s">
        <v>4372</v>
      </c>
      <c r="Z837" s="4"/>
      <c r="AA837" s="4">
        <f>=ROUNDDOWN({0},0)</f>
      </c>
      <c r="AB837" s="5">
        <v>46</v>
      </c>
      <c r="AC837" s="2" t="s">
        <v>876</v>
      </c>
      <c r="AD837" s="4">
        <v>451</v>
      </c>
      <c r="AE837" s="4">
        <v>1699</v>
      </c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231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231</v>
      </c>
      <c r="AW837" s="8" t="s">
        <v>231</v>
      </c>
      <c r="AX837" s="4" t="s">
        <v>231</v>
      </c>
      <c r="AY837" s="8" t="s">
        <v>231</v>
      </c>
      <c r="AZ837" s="7" t="s">
        <v>231</v>
      </c>
      <c r="BA837" s="7" t="s">
        <v>231</v>
      </c>
      <c r="BB837" s="7"/>
      <c r="BC837" s="4" t="s">
        <v>231</v>
      </c>
      <c r="BD837" s="8" t="s">
        <v>231</v>
      </c>
      <c r="BE837" s="4" t="s">
        <v>231</v>
      </c>
      <c r="BF837" s="8" t="s">
        <v>231</v>
      </c>
      <c r="BG837" s="7" t="s">
        <v>231</v>
      </c>
      <c r="BH837" s="7" t="s">
        <v>231</v>
      </c>
      <c r="BI837" s="7"/>
      <c r="BJ837" s="4"/>
      <c r="BK837" s="8"/>
      <c r="BL837" s="2" t="s">
        <v>231</v>
      </c>
      <c r="BM837" s="7"/>
      <c r="BN837" s="7"/>
      <c r="BO837" s="4"/>
      <c r="BP837" s="8"/>
      <c r="BQ837" s="4"/>
      <c r="BR837" s="8"/>
      <c r="BS837" s="7"/>
      <c r="BT837" s="7"/>
      <c r="BU837" s="2" t="s">
        <v>4373</v>
      </c>
      <c r="BV837" s="2" t="s">
        <v>231</v>
      </c>
      <c r="BW837" s="2" t="s">
        <v>231</v>
      </c>
      <c r="BX837" s="2" t="s">
        <v>231</v>
      </c>
      <c r="BY837" s="2" t="s">
        <v>277</v>
      </c>
      <c r="BZ837" s="2" t="s">
        <v>243</v>
      </c>
      <c r="CA837" s="2" t="s">
        <v>4374</v>
      </c>
      <c r="CB837" s="2" t="s">
        <v>4375</v>
      </c>
      <c r="CC837" s="2" t="s">
        <v>244</v>
      </c>
      <c r="CD837" s="2" t="s">
        <v>231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>
        <v>451</v>
      </c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>
        <v>852</v>
      </c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>
        <v>396</v>
      </c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</row>
    <row r="838">
      <c r="A838" s="2" t="s">
        <v>4376</v>
      </c>
      <c r="B838" s="2" t="s">
        <v>287</v>
      </c>
      <c r="C838" s="2" t="s">
        <v>965</v>
      </c>
      <c r="D838" s="2" t="s">
        <v>289</v>
      </c>
      <c r="E838" s="2" t="s">
        <v>290</v>
      </c>
      <c r="F838" s="2" t="s">
        <v>4368</v>
      </c>
      <c r="G838" s="2" t="s">
        <v>4368</v>
      </c>
      <c r="H838" s="2" t="s">
        <v>4368</v>
      </c>
      <c r="I838" s="2" t="s">
        <v>4369</v>
      </c>
      <c r="J838" s="2" t="s">
        <v>281</v>
      </c>
      <c r="K838" s="2" t="s">
        <v>4370</v>
      </c>
      <c r="L838" s="3">
        <v>19.57</v>
      </c>
      <c r="M838" s="3">
        <v>20.55</v>
      </c>
      <c r="N838" s="3">
        <v>42.99</v>
      </c>
      <c r="O838" s="2" t="s">
        <v>243</v>
      </c>
      <c r="P838" s="2" t="s">
        <v>1332</v>
      </c>
      <c r="Q838" s="2" t="s">
        <v>237</v>
      </c>
      <c r="R838" s="2" t="s">
        <v>231</v>
      </c>
      <c r="S838" s="2" t="s">
        <v>4371</v>
      </c>
      <c r="T838" s="2" t="s">
        <v>4134</v>
      </c>
      <c r="U838" s="2" t="s">
        <v>298</v>
      </c>
      <c r="V838" s="2" t="s">
        <v>3942</v>
      </c>
      <c r="W838" s="2" t="s">
        <v>273</v>
      </c>
      <c r="X838" s="2" t="s">
        <v>897</v>
      </c>
      <c r="Y838" s="2" t="s">
        <v>4372</v>
      </c>
      <c r="Z838" s="4"/>
      <c r="AA838" s="4">
        <f>=ROUNDDOWN({0},0)</f>
      </c>
      <c r="AB838" s="5">
        <v>49</v>
      </c>
      <c r="AC838" s="2" t="s">
        <v>876</v>
      </c>
      <c r="AD838" s="4">
        <v>479</v>
      </c>
      <c r="AE838" s="4">
        <v>1800</v>
      </c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231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231</v>
      </c>
      <c r="AW838" s="8" t="s">
        <v>231</v>
      </c>
      <c r="AX838" s="4" t="s">
        <v>231</v>
      </c>
      <c r="AY838" s="8" t="s">
        <v>231</v>
      </c>
      <c r="AZ838" s="7" t="s">
        <v>231</v>
      </c>
      <c r="BA838" s="7" t="s">
        <v>231</v>
      </c>
      <c r="BB838" s="7"/>
      <c r="BC838" s="4" t="s">
        <v>231</v>
      </c>
      <c r="BD838" s="8" t="s">
        <v>231</v>
      </c>
      <c r="BE838" s="4" t="s">
        <v>231</v>
      </c>
      <c r="BF838" s="8" t="s">
        <v>231</v>
      </c>
      <c r="BG838" s="7" t="s">
        <v>231</v>
      </c>
      <c r="BH838" s="7" t="s">
        <v>231</v>
      </c>
      <c r="BI838" s="7"/>
      <c r="BJ838" s="4"/>
      <c r="BK838" s="8"/>
      <c r="BL838" s="2" t="s">
        <v>231</v>
      </c>
      <c r="BM838" s="7"/>
      <c r="BN838" s="7"/>
      <c r="BO838" s="4"/>
      <c r="BP838" s="8"/>
      <c r="BQ838" s="4"/>
      <c r="BR838" s="8"/>
      <c r="BS838" s="7"/>
      <c r="BT838" s="7"/>
      <c r="BU838" s="2" t="s">
        <v>4377</v>
      </c>
      <c r="BV838" s="2" t="s">
        <v>231</v>
      </c>
      <c r="BW838" s="2" t="s">
        <v>231</v>
      </c>
      <c r="BX838" s="2" t="s">
        <v>231</v>
      </c>
      <c r="BY838" s="2" t="s">
        <v>277</v>
      </c>
      <c r="BZ838" s="2" t="s">
        <v>243</v>
      </c>
      <c r="CA838" s="2" t="s">
        <v>331</v>
      </c>
      <c r="CB838" s="2" t="s">
        <v>2728</v>
      </c>
      <c r="CC838" s="2" t="s">
        <v>244</v>
      </c>
      <c r="CD838" s="2" t="s">
        <v>231</v>
      </c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>
        <v>479</v>
      </c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>
        <v>910</v>
      </c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>
        <v>411</v>
      </c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</row>
    <row r="839">
      <c r="A839" s="2" t="s">
        <v>4378</v>
      </c>
      <c r="B839" s="2" t="s">
        <v>287</v>
      </c>
      <c r="C839" s="2" t="s">
        <v>965</v>
      </c>
      <c r="D839" s="2" t="s">
        <v>289</v>
      </c>
      <c r="E839" s="2" t="s">
        <v>290</v>
      </c>
      <c r="F839" s="2" t="s">
        <v>4368</v>
      </c>
      <c r="G839" s="2" t="s">
        <v>4368</v>
      </c>
      <c r="H839" s="2" t="s">
        <v>4368</v>
      </c>
      <c r="I839" s="2" t="s">
        <v>4369</v>
      </c>
      <c r="J839" s="2" t="s">
        <v>293</v>
      </c>
      <c r="K839" s="2" t="s">
        <v>4370</v>
      </c>
      <c r="L839" s="3">
        <v>22.21</v>
      </c>
      <c r="M839" s="3">
        <v>23.32</v>
      </c>
      <c r="N839" s="3">
        <v>47.99</v>
      </c>
      <c r="O839" s="2" t="s">
        <v>243</v>
      </c>
      <c r="P839" s="2" t="s">
        <v>871</v>
      </c>
      <c r="Q839" s="2" t="s">
        <v>237</v>
      </c>
      <c r="R839" s="2" t="s">
        <v>231</v>
      </c>
      <c r="S839" s="2" t="s">
        <v>4371</v>
      </c>
      <c r="T839" s="2" t="s">
        <v>4134</v>
      </c>
      <c r="U839" s="2" t="s">
        <v>298</v>
      </c>
      <c r="V839" s="2" t="s">
        <v>3942</v>
      </c>
      <c r="W839" s="2" t="s">
        <v>273</v>
      </c>
      <c r="X839" s="2" t="s">
        <v>897</v>
      </c>
      <c r="Y839" s="2" t="s">
        <v>4372</v>
      </c>
      <c r="Z839" s="4"/>
      <c r="AA839" s="4">
        <f>=ROUNDDOWN({0},0)</f>
      </c>
      <c r="AB839" s="5">
        <v>63</v>
      </c>
      <c r="AC839" s="2" t="s">
        <v>876</v>
      </c>
      <c r="AD839" s="4">
        <v>557</v>
      </c>
      <c r="AE839" s="4">
        <v>2262</v>
      </c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231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231</v>
      </c>
      <c r="AW839" s="8" t="s">
        <v>231</v>
      </c>
      <c r="AX839" s="4" t="s">
        <v>231</v>
      </c>
      <c r="AY839" s="8" t="s">
        <v>231</v>
      </c>
      <c r="AZ839" s="7" t="s">
        <v>231</v>
      </c>
      <c r="BA839" s="7" t="s">
        <v>231</v>
      </c>
      <c r="BB839" s="7"/>
      <c r="BC839" s="4" t="s">
        <v>231</v>
      </c>
      <c r="BD839" s="8" t="s">
        <v>231</v>
      </c>
      <c r="BE839" s="4" t="s">
        <v>231</v>
      </c>
      <c r="BF839" s="8" t="s">
        <v>231</v>
      </c>
      <c r="BG839" s="7" t="s">
        <v>231</v>
      </c>
      <c r="BH839" s="7" t="s">
        <v>231</v>
      </c>
      <c r="BI839" s="7"/>
      <c r="BJ839" s="4"/>
      <c r="BK839" s="8"/>
      <c r="BL839" s="2" t="s">
        <v>231</v>
      </c>
      <c r="BM839" s="7"/>
      <c r="BN839" s="7"/>
      <c r="BO839" s="4"/>
      <c r="BP839" s="8"/>
      <c r="BQ839" s="4"/>
      <c r="BR839" s="8"/>
      <c r="BS839" s="7"/>
      <c r="BT839" s="7"/>
      <c r="BU839" s="2" t="s">
        <v>4379</v>
      </c>
      <c r="BV839" s="2" t="s">
        <v>231</v>
      </c>
      <c r="BW839" s="2" t="s">
        <v>231</v>
      </c>
      <c r="BX839" s="2" t="s">
        <v>231</v>
      </c>
      <c r="BY839" s="2" t="s">
        <v>277</v>
      </c>
      <c r="BZ839" s="2" t="s">
        <v>243</v>
      </c>
      <c r="CA839" s="2" t="s">
        <v>2430</v>
      </c>
      <c r="CB839" s="2" t="s">
        <v>4380</v>
      </c>
      <c r="CC839" s="2" t="s">
        <v>244</v>
      </c>
      <c r="CD839" s="2" t="s">
        <v>231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>
        <v>557</v>
      </c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>
        <v>1186</v>
      </c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>
        <v>519</v>
      </c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</row>
    <row r="840">
      <c r="A840" s="2" t="s">
        <v>4381</v>
      </c>
      <c r="B840" s="2" t="s">
        <v>287</v>
      </c>
      <c r="C840" s="2" t="s">
        <v>965</v>
      </c>
      <c r="D840" s="2" t="s">
        <v>289</v>
      </c>
      <c r="E840" s="2" t="s">
        <v>290</v>
      </c>
      <c r="F840" s="2" t="s">
        <v>4368</v>
      </c>
      <c r="G840" s="2" t="s">
        <v>4368</v>
      </c>
      <c r="H840" s="2" t="s">
        <v>4368</v>
      </c>
      <c r="I840" s="2" t="s">
        <v>4369</v>
      </c>
      <c r="J840" s="2" t="s">
        <v>302</v>
      </c>
      <c r="K840" s="2" t="s">
        <v>4370</v>
      </c>
      <c r="L840" s="3">
        <v>27.39</v>
      </c>
      <c r="M840" s="3">
        <v>28.76</v>
      </c>
      <c r="N840" s="3">
        <v>62.99</v>
      </c>
      <c r="O840" s="2" t="s">
        <v>243</v>
      </c>
      <c r="P840" s="2" t="s">
        <v>270</v>
      </c>
      <c r="Q840" s="2" t="s">
        <v>237</v>
      </c>
      <c r="R840" s="2" t="s">
        <v>231</v>
      </c>
      <c r="S840" s="2" t="s">
        <v>4371</v>
      </c>
      <c r="T840" s="2" t="s">
        <v>4134</v>
      </c>
      <c r="U840" s="2" t="s">
        <v>298</v>
      </c>
      <c r="V840" s="2" t="s">
        <v>3942</v>
      </c>
      <c r="W840" s="2" t="s">
        <v>273</v>
      </c>
      <c r="X840" s="2" t="s">
        <v>897</v>
      </c>
      <c r="Y840" s="2" t="s">
        <v>4372</v>
      </c>
      <c r="Z840" s="4"/>
      <c r="AA840" s="4">
        <f>=ROUNDDOWN({0},0)</f>
      </c>
      <c r="AB840" s="5">
        <v>23</v>
      </c>
      <c r="AC840" s="2" t="s">
        <v>876</v>
      </c>
      <c r="AD840" s="4">
        <v>49</v>
      </c>
      <c r="AE840" s="4">
        <v>860</v>
      </c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231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231</v>
      </c>
      <c r="AW840" s="8" t="s">
        <v>231</v>
      </c>
      <c r="AX840" s="4" t="s">
        <v>231</v>
      </c>
      <c r="AY840" s="8" t="s">
        <v>231</v>
      </c>
      <c r="AZ840" s="7" t="s">
        <v>231</v>
      </c>
      <c r="BA840" s="7" t="s">
        <v>231</v>
      </c>
      <c r="BB840" s="7"/>
      <c r="BC840" s="4" t="s">
        <v>231</v>
      </c>
      <c r="BD840" s="8" t="s">
        <v>231</v>
      </c>
      <c r="BE840" s="4" t="s">
        <v>231</v>
      </c>
      <c r="BF840" s="8" t="s">
        <v>231</v>
      </c>
      <c r="BG840" s="7" t="s">
        <v>231</v>
      </c>
      <c r="BH840" s="7" t="s">
        <v>231</v>
      </c>
      <c r="BI840" s="7"/>
      <c r="BJ840" s="4"/>
      <c r="BK840" s="8"/>
      <c r="BL840" s="2" t="s">
        <v>4382</v>
      </c>
      <c r="BM840" s="7"/>
      <c r="BN840" s="7"/>
      <c r="BO840" s="4"/>
      <c r="BP840" s="8"/>
      <c r="BQ840" s="4"/>
      <c r="BR840" s="8"/>
      <c r="BS840" s="7"/>
      <c r="BT840" s="7"/>
      <c r="BU840" s="2" t="s">
        <v>4383</v>
      </c>
      <c r="BV840" s="2" t="s">
        <v>231</v>
      </c>
      <c r="BW840" s="2" t="s">
        <v>231</v>
      </c>
      <c r="BX840" s="2" t="s">
        <v>231</v>
      </c>
      <c r="BY840" s="2" t="s">
        <v>277</v>
      </c>
      <c r="BZ840" s="2" t="s">
        <v>243</v>
      </c>
      <c r="CA840" s="2" t="s">
        <v>331</v>
      </c>
      <c r="CB840" s="2" t="s">
        <v>4384</v>
      </c>
      <c r="CC840" s="2" t="s">
        <v>244</v>
      </c>
      <c r="CD840" s="2" t="s">
        <v>231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>
        <v>49</v>
      </c>
      <c r="DU840" s="4"/>
      <c r="DV840" s="4"/>
      <c r="DW840" s="4">
        <v>184</v>
      </c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>
        <v>421</v>
      </c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>
        <v>206</v>
      </c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</row>
    <row r="841">
      <c r="A841" s="2" t="s">
        <v>4385</v>
      </c>
      <c r="B841" s="2" t="s">
        <v>287</v>
      </c>
      <c r="C841" s="2" t="s">
        <v>965</v>
      </c>
      <c r="D841" s="2" t="s">
        <v>289</v>
      </c>
      <c r="E841" s="2" t="s">
        <v>290</v>
      </c>
      <c r="F841" s="2" t="s">
        <v>4368</v>
      </c>
      <c r="G841" s="2" t="s">
        <v>4368</v>
      </c>
      <c r="H841" s="2" t="s">
        <v>4368</v>
      </c>
      <c r="I841" s="2" t="s">
        <v>4369</v>
      </c>
      <c r="J841" s="2" t="s">
        <v>318</v>
      </c>
      <c r="K841" s="2" t="s">
        <v>4386</v>
      </c>
      <c r="L841" s="3">
        <v>14.89</v>
      </c>
      <c r="M841" s="3">
        <v>15.63</v>
      </c>
      <c r="N841" s="3">
        <v>31.99</v>
      </c>
      <c r="O841" s="2" t="s">
        <v>243</v>
      </c>
      <c r="P841" s="2" t="s">
        <v>871</v>
      </c>
      <c r="Q841" s="2" t="s">
        <v>237</v>
      </c>
      <c r="R841" s="2" t="s">
        <v>231</v>
      </c>
      <c r="S841" s="2" t="s">
        <v>4387</v>
      </c>
      <c r="T841" s="2" t="s">
        <v>4134</v>
      </c>
      <c r="U841" s="2" t="s">
        <v>835</v>
      </c>
      <c r="V841" s="2" t="s">
        <v>4046</v>
      </c>
      <c r="W841" s="2" t="s">
        <v>273</v>
      </c>
      <c r="X841" s="2" t="s">
        <v>231</v>
      </c>
      <c r="Y841" s="2" t="s">
        <v>2848</v>
      </c>
      <c r="Z841" s="4"/>
      <c r="AA841" s="4">
        <f>=ROUNDDOWN({0},0)</f>
      </c>
      <c r="AB841" s="5">
        <v>46</v>
      </c>
      <c r="AC841" s="2" t="s">
        <v>4212</v>
      </c>
      <c r="AD841" s="4">
        <v>447</v>
      </c>
      <c r="AE841" s="4">
        <v>1730</v>
      </c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231</v>
      </c>
      <c r="AW841" s="8" t="s">
        <v>231</v>
      </c>
      <c r="AX841" s="4" t="s">
        <v>231</v>
      </c>
      <c r="AY841" s="8" t="s">
        <v>231</v>
      </c>
      <c r="AZ841" s="7" t="s">
        <v>231</v>
      </c>
      <c r="BA841" s="7" t="s">
        <v>231</v>
      </c>
      <c r="BB841" s="7"/>
      <c r="BC841" s="4" t="s">
        <v>231</v>
      </c>
      <c r="BD841" s="8" t="s">
        <v>231</v>
      </c>
      <c r="BE841" s="4" t="s">
        <v>231</v>
      </c>
      <c r="BF841" s="8" t="s">
        <v>231</v>
      </c>
      <c r="BG841" s="7" t="s">
        <v>231</v>
      </c>
      <c r="BH841" s="7" t="s">
        <v>231</v>
      </c>
      <c r="BI841" s="7"/>
      <c r="BJ841" s="4"/>
      <c r="BK841" s="8"/>
      <c r="BL841" s="2" t="s">
        <v>231</v>
      </c>
      <c r="BM841" s="7"/>
      <c r="BN841" s="7"/>
      <c r="BO841" s="4"/>
      <c r="BP841" s="8"/>
      <c r="BQ841" s="4"/>
      <c r="BR841" s="8"/>
      <c r="BS841" s="7"/>
      <c r="BT841" s="7"/>
      <c r="BU841" s="2" t="s">
        <v>4388</v>
      </c>
      <c r="BV841" s="2" t="s">
        <v>231</v>
      </c>
      <c r="BW841" s="2" t="s">
        <v>231</v>
      </c>
      <c r="BX841" s="2" t="s">
        <v>231</v>
      </c>
      <c r="BY841" s="2" t="s">
        <v>277</v>
      </c>
      <c r="BZ841" s="2" t="s">
        <v>243</v>
      </c>
      <c r="CA841" s="2" t="s">
        <v>4389</v>
      </c>
      <c r="CB841" s="2" t="s">
        <v>4390</v>
      </c>
      <c r="CC841" s="2" t="s">
        <v>244</v>
      </c>
      <c r="CD841" s="2" t="s">
        <v>231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>
        <v>447</v>
      </c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>
        <v>907</v>
      </c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>
        <v>376</v>
      </c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</row>
    <row r="842">
      <c r="A842" s="2" t="s">
        <v>4391</v>
      </c>
      <c r="B842" s="2" t="s">
        <v>287</v>
      </c>
      <c r="C842" s="2" t="s">
        <v>965</v>
      </c>
      <c r="D842" s="2" t="s">
        <v>289</v>
      </c>
      <c r="E842" s="2" t="s">
        <v>290</v>
      </c>
      <c r="F842" s="2" t="s">
        <v>4368</v>
      </c>
      <c r="G842" s="2" t="s">
        <v>4368</v>
      </c>
      <c r="H842" s="2" t="s">
        <v>4368</v>
      </c>
      <c r="I842" s="2" t="s">
        <v>4369</v>
      </c>
      <c r="J842" s="2" t="s">
        <v>268</v>
      </c>
      <c r="K842" s="2" t="s">
        <v>4386</v>
      </c>
      <c r="L842" s="3">
        <v>16.16</v>
      </c>
      <c r="M842" s="3">
        <v>16.97</v>
      </c>
      <c r="N842" s="3">
        <v>34.99</v>
      </c>
      <c r="O842" s="2" t="s">
        <v>243</v>
      </c>
      <c r="P842" s="2" t="s">
        <v>270</v>
      </c>
      <c r="Q842" s="2" t="s">
        <v>237</v>
      </c>
      <c r="R842" s="2" t="s">
        <v>231</v>
      </c>
      <c r="S842" s="2" t="s">
        <v>4387</v>
      </c>
      <c r="T842" s="2" t="s">
        <v>4134</v>
      </c>
      <c r="U842" s="2" t="s">
        <v>231</v>
      </c>
      <c r="V842" s="2" t="s">
        <v>4046</v>
      </c>
      <c r="W842" s="2" t="s">
        <v>273</v>
      </c>
      <c r="X842" s="2" t="s">
        <v>231</v>
      </c>
      <c r="Y842" s="2" t="s">
        <v>2848</v>
      </c>
      <c r="Z842" s="4">
        <v>2</v>
      </c>
      <c r="AA842" s="4">
        <f>=ROUNDDOWN(0.133333333333333,0)</f>
      </c>
      <c r="AB842" s="5">
        <v>15</v>
      </c>
      <c r="AC842" s="2" t="s">
        <v>4212</v>
      </c>
      <c r="AD842" s="4">
        <v>149</v>
      </c>
      <c r="AE842" s="4">
        <v>580</v>
      </c>
      <c r="AF842" s="6">
        <v>65</v>
      </c>
      <c r="AG842" s="6"/>
      <c r="AH842" s="7">
        <v>0.1935</v>
      </c>
      <c r="AI842" s="4"/>
      <c r="AJ842" s="4">
        <f>=ROUNDDOWN({0},0)</f>
      </c>
      <c r="AK842" s="5"/>
      <c r="AL842" s="2" t="s">
        <v>231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231</v>
      </c>
      <c r="AW842" s="8" t="s">
        <v>231</v>
      </c>
      <c r="AX842" s="4" t="s">
        <v>231</v>
      </c>
      <c r="AY842" s="8" t="s">
        <v>231</v>
      </c>
      <c r="AZ842" s="7" t="s">
        <v>231</v>
      </c>
      <c r="BA842" s="7" t="s">
        <v>231</v>
      </c>
      <c r="BB842" s="7"/>
      <c r="BC842" s="4" t="s">
        <v>231</v>
      </c>
      <c r="BD842" s="8" t="s">
        <v>231</v>
      </c>
      <c r="BE842" s="4" t="s">
        <v>231</v>
      </c>
      <c r="BF842" s="8" t="s">
        <v>231</v>
      </c>
      <c r="BG842" s="7" t="s">
        <v>231</v>
      </c>
      <c r="BH842" s="7" t="s">
        <v>231</v>
      </c>
      <c r="BI842" s="7"/>
      <c r="BJ842" s="4">
        <v>4</v>
      </c>
      <c r="BK842" s="8">
        <v>72.56</v>
      </c>
      <c r="BL842" s="2" t="s">
        <v>4392</v>
      </c>
      <c r="BM842" s="7"/>
      <c r="BN842" s="7"/>
      <c r="BO842" s="4"/>
      <c r="BP842" s="8"/>
      <c r="BQ842" s="4"/>
      <c r="BR842" s="8"/>
      <c r="BS842" s="7"/>
      <c r="BT842" s="7"/>
      <c r="BU842" s="2" t="s">
        <v>4393</v>
      </c>
      <c r="BV842" s="2" t="s">
        <v>231</v>
      </c>
      <c r="BW842" s="2" t="s">
        <v>231</v>
      </c>
      <c r="BX842" s="2" t="s">
        <v>231</v>
      </c>
      <c r="BY842" s="2" t="s">
        <v>277</v>
      </c>
      <c r="BZ842" s="2" t="s">
        <v>243</v>
      </c>
      <c r="CA842" s="2" t="s">
        <v>4389</v>
      </c>
      <c r="CB842" s="2" t="s">
        <v>4394</v>
      </c>
      <c r="CC842" s="2" t="s">
        <v>244</v>
      </c>
      <c r="CD842" s="2" t="s">
        <v>231</v>
      </c>
      <c r="CE842" s="4">
        <v>2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>
        <v>149</v>
      </c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>
        <v>298</v>
      </c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>
        <v>133</v>
      </c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</row>
    <row r="843">
      <c r="A843" s="2" t="s">
        <v>4395</v>
      </c>
      <c r="B843" s="2" t="s">
        <v>287</v>
      </c>
      <c r="C843" s="2" t="s">
        <v>965</v>
      </c>
      <c r="D843" s="2" t="s">
        <v>289</v>
      </c>
      <c r="E843" s="2" t="s">
        <v>290</v>
      </c>
      <c r="F843" s="2" t="s">
        <v>4368</v>
      </c>
      <c r="G843" s="2" t="s">
        <v>4368</v>
      </c>
      <c r="H843" s="2" t="s">
        <v>4368</v>
      </c>
      <c r="I843" s="2" t="s">
        <v>4369</v>
      </c>
      <c r="J843" s="2" t="s">
        <v>281</v>
      </c>
      <c r="K843" s="2" t="s">
        <v>4386</v>
      </c>
      <c r="L843" s="3">
        <v>19.57</v>
      </c>
      <c r="M843" s="3">
        <v>20.55</v>
      </c>
      <c r="N843" s="3">
        <v>42.99</v>
      </c>
      <c r="O843" s="2" t="s">
        <v>243</v>
      </c>
      <c r="P843" s="2" t="s">
        <v>270</v>
      </c>
      <c r="Q843" s="2" t="s">
        <v>237</v>
      </c>
      <c r="R843" s="2" t="s">
        <v>231</v>
      </c>
      <c r="S843" s="2" t="s">
        <v>4387</v>
      </c>
      <c r="T843" s="2" t="s">
        <v>4134</v>
      </c>
      <c r="U843" s="2" t="s">
        <v>298</v>
      </c>
      <c r="V843" s="2" t="s">
        <v>4046</v>
      </c>
      <c r="W843" s="2" t="s">
        <v>273</v>
      </c>
      <c r="X843" s="2" t="s">
        <v>231</v>
      </c>
      <c r="Y843" s="2" t="s">
        <v>2848</v>
      </c>
      <c r="Z843" s="4"/>
      <c r="AA843" s="4">
        <f>=ROUNDDOWN({0},0)</f>
      </c>
      <c r="AB843" s="5">
        <v>25</v>
      </c>
      <c r="AC843" s="2" t="s">
        <v>4212</v>
      </c>
      <c r="AD843" s="4">
        <v>223</v>
      </c>
      <c r="AE843" s="4">
        <v>926</v>
      </c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231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231</v>
      </c>
      <c r="AW843" s="8" t="s">
        <v>231</v>
      </c>
      <c r="AX843" s="4" t="s">
        <v>231</v>
      </c>
      <c r="AY843" s="8" t="s">
        <v>231</v>
      </c>
      <c r="AZ843" s="7" t="s">
        <v>231</v>
      </c>
      <c r="BA843" s="7" t="s">
        <v>231</v>
      </c>
      <c r="BB843" s="7"/>
      <c r="BC843" s="4" t="s">
        <v>231</v>
      </c>
      <c r="BD843" s="8" t="s">
        <v>231</v>
      </c>
      <c r="BE843" s="4" t="s">
        <v>231</v>
      </c>
      <c r="BF843" s="8" t="s">
        <v>231</v>
      </c>
      <c r="BG843" s="7" t="s">
        <v>231</v>
      </c>
      <c r="BH843" s="7" t="s">
        <v>231</v>
      </c>
      <c r="BI843" s="7"/>
      <c r="BJ843" s="4"/>
      <c r="BK843" s="8"/>
      <c r="BL843" s="2" t="s">
        <v>231</v>
      </c>
      <c r="BM843" s="7"/>
      <c r="BN843" s="7"/>
      <c r="BO843" s="4"/>
      <c r="BP843" s="8"/>
      <c r="BQ843" s="4"/>
      <c r="BR843" s="8"/>
      <c r="BS843" s="7"/>
      <c r="BT843" s="7"/>
      <c r="BU843" s="2" t="s">
        <v>4396</v>
      </c>
      <c r="BV843" s="2" t="s">
        <v>231</v>
      </c>
      <c r="BW843" s="2" t="s">
        <v>231</v>
      </c>
      <c r="BX843" s="2" t="s">
        <v>231</v>
      </c>
      <c r="BY843" s="2" t="s">
        <v>277</v>
      </c>
      <c r="BZ843" s="2" t="s">
        <v>243</v>
      </c>
      <c r="CA843" s="2" t="s">
        <v>4389</v>
      </c>
      <c r="CB843" s="2" t="s">
        <v>4397</v>
      </c>
      <c r="CC843" s="2" t="s">
        <v>244</v>
      </c>
      <c r="CD843" s="2" t="s">
        <v>231</v>
      </c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>
        <v>223</v>
      </c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>
        <v>489</v>
      </c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>
        <v>214</v>
      </c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</row>
    <row r="844">
      <c r="A844" s="2" t="s">
        <v>4398</v>
      </c>
      <c r="B844" s="2" t="s">
        <v>287</v>
      </c>
      <c r="C844" s="2" t="s">
        <v>965</v>
      </c>
      <c r="D844" s="2" t="s">
        <v>289</v>
      </c>
      <c r="E844" s="2" t="s">
        <v>290</v>
      </c>
      <c r="F844" s="2" t="s">
        <v>4368</v>
      </c>
      <c r="G844" s="2" t="s">
        <v>4368</v>
      </c>
      <c r="H844" s="2" t="s">
        <v>4368</v>
      </c>
      <c r="I844" s="2" t="s">
        <v>4369</v>
      </c>
      <c r="J844" s="2" t="s">
        <v>302</v>
      </c>
      <c r="K844" s="2" t="s">
        <v>4386</v>
      </c>
      <c r="L844" s="3">
        <v>27.39</v>
      </c>
      <c r="M844" s="3">
        <v>28.76</v>
      </c>
      <c r="N844" s="3">
        <v>62.99</v>
      </c>
      <c r="O844" s="2" t="s">
        <v>243</v>
      </c>
      <c r="P844" s="2" t="s">
        <v>270</v>
      </c>
      <c r="Q844" s="2" t="s">
        <v>237</v>
      </c>
      <c r="R844" s="2" t="s">
        <v>231</v>
      </c>
      <c r="S844" s="2" t="s">
        <v>4387</v>
      </c>
      <c r="T844" s="2" t="s">
        <v>4134</v>
      </c>
      <c r="U844" s="2" t="s">
        <v>298</v>
      </c>
      <c r="V844" s="2" t="s">
        <v>4046</v>
      </c>
      <c r="W844" s="2" t="s">
        <v>273</v>
      </c>
      <c r="X844" s="2" t="s">
        <v>231</v>
      </c>
      <c r="Y844" s="2" t="s">
        <v>2848</v>
      </c>
      <c r="Z844" s="4">
        <v>386</v>
      </c>
      <c r="AA844" s="4">
        <f>=ROUNDDOWN(27.5714285714286,0)</f>
      </c>
      <c r="AB844" s="5">
        <v>14</v>
      </c>
      <c r="AC844" s="2" t="s">
        <v>1537</v>
      </c>
      <c r="AD844" s="4">
        <v>123</v>
      </c>
      <c r="AE844" s="4">
        <v>256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231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231</v>
      </c>
      <c r="AW844" s="8" t="s">
        <v>231</v>
      </c>
      <c r="AX844" s="4" t="s">
        <v>231</v>
      </c>
      <c r="AY844" s="8" t="s">
        <v>231</v>
      </c>
      <c r="AZ844" s="7" t="s">
        <v>231</v>
      </c>
      <c r="BA844" s="7" t="s">
        <v>231</v>
      </c>
      <c r="BB844" s="7"/>
      <c r="BC844" s="4" t="s">
        <v>231</v>
      </c>
      <c r="BD844" s="8" t="s">
        <v>231</v>
      </c>
      <c r="BE844" s="4" t="s">
        <v>231</v>
      </c>
      <c r="BF844" s="8" t="s">
        <v>231</v>
      </c>
      <c r="BG844" s="7" t="s">
        <v>231</v>
      </c>
      <c r="BH844" s="7" t="s">
        <v>231</v>
      </c>
      <c r="BI844" s="7"/>
      <c r="BJ844" s="4">
        <v>17</v>
      </c>
      <c r="BK844" s="8">
        <v>520.63</v>
      </c>
      <c r="BL844" s="2" t="s">
        <v>4399</v>
      </c>
      <c r="BM844" s="7"/>
      <c r="BN844" s="7"/>
      <c r="BO844" s="4"/>
      <c r="BP844" s="8"/>
      <c r="BQ844" s="4"/>
      <c r="BR844" s="8"/>
      <c r="BS844" s="7"/>
      <c r="BT844" s="7"/>
      <c r="BU844" s="2" t="s">
        <v>4400</v>
      </c>
      <c r="BV844" s="2" t="s">
        <v>231</v>
      </c>
      <c r="BW844" s="2" t="s">
        <v>231</v>
      </c>
      <c r="BX844" s="2" t="s">
        <v>231</v>
      </c>
      <c r="BY844" s="2" t="s">
        <v>277</v>
      </c>
      <c r="BZ844" s="2" t="s">
        <v>243</v>
      </c>
      <c r="CA844" s="2" t="s">
        <v>4389</v>
      </c>
      <c r="CB844" s="2" t="s">
        <v>4161</v>
      </c>
      <c r="CC844" s="2" t="s">
        <v>244</v>
      </c>
      <c r="CD844" s="2" t="s">
        <v>231</v>
      </c>
      <c r="CE844" s="4">
        <v>386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>
        <v>123</v>
      </c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>
        <v>133</v>
      </c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</row>
    <row r="845">
      <c r="A845" s="2" t="s">
        <v>4401</v>
      </c>
      <c r="B845" s="2" t="s">
        <v>287</v>
      </c>
      <c r="C845" s="2" t="s">
        <v>965</v>
      </c>
      <c r="D845" s="2" t="s">
        <v>289</v>
      </c>
      <c r="E845" s="2" t="s">
        <v>290</v>
      </c>
      <c r="F845" s="2" t="s">
        <v>4368</v>
      </c>
      <c r="G845" s="2" t="s">
        <v>4368</v>
      </c>
      <c r="H845" s="2" t="s">
        <v>4368</v>
      </c>
      <c r="I845" s="2" t="s">
        <v>4369</v>
      </c>
      <c r="J845" s="2" t="s">
        <v>318</v>
      </c>
      <c r="K845" s="2" t="s">
        <v>4402</v>
      </c>
      <c r="L845" s="3">
        <v>14.89</v>
      </c>
      <c r="M845" s="3">
        <v>15.63</v>
      </c>
      <c r="N845" s="3">
        <v>31.99</v>
      </c>
      <c r="O845" s="2" t="s">
        <v>243</v>
      </c>
      <c r="P845" s="2" t="s">
        <v>341</v>
      </c>
      <c r="Q845" s="2" t="s">
        <v>237</v>
      </c>
      <c r="R845" s="2" t="s">
        <v>231</v>
      </c>
      <c r="S845" s="2" t="s">
        <v>4403</v>
      </c>
      <c r="T845" s="2" t="s">
        <v>4134</v>
      </c>
      <c r="U845" s="2" t="s">
        <v>231</v>
      </c>
      <c r="V845" s="2" t="s">
        <v>987</v>
      </c>
      <c r="W845" s="2" t="s">
        <v>273</v>
      </c>
      <c r="X845" s="2" t="s">
        <v>231</v>
      </c>
      <c r="Y845" s="2" t="s">
        <v>2848</v>
      </c>
      <c r="Z845" s="4"/>
      <c r="AA845" s="4">
        <f>=ROUNDDOWN({0},0)</f>
      </c>
      <c r="AB845" s="5">
        <v>14</v>
      </c>
      <c r="AC845" s="2" t="s">
        <v>231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231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231</v>
      </c>
      <c r="AW845" s="8" t="s">
        <v>231</v>
      </c>
      <c r="AX845" s="4" t="s">
        <v>231</v>
      </c>
      <c r="AY845" s="8" t="s">
        <v>231</v>
      </c>
      <c r="AZ845" s="7" t="s">
        <v>231</v>
      </c>
      <c r="BA845" s="7" t="s">
        <v>231</v>
      </c>
      <c r="BB845" s="7"/>
      <c r="BC845" s="4" t="s">
        <v>231</v>
      </c>
      <c r="BD845" s="8" t="s">
        <v>231</v>
      </c>
      <c r="BE845" s="4" t="s">
        <v>231</v>
      </c>
      <c r="BF845" s="8" t="s">
        <v>231</v>
      </c>
      <c r="BG845" s="7" t="s">
        <v>231</v>
      </c>
      <c r="BH845" s="7" t="s">
        <v>231</v>
      </c>
      <c r="BI845" s="7"/>
      <c r="BJ845" s="4"/>
      <c r="BK845" s="8"/>
      <c r="BL845" s="2" t="s">
        <v>231</v>
      </c>
      <c r="BM845" s="7"/>
      <c r="BN845" s="7"/>
      <c r="BO845" s="4"/>
      <c r="BP845" s="8"/>
      <c r="BQ845" s="4"/>
      <c r="BR845" s="8"/>
      <c r="BS845" s="7"/>
      <c r="BT845" s="7"/>
      <c r="BU845" s="2" t="s">
        <v>4404</v>
      </c>
      <c r="BV845" s="2" t="s">
        <v>231</v>
      </c>
      <c r="BW845" s="2" t="s">
        <v>231</v>
      </c>
      <c r="BX845" s="2" t="s">
        <v>1360</v>
      </c>
      <c r="BY845" s="2" t="s">
        <v>277</v>
      </c>
      <c r="BZ845" s="2" t="s">
        <v>243</v>
      </c>
      <c r="CA845" s="2" t="s">
        <v>4389</v>
      </c>
      <c r="CB845" s="2" t="s">
        <v>4390</v>
      </c>
      <c r="CC845" s="2" t="s">
        <v>244</v>
      </c>
      <c r="CD845" s="2" t="s">
        <v>231</v>
      </c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</row>
    <row r="846">
      <c r="A846" s="2" t="s">
        <v>4405</v>
      </c>
      <c r="B846" s="2" t="s">
        <v>287</v>
      </c>
      <c r="C846" s="2" t="s">
        <v>965</v>
      </c>
      <c r="D846" s="2" t="s">
        <v>289</v>
      </c>
      <c r="E846" s="2" t="s">
        <v>290</v>
      </c>
      <c r="F846" s="2" t="s">
        <v>4368</v>
      </c>
      <c r="G846" s="2" t="s">
        <v>4368</v>
      </c>
      <c r="H846" s="2" t="s">
        <v>4368</v>
      </c>
      <c r="I846" s="2" t="s">
        <v>4369</v>
      </c>
      <c r="J846" s="2" t="s">
        <v>268</v>
      </c>
      <c r="K846" s="2" t="s">
        <v>4402</v>
      </c>
      <c r="L846" s="3">
        <v>16.16</v>
      </c>
      <c r="M846" s="3">
        <v>16.97</v>
      </c>
      <c r="N846" s="3">
        <v>34.99</v>
      </c>
      <c r="O846" s="2" t="s">
        <v>243</v>
      </c>
      <c r="P846" s="2" t="s">
        <v>341</v>
      </c>
      <c r="Q846" s="2" t="s">
        <v>237</v>
      </c>
      <c r="R846" s="2" t="s">
        <v>231</v>
      </c>
      <c r="S846" s="2" t="s">
        <v>4403</v>
      </c>
      <c r="T846" s="2" t="s">
        <v>4134</v>
      </c>
      <c r="U846" s="2" t="s">
        <v>231</v>
      </c>
      <c r="V846" s="2" t="s">
        <v>987</v>
      </c>
      <c r="W846" s="2" t="s">
        <v>273</v>
      </c>
      <c r="X846" s="2" t="s">
        <v>231</v>
      </c>
      <c r="Y846" s="2" t="s">
        <v>2848</v>
      </c>
      <c r="Z846" s="4"/>
      <c r="AA846" s="4">
        <f>=ROUNDDOWN({0},0)</f>
      </c>
      <c r="AB846" s="5">
        <v>12</v>
      </c>
      <c r="AC846" s="2" t="s">
        <v>231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231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231</v>
      </c>
      <c r="AW846" s="8" t="s">
        <v>231</v>
      </c>
      <c r="AX846" s="4" t="s">
        <v>231</v>
      </c>
      <c r="AY846" s="8" t="s">
        <v>231</v>
      </c>
      <c r="AZ846" s="7" t="s">
        <v>231</v>
      </c>
      <c r="BA846" s="7" t="s">
        <v>231</v>
      </c>
      <c r="BB846" s="7"/>
      <c r="BC846" s="4" t="s">
        <v>231</v>
      </c>
      <c r="BD846" s="8" t="s">
        <v>231</v>
      </c>
      <c r="BE846" s="4" t="s">
        <v>231</v>
      </c>
      <c r="BF846" s="8" t="s">
        <v>231</v>
      </c>
      <c r="BG846" s="7" t="s">
        <v>231</v>
      </c>
      <c r="BH846" s="7" t="s">
        <v>231</v>
      </c>
      <c r="BI846" s="7"/>
      <c r="BJ846" s="4"/>
      <c r="BK846" s="8"/>
      <c r="BL846" s="2" t="s">
        <v>231</v>
      </c>
      <c r="BM846" s="7"/>
      <c r="BN846" s="7"/>
      <c r="BO846" s="4"/>
      <c r="BP846" s="8"/>
      <c r="BQ846" s="4"/>
      <c r="BR846" s="8"/>
      <c r="BS846" s="7"/>
      <c r="BT846" s="7"/>
      <c r="BU846" s="2" t="s">
        <v>4406</v>
      </c>
      <c r="BV846" s="2" t="s">
        <v>231</v>
      </c>
      <c r="BW846" s="2" t="s">
        <v>231</v>
      </c>
      <c r="BX846" s="2" t="s">
        <v>1360</v>
      </c>
      <c r="BY846" s="2" t="s">
        <v>277</v>
      </c>
      <c r="BZ846" s="2" t="s">
        <v>243</v>
      </c>
      <c r="CA846" s="2" t="s">
        <v>4389</v>
      </c>
      <c r="CB846" s="2" t="s">
        <v>4407</v>
      </c>
      <c r="CC846" s="2" t="s">
        <v>244</v>
      </c>
      <c r="CD846" s="2" t="s">
        <v>231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</row>
    <row r="847">
      <c r="A847" s="2" t="s">
        <v>4408</v>
      </c>
      <c r="B847" s="2" t="s">
        <v>287</v>
      </c>
      <c r="C847" s="2" t="s">
        <v>965</v>
      </c>
      <c r="D847" s="2" t="s">
        <v>289</v>
      </c>
      <c r="E847" s="2" t="s">
        <v>290</v>
      </c>
      <c r="F847" s="2" t="s">
        <v>4368</v>
      </c>
      <c r="G847" s="2" t="s">
        <v>4368</v>
      </c>
      <c r="H847" s="2" t="s">
        <v>4368</v>
      </c>
      <c r="I847" s="2" t="s">
        <v>4369</v>
      </c>
      <c r="J847" s="2" t="s">
        <v>281</v>
      </c>
      <c r="K847" s="2" t="s">
        <v>4402</v>
      </c>
      <c r="L847" s="3">
        <v>19.57</v>
      </c>
      <c r="M847" s="3">
        <v>20.55</v>
      </c>
      <c r="N847" s="3">
        <v>42.99</v>
      </c>
      <c r="O847" s="2" t="s">
        <v>243</v>
      </c>
      <c r="P847" s="2" t="s">
        <v>341</v>
      </c>
      <c r="Q847" s="2" t="s">
        <v>237</v>
      </c>
      <c r="R847" s="2" t="s">
        <v>231</v>
      </c>
      <c r="S847" s="2" t="s">
        <v>4403</v>
      </c>
      <c r="T847" s="2" t="s">
        <v>4134</v>
      </c>
      <c r="U847" s="2" t="s">
        <v>231</v>
      </c>
      <c r="V847" s="2" t="s">
        <v>987</v>
      </c>
      <c r="W847" s="2" t="s">
        <v>273</v>
      </c>
      <c r="X847" s="2" t="s">
        <v>231</v>
      </c>
      <c r="Y847" s="2" t="s">
        <v>2848</v>
      </c>
      <c r="Z847" s="4"/>
      <c r="AA847" s="4">
        <f>=ROUNDDOWN({0},0)</f>
      </c>
      <c r="AB847" s="5">
        <v>15</v>
      </c>
      <c r="AC847" s="2" t="s">
        <v>231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231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231</v>
      </c>
      <c r="AW847" s="8" t="s">
        <v>231</v>
      </c>
      <c r="AX847" s="4" t="s">
        <v>231</v>
      </c>
      <c r="AY847" s="8" t="s">
        <v>231</v>
      </c>
      <c r="AZ847" s="7" t="s">
        <v>231</v>
      </c>
      <c r="BA847" s="7" t="s">
        <v>231</v>
      </c>
      <c r="BB847" s="7"/>
      <c r="BC847" s="4" t="s">
        <v>231</v>
      </c>
      <c r="BD847" s="8" t="s">
        <v>231</v>
      </c>
      <c r="BE847" s="4" t="s">
        <v>231</v>
      </c>
      <c r="BF847" s="8" t="s">
        <v>231</v>
      </c>
      <c r="BG847" s="7" t="s">
        <v>231</v>
      </c>
      <c r="BH847" s="7" t="s">
        <v>231</v>
      </c>
      <c r="BI847" s="7"/>
      <c r="BJ847" s="4"/>
      <c r="BK847" s="8"/>
      <c r="BL847" s="2" t="s">
        <v>231</v>
      </c>
      <c r="BM847" s="7"/>
      <c r="BN847" s="7"/>
      <c r="BO847" s="4"/>
      <c r="BP847" s="8"/>
      <c r="BQ847" s="4"/>
      <c r="BR847" s="8"/>
      <c r="BS847" s="7"/>
      <c r="BT847" s="7"/>
      <c r="BU847" s="2" t="s">
        <v>4409</v>
      </c>
      <c r="BV847" s="2" t="s">
        <v>231</v>
      </c>
      <c r="BW847" s="2" t="s">
        <v>231</v>
      </c>
      <c r="BX847" s="2" t="s">
        <v>1360</v>
      </c>
      <c r="BY847" s="2" t="s">
        <v>277</v>
      </c>
      <c r="BZ847" s="2" t="s">
        <v>243</v>
      </c>
      <c r="CA847" s="2" t="s">
        <v>4389</v>
      </c>
      <c r="CB847" s="2" t="s">
        <v>4394</v>
      </c>
      <c r="CC847" s="2" t="s">
        <v>244</v>
      </c>
      <c r="CD847" s="2" t="s">
        <v>231</v>
      </c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</row>
    <row r="848">
      <c r="A848" s="2" t="s">
        <v>4410</v>
      </c>
      <c r="B848" s="2" t="s">
        <v>287</v>
      </c>
      <c r="C848" s="2" t="s">
        <v>965</v>
      </c>
      <c r="D848" s="2" t="s">
        <v>289</v>
      </c>
      <c r="E848" s="2" t="s">
        <v>290</v>
      </c>
      <c r="F848" s="2" t="s">
        <v>4368</v>
      </c>
      <c r="G848" s="2" t="s">
        <v>4368</v>
      </c>
      <c r="H848" s="2" t="s">
        <v>4368</v>
      </c>
      <c r="I848" s="2" t="s">
        <v>4369</v>
      </c>
      <c r="J848" s="2" t="s">
        <v>293</v>
      </c>
      <c r="K848" s="2" t="s">
        <v>4402</v>
      </c>
      <c r="L848" s="3">
        <v>22.21</v>
      </c>
      <c r="M848" s="3">
        <v>23.32</v>
      </c>
      <c r="N848" s="3">
        <v>47.99</v>
      </c>
      <c r="O848" s="2" t="s">
        <v>243</v>
      </c>
      <c r="P848" s="2" t="s">
        <v>341</v>
      </c>
      <c r="Q848" s="2" t="s">
        <v>237</v>
      </c>
      <c r="R848" s="2" t="s">
        <v>231</v>
      </c>
      <c r="S848" s="2" t="s">
        <v>4403</v>
      </c>
      <c r="T848" s="2" t="s">
        <v>4134</v>
      </c>
      <c r="U848" s="2" t="s">
        <v>231</v>
      </c>
      <c r="V848" s="2" t="s">
        <v>987</v>
      </c>
      <c r="W848" s="2" t="s">
        <v>273</v>
      </c>
      <c r="X848" s="2" t="s">
        <v>231</v>
      </c>
      <c r="Y848" s="2" t="s">
        <v>2848</v>
      </c>
      <c r="Z848" s="4"/>
      <c r="AA848" s="4">
        <f>=ROUNDDOWN({0},0)</f>
      </c>
      <c r="AB848" s="5">
        <v>16</v>
      </c>
      <c r="AC848" s="2" t="s">
        <v>231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231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231</v>
      </c>
      <c r="AW848" s="8" t="s">
        <v>231</v>
      </c>
      <c r="AX848" s="4" t="s">
        <v>231</v>
      </c>
      <c r="AY848" s="8" t="s">
        <v>231</v>
      </c>
      <c r="AZ848" s="7" t="s">
        <v>231</v>
      </c>
      <c r="BA848" s="7" t="s">
        <v>231</v>
      </c>
      <c r="BB848" s="7"/>
      <c r="BC848" s="4" t="s">
        <v>231</v>
      </c>
      <c r="BD848" s="8" t="s">
        <v>231</v>
      </c>
      <c r="BE848" s="4" t="s">
        <v>231</v>
      </c>
      <c r="BF848" s="8" t="s">
        <v>231</v>
      </c>
      <c r="BG848" s="7" t="s">
        <v>231</v>
      </c>
      <c r="BH848" s="7" t="s">
        <v>231</v>
      </c>
      <c r="BI848" s="7"/>
      <c r="BJ848" s="4"/>
      <c r="BK848" s="8"/>
      <c r="BL848" s="2" t="s">
        <v>4411</v>
      </c>
      <c r="BM848" s="7"/>
      <c r="BN848" s="7"/>
      <c r="BO848" s="4"/>
      <c r="BP848" s="8"/>
      <c r="BQ848" s="4"/>
      <c r="BR848" s="8"/>
      <c r="BS848" s="7"/>
      <c r="BT848" s="7"/>
      <c r="BU848" s="2" t="s">
        <v>4412</v>
      </c>
      <c r="BV848" s="2" t="s">
        <v>231</v>
      </c>
      <c r="BW848" s="2" t="s">
        <v>231</v>
      </c>
      <c r="BX848" s="2" t="s">
        <v>1360</v>
      </c>
      <c r="BY848" s="2" t="s">
        <v>277</v>
      </c>
      <c r="BZ848" s="2" t="s">
        <v>243</v>
      </c>
      <c r="CA848" s="2" t="s">
        <v>4389</v>
      </c>
      <c r="CB848" s="2" t="s">
        <v>4413</v>
      </c>
      <c r="CC848" s="2" t="s">
        <v>244</v>
      </c>
      <c r="CD848" s="2" t="s">
        <v>231</v>
      </c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</row>
    <row r="849">
      <c r="A849" s="2" t="s">
        <v>4414</v>
      </c>
      <c r="B849" s="2" t="s">
        <v>287</v>
      </c>
      <c r="C849" s="2" t="s">
        <v>965</v>
      </c>
      <c r="D849" s="2" t="s">
        <v>289</v>
      </c>
      <c r="E849" s="2" t="s">
        <v>290</v>
      </c>
      <c r="F849" s="2" t="s">
        <v>4368</v>
      </c>
      <c r="G849" s="2" t="s">
        <v>4368</v>
      </c>
      <c r="H849" s="2" t="s">
        <v>4368</v>
      </c>
      <c r="I849" s="2" t="s">
        <v>4369</v>
      </c>
      <c r="J849" s="2" t="s">
        <v>318</v>
      </c>
      <c r="K849" s="2" t="s">
        <v>4415</v>
      </c>
      <c r="L849" s="3">
        <v>14.89</v>
      </c>
      <c r="M849" s="3">
        <v>15.63</v>
      </c>
      <c r="N849" s="3">
        <v>31.99</v>
      </c>
      <c r="O849" s="2" t="s">
        <v>243</v>
      </c>
      <c r="P849" s="2" t="s">
        <v>270</v>
      </c>
      <c r="Q849" s="2" t="s">
        <v>237</v>
      </c>
      <c r="R849" s="2" t="s">
        <v>231</v>
      </c>
      <c r="S849" s="2" t="s">
        <v>4416</v>
      </c>
      <c r="T849" s="2" t="s">
        <v>4134</v>
      </c>
      <c r="U849" s="2" t="s">
        <v>835</v>
      </c>
      <c r="V849" s="2" t="s">
        <v>1685</v>
      </c>
      <c r="W849" s="2" t="s">
        <v>273</v>
      </c>
      <c r="X849" s="2" t="s">
        <v>792</v>
      </c>
      <c r="Y849" s="2" t="s">
        <v>4417</v>
      </c>
      <c r="Z849" s="4"/>
      <c r="AA849" s="4">
        <f>=ROUNDDOWN({0},0)</f>
      </c>
      <c r="AB849" s="5">
        <v>33</v>
      </c>
      <c r="AC849" s="2" t="s">
        <v>4212</v>
      </c>
      <c r="AD849" s="4">
        <v>309</v>
      </c>
      <c r="AE849" s="4">
        <v>1153</v>
      </c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231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231</v>
      </c>
      <c r="AW849" s="8" t="s">
        <v>231</v>
      </c>
      <c r="AX849" s="4" t="s">
        <v>231</v>
      </c>
      <c r="AY849" s="8" t="s">
        <v>231</v>
      </c>
      <c r="AZ849" s="7" t="s">
        <v>231</v>
      </c>
      <c r="BA849" s="7" t="s">
        <v>231</v>
      </c>
      <c r="BB849" s="7"/>
      <c r="BC849" s="4" t="s">
        <v>231</v>
      </c>
      <c r="BD849" s="8" t="s">
        <v>231</v>
      </c>
      <c r="BE849" s="4" t="s">
        <v>231</v>
      </c>
      <c r="BF849" s="8" t="s">
        <v>231</v>
      </c>
      <c r="BG849" s="7" t="s">
        <v>231</v>
      </c>
      <c r="BH849" s="7" t="s">
        <v>231</v>
      </c>
      <c r="BI849" s="7"/>
      <c r="BJ849" s="4"/>
      <c r="BK849" s="8"/>
      <c r="BL849" s="2" t="s">
        <v>4418</v>
      </c>
      <c r="BM849" s="7"/>
      <c r="BN849" s="7"/>
      <c r="BO849" s="4"/>
      <c r="BP849" s="8"/>
      <c r="BQ849" s="4"/>
      <c r="BR849" s="8"/>
      <c r="BS849" s="7"/>
      <c r="BT849" s="7"/>
      <c r="BU849" s="2" t="s">
        <v>4419</v>
      </c>
      <c r="BV849" s="2" t="s">
        <v>231</v>
      </c>
      <c r="BW849" s="2" t="s">
        <v>231</v>
      </c>
      <c r="BX849" s="2" t="s">
        <v>231</v>
      </c>
      <c r="BY849" s="2" t="s">
        <v>277</v>
      </c>
      <c r="BZ849" s="2" t="s">
        <v>243</v>
      </c>
      <c r="CA849" s="2" t="s">
        <v>4420</v>
      </c>
      <c r="CB849" s="2" t="s">
        <v>4421</v>
      </c>
      <c r="CC849" s="2" t="s">
        <v>244</v>
      </c>
      <c r="CD849" s="2" t="s">
        <v>231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>
        <v>309</v>
      </c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>
        <v>555</v>
      </c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>
        <v>289</v>
      </c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</row>
    <row r="850">
      <c r="A850" s="2" t="s">
        <v>4422</v>
      </c>
      <c r="B850" s="2" t="s">
        <v>287</v>
      </c>
      <c r="C850" s="2" t="s">
        <v>965</v>
      </c>
      <c r="D850" s="2" t="s">
        <v>289</v>
      </c>
      <c r="E850" s="2" t="s">
        <v>290</v>
      </c>
      <c r="F850" s="2" t="s">
        <v>4368</v>
      </c>
      <c r="G850" s="2" t="s">
        <v>4368</v>
      </c>
      <c r="H850" s="2" t="s">
        <v>4368</v>
      </c>
      <c r="I850" s="2" t="s">
        <v>4369</v>
      </c>
      <c r="J850" s="2" t="s">
        <v>268</v>
      </c>
      <c r="K850" s="2" t="s">
        <v>4415</v>
      </c>
      <c r="L850" s="3">
        <v>16.16</v>
      </c>
      <c r="M850" s="3">
        <v>16.97</v>
      </c>
      <c r="N850" s="3">
        <v>34.99</v>
      </c>
      <c r="O850" s="2" t="s">
        <v>243</v>
      </c>
      <c r="P850" s="2" t="s">
        <v>270</v>
      </c>
      <c r="Q850" s="2" t="s">
        <v>237</v>
      </c>
      <c r="R850" s="2" t="s">
        <v>231</v>
      </c>
      <c r="S850" s="2" t="s">
        <v>4416</v>
      </c>
      <c r="T850" s="2" t="s">
        <v>4134</v>
      </c>
      <c r="U850" s="2" t="s">
        <v>835</v>
      </c>
      <c r="V850" s="2" t="s">
        <v>1685</v>
      </c>
      <c r="W850" s="2" t="s">
        <v>273</v>
      </c>
      <c r="X850" s="2" t="s">
        <v>792</v>
      </c>
      <c r="Y850" s="2" t="s">
        <v>4417</v>
      </c>
      <c r="Z850" s="4"/>
      <c r="AA850" s="4">
        <f>=ROUNDDOWN({0},0)</f>
      </c>
      <c r="AB850" s="5">
        <v>26</v>
      </c>
      <c r="AC850" s="2" t="s">
        <v>4212</v>
      </c>
      <c r="AD850" s="4">
        <v>189</v>
      </c>
      <c r="AE850" s="4">
        <v>860</v>
      </c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231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231</v>
      </c>
      <c r="AW850" s="8" t="s">
        <v>231</v>
      </c>
      <c r="AX850" s="4" t="s">
        <v>231</v>
      </c>
      <c r="AY850" s="8" t="s">
        <v>231</v>
      </c>
      <c r="AZ850" s="7" t="s">
        <v>231</v>
      </c>
      <c r="BA850" s="7" t="s">
        <v>231</v>
      </c>
      <c r="BB850" s="7"/>
      <c r="BC850" s="4" t="s">
        <v>231</v>
      </c>
      <c r="BD850" s="8" t="s">
        <v>231</v>
      </c>
      <c r="BE850" s="4" t="s">
        <v>231</v>
      </c>
      <c r="BF850" s="8" t="s">
        <v>231</v>
      </c>
      <c r="BG850" s="7" t="s">
        <v>231</v>
      </c>
      <c r="BH850" s="7" t="s">
        <v>231</v>
      </c>
      <c r="BI850" s="7"/>
      <c r="BJ850" s="4"/>
      <c r="BK850" s="8"/>
      <c r="BL850" s="2" t="s">
        <v>231</v>
      </c>
      <c r="BM850" s="7"/>
      <c r="BN850" s="7"/>
      <c r="BO850" s="4"/>
      <c r="BP850" s="8"/>
      <c r="BQ850" s="4"/>
      <c r="BR850" s="8"/>
      <c r="BS850" s="7"/>
      <c r="BT850" s="7"/>
      <c r="BU850" s="2" t="s">
        <v>4423</v>
      </c>
      <c r="BV850" s="2" t="s">
        <v>231</v>
      </c>
      <c r="BW850" s="2" t="s">
        <v>231</v>
      </c>
      <c r="BX850" s="2" t="s">
        <v>231</v>
      </c>
      <c r="BY850" s="2" t="s">
        <v>277</v>
      </c>
      <c r="BZ850" s="2" t="s">
        <v>243</v>
      </c>
      <c r="CA850" s="2" t="s">
        <v>4420</v>
      </c>
      <c r="CB850" s="2" t="s">
        <v>4424</v>
      </c>
      <c r="CC850" s="2" t="s">
        <v>244</v>
      </c>
      <c r="CD850" s="2" t="s">
        <v>231</v>
      </c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>
        <v>189</v>
      </c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>
        <v>436</v>
      </c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>
        <v>235</v>
      </c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</row>
    <row r="851">
      <c r="A851" s="2" t="s">
        <v>4425</v>
      </c>
      <c r="B851" s="2" t="s">
        <v>287</v>
      </c>
      <c r="C851" s="2" t="s">
        <v>965</v>
      </c>
      <c r="D851" s="2" t="s">
        <v>289</v>
      </c>
      <c r="E851" s="2" t="s">
        <v>290</v>
      </c>
      <c r="F851" s="2" t="s">
        <v>4368</v>
      </c>
      <c r="G851" s="2" t="s">
        <v>4368</v>
      </c>
      <c r="H851" s="2" t="s">
        <v>4368</v>
      </c>
      <c r="I851" s="2" t="s">
        <v>4369</v>
      </c>
      <c r="J851" s="2" t="s">
        <v>281</v>
      </c>
      <c r="K851" s="2" t="s">
        <v>4415</v>
      </c>
      <c r="L851" s="3">
        <v>19.57</v>
      </c>
      <c r="M851" s="3">
        <v>20.55</v>
      </c>
      <c r="N851" s="3">
        <v>42.99</v>
      </c>
      <c r="O851" s="2" t="s">
        <v>243</v>
      </c>
      <c r="P851" s="2" t="s">
        <v>1281</v>
      </c>
      <c r="Q851" s="2" t="s">
        <v>237</v>
      </c>
      <c r="R851" s="2" t="s">
        <v>231</v>
      </c>
      <c r="S851" s="2" t="s">
        <v>4416</v>
      </c>
      <c r="T851" s="2" t="s">
        <v>4134</v>
      </c>
      <c r="U851" s="2" t="s">
        <v>298</v>
      </c>
      <c r="V851" s="2" t="s">
        <v>1685</v>
      </c>
      <c r="W851" s="2" t="s">
        <v>273</v>
      </c>
      <c r="X851" s="2" t="s">
        <v>792</v>
      </c>
      <c r="Y851" s="2" t="s">
        <v>4417</v>
      </c>
      <c r="Z851" s="4"/>
      <c r="AA851" s="4">
        <f>=ROUNDDOWN({0},0)</f>
      </c>
      <c r="AB851" s="5">
        <v>41</v>
      </c>
      <c r="AC851" s="2" t="s">
        <v>4212</v>
      </c>
      <c r="AD851" s="4">
        <v>375</v>
      </c>
      <c r="AE851" s="4">
        <v>1504</v>
      </c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231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231</v>
      </c>
      <c r="AW851" s="8" t="s">
        <v>231</v>
      </c>
      <c r="AX851" s="4" t="s">
        <v>231</v>
      </c>
      <c r="AY851" s="8" t="s">
        <v>231</v>
      </c>
      <c r="AZ851" s="7" t="s">
        <v>231</v>
      </c>
      <c r="BA851" s="7" t="s">
        <v>231</v>
      </c>
      <c r="BB851" s="7"/>
      <c r="BC851" s="4" t="s">
        <v>231</v>
      </c>
      <c r="BD851" s="8" t="s">
        <v>231</v>
      </c>
      <c r="BE851" s="4" t="s">
        <v>231</v>
      </c>
      <c r="BF851" s="8" t="s">
        <v>231</v>
      </c>
      <c r="BG851" s="7" t="s">
        <v>231</v>
      </c>
      <c r="BH851" s="7" t="s">
        <v>231</v>
      </c>
      <c r="BI851" s="7"/>
      <c r="BJ851" s="4"/>
      <c r="BK851" s="8"/>
      <c r="BL851" s="2" t="s">
        <v>3767</v>
      </c>
      <c r="BM851" s="7"/>
      <c r="BN851" s="7"/>
      <c r="BO851" s="4"/>
      <c r="BP851" s="8"/>
      <c r="BQ851" s="4"/>
      <c r="BR851" s="8"/>
      <c r="BS851" s="7"/>
      <c r="BT851" s="7"/>
      <c r="BU851" s="2" t="s">
        <v>4426</v>
      </c>
      <c r="BV851" s="2" t="s">
        <v>231</v>
      </c>
      <c r="BW851" s="2" t="s">
        <v>231</v>
      </c>
      <c r="BX851" s="2" t="s">
        <v>231</v>
      </c>
      <c r="BY851" s="2" t="s">
        <v>277</v>
      </c>
      <c r="BZ851" s="2" t="s">
        <v>243</v>
      </c>
      <c r="CA851" s="2" t="s">
        <v>4420</v>
      </c>
      <c r="CB851" s="2" t="s">
        <v>4427</v>
      </c>
      <c r="CC851" s="2" t="s">
        <v>244</v>
      </c>
      <c r="CD851" s="2" t="s">
        <v>231</v>
      </c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>
        <v>375</v>
      </c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>
        <v>793</v>
      </c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>
        <v>336</v>
      </c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</row>
    <row r="852">
      <c r="A852" s="2" t="s">
        <v>4428</v>
      </c>
      <c r="B852" s="2" t="s">
        <v>287</v>
      </c>
      <c r="C852" s="2" t="s">
        <v>965</v>
      </c>
      <c r="D852" s="2" t="s">
        <v>289</v>
      </c>
      <c r="E852" s="2" t="s">
        <v>290</v>
      </c>
      <c r="F852" s="2" t="s">
        <v>4368</v>
      </c>
      <c r="G852" s="2" t="s">
        <v>4368</v>
      </c>
      <c r="H852" s="2" t="s">
        <v>4368</v>
      </c>
      <c r="I852" s="2" t="s">
        <v>4369</v>
      </c>
      <c r="J852" s="2" t="s">
        <v>293</v>
      </c>
      <c r="K852" s="2" t="s">
        <v>4415</v>
      </c>
      <c r="L852" s="3">
        <v>22.21</v>
      </c>
      <c r="M852" s="3">
        <v>23.32</v>
      </c>
      <c r="N852" s="3">
        <v>47.99</v>
      </c>
      <c r="O852" s="2" t="s">
        <v>243</v>
      </c>
      <c r="P852" s="2" t="s">
        <v>1281</v>
      </c>
      <c r="Q852" s="2" t="s">
        <v>237</v>
      </c>
      <c r="R852" s="2" t="s">
        <v>231</v>
      </c>
      <c r="S852" s="2" t="s">
        <v>4416</v>
      </c>
      <c r="T852" s="2" t="s">
        <v>4134</v>
      </c>
      <c r="U852" s="2" t="s">
        <v>298</v>
      </c>
      <c r="V852" s="2" t="s">
        <v>1685</v>
      </c>
      <c r="W852" s="2" t="s">
        <v>273</v>
      </c>
      <c r="X852" s="2" t="s">
        <v>792</v>
      </c>
      <c r="Y852" s="2" t="s">
        <v>4417</v>
      </c>
      <c r="Z852" s="4"/>
      <c r="AA852" s="4">
        <f>=ROUNDDOWN({0},0)</f>
      </c>
      <c r="AB852" s="5">
        <v>39</v>
      </c>
      <c r="AC852" s="2" t="s">
        <v>4212</v>
      </c>
      <c r="AD852" s="4">
        <v>355</v>
      </c>
      <c r="AE852" s="4">
        <v>1380</v>
      </c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231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231</v>
      </c>
      <c r="AW852" s="8" t="s">
        <v>231</v>
      </c>
      <c r="AX852" s="4" t="s">
        <v>231</v>
      </c>
      <c r="AY852" s="8" t="s">
        <v>231</v>
      </c>
      <c r="AZ852" s="7" t="s">
        <v>231</v>
      </c>
      <c r="BA852" s="7" t="s">
        <v>231</v>
      </c>
      <c r="BB852" s="7"/>
      <c r="BC852" s="4" t="s">
        <v>231</v>
      </c>
      <c r="BD852" s="8" t="s">
        <v>231</v>
      </c>
      <c r="BE852" s="4" t="s">
        <v>231</v>
      </c>
      <c r="BF852" s="8" t="s">
        <v>231</v>
      </c>
      <c r="BG852" s="7" t="s">
        <v>231</v>
      </c>
      <c r="BH852" s="7" t="s">
        <v>231</v>
      </c>
      <c r="BI852" s="7"/>
      <c r="BJ852" s="4"/>
      <c r="BK852" s="8"/>
      <c r="BL852" s="2" t="s">
        <v>4429</v>
      </c>
      <c r="BM852" s="7"/>
      <c r="BN852" s="7"/>
      <c r="BO852" s="4"/>
      <c r="BP852" s="8"/>
      <c r="BQ852" s="4"/>
      <c r="BR852" s="8"/>
      <c r="BS852" s="7"/>
      <c r="BT852" s="7"/>
      <c r="BU852" s="2" t="s">
        <v>4430</v>
      </c>
      <c r="BV852" s="2" t="s">
        <v>231</v>
      </c>
      <c r="BW852" s="2" t="s">
        <v>231</v>
      </c>
      <c r="BX852" s="2" t="s">
        <v>231</v>
      </c>
      <c r="BY852" s="2" t="s">
        <v>277</v>
      </c>
      <c r="BZ852" s="2" t="s">
        <v>243</v>
      </c>
      <c r="CA852" s="2" t="s">
        <v>4420</v>
      </c>
      <c r="CB852" s="2" t="s">
        <v>4431</v>
      </c>
      <c r="CC852" s="2" t="s">
        <v>244</v>
      </c>
      <c r="CD852" s="2" t="s">
        <v>231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>
        <v>355</v>
      </c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>
        <v>681</v>
      </c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>
        <v>344</v>
      </c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</row>
    <row r="853">
      <c r="A853" s="2" t="s">
        <v>4432</v>
      </c>
      <c r="B853" s="2" t="s">
        <v>287</v>
      </c>
      <c r="C853" s="2" t="s">
        <v>965</v>
      </c>
      <c r="D853" s="2" t="s">
        <v>289</v>
      </c>
      <c r="E853" s="2" t="s">
        <v>290</v>
      </c>
      <c r="F853" s="2" t="s">
        <v>4368</v>
      </c>
      <c r="G853" s="2" t="s">
        <v>4368</v>
      </c>
      <c r="H853" s="2" t="s">
        <v>4368</v>
      </c>
      <c r="I853" s="2" t="s">
        <v>4369</v>
      </c>
      <c r="J853" s="2" t="s">
        <v>302</v>
      </c>
      <c r="K853" s="2" t="s">
        <v>4415</v>
      </c>
      <c r="L853" s="3">
        <v>27.39</v>
      </c>
      <c r="M853" s="3">
        <v>28.76</v>
      </c>
      <c r="N853" s="3">
        <v>62.99</v>
      </c>
      <c r="O853" s="2" t="s">
        <v>243</v>
      </c>
      <c r="P853" s="2" t="s">
        <v>270</v>
      </c>
      <c r="Q853" s="2" t="s">
        <v>237</v>
      </c>
      <c r="R853" s="2" t="s">
        <v>231</v>
      </c>
      <c r="S853" s="2" t="s">
        <v>4416</v>
      </c>
      <c r="T853" s="2" t="s">
        <v>4134</v>
      </c>
      <c r="U853" s="2" t="s">
        <v>298</v>
      </c>
      <c r="V853" s="2" t="s">
        <v>1685</v>
      </c>
      <c r="W853" s="2" t="s">
        <v>273</v>
      </c>
      <c r="X853" s="2" t="s">
        <v>792</v>
      </c>
      <c r="Y853" s="2" t="s">
        <v>4417</v>
      </c>
      <c r="Z853" s="4"/>
      <c r="AA853" s="4">
        <f>=ROUNDDOWN({0},0)</f>
      </c>
      <c r="AB853" s="5">
        <v>16</v>
      </c>
      <c r="AC853" s="2" t="s">
        <v>4212</v>
      </c>
      <c r="AD853" s="4">
        <v>139</v>
      </c>
      <c r="AE853" s="4">
        <v>563</v>
      </c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231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231</v>
      </c>
      <c r="AW853" s="8" t="s">
        <v>231</v>
      </c>
      <c r="AX853" s="4" t="s">
        <v>231</v>
      </c>
      <c r="AY853" s="8" t="s">
        <v>231</v>
      </c>
      <c r="AZ853" s="7" t="s">
        <v>231</v>
      </c>
      <c r="BA853" s="7" t="s">
        <v>231</v>
      </c>
      <c r="BB853" s="7"/>
      <c r="BC853" s="4" t="s">
        <v>231</v>
      </c>
      <c r="BD853" s="8" t="s">
        <v>231</v>
      </c>
      <c r="BE853" s="4" t="s">
        <v>231</v>
      </c>
      <c r="BF853" s="8" t="s">
        <v>231</v>
      </c>
      <c r="BG853" s="7" t="s">
        <v>231</v>
      </c>
      <c r="BH853" s="7" t="s">
        <v>231</v>
      </c>
      <c r="BI853" s="7"/>
      <c r="BJ853" s="4"/>
      <c r="BK853" s="8"/>
      <c r="BL853" s="2" t="s">
        <v>3767</v>
      </c>
      <c r="BM853" s="7"/>
      <c r="BN853" s="7"/>
      <c r="BO853" s="4"/>
      <c r="BP853" s="8"/>
      <c r="BQ853" s="4"/>
      <c r="BR853" s="8"/>
      <c r="BS853" s="7"/>
      <c r="BT853" s="7"/>
      <c r="BU853" s="2" t="s">
        <v>4433</v>
      </c>
      <c r="BV853" s="2" t="s">
        <v>231</v>
      </c>
      <c r="BW853" s="2" t="s">
        <v>231</v>
      </c>
      <c r="BX853" s="2" t="s">
        <v>231</v>
      </c>
      <c r="BY853" s="2" t="s">
        <v>277</v>
      </c>
      <c r="BZ853" s="2" t="s">
        <v>243</v>
      </c>
      <c r="CA853" s="2" t="s">
        <v>4420</v>
      </c>
      <c r="CB853" s="2" t="s">
        <v>4434</v>
      </c>
      <c r="CC853" s="2" t="s">
        <v>244</v>
      </c>
      <c r="CD853" s="2" t="s">
        <v>231</v>
      </c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>
        <v>139</v>
      </c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>
        <v>277</v>
      </c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>
        <v>147</v>
      </c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</row>
    <row r="854">
      <c r="A854" s="2" t="s">
        <v>4435</v>
      </c>
      <c r="B854" s="2" t="s">
        <v>287</v>
      </c>
      <c r="C854" s="2" t="s">
        <v>965</v>
      </c>
      <c r="D854" s="2" t="s">
        <v>289</v>
      </c>
      <c r="E854" s="2" t="s">
        <v>290</v>
      </c>
      <c r="F854" s="2" t="s">
        <v>4368</v>
      </c>
      <c r="G854" s="2" t="s">
        <v>4368</v>
      </c>
      <c r="H854" s="2" t="s">
        <v>4368</v>
      </c>
      <c r="I854" s="2" t="s">
        <v>4369</v>
      </c>
      <c r="J854" s="2" t="s">
        <v>268</v>
      </c>
      <c r="K854" s="2" t="s">
        <v>4436</v>
      </c>
      <c r="L854" s="3">
        <v>16.16</v>
      </c>
      <c r="M854" s="3">
        <v>16.97</v>
      </c>
      <c r="N854" s="3">
        <v>34.99</v>
      </c>
      <c r="O854" s="2" t="s">
        <v>235</v>
      </c>
      <c r="P854" s="2" t="s">
        <v>341</v>
      </c>
      <c r="Q854" s="2" t="s">
        <v>237</v>
      </c>
      <c r="R854" s="2" t="s">
        <v>231</v>
      </c>
      <c r="S854" s="2" t="s">
        <v>4437</v>
      </c>
      <c r="T854" s="2" t="s">
        <v>4134</v>
      </c>
      <c r="U854" s="2" t="s">
        <v>835</v>
      </c>
      <c r="V854" s="2" t="s">
        <v>4046</v>
      </c>
      <c r="W854" s="2" t="s">
        <v>273</v>
      </c>
      <c r="X854" s="2" t="s">
        <v>792</v>
      </c>
      <c r="Y854" s="2" t="s">
        <v>1374</v>
      </c>
      <c r="Z854" s="4"/>
      <c r="AA854" s="4">
        <f>=ROUNDDOWN({0},0)</f>
      </c>
      <c r="AB854" s="5">
        <v>7</v>
      </c>
      <c r="AC854" s="2" t="s">
        <v>231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231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231</v>
      </c>
      <c r="AW854" s="8" t="s">
        <v>231</v>
      </c>
      <c r="AX854" s="4" t="s">
        <v>231</v>
      </c>
      <c r="AY854" s="8" t="s">
        <v>231</v>
      </c>
      <c r="AZ854" s="7" t="s">
        <v>231</v>
      </c>
      <c r="BA854" s="7" t="s">
        <v>231</v>
      </c>
      <c r="BB854" s="7"/>
      <c r="BC854" s="4" t="s">
        <v>231</v>
      </c>
      <c r="BD854" s="8" t="s">
        <v>231</v>
      </c>
      <c r="BE854" s="4" t="s">
        <v>231</v>
      </c>
      <c r="BF854" s="8" t="s">
        <v>231</v>
      </c>
      <c r="BG854" s="7" t="s">
        <v>231</v>
      </c>
      <c r="BH854" s="7" t="s">
        <v>231</v>
      </c>
      <c r="BI854" s="7"/>
      <c r="BJ854" s="4"/>
      <c r="BK854" s="8"/>
      <c r="BL854" s="2" t="s">
        <v>4328</v>
      </c>
      <c r="BM854" s="7"/>
      <c r="BN854" s="7"/>
      <c r="BO854" s="4"/>
      <c r="BP854" s="8"/>
      <c r="BQ854" s="4"/>
      <c r="BR854" s="8"/>
      <c r="BS854" s="7"/>
      <c r="BT854" s="7"/>
      <c r="BU854" s="2" t="s">
        <v>4438</v>
      </c>
      <c r="BV854" s="2" t="s">
        <v>231</v>
      </c>
      <c r="BW854" s="2" t="s">
        <v>231</v>
      </c>
      <c r="BX854" s="2" t="s">
        <v>1360</v>
      </c>
      <c r="BY854" s="2" t="s">
        <v>277</v>
      </c>
      <c r="BZ854" s="2" t="s">
        <v>243</v>
      </c>
      <c r="CA854" s="2" t="s">
        <v>4439</v>
      </c>
      <c r="CB854" s="2" t="s">
        <v>4440</v>
      </c>
      <c r="CC854" s="2" t="s">
        <v>244</v>
      </c>
      <c r="CD854" s="2" t="s">
        <v>231</v>
      </c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</row>
    <row r="855">
      <c r="A855" s="2" t="s">
        <v>4441</v>
      </c>
      <c r="B855" s="2" t="s">
        <v>287</v>
      </c>
      <c r="C855" s="2" t="s">
        <v>965</v>
      </c>
      <c r="D855" s="2" t="s">
        <v>289</v>
      </c>
      <c r="E855" s="2" t="s">
        <v>290</v>
      </c>
      <c r="F855" s="2" t="s">
        <v>4368</v>
      </c>
      <c r="G855" s="2" t="s">
        <v>4368</v>
      </c>
      <c r="H855" s="2" t="s">
        <v>4368</v>
      </c>
      <c r="I855" s="2" t="s">
        <v>4369</v>
      </c>
      <c r="J855" s="2" t="s">
        <v>281</v>
      </c>
      <c r="K855" s="2" t="s">
        <v>4436</v>
      </c>
      <c r="L855" s="3">
        <v>19.57</v>
      </c>
      <c r="M855" s="3">
        <v>20.55</v>
      </c>
      <c r="N855" s="3">
        <v>42.99</v>
      </c>
      <c r="O855" s="2" t="s">
        <v>235</v>
      </c>
      <c r="P855" s="2" t="s">
        <v>341</v>
      </c>
      <c r="Q855" s="2" t="s">
        <v>237</v>
      </c>
      <c r="R855" s="2" t="s">
        <v>231</v>
      </c>
      <c r="S855" s="2" t="s">
        <v>4437</v>
      </c>
      <c r="T855" s="2" t="s">
        <v>4134</v>
      </c>
      <c r="U855" s="2" t="s">
        <v>298</v>
      </c>
      <c r="V855" s="2" t="s">
        <v>4046</v>
      </c>
      <c r="W855" s="2" t="s">
        <v>273</v>
      </c>
      <c r="X855" s="2" t="s">
        <v>792</v>
      </c>
      <c r="Y855" s="2" t="s">
        <v>1374</v>
      </c>
      <c r="Z855" s="4">
        <v>293</v>
      </c>
      <c r="AA855" s="4">
        <f>=ROUNDDOWN(77.1052631578947,0)</f>
      </c>
      <c r="AB855" s="5">
        <v>3.8</v>
      </c>
      <c r="AC855" s="2" t="s">
        <v>231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231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231</v>
      </c>
      <c r="AW855" s="8" t="s">
        <v>231</v>
      </c>
      <c r="AX855" s="4" t="s">
        <v>231</v>
      </c>
      <c r="AY855" s="8" t="s">
        <v>231</v>
      </c>
      <c r="AZ855" s="7" t="s">
        <v>231</v>
      </c>
      <c r="BA855" s="7" t="s">
        <v>231</v>
      </c>
      <c r="BB855" s="7"/>
      <c r="BC855" s="4" t="s">
        <v>231</v>
      </c>
      <c r="BD855" s="8" t="s">
        <v>231</v>
      </c>
      <c r="BE855" s="4" t="s">
        <v>231</v>
      </c>
      <c r="BF855" s="8" t="s">
        <v>231</v>
      </c>
      <c r="BG855" s="7" t="s">
        <v>231</v>
      </c>
      <c r="BH855" s="7" t="s">
        <v>231</v>
      </c>
      <c r="BI855" s="7"/>
      <c r="BJ855" s="4">
        <v>5</v>
      </c>
      <c r="BK855" s="8">
        <v>112.82</v>
      </c>
      <c r="BL855" s="2" t="s">
        <v>4442</v>
      </c>
      <c r="BM855" s="7"/>
      <c r="BN855" s="7"/>
      <c r="BO855" s="4"/>
      <c r="BP855" s="8"/>
      <c r="BQ855" s="4"/>
      <c r="BR855" s="8"/>
      <c r="BS855" s="7"/>
      <c r="BT855" s="7"/>
      <c r="BU855" s="2" t="s">
        <v>4443</v>
      </c>
      <c r="BV855" s="2" t="s">
        <v>231</v>
      </c>
      <c r="BW855" s="2" t="s">
        <v>231</v>
      </c>
      <c r="BX855" s="2" t="s">
        <v>1360</v>
      </c>
      <c r="BY855" s="2" t="s">
        <v>277</v>
      </c>
      <c r="BZ855" s="2" t="s">
        <v>243</v>
      </c>
      <c r="CA855" s="2" t="s">
        <v>4439</v>
      </c>
      <c r="CB855" s="2" t="s">
        <v>3471</v>
      </c>
      <c r="CC855" s="2" t="s">
        <v>244</v>
      </c>
      <c r="CD855" s="2" t="s">
        <v>231</v>
      </c>
      <c r="CE855" s="4">
        <v>293</v>
      </c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</row>
    <row r="856">
      <c r="A856" s="2" t="s">
        <v>4444</v>
      </c>
      <c r="B856" s="2" t="s">
        <v>287</v>
      </c>
      <c r="C856" s="2" t="s">
        <v>965</v>
      </c>
      <c r="D856" s="2" t="s">
        <v>289</v>
      </c>
      <c r="E856" s="2" t="s">
        <v>290</v>
      </c>
      <c r="F856" s="2" t="s">
        <v>4368</v>
      </c>
      <c r="G856" s="2" t="s">
        <v>4368</v>
      </c>
      <c r="H856" s="2" t="s">
        <v>4368</v>
      </c>
      <c r="I856" s="2" t="s">
        <v>4369</v>
      </c>
      <c r="J856" s="2" t="s">
        <v>302</v>
      </c>
      <c r="K856" s="2" t="s">
        <v>4436</v>
      </c>
      <c r="L856" s="3">
        <v>27.39</v>
      </c>
      <c r="M856" s="3">
        <v>28.76</v>
      </c>
      <c r="N856" s="3">
        <v>62.99</v>
      </c>
      <c r="O856" s="2" t="s">
        <v>235</v>
      </c>
      <c r="P856" s="2" t="s">
        <v>341</v>
      </c>
      <c r="Q856" s="2" t="s">
        <v>237</v>
      </c>
      <c r="R856" s="2" t="s">
        <v>231</v>
      </c>
      <c r="S856" s="2" t="s">
        <v>4437</v>
      </c>
      <c r="T856" s="2" t="s">
        <v>4134</v>
      </c>
      <c r="U856" s="2" t="s">
        <v>298</v>
      </c>
      <c r="V856" s="2" t="s">
        <v>4046</v>
      </c>
      <c r="W856" s="2" t="s">
        <v>273</v>
      </c>
      <c r="X856" s="2" t="s">
        <v>792</v>
      </c>
      <c r="Y856" s="2" t="s">
        <v>1374</v>
      </c>
      <c r="Z856" s="4">
        <v>269</v>
      </c>
      <c r="AA856" s="4">
        <f>=ROUNDDOWN(89.6666666666667,0)</f>
      </c>
      <c r="AB856" s="5">
        <v>3</v>
      </c>
      <c r="AC856" s="2" t="s">
        <v>231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231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231</v>
      </c>
      <c r="AW856" s="8" t="s">
        <v>231</v>
      </c>
      <c r="AX856" s="4" t="s">
        <v>231</v>
      </c>
      <c r="AY856" s="8" t="s">
        <v>231</v>
      </c>
      <c r="AZ856" s="7" t="s">
        <v>231</v>
      </c>
      <c r="BA856" s="7" t="s">
        <v>231</v>
      </c>
      <c r="BB856" s="7"/>
      <c r="BC856" s="4" t="s">
        <v>231</v>
      </c>
      <c r="BD856" s="8" t="s">
        <v>231</v>
      </c>
      <c r="BE856" s="4" t="s">
        <v>231</v>
      </c>
      <c r="BF856" s="8" t="s">
        <v>231</v>
      </c>
      <c r="BG856" s="7" t="s">
        <v>231</v>
      </c>
      <c r="BH856" s="7" t="s">
        <v>231</v>
      </c>
      <c r="BI856" s="7"/>
      <c r="BJ856" s="4">
        <v>3</v>
      </c>
      <c r="BK856" s="8">
        <v>88.79</v>
      </c>
      <c r="BL856" s="2" t="s">
        <v>393</v>
      </c>
      <c r="BM856" s="7"/>
      <c r="BN856" s="7"/>
      <c r="BO856" s="4"/>
      <c r="BP856" s="8"/>
      <c r="BQ856" s="4"/>
      <c r="BR856" s="8"/>
      <c r="BS856" s="7"/>
      <c r="BT856" s="7"/>
      <c r="BU856" s="2" t="s">
        <v>4445</v>
      </c>
      <c r="BV856" s="2" t="s">
        <v>231</v>
      </c>
      <c r="BW856" s="2" t="s">
        <v>231</v>
      </c>
      <c r="BX856" s="2" t="s">
        <v>1360</v>
      </c>
      <c r="BY856" s="2" t="s">
        <v>277</v>
      </c>
      <c r="BZ856" s="2" t="s">
        <v>243</v>
      </c>
      <c r="CA856" s="2" t="s">
        <v>4439</v>
      </c>
      <c r="CB856" s="2" t="s">
        <v>3865</v>
      </c>
      <c r="CC856" s="2" t="s">
        <v>244</v>
      </c>
      <c r="CD856" s="2" t="s">
        <v>231</v>
      </c>
      <c r="CE856" s="4">
        <v>269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</row>
    <row r="857">
      <c r="A857" s="2" t="s">
        <v>4446</v>
      </c>
      <c r="B857" s="2" t="s">
        <v>287</v>
      </c>
      <c r="C857" s="2" t="s">
        <v>965</v>
      </c>
      <c r="D857" s="2" t="s">
        <v>289</v>
      </c>
      <c r="E857" s="2" t="s">
        <v>290</v>
      </c>
      <c r="F857" s="2" t="s">
        <v>4368</v>
      </c>
      <c r="G857" s="2" t="s">
        <v>4368</v>
      </c>
      <c r="H857" s="2" t="s">
        <v>4368</v>
      </c>
      <c r="I857" s="2" t="s">
        <v>4369</v>
      </c>
      <c r="J857" s="2" t="s">
        <v>318</v>
      </c>
      <c r="K857" s="2" t="s">
        <v>4447</v>
      </c>
      <c r="L857" s="3">
        <v>14.89</v>
      </c>
      <c r="M857" s="3">
        <v>15.63</v>
      </c>
      <c r="N857" s="3">
        <v>31.99</v>
      </c>
      <c r="O857" s="2" t="s">
        <v>243</v>
      </c>
      <c r="P857" s="2" t="s">
        <v>270</v>
      </c>
      <c r="Q857" s="2" t="s">
        <v>237</v>
      </c>
      <c r="R857" s="2" t="s">
        <v>231</v>
      </c>
      <c r="S857" s="2" t="s">
        <v>4448</v>
      </c>
      <c r="T857" s="2" t="s">
        <v>4134</v>
      </c>
      <c r="U857" s="2" t="s">
        <v>835</v>
      </c>
      <c r="V857" s="2" t="s">
        <v>4046</v>
      </c>
      <c r="W857" s="2" t="s">
        <v>273</v>
      </c>
      <c r="X857" s="2" t="s">
        <v>897</v>
      </c>
      <c r="Y857" s="2" t="s">
        <v>4372</v>
      </c>
      <c r="Z857" s="4"/>
      <c r="AA857" s="4">
        <f>=ROUNDDOWN({0},0)</f>
      </c>
      <c r="AB857" s="5">
        <v>47</v>
      </c>
      <c r="AC857" s="2" t="s">
        <v>4449</v>
      </c>
      <c r="AD857" s="4">
        <v>428</v>
      </c>
      <c r="AE857" s="4">
        <v>1720</v>
      </c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231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231</v>
      </c>
      <c r="AW857" s="8" t="s">
        <v>231</v>
      </c>
      <c r="AX857" s="4" t="s">
        <v>231</v>
      </c>
      <c r="AY857" s="8" t="s">
        <v>231</v>
      </c>
      <c r="AZ857" s="7" t="s">
        <v>231</v>
      </c>
      <c r="BA857" s="7" t="s">
        <v>231</v>
      </c>
      <c r="BB857" s="7"/>
      <c r="BC857" s="4" t="s">
        <v>231</v>
      </c>
      <c r="BD857" s="8" t="s">
        <v>231</v>
      </c>
      <c r="BE857" s="4" t="s">
        <v>231</v>
      </c>
      <c r="BF857" s="8" t="s">
        <v>231</v>
      </c>
      <c r="BG857" s="7" t="s">
        <v>231</v>
      </c>
      <c r="BH857" s="7" t="s">
        <v>231</v>
      </c>
      <c r="BI857" s="7"/>
      <c r="BJ857" s="4"/>
      <c r="BK857" s="8"/>
      <c r="BL857" s="2" t="s">
        <v>231</v>
      </c>
      <c r="BM857" s="7"/>
      <c r="BN857" s="7"/>
      <c r="BO857" s="4"/>
      <c r="BP857" s="8"/>
      <c r="BQ857" s="4"/>
      <c r="BR857" s="8"/>
      <c r="BS857" s="7"/>
      <c r="BT857" s="7"/>
      <c r="BU857" s="2" t="s">
        <v>4450</v>
      </c>
      <c r="BV857" s="2" t="s">
        <v>231</v>
      </c>
      <c r="BW857" s="2" t="s">
        <v>231</v>
      </c>
      <c r="BX857" s="2" t="s">
        <v>231</v>
      </c>
      <c r="BY857" s="2" t="s">
        <v>277</v>
      </c>
      <c r="BZ857" s="2" t="s">
        <v>243</v>
      </c>
      <c r="CA857" s="2" t="s">
        <v>2430</v>
      </c>
      <c r="CB857" s="2" t="s">
        <v>4384</v>
      </c>
      <c r="CC857" s="2" t="s">
        <v>244</v>
      </c>
      <c r="CD857" s="2" t="s">
        <v>231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>
        <v>428</v>
      </c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>
        <v>901</v>
      </c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>
        <v>391</v>
      </c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</row>
    <row r="858">
      <c r="A858" s="2" t="s">
        <v>4451</v>
      </c>
      <c r="B858" s="2" t="s">
        <v>287</v>
      </c>
      <c r="C858" s="2" t="s">
        <v>965</v>
      </c>
      <c r="D858" s="2" t="s">
        <v>289</v>
      </c>
      <c r="E858" s="2" t="s">
        <v>290</v>
      </c>
      <c r="F858" s="2" t="s">
        <v>4368</v>
      </c>
      <c r="G858" s="2" t="s">
        <v>4368</v>
      </c>
      <c r="H858" s="2" t="s">
        <v>4368</v>
      </c>
      <c r="I858" s="2" t="s">
        <v>4369</v>
      </c>
      <c r="J858" s="2" t="s">
        <v>281</v>
      </c>
      <c r="K858" s="2" t="s">
        <v>4447</v>
      </c>
      <c r="L858" s="3">
        <v>19.57</v>
      </c>
      <c r="M858" s="3">
        <v>20.55</v>
      </c>
      <c r="N858" s="3">
        <v>42.99</v>
      </c>
      <c r="O858" s="2" t="s">
        <v>243</v>
      </c>
      <c r="P858" s="2" t="s">
        <v>270</v>
      </c>
      <c r="Q858" s="2" t="s">
        <v>237</v>
      </c>
      <c r="R858" s="2" t="s">
        <v>231</v>
      </c>
      <c r="S858" s="2" t="s">
        <v>4448</v>
      </c>
      <c r="T858" s="2" t="s">
        <v>4134</v>
      </c>
      <c r="U858" s="2" t="s">
        <v>298</v>
      </c>
      <c r="V858" s="2" t="s">
        <v>4046</v>
      </c>
      <c r="W858" s="2" t="s">
        <v>273</v>
      </c>
      <c r="X858" s="2" t="s">
        <v>897</v>
      </c>
      <c r="Y858" s="2" t="s">
        <v>4372</v>
      </c>
      <c r="Z858" s="4"/>
      <c r="AA858" s="4">
        <f>=ROUNDDOWN({0},0)</f>
      </c>
      <c r="AB858" s="5">
        <v>37</v>
      </c>
      <c r="AC858" s="2" t="s">
        <v>4449</v>
      </c>
      <c r="AD858" s="4">
        <v>343</v>
      </c>
      <c r="AE858" s="4">
        <v>1365</v>
      </c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231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231</v>
      </c>
      <c r="AW858" s="8" t="s">
        <v>231</v>
      </c>
      <c r="AX858" s="4" t="s">
        <v>231</v>
      </c>
      <c r="AY858" s="8" t="s">
        <v>231</v>
      </c>
      <c r="AZ858" s="7" t="s">
        <v>231</v>
      </c>
      <c r="BA858" s="7" t="s">
        <v>231</v>
      </c>
      <c r="BB858" s="7"/>
      <c r="BC858" s="4" t="s">
        <v>231</v>
      </c>
      <c r="BD858" s="8" t="s">
        <v>231</v>
      </c>
      <c r="BE858" s="4" t="s">
        <v>231</v>
      </c>
      <c r="BF858" s="8" t="s">
        <v>231</v>
      </c>
      <c r="BG858" s="7" t="s">
        <v>231</v>
      </c>
      <c r="BH858" s="7" t="s">
        <v>231</v>
      </c>
      <c r="BI858" s="7"/>
      <c r="BJ858" s="4"/>
      <c r="BK858" s="8"/>
      <c r="BL858" s="2" t="s">
        <v>231</v>
      </c>
      <c r="BM858" s="7"/>
      <c r="BN858" s="7"/>
      <c r="BO858" s="4"/>
      <c r="BP858" s="8"/>
      <c r="BQ858" s="4"/>
      <c r="BR858" s="8"/>
      <c r="BS858" s="7"/>
      <c r="BT858" s="7"/>
      <c r="BU858" s="2" t="s">
        <v>4452</v>
      </c>
      <c r="BV858" s="2" t="s">
        <v>231</v>
      </c>
      <c r="BW858" s="2" t="s">
        <v>231</v>
      </c>
      <c r="BX858" s="2" t="s">
        <v>231</v>
      </c>
      <c r="BY858" s="2" t="s">
        <v>277</v>
      </c>
      <c r="BZ858" s="2" t="s">
        <v>243</v>
      </c>
      <c r="CA858" s="2" t="s">
        <v>4374</v>
      </c>
      <c r="CB858" s="2" t="s">
        <v>1346</v>
      </c>
      <c r="CC858" s="2" t="s">
        <v>244</v>
      </c>
      <c r="CD858" s="2" t="s">
        <v>231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>
        <v>343</v>
      </c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>
        <v>702</v>
      </c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>
        <v>320</v>
      </c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</row>
    <row r="859">
      <c r="A859" s="2" t="s">
        <v>4453</v>
      </c>
      <c r="B859" s="2" t="s">
        <v>287</v>
      </c>
      <c r="C859" s="2" t="s">
        <v>965</v>
      </c>
      <c r="D859" s="2" t="s">
        <v>289</v>
      </c>
      <c r="E859" s="2" t="s">
        <v>290</v>
      </c>
      <c r="F859" s="2" t="s">
        <v>4368</v>
      </c>
      <c r="G859" s="2" t="s">
        <v>4368</v>
      </c>
      <c r="H859" s="2" t="s">
        <v>4368</v>
      </c>
      <c r="I859" s="2" t="s">
        <v>4369</v>
      </c>
      <c r="J859" s="2" t="s">
        <v>293</v>
      </c>
      <c r="K859" s="2" t="s">
        <v>4447</v>
      </c>
      <c r="L859" s="3">
        <v>22.21</v>
      </c>
      <c r="M859" s="3">
        <v>23.32</v>
      </c>
      <c r="N859" s="3">
        <v>47.99</v>
      </c>
      <c r="O859" s="2" t="s">
        <v>243</v>
      </c>
      <c r="P859" s="2" t="s">
        <v>871</v>
      </c>
      <c r="Q859" s="2" t="s">
        <v>237</v>
      </c>
      <c r="R859" s="2" t="s">
        <v>231</v>
      </c>
      <c r="S859" s="2" t="s">
        <v>4448</v>
      </c>
      <c r="T859" s="2" t="s">
        <v>4134</v>
      </c>
      <c r="U859" s="2" t="s">
        <v>298</v>
      </c>
      <c r="V859" s="2" t="s">
        <v>4046</v>
      </c>
      <c r="W859" s="2" t="s">
        <v>273</v>
      </c>
      <c r="X859" s="2" t="s">
        <v>897</v>
      </c>
      <c r="Y859" s="2" t="s">
        <v>4372</v>
      </c>
      <c r="Z859" s="4">
        <v>1</v>
      </c>
      <c r="AA859" s="4">
        <f>=ROUNDDOWN(0.0175438596491228,0)</f>
      </c>
      <c r="AB859" s="5">
        <v>57</v>
      </c>
      <c r="AC859" s="2" t="s">
        <v>4449</v>
      </c>
      <c r="AD859" s="4">
        <v>479</v>
      </c>
      <c r="AE859" s="4">
        <v>2103</v>
      </c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231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231</v>
      </c>
      <c r="AW859" s="8" t="s">
        <v>231</v>
      </c>
      <c r="AX859" s="4" t="s">
        <v>231</v>
      </c>
      <c r="AY859" s="8" t="s">
        <v>231</v>
      </c>
      <c r="AZ859" s="7" t="s">
        <v>231</v>
      </c>
      <c r="BA859" s="7" t="s">
        <v>231</v>
      </c>
      <c r="BB859" s="7"/>
      <c r="BC859" s="4" t="s">
        <v>231</v>
      </c>
      <c r="BD859" s="8" t="s">
        <v>231</v>
      </c>
      <c r="BE859" s="4" t="s">
        <v>231</v>
      </c>
      <c r="BF859" s="8" t="s">
        <v>231</v>
      </c>
      <c r="BG859" s="7" t="s">
        <v>231</v>
      </c>
      <c r="BH859" s="7" t="s">
        <v>231</v>
      </c>
      <c r="BI859" s="7"/>
      <c r="BJ859" s="4"/>
      <c r="BK859" s="8"/>
      <c r="BL859" s="2" t="s">
        <v>231</v>
      </c>
      <c r="BM859" s="7"/>
      <c r="BN859" s="7"/>
      <c r="BO859" s="4"/>
      <c r="BP859" s="8"/>
      <c r="BQ859" s="4"/>
      <c r="BR859" s="8"/>
      <c r="BS859" s="7"/>
      <c r="BT859" s="7"/>
      <c r="BU859" s="2" t="s">
        <v>4454</v>
      </c>
      <c r="BV859" s="2" t="s">
        <v>231</v>
      </c>
      <c r="BW859" s="2" t="s">
        <v>231</v>
      </c>
      <c r="BX859" s="2" t="s">
        <v>231</v>
      </c>
      <c r="BY859" s="2" t="s">
        <v>277</v>
      </c>
      <c r="BZ859" s="2" t="s">
        <v>243</v>
      </c>
      <c r="CA859" s="2" t="s">
        <v>331</v>
      </c>
      <c r="CB859" s="2" t="s">
        <v>4455</v>
      </c>
      <c r="CC859" s="2" t="s">
        <v>244</v>
      </c>
      <c r="CD859" s="2" t="s">
        <v>231</v>
      </c>
      <c r="CE859" s="4">
        <v>1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>
        <v>479</v>
      </c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>
        <v>1161</v>
      </c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>
        <v>463</v>
      </c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</row>
    <row r="860">
      <c r="A860" s="2" t="s">
        <v>4456</v>
      </c>
      <c r="B860" s="2" t="s">
        <v>287</v>
      </c>
      <c r="C860" s="2" t="s">
        <v>965</v>
      </c>
      <c r="D860" s="2" t="s">
        <v>289</v>
      </c>
      <c r="E860" s="2" t="s">
        <v>290</v>
      </c>
      <c r="F860" s="2" t="s">
        <v>4368</v>
      </c>
      <c r="G860" s="2" t="s">
        <v>4368</v>
      </c>
      <c r="H860" s="2" t="s">
        <v>4368</v>
      </c>
      <c r="I860" s="2" t="s">
        <v>4369</v>
      </c>
      <c r="J860" s="2" t="s">
        <v>302</v>
      </c>
      <c r="K860" s="2" t="s">
        <v>4447</v>
      </c>
      <c r="L860" s="3">
        <v>27.39</v>
      </c>
      <c r="M860" s="3">
        <v>28.76</v>
      </c>
      <c r="N860" s="3">
        <v>62.99</v>
      </c>
      <c r="O860" s="2" t="s">
        <v>243</v>
      </c>
      <c r="P860" s="2" t="s">
        <v>270</v>
      </c>
      <c r="Q860" s="2" t="s">
        <v>237</v>
      </c>
      <c r="R860" s="2" t="s">
        <v>231</v>
      </c>
      <c r="S860" s="2" t="s">
        <v>4448</v>
      </c>
      <c r="T860" s="2" t="s">
        <v>4134</v>
      </c>
      <c r="U860" s="2" t="s">
        <v>298</v>
      </c>
      <c r="V860" s="2" t="s">
        <v>4046</v>
      </c>
      <c r="W860" s="2" t="s">
        <v>273</v>
      </c>
      <c r="X860" s="2" t="s">
        <v>897</v>
      </c>
      <c r="Y860" s="2" t="s">
        <v>4372</v>
      </c>
      <c r="Z860" s="4"/>
      <c r="AA860" s="4">
        <f>=ROUNDDOWN({0},0)</f>
      </c>
      <c r="AB860" s="5">
        <v>18</v>
      </c>
      <c r="AC860" s="2" t="s">
        <v>4449</v>
      </c>
      <c r="AD860" s="4">
        <v>164</v>
      </c>
      <c r="AE860" s="4">
        <v>659</v>
      </c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231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231</v>
      </c>
      <c r="AW860" s="8" t="s">
        <v>231</v>
      </c>
      <c r="AX860" s="4" t="s">
        <v>231</v>
      </c>
      <c r="AY860" s="8" t="s">
        <v>231</v>
      </c>
      <c r="AZ860" s="7" t="s">
        <v>231</v>
      </c>
      <c r="BA860" s="7" t="s">
        <v>231</v>
      </c>
      <c r="BB860" s="7"/>
      <c r="BC860" s="4" t="s">
        <v>231</v>
      </c>
      <c r="BD860" s="8" t="s">
        <v>231</v>
      </c>
      <c r="BE860" s="4" t="s">
        <v>231</v>
      </c>
      <c r="BF860" s="8" t="s">
        <v>231</v>
      </c>
      <c r="BG860" s="7" t="s">
        <v>231</v>
      </c>
      <c r="BH860" s="7" t="s">
        <v>231</v>
      </c>
      <c r="BI860" s="7"/>
      <c r="BJ860" s="4"/>
      <c r="BK860" s="8"/>
      <c r="BL860" s="2" t="s">
        <v>4457</v>
      </c>
      <c r="BM860" s="7"/>
      <c r="BN860" s="7"/>
      <c r="BO860" s="4"/>
      <c r="BP860" s="8"/>
      <c r="BQ860" s="4"/>
      <c r="BR860" s="8"/>
      <c r="BS860" s="7"/>
      <c r="BT860" s="7"/>
      <c r="BU860" s="2" t="s">
        <v>4458</v>
      </c>
      <c r="BV860" s="2" t="s">
        <v>231</v>
      </c>
      <c r="BW860" s="2" t="s">
        <v>231</v>
      </c>
      <c r="BX860" s="2" t="s">
        <v>231</v>
      </c>
      <c r="BY860" s="2" t="s">
        <v>277</v>
      </c>
      <c r="BZ860" s="2" t="s">
        <v>243</v>
      </c>
      <c r="CA860" s="2" t="s">
        <v>331</v>
      </c>
      <c r="CB860" s="2" t="s">
        <v>4375</v>
      </c>
      <c r="CC860" s="2" t="s">
        <v>244</v>
      </c>
      <c r="CD860" s="2" t="s">
        <v>231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>
        <v>164</v>
      </c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>
        <v>340</v>
      </c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>
        <v>155</v>
      </c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</row>
    <row r="861">
      <c r="A861" s="2" t="s">
        <v>4459</v>
      </c>
      <c r="B861" s="2" t="s">
        <v>287</v>
      </c>
      <c r="C861" s="2" t="s">
        <v>965</v>
      </c>
      <c r="D861" s="2" t="s">
        <v>289</v>
      </c>
      <c r="E861" s="2" t="s">
        <v>290</v>
      </c>
      <c r="F861" s="2" t="s">
        <v>4368</v>
      </c>
      <c r="G861" s="2" t="s">
        <v>4368</v>
      </c>
      <c r="H861" s="2" t="s">
        <v>4368</v>
      </c>
      <c r="I861" s="2" t="s">
        <v>4369</v>
      </c>
      <c r="J861" s="2" t="s">
        <v>318</v>
      </c>
      <c r="K861" s="2" t="s">
        <v>1558</v>
      </c>
      <c r="L861" s="3">
        <v>14.89</v>
      </c>
      <c r="M861" s="3">
        <v>15.63</v>
      </c>
      <c r="N861" s="3">
        <v>31.99</v>
      </c>
      <c r="O861" s="2" t="s">
        <v>243</v>
      </c>
      <c r="P861" s="2" t="s">
        <v>270</v>
      </c>
      <c r="Q861" s="2" t="s">
        <v>237</v>
      </c>
      <c r="R861" s="2" t="s">
        <v>231</v>
      </c>
      <c r="S861" s="2" t="s">
        <v>4460</v>
      </c>
      <c r="T861" s="2" t="s">
        <v>4134</v>
      </c>
      <c r="U861" s="2" t="s">
        <v>231</v>
      </c>
      <c r="V861" s="2" t="s">
        <v>987</v>
      </c>
      <c r="W861" s="2" t="s">
        <v>273</v>
      </c>
      <c r="X861" s="2" t="s">
        <v>231</v>
      </c>
      <c r="Y861" s="2" t="s">
        <v>4170</v>
      </c>
      <c r="Z861" s="4">
        <v>2</v>
      </c>
      <c r="AA861" s="4">
        <f>=ROUNDDOWN(0.0588235294117647,0)</f>
      </c>
      <c r="AB861" s="5">
        <v>34</v>
      </c>
      <c r="AC861" s="2" t="s">
        <v>4135</v>
      </c>
      <c r="AD861" s="4">
        <v>305</v>
      </c>
      <c r="AE861" s="4">
        <v>1216</v>
      </c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231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231</v>
      </c>
      <c r="AW861" s="8" t="s">
        <v>231</v>
      </c>
      <c r="AX861" s="4" t="s">
        <v>231</v>
      </c>
      <c r="AY861" s="8" t="s">
        <v>231</v>
      </c>
      <c r="AZ861" s="7" t="s">
        <v>231</v>
      </c>
      <c r="BA861" s="7" t="s">
        <v>231</v>
      </c>
      <c r="BB861" s="7"/>
      <c r="BC861" s="4" t="s">
        <v>231</v>
      </c>
      <c r="BD861" s="8" t="s">
        <v>231</v>
      </c>
      <c r="BE861" s="4" t="s">
        <v>231</v>
      </c>
      <c r="BF861" s="8" t="s">
        <v>231</v>
      </c>
      <c r="BG861" s="7" t="s">
        <v>231</v>
      </c>
      <c r="BH861" s="7" t="s">
        <v>231</v>
      </c>
      <c r="BI861" s="7"/>
      <c r="BJ861" s="4"/>
      <c r="BK861" s="8"/>
      <c r="BL861" s="2" t="s">
        <v>4461</v>
      </c>
      <c r="BM861" s="7"/>
      <c r="BN861" s="7"/>
      <c r="BO861" s="4"/>
      <c r="BP861" s="8"/>
      <c r="BQ861" s="4"/>
      <c r="BR861" s="8"/>
      <c r="BS861" s="7"/>
      <c r="BT861" s="7"/>
      <c r="BU861" s="2" t="s">
        <v>4462</v>
      </c>
      <c r="BV861" s="2" t="s">
        <v>231</v>
      </c>
      <c r="BW861" s="2" t="s">
        <v>231</v>
      </c>
      <c r="BX861" s="2" t="s">
        <v>231</v>
      </c>
      <c r="BY861" s="2" t="s">
        <v>277</v>
      </c>
      <c r="BZ861" s="2" t="s">
        <v>243</v>
      </c>
      <c r="CA861" s="2" t="s">
        <v>4389</v>
      </c>
      <c r="CB861" s="2" t="s">
        <v>4394</v>
      </c>
      <c r="CC861" s="2" t="s">
        <v>244</v>
      </c>
      <c r="CD861" s="2" t="s">
        <v>231</v>
      </c>
      <c r="CE861" s="4">
        <v>2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>
        <v>305</v>
      </c>
      <c r="DR861" s="4"/>
      <c r="DS861" s="4"/>
      <c r="DT861" s="4"/>
      <c r="DU861" s="4">
        <v>12</v>
      </c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>
        <v>596</v>
      </c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>
        <v>303</v>
      </c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</row>
    <row r="862">
      <c r="A862" s="2" t="s">
        <v>4463</v>
      </c>
      <c r="B862" s="2" t="s">
        <v>287</v>
      </c>
      <c r="C862" s="2" t="s">
        <v>965</v>
      </c>
      <c r="D862" s="2" t="s">
        <v>289</v>
      </c>
      <c r="E862" s="2" t="s">
        <v>290</v>
      </c>
      <c r="F862" s="2" t="s">
        <v>4368</v>
      </c>
      <c r="G862" s="2" t="s">
        <v>4368</v>
      </c>
      <c r="H862" s="2" t="s">
        <v>4368</v>
      </c>
      <c r="I862" s="2" t="s">
        <v>4369</v>
      </c>
      <c r="J862" s="2" t="s">
        <v>268</v>
      </c>
      <c r="K862" s="2" t="s">
        <v>1558</v>
      </c>
      <c r="L862" s="3">
        <v>16.16</v>
      </c>
      <c r="M862" s="3">
        <v>16.97</v>
      </c>
      <c r="N862" s="3">
        <v>34.99</v>
      </c>
      <c r="O862" s="2" t="s">
        <v>243</v>
      </c>
      <c r="P862" s="2" t="s">
        <v>270</v>
      </c>
      <c r="Q862" s="2" t="s">
        <v>237</v>
      </c>
      <c r="R862" s="2" t="s">
        <v>231</v>
      </c>
      <c r="S862" s="2" t="s">
        <v>4460</v>
      </c>
      <c r="T862" s="2" t="s">
        <v>4134</v>
      </c>
      <c r="U862" s="2" t="s">
        <v>231</v>
      </c>
      <c r="V862" s="2" t="s">
        <v>987</v>
      </c>
      <c r="W862" s="2" t="s">
        <v>273</v>
      </c>
      <c r="X862" s="2" t="s">
        <v>231</v>
      </c>
      <c r="Y862" s="2" t="s">
        <v>4170</v>
      </c>
      <c r="Z862" s="4"/>
      <c r="AA862" s="4">
        <f>=ROUNDDOWN({0},0)</f>
      </c>
      <c r="AB862" s="5">
        <v>32</v>
      </c>
      <c r="AC862" s="2" t="s">
        <v>4135</v>
      </c>
      <c r="AD862" s="4">
        <v>217</v>
      </c>
      <c r="AE862" s="4">
        <v>1069</v>
      </c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231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231</v>
      </c>
      <c r="AW862" s="8" t="s">
        <v>231</v>
      </c>
      <c r="AX862" s="4" t="s">
        <v>231</v>
      </c>
      <c r="AY862" s="8" t="s">
        <v>231</v>
      </c>
      <c r="AZ862" s="7" t="s">
        <v>231</v>
      </c>
      <c r="BA862" s="7" t="s">
        <v>231</v>
      </c>
      <c r="BB862" s="7"/>
      <c r="BC862" s="4" t="s">
        <v>231</v>
      </c>
      <c r="BD862" s="8" t="s">
        <v>231</v>
      </c>
      <c r="BE862" s="4" t="s">
        <v>231</v>
      </c>
      <c r="BF862" s="8" t="s">
        <v>231</v>
      </c>
      <c r="BG862" s="7" t="s">
        <v>231</v>
      </c>
      <c r="BH862" s="7" t="s">
        <v>231</v>
      </c>
      <c r="BI862" s="7"/>
      <c r="BJ862" s="4"/>
      <c r="BK862" s="8"/>
      <c r="BL862" s="2" t="s">
        <v>231</v>
      </c>
      <c r="BM862" s="7"/>
      <c r="BN862" s="7"/>
      <c r="BO862" s="4"/>
      <c r="BP862" s="8"/>
      <c r="BQ862" s="4"/>
      <c r="BR862" s="8"/>
      <c r="BS862" s="7"/>
      <c r="BT862" s="7"/>
      <c r="BU862" s="2" t="s">
        <v>4464</v>
      </c>
      <c r="BV862" s="2" t="s">
        <v>231</v>
      </c>
      <c r="BW862" s="2" t="s">
        <v>231</v>
      </c>
      <c r="BX862" s="2" t="s">
        <v>231</v>
      </c>
      <c r="BY862" s="2" t="s">
        <v>277</v>
      </c>
      <c r="BZ862" s="2" t="s">
        <v>243</v>
      </c>
      <c r="CA862" s="2" t="s">
        <v>4389</v>
      </c>
      <c r="CB862" s="2" t="s">
        <v>1346</v>
      </c>
      <c r="CC862" s="2" t="s">
        <v>244</v>
      </c>
      <c r="CD862" s="2" t="s">
        <v>231</v>
      </c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>
        <v>217</v>
      </c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>
        <v>569</v>
      </c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>
        <v>283</v>
      </c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</row>
    <row r="863">
      <c r="A863" s="2" t="s">
        <v>4465</v>
      </c>
      <c r="B863" s="2" t="s">
        <v>287</v>
      </c>
      <c r="C863" s="2" t="s">
        <v>965</v>
      </c>
      <c r="D863" s="2" t="s">
        <v>289</v>
      </c>
      <c r="E863" s="2" t="s">
        <v>290</v>
      </c>
      <c r="F863" s="2" t="s">
        <v>4368</v>
      </c>
      <c r="G863" s="2" t="s">
        <v>4368</v>
      </c>
      <c r="H863" s="2" t="s">
        <v>4368</v>
      </c>
      <c r="I863" s="2" t="s">
        <v>4369</v>
      </c>
      <c r="J863" s="2" t="s">
        <v>281</v>
      </c>
      <c r="K863" s="2" t="s">
        <v>1558</v>
      </c>
      <c r="L863" s="3">
        <v>19.57</v>
      </c>
      <c r="M863" s="3">
        <v>20.55</v>
      </c>
      <c r="N863" s="3">
        <v>42.99</v>
      </c>
      <c r="O863" s="2" t="s">
        <v>243</v>
      </c>
      <c r="P863" s="2" t="s">
        <v>270</v>
      </c>
      <c r="Q863" s="2" t="s">
        <v>237</v>
      </c>
      <c r="R863" s="2" t="s">
        <v>231</v>
      </c>
      <c r="S863" s="2" t="s">
        <v>4460</v>
      </c>
      <c r="T863" s="2" t="s">
        <v>4134</v>
      </c>
      <c r="U863" s="2" t="s">
        <v>231</v>
      </c>
      <c r="V863" s="2" t="s">
        <v>987</v>
      </c>
      <c r="W863" s="2" t="s">
        <v>273</v>
      </c>
      <c r="X863" s="2" t="s">
        <v>231</v>
      </c>
      <c r="Y863" s="2" t="s">
        <v>4170</v>
      </c>
      <c r="Z863" s="4"/>
      <c r="AA863" s="4">
        <f>=ROUNDDOWN({0},0)</f>
      </c>
      <c r="AB863" s="5">
        <v>20</v>
      </c>
      <c r="AC863" s="2" t="s">
        <v>4135</v>
      </c>
      <c r="AD863" s="4">
        <v>190</v>
      </c>
      <c r="AE863" s="4">
        <v>744</v>
      </c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231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231</v>
      </c>
      <c r="AW863" s="8" t="s">
        <v>231</v>
      </c>
      <c r="AX863" s="4" t="s">
        <v>231</v>
      </c>
      <c r="AY863" s="8" t="s">
        <v>231</v>
      </c>
      <c r="AZ863" s="7" t="s">
        <v>231</v>
      </c>
      <c r="BA863" s="7" t="s">
        <v>231</v>
      </c>
      <c r="BB863" s="7"/>
      <c r="BC863" s="4" t="s">
        <v>231</v>
      </c>
      <c r="BD863" s="8" t="s">
        <v>231</v>
      </c>
      <c r="BE863" s="4" t="s">
        <v>231</v>
      </c>
      <c r="BF863" s="8" t="s">
        <v>231</v>
      </c>
      <c r="BG863" s="7" t="s">
        <v>231</v>
      </c>
      <c r="BH863" s="7" t="s">
        <v>231</v>
      </c>
      <c r="BI863" s="7"/>
      <c r="BJ863" s="4"/>
      <c r="BK863" s="8"/>
      <c r="BL863" s="2" t="s">
        <v>4335</v>
      </c>
      <c r="BM863" s="7"/>
      <c r="BN863" s="7"/>
      <c r="BO863" s="4"/>
      <c r="BP863" s="8"/>
      <c r="BQ863" s="4"/>
      <c r="BR863" s="8"/>
      <c r="BS863" s="7"/>
      <c r="BT863" s="7"/>
      <c r="BU863" s="2" t="s">
        <v>4466</v>
      </c>
      <c r="BV863" s="2" t="s">
        <v>231</v>
      </c>
      <c r="BW863" s="2" t="s">
        <v>231</v>
      </c>
      <c r="BX863" s="2" t="s">
        <v>231</v>
      </c>
      <c r="BY863" s="2" t="s">
        <v>277</v>
      </c>
      <c r="BZ863" s="2" t="s">
        <v>243</v>
      </c>
      <c r="CA863" s="2" t="s">
        <v>4389</v>
      </c>
      <c r="CB863" s="2" t="s">
        <v>4324</v>
      </c>
      <c r="CC863" s="2" t="s">
        <v>244</v>
      </c>
      <c r="CD863" s="2" t="s">
        <v>231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>
        <v>190</v>
      </c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>
        <v>372</v>
      </c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>
        <v>182</v>
      </c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</row>
    <row r="864">
      <c r="A864" s="2" t="s">
        <v>4467</v>
      </c>
      <c r="B864" s="2" t="s">
        <v>287</v>
      </c>
      <c r="C864" s="2" t="s">
        <v>965</v>
      </c>
      <c r="D864" s="2" t="s">
        <v>289</v>
      </c>
      <c r="E864" s="2" t="s">
        <v>290</v>
      </c>
      <c r="F864" s="2" t="s">
        <v>4368</v>
      </c>
      <c r="G864" s="2" t="s">
        <v>4368</v>
      </c>
      <c r="H864" s="2" t="s">
        <v>4368</v>
      </c>
      <c r="I864" s="2" t="s">
        <v>4369</v>
      </c>
      <c r="J864" s="2" t="s">
        <v>318</v>
      </c>
      <c r="K864" s="2" t="s">
        <v>4168</v>
      </c>
      <c r="L864" s="3">
        <v>14.89</v>
      </c>
      <c r="M864" s="3">
        <v>15.63</v>
      </c>
      <c r="N864" s="3">
        <v>31.99</v>
      </c>
      <c r="O864" s="2" t="s">
        <v>243</v>
      </c>
      <c r="P864" s="2" t="s">
        <v>1332</v>
      </c>
      <c r="Q864" s="2" t="s">
        <v>237</v>
      </c>
      <c r="R864" s="2" t="s">
        <v>231</v>
      </c>
      <c r="S864" s="2" t="s">
        <v>4468</v>
      </c>
      <c r="T864" s="2" t="s">
        <v>4134</v>
      </c>
      <c r="U864" s="2" t="s">
        <v>231</v>
      </c>
      <c r="V864" s="2" t="s">
        <v>1304</v>
      </c>
      <c r="W864" s="2" t="s">
        <v>273</v>
      </c>
      <c r="X864" s="2" t="s">
        <v>231</v>
      </c>
      <c r="Y864" s="2" t="s">
        <v>4469</v>
      </c>
      <c r="Z864" s="4"/>
      <c r="AA864" s="4">
        <f>=ROUNDDOWN({0},0)</f>
      </c>
      <c r="AB864" s="5">
        <v>58</v>
      </c>
      <c r="AC864" s="2" t="s">
        <v>876</v>
      </c>
      <c r="AD864" s="4">
        <v>574</v>
      </c>
      <c r="AE864" s="4">
        <v>2161</v>
      </c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231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231</v>
      </c>
      <c r="AW864" s="8" t="s">
        <v>231</v>
      </c>
      <c r="AX864" s="4" t="s">
        <v>231</v>
      </c>
      <c r="AY864" s="8" t="s">
        <v>231</v>
      </c>
      <c r="AZ864" s="7" t="s">
        <v>231</v>
      </c>
      <c r="BA864" s="7" t="s">
        <v>231</v>
      </c>
      <c r="BB864" s="7"/>
      <c r="BC864" s="4" t="s">
        <v>231</v>
      </c>
      <c r="BD864" s="8" t="s">
        <v>231</v>
      </c>
      <c r="BE864" s="4" t="s">
        <v>231</v>
      </c>
      <c r="BF864" s="8" t="s">
        <v>231</v>
      </c>
      <c r="BG864" s="7" t="s">
        <v>231</v>
      </c>
      <c r="BH864" s="7" t="s">
        <v>231</v>
      </c>
      <c r="BI864" s="7"/>
      <c r="BJ864" s="4"/>
      <c r="BK864" s="8"/>
      <c r="BL864" s="2" t="s">
        <v>231</v>
      </c>
      <c r="BM864" s="7"/>
      <c r="BN864" s="7"/>
      <c r="BO864" s="4"/>
      <c r="BP864" s="8"/>
      <c r="BQ864" s="4"/>
      <c r="BR864" s="8"/>
      <c r="BS864" s="7"/>
      <c r="BT864" s="7"/>
      <c r="BU864" s="2" t="s">
        <v>4470</v>
      </c>
      <c r="BV864" s="2" t="s">
        <v>231</v>
      </c>
      <c r="BW864" s="2" t="s">
        <v>231</v>
      </c>
      <c r="BX864" s="2" t="s">
        <v>231</v>
      </c>
      <c r="BY864" s="2" t="s">
        <v>277</v>
      </c>
      <c r="BZ864" s="2" t="s">
        <v>243</v>
      </c>
      <c r="CA864" s="2" t="s">
        <v>4200</v>
      </c>
      <c r="CB864" s="2" t="s">
        <v>418</v>
      </c>
      <c r="CC864" s="2" t="s">
        <v>244</v>
      </c>
      <c r="CD864" s="2" t="s">
        <v>231</v>
      </c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>
        <v>574</v>
      </c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>
        <v>1093</v>
      </c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>
        <v>494</v>
      </c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</row>
    <row r="865">
      <c r="A865" s="2" t="s">
        <v>4471</v>
      </c>
      <c r="B865" s="2" t="s">
        <v>287</v>
      </c>
      <c r="C865" s="2" t="s">
        <v>965</v>
      </c>
      <c r="D865" s="2" t="s">
        <v>289</v>
      </c>
      <c r="E865" s="2" t="s">
        <v>290</v>
      </c>
      <c r="F865" s="2" t="s">
        <v>4368</v>
      </c>
      <c r="G865" s="2" t="s">
        <v>4368</v>
      </c>
      <c r="H865" s="2" t="s">
        <v>4368</v>
      </c>
      <c r="I865" s="2" t="s">
        <v>4369</v>
      </c>
      <c r="J865" s="2" t="s">
        <v>268</v>
      </c>
      <c r="K865" s="2" t="s">
        <v>4168</v>
      </c>
      <c r="L865" s="3">
        <v>16.16</v>
      </c>
      <c r="M865" s="3">
        <v>16.97</v>
      </c>
      <c r="N865" s="3">
        <v>34.99</v>
      </c>
      <c r="O865" s="2" t="s">
        <v>243</v>
      </c>
      <c r="P865" s="2" t="s">
        <v>1281</v>
      </c>
      <c r="Q865" s="2" t="s">
        <v>237</v>
      </c>
      <c r="R865" s="2" t="s">
        <v>231</v>
      </c>
      <c r="S865" s="2" t="s">
        <v>4468</v>
      </c>
      <c r="T865" s="2" t="s">
        <v>4134</v>
      </c>
      <c r="U865" s="2" t="s">
        <v>835</v>
      </c>
      <c r="V865" s="2" t="s">
        <v>1304</v>
      </c>
      <c r="W865" s="2" t="s">
        <v>273</v>
      </c>
      <c r="X865" s="2" t="s">
        <v>231</v>
      </c>
      <c r="Y865" s="2" t="s">
        <v>4472</v>
      </c>
      <c r="Z865" s="4">
        <v>3</v>
      </c>
      <c r="AA865" s="4">
        <f>=ROUNDDOWN(0.0461538461538462,0)</f>
      </c>
      <c r="AB865" s="5">
        <v>65</v>
      </c>
      <c r="AC865" s="2" t="s">
        <v>876</v>
      </c>
      <c r="AD865" s="4">
        <v>573</v>
      </c>
      <c r="AE865" s="4">
        <v>2281</v>
      </c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231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231</v>
      </c>
      <c r="AW865" s="8" t="s">
        <v>231</v>
      </c>
      <c r="AX865" s="4" t="s">
        <v>231</v>
      </c>
      <c r="AY865" s="8" t="s">
        <v>231</v>
      </c>
      <c r="AZ865" s="7" t="s">
        <v>231</v>
      </c>
      <c r="BA865" s="7" t="s">
        <v>231</v>
      </c>
      <c r="BB865" s="7"/>
      <c r="BC865" s="4" t="s">
        <v>231</v>
      </c>
      <c r="BD865" s="8" t="s">
        <v>231</v>
      </c>
      <c r="BE865" s="4" t="s">
        <v>231</v>
      </c>
      <c r="BF865" s="8" t="s">
        <v>231</v>
      </c>
      <c r="BG865" s="7" t="s">
        <v>231</v>
      </c>
      <c r="BH865" s="7" t="s">
        <v>231</v>
      </c>
      <c r="BI865" s="7"/>
      <c r="BJ865" s="4"/>
      <c r="BK865" s="8"/>
      <c r="BL865" s="2" t="s">
        <v>231</v>
      </c>
      <c r="BM865" s="7"/>
      <c r="BN865" s="7"/>
      <c r="BO865" s="4"/>
      <c r="BP865" s="8"/>
      <c r="BQ865" s="4"/>
      <c r="BR865" s="8"/>
      <c r="BS865" s="7"/>
      <c r="BT865" s="7"/>
      <c r="BU865" s="2" t="s">
        <v>4473</v>
      </c>
      <c r="BV865" s="2" t="s">
        <v>231</v>
      </c>
      <c r="BW865" s="2" t="s">
        <v>231</v>
      </c>
      <c r="BX865" s="2" t="s">
        <v>231</v>
      </c>
      <c r="BY865" s="2" t="s">
        <v>277</v>
      </c>
      <c r="BZ865" s="2" t="s">
        <v>243</v>
      </c>
      <c r="CA865" s="2" t="s">
        <v>4474</v>
      </c>
      <c r="CB865" s="2" t="s">
        <v>4475</v>
      </c>
      <c r="CC865" s="2" t="s">
        <v>244</v>
      </c>
      <c r="CD865" s="2" t="s">
        <v>231</v>
      </c>
      <c r="CE865" s="4">
        <v>3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>
        <v>573</v>
      </c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>
        <v>1158</v>
      </c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>
        <v>550</v>
      </c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</row>
    <row r="866">
      <c r="A866" s="2" t="s">
        <v>4476</v>
      </c>
      <c r="B866" s="2" t="s">
        <v>287</v>
      </c>
      <c r="C866" s="2" t="s">
        <v>965</v>
      </c>
      <c r="D866" s="2" t="s">
        <v>289</v>
      </c>
      <c r="E866" s="2" t="s">
        <v>290</v>
      </c>
      <c r="F866" s="2" t="s">
        <v>4368</v>
      </c>
      <c r="G866" s="2" t="s">
        <v>4368</v>
      </c>
      <c r="H866" s="2" t="s">
        <v>4368</v>
      </c>
      <c r="I866" s="2" t="s">
        <v>4369</v>
      </c>
      <c r="J866" s="2" t="s">
        <v>281</v>
      </c>
      <c r="K866" s="2" t="s">
        <v>4168</v>
      </c>
      <c r="L866" s="3">
        <v>19.57</v>
      </c>
      <c r="M866" s="3">
        <v>20.55</v>
      </c>
      <c r="N866" s="3">
        <v>42.99</v>
      </c>
      <c r="O866" s="2" t="s">
        <v>243</v>
      </c>
      <c r="P866" s="2" t="s">
        <v>1332</v>
      </c>
      <c r="Q866" s="2" t="s">
        <v>237</v>
      </c>
      <c r="R866" s="2" t="s">
        <v>231</v>
      </c>
      <c r="S866" s="2" t="s">
        <v>4468</v>
      </c>
      <c r="T866" s="2" t="s">
        <v>4134</v>
      </c>
      <c r="U866" s="2" t="s">
        <v>231</v>
      </c>
      <c r="V866" s="2" t="s">
        <v>1304</v>
      </c>
      <c r="W866" s="2" t="s">
        <v>273</v>
      </c>
      <c r="X866" s="2" t="s">
        <v>231</v>
      </c>
      <c r="Y866" s="2" t="s">
        <v>274</v>
      </c>
      <c r="Z866" s="4">
        <v>3</v>
      </c>
      <c r="AA866" s="4">
        <f>=ROUNDDOWN(0.0612244897959184,0)</f>
      </c>
      <c r="AB866" s="5">
        <v>49</v>
      </c>
      <c r="AC866" s="2" t="s">
        <v>876</v>
      </c>
      <c r="AD866" s="4">
        <v>474</v>
      </c>
      <c r="AE866" s="4">
        <v>1798</v>
      </c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231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231</v>
      </c>
      <c r="AW866" s="8" t="s">
        <v>231</v>
      </c>
      <c r="AX866" s="4" t="s">
        <v>231</v>
      </c>
      <c r="AY866" s="8" t="s">
        <v>231</v>
      </c>
      <c r="AZ866" s="7" t="s">
        <v>231</v>
      </c>
      <c r="BA866" s="7" t="s">
        <v>231</v>
      </c>
      <c r="BB866" s="7"/>
      <c r="BC866" s="4" t="s">
        <v>231</v>
      </c>
      <c r="BD866" s="8" t="s">
        <v>231</v>
      </c>
      <c r="BE866" s="4" t="s">
        <v>231</v>
      </c>
      <c r="BF866" s="8" t="s">
        <v>231</v>
      </c>
      <c r="BG866" s="7" t="s">
        <v>231</v>
      </c>
      <c r="BH866" s="7" t="s">
        <v>231</v>
      </c>
      <c r="BI866" s="7"/>
      <c r="BJ866" s="4"/>
      <c r="BK866" s="8"/>
      <c r="BL866" s="2" t="s">
        <v>1020</v>
      </c>
      <c r="BM866" s="7"/>
      <c r="BN866" s="7"/>
      <c r="BO866" s="4"/>
      <c r="BP866" s="8"/>
      <c r="BQ866" s="4"/>
      <c r="BR866" s="8"/>
      <c r="BS866" s="7"/>
      <c r="BT866" s="7"/>
      <c r="BU866" s="2" t="s">
        <v>4477</v>
      </c>
      <c r="BV866" s="2" t="s">
        <v>231</v>
      </c>
      <c r="BW866" s="2" t="s">
        <v>231</v>
      </c>
      <c r="BX866" s="2" t="s">
        <v>231</v>
      </c>
      <c r="BY866" s="2" t="s">
        <v>277</v>
      </c>
      <c r="BZ866" s="2" t="s">
        <v>243</v>
      </c>
      <c r="CA866" s="2" t="s">
        <v>4200</v>
      </c>
      <c r="CB866" s="2" t="s">
        <v>4478</v>
      </c>
      <c r="CC866" s="2" t="s">
        <v>244</v>
      </c>
      <c r="CD866" s="2" t="s">
        <v>231</v>
      </c>
      <c r="CE866" s="4">
        <v>3</v>
      </c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>
        <v>474</v>
      </c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>
        <v>916</v>
      </c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>
        <v>408</v>
      </c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</row>
    <row r="867">
      <c r="A867" s="2" t="s">
        <v>4479</v>
      </c>
      <c r="B867" s="2" t="s">
        <v>287</v>
      </c>
      <c r="C867" s="2" t="s">
        <v>965</v>
      </c>
      <c r="D867" s="2" t="s">
        <v>289</v>
      </c>
      <c r="E867" s="2" t="s">
        <v>290</v>
      </c>
      <c r="F867" s="2" t="s">
        <v>4368</v>
      </c>
      <c r="G867" s="2" t="s">
        <v>4368</v>
      </c>
      <c r="H867" s="2" t="s">
        <v>4368</v>
      </c>
      <c r="I867" s="2" t="s">
        <v>4369</v>
      </c>
      <c r="J867" s="2" t="s">
        <v>293</v>
      </c>
      <c r="K867" s="2" t="s">
        <v>4168</v>
      </c>
      <c r="L867" s="3">
        <v>22.21</v>
      </c>
      <c r="M867" s="3">
        <v>23.32</v>
      </c>
      <c r="N867" s="3">
        <v>47.99</v>
      </c>
      <c r="O867" s="2" t="s">
        <v>243</v>
      </c>
      <c r="P867" s="2" t="s">
        <v>4057</v>
      </c>
      <c r="Q867" s="2" t="s">
        <v>237</v>
      </c>
      <c r="R867" s="2" t="s">
        <v>231</v>
      </c>
      <c r="S867" s="2" t="s">
        <v>4468</v>
      </c>
      <c r="T867" s="2" t="s">
        <v>4134</v>
      </c>
      <c r="U867" s="2" t="s">
        <v>231</v>
      </c>
      <c r="V867" s="2" t="s">
        <v>1304</v>
      </c>
      <c r="W867" s="2" t="s">
        <v>273</v>
      </c>
      <c r="X867" s="2" t="s">
        <v>231</v>
      </c>
      <c r="Y867" s="2" t="s">
        <v>274</v>
      </c>
      <c r="Z867" s="4"/>
      <c r="AA867" s="4">
        <f>=ROUNDDOWN({0},0)</f>
      </c>
      <c r="AB867" s="5">
        <v>74</v>
      </c>
      <c r="AC867" s="2" t="s">
        <v>876</v>
      </c>
      <c r="AD867" s="4">
        <v>666</v>
      </c>
      <c r="AE867" s="4">
        <v>2582</v>
      </c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231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231</v>
      </c>
      <c r="AW867" s="8" t="s">
        <v>231</v>
      </c>
      <c r="AX867" s="4" t="s">
        <v>231</v>
      </c>
      <c r="AY867" s="8" t="s">
        <v>231</v>
      </c>
      <c r="AZ867" s="7" t="s">
        <v>231</v>
      </c>
      <c r="BA867" s="7" t="s">
        <v>231</v>
      </c>
      <c r="BB867" s="7"/>
      <c r="BC867" s="4" t="s">
        <v>231</v>
      </c>
      <c r="BD867" s="8" t="s">
        <v>231</v>
      </c>
      <c r="BE867" s="4" t="s">
        <v>231</v>
      </c>
      <c r="BF867" s="8" t="s">
        <v>231</v>
      </c>
      <c r="BG867" s="7" t="s">
        <v>231</v>
      </c>
      <c r="BH867" s="7" t="s">
        <v>231</v>
      </c>
      <c r="BI867" s="7"/>
      <c r="BJ867" s="4"/>
      <c r="BK867" s="8"/>
      <c r="BL867" s="2" t="s">
        <v>1020</v>
      </c>
      <c r="BM867" s="7"/>
      <c r="BN867" s="7"/>
      <c r="BO867" s="4"/>
      <c r="BP867" s="8"/>
      <c r="BQ867" s="4"/>
      <c r="BR867" s="8"/>
      <c r="BS867" s="7"/>
      <c r="BT867" s="7"/>
      <c r="BU867" s="2" t="s">
        <v>4480</v>
      </c>
      <c r="BV867" s="2" t="s">
        <v>231</v>
      </c>
      <c r="BW867" s="2" t="s">
        <v>231</v>
      </c>
      <c r="BX867" s="2" t="s">
        <v>231</v>
      </c>
      <c r="BY867" s="2" t="s">
        <v>277</v>
      </c>
      <c r="BZ867" s="2" t="s">
        <v>243</v>
      </c>
      <c r="CA867" s="2" t="s">
        <v>4200</v>
      </c>
      <c r="CB867" s="2" t="s">
        <v>4353</v>
      </c>
      <c r="CC867" s="2" t="s">
        <v>244</v>
      </c>
      <c r="CD867" s="2" t="s">
        <v>231</v>
      </c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>
        <v>666</v>
      </c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>
        <v>1282</v>
      </c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>
        <v>634</v>
      </c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</row>
    <row r="868">
      <c r="A868" s="2" t="s">
        <v>4481</v>
      </c>
      <c r="B868" s="2" t="s">
        <v>287</v>
      </c>
      <c r="C868" s="2" t="s">
        <v>965</v>
      </c>
      <c r="D868" s="2" t="s">
        <v>289</v>
      </c>
      <c r="E868" s="2" t="s">
        <v>290</v>
      </c>
      <c r="F868" s="2" t="s">
        <v>4368</v>
      </c>
      <c r="G868" s="2" t="s">
        <v>4368</v>
      </c>
      <c r="H868" s="2" t="s">
        <v>4368</v>
      </c>
      <c r="I868" s="2" t="s">
        <v>4369</v>
      </c>
      <c r="J868" s="2" t="s">
        <v>304</v>
      </c>
      <c r="K868" s="2" t="s">
        <v>4168</v>
      </c>
      <c r="L868" s="3">
        <v>27.39</v>
      </c>
      <c r="M868" s="3">
        <v>28.76</v>
      </c>
      <c r="N868" s="3">
        <v>62.99</v>
      </c>
      <c r="O868" s="2" t="s">
        <v>243</v>
      </c>
      <c r="P868" s="2" t="s">
        <v>270</v>
      </c>
      <c r="Q868" s="2" t="s">
        <v>237</v>
      </c>
      <c r="R868" s="2" t="s">
        <v>231</v>
      </c>
      <c r="S868" s="2" t="s">
        <v>4468</v>
      </c>
      <c r="T868" s="2" t="s">
        <v>4134</v>
      </c>
      <c r="U868" s="2" t="s">
        <v>231</v>
      </c>
      <c r="V868" s="2" t="s">
        <v>1304</v>
      </c>
      <c r="W868" s="2" t="s">
        <v>273</v>
      </c>
      <c r="X868" s="2" t="s">
        <v>231</v>
      </c>
      <c r="Y868" s="2" t="s">
        <v>4472</v>
      </c>
      <c r="Z868" s="4">
        <v>2</v>
      </c>
      <c r="AA868" s="4">
        <f>=ROUNDDOWN(0.08,0)</f>
      </c>
      <c r="AB868" s="5">
        <v>25</v>
      </c>
      <c r="AC868" s="2" t="s">
        <v>876</v>
      </c>
      <c r="AD868" s="4">
        <v>243</v>
      </c>
      <c r="AE868" s="4">
        <v>937</v>
      </c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231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231</v>
      </c>
      <c r="AW868" s="8" t="s">
        <v>231</v>
      </c>
      <c r="AX868" s="4" t="s">
        <v>231</v>
      </c>
      <c r="AY868" s="8" t="s">
        <v>231</v>
      </c>
      <c r="AZ868" s="7" t="s">
        <v>231</v>
      </c>
      <c r="BA868" s="7" t="s">
        <v>231</v>
      </c>
      <c r="BB868" s="7"/>
      <c r="BC868" s="4" t="s">
        <v>231</v>
      </c>
      <c r="BD868" s="8" t="s">
        <v>231</v>
      </c>
      <c r="BE868" s="4" t="s">
        <v>231</v>
      </c>
      <c r="BF868" s="8" t="s">
        <v>231</v>
      </c>
      <c r="BG868" s="7" t="s">
        <v>231</v>
      </c>
      <c r="BH868" s="7" t="s">
        <v>231</v>
      </c>
      <c r="BI868" s="7"/>
      <c r="BJ868" s="4"/>
      <c r="BK868" s="8"/>
      <c r="BL868" s="2" t="s">
        <v>4349</v>
      </c>
      <c r="BM868" s="7"/>
      <c r="BN868" s="7"/>
      <c r="BO868" s="4"/>
      <c r="BP868" s="8"/>
      <c r="BQ868" s="4"/>
      <c r="BR868" s="8"/>
      <c r="BS868" s="7"/>
      <c r="BT868" s="7"/>
      <c r="BU868" s="2" t="s">
        <v>4482</v>
      </c>
      <c r="BV868" s="2" t="s">
        <v>231</v>
      </c>
      <c r="BW868" s="2" t="s">
        <v>231</v>
      </c>
      <c r="BX868" s="2" t="s">
        <v>231</v>
      </c>
      <c r="BY868" s="2" t="s">
        <v>277</v>
      </c>
      <c r="BZ868" s="2" t="s">
        <v>243</v>
      </c>
      <c r="CA868" s="2" t="s">
        <v>4200</v>
      </c>
      <c r="CB868" s="2" t="s">
        <v>4483</v>
      </c>
      <c r="CC868" s="2" t="s">
        <v>244</v>
      </c>
      <c r="CD868" s="2" t="s">
        <v>231</v>
      </c>
      <c r="CE868" s="4">
        <v>2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>
        <v>243</v>
      </c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>
        <v>473</v>
      </c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>
        <v>221</v>
      </c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</row>
    <row r="869">
      <c r="A869" s="2" t="s">
        <v>4484</v>
      </c>
      <c r="B869" s="2" t="s">
        <v>287</v>
      </c>
      <c r="C869" s="2" t="s">
        <v>965</v>
      </c>
      <c r="D869" s="2" t="s">
        <v>289</v>
      </c>
      <c r="E869" s="2" t="s">
        <v>290</v>
      </c>
      <c r="F869" s="2" t="s">
        <v>4368</v>
      </c>
      <c r="G869" s="2" t="s">
        <v>4368</v>
      </c>
      <c r="H869" s="2" t="s">
        <v>4368</v>
      </c>
      <c r="I869" s="2" t="s">
        <v>4369</v>
      </c>
      <c r="J869" s="2" t="s">
        <v>318</v>
      </c>
      <c r="K869" s="2" t="s">
        <v>4485</v>
      </c>
      <c r="L869" s="3">
        <v>14.89</v>
      </c>
      <c r="M869" s="3">
        <v>15.63</v>
      </c>
      <c r="N869" s="3">
        <v>31.99</v>
      </c>
      <c r="O869" s="2" t="s">
        <v>243</v>
      </c>
      <c r="P869" s="2" t="s">
        <v>871</v>
      </c>
      <c r="Q869" s="2" t="s">
        <v>237</v>
      </c>
      <c r="R869" s="2" t="s">
        <v>231</v>
      </c>
      <c r="S869" s="2" t="s">
        <v>4486</v>
      </c>
      <c r="T869" s="2" t="s">
        <v>4134</v>
      </c>
      <c r="U869" s="2" t="s">
        <v>231</v>
      </c>
      <c r="V869" s="2" t="s">
        <v>4046</v>
      </c>
      <c r="W869" s="2" t="s">
        <v>273</v>
      </c>
      <c r="X869" s="2" t="s">
        <v>231</v>
      </c>
      <c r="Y869" s="2" t="s">
        <v>2848</v>
      </c>
      <c r="Z869" s="4">
        <v>2</v>
      </c>
      <c r="AA869" s="4">
        <f>=ROUNDDOWN(0.04,0)</f>
      </c>
      <c r="AB869" s="5">
        <v>50</v>
      </c>
      <c r="AC869" s="2" t="s">
        <v>4212</v>
      </c>
      <c r="AD869" s="4">
        <v>496</v>
      </c>
      <c r="AE869" s="4">
        <v>1853</v>
      </c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231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231</v>
      </c>
      <c r="AW869" s="8" t="s">
        <v>231</v>
      </c>
      <c r="AX869" s="4" t="s">
        <v>231</v>
      </c>
      <c r="AY869" s="8" t="s">
        <v>231</v>
      </c>
      <c r="AZ869" s="7" t="s">
        <v>231</v>
      </c>
      <c r="BA869" s="7" t="s">
        <v>231</v>
      </c>
      <c r="BB869" s="7"/>
      <c r="BC869" s="4" t="s">
        <v>231</v>
      </c>
      <c r="BD869" s="8" t="s">
        <v>231</v>
      </c>
      <c r="BE869" s="4" t="s">
        <v>231</v>
      </c>
      <c r="BF869" s="8" t="s">
        <v>231</v>
      </c>
      <c r="BG869" s="7" t="s">
        <v>231</v>
      </c>
      <c r="BH869" s="7" t="s">
        <v>231</v>
      </c>
      <c r="BI869" s="7"/>
      <c r="BJ869" s="4"/>
      <c r="BK869" s="8"/>
      <c r="BL869" s="2" t="s">
        <v>231</v>
      </c>
      <c r="BM869" s="7"/>
      <c r="BN869" s="7"/>
      <c r="BO869" s="4"/>
      <c r="BP869" s="8"/>
      <c r="BQ869" s="4"/>
      <c r="BR869" s="8"/>
      <c r="BS869" s="7"/>
      <c r="BT869" s="7"/>
      <c r="BU869" s="2" t="s">
        <v>4487</v>
      </c>
      <c r="BV869" s="2" t="s">
        <v>231</v>
      </c>
      <c r="BW869" s="2" t="s">
        <v>231</v>
      </c>
      <c r="BX869" s="2" t="s">
        <v>231</v>
      </c>
      <c r="BY869" s="2" t="s">
        <v>277</v>
      </c>
      <c r="BZ869" s="2" t="s">
        <v>243</v>
      </c>
      <c r="CA869" s="2" t="s">
        <v>4389</v>
      </c>
      <c r="CB869" s="2" t="s">
        <v>4283</v>
      </c>
      <c r="CC869" s="2" t="s">
        <v>244</v>
      </c>
      <c r="CD869" s="2" t="s">
        <v>231</v>
      </c>
      <c r="CE869" s="4">
        <v>2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>
        <v>496</v>
      </c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>
        <v>943</v>
      </c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>
        <v>414</v>
      </c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</row>
    <row r="870">
      <c r="A870" s="2" t="s">
        <v>4488</v>
      </c>
      <c r="B870" s="2" t="s">
        <v>287</v>
      </c>
      <c r="C870" s="2" t="s">
        <v>965</v>
      </c>
      <c r="D870" s="2" t="s">
        <v>289</v>
      </c>
      <c r="E870" s="2" t="s">
        <v>290</v>
      </c>
      <c r="F870" s="2" t="s">
        <v>4368</v>
      </c>
      <c r="G870" s="2" t="s">
        <v>4368</v>
      </c>
      <c r="H870" s="2" t="s">
        <v>4368</v>
      </c>
      <c r="I870" s="2" t="s">
        <v>4369</v>
      </c>
      <c r="J870" s="2" t="s">
        <v>268</v>
      </c>
      <c r="K870" s="2" t="s">
        <v>4485</v>
      </c>
      <c r="L870" s="3">
        <v>16.16</v>
      </c>
      <c r="M870" s="3">
        <v>16.97</v>
      </c>
      <c r="N870" s="3">
        <v>34.99</v>
      </c>
      <c r="O870" s="2" t="s">
        <v>243</v>
      </c>
      <c r="P870" s="2" t="s">
        <v>270</v>
      </c>
      <c r="Q870" s="2" t="s">
        <v>237</v>
      </c>
      <c r="R870" s="2" t="s">
        <v>231</v>
      </c>
      <c r="S870" s="2" t="s">
        <v>4486</v>
      </c>
      <c r="T870" s="2" t="s">
        <v>4134</v>
      </c>
      <c r="U870" s="2" t="s">
        <v>231</v>
      </c>
      <c r="V870" s="2" t="s">
        <v>4046</v>
      </c>
      <c r="W870" s="2" t="s">
        <v>273</v>
      </c>
      <c r="X870" s="2" t="s">
        <v>231</v>
      </c>
      <c r="Y870" s="2" t="s">
        <v>2848</v>
      </c>
      <c r="Z870" s="4">
        <v>2</v>
      </c>
      <c r="AA870" s="4">
        <f>=ROUNDDOWN(0.0833333333333333,0)</f>
      </c>
      <c r="AB870" s="5">
        <v>24</v>
      </c>
      <c r="AC870" s="2" t="s">
        <v>4212</v>
      </c>
      <c r="AD870" s="4">
        <v>204</v>
      </c>
      <c r="AE870" s="4">
        <v>838</v>
      </c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231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231</v>
      </c>
      <c r="AW870" s="8" t="s">
        <v>231</v>
      </c>
      <c r="AX870" s="4" t="s">
        <v>231</v>
      </c>
      <c r="AY870" s="8" t="s">
        <v>231</v>
      </c>
      <c r="AZ870" s="7" t="s">
        <v>231</v>
      </c>
      <c r="BA870" s="7" t="s">
        <v>231</v>
      </c>
      <c r="BB870" s="7"/>
      <c r="BC870" s="4" t="s">
        <v>231</v>
      </c>
      <c r="BD870" s="8" t="s">
        <v>231</v>
      </c>
      <c r="BE870" s="4" t="s">
        <v>231</v>
      </c>
      <c r="BF870" s="8" t="s">
        <v>231</v>
      </c>
      <c r="BG870" s="7" t="s">
        <v>231</v>
      </c>
      <c r="BH870" s="7" t="s">
        <v>231</v>
      </c>
      <c r="BI870" s="7"/>
      <c r="BJ870" s="4"/>
      <c r="BK870" s="8"/>
      <c r="BL870" s="2" t="s">
        <v>4489</v>
      </c>
      <c r="BM870" s="7"/>
      <c r="BN870" s="7"/>
      <c r="BO870" s="4"/>
      <c r="BP870" s="8"/>
      <c r="BQ870" s="4"/>
      <c r="BR870" s="8"/>
      <c r="BS870" s="7"/>
      <c r="BT870" s="7"/>
      <c r="BU870" s="2" t="s">
        <v>4490</v>
      </c>
      <c r="BV870" s="2" t="s">
        <v>231</v>
      </c>
      <c r="BW870" s="2" t="s">
        <v>231</v>
      </c>
      <c r="BX870" s="2" t="s">
        <v>231</v>
      </c>
      <c r="BY870" s="2" t="s">
        <v>277</v>
      </c>
      <c r="BZ870" s="2" t="s">
        <v>243</v>
      </c>
      <c r="CA870" s="2" t="s">
        <v>4389</v>
      </c>
      <c r="CB870" s="2" t="s">
        <v>4324</v>
      </c>
      <c r="CC870" s="2" t="s">
        <v>244</v>
      </c>
      <c r="CD870" s="2" t="s">
        <v>231</v>
      </c>
      <c r="CE870" s="4">
        <v>2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>
        <v>204</v>
      </c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>
        <v>420</v>
      </c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>
        <v>214</v>
      </c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</row>
    <row r="871">
      <c r="A871" s="2" t="s">
        <v>4491</v>
      </c>
      <c r="B871" s="2" t="s">
        <v>287</v>
      </c>
      <c r="C871" s="2" t="s">
        <v>965</v>
      </c>
      <c r="D871" s="2" t="s">
        <v>289</v>
      </c>
      <c r="E871" s="2" t="s">
        <v>290</v>
      </c>
      <c r="F871" s="2" t="s">
        <v>4368</v>
      </c>
      <c r="G871" s="2" t="s">
        <v>4368</v>
      </c>
      <c r="H871" s="2" t="s">
        <v>4368</v>
      </c>
      <c r="I871" s="2" t="s">
        <v>4369</v>
      </c>
      <c r="J871" s="2" t="s">
        <v>281</v>
      </c>
      <c r="K871" s="2" t="s">
        <v>4485</v>
      </c>
      <c r="L871" s="3">
        <v>19.57</v>
      </c>
      <c r="M871" s="3">
        <v>20.55</v>
      </c>
      <c r="N871" s="3">
        <v>42.99</v>
      </c>
      <c r="O871" s="2" t="s">
        <v>243</v>
      </c>
      <c r="P871" s="2" t="s">
        <v>1281</v>
      </c>
      <c r="Q871" s="2" t="s">
        <v>237</v>
      </c>
      <c r="R871" s="2" t="s">
        <v>231</v>
      </c>
      <c r="S871" s="2" t="s">
        <v>4486</v>
      </c>
      <c r="T871" s="2" t="s">
        <v>4134</v>
      </c>
      <c r="U871" s="2" t="s">
        <v>231</v>
      </c>
      <c r="V871" s="2" t="s">
        <v>4046</v>
      </c>
      <c r="W871" s="2" t="s">
        <v>273</v>
      </c>
      <c r="X871" s="2" t="s">
        <v>231</v>
      </c>
      <c r="Y871" s="2" t="s">
        <v>2848</v>
      </c>
      <c r="Z871" s="4"/>
      <c r="AA871" s="4">
        <f>=ROUNDDOWN({0},0)</f>
      </c>
      <c r="AB871" s="5">
        <v>39</v>
      </c>
      <c r="AC871" s="2" t="s">
        <v>4212</v>
      </c>
      <c r="AD871" s="4">
        <v>382</v>
      </c>
      <c r="AE871" s="4">
        <v>1469</v>
      </c>
      <c r="AF871" s="6">
        <v>65</v>
      </c>
      <c r="AG871" s="6"/>
      <c r="AH871" s="7">
        <v>0.8387</v>
      </c>
      <c r="AI871" s="4"/>
      <c r="AJ871" s="4">
        <f>=ROUNDDOWN({0},0)</f>
      </c>
      <c r="AK871" s="5"/>
      <c r="AL871" s="2" t="s">
        <v>231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231</v>
      </c>
      <c r="AW871" s="8" t="s">
        <v>231</v>
      </c>
      <c r="AX871" s="4" t="s">
        <v>231</v>
      </c>
      <c r="AY871" s="8" t="s">
        <v>231</v>
      </c>
      <c r="AZ871" s="7" t="s">
        <v>231</v>
      </c>
      <c r="BA871" s="7" t="s">
        <v>231</v>
      </c>
      <c r="BB871" s="7"/>
      <c r="BC871" s="4" t="s">
        <v>231</v>
      </c>
      <c r="BD871" s="8" t="s">
        <v>231</v>
      </c>
      <c r="BE871" s="4" t="s">
        <v>231</v>
      </c>
      <c r="BF871" s="8" t="s">
        <v>231</v>
      </c>
      <c r="BG871" s="7" t="s">
        <v>231</v>
      </c>
      <c r="BH871" s="7" t="s">
        <v>231</v>
      </c>
      <c r="BI871" s="7"/>
      <c r="BJ871" s="4">
        <v>17</v>
      </c>
      <c r="BK871" s="8">
        <v>370.29</v>
      </c>
      <c r="BL871" s="2" t="s">
        <v>4492</v>
      </c>
      <c r="BM871" s="7"/>
      <c r="BN871" s="7"/>
      <c r="BO871" s="4"/>
      <c r="BP871" s="8"/>
      <c r="BQ871" s="4"/>
      <c r="BR871" s="8"/>
      <c r="BS871" s="7"/>
      <c r="BT871" s="7"/>
      <c r="BU871" s="2" t="s">
        <v>4493</v>
      </c>
      <c r="BV871" s="2" t="s">
        <v>231</v>
      </c>
      <c r="BW871" s="2" t="s">
        <v>231</v>
      </c>
      <c r="BX871" s="2" t="s">
        <v>231</v>
      </c>
      <c r="BY871" s="2" t="s">
        <v>277</v>
      </c>
      <c r="BZ871" s="2" t="s">
        <v>243</v>
      </c>
      <c r="CA871" s="2" t="s">
        <v>4389</v>
      </c>
      <c r="CB871" s="2" t="s">
        <v>4216</v>
      </c>
      <c r="CC871" s="2" t="s">
        <v>244</v>
      </c>
      <c r="CD871" s="2" t="s">
        <v>231</v>
      </c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>
        <v>382</v>
      </c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>
        <v>764</v>
      </c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>
        <v>323</v>
      </c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</row>
    <row r="872">
      <c r="A872" s="2" t="s">
        <v>4494</v>
      </c>
      <c r="B872" s="2" t="s">
        <v>287</v>
      </c>
      <c r="C872" s="2" t="s">
        <v>965</v>
      </c>
      <c r="D872" s="2" t="s">
        <v>289</v>
      </c>
      <c r="E872" s="2" t="s">
        <v>290</v>
      </c>
      <c r="F872" s="2" t="s">
        <v>4368</v>
      </c>
      <c r="G872" s="2" t="s">
        <v>4368</v>
      </c>
      <c r="H872" s="2" t="s">
        <v>4368</v>
      </c>
      <c r="I872" s="2" t="s">
        <v>4369</v>
      </c>
      <c r="J872" s="2" t="s">
        <v>293</v>
      </c>
      <c r="K872" s="2" t="s">
        <v>4485</v>
      </c>
      <c r="L872" s="3">
        <v>22.21</v>
      </c>
      <c r="M872" s="3">
        <v>23.32</v>
      </c>
      <c r="N872" s="3">
        <v>47.99</v>
      </c>
      <c r="O872" s="2" t="s">
        <v>243</v>
      </c>
      <c r="P872" s="2" t="s">
        <v>1281</v>
      </c>
      <c r="Q872" s="2" t="s">
        <v>237</v>
      </c>
      <c r="R872" s="2" t="s">
        <v>231</v>
      </c>
      <c r="S872" s="2" t="s">
        <v>4486</v>
      </c>
      <c r="T872" s="2" t="s">
        <v>4134</v>
      </c>
      <c r="U872" s="2" t="s">
        <v>231</v>
      </c>
      <c r="V872" s="2" t="s">
        <v>4046</v>
      </c>
      <c r="W872" s="2" t="s">
        <v>273</v>
      </c>
      <c r="X872" s="2" t="s">
        <v>231</v>
      </c>
      <c r="Y872" s="2" t="s">
        <v>2848</v>
      </c>
      <c r="Z872" s="4">
        <v>1</v>
      </c>
      <c r="AA872" s="4">
        <f>=ROUNDDOWN(0.0303030303030303,0)</f>
      </c>
      <c r="AB872" s="5">
        <v>33</v>
      </c>
      <c r="AC872" s="2" t="s">
        <v>4212</v>
      </c>
      <c r="AD872" s="4">
        <v>260</v>
      </c>
      <c r="AE872" s="4">
        <v>1142</v>
      </c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231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231</v>
      </c>
      <c r="AW872" s="8" t="s">
        <v>231</v>
      </c>
      <c r="AX872" s="4" t="s">
        <v>231</v>
      </c>
      <c r="AY872" s="8" t="s">
        <v>231</v>
      </c>
      <c r="AZ872" s="7" t="s">
        <v>231</v>
      </c>
      <c r="BA872" s="7" t="s">
        <v>231</v>
      </c>
      <c r="BB872" s="7"/>
      <c r="BC872" s="4" t="s">
        <v>231</v>
      </c>
      <c r="BD872" s="8" t="s">
        <v>231</v>
      </c>
      <c r="BE872" s="4" t="s">
        <v>231</v>
      </c>
      <c r="BF872" s="8" t="s">
        <v>231</v>
      </c>
      <c r="BG872" s="7" t="s">
        <v>231</v>
      </c>
      <c r="BH872" s="7" t="s">
        <v>231</v>
      </c>
      <c r="BI872" s="7"/>
      <c r="BJ872" s="4"/>
      <c r="BK872" s="8"/>
      <c r="BL872" s="2" t="s">
        <v>231</v>
      </c>
      <c r="BM872" s="7"/>
      <c r="BN872" s="7"/>
      <c r="BO872" s="4"/>
      <c r="BP872" s="8"/>
      <c r="BQ872" s="4"/>
      <c r="BR872" s="8"/>
      <c r="BS872" s="7"/>
      <c r="BT872" s="7"/>
      <c r="BU872" s="2" t="s">
        <v>4495</v>
      </c>
      <c r="BV872" s="2" t="s">
        <v>231</v>
      </c>
      <c r="BW872" s="2" t="s">
        <v>231</v>
      </c>
      <c r="BX872" s="2" t="s">
        <v>231</v>
      </c>
      <c r="BY872" s="2" t="s">
        <v>277</v>
      </c>
      <c r="BZ872" s="2" t="s">
        <v>243</v>
      </c>
      <c r="CA872" s="2" t="s">
        <v>4389</v>
      </c>
      <c r="CB872" s="2" t="s">
        <v>4324</v>
      </c>
      <c r="CC872" s="2" t="s">
        <v>244</v>
      </c>
      <c r="CD872" s="2" t="s">
        <v>231</v>
      </c>
      <c r="CE872" s="4">
        <v>1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>
        <v>260</v>
      </c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>
        <v>598</v>
      </c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>
        <v>284</v>
      </c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</row>
    <row r="873">
      <c r="A873" s="2" t="s">
        <v>4496</v>
      </c>
      <c r="B873" s="2" t="s">
        <v>287</v>
      </c>
      <c r="C873" s="2" t="s">
        <v>965</v>
      </c>
      <c r="D873" s="2" t="s">
        <v>289</v>
      </c>
      <c r="E873" s="2" t="s">
        <v>290</v>
      </c>
      <c r="F873" s="2" t="s">
        <v>4368</v>
      </c>
      <c r="G873" s="2" t="s">
        <v>4368</v>
      </c>
      <c r="H873" s="2" t="s">
        <v>4368</v>
      </c>
      <c r="I873" s="2" t="s">
        <v>4369</v>
      </c>
      <c r="J873" s="2" t="s">
        <v>302</v>
      </c>
      <c r="K873" s="2" t="s">
        <v>4485</v>
      </c>
      <c r="L873" s="3">
        <v>27.39</v>
      </c>
      <c r="M873" s="3">
        <v>28.76</v>
      </c>
      <c r="N873" s="3">
        <v>62.99</v>
      </c>
      <c r="O873" s="2" t="s">
        <v>243</v>
      </c>
      <c r="P873" s="2" t="s">
        <v>270</v>
      </c>
      <c r="Q873" s="2" t="s">
        <v>237</v>
      </c>
      <c r="R873" s="2" t="s">
        <v>231</v>
      </c>
      <c r="S873" s="2" t="s">
        <v>4486</v>
      </c>
      <c r="T873" s="2" t="s">
        <v>4134</v>
      </c>
      <c r="U873" s="2" t="s">
        <v>231</v>
      </c>
      <c r="V873" s="2" t="s">
        <v>4046</v>
      </c>
      <c r="W873" s="2" t="s">
        <v>273</v>
      </c>
      <c r="X873" s="2" t="s">
        <v>231</v>
      </c>
      <c r="Y873" s="2" t="s">
        <v>2848</v>
      </c>
      <c r="Z873" s="4">
        <v>3</v>
      </c>
      <c r="AA873" s="4">
        <f>=ROUNDDOWN(0.1875,0)</f>
      </c>
      <c r="AB873" s="5">
        <v>16</v>
      </c>
      <c r="AC873" s="2" t="s">
        <v>4212</v>
      </c>
      <c r="AD873" s="4">
        <v>159</v>
      </c>
      <c r="AE873" s="4">
        <v>586</v>
      </c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231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231</v>
      </c>
      <c r="AW873" s="8" t="s">
        <v>231</v>
      </c>
      <c r="AX873" s="4" t="s">
        <v>231</v>
      </c>
      <c r="AY873" s="8" t="s">
        <v>231</v>
      </c>
      <c r="AZ873" s="7" t="s">
        <v>231</v>
      </c>
      <c r="BA873" s="7" t="s">
        <v>231</v>
      </c>
      <c r="BB873" s="7"/>
      <c r="BC873" s="4" t="s">
        <v>231</v>
      </c>
      <c r="BD873" s="8" t="s">
        <v>231</v>
      </c>
      <c r="BE873" s="4" t="s">
        <v>231</v>
      </c>
      <c r="BF873" s="8" t="s">
        <v>231</v>
      </c>
      <c r="BG873" s="7" t="s">
        <v>231</v>
      </c>
      <c r="BH873" s="7" t="s">
        <v>231</v>
      </c>
      <c r="BI873" s="7"/>
      <c r="BJ873" s="4"/>
      <c r="BK873" s="8"/>
      <c r="BL873" s="2" t="s">
        <v>231</v>
      </c>
      <c r="BM873" s="7"/>
      <c r="BN873" s="7"/>
      <c r="BO873" s="4"/>
      <c r="BP873" s="8"/>
      <c r="BQ873" s="4"/>
      <c r="BR873" s="8"/>
      <c r="BS873" s="7"/>
      <c r="BT873" s="7"/>
      <c r="BU873" s="2" t="s">
        <v>4497</v>
      </c>
      <c r="BV873" s="2" t="s">
        <v>231</v>
      </c>
      <c r="BW873" s="2" t="s">
        <v>231</v>
      </c>
      <c r="BX873" s="2" t="s">
        <v>231</v>
      </c>
      <c r="BY873" s="2" t="s">
        <v>277</v>
      </c>
      <c r="BZ873" s="2" t="s">
        <v>243</v>
      </c>
      <c r="CA873" s="2" t="s">
        <v>4389</v>
      </c>
      <c r="CB873" s="2" t="s">
        <v>4498</v>
      </c>
      <c r="CC873" s="2" t="s">
        <v>244</v>
      </c>
      <c r="CD873" s="2" t="s">
        <v>231</v>
      </c>
      <c r="CE873" s="4">
        <v>3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>
        <v>159</v>
      </c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>
        <v>279</v>
      </c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>
        <v>148</v>
      </c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</row>
    <row r="874">
      <c r="A874" s="2" t="s">
        <v>4499</v>
      </c>
      <c r="B874" s="2" t="s">
        <v>287</v>
      </c>
      <c r="C874" s="2" t="s">
        <v>965</v>
      </c>
      <c r="D874" s="2" t="s">
        <v>289</v>
      </c>
      <c r="E874" s="2" t="s">
        <v>290</v>
      </c>
      <c r="F874" s="2" t="s">
        <v>4368</v>
      </c>
      <c r="G874" s="2" t="s">
        <v>4368</v>
      </c>
      <c r="H874" s="2" t="s">
        <v>4368</v>
      </c>
      <c r="I874" s="2" t="s">
        <v>4369</v>
      </c>
      <c r="J874" s="2" t="s">
        <v>318</v>
      </c>
      <c r="K874" s="2" t="s">
        <v>4500</v>
      </c>
      <c r="L874" s="3">
        <v>14.89</v>
      </c>
      <c r="M874" s="3">
        <v>15.63</v>
      </c>
      <c r="N874" s="3">
        <v>31.99</v>
      </c>
      <c r="O874" s="2" t="s">
        <v>243</v>
      </c>
      <c r="P874" s="2" t="s">
        <v>270</v>
      </c>
      <c r="Q874" s="2" t="s">
        <v>237</v>
      </c>
      <c r="R874" s="2" t="s">
        <v>231</v>
      </c>
      <c r="S874" s="2" t="s">
        <v>4501</v>
      </c>
      <c r="T874" s="2" t="s">
        <v>4134</v>
      </c>
      <c r="U874" s="2" t="s">
        <v>231</v>
      </c>
      <c r="V874" s="2" t="s">
        <v>239</v>
      </c>
      <c r="W874" s="2" t="s">
        <v>273</v>
      </c>
      <c r="X874" s="2" t="s">
        <v>231</v>
      </c>
      <c r="Y874" s="2" t="s">
        <v>274</v>
      </c>
      <c r="Z874" s="4"/>
      <c r="AA874" s="4">
        <f>=ROUNDDOWN({0},0)</f>
      </c>
      <c r="AB874" s="5">
        <v>47</v>
      </c>
      <c r="AC874" s="2" t="s">
        <v>4212</v>
      </c>
      <c r="AD874" s="4">
        <v>464</v>
      </c>
      <c r="AE874" s="4">
        <v>1786</v>
      </c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231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231</v>
      </c>
      <c r="AW874" s="8" t="s">
        <v>231</v>
      </c>
      <c r="AX874" s="4" t="s">
        <v>231</v>
      </c>
      <c r="AY874" s="8" t="s">
        <v>231</v>
      </c>
      <c r="AZ874" s="7" t="s">
        <v>231</v>
      </c>
      <c r="BA874" s="7" t="s">
        <v>231</v>
      </c>
      <c r="BB874" s="7"/>
      <c r="BC874" s="4" t="s">
        <v>231</v>
      </c>
      <c r="BD874" s="8" t="s">
        <v>231</v>
      </c>
      <c r="BE874" s="4" t="s">
        <v>231</v>
      </c>
      <c r="BF874" s="8" t="s">
        <v>231</v>
      </c>
      <c r="BG874" s="7" t="s">
        <v>231</v>
      </c>
      <c r="BH874" s="7" t="s">
        <v>231</v>
      </c>
      <c r="BI874" s="7"/>
      <c r="BJ874" s="4"/>
      <c r="BK874" s="8"/>
      <c r="BL874" s="2" t="s">
        <v>231</v>
      </c>
      <c r="BM874" s="7"/>
      <c r="BN874" s="7"/>
      <c r="BO874" s="4"/>
      <c r="BP874" s="8"/>
      <c r="BQ874" s="4"/>
      <c r="BR874" s="8"/>
      <c r="BS874" s="7"/>
      <c r="BT874" s="7"/>
      <c r="BU874" s="2" t="s">
        <v>4502</v>
      </c>
      <c r="BV874" s="2" t="s">
        <v>231</v>
      </c>
      <c r="BW874" s="2" t="s">
        <v>231</v>
      </c>
      <c r="BX874" s="2" t="s">
        <v>231</v>
      </c>
      <c r="BY874" s="2" t="s">
        <v>277</v>
      </c>
      <c r="BZ874" s="2" t="s">
        <v>243</v>
      </c>
      <c r="CA874" s="2" t="s">
        <v>4200</v>
      </c>
      <c r="CB874" s="2" t="s">
        <v>418</v>
      </c>
      <c r="CC874" s="2" t="s">
        <v>244</v>
      </c>
      <c r="CD874" s="2" t="s">
        <v>231</v>
      </c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>
        <v>464</v>
      </c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>
        <v>928</v>
      </c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>
        <v>394</v>
      </c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</row>
    <row r="875">
      <c r="A875" s="2" t="s">
        <v>4503</v>
      </c>
      <c r="B875" s="2" t="s">
        <v>287</v>
      </c>
      <c r="C875" s="2" t="s">
        <v>965</v>
      </c>
      <c r="D875" s="2" t="s">
        <v>289</v>
      </c>
      <c r="E875" s="2" t="s">
        <v>290</v>
      </c>
      <c r="F875" s="2" t="s">
        <v>4368</v>
      </c>
      <c r="G875" s="2" t="s">
        <v>4368</v>
      </c>
      <c r="H875" s="2" t="s">
        <v>4368</v>
      </c>
      <c r="I875" s="2" t="s">
        <v>4369</v>
      </c>
      <c r="J875" s="2" t="s">
        <v>281</v>
      </c>
      <c r="K875" s="2" t="s">
        <v>4500</v>
      </c>
      <c r="L875" s="3">
        <v>19.57</v>
      </c>
      <c r="M875" s="3">
        <v>20.55</v>
      </c>
      <c r="N875" s="3">
        <v>42.99</v>
      </c>
      <c r="O875" s="2" t="s">
        <v>243</v>
      </c>
      <c r="P875" s="2" t="s">
        <v>1281</v>
      </c>
      <c r="Q875" s="2" t="s">
        <v>237</v>
      </c>
      <c r="R875" s="2" t="s">
        <v>231</v>
      </c>
      <c r="S875" s="2" t="s">
        <v>4501</v>
      </c>
      <c r="T875" s="2" t="s">
        <v>4134</v>
      </c>
      <c r="U875" s="2" t="s">
        <v>231</v>
      </c>
      <c r="V875" s="2" t="s">
        <v>239</v>
      </c>
      <c r="W875" s="2" t="s">
        <v>273</v>
      </c>
      <c r="X875" s="2" t="s">
        <v>231</v>
      </c>
      <c r="Y875" s="2" t="s">
        <v>274</v>
      </c>
      <c r="Z875" s="4"/>
      <c r="AA875" s="4">
        <f>=ROUNDDOWN({0},0)</f>
      </c>
      <c r="AB875" s="5">
        <v>33</v>
      </c>
      <c r="AC875" s="2" t="s">
        <v>4212</v>
      </c>
      <c r="AD875" s="4">
        <v>326</v>
      </c>
      <c r="AE875" s="4">
        <v>1250</v>
      </c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231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231</v>
      </c>
      <c r="AW875" s="8" t="s">
        <v>231</v>
      </c>
      <c r="AX875" s="4" t="s">
        <v>231</v>
      </c>
      <c r="AY875" s="8" t="s">
        <v>231</v>
      </c>
      <c r="AZ875" s="7" t="s">
        <v>231</v>
      </c>
      <c r="BA875" s="7" t="s">
        <v>231</v>
      </c>
      <c r="BB875" s="7"/>
      <c r="BC875" s="4" t="s">
        <v>231</v>
      </c>
      <c r="BD875" s="8" t="s">
        <v>231</v>
      </c>
      <c r="BE875" s="4" t="s">
        <v>231</v>
      </c>
      <c r="BF875" s="8" t="s">
        <v>231</v>
      </c>
      <c r="BG875" s="7" t="s">
        <v>231</v>
      </c>
      <c r="BH875" s="7" t="s">
        <v>231</v>
      </c>
      <c r="BI875" s="7"/>
      <c r="BJ875" s="4"/>
      <c r="BK875" s="8"/>
      <c r="BL875" s="2" t="s">
        <v>231</v>
      </c>
      <c r="BM875" s="7"/>
      <c r="BN875" s="7"/>
      <c r="BO875" s="4"/>
      <c r="BP875" s="8"/>
      <c r="BQ875" s="4"/>
      <c r="BR875" s="8"/>
      <c r="BS875" s="7"/>
      <c r="BT875" s="7"/>
      <c r="BU875" s="2" t="s">
        <v>4504</v>
      </c>
      <c r="BV875" s="2" t="s">
        <v>231</v>
      </c>
      <c r="BW875" s="2" t="s">
        <v>231</v>
      </c>
      <c r="BX875" s="2" t="s">
        <v>231</v>
      </c>
      <c r="BY875" s="2" t="s">
        <v>277</v>
      </c>
      <c r="BZ875" s="2" t="s">
        <v>243</v>
      </c>
      <c r="CA875" s="2" t="s">
        <v>4200</v>
      </c>
      <c r="CB875" s="2" t="s">
        <v>4478</v>
      </c>
      <c r="CC875" s="2" t="s">
        <v>244</v>
      </c>
      <c r="CD875" s="2" t="s">
        <v>231</v>
      </c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>
        <v>326</v>
      </c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>
        <v>637</v>
      </c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>
        <v>287</v>
      </c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</row>
    <row r="876">
      <c r="A876" s="2" t="s">
        <v>4505</v>
      </c>
      <c r="B876" s="2" t="s">
        <v>287</v>
      </c>
      <c r="C876" s="2" t="s">
        <v>965</v>
      </c>
      <c r="D876" s="2" t="s">
        <v>289</v>
      </c>
      <c r="E876" s="2" t="s">
        <v>290</v>
      </c>
      <c r="F876" s="2" t="s">
        <v>4368</v>
      </c>
      <c r="G876" s="2" t="s">
        <v>4368</v>
      </c>
      <c r="H876" s="2" t="s">
        <v>4368</v>
      </c>
      <c r="I876" s="2" t="s">
        <v>4369</v>
      </c>
      <c r="J876" s="2" t="s">
        <v>293</v>
      </c>
      <c r="K876" s="2" t="s">
        <v>4500</v>
      </c>
      <c r="L876" s="3">
        <v>22.21</v>
      </c>
      <c r="M876" s="3">
        <v>23.32</v>
      </c>
      <c r="N876" s="3">
        <v>47.99</v>
      </c>
      <c r="O876" s="2" t="s">
        <v>243</v>
      </c>
      <c r="P876" s="2" t="s">
        <v>1281</v>
      </c>
      <c r="Q876" s="2" t="s">
        <v>237</v>
      </c>
      <c r="R876" s="2" t="s">
        <v>231</v>
      </c>
      <c r="S876" s="2" t="s">
        <v>4501</v>
      </c>
      <c r="T876" s="2" t="s">
        <v>4134</v>
      </c>
      <c r="U876" s="2" t="s">
        <v>231</v>
      </c>
      <c r="V876" s="2" t="s">
        <v>239</v>
      </c>
      <c r="W876" s="2" t="s">
        <v>273</v>
      </c>
      <c r="X876" s="2" t="s">
        <v>231</v>
      </c>
      <c r="Y876" s="2" t="s">
        <v>274</v>
      </c>
      <c r="Z876" s="4"/>
      <c r="AA876" s="4">
        <f>=ROUNDDOWN({0},0)</f>
      </c>
      <c r="AB876" s="5">
        <v>47</v>
      </c>
      <c r="AC876" s="2" t="s">
        <v>4212</v>
      </c>
      <c r="AD876" s="4">
        <v>462</v>
      </c>
      <c r="AE876" s="4">
        <v>1757</v>
      </c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231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231</v>
      </c>
      <c r="AW876" s="8" t="s">
        <v>231</v>
      </c>
      <c r="AX876" s="4" t="s">
        <v>231</v>
      </c>
      <c r="AY876" s="8" t="s">
        <v>231</v>
      </c>
      <c r="AZ876" s="7" t="s">
        <v>231</v>
      </c>
      <c r="BA876" s="7" t="s">
        <v>231</v>
      </c>
      <c r="BB876" s="7"/>
      <c r="BC876" s="4" t="s">
        <v>231</v>
      </c>
      <c r="BD876" s="8" t="s">
        <v>231</v>
      </c>
      <c r="BE876" s="4" t="s">
        <v>231</v>
      </c>
      <c r="BF876" s="8" t="s">
        <v>231</v>
      </c>
      <c r="BG876" s="7" t="s">
        <v>231</v>
      </c>
      <c r="BH876" s="7" t="s">
        <v>231</v>
      </c>
      <c r="BI876" s="7"/>
      <c r="BJ876" s="4"/>
      <c r="BK876" s="8"/>
      <c r="BL876" s="2" t="s">
        <v>231</v>
      </c>
      <c r="BM876" s="7"/>
      <c r="BN876" s="7"/>
      <c r="BO876" s="4"/>
      <c r="BP876" s="8"/>
      <c r="BQ876" s="4"/>
      <c r="BR876" s="8"/>
      <c r="BS876" s="7"/>
      <c r="BT876" s="7"/>
      <c r="BU876" s="2" t="s">
        <v>4506</v>
      </c>
      <c r="BV876" s="2" t="s">
        <v>231</v>
      </c>
      <c r="BW876" s="2" t="s">
        <v>231</v>
      </c>
      <c r="BX876" s="2" t="s">
        <v>231</v>
      </c>
      <c r="BY876" s="2" t="s">
        <v>277</v>
      </c>
      <c r="BZ876" s="2" t="s">
        <v>243</v>
      </c>
      <c r="CA876" s="2" t="s">
        <v>4200</v>
      </c>
      <c r="CB876" s="2" t="s">
        <v>3488</v>
      </c>
      <c r="CC876" s="2" t="s">
        <v>244</v>
      </c>
      <c r="CD876" s="2" t="s">
        <v>231</v>
      </c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>
        <v>462</v>
      </c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>
        <v>892</v>
      </c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>
        <v>403</v>
      </c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</row>
    <row r="877">
      <c r="A877" s="2" t="s">
        <v>4507</v>
      </c>
      <c r="B877" s="2" t="s">
        <v>287</v>
      </c>
      <c r="C877" s="2" t="s">
        <v>965</v>
      </c>
      <c r="D877" s="2" t="s">
        <v>289</v>
      </c>
      <c r="E877" s="2" t="s">
        <v>290</v>
      </c>
      <c r="F877" s="2" t="s">
        <v>4368</v>
      </c>
      <c r="G877" s="2" t="s">
        <v>4368</v>
      </c>
      <c r="H877" s="2" t="s">
        <v>4368</v>
      </c>
      <c r="I877" s="2" t="s">
        <v>4369</v>
      </c>
      <c r="J877" s="2" t="s">
        <v>302</v>
      </c>
      <c r="K877" s="2" t="s">
        <v>4500</v>
      </c>
      <c r="L877" s="3">
        <v>27.39</v>
      </c>
      <c r="M877" s="3">
        <v>28.76</v>
      </c>
      <c r="N877" s="3">
        <v>62.99</v>
      </c>
      <c r="O877" s="2" t="s">
        <v>243</v>
      </c>
      <c r="P877" s="2" t="s">
        <v>270</v>
      </c>
      <c r="Q877" s="2" t="s">
        <v>237</v>
      </c>
      <c r="R877" s="2" t="s">
        <v>231</v>
      </c>
      <c r="S877" s="2" t="s">
        <v>4501</v>
      </c>
      <c r="T877" s="2" t="s">
        <v>4134</v>
      </c>
      <c r="U877" s="2" t="s">
        <v>231</v>
      </c>
      <c r="V877" s="2" t="s">
        <v>239</v>
      </c>
      <c r="W877" s="2" t="s">
        <v>273</v>
      </c>
      <c r="X877" s="2" t="s">
        <v>231</v>
      </c>
      <c r="Y877" s="2" t="s">
        <v>274</v>
      </c>
      <c r="Z877" s="4"/>
      <c r="AA877" s="4">
        <f>=ROUNDDOWN({0},0)</f>
      </c>
      <c r="AB877" s="5">
        <v>19</v>
      </c>
      <c r="AC877" s="2" t="s">
        <v>4212</v>
      </c>
      <c r="AD877" s="4">
        <v>179</v>
      </c>
      <c r="AE877" s="4">
        <v>674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231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231</v>
      </c>
      <c r="AW877" s="8" t="s">
        <v>231</v>
      </c>
      <c r="AX877" s="4" t="s">
        <v>231</v>
      </c>
      <c r="AY877" s="8" t="s">
        <v>231</v>
      </c>
      <c r="AZ877" s="7" t="s">
        <v>231</v>
      </c>
      <c r="BA877" s="7" t="s">
        <v>231</v>
      </c>
      <c r="BB877" s="7"/>
      <c r="BC877" s="4" t="s">
        <v>231</v>
      </c>
      <c r="BD877" s="8" t="s">
        <v>231</v>
      </c>
      <c r="BE877" s="4" t="s">
        <v>231</v>
      </c>
      <c r="BF877" s="8" t="s">
        <v>231</v>
      </c>
      <c r="BG877" s="7" t="s">
        <v>231</v>
      </c>
      <c r="BH877" s="7" t="s">
        <v>231</v>
      </c>
      <c r="BI877" s="7"/>
      <c r="BJ877" s="4"/>
      <c r="BK877" s="8"/>
      <c r="BL877" s="2" t="s">
        <v>231</v>
      </c>
      <c r="BM877" s="7"/>
      <c r="BN877" s="7"/>
      <c r="BO877" s="4"/>
      <c r="BP877" s="8"/>
      <c r="BQ877" s="4"/>
      <c r="BR877" s="8"/>
      <c r="BS877" s="7"/>
      <c r="BT877" s="7"/>
      <c r="BU877" s="2" t="s">
        <v>4508</v>
      </c>
      <c r="BV877" s="2" t="s">
        <v>231</v>
      </c>
      <c r="BW877" s="2" t="s">
        <v>231</v>
      </c>
      <c r="BX877" s="2" t="s">
        <v>231</v>
      </c>
      <c r="BY877" s="2" t="s">
        <v>277</v>
      </c>
      <c r="BZ877" s="2" t="s">
        <v>243</v>
      </c>
      <c r="CA877" s="2" t="s">
        <v>4200</v>
      </c>
      <c r="CB877" s="2" t="s">
        <v>4509</v>
      </c>
      <c r="CC877" s="2" t="s">
        <v>244</v>
      </c>
      <c r="CD877" s="2" t="s">
        <v>231</v>
      </c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>
        <v>179</v>
      </c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>
        <v>330</v>
      </c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>
        <v>165</v>
      </c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</row>
    <row r="878">
      <c r="A878" s="2" t="s">
        <v>4510</v>
      </c>
      <c r="B878" s="2" t="s">
        <v>287</v>
      </c>
      <c r="C878" s="2" t="s">
        <v>965</v>
      </c>
      <c r="D878" s="2" t="s">
        <v>289</v>
      </c>
      <c r="E878" s="2" t="s">
        <v>290</v>
      </c>
      <c r="F878" s="2" t="s">
        <v>4368</v>
      </c>
      <c r="G878" s="2" t="s">
        <v>4368</v>
      </c>
      <c r="H878" s="2" t="s">
        <v>4368</v>
      </c>
      <c r="I878" s="2" t="s">
        <v>4369</v>
      </c>
      <c r="J878" s="2" t="s">
        <v>318</v>
      </c>
      <c r="K878" s="2" t="s">
        <v>4511</v>
      </c>
      <c r="L878" s="3">
        <v>14.89</v>
      </c>
      <c r="M878" s="3">
        <v>15.63</v>
      </c>
      <c r="N878" s="3">
        <v>31.99</v>
      </c>
      <c r="O878" s="2" t="s">
        <v>243</v>
      </c>
      <c r="P878" s="2" t="s">
        <v>1332</v>
      </c>
      <c r="Q878" s="2" t="s">
        <v>237</v>
      </c>
      <c r="R878" s="2" t="s">
        <v>231</v>
      </c>
      <c r="S878" s="2" t="s">
        <v>4512</v>
      </c>
      <c r="T878" s="2" t="s">
        <v>4134</v>
      </c>
      <c r="U878" s="2" t="s">
        <v>835</v>
      </c>
      <c r="V878" s="2" t="s">
        <v>1685</v>
      </c>
      <c r="W878" s="2" t="s">
        <v>273</v>
      </c>
      <c r="X878" s="2" t="s">
        <v>792</v>
      </c>
      <c r="Y878" s="2" t="s">
        <v>4513</v>
      </c>
      <c r="Z878" s="4">
        <v>1</v>
      </c>
      <c r="AA878" s="4">
        <f>=ROUNDDOWN(0.0125,0)</f>
      </c>
      <c r="AB878" s="5">
        <v>80</v>
      </c>
      <c r="AC878" s="2" t="s">
        <v>876</v>
      </c>
      <c r="AD878" s="4">
        <v>783</v>
      </c>
      <c r="AE878" s="4">
        <v>2895</v>
      </c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231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231</v>
      </c>
      <c r="AW878" s="8" t="s">
        <v>231</v>
      </c>
      <c r="AX878" s="4" t="s">
        <v>231</v>
      </c>
      <c r="AY878" s="8" t="s">
        <v>231</v>
      </c>
      <c r="AZ878" s="7" t="s">
        <v>231</v>
      </c>
      <c r="BA878" s="7" t="s">
        <v>231</v>
      </c>
      <c r="BB878" s="7"/>
      <c r="BC878" s="4" t="s">
        <v>231</v>
      </c>
      <c r="BD878" s="8" t="s">
        <v>231</v>
      </c>
      <c r="BE878" s="4" t="s">
        <v>231</v>
      </c>
      <c r="BF878" s="8" t="s">
        <v>231</v>
      </c>
      <c r="BG878" s="7" t="s">
        <v>231</v>
      </c>
      <c r="BH878" s="7" t="s">
        <v>231</v>
      </c>
      <c r="BI878" s="7"/>
      <c r="BJ878" s="4">
        <v>2</v>
      </c>
      <c r="BK878" s="8">
        <v>41.72</v>
      </c>
      <c r="BL878" s="2" t="s">
        <v>1306</v>
      </c>
      <c r="BM878" s="7"/>
      <c r="BN878" s="7"/>
      <c r="BO878" s="4"/>
      <c r="BP878" s="8"/>
      <c r="BQ878" s="4"/>
      <c r="BR878" s="8"/>
      <c r="BS878" s="7"/>
      <c r="BT878" s="7"/>
      <c r="BU878" s="2" t="s">
        <v>4514</v>
      </c>
      <c r="BV878" s="2" t="s">
        <v>231</v>
      </c>
      <c r="BW878" s="2" t="s">
        <v>231</v>
      </c>
      <c r="BX878" s="2" t="s">
        <v>231</v>
      </c>
      <c r="BY878" s="2" t="s">
        <v>277</v>
      </c>
      <c r="BZ878" s="2" t="s">
        <v>243</v>
      </c>
      <c r="CA878" s="2" t="s">
        <v>677</v>
      </c>
      <c r="CB878" s="2" t="s">
        <v>4515</v>
      </c>
      <c r="CC878" s="2" t="s">
        <v>244</v>
      </c>
      <c r="CD878" s="2" t="s">
        <v>231</v>
      </c>
      <c r="CE878" s="4">
        <v>1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>
        <v>783</v>
      </c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>
        <v>1424</v>
      </c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>
        <v>688</v>
      </c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</row>
    <row r="879">
      <c r="A879" s="2" t="s">
        <v>4516</v>
      </c>
      <c r="B879" s="2" t="s">
        <v>287</v>
      </c>
      <c r="C879" s="2" t="s">
        <v>965</v>
      </c>
      <c r="D879" s="2" t="s">
        <v>289</v>
      </c>
      <c r="E879" s="2" t="s">
        <v>290</v>
      </c>
      <c r="F879" s="2" t="s">
        <v>4368</v>
      </c>
      <c r="G879" s="2" t="s">
        <v>4368</v>
      </c>
      <c r="H879" s="2" t="s">
        <v>4368</v>
      </c>
      <c r="I879" s="2" t="s">
        <v>4369</v>
      </c>
      <c r="J879" s="2" t="s">
        <v>281</v>
      </c>
      <c r="K879" s="2" t="s">
        <v>4511</v>
      </c>
      <c r="L879" s="3">
        <v>19.57</v>
      </c>
      <c r="M879" s="3">
        <v>20.55</v>
      </c>
      <c r="N879" s="3">
        <v>42.99</v>
      </c>
      <c r="O879" s="2" t="s">
        <v>243</v>
      </c>
      <c r="P879" s="2" t="s">
        <v>4057</v>
      </c>
      <c r="Q879" s="2" t="s">
        <v>237</v>
      </c>
      <c r="R879" s="2" t="s">
        <v>231</v>
      </c>
      <c r="S879" s="2" t="s">
        <v>4512</v>
      </c>
      <c r="T879" s="2" t="s">
        <v>4134</v>
      </c>
      <c r="U879" s="2" t="s">
        <v>298</v>
      </c>
      <c r="V879" s="2" t="s">
        <v>1685</v>
      </c>
      <c r="W879" s="2" t="s">
        <v>273</v>
      </c>
      <c r="X879" s="2" t="s">
        <v>792</v>
      </c>
      <c r="Y879" s="2" t="s">
        <v>4513</v>
      </c>
      <c r="Z879" s="4">
        <v>3</v>
      </c>
      <c r="AA879" s="4">
        <f>=ROUNDDOWN(0.0428571428571429,0)</f>
      </c>
      <c r="AB879" s="5">
        <v>70</v>
      </c>
      <c r="AC879" s="2" t="s">
        <v>876</v>
      </c>
      <c r="AD879" s="4">
        <v>674</v>
      </c>
      <c r="AE879" s="4">
        <v>2545</v>
      </c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231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231</v>
      </c>
      <c r="AW879" s="8" t="s">
        <v>231</v>
      </c>
      <c r="AX879" s="4" t="s">
        <v>231</v>
      </c>
      <c r="AY879" s="8" t="s">
        <v>231</v>
      </c>
      <c r="AZ879" s="7" t="s">
        <v>231</v>
      </c>
      <c r="BA879" s="7" t="s">
        <v>231</v>
      </c>
      <c r="BB879" s="7"/>
      <c r="BC879" s="4" t="s">
        <v>231</v>
      </c>
      <c r="BD879" s="8" t="s">
        <v>231</v>
      </c>
      <c r="BE879" s="4" t="s">
        <v>231</v>
      </c>
      <c r="BF879" s="8" t="s">
        <v>231</v>
      </c>
      <c r="BG879" s="7" t="s">
        <v>231</v>
      </c>
      <c r="BH879" s="7" t="s">
        <v>231</v>
      </c>
      <c r="BI879" s="7"/>
      <c r="BJ879" s="4"/>
      <c r="BK879" s="8"/>
      <c r="BL879" s="2" t="s">
        <v>231</v>
      </c>
      <c r="BM879" s="7"/>
      <c r="BN879" s="7"/>
      <c r="BO879" s="4"/>
      <c r="BP879" s="8"/>
      <c r="BQ879" s="4"/>
      <c r="BR879" s="8"/>
      <c r="BS879" s="7"/>
      <c r="BT879" s="7"/>
      <c r="BU879" s="2" t="s">
        <v>4517</v>
      </c>
      <c r="BV879" s="2" t="s">
        <v>231</v>
      </c>
      <c r="BW879" s="2" t="s">
        <v>231</v>
      </c>
      <c r="BX879" s="2" t="s">
        <v>231</v>
      </c>
      <c r="BY879" s="2" t="s">
        <v>277</v>
      </c>
      <c r="BZ879" s="2" t="s">
        <v>243</v>
      </c>
      <c r="CA879" s="2" t="s">
        <v>677</v>
      </c>
      <c r="CB879" s="2" t="s">
        <v>4407</v>
      </c>
      <c r="CC879" s="2" t="s">
        <v>244</v>
      </c>
      <c r="CD879" s="2" t="s">
        <v>231</v>
      </c>
      <c r="CE879" s="4">
        <v>3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>
        <v>674</v>
      </c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>
        <v>1280</v>
      </c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>
        <v>591</v>
      </c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</row>
    <row r="880">
      <c r="A880" s="2" t="s">
        <v>4518</v>
      </c>
      <c r="B880" s="2" t="s">
        <v>287</v>
      </c>
      <c r="C880" s="2" t="s">
        <v>965</v>
      </c>
      <c r="D880" s="2" t="s">
        <v>289</v>
      </c>
      <c r="E880" s="2" t="s">
        <v>290</v>
      </c>
      <c r="F880" s="2" t="s">
        <v>4368</v>
      </c>
      <c r="G880" s="2" t="s">
        <v>4368</v>
      </c>
      <c r="H880" s="2" t="s">
        <v>4368</v>
      </c>
      <c r="I880" s="2" t="s">
        <v>4369</v>
      </c>
      <c r="J880" s="2" t="s">
        <v>302</v>
      </c>
      <c r="K880" s="2" t="s">
        <v>4511</v>
      </c>
      <c r="L880" s="3">
        <v>27.39</v>
      </c>
      <c r="M880" s="3">
        <v>28.76</v>
      </c>
      <c r="N880" s="3">
        <v>62.99</v>
      </c>
      <c r="O880" s="2" t="s">
        <v>243</v>
      </c>
      <c r="P880" s="2" t="s">
        <v>1281</v>
      </c>
      <c r="Q880" s="2" t="s">
        <v>237</v>
      </c>
      <c r="R880" s="2" t="s">
        <v>231</v>
      </c>
      <c r="S880" s="2" t="s">
        <v>4512</v>
      </c>
      <c r="T880" s="2" t="s">
        <v>4134</v>
      </c>
      <c r="U880" s="2" t="s">
        <v>298</v>
      </c>
      <c r="V880" s="2" t="s">
        <v>1685</v>
      </c>
      <c r="W880" s="2" t="s">
        <v>273</v>
      </c>
      <c r="X880" s="2" t="s">
        <v>792</v>
      </c>
      <c r="Y880" s="2" t="s">
        <v>4513</v>
      </c>
      <c r="Z880" s="4">
        <v>3</v>
      </c>
      <c r="AA880" s="4">
        <f>=ROUNDDOWN(0.111111111111111,0)</f>
      </c>
      <c r="AB880" s="5">
        <v>27</v>
      </c>
      <c r="AC880" s="2" t="s">
        <v>876</v>
      </c>
      <c r="AD880" s="4">
        <v>264</v>
      </c>
      <c r="AE880" s="4">
        <v>975</v>
      </c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231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231</v>
      </c>
      <c r="AW880" s="8" t="s">
        <v>231</v>
      </c>
      <c r="AX880" s="4" t="s">
        <v>231</v>
      </c>
      <c r="AY880" s="8" t="s">
        <v>231</v>
      </c>
      <c r="AZ880" s="7" t="s">
        <v>231</v>
      </c>
      <c r="BA880" s="7" t="s">
        <v>231</v>
      </c>
      <c r="BB880" s="7"/>
      <c r="BC880" s="4" t="s">
        <v>231</v>
      </c>
      <c r="BD880" s="8" t="s">
        <v>231</v>
      </c>
      <c r="BE880" s="4" t="s">
        <v>231</v>
      </c>
      <c r="BF880" s="8" t="s">
        <v>231</v>
      </c>
      <c r="BG880" s="7" t="s">
        <v>231</v>
      </c>
      <c r="BH880" s="7" t="s">
        <v>231</v>
      </c>
      <c r="BI880" s="7"/>
      <c r="BJ880" s="4"/>
      <c r="BK880" s="8"/>
      <c r="BL880" s="2" t="s">
        <v>231</v>
      </c>
      <c r="BM880" s="7"/>
      <c r="BN880" s="7"/>
      <c r="BO880" s="4"/>
      <c r="BP880" s="8"/>
      <c r="BQ880" s="4"/>
      <c r="BR880" s="8"/>
      <c r="BS880" s="7"/>
      <c r="BT880" s="7"/>
      <c r="BU880" s="2" t="s">
        <v>4519</v>
      </c>
      <c r="BV880" s="2" t="s">
        <v>231</v>
      </c>
      <c r="BW880" s="2" t="s">
        <v>231</v>
      </c>
      <c r="BX880" s="2" t="s">
        <v>231</v>
      </c>
      <c r="BY880" s="2" t="s">
        <v>277</v>
      </c>
      <c r="BZ880" s="2" t="s">
        <v>243</v>
      </c>
      <c r="CA880" s="2" t="s">
        <v>677</v>
      </c>
      <c r="CB880" s="2" t="s">
        <v>4520</v>
      </c>
      <c r="CC880" s="2" t="s">
        <v>244</v>
      </c>
      <c r="CD880" s="2" t="s">
        <v>231</v>
      </c>
      <c r="CE880" s="4">
        <v>3</v>
      </c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>
        <v>264</v>
      </c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>
        <v>472</v>
      </c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>
        <v>239</v>
      </c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</row>
    <row r="881">
      <c r="A881" s="2" t="s">
        <v>4521</v>
      </c>
      <c r="B881" s="2" t="s">
        <v>287</v>
      </c>
      <c r="C881" s="2" t="s">
        <v>965</v>
      </c>
      <c r="D881" s="2" t="s">
        <v>289</v>
      </c>
      <c r="E881" s="2" t="s">
        <v>290</v>
      </c>
      <c r="F881" s="2" t="s">
        <v>4368</v>
      </c>
      <c r="G881" s="2" t="s">
        <v>4368</v>
      </c>
      <c r="H881" s="2" t="s">
        <v>4368</v>
      </c>
      <c r="I881" s="2" t="s">
        <v>4369</v>
      </c>
      <c r="J881" s="2" t="s">
        <v>318</v>
      </c>
      <c r="K881" s="2" t="s">
        <v>4522</v>
      </c>
      <c r="L881" s="3">
        <v>14.89</v>
      </c>
      <c r="M881" s="3">
        <v>15.63</v>
      </c>
      <c r="N881" s="3">
        <v>36.99</v>
      </c>
      <c r="O881" s="2" t="s">
        <v>243</v>
      </c>
      <c r="P881" s="2" t="s">
        <v>236</v>
      </c>
      <c r="Q881" s="2" t="s">
        <v>237</v>
      </c>
      <c r="R881" s="2" t="s">
        <v>231</v>
      </c>
      <c r="S881" s="2" t="s">
        <v>4523</v>
      </c>
      <c r="T881" s="2" t="s">
        <v>4134</v>
      </c>
      <c r="U881" s="2" t="s">
        <v>835</v>
      </c>
      <c r="V881" s="2" t="s">
        <v>4524</v>
      </c>
      <c r="W881" s="2" t="s">
        <v>273</v>
      </c>
      <c r="X881" s="2" t="s">
        <v>897</v>
      </c>
      <c r="Y881" s="2" t="s">
        <v>231</v>
      </c>
      <c r="Z881" s="4"/>
      <c r="AA881" s="4">
        <f>=ROUNDDOWN({0},0)</f>
      </c>
      <c r="AB881" s="5"/>
      <c r="AC881" s="2" t="s">
        <v>4195</v>
      </c>
      <c r="AD881" s="4">
        <v>1278</v>
      </c>
      <c r="AE881" s="4">
        <v>2045</v>
      </c>
      <c r="AF881" s="6">
        <v>69</v>
      </c>
      <c r="AG881" s="6"/>
      <c r="AH881" s="7">
        <v>0</v>
      </c>
      <c r="AI881" s="4"/>
      <c r="AJ881" s="4">
        <f>=ROUNDDOWN({0},0)</f>
      </c>
      <c r="AK881" s="5"/>
      <c r="AL881" s="2" t="s">
        <v>231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231</v>
      </c>
      <c r="AW881" s="8" t="s">
        <v>231</v>
      </c>
      <c r="AX881" s="4" t="s">
        <v>231</v>
      </c>
      <c r="AY881" s="8" t="s">
        <v>231</v>
      </c>
      <c r="AZ881" s="7" t="s">
        <v>231</v>
      </c>
      <c r="BA881" s="7" t="s">
        <v>231</v>
      </c>
      <c r="BB881" s="7"/>
      <c r="BC881" s="4" t="s">
        <v>231</v>
      </c>
      <c r="BD881" s="8" t="s">
        <v>231</v>
      </c>
      <c r="BE881" s="4" t="s">
        <v>231</v>
      </c>
      <c r="BF881" s="8" t="s">
        <v>231</v>
      </c>
      <c r="BG881" s="7" t="s">
        <v>231</v>
      </c>
      <c r="BH881" s="7" t="s">
        <v>231</v>
      </c>
      <c r="BI881" s="7"/>
      <c r="BJ881" s="4"/>
      <c r="BK881" s="8"/>
      <c r="BL881" s="2" t="s">
        <v>231</v>
      </c>
      <c r="BM881" s="7"/>
      <c r="BN881" s="7"/>
      <c r="BO881" s="4"/>
      <c r="BP881" s="8"/>
      <c r="BQ881" s="4"/>
      <c r="BR881" s="8"/>
      <c r="BS881" s="7"/>
      <c r="BT881" s="7"/>
      <c r="BU881" s="2" t="s">
        <v>241</v>
      </c>
      <c r="BV881" s="2" t="s">
        <v>231</v>
      </c>
      <c r="BW881" s="2" t="s">
        <v>231</v>
      </c>
      <c r="BX881" s="2" t="s">
        <v>241</v>
      </c>
      <c r="BY881" s="2" t="s">
        <v>242</v>
      </c>
      <c r="BZ881" s="2" t="s">
        <v>243</v>
      </c>
      <c r="CA881" s="2" t="s">
        <v>231</v>
      </c>
      <c r="CB881" s="2" t="s">
        <v>231</v>
      </c>
      <c r="CC881" s="2" t="s">
        <v>244</v>
      </c>
      <c r="CD881" s="2" t="s">
        <v>231</v>
      </c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>
        <v>1278</v>
      </c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>
        <v>767</v>
      </c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</row>
    <row r="882">
      <c r="A882" s="2" t="s">
        <v>4525</v>
      </c>
      <c r="B882" s="2" t="s">
        <v>287</v>
      </c>
      <c r="C882" s="2" t="s">
        <v>965</v>
      </c>
      <c r="D882" s="2" t="s">
        <v>289</v>
      </c>
      <c r="E882" s="2" t="s">
        <v>290</v>
      </c>
      <c r="F882" s="2" t="s">
        <v>4368</v>
      </c>
      <c r="G882" s="2" t="s">
        <v>4368</v>
      </c>
      <c r="H882" s="2" t="s">
        <v>4368</v>
      </c>
      <c r="I882" s="2" t="s">
        <v>4369</v>
      </c>
      <c r="J882" s="2" t="s">
        <v>268</v>
      </c>
      <c r="K882" s="2" t="s">
        <v>4522</v>
      </c>
      <c r="L882" s="3">
        <v>16.16</v>
      </c>
      <c r="M882" s="3">
        <v>16.97</v>
      </c>
      <c r="N882" s="3">
        <v>39.99</v>
      </c>
      <c r="O882" s="2" t="s">
        <v>243</v>
      </c>
      <c r="P882" s="2" t="s">
        <v>236</v>
      </c>
      <c r="Q882" s="2" t="s">
        <v>237</v>
      </c>
      <c r="R882" s="2" t="s">
        <v>231</v>
      </c>
      <c r="S882" s="2" t="s">
        <v>4523</v>
      </c>
      <c r="T882" s="2" t="s">
        <v>4134</v>
      </c>
      <c r="U882" s="2" t="s">
        <v>835</v>
      </c>
      <c r="V882" s="2" t="s">
        <v>4524</v>
      </c>
      <c r="W882" s="2" t="s">
        <v>273</v>
      </c>
      <c r="X882" s="2" t="s">
        <v>897</v>
      </c>
      <c r="Y882" s="2" t="s">
        <v>231</v>
      </c>
      <c r="Z882" s="4"/>
      <c r="AA882" s="4">
        <f>=ROUNDDOWN({0},0)</f>
      </c>
      <c r="AB882" s="5"/>
      <c r="AC882" s="2" t="s">
        <v>4195</v>
      </c>
      <c r="AD882" s="4">
        <v>1253</v>
      </c>
      <c r="AE882" s="4">
        <v>2005</v>
      </c>
      <c r="AF882" s="6">
        <v>69</v>
      </c>
      <c r="AG882" s="6"/>
      <c r="AH882" s="7">
        <v>0</v>
      </c>
      <c r="AI882" s="4"/>
      <c r="AJ882" s="4">
        <f>=ROUNDDOWN({0},0)</f>
      </c>
      <c r="AK882" s="5"/>
      <c r="AL882" s="2" t="s">
        <v>231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231</v>
      </c>
      <c r="AW882" s="8" t="s">
        <v>231</v>
      </c>
      <c r="AX882" s="4" t="s">
        <v>231</v>
      </c>
      <c r="AY882" s="8" t="s">
        <v>231</v>
      </c>
      <c r="AZ882" s="7" t="s">
        <v>231</v>
      </c>
      <c r="BA882" s="7" t="s">
        <v>231</v>
      </c>
      <c r="BB882" s="7"/>
      <c r="BC882" s="4" t="s">
        <v>231</v>
      </c>
      <c r="BD882" s="8" t="s">
        <v>231</v>
      </c>
      <c r="BE882" s="4" t="s">
        <v>231</v>
      </c>
      <c r="BF882" s="8" t="s">
        <v>231</v>
      </c>
      <c r="BG882" s="7" t="s">
        <v>231</v>
      </c>
      <c r="BH882" s="7" t="s">
        <v>231</v>
      </c>
      <c r="BI882" s="7"/>
      <c r="BJ882" s="4"/>
      <c r="BK882" s="8"/>
      <c r="BL882" s="2" t="s">
        <v>231</v>
      </c>
      <c r="BM882" s="7"/>
      <c r="BN882" s="7"/>
      <c r="BO882" s="4"/>
      <c r="BP882" s="8"/>
      <c r="BQ882" s="4"/>
      <c r="BR882" s="8"/>
      <c r="BS882" s="7"/>
      <c r="BT882" s="7"/>
      <c r="BU882" s="2" t="s">
        <v>241</v>
      </c>
      <c r="BV882" s="2" t="s">
        <v>231</v>
      </c>
      <c r="BW882" s="2" t="s">
        <v>231</v>
      </c>
      <c r="BX882" s="2" t="s">
        <v>241</v>
      </c>
      <c r="BY882" s="2" t="s">
        <v>242</v>
      </c>
      <c r="BZ882" s="2" t="s">
        <v>243</v>
      </c>
      <c r="CA882" s="2" t="s">
        <v>231</v>
      </c>
      <c r="CB882" s="2" t="s">
        <v>231</v>
      </c>
      <c r="CC882" s="2" t="s">
        <v>244</v>
      </c>
      <c r="CD882" s="2" t="s">
        <v>231</v>
      </c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>
        <v>1253</v>
      </c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>
        <v>752</v>
      </c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</row>
    <row r="883">
      <c r="A883" s="2" t="s">
        <v>4526</v>
      </c>
      <c r="B883" s="2" t="s">
        <v>287</v>
      </c>
      <c r="C883" s="2" t="s">
        <v>965</v>
      </c>
      <c r="D883" s="2" t="s">
        <v>289</v>
      </c>
      <c r="E883" s="2" t="s">
        <v>290</v>
      </c>
      <c r="F883" s="2" t="s">
        <v>4368</v>
      </c>
      <c r="G883" s="2" t="s">
        <v>4368</v>
      </c>
      <c r="H883" s="2" t="s">
        <v>4368</v>
      </c>
      <c r="I883" s="2" t="s">
        <v>4369</v>
      </c>
      <c r="J883" s="2" t="s">
        <v>281</v>
      </c>
      <c r="K883" s="2" t="s">
        <v>4522</v>
      </c>
      <c r="L883" s="3">
        <v>19.57</v>
      </c>
      <c r="M883" s="3">
        <v>20.55</v>
      </c>
      <c r="N883" s="3">
        <v>47.99</v>
      </c>
      <c r="O883" s="2" t="s">
        <v>243</v>
      </c>
      <c r="P883" s="2" t="s">
        <v>236</v>
      </c>
      <c r="Q883" s="2" t="s">
        <v>237</v>
      </c>
      <c r="R883" s="2" t="s">
        <v>231</v>
      </c>
      <c r="S883" s="2" t="s">
        <v>4523</v>
      </c>
      <c r="T883" s="2" t="s">
        <v>4134</v>
      </c>
      <c r="U883" s="2" t="s">
        <v>298</v>
      </c>
      <c r="V883" s="2" t="s">
        <v>4524</v>
      </c>
      <c r="W883" s="2" t="s">
        <v>273</v>
      </c>
      <c r="X883" s="2" t="s">
        <v>897</v>
      </c>
      <c r="Y883" s="2" t="s">
        <v>231</v>
      </c>
      <c r="Z883" s="4"/>
      <c r="AA883" s="4">
        <f>=ROUNDDOWN({0},0)</f>
      </c>
      <c r="AB883" s="5"/>
      <c r="AC883" s="2" t="s">
        <v>4195</v>
      </c>
      <c r="AD883" s="4">
        <v>1061</v>
      </c>
      <c r="AE883" s="4">
        <v>1698</v>
      </c>
      <c r="AF883" s="6">
        <v>69</v>
      </c>
      <c r="AG883" s="6"/>
      <c r="AH883" s="7">
        <v>0</v>
      </c>
      <c r="AI883" s="4"/>
      <c r="AJ883" s="4">
        <f>=ROUNDDOWN({0},0)</f>
      </c>
      <c r="AK883" s="5"/>
      <c r="AL883" s="2" t="s">
        <v>231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231</v>
      </c>
      <c r="AW883" s="8" t="s">
        <v>231</v>
      </c>
      <c r="AX883" s="4" t="s">
        <v>231</v>
      </c>
      <c r="AY883" s="8" t="s">
        <v>231</v>
      </c>
      <c r="AZ883" s="7" t="s">
        <v>231</v>
      </c>
      <c r="BA883" s="7" t="s">
        <v>231</v>
      </c>
      <c r="BB883" s="7"/>
      <c r="BC883" s="4" t="s">
        <v>231</v>
      </c>
      <c r="BD883" s="8" t="s">
        <v>231</v>
      </c>
      <c r="BE883" s="4" t="s">
        <v>231</v>
      </c>
      <c r="BF883" s="8" t="s">
        <v>231</v>
      </c>
      <c r="BG883" s="7" t="s">
        <v>231</v>
      </c>
      <c r="BH883" s="7" t="s">
        <v>231</v>
      </c>
      <c r="BI883" s="7"/>
      <c r="BJ883" s="4"/>
      <c r="BK883" s="8"/>
      <c r="BL883" s="2" t="s">
        <v>231</v>
      </c>
      <c r="BM883" s="7"/>
      <c r="BN883" s="7"/>
      <c r="BO883" s="4"/>
      <c r="BP883" s="8"/>
      <c r="BQ883" s="4"/>
      <c r="BR883" s="8"/>
      <c r="BS883" s="7"/>
      <c r="BT883" s="7"/>
      <c r="BU883" s="2" t="s">
        <v>241</v>
      </c>
      <c r="BV883" s="2" t="s">
        <v>231</v>
      </c>
      <c r="BW883" s="2" t="s">
        <v>231</v>
      </c>
      <c r="BX883" s="2" t="s">
        <v>241</v>
      </c>
      <c r="BY883" s="2" t="s">
        <v>242</v>
      </c>
      <c r="BZ883" s="2" t="s">
        <v>243</v>
      </c>
      <c r="CA883" s="2" t="s">
        <v>231</v>
      </c>
      <c r="CB883" s="2" t="s">
        <v>231</v>
      </c>
      <c r="CC883" s="2" t="s">
        <v>244</v>
      </c>
      <c r="CD883" s="2" t="s">
        <v>231</v>
      </c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>
        <v>1061</v>
      </c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>
        <v>637</v>
      </c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</row>
    <row r="884">
      <c r="A884" s="2" t="s">
        <v>4527</v>
      </c>
      <c r="B884" s="2" t="s">
        <v>287</v>
      </c>
      <c r="C884" s="2" t="s">
        <v>965</v>
      </c>
      <c r="D884" s="2" t="s">
        <v>289</v>
      </c>
      <c r="E884" s="2" t="s">
        <v>290</v>
      </c>
      <c r="F884" s="2" t="s">
        <v>4368</v>
      </c>
      <c r="G884" s="2" t="s">
        <v>4368</v>
      </c>
      <c r="H884" s="2" t="s">
        <v>4368</v>
      </c>
      <c r="I884" s="2" t="s">
        <v>4369</v>
      </c>
      <c r="J884" s="2" t="s">
        <v>293</v>
      </c>
      <c r="K884" s="2" t="s">
        <v>4522</v>
      </c>
      <c r="L884" s="3">
        <v>22.21</v>
      </c>
      <c r="M884" s="3">
        <v>23.32</v>
      </c>
      <c r="N884" s="3">
        <v>52.99</v>
      </c>
      <c r="O884" s="2" t="s">
        <v>243</v>
      </c>
      <c r="P884" s="2" t="s">
        <v>236</v>
      </c>
      <c r="Q884" s="2" t="s">
        <v>237</v>
      </c>
      <c r="R884" s="2" t="s">
        <v>231</v>
      </c>
      <c r="S884" s="2" t="s">
        <v>4523</v>
      </c>
      <c r="T884" s="2" t="s">
        <v>4134</v>
      </c>
      <c r="U884" s="2" t="s">
        <v>298</v>
      </c>
      <c r="V884" s="2" t="s">
        <v>4524</v>
      </c>
      <c r="W884" s="2" t="s">
        <v>273</v>
      </c>
      <c r="X884" s="2" t="s">
        <v>897</v>
      </c>
      <c r="Y884" s="2" t="s">
        <v>231</v>
      </c>
      <c r="Z884" s="4"/>
      <c r="AA884" s="4">
        <f>=ROUNDDOWN({0},0)</f>
      </c>
      <c r="AB884" s="5"/>
      <c r="AC884" s="2" t="s">
        <v>4195</v>
      </c>
      <c r="AD884" s="4">
        <v>1473</v>
      </c>
      <c r="AE884" s="4">
        <v>2357</v>
      </c>
      <c r="AF884" s="6">
        <v>69</v>
      </c>
      <c r="AG884" s="6"/>
      <c r="AH884" s="7">
        <v>0</v>
      </c>
      <c r="AI884" s="4"/>
      <c r="AJ884" s="4">
        <f>=ROUNDDOWN({0},0)</f>
      </c>
      <c r="AK884" s="5"/>
      <c r="AL884" s="2" t="s">
        <v>231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231</v>
      </c>
      <c r="AW884" s="8" t="s">
        <v>231</v>
      </c>
      <c r="AX884" s="4" t="s">
        <v>231</v>
      </c>
      <c r="AY884" s="8" t="s">
        <v>231</v>
      </c>
      <c r="AZ884" s="7" t="s">
        <v>231</v>
      </c>
      <c r="BA884" s="7" t="s">
        <v>231</v>
      </c>
      <c r="BB884" s="7"/>
      <c r="BC884" s="4" t="s">
        <v>231</v>
      </c>
      <c r="BD884" s="8" t="s">
        <v>231</v>
      </c>
      <c r="BE884" s="4" t="s">
        <v>231</v>
      </c>
      <c r="BF884" s="8" t="s">
        <v>231</v>
      </c>
      <c r="BG884" s="7" t="s">
        <v>231</v>
      </c>
      <c r="BH884" s="7" t="s">
        <v>231</v>
      </c>
      <c r="BI884" s="7"/>
      <c r="BJ884" s="4"/>
      <c r="BK884" s="8"/>
      <c r="BL884" s="2" t="s">
        <v>231</v>
      </c>
      <c r="BM884" s="7"/>
      <c r="BN884" s="7"/>
      <c r="BO884" s="4"/>
      <c r="BP884" s="8"/>
      <c r="BQ884" s="4"/>
      <c r="BR884" s="8"/>
      <c r="BS884" s="7"/>
      <c r="BT884" s="7"/>
      <c r="BU884" s="2" t="s">
        <v>241</v>
      </c>
      <c r="BV884" s="2" t="s">
        <v>231</v>
      </c>
      <c r="BW884" s="2" t="s">
        <v>231</v>
      </c>
      <c r="BX884" s="2" t="s">
        <v>241</v>
      </c>
      <c r="BY884" s="2" t="s">
        <v>242</v>
      </c>
      <c r="BZ884" s="2" t="s">
        <v>243</v>
      </c>
      <c r="CA884" s="2" t="s">
        <v>231</v>
      </c>
      <c r="CB884" s="2" t="s">
        <v>231</v>
      </c>
      <c r="CC884" s="2" t="s">
        <v>244</v>
      </c>
      <c r="CD884" s="2" t="s">
        <v>231</v>
      </c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>
        <v>1473</v>
      </c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>
        <v>884</v>
      </c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</row>
    <row r="885">
      <c r="A885" s="2" t="s">
        <v>4528</v>
      </c>
      <c r="B885" s="2" t="s">
        <v>287</v>
      </c>
      <c r="C885" s="2" t="s">
        <v>965</v>
      </c>
      <c r="D885" s="2" t="s">
        <v>289</v>
      </c>
      <c r="E885" s="2" t="s">
        <v>290</v>
      </c>
      <c r="F885" s="2" t="s">
        <v>4368</v>
      </c>
      <c r="G885" s="2" t="s">
        <v>4368</v>
      </c>
      <c r="H885" s="2" t="s">
        <v>4368</v>
      </c>
      <c r="I885" s="2" t="s">
        <v>4369</v>
      </c>
      <c r="J885" s="2" t="s">
        <v>302</v>
      </c>
      <c r="K885" s="2" t="s">
        <v>4522</v>
      </c>
      <c r="L885" s="3">
        <v>27.39</v>
      </c>
      <c r="M885" s="3">
        <v>28.76</v>
      </c>
      <c r="N885" s="3">
        <v>67.99</v>
      </c>
      <c r="O885" s="2" t="s">
        <v>243</v>
      </c>
      <c r="P885" s="2" t="s">
        <v>236</v>
      </c>
      <c r="Q885" s="2" t="s">
        <v>237</v>
      </c>
      <c r="R885" s="2" t="s">
        <v>231</v>
      </c>
      <c r="S885" s="2" t="s">
        <v>4523</v>
      </c>
      <c r="T885" s="2" t="s">
        <v>4134</v>
      </c>
      <c r="U885" s="2" t="s">
        <v>298</v>
      </c>
      <c r="V885" s="2" t="s">
        <v>4524</v>
      </c>
      <c r="W885" s="2" t="s">
        <v>273</v>
      </c>
      <c r="X885" s="2" t="s">
        <v>897</v>
      </c>
      <c r="Y885" s="2" t="s">
        <v>231</v>
      </c>
      <c r="Z885" s="4"/>
      <c r="AA885" s="4">
        <f>=ROUNDDOWN({0},0)</f>
      </c>
      <c r="AB885" s="5"/>
      <c r="AC885" s="2" t="s">
        <v>4195</v>
      </c>
      <c r="AD885" s="4">
        <v>803</v>
      </c>
      <c r="AE885" s="4">
        <v>1285</v>
      </c>
      <c r="AF885" s="6">
        <v>69</v>
      </c>
      <c r="AG885" s="6"/>
      <c r="AH885" s="7">
        <v>0</v>
      </c>
      <c r="AI885" s="4"/>
      <c r="AJ885" s="4">
        <f>=ROUNDDOWN({0},0)</f>
      </c>
      <c r="AK885" s="5"/>
      <c r="AL885" s="2" t="s">
        <v>231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231</v>
      </c>
      <c r="AW885" s="8" t="s">
        <v>231</v>
      </c>
      <c r="AX885" s="4" t="s">
        <v>231</v>
      </c>
      <c r="AY885" s="8" t="s">
        <v>231</v>
      </c>
      <c r="AZ885" s="7" t="s">
        <v>231</v>
      </c>
      <c r="BA885" s="7" t="s">
        <v>231</v>
      </c>
      <c r="BB885" s="7"/>
      <c r="BC885" s="4" t="s">
        <v>231</v>
      </c>
      <c r="BD885" s="8" t="s">
        <v>231</v>
      </c>
      <c r="BE885" s="4" t="s">
        <v>231</v>
      </c>
      <c r="BF885" s="8" t="s">
        <v>231</v>
      </c>
      <c r="BG885" s="7" t="s">
        <v>231</v>
      </c>
      <c r="BH885" s="7" t="s">
        <v>231</v>
      </c>
      <c r="BI885" s="7"/>
      <c r="BJ885" s="4"/>
      <c r="BK885" s="8"/>
      <c r="BL885" s="2" t="s">
        <v>231</v>
      </c>
      <c r="BM885" s="7"/>
      <c r="BN885" s="7"/>
      <c r="BO885" s="4"/>
      <c r="BP885" s="8"/>
      <c r="BQ885" s="4"/>
      <c r="BR885" s="8"/>
      <c r="BS885" s="7"/>
      <c r="BT885" s="7"/>
      <c r="BU885" s="2" t="s">
        <v>241</v>
      </c>
      <c r="BV885" s="2" t="s">
        <v>231</v>
      </c>
      <c r="BW885" s="2" t="s">
        <v>231</v>
      </c>
      <c r="BX885" s="2" t="s">
        <v>241</v>
      </c>
      <c r="BY885" s="2" t="s">
        <v>242</v>
      </c>
      <c r="BZ885" s="2" t="s">
        <v>243</v>
      </c>
      <c r="CA885" s="2" t="s">
        <v>231</v>
      </c>
      <c r="CB885" s="2" t="s">
        <v>231</v>
      </c>
      <c r="CC885" s="2" t="s">
        <v>244</v>
      </c>
      <c r="CD885" s="2" t="s">
        <v>231</v>
      </c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>
        <v>803</v>
      </c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>
        <v>482</v>
      </c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</row>
    <row r="886">
      <c r="A886" s="2" t="s">
        <v>4529</v>
      </c>
      <c r="B886" s="2" t="s">
        <v>287</v>
      </c>
      <c r="C886" s="2" t="s">
        <v>965</v>
      </c>
      <c r="D886" s="2" t="s">
        <v>289</v>
      </c>
      <c r="E886" s="2" t="s">
        <v>290</v>
      </c>
      <c r="F886" s="2" t="s">
        <v>4368</v>
      </c>
      <c r="G886" s="2" t="s">
        <v>4368</v>
      </c>
      <c r="H886" s="2" t="s">
        <v>4368</v>
      </c>
      <c r="I886" s="2" t="s">
        <v>4369</v>
      </c>
      <c r="J886" s="2" t="s">
        <v>304</v>
      </c>
      <c r="K886" s="2" t="s">
        <v>4522</v>
      </c>
      <c r="L886" s="3">
        <v>27.39</v>
      </c>
      <c r="M886" s="3">
        <v>28.76</v>
      </c>
      <c r="N886" s="3">
        <v>67.99</v>
      </c>
      <c r="O886" s="2" t="s">
        <v>243</v>
      </c>
      <c r="P886" s="2" t="s">
        <v>236</v>
      </c>
      <c r="Q886" s="2" t="s">
        <v>237</v>
      </c>
      <c r="R886" s="2" t="s">
        <v>231</v>
      </c>
      <c r="S886" s="2" t="s">
        <v>4523</v>
      </c>
      <c r="T886" s="2" t="s">
        <v>4134</v>
      </c>
      <c r="U886" s="2" t="s">
        <v>298</v>
      </c>
      <c r="V886" s="2" t="s">
        <v>4524</v>
      </c>
      <c r="W886" s="2" t="s">
        <v>273</v>
      </c>
      <c r="X886" s="2" t="s">
        <v>897</v>
      </c>
      <c r="Y886" s="2" t="s">
        <v>231</v>
      </c>
      <c r="Z886" s="4"/>
      <c r="AA886" s="4">
        <f>=ROUNDDOWN({0},0)</f>
      </c>
      <c r="AB886" s="5"/>
      <c r="AC886" s="2" t="s">
        <v>4195</v>
      </c>
      <c r="AD886" s="4">
        <v>431</v>
      </c>
      <c r="AE886" s="4">
        <v>689</v>
      </c>
      <c r="AF886" s="6">
        <v>69</v>
      </c>
      <c r="AG886" s="6"/>
      <c r="AH886" s="7">
        <v>0</v>
      </c>
      <c r="AI886" s="4"/>
      <c r="AJ886" s="4">
        <f>=ROUNDDOWN({0},0)</f>
      </c>
      <c r="AK886" s="5"/>
      <c r="AL886" s="2" t="s">
        <v>231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231</v>
      </c>
      <c r="AW886" s="8" t="s">
        <v>231</v>
      </c>
      <c r="AX886" s="4" t="s">
        <v>231</v>
      </c>
      <c r="AY886" s="8" t="s">
        <v>231</v>
      </c>
      <c r="AZ886" s="7" t="s">
        <v>231</v>
      </c>
      <c r="BA886" s="7" t="s">
        <v>231</v>
      </c>
      <c r="BB886" s="7"/>
      <c r="BC886" s="4" t="s">
        <v>231</v>
      </c>
      <c r="BD886" s="8" t="s">
        <v>231</v>
      </c>
      <c r="BE886" s="4" t="s">
        <v>231</v>
      </c>
      <c r="BF886" s="8" t="s">
        <v>231</v>
      </c>
      <c r="BG886" s="7" t="s">
        <v>231</v>
      </c>
      <c r="BH886" s="7" t="s">
        <v>231</v>
      </c>
      <c r="BI886" s="7"/>
      <c r="BJ886" s="4"/>
      <c r="BK886" s="8"/>
      <c r="BL886" s="2" t="s">
        <v>231</v>
      </c>
      <c r="BM886" s="7"/>
      <c r="BN886" s="7"/>
      <c r="BO886" s="4"/>
      <c r="BP886" s="8"/>
      <c r="BQ886" s="4"/>
      <c r="BR886" s="8"/>
      <c r="BS886" s="7"/>
      <c r="BT886" s="7"/>
      <c r="BU886" s="2" t="s">
        <v>241</v>
      </c>
      <c r="BV886" s="2" t="s">
        <v>231</v>
      </c>
      <c r="BW886" s="2" t="s">
        <v>231</v>
      </c>
      <c r="BX886" s="2" t="s">
        <v>241</v>
      </c>
      <c r="BY886" s="2" t="s">
        <v>242</v>
      </c>
      <c r="BZ886" s="2" t="s">
        <v>243</v>
      </c>
      <c r="CA886" s="2" t="s">
        <v>231</v>
      </c>
      <c r="CB886" s="2" t="s">
        <v>231</v>
      </c>
      <c r="CC886" s="2" t="s">
        <v>244</v>
      </c>
      <c r="CD886" s="2" t="s">
        <v>231</v>
      </c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>
        <v>431</v>
      </c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>
        <v>258</v>
      </c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</row>
    <row r="887">
      <c r="A887" s="2" t="s">
        <v>4530</v>
      </c>
      <c r="B887" s="2" t="s">
        <v>287</v>
      </c>
      <c r="C887" s="2" t="s">
        <v>965</v>
      </c>
      <c r="D887" s="2" t="s">
        <v>289</v>
      </c>
      <c r="E887" s="2" t="s">
        <v>290</v>
      </c>
      <c r="F887" s="2" t="s">
        <v>4368</v>
      </c>
      <c r="G887" s="2" t="s">
        <v>4368</v>
      </c>
      <c r="H887" s="2" t="s">
        <v>4368</v>
      </c>
      <c r="I887" s="2" t="s">
        <v>4369</v>
      </c>
      <c r="J887" s="2" t="s">
        <v>318</v>
      </c>
      <c r="K887" s="2" t="s">
        <v>4531</v>
      </c>
      <c r="L887" s="3">
        <v>14.89</v>
      </c>
      <c r="M887" s="3">
        <v>15.63</v>
      </c>
      <c r="N887" s="3">
        <v>31.99</v>
      </c>
      <c r="O887" s="2" t="s">
        <v>243</v>
      </c>
      <c r="P887" s="2" t="s">
        <v>270</v>
      </c>
      <c r="Q887" s="2" t="s">
        <v>237</v>
      </c>
      <c r="R887" s="2" t="s">
        <v>231</v>
      </c>
      <c r="S887" s="2" t="s">
        <v>4532</v>
      </c>
      <c r="T887" s="2" t="s">
        <v>4134</v>
      </c>
      <c r="U887" s="2" t="s">
        <v>835</v>
      </c>
      <c r="V887" s="2" t="s">
        <v>4046</v>
      </c>
      <c r="W887" s="2" t="s">
        <v>897</v>
      </c>
      <c r="X887" s="2" t="s">
        <v>273</v>
      </c>
      <c r="Y887" s="2" t="s">
        <v>4533</v>
      </c>
      <c r="Z887" s="4">
        <v>338</v>
      </c>
      <c r="AA887" s="4">
        <f>=ROUNDDOWN(28.1666666666667,0)</f>
      </c>
      <c r="AB887" s="5">
        <v>12</v>
      </c>
      <c r="AC887" s="2" t="s">
        <v>1458</v>
      </c>
      <c r="AD887" s="4">
        <v>48</v>
      </c>
      <c r="AE887" s="4">
        <v>48</v>
      </c>
      <c r="AF887" s="6">
        <v>74</v>
      </c>
      <c r="AG887" s="6"/>
      <c r="AH887" s="7">
        <v>1</v>
      </c>
      <c r="AI887" s="4"/>
      <c r="AJ887" s="4">
        <f>=ROUNDDOWN({0},0)</f>
      </c>
      <c r="AK887" s="5"/>
      <c r="AL887" s="2" t="s">
        <v>231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231</v>
      </c>
      <c r="AW887" s="8" t="s">
        <v>231</v>
      </c>
      <c r="AX887" s="4" t="s">
        <v>231</v>
      </c>
      <c r="AY887" s="8" t="s">
        <v>231</v>
      </c>
      <c r="AZ887" s="7" t="s">
        <v>231</v>
      </c>
      <c r="BA887" s="7" t="s">
        <v>231</v>
      </c>
      <c r="BB887" s="7"/>
      <c r="BC887" s="4" t="s">
        <v>231</v>
      </c>
      <c r="BD887" s="8" t="s">
        <v>231</v>
      </c>
      <c r="BE887" s="4" t="s">
        <v>231</v>
      </c>
      <c r="BF887" s="8" t="s">
        <v>231</v>
      </c>
      <c r="BG887" s="7" t="s">
        <v>231</v>
      </c>
      <c r="BH887" s="7" t="s">
        <v>231</v>
      </c>
      <c r="BI887" s="7"/>
      <c r="BJ887" s="4">
        <v>24</v>
      </c>
      <c r="BK887" s="8">
        <v>404.39</v>
      </c>
      <c r="BL887" s="2" t="s">
        <v>4534</v>
      </c>
      <c r="BM887" s="7"/>
      <c r="BN887" s="7"/>
      <c r="BO887" s="4"/>
      <c r="BP887" s="8"/>
      <c r="BQ887" s="4"/>
      <c r="BR887" s="8"/>
      <c r="BS887" s="7"/>
      <c r="BT887" s="7"/>
      <c r="BU887" s="2" t="s">
        <v>4535</v>
      </c>
      <c r="BV887" s="2" t="s">
        <v>231</v>
      </c>
      <c r="BW887" s="2" t="s">
        <v>231</v>
      </c>
      <c r="BX887" s="2" t="s">
        <v>241</v>
      </c>
      <c r="BY887" s="2" t="s">
        <v>277</v>
      </c>
      <c r="BZ887" s="2" t="s">
        <v>243</v>
      </c>
      <c r="CA887" s="2" t="s">
        <v>2376</v>
      </c>
      <c r="CB887" s="2" t="s">
        <v>822</v>
      </c>
      <c r="CC887" s="2" t="s">
        <v>244</v>
      </c>
      <c r="CD887" s="2" t="s">
        <v>231</v>
      </c>
      <c r="CE887" s="4">
        <v>338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>
        <v>48</v>
      </c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</row>
    <row r="888">
      <c r="A888" s="2" t="s">
        <v>4536</v>
      </c>
      <c r="B888" s="2" t="s">
        <v>287</v>
      </c>
      <c r="C888" s="2" t="s">
        <v>965</v>
      </c>
      <c r="D888" s="2" t="s">
        <v>289</v>
      </c>
      <c r="E888" s="2" t="s">
        <v>290</v>
      </c>
      <c r="F888" s="2" t="s">
        <v>4368</v>
      </c>
      <c r="G888" s="2" t="s">
        <v>4368</v>
      </c>
      <c r="H888" s="2" t="s">
        <v>4368</v>
      </c>
      <c r="I888" s="2" t="s">
        <v>4369</v>
      </c>
      <c r="J888" s="2" t="s">
        <v>268</v>
      </c>
      <c r="K888" s="2" t="s">
        <v>4531</v>
      </c>
      <c r="L888" s="3">
        <v>16.16</v>
      </c>
      <c r="M888" s="3">
        <v>16.97</v>
      </c>
      <c r="N888" s="3">
        <v>34.99</v>
      </c>
      <c r="O888" s="2" t="s">
        <v>243</v>
      </c>
      <c r="P888" s="2" t="s">
        <v>270</v>
      </c>
      <c r="Q888" s="2" t="s">
        <v>237</v>
      </c>
      <c r="R888" s="2" t="s">
        <v>231</v>
      </c>
      <c r="S888" s="2" t="s">
        <v>4532</v>
      </c>
      <c r="T888" s="2" t="s">
        <v>4134</v>
      </c>
      <c r="U888" s="2" t="s">
        <v>835</v>
      </c>
      <c r="V888" s="2" t="s">
        <v>4046</v>
      </c>
      <c r="W888" s="2" t="s">
        <v>897</v>
      </c>
      <c r="X888" s="2" t="s">
        <v>273</v>
      </c>
      <c r="Y888" s="2" t="s">
        <v>4533</v>
      </c>
      <c r="Z888" s="4">
        <v>544</v>
      </c>
      <c r="AA888" s="4">
        <f>=ROUNDDOWN(68,0)</f>
      </c>
      <c r="AB888" s="5">
        <v>8</v>
      </c>
      <c r="AC888" s="2" t="s">
        <v>231</v>
      </c>
      <c r="AD888" s="4"/>
      <c r="AE888" s="4"/>
      <c r="AF888" s="6">
        <v>74</v>
      </c>
      <c r="AG888" s="6"/>
      <c r="AH888" s="7">
        <v>1</v>
      </c>
      <c r="AI888" s="4"/>
      <c r="AJ888" s="4">
        <f>=ROUNDDOWN({0},0)</f>
      </c>
      <c r="AK888" s="5"/>
      <c r="AL888" s="2" t="s">
        <v>231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231</v>
      </c>
      <c r="AW888" s="8" t="s">
        <v>231</v>
      </c>
      <c r="AX888" s="4" t="s">
        <v>231</v>
      </c>
      <c r="AY888" s="8" t="s">
        <v>231</v>
      </c>
      <c r="AZ888" s="7" t="s">
        <v>231</v>
      </c>
      <c r="BA888" s="7" t="s">
        <v>231</v>
      </c>
      <c r="BB888" s="7"/>
      <c r="BC888" s="4" t="s">
        <v>231</v>
      </c>
      <c r="BD888" s="8" t="s">
        <v>231</v>
      </c>
      <c r="BE888" s="4" t="s">
        <v>231</v>
      </c>
      <c r="BF888" s="8" t="s">
        <v>231</v>
      </c>
      <c r="BG888" s="7" t="s">
        <v>231</v>
      </c>
      <c r="BH888" s="7" t="s">
        <v>231</v>
      </c>
      <c r="BI888" s="7"/>
      <c r="BJ888" s="4">
        <v>4</v>
      </c>
      <c r="BK888" s="8">
        <v>76</v>
      </c>
      <c r="BL888" s="2" t="s">
        <v>1423</v>
      </c>
      <c r="BM888" s="7"/>
      <c r="BN888" s="7"/>
      <c r="BO888" s="4"/>
      <c r="BP888" s="8"/>
      <c r="BQ888" s="4"/>
      <c r="BR888" s="8"/>
      <c r="BS888" s="7"/>
      <c r="BT888" s="7"/>
      <c r="BU888" s="2" t="s">
        <v>4537</v>
      </c>
      <c r="BV888" s="2" t="s">
        <v>231</v>
      </c>
      <c r="BW888" s="2" t="s">
        <v>231</v>
      </c>
      <c r="BX888" s="2" t="s">
        <v>241</v>
      </c>
      <c r="BY888" s="2" t="s">
        <v>277</v>
      </c>
      <c r="BZ888" s="2" t="s">
        <v>243</v>
      </c>
      <c r="CA888" s="2" t="s">
        <v>2376</v>
      </c>
      <c r="CB888" s="2" t="s">
        <v>2093</v>
      </c>
      <c r="CC888" s="2" t="s">
        <v>244</v>
      </c>
      <c r="CD888" s="2" t="s">
        <v>231</v>
      </c>
      <c r="CE888" s="4">
        <v>544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</row>
    <row r="889">
      <c r="A889" s="2" t="s">
        <v>4538</v>
      </c>
      <c r="B889" s="2" t="s">
        <v>287</v>
      </c>
      <c r="C889" s="2" t="s">
        <v>965</v>
      </c>
      <c r="D889" s="2" t="s">
        <v>289</v>
      </c>
      <c r="E889" s="2" t="s">
        <v>290</v>
      </c>
      <c r="F889" s="2" t="s">
        <v>4368</v>
      </c>
      <c r="G889" s="2" t="s">
        <v>4368</v>
      </c>
      <c r="H889" s="2" t="s">
        <v>4368</v>
      </c>
      <c r="I889" s="2" t="s">
        <v>4369</v>
      </c>
      <c r="J889" s="2" t="s">
        <v>302</v>
      </c>
      <c r="K889" s="2" t="s">
        <v>4531</v>
      </c>
      <c r="L889" s="3">
        <v>27.39</v>
      </c>
      <c r="M889" s="3">
        <v>28.76</v>
      </c>
      <c r="N889" s="3">
        <v>62.99</v>
      </c>
      <c r="O889" s="2" t="s">
        <v>243</v>
      </c>
      <c r="P889" s="2" t="s">
        <v>270</v>
      </c>
      <c r="Q889" s="2" t="s">
        <v>237</v>
      </c>
      <c r="R889" s="2" t="s">
        <v>231</v>
      </c>
      <c r="S889" s="2" t="s">
        <v>4532</v>
      </c>
      <c r="T889" s="2" t="s">
        <v>4134</v>
      </c>
      <c r="U889" s="2" t="s">
        <v>298</v>
      </c>
      <c r="V889" s="2" t="s">
        <v>4046</v>
      </c>
      <c r="W889" s="2" t="s">
        <v>897</v>
      </c>
      <c r="X889" s="2" t="s">
        <v>273</v>
      </c>
      <c r="Y889" s="2" t="s">
        <v>4533</v>
      </c>
      <c r="Z889" s="4">
        <v>219</v>
      </c>
      <c r="AA889" s="4">
        <f>=ROUNDDOWN(43.8,0)</f>
      </c>
      <c r="AB889" s="5">
        <v>5</v>
      </c>
      <c r="AC889" s="2" t="s">
        <v>1537</v>
      </c>
      <c r="AD889" s="4">
        <v>22</v>
      </c>
      <c r="AE889" s="4">
        <v>70</v>
      </c>
      <c r="AF889" s="6">
        <v>74</v>
      </c>
      <c r="AG889" s="6"/>
      <c r="AH889" s="7">
        <v>1</v>
      </c>
      <c r="AI889" s="4"/>
      <c r="AJ889" s="4">
        <f>=ROUNDDOWN({0},0)</f>
      </c>
      <c r="AK889" s="5"/>
      <c r="AL889" s="2" t="s">
        <v>231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231</v>
      </c>
      <c r="AW889" s="8" t="s">
        <v>231</v>
      </c>
      <c r="AX889" s="4" t="s">
        <v>231</v>
      </c>
      <c r="AY889" s="8" t="s">
        <v>231</v>
      </c>
      <c r="AZ889" s="7" t="s">
        <v>231</v>
      </c>
      <c r="BA889" s="7" t="s">
        <v>231</v>
      </c>
      <c r="BB889" s="7"/>
      <c r="BC889" s="4" t="s">
        <v>231</v>
      </c>
      <c r="BD889" s="8" t="s">
        <v>231</v>
      </c>
      <c r="BE889" s="4" t="s">
        <v>231</v>
      </c>
      <c r="BF889" s="8" t="s">
        <v>231</v>
      </c>
      <c r="BG889" s="7" t="s">
        <v>231</v>
      </c>
      <c r="BH889" s="7" t="s">
        <v>231</v>
      </c>
      <c r="BI889" s="7"/>
      <c r="BJ889" s="4">
        <v>2</v>
      </c>
      <c r="BK889" s="8">
        <v>65.5</v>
      </c>
      <c r="BL889" s="2" t="s">
        <v>1423</v>
      </c>
      <c r="BM889" s="7"/>
      <c r="BN889" s="7"/>
      <c r="BO889" s="4"/>
      <c r="BP889" s="8"/>
      <c r="BQ889" s="4"/>
      <c r="BR889" s="8"/>
      <c r="BS889" s="7"/>
      <c r="BT889" s="7"/>
      <c r="BU889" s="2" t="s">
        <v>4539</v>
      </c>
      <c r="BV889" s="2" t="s">
        <v>231</v>
      </c>
      <c r="BW889" s="2" t="s">
        <v>231</v>
      </c>
      <c r="BX889" s="2" t="s">
        <v>241</v>
      </c>
      <c r="BY889" s="2" t="s">
        <v>277</v>
      </c>
      <c r="BZ889" s="2" t="s">
        <v>243</v>
      </c>
      <c r="CA889" s="2" t="s">
        <v>2376</v>
      </c>
      <c r="CB889" s="2" t="s">
        <v>4540</v>
      </c>
      <c r="CC889" s="2" t="s">
        <v>244</v>
      </c>
      <c r="CD889" s="2" t="s">
        <v>231</v>
      </c>
      <c r="CE889" s="4">
        <v>219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>
        <v>22</v>
      </c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>
        <v>48</v>
      </c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</row>
    <row r="890">
      <c r="A890" s="2" t="s">
        <v>4541</v>
      </c>
      <c r="B890" s="2" t="s">
        <v>287</v>
      </c>
      <c r="C890" s="2" t="s">
        <v>965</v>
      </c>
      <c r="D890" s="2" t="s">
        <v>289</v>
      </c>
      <c r="E890" s="2" t="s">
        <v>290</v>
      </c>
      <c r="F890" s="2" t="s">
        <v>4368</v>
      </c>
      <c r="G890" s="2" t="s">
        <v>4368</v>
      </c>
      <c r="H890" s="2" t="s">
        <v>4368</v>
      </c>
      <c r="I890" s="2" t="s">
        <v>4369</v>
      </c>
      <c r="J890" s="2" t="s">
        <v>304</v>
      </c>
      <c r="K890" s="2" t="s">
        <v>4531</v>
      </c>
      <c r="L890" s="3">
        <v>27.39</v>
      </c>
      <c r="M890" s="3">
        <v>28.76</v>
      </c>
      <c r="N890" s="3">
        <v>62.99</v>
      </c>
      <c r="O890" s="2" t="s">
        <v>243</v>
      </c>
      <c r="P890" s="2" t="s">
        <v>270</v>
      </c>
      <c r="Q890" s="2" t="s">
        <v>237</v>
      </c>
      <c r="R890" s="2" t="s">
        <v>231</v>
      </c>
      <c r="S890" s="2" t="s">
        <v>4532</v>
      </c>
      <c r="T890" s="2" t="s">
        <v>4134</v>
      </c>
      <c r="U890" s="2" t="s">
        <v>298</v>
      </c>
      <c r="V890" s="2" t="s">
        <v>4046</v>
      </c>
      <c r="W890" s="2" t="s">
        <v>897</v>
      </c>
      <c r="X890" s="2" t="s">
        <v>273</v>
      </c>
      <c r="Y890" s="2" t="s">
        <v>4533</v>
      </c>
      <c r="Z890" s="4">
        <v>126</v>
      </c>
      <c r="AA890" s="4">
        <f>=ROUNDDOWN(25.2,0)</f>
      </c>
      <c r="AB890" s="5">
        <v>5</v>
      </c>
      <c r="AC890" s="2" t="s">
        <v>1537</v>
      </c>
      <c r="AD890" s="4">
        <v>68</v>
      </c>
      <c r="AE890" s="4">
        <v>118</v>
      </c>
      <c r="AF890" s="6">
        <v>74</v>
      </c>
      <c r="AG890" s="6"/>
      <c r="AH890" s="7">
        <v>1</v>
      </c>
      <c r="AI890" s="4"/>
      <c r="AJ890" s="4">
        <f>=ROUNDDOWN({0},0)</f>
      </c>
      <c r="AK890" s="5"/>
      <c r="AL890" s="2" t="s">
        <v>231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231</v>
      </c>
      <c r="AW890" s="8" t="s">
        <v>231</v>
      </c>
      <c r="AX890" s="4" t="s">
        <v>231</v>
      </c>
      <c r="AY890" s="8" t="s">
        <v>231</v>
      </c>
      <c r="AZ890" s="7" t="s">
        <v>231</v>
      </c>
      <c r="BA890" s="7" t="s">
        <v>231</v>
      </c>
      <c r="BB890" s="7"/>
      <c r="BC890" s="4" t="s">
        <v>231</v>
      </c>
      <c r="BD890" s="8" t="s">
        <v>231</v>
      </c>
      <c r="BE890" s="4" t="s">
        <v>231</v>
      </c>
      <c r="BF890" s="8" t="s">
        <v>231</v>
      </c>
      <c r="BG890" s="7" t="s">
        <v>231</v>
      </c>
      <c r="BH890" s="7" t="s">
        <v>231</v>
      </c>
      <c r="BI890" s="7"/>
      <c r="BJ890" s="4">
        <v>5</v>
      </c>
      <c r="BK890" s="8">
        <v>154.82</v>
      </c>
      <c r="BL890" s="2" t="s">
        <v>4335</v>
      </c>
      <c r="BM890" s="7"/>
      <c r="BN890" s="7"/>
      <c r="BO890" s="4"/>
      <c r="BP890" s="8"/>
      <c r="BQ890" s="4"/>
      <c r="BR890" s="8"/>
      <c r="BS890" s="7"/>
      <c r="BT890" s="7"/>
      <c r="BU890" s="2" t="s">
        <v>4542</v>
      </c>
      <c r="BV890" s="2" t="s">
        <v>231</v>
      </c>
      <c r="BW890" s="2" t="s">
        <v>231</v>
      </c>
      <c r="BX890" s="2" t="s">
        <v>241</v>
      </c>
      <c r="BY890" s="2" t="s">
        <v>277</v>
      </c>
      <c r="BZ890" s="2" t="s">
        <v>243</v>
      </c>
      <c r="CA890" s="2" t="s">
        <v>2376</v>
      </c>
      <c r="CB890" s="2" t="s">
        <v>4543</v>
      </c>
      <c r="CC890" s="2" t="s">
        <v>244</v>
      </c>
      <c r="CD890" s="2" t="s">
        <v>231</v>
      </c>
      <c r="CE890" s="4">
        <v>126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>
        <v>68</v>
      </c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>
        <v>50</v>
      </c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</row>
    <row r="891">
      <c r="A891" s="2" t="s">
        <v>4544</v>
      </c>
      <c r="B891" s="2" t="s">
        <v>287</v>
      </c>
      <c r="C891" s="2" t="s">
        <v>965</v>
      </c>
      <c r="D891" s="2" t="s">
        <v>289</v>
      </c>
      <c r="E891" s="2" t="s">
        <v>290</v>
      </c>
      <c r="F891" s="2" t="s">
        <v>4368</v>
      </c>
      <c r="G891" s="2" t="s">
        <v>4368</v>
      </c>
      <c r="H891" s="2" t="s">
        <v>4368</v>
      </c>
      <c r="I891" s="2" t="s">
        <v>4369</v>
      </c>
      <c r="J891" s="2" t="s">
        <v>318</v>
      </c>
      <c r="K891" s="2" t="s">
        <v>4545</v>
      </c>
      <c r="L891" s="3">
        <v>14.89</v>
      </c>
      <c r="M891" s="3">
        <v>15.63</v>
      </c>
      <c r="N891" s="3">
        <v>31.99</v>
      </c>
      <c r="O891" s="2" t="s">
        <v>243</v>
      </c>
      <c r="P891" s="2" t="s">
        <v>270</v>
      </c>
      <c r="Q891" s="2" t="s">
        <v>237</v>
      </c>
      <c r="R891" s="2" t="s">
        <v>231</v>
      </c>
      <c r="S891" s="2" t="s">
        <v>4546</v>
      </c>
      <c r="T891" s="2" t="s">
        <v>4134</v>
      </c>
      <c r="U891" s="2" t="s">
        <v>835</v>
      </c>
      <c r="V891" s="2" t="s">
        <v>4046</v>
      </c>
      <c r="W891" s="2" t="s">
        <v>897</v>
      </c>
      <c r="X891" s="2" t="s">
        <v>273</v>
      </c>
      <c r="Y891" s="2" t="s">
        <v>4547</v>
      </c>
      <c r="Z891" s="4">
        <v>356</v>
      </c>
      <c r="AA891" s="4">
        <f>=ROUNDDOWN(23.7333333333333,0)</f>
      </c>
      <c r="AB891" s="5">
        <v>15</v>
      </c>
      <c r="AC891" s="2" t="s">
        <v>1537</v>
      </c>
      <c r="AD891" s="4">
        <v>193</v>
      </c>
      <c r="AE891" s="4">
        <v>338</v>
      </c>
      <c r="AF891" s="6">
        <v>74</v>
      </c>
      <c r="AG891" s="6"/>
      <c r="AH891" s="7">
        <v>1</v>
      </c>
      <c r="AI891" s="4"/>
      <c r="AJ891" s="4">
        <f>=ROUNDDOWN({0},0)</f>
      </c>
      <c r="AK891" s="5"/>
      <c r="AL891" s="2" t="s">
        <v>231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231</v>
      </c>
      <c r="AW891" s="8" t="s">
        <v>231</v>
      </c>
      <c r="AX891" s="4" t="s">
        <v>231</v>
      </c>
      <c r="AY891" s="8" t="s">
        <v>231</v>
      </c>
      <c r="AZ891" s="7" t="s">
        <v>231</v>
      </c>
      <c r="BA891" s="7" t="s">
        <v>231</v>
      </c>
      <c r="BB891" s="7"/>
      <c r="BC891" s="4" t="s">
        <v>231</v>
      </c>
      <c r="BD891" s="8" t="s">
        <v>231</v>
      </c>
      <c r="BE891" s="4" t="s">
        <v>231</v>
      </c>
      <c r="BF891" s="8" t="s">
        <v>231</v>
      </c>
      <c r="BG891" s="7" t="s">
        <v>231</v>
      </c>
      <c r="BH891" s="7" t="s">
        <v>231</v>
      </c>
      <c r="BI891" s="7"/>
      <c r="BJ891" s="4">
        <v>10</v>
      </c>
      <c r="BK891" s="8">
        <v>162.26</v>
      </c>
      <c r="BL891" s="2" t="s">
        <v>3882</v>
      </c>
      <c r="BM891" s="7"/>
      <c r="BN891" s="7"/>
      <c r="BO891" s="4"/>
      <c r="BP891" s="8"/>
      <c r="BQ891" s="4"/>
      <c r="BR891" s="8"/>
      <c r="BS891" s="7"/>
      <c r="BT891" s="7"/>
      <c r="BU891" s="2" t="s">
        <v>4548</v>
      </c>
      <c r="BV891" s="2" t="s">
        <v>231</v>
      </c>
      <c r="BW891" s="2" t="s">
        <v>231</v>
      </c>
      <c r="BX891" s="2" t="s">
        <v>241</v>
      </c>
      <c r="BY891" s="2" t="s">
        <v>277</v>
      </c>
      <c r="BZ891" s="2" t="s">
        <v>243</v>
      </c>
      <c r="CA891" s="2" t="s">
        <v>2376</v>
      </c>
      <c r="CB891" s="2" t="s">
        <v>3136</v>
      </c>
      <c r="CC891" s="2" t="s">
        <v>244</v>
      </c>
      <c r="CD891" s="2" t="s">
        <v>231</v>
      </c>
      <c r="CE891" s="4">
        <v>356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>
        <v>193</v>
      </c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>
        <v>145</v>
      </c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</row>
    <row r="892">
      <c r="A892" s="2" t="s">
        <v>4549</v>
      </c>
      <c r="B892" s="2" t="s">
        <v>287</v>
      </c>
      <c r="C892" s="2" t="s">
        <v>965</v>
      </c>
      <c r="D892" s="2" t="s">
        <v>289</v>
      </c>
      <c r="E892" s="2" t="s">
        <v>290</v>
      </c>
      <c r="F892" s="2" t="s">
        <v>4368</v>
      </c>
      <c r="G892" s="2" t="s">
        <v>4368</v>
      </c>
      <c r="H892" s="2" t="s">
        <v>4368</v>
      </c>
      <c r="I892" s="2" t="s">
        <v>4369</v>
      </c>
      <c r="J892" s="2" t="s">
        <v>268</v>
      </c>
      <c r="K892" s="2" t="s">
        <v>4545</v>
      </c>
      <c r="L892" s="3">
        <v>16.16</v>
      </c>
      <c r="M892" s="3">
        <v>16.97</v>
      </c>
      <c r="N892" s="3">
        <v>34.99</v>
      </c>
      <c r="O892" s="2" t="s">
        <v>243</v>
      </c>
      <c r="P892" s="2" t="s">
        <v>270</v>
      </c>
      <c r="Q892" s="2" t="s">
        <v>237</v>
      </c>
      <c r="R892" s="2" t="s">
        <v>231</v>
      </c>
      <c r="S892" s="2" t="s">
        <v>4546</v>
      </c>
      <c r="T892" s="2" t="s">
        <v>4134</v>
      </c>
      <c r="U892" s="2" t="s">
        <v>835</v>
      </c>
      <c r="V892" s="2" t="s">
        <v>4046</v>
      </c>
      <c r="W892" s="2" t="s">
        <v>897</v>
      </c>
      <c r="X892" s="2" t="s">
        <v>273</v>
      </c>
      <c r="Y892" s="2" t="s">
        <v>4547</v>
      </c>
      <c r="Z892" s="4">
        <v>303</v>
      </c>
      <c r="AA892" s="4">
        <f>=ROUNDDOWN(33.6666666666667,0)</f>
      </c>
      <c r="AB892" s="5">
        <v>9</v>
      </c>
      <c r="AC892" s="2" t="s">
        <v>231</v>
      </c>
      <c r="AD892" s="4"/>
      <c r="AE892" s="4"/>
      <c r="AF892" s="6">
        <v>74</v>
      </c>
      <c r="AG892" s="6"/>
      <c r="AH892" s="7">
        <v>1</v>
      </c>
      <c r="AI892" s="4"/>
      <c r="AJ892" s="4">
        <f>=ROUNDDOWN({0},0)</f>
      </c>
      <c r="AK892" s="5"/>
      <c r="AL892" s="2" t="s">
        <v>231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231</v>
      </c>
      <c r="AW892" s="8" t="s">
        <v>231</v>
      </c>
      <c r="AX892" s="4" t="s">
        <v>231</v>
      </c>
      <c r="AY892" s="8" t="s">
        <v>231</v>
      </c>
      <c r="AZ892" s="7" t="s">
        <v>231</v>
      </c>
      <c r="BA892" s="7" t="s">
        <v>231</v>
      </c>
      <c r="BB892" s="7"/>
      <c r="BC892" s="4" t="s">
        <v>231</v>
      </c>
      <c r="BD892" s="8" t="s">
        <v>231</v>
      </c>
      <c r="BE892" s="4" t="s">
        <v>231</v>
      </c>
      <c r="BF892" s="8" t="s">
        <v>231</v>
      </c>
      <c r="BG892" s="7" t="s">
        <v>231</v>
      </c>
      <c r="BH892" s="7" t="s">
        <v>231</v>
      </c>
      <c r="BI892" s="7"/>
      <c r="BJ892" s="4">
        <v>22</v>
      </c>
      <c r="BK892" s="8">
        <v>410.67</v>
      </c>
      <c r="BL892" s="2" t="s">
        <v>4335</v>
      </c>
      <c r="BM892" s="7"/>
      <c r="BN892" s="7"/>
      <c r="BO892" s="4"/>
      <c r="BP892" s="8"/>
      <c r="BQ892" s="4"/>
      <c r="BR892" s="8"/>
      <c r="BS892" s="7"/>
      <c r="BT892" s="7"/>
      <c r="BU892" s="2" t="s">
        <v>4550</v>
      </c>
      <c r="BV892" s="2" t="s">
        <v>231</v>
      </c>
      <c r="BW892" s="2" t="s">
        <v>231</v>
      </c>
      <c r="BX892" s="2" t="s">
        <v>241</v>
      </c>
      <c r="BY892" s="2" t="s">
        <v>277</v>
      </c>
      <c r="BZ892" s="2" t="s">
        <v>243</v>
      </c>
      <c r="CA892" s="2" t="s">
        <v>2376</v>
      </c>
      <c r="CB892" s="2" t="s">
        <v>2074</v>
      </c>
      <c r="CC892" s="2" t="s">
        <v>244</v>
      </c>
      <c r="CD892" s="2" t="s">
        <v>231</v>
      </c>
      <c r="CE892" s="4">
        <v>303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</row>
    <row r="893">
      <c r="A893" s="2" t="s">
        <v>4551</v>
      </c>
      <c r="B893" s="2" t="s">
        <v>287</v>
      </c>
      <c r="C893" s="2" t="s">
        <v>965</v>
      </c>
      <c r="D893" s="2" t="s">
        <v>289</v>
      </c>
      <c r="E893" s="2" t="s">
        <v>290</v>
      </c>
      <c r="F893" s="2" t="s">
        <v>4368</v>
      </c>
      <c r="G893" s="2" t="s">
        <v>4368</v>
      </c>
      <c r="H893" s="2" t="s">
        <v>4368</v>
      </c>
      <c r="I893" s="2" t="s">
        <v>4369</v>
      </c>
      <c r="J893" s="2" t="s">
        <v>281</v>
      </c>
      <c r="K893" s="2" t="s">
        <v>4545</v>
      </c>
      <c r="L893" s="3">
        <v>19.57</v>
      </c>
      <c r="M893" s="3">
        <v>20.55</v>
      </c>
      <c r="N893" s="3">
        <v>42.99</v>
      </c>
      <c r="O893" s="2" t="s">
        <v>243</v>
      </c>
      <c r="P893" s="2" t="s">
        <v>270</v>
      </c>
      <c r="Q893" s="2" t="s">
        <v>237</v>
      </c>
      <c r="R893" s="2" t="s">
        <v>231</v>
      </c>
      <c r="S893" s="2" t="s">
        <v>4546</v>
      </c>
      <c r="T893" s="2" t="s">
        <v>4134</v>
      </c>
      <c r="U893" s="2" t="s">
        <v>298</v>
      </c>
      <c r="V893" s="2" t="s">
        <v>4046</v>
      </c>
      <c r="W893" s="2" t="s">
        <v>897</v>
      </c>
      <c r="X893" s="2" t="s">
        <v>273</v>
      </c>
      <c r="Y893" s="2" t="s">
        <v>4547</v>
      </c>
      <c r="Z893" s="4">
        <v>1</v>
      </c>
      <c r="AA893" s="4">
        <f>=ROUNDDOWN(0.0555555555555556,0)</f>
      </c>
      <c r="AB893" s="5">
        <v>18</v>
      </c>
      <c r="AC893" s="2" t="s">
        <v>4449</v>
      </c>
      <c r="AD893" s="4">
        <v>181</v>
      </c>
      <c r="AE893" s="4">
        <v>671</v>
      </c>
      <c r="AF893" s="6">
        <v>74</v>
      </c>
      <c r="AG893" s="6"/>
      <c r="AH893" s="7">
        <v>0</v>
      </c>
      <c r="AI893" s="4"/>
      <c r="AJ893" s="4">
        <f>=ROUNDDOWN({0},0)</f>
      </c>
      <c r="AK893" s="5"/>
      <c r="AL893" s="2" t="s">
        <v>231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231</v>
      </c>
      <c r="AW893" s="8" t="s">
        <v>231</v>
      </c>
      <c r="AX893" s="4" t="s">
        <v>231</v>
      </c>
      <c r="AY893" s="8" t="s">
        <v>231</v>
      </c>
      <c r="AZ893" s="7" t="s">
        <v>231</v>
      </c>
      <c r="BA893" s="7" t="s">
        <v>231</v>
      </c>
      <c r="BB893" s="7"/>
      <c r="BC893" s="4" t="s">
        <v>231</v>
      </c>
      <c r="BD893" s="8" t="s">
        <v>231</v>
      </c>
      <c r="BE893" s="4" t="s">
        <v>231</v>
      </c>
      <c r="BF893" s="8" t="s">
        <v>231</v>
      </c>
      <c r="BG893" s="7" t="s">
        <v>231</v>
      </c>
      <c r="BH893" s="7" t="s">
        <v>231</v>
      </c>
      <c r="BI893" s="7"/>
      <c r="BJ893" s="4"/>
      <c r="BK893" s="8"/>
      <c r="BL893" s="2" t="s">
        <v>231</v>
      </c>
      <c r="BM893" s="7"/>
      <c r="BN893" s="7"/>
      <c r="BO893" s="4"/>
      <c r="BP893" s="8"/>
      <c r="BQ893" s="4"/>
      <c r="BR893" s="8"/>
      <c r="BS893" s="7"/>
      <c r="BT893" s="7"/>
      <c r="BU893" s="2" t="s">
        <v>4552</v>
      </c>
      <c r="BV893" s="2" t="s">
        <v>231</v>
      </c>
      <c r="BW893" s="2" t="s">
        <v>231</v>
      </c>
      <c r="BX893" s="2" t="s">
        <v>241</v>
      </c>
      <c r="BY893" s="2" t="s">
        <v>277</v>
      </c>
      <c r="BZ893" s="2" t="s">
        <v>243</v>
      </c>
      <c r="CA893" s="2" t="s">
        <v>2376</v>
      </c>
      <c r="CB893" s="2" t="s">
        <v>3398</v>
      </c>
      <c r="CC893" s="2" t="s">
        <v>244</v>
      </c>
      <c r="CD893" s="2" t="s">
        <v>231</v>
      </c>
      <c r="CE893" s="4">
        <v>1</v>
      </c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>
        <v>181</v>
      </c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>
        <v>330</v>
      </c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>
        <v>160</v>
      </c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</row>
    <row r="894">
      <c r="A894" s="2" t="s">
        <v>4553</v>
      </c>
      <c r="B894" s="2" t="s">
        <v>287</v>
      </c>
      <c r="C894" s="2" t="s">
        <v>965</v>
      </c>
      <c r="D894" s="2" t="s">
        <v>289</v>
      </c>
      <c r="E894" s="2" t="s">
        <v>290</v>
      </c>
      <c r="F894" s="2" t="s">
        <v>4368</v>
      </c>
      <c r="G894" s="2" t="s">
        <v>4368</v>
      </c>
      <c r="H894" s="2" t="s">
        <v>4368</v>
      </c>
      <c r="I894" s="2" t="s">
        <v>4369</v>
      </c>
      <c r="J894" s="2" t="s">
        <v>293</v>
      </c>
      <c r="K894" s="2" t="s">
        <v>4545</v>
      </c>
      <c r="L894" s="3">
        <v>22.21</v>
      </c>
      <c r="M894" s="3">
        <v>23.32</v>
      </c>
      <c r="N894" s="3">
        <v>47.99</v>
      </c>
      <c r="O894" s="2" t="s">
        <v>243</v>
      </c>
      <c r="P894" s="2" t="s">
        <v>871</v>
      </c>
      <c r="Q894" s="2" t="s">
        <v>237</v>
      </c>
      <c r="R894" s="2" t="s">
        <v>231</v>
      </c>
      <c r="S894" s="2" t="s">
        <v>4546</v>
      </c>
      <c r="T894" s="2" t="s">
        <v>4134</v>
      </c>
      <c r="U894" s="2" t="s">
        <v>298</v>
      </c>
      <c r="V894" s="2" t="s">
        <v>4046</v>
      </c>
      <c r="W894" s="2" t="s">
        <v>897</v>
      </c>
      <c r="X894" s="2" t="s">
        <v>273</v>
      </c>
      <c r="Y894" s="2" t="s">
        <v>2409</v>
      </c>
      <c r="Z894" s="4"/>
      <c r="AA894" s="4">
        <f>=ROUNDDOWN({0},0)</f>
      </c>
      <c r="AB894" s="5">
        <v>21</v>
      </c>
      <c r="AC894" s="2" t="s">
        <v>4449</v>
      </c>
      <c r="AD894" s="4">
        <v>212</v>
      </c>
      <c r="AE894" s="4">
        <v>797</v>
      </c>
      <c r="AF894" s="6">
        <v>74</v>
      </c>
      <c r="AG894" s="6"/>
      <c r="AH894" s="7">
        <v>0</v>
      </c>
      <c r="AI894" s="4"/>
      <c r="AJ894" s="4">
        <f>=ROUNDDOWN({0},0)</f>
      </c>
      <c r="AK894" s="5"/>
      <c r="AL894" s="2" t="s">
        <v>231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231</v>
      </c>
      <c r="AW894" s="8" t="s">
        <v>231</v>
      </c>
      <c r="AX894" s="4" t="s">
        <v>231</v>
      </c>
      <c r="AY894" s="8" t="s">
        <v>231</v>
      </c>
      <c r="AZ894" s="7" t="s">
        <v>231</v>
      </c>
      <c r="BA894" s="7" t="s">
        <v>231</v>
      </c>
      <c r="BB894" s="7"/>
      <c r="BC894" s="4" t="s">
        <v>231</v>
      </c>
      <c r="BD894" s="8" t="s">
        <v>231</v>
      </c>
      <c r="BE894" s="4" t="s">
        <v>231</v>
      </c>
      <c r="BF894" s="8" t="s">
        <v>231</v>
      </c>
      <c r="BG894" s="7" t="s">
        <v>231</v>
      </c>
      <c r="BH894" s="7" t="s">
        <v>231</v>
      </c>
      <c r="BI894" s="7"/>
      <c r="BJ894" s="4"/>
      <c r="BK894" s="8"/>
      <c r="BL894" s="2" t="s">
        <v>231</v>
      </c>
      <c r="BM894" s="7"/>
      <c r="BN894" s="7"/>
      <c r="BO894" s="4"/>
      <c r="BP894" s="8"/>
      <c r="BQ894" s="4"/>
      <c r="BR894" s="8"/>
      <c r="BS894" s="7"/>
      <c r="BT894" s="7"/>
      <c r="BU894" s="2" t="s">
        <v>4554</v>
      </c>
      <c r="BV894" s="2" t="s">
        <v>231</v>
      </c>
      <c r="BW894" s="2" t="s">
        <v>231</v>
      </c>
      <c r="BX894" s="2" t="s">
        <v>241</v>
      </c>
      <c r="BY894" s="2" t="s">
        <v>277</v>
      </c>
      <c r="BZ894" s="2" t="s">
        <v>243</v>
      </c>
      <c r="CA894" s="2" t="s">
        <v>2376</v>
      </c>
      <c r="CB894" s="2" t="s">
        <v>1598</v>
      </c>
      <c r="CC894" s="2" t="s">
        <v>244</v>
      </c>
      <c r="CD894" s="2" t="s">
        <v>231</v>
      </c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>
        <v>212</v>
      </c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>
        <v>397</v>
      </c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>
        <v>188</v>
      </c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</row>
    <row r="895">
      <c r="A895" s="2" t="s">
        <v>4555</v>
      </c>
      <c r="B895" s="2" t="s">
        <v>287</v>
      </c>
      <c r="C895" s="2" t="s">
        <v>965</v>
      </c>
      <c r="D895" s="2" t="s">
        <v>289</v>
      </c>
      <c r="E895" s="2" t="s">
        <v>290</v>
      </c>
      <c r="F895" s="2" t="s">
        <v>4368</v>
      </c>
      <c r="G895" s="2" t="s">
        <v>4368</v>
      </c>
      <c r="H895" s="2" t="s">
        <v>4368</v>
      </c>
      <c r="I895" s="2" t="s">
        <v>4369</v>
      </c>
      <c r="J895" s="2" t="s">
        <v>302</v>
      </c>
      <c r="K895" s="2" t="s">
        <v>4545</v>
      </c>
      <c r="L895" s="3">
        <v>27.39</v>
      </c>
      <c r="M895" s="3">
        <v>28.76</v>
      </c>
      <c r="N895" s="3">
        <v>62.99</v>
      </c>
      <c r="O895" s="2" t="s">
        <v>243</v>
      </c>
      <c r="P895" s="2" t="s">
        <v>270</v>
      </c>
      <c r="Q895" s="2" t="s">
        <v>237</v>
      </c>
      <c r="R895" s="2" t="s">
        <v>231</v>
      </c>
      <c r="S895" s="2" t="s">
        <v>4546</v>
      </c>
      <c r="T895" s="2" t="s">
        <v>4134</v>
      </c>
      <c r="U895" s="2" t="s">
        <v>298</v>
      </c>
      <c r="V895" s="2" t="s">
        <v>4046</v>
      </c>
      <c r="W895" s="2" t="s">
        <v>897</v>
      </c>
      <c r="X895" s="2" t="s">
        <v>273</v>
      </c>
      <c r="Y895" s="2" t="s">
        <v>4547</v>
      </c>
      <c r="Z895" s="4"/>
      <c r="AA895" s="4">
        <f>=ROUNDDOWN({0},0)</f>
      </c>
      <c r="AB895" s="5">
        <v>9</v>
      </c>
      <c r="AC895" s="2" t="s">
        <v>4449</v>
      </c>
      <c r="AD895" s="4">
        <v>92</v>
      </c>
      <c r="AE895" s="4">
        <v>351</v>
      </c>
      <c r="AF895" s="6">
        <v>74</v>
      </c>
      <c r="AG895" s="6"/>
      <c r="AH895" s="7">
        <v>0</v>
      </c>
      <c r="AI895" s="4"/>
      <c r="AJ895" s="4">
        <f>=ROUNDDOWN({0},0)</f>
      </c>
      <c r="AK895" s="5"/>
      <c r="AL895" s="2" t="s">
        <v>231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231</v>
      </c>
      <c r="AW895" s="8" t="s">
        <v>231</v>
      </c>
      <c r="AX895" s="4" t="s">
        <v>231</v>
      </c>
      <c r="AY895" s="8" t="s">
        <v>231</v>
      </c>
      <c r="AZ895" s="7" t="s">
        <v>231</v>
      </c>
      <c r="BA895" s="7" t="s">
        <v>231</v>
      </c>
      <c r="BB895" s="7"/>
      <c r="BC895" s="4" t="s">
        <v>231</v>
      </c>
      <c r="BD895" s="8" t="s">
        <v>231</v>
      </c>
      <c r="BE895" s="4" t="s">
        <v>231</v>
      </c>
      <c r="BF895" s="8" t="s">
        <v>231</v>
      </c>
      <c r="BG895" s="7" t="s">
        <v>231</v>
      </c>
      <c r="BH895" s="7" t="s">
        <v>231</v>
      </c>
      <c r="BI895" s="7"/>
      <c r="BJ895" s="4"/>
      <c r="BK895" s="8"/>
      <c r="BL895" s="2" t="s">
        <v>231</v>
      </c>
      <c r="BM895" s="7"/>
      <c r="BN895" s="7"/>
      <c r="BO895" s="4"/>
      <c r="BP895" s="8"/>
      <c r="BQ895" s="4"/>
      <c r="BR895" s="8"/>
      <c r="BS895" s="7"/>
      <c r="BT895" s="7"/>
      <c r="BU895" s="2" t="s">
        <v>4556</v>
      </c>
      <c r="BV895" s="2" t="s">
        <v>231</v>
      </c>
      <c r="BW895" s="2" t="s">
        <v>231</v>
      </c>
      <c r="BX895" s="2" t="s">
        <v>241</v>
      </c>
      <c r="BY895" s="2" t="s">
        <v>277</v>
      </c>
      <c r="BZ895" s="2" t="s">
        <v>243</v>
      </c>
      <c r="CA895" s="2" t="s">
        <v>2376</v>
      </c>
      <c r="CB895" s="2" t="s">
        <v>2821</v>
      </c>
      <c r="CC895" s="2" t="s">
        <v>244</v>
      </c>
      <c r="CD895" s="2" t="s">
        <v>231</v>
      </c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>
        <v>92</v>
      </c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>
        <v>179</v>
      </c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>
        <v>80</v>
      </c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</row>
    <row r="896">
      <c r="A896" s="2" t="s">
        <v>4557</v>
      </c>
      <c r="B896" s="2" t="s">
        <v>287</v>
      </c>
      <c r="C896" s="2" t="s">
        <v>965</v>
      </c>
      <c r="D896" s="2" t="s">
        <v>289</v>
      </c>
      <c r="E896" s="2" t="s">
        <v>290</v>
      </c>
      <c r="F896" s="2" t="s">
        <v>4368</v>
      </c>
      <c r="G896" s="2" t="s">
        <v>4368</v>
      </c>
      <c r="H896" s="2" t="s">
        <v>4368</v>
      </c>
      <c r="I896" s="2" t="s">
        <v>4369</v>
      </c>
      <c r="J896" s="2" t="s">
        <v>304</v>
      </c>
      <c r="K896" s="2" t="s">
        <v>4545</v>
      </c>
      <c r="L896" s="3">
        <v>27.39</v>
      </c>
      <c r="M896" s="3">
        <v>28.76</v>
      </c>
      <c r="N896" s="3">
        <v>62.99</v>
      </c>
      <c r="O896" s="2" t="s">
        <v>243</v>
      </c>
      <c r="P896" s="2" t="s">
        <v>270</v>
      </c>
      <c r="Q896" s="2" t="s">
        <v>237</v>
      </c>
      <c r="R896" s="2" t="s">
        <v>231</v>
      </c>
      <c r="S896" s="2" t="s">
        <v>4546</v>
      </c>
      <c r="T896" s="2" t="s">
        <v>4134</v>
      </c>
      <c r="U896" s="2" t="s">
        <v>298</v>
      </c>
      <c r="V896" s="2" t="s">
        <v>4046</v>
      </c>
      <c r="W896" s="2" t="s">
        <v>897</v>
      </c>
      <c r="X896" s="2" t="s">
        <v>273</v>
      </c>
      <c r="Y896" s="2" t="s">
        <v>4547</v>
      </c>
      <c r="Z896" s="4">
        <v>108</v>
      </c>
      <c r="AA896" s="4">
        <f>=ROUNDDOWN(36,0)</f>
      </c>
      <c r="AB896" s="5">
        <v>3</v>
      </c>
      <c r="AC896" s="2" t="s">
        <v>1537</v>
      </c>
      <c r="AD896" s="4">
        <v>20</v>
      </c>
      <c r="AE896" s="4">
        <v>55</v>
      </c>
      <c r="AF896" s="6">
        <v>74</v>
      </c>
      <c r="AG896" s="6"/>
      <c r="AH896" s="7">
        <v>1</v>
      </c>
      <c r="AI896" s="4"/>
      <c r="AJ896" s="4">
        <f>=ROUNDDOWN({0},0)</f>
      </c>
      <c r="AK896" s="5"/>
      <c r="AL896" s="2" t="s">
        <v>231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231</v>
      </c>
      <c r="AW896" s="8" t="s">
        <v>231</v>
      </c>
      <c r="AX896" s="4" t="s">
        <v>231</v>
      </c>
      <c r="AY896" s="8" t="s">
        <v>231</v>
      </c>
      <c r="AZ896" s="7" t="s">
        <v>231</v>
      </c>
      <c r="BA896" s="7" t="s">
        <v>231</v>
      </c>
      <c r="BB896" s="7"/>
      <c r="BC896" s="4" t="s">
        <v>231</v>
      </c>
      <c r="BD896" s="8" t="s">
        <v>231</v>
      </c>
      <c r="BE896" s="4" t="s">
        <v>231</v>
      </c>
      <c r="BF896" s="8" t="s">
        <v>231</v>
      </c>
      <c r="BG896" s="7" t="s">
        <v>231</v>
      </c>
      <c r="BH896" s="7" t="s">
        <v>231</v>
      </c>
      <c r="BI896" s="7"/>
      <c r="BJ896" s="4">
        <v>2</v>
      </c>
      <c r="BK896" s="8">
        <v>62.94</v>
      </c>
      <c r="BL896" s="2" t="s">
        <v>4558</v>
      </c>
      <c r="BM896" s="7"/>
      <c r="BN896" s="7"/>
      <c r="BO896" s="4"/>
      <c r="BP896" s="8"/>
      <c r="BQ896" s="4"/>
      <c r="BR896" s="8"/>
      <c r="BS896" s="7"/>
      <c r="BT896" s="7"/>
      <c r="BU896" s="2" t="s">
        <v>4559</v>
      </c>
      <c r="BV896" s="2" t="s">
        <v>231</v>
      </c>
      <c r="BW896" s="2" t="s">
        <v>231</v>
      </c>
      <c r="BX896" s="2" t="s">
        <v>241</v>
      </c>
      <c r="BY896" s="2" t="s">
        <v>277</v>
      </c>
      <c r="BZ896" s="2" t="s">
        <v>243</v>
      </c>
      <c r="CA896" s="2" t="s">
        <v>2376</v>
      </c>
      <c r="CB896" s="2" t="s">
        <v>4560</v>
      </c>
      <c r="CC896" s="2" t="s">
        <v>244</v>
      </c>
      <c r="CD896" s="2" t="s">
        <v>231</v>
      </c>
      <c r="CE896" s="4">
        <v>108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>
        <v>20</v>
      </c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>
        <v>35</v>
      </c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</row>
    <row r="897">
      <c r="A897" s="2" t="s">
        <v>4561</v>
      </c>
      <c r="B897" s="2" t="s">
        <v>287</v>
      </c>
      <c r="C897" s="2" t="s">
        <v>965</v>
      </c>
      <c r="D897" s="2" t="s">
        <v>289</v>
      </c>
      <c r="E897" s="2" t="s">
        <v>290</v>
      </c>
      <c r="F897" s="2" t="s">
        <v>4368</v>
      </c>
      <c r="G897" s="2" t="s">
        <v>4368</v>
      </c>
      <c r="H897" s="2" t="s">
        <v>4368</v>
      </c>
      <c r="I897" s="2" t="s">
        <v>4369</v>
      </c>
      <c r="J897" s="2" t="s">
        <v>318</v>
      </c>
      <c r="K897" s="2" t="s">
        <v>4562</v>
      </c>
      <c r="L897" s="3">
        <v>14.89</v>
      </c>
      <c r="M897" s="3">
        <v>15.63</v>
      </c>
      <c r="N897" s="3">
        <v>31.99</v>
      </c>
      <c r="O897" s="2" t="s">
        <v>243</v>
      </c>
      <c r="P897" s="2" t="s">
        <v>270</v>
      </c>
      <c r="Q897" s="2" t="s">
        <v>237</v>
      </c>
      <c r="R897" s="2" t="s">
        <v>231</v>
      </c>
      <c r="S897" s="2" t="s">
        <v>4563</v>
      </c>
      <c r="T897" s="2" t="s">
        <v>4134</v>
      </c>
      <c r="U897" s="2" t="s">
        <v>835</v>
      </c>
      <c r="V897" s="2" t="s">
        <v>4046</v>
      </c>
      <c r="W897" s="2" t="s">
        <v>273</v>
      </c>
      <c r="X897" s="2" t="s">
        <v>897</v>
      </c>
      <c r="Y897" s="2" t="s">
        <v>4372</v>
      </c>
      <c r="Z897" s="4"/>
      <c r="AA897" s="4">
        <f>=ROUNDDOWN({0},0)</f>
      </c>
      <c r="AB897" s="5">
        <v>40</v>
      </c>
      <c r="AC897" s="2" t="s">
        <v>876</v>
      </c>
      <c r="AD897" s="4">
        <v>396</v>
      </c>
      <c r="AE897" s="4">
        <v>1497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231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231</v>
      </c>
      <c r="AW897" s="8" t="s">
        <v>231</v>
      </c>
      <c r="AX897" s="4" t="s">
        <v>231</v>
      </c>
      <c r="AY897" s="8" t="s">
        <v>231</v>
      </c>
      <c r="AZ897" s="7" t="s">
        <v>231</v>
      </c>
      <c r="BA897" s="7" t="s">
        <v>231</v>
      </c>
      <c r="BB897" s="7"/>
      <c r="BC897" s="4" t="s">
        <v>231</v>
      </c>
      <c r="BD897" s="8" t="s">
        <v>231</v>
      </c>
      <c r="BE897" s="4" t="s">
        <v>231</v>
      </c>
      <c r="BF897" s="8" t="s">
        <v>231</v>
      </c>
      <c r="BG897" s="7" t="s">
        <v>231</v>
      </c>
      <c r="BH897" s="7" t="s">
        <v>231</v>
      </c>
      <c r="BI897" s="7"/>
      <c r="BJ897" s="4"/>
      <c r="BK897" s="8"/>
      <c r="BL897" s="2" t="s">
        <v>231</v>
      </c>
      <c r="BM897" s="7"/>
      <c r="BN897" s="7"/>
      <c r="BO897" s="4"/>
      <c r="BP897" s="8"/>
      <c r="BQ897" s="4"/>
      <c r="BR897" s="8"/>
      <c r="BS897" s="7"/>
      <c r="BT897" s="7"/>
      <c r="BU897" s="2" t="s">
        <v>4564</v>
      </c>
      <c r="BV897" s="2" t="s">
        <v>231</v>
      </c>
      <c r="BW897" s="2" t="s">
        <v>231</v>
      </c>
      <c r="BX897" s="2" t="s">
        <v>231</v>
      </c>
      <c r="BY897" s="2" t="s">
        <v>277</v>
      </c>
      <c r="BZ897" s="2" t="s">
        <v>243</v>
      </c>
      <c r="CA897" s="2" t="s">
        <v>2430</v>
      </c>
      <c r="CB897" s="2" t="s">
        <v>331</v>
      </c>
      <c r="CC897" s="2" t="s">
        <v>244</v>
      </c>
      <c r="CD897" s="2" t="s">
        <v>231</v>
      </c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>
        <v>396</v>
      </c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>
        <v>754</v>
      </c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>
        <v>347</v>
      </c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</row>
    <row r="898">
      <c r="A898" s="2" t="s">
        <v>4565</v>
      </c>
      <c r="B898" s="2" t="s">
        <v>287</v>
      </c>
      <c r="C898" s="2" t="s">
        <v>965</v>
      </c>
      <c r="D898" s="2" t="s">
        <v>289</v>
      </c>
      <c r="E898" s="2" t="s">
        <v>290</v>
      </c>
      <c r="F898" s="2" t="s">
        <v>4368</v>
      </c>
      <c r="G898" s="2" t="s">
        <v>4368</v>
      </c>
      <c r="H898" s="2" t="s">
        <v>4368</v>
      </c>
      <c r="I898" s="2" t="s">
        <v>4369</v>
      </c>
      <c r="J898" s="2" t="s">
        <v>281</v>
      </c>
      <c r="K898" s="2" t="s">
        <v>4562</v>
      </c>
      <c r="L898" s="3">
        <v>19.57</v>
      </c>
      <c r="M898" s="3">
        <v>20.55</v>
      </c>
      <c r="N898" s="3">
        <v>42.99</v>
      </c>
      <c r="O898" s="2" t="s">
        <v>243</v>
      </c>
      <c r="P898" s="2" t="s">
        <v>1281</v>
      </c>
      <c r="Q898" s="2" t="s">
        <v>237</v>
      </c>
      <c r="R898" s="2" t="s">
        <v>231</v>
      </c>
      <c r="S898" s="2" t="s">
        <v>4563</v>
      </c>
      <c r="T898" s="2" t="s">
        <v>4134</v>
      </c>
      <c r="U898" s="2" t="s">
        <v>298</v>
      </c>
      <c r="V898" s="2" t="s">
        <v>4046</v>
      </c>
      <c r="W898" s="2" t="s">
        <v>273</v>
      </c>
      <c r="X898" s="2" t="s">
        <v>897</v>
      </c>
      <c r="Y898" s="2" t="s">
        <v>4372</v>
      </c>
      <c r="Z898" s="4"/>
      <c r="AA898" s="4">
        <f>=ROUNDDOWN({0},0)</f>
      </c>
      <c r="AB898" s="5">
        <v>31</v>
      </c>
      <c r="AC898" s="2" t="s">
        <v>876</v>
      </c>
      <c r="AD898" s="4">
        <v>308</v>
      </c>
      <c r="AE898" s="4">
        <v>1161</v>
      </c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231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231</v>
      </c>
      <c r="AW898" s="8" t="s">
        <v>231</v>
      </c>
      <c r="AX898" s="4" t="s">
        <v>231</v>
      </c>
      <c r="AY898" s="8" t="s">
        <v>231</v>
      </c>
      <c r="AZ898" s="7" t="s">
        <v>231</v>
      </c>
      <c r="BA898" s="7" t="s">
        <v>231</v>
      </c>
      <c r="BB898" s="7"/>
      <c r="BC898" s="4" t="s">
        <v>231</v>
      </c>
      <c r="BD898" s="8" t="s">
        <v>231</v>
      </c>
      <c r="BE898" s="4" t="s">
        <v>231</v>
      </c>
      <c r="BF898" s="8" t="s">
        <v>231</v>
      </c>
      <c r="BG898" s="7" t="s">
        <v>231</v>
      </c>
      <c r="BH898" s="7" t="s">
        <v>231</v>
      </c>
      <c r="BI898" s="7"/>
      <c r="BJ898" s="4"/>
      <c r="BK898" s="8"/>
      <c r="BL898" s="2" t="s">
        <v>231</v>
      </c>
      <c r="BM898" s="7"/>
      <c r="BN898" s="7"/>
      <c r="BO898" s="4"/>
      <c r="BP898" s="8"/>
      <c r="BQ898" s="4"/>
      <c r="BR898" s="8"/>
      <c r="BS898" s="7"/>
      <c r="BT898" s="7"/>
      <c r="BU898" s="2" t="s">
        <v>4566</v>
      </c>
      <c r="BV898" s="2" t="s">
        <v>231</v>
      </c>
      <c r="BW898" s="2" t="s">
        <v>231</v>
      </c>
      <c r="BX898" s="2" t="s">
        <v>231</v>
      </c>
      <c r="BY898" s="2" t="s">
        <v>277</v>
      </c>
      <c r="BZ898" s="2" t="s">
        <v>243</v>
      </c>
      <c r="CA898" s="2" t="s">
        <v>331</v>
      </c>
      <c r="CB898" s="2" t="s">
        <v>4567</v>
      </c>
      <c r="CC898" s="2" t="s">
        <v>244</v>
      </c>
      <c r="CD898" s="2" t="s">
        <v>231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>
        <v>308</v>
      </c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>
        <v>585</v>
      </c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>
        <v>268</v>
      </c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</row>
    <row r="899">
      <c r="A899" s="2" t="s">
        <v>4568</v>
      </c>
      <c r="B899" s="2" t="s">
        <v>287</v>
      </c>
      <c r="C899" s="2" t="s">
        <v>965</v>
      </c>
      <c r="D899" s="2" t="s">
        <v>289</v>
      </c>
      <c r="E899" s="2" t="s">
        <v>290</v>
      </c>
      <c r="F899" s="2" t="s">
        <v>4368</v>
      </c>
      <c r="G899" s="2" t="s">
        <v>4368</v>
      </c>
      <c r="H899" s="2" t="s">
        <v>4368</v>
      </c>
      <c r="I899" s="2" t="s">
        <v>4369</v>
      </c>
      <c r="J899" s="2" t="s">
        <v>293</v>
      </c>
      <c r="K899" s="2" t="s">
        <v>4562</v>
      </c>
      <c r="L899" s="3">
        <v>22.21</v>
      </c>
      <c r="M899" s="3">
        <v>23.32</v>
      </c>
      <c r="N899" s="3">
        <v>47.99</v>
      </c>
      <c r="O899" s="2" t="s">
        <v>243</v>
      </c>
      <c r="P899" s="2" t="s">
        <v>1281</v>
      </c>
      <c r="Q899" s="2" t="s">
        <v>237</v>
      </c>
      <c r="R899" s="2" t="s">
        <v>231</v>
      </c>
      <c r="S899" s="2" t="s">
        <v>4563</v>
      </c>
      <c r="T899" s="2" t="s">
        <v>4134</v>
      </c>
      <c r="U899" s="2" t="s">
        <v>298</v>
      </c>
      <c r="V899" s="2" t="s">
        <v>4046</v>
      </c>
      <c r="W899" s="2" t="s">
        <v>273</v>
      </c>
      <c r="X899" s="2" t="s">
        <v>897</v>
      </c>
      <c r="Y899" s="2" t="s">
        <v>4372</v>
      </c>
      <c r="Z899" s="4"/>
      <c r="AA899" s="4">
        <f>=ROUNDDOWN({0},0)</f>
      </c>
      <c r="AB899" s="5">
        <v>43</v>
      </c>
      <c r="AC899" s="2" t="s">
        <v>876</v>
      </c>
      <c r="AD899" s="4">
        <v>380</v>
      </c>
      <c r="AE899" s="4">
        <v>1526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231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231</v>
      </c>
      <c r="AW899" s="8" t="s">
        <v>231</v>
      </c>
      <c r="AX899" s="4" t="s">
        <v>231</v>
      </c>
      <c r="AY899" s="8" t="s">
        <v>231</v>
      </c>
      <c r="AZ899" s="7" t="s">
        <v>231</v>
      </c>
      <c r="BA899" s="7" t="s">
        <v>231</v>
      </c>
      <c r="BB899" s="7"/>
      <c r="BC899" s="4" t="s">
        <v>231</v>
      </c>
      <c r="BD899" s="8" t="s">
        <v>231</v>
      </c>
      <c r="BE899" s="4" t="s">
        <v>231</v>
      </c>
      <c r="BF899" s="8" t="s">
        <v>231</v>
      </c>
      <c r="BG899" s="7" t="s">
        <v>231</v>
      </c>
      <c r="BH899" s="7" t="s">
        <v>231</v>
      </c>
      <c r="BI899" s="7"/>
      <c r="BJ899" s="4"/>
      <c r="BK899" s="8"/>
      <c r="BL899" s="2" t="s">
        <v>231</v>
      </c>
      <c r="BM899" s="7"/>
      <c r="BN899" s="7"/>
      <c r="BO899" s="4"/>
      <c r="BP899" s="8"/>
      <c r="BQ899" s="4"/>
      <c r="BR899" s="8"/>
      <c r="BS899" s="7"/>
      <c r="BT899" s="7"/>
      <c r="BU899" s="2" t="s">
        <v>4569</v>
      </c>
      <c r="BV899" s="2" t="s">
        <v>231</v>
      </c>
      <c r="BW899" s="2" t="s">
        <v>231</v>
      </c>
      <c r="BX899" s="2" t="s">
        <v>231</v>
      </c>
      <c r="BY899" s="2" t="s">
        <v>277</v>
      </c>
      <c r="BZ899" s="2" t="s">
        <v>243</v>
      </c>
      <c r="CA899" s="2" t="s">
        <v>2430</v>
      </c>
      <c r="CB899" s="2" t="s">
        <v>4375</v>
      </c>
      <c r="CC899" s="2" t="s">
        <v>244</v>
      </c>
      <c r="CD899" s="2" t="s">
        <v>231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>
        <v>380</v>
      </c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>
        <v>779</v>
      </c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>
        <v>367</v>
      </c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</row>
    <row r="900">
      <c r="A900" s="2" t="s">
        <v>4570</v>
      </c>
      <c r="B900" s="2" t="s">
        <v>287</v>
      </c>
      <c r="C900" s="2" t="s">
        <v>965</v>
      </c>
      <c r="D900" s="2" t="s">
        <v>289</v>
      </c>
      <c r="E900" s="2" t="s">
        <v>290</v>
      </c>
      <c r="F900" s="2" t="s">
        <v>4368</v>
      </c>
      <c r="G900" s="2" t="s">
        <v>4368</v>
      </c>
      <c r="H900" s="2" t="s">
        <v>4368</v>
      </c>
      <c r="I900" s="2" t="s">
        <v>4369</v>
      </c>
      <c r="J900" s="2" t="s">
        <v>302</v>
      </c>
      <c r="K900" s="2" t="s">
        <v>4562</v>
      </c>
      <c r="L900" s="3">
        <v>27.39</v>
      </c>
      <c r="M900" s="3">
        <v>28.76</v>
      </c>
      <c r="N900" s="3">
        <v>62.99</v>
      </c>
      <c r="O900" s="2" t="s">
        <v>243</v>
      </c>
      <c r="P900" s="2" t="s">
        <v>270</v>
      </c>
      <c r="Q900" s="2" t="s">
        <v>237</v>
      </c>
      <c r="R900" s="2" t="s">
        <v>231</v>
      </c>
      <c r="S900" s="2" t="s">
        <v>4563</v>
      </c>
      <c r="T900" s="2" t="s">
        <v>4134</v>
      </c>
      <c r="U900" s="2" t="s">
        <v>298</v>
      </c>
      <c r="V900" s="2" t="s">
        <v>4046</v>
      </c>
      <c r="W900" s="2" t="s">
        <v>273</v>
      </c>
      <c r="X900" s="2" t="s">
        <v>897</v>
      </c>
      <c r="Y900" s="2" t="s">
        <v>4372</v>
      </c>
      <c r="Z900" s="4"/>
      <c r="AA900" s="4">
        <f>=ROUNDDOWN({0},0)</f>
      </c>
      <c r="AB900" s="5">
        <v>15</v>
      </c>
      <c r="AC900" s="2" t="s">
        <v>876</v>
      </c>
      <c r="AD900" s="4">
        <v>160</v>
      </c>
      <c r="AE900" s="4">
        <v>589</v>
      </c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231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231</v>
      </c>
      <c r="AW900" s="8" t="s">
        <v>231</v>
      </c>
      <c r="AX900" s="4" t="s">
        <v>231</v>
      </c>
      <c r="AY900" s="8" t="s">
        <v>231</v>
      </c>
      <c r="AZ900" s="7" t="s">
        <v>231</v>
      </c>
      <c r="BA900" s="7" t="s">
        <v>231</v>
      </c>
      <c r="BB900" s="7"/>
      <c r="BC900" s="4" t="s">
        <v>231</v>
      </c>
      <c r="BD900" s="8" t="s">
        <v>231</v>
      </c>
      <c r="BE900" s="4" t="s">
        <v>231</v>
      </c>
      <c r="BF900" s="8" t="s">
        <v>231</v>
      </c>
      <c r="BG900" s="7" t="s">
        <v>231</v>
      </c>
      <c r="BH900" s="7" t="s">
        <v>231</v>
      </c>
      <c r="BI900" s="7"/>
      <c r="BJ900" s="4"/>
      <c r="BK900" s="8"/>
      <c r="BL900" s="2" t="s">
        <v>1020</v>
      </c>
      <c r="BM900" s="7"/>
      <c r="BN900" s="7"/>
      <c r="BO900" s="4"/>
      <c r="BP900" s="8"/>
      <c r="BQ900" s="4"/>
      <c r="BR900" s="8"/>
      <c r="BS900" s="7"/>
      <c r="BT900" s="7"/>
      <c r="BU900" s="2" t="s">
        <v>4571</v>
      </c>
      <c r="BV900" s="2" t="s">
        <v>231</v>
      </c>
      <c r="BW900" s="2" t="s">
        <v>231</v>
      </c>
      <c r="BX900" s="2" t="s">
        <v>231</v>
      </c>
      <c r="BY900" s="2" t="s">
        <v>277</v>
      </c>
      <c r="BZ900" s="2" t="s">
        <v>243</v>
      </c>
      <c r="CA900" s="2" t="s">
        <v>331</v>
      </c>
      <c r="CB900" s="2" t="s">
        <v>2728</v>
      </c>
      <c r="CC900" s="2" t="s">
        <v>244</v>
      </c>
      <c r="CD900" s="2" t="s">
        <v>231</v>
      </c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>
        <v>160</v>
      </c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>
        <v>288</v>
      </c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>
        <v>141</v>
      </c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</row>
    <row r="901">
      <c r="A901" s="2" t="s">
        <v>4572</v>
      </c>
      <c r="B901" s="2" t="s">
        <v>287</v>
      </c>
      <c r="C901" s="2" t="s">
        <v>965</v>
      </c>
      <c r="D901" s="2" t="s">
        <v>289</v>
      </c>
      <c r="E901" s="2" t="s">
        <v>290</v>
      </c>
      <c r="F901" s="2" t="s">
        <v>4368</v>
      </c>
      <c r="G901" s="2" t="s">
        <v>4368</v>
      </c>
      <c r="H901" s="2" t="s">
        <v>4368</v>
      </c>
      <c r="I901" s="2" t="s">
        <v>4369</v>
      </c>
      <c r="J901" s="2" t="s">
        <v>318</v>
      </c>
      <c r="K901" s="2" t="s">
        <v>4573</v>
      </c>
      <c r="L901" s="3">
        <v>14.89</v>
      </c>
      <c r="M901" s="3">
        <v>15.63</v>
      </c>
      <c r="N901" s="3">
        <v>31.99</v>
      </c>
      <c r="O901" s="2" t="s">
        <v>243</v>
      </c>
      <c r="P901" s="2" t="s">
        <v>270</v>
      </c>
      <c r="Q901" s="2" t="s">
        <v>237</v>
      </c>
      <c r="R901" s="2" t="s">
        <v>231</v>
      </c>
      <c r="S901" s="2" t="s">
        <v>4574</v>
      </c>
      <c r="T901" s="2" t="s">
        <v>4134</v>
      </c>
      <c r="U901" s="2" t="s">
        <v>835</v>
      </c>
      <c r="V901" s="2" t="s">
        <v>3942</v>
      </c>
      <c r="W901" s="2" t="s">
        <v>273</v>
      </c>
      <c r="X901" s="2" t="s">
        <v>897</v>
      </c>
      <c r="Y901" s="2" t="s">
        <v>4372</v>
      </c>
      <c r="Z901" s="4">
        <v>3</v>
      </c>
      <c r="AA901" s="4">
        <f>=ROUNDDOWN(0.1,0)</f>
      </c>
      <c r="AB901" s="5">
        <v>30</v>
      </c>
      <c r="AC901" s="2" t="s">
        <v>876</v>
      </c>
      <c r="AD901" s="4">
        <v>296</v>
      </c>
      <c r="AE901" s="4">
        <v>1108</v>
      </c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231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231</v>
      </c>
      <c r="AW901" s="8" t="s">
        <v>231</v>
      </c>
      <c r="AX901" s="4" t="s">
        <v>231</v>
      </c>
      <c r="AY901" s="8" t="s">
        <v>231</v>
      </c>
      <c r="AZ901" s="7" t="s">
        <v>231</v>
      </c>
      <c r="BA901" s="7" t="s">
        <v>231</v>
      </c>
      <c r="BB901" s="7"/>
      <c r="BC901" s="4" t="s">
        <v>231</v>
      </c>
      <c r="BD901" s="8" t="s">
        <v>231</v>
      </c>
      <c r="BE901" s="4" t="s">
        <v>231</v>
      </c>
      <c r="BF901" s="8" t="s">
        <v>231</v>
      </c>
      <c r="BG901" s="7" t="s">
        <v>231</v>
      </c>
      <c r="BH901" s="7" t="s">
        <v>231</v>
      </c>
      <c r="BI901" s="7"/>
      <c r="BJ901" s="4"/>
      <c r="BK901" s="8"/>
      <c r="BL901" s="2" t="s">
        <v>231</v>
      </c>
      <c r="BM901" s="7"/>
      <c r="BN901" s="7"/>
      <c r="BO901" s="4"/>
      <c r="BP901" s="8"/>
      <c r="BQ901" s="4"/>
      <c r="BR901" s="8"/>
      <c r="BS901" s="7"/>
      <c r="BT901" s="7"/>
      <c r="BU901" s="2" t="s">
        <v>4575</v>
      </c>
      <c r="BV901" s="2" t="s">
        <v>231</v>
      </c>
      <c r="BW901" s="2" t="s">
        <v>231</v>
      </c>
      <c r="BX901" s="2" t="s">
        <v>231</v>
      </c>
      <c r="BY901" s="2" t="s">
        <v>277</v>
      </c>
      <c r="BZ901" s="2" t="s">
        <v>243</v>
      </c>
      <c r="CA901" s="2" t="s">
        <v>4374</v>
      </c>
      <c r="CB901" s="2" t="s">
        <v>4576</v>
      </c>
      <c r="CC901" s="2" t="s">
        <v>244</v>
      </c>
      <c r="CD901" s="2" t="s">
        <v>231</v>
      </c>
      <c r="CE901" s="4">
        <v>3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>
        <v>296</v>
      </c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>
        <v>553</v>
      </c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>
        <v>259</v>
      </c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</row>
    <row r="902">
      <c r="A902" s="2" t="s">
        <v>4577</v>
      </c>
      <c r="B902" s="2" t="s">
        <v>287</v>
      </c>
      <c r="C902" s="2" t="s">
        <v>965</v>
      </c>
      <c r="D902" s="2" t="s">
        <v>289</v>
      </c>
      <c r="E902" s="2" t="s">
        <v>290</v>
      </c>
      <c r="F902" s="2" t="s">
        <v>4368</v>
      </c>
      <c r="G902" s="2" t="s">
        <v>4368</v>
      </c>
      <c r="H902" s="2" t="s">
        <v>4368</v>
      </c>
      <c r="I902" s="2" t="s">
        <v>4369</v>
      </c>
      <c r="J902" s="2" t="s">
        <v>281</v>
      </c>
      <c r="K902" s="2" t="s">
        <v>4573</v>
      </c>
      <c r="L902" s="3">
        <v>19.57</v>
      </c>
      <c r="M902" s="3">
        <v>20.55</v>
      </c>
      <c r="N902" s="3">
        <v>42.99</v>
      </c>
      <c r="O902" s="2" t="s">
        <v>243</v>
      </c>
      <c r="P902" s="2" t="s">
        <v>871</v>
      </c>
      <c r="Q902" s="2" t="s">
        <v>237</v>
      </c>
      <c r="R902" s="2" t="s">
        <v>231</v>
      </c>
      <c r="S902" s="2" t="s">
        <v>4574</v>
      </c>
      <c r="T902" s="2" t="s">
        <v>4134</v>
      </c>
      <c r="U902" s="2" t="s">
        <v>298</v>
      </c>
      <c r="V902" s="2" t="s">
        <v>3942</v>
      </c>
      <c r="W902" s="2" t="s">
        <v>273</v>
      </c>
      <c r="X902" s="2" t="s">
        <v>897</v>
      </c>
      <c r="Y902" s="2" t="s">
        <v>4372</v>
      </c>
      <c r="Z902" s="4">
        <v>4</v>
      </c>
      <c r="AA902" s="4">
        <f>=ROUNDDOWN(0.0851063829787234,0)</f>
      </c>
      <c r="AB902" s="5">
        <v>47</v>
      </c>
      <c r="AC902" s="2" t="s">
        <v>876</v>
      </c>
      <c r="AD902" s="4">
        <v>435</v>
      </c>
      <c r="AE902" s="4">
        <v>1739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231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231</v>
      </c>
      <c r="AW902" s="8" t="s">
        <v>231</v>
      </c>
      <c r="AX902" s="4" t="s">
        <v>231</v>
      </c>
      <c r="AY902" s="8" t="s">
        <v>231</v>
      </c>
      <c r="AZ902" s="7" t="s">
        <v>231</v>
      </c>
      <c r="BA902" s="7" t="s">
        <v>231</v>
      </c>
      <c r="BB902" s="7"/>
      <c r="BC902" s="4" t="s">
        <v>231</v>
      </c>
      <c r="BD902" s="8" t="s">
        <v>231</v>
      </c>
      <c r="BE902" s="4" t="s">
        <v>231</v>
      </c>
      <c r="BF902" s="8" t="s">
        <v>231</v>
      </c>
      <c r="BG902" s="7" t="s">
        <v>231</v>
      </c>
      <c r="BH902" s="7" t="s">
        <v>231</v>
      </c>
      <c r="BI902" s="7"/>
      <c r="BJ902" s="4">
        <v>17</v>
      </c>
      <c r="BK902" s="8">
        <v>375.03</v>
      </c>
      <c r="BL902" s="2" t="s">
        <v>4578</v>
      </c>
      <c r="BM902" s="7"/>
      <c r="BN902" s="7"/>
      <c r="BO902" s="4"/>
      <c r="BP902" s="8"/>
      <c r="BQ902" s="4"/>
      <c r="BR902" s="8"/>
      <c r="BS902" s="7"/>
      <c r="BT902" s="7"/>
      <c r="BU902" s="2" t="s">
        <v>4579</v>
      </c>
      <c r="BV902" s="2" t="s">
        <v>231</v>
      </c>
      <c r="BW902" s="2" t="s">
        <v>231</v>
      </c>
      <c r="BX902" s="2" t="s">
        <v>231</v>
      </c>
      <c r="BY902" s="2" t="s">
        <v>277</v>
      </c>
      <c r="BZ902" s="2" t="s">
        <v>243</v>
      </c>
      <c r="CA902" s="2" t="s">
        <v>2430</v>
      </c>
      <c r="CB902" s="2" t="s">
        <v>4580</v>
      </c>
      <c r="CC902" s="2" t="s">
        <v>244</v>
      </c>
      <c r="CD902" s="2" t="s">
        <v>231</v>
      </c>
      <c r="CE902" s="4">
        <v>4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>
        <v>435</v>
      </c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>
        <v>914</v>
      </c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>
        <v>390</v>
      </c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</row>
    <row r="903">
      <c r="A903" s="2" t="s">
        <v>4581</v>
      </c>
      <c r="B903" s="2" t="s">
        <v>287</v>
      </c>
      <c r="C903" s="2" t="s">
        <v>965</v>
      </c>
      <c r="D903" s="2" t="s">
        <v>289</v>
      </c>
      <c r="E903" s="2" t="s">
        <v>290</v>
      </c>
      <c r="F903" s="2" t="s">
        <v>4368</v>
      </c>
      <c r="G903" s="2" t="s">
        <v>4368</v>
      </c>
      <c r="H903" s="2" t="s">
        <v>4368</v>
      </c>
      <c r="I903" s="2" t="s">
        <v>4369</v>
      </c>
      <c r="J903" s="2" t="s">
        <v>293</v>
      </c>
      <c r="K903" s="2" t="s">
        <v>4573</v>
      </c>
      <c r="L903" s="3">
        <v>22.21</v>
      </c>
      <c r="M903" s="3">
        <v>23.32</v>
      </c>
      <c r="N903" s="3">
        <v>47.99</v>
      </c>
      <c r="O903" s="2" t="s">
        <v>243</v>
      </c>
      <c r="P903" s="2" t="s">
        <v>1332</v>
      </c>
      <c r="Q903" s="2" t="s">
        <v>237</v>
      </c>
      <c r="R903" s="2" t="s">
        <v>231</v>
      </c>
      <c r="S903" s="2" t="s">
        <v>4574</v>
      </c>
      <c r="T903" s="2" t="s">
        <v>4134</v>
      </c>
      <c r="U903" s="2" t="s">
        <v>298</v>
      </c>
      <c r="V903" s="2" t="s">
        <v>3942</v>
      </c>
      <c r="W903" s="2" t="s">
        <v>273</v>
      </c>
      <c r="X903" s="2" t="s">
        <v>897</v>
      </c>
      <c r="Y903" s="2" t="s">
        <v>4372</v>
      </c>
      <c r="Z903" s="4">
        <v>2</v>
      </c>
      <c r="AA903" s="4">
        <f>=ROUNDDOWN(0.0232558139534884,0)</f>
      </c>
      <c r="AB903" s="5">
        <v>86</v>
      </c>
      <c r="AC903" s="2" t="s">
        <v>876</v>
      </c>
      <c r="AD903" s="4">
        <v>761</v>
      </c>
      <c r="AE903" s="4">
        <v>3191</v>
      </c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231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231</v>
      </c>
      <c r="AW903" s="8" t="s">
        <v>231</v>
      </c>
      <c r="AX903" s="4" t="s">
        <v>231</v>
      </c>
      <c r="AY903" s="8" t="s">
        <v>231</v>
      </c>
      <c r="AZ903" s="7" t="s">
        <v>231</v>
      </c>
      <c r="BA903" s="7" t="s">
        <v>231</v>
      </c>
      <c r="BB903" s="7"/>
      <c r="BC903" s="4" t="s">
        <v>231</v>
      </c>
      <c r="BD903" s="8" t="s">
        <v>231</v>
      </c>
      <c r="BE903" s="4" t="s">
        <v>231</v>
      </c>
      <c r="BF903" s="8" t="s">
        <v>231</v>
      </c>
      <c r="BG903" s="7" t="s">
        <v>231</v>
      </c>
      <c r="BH903" s="7" t="s">
        <v>231</v>
      </c>
      <c r="BI903" s="7"/>
      <c r="BJ903" s="4"/>
      <c r="BK903" s="8"/>
      <c r="BL903" s="2" t="s">
        <v>231</v>
      </c>
      <c r="BM903" s="7"/>
      <c r="BN903" s="7"/>
      <c r="BO903" s="4"/>
      <c r="BP903" s="8"/>
      <c r="BQ903" s="4"/>
      <c r="BR903" s="8"/>
      <c r="BS903" s="7"/>
      <c r="BT903" s="7"/>
      <c r="BU903" s="2" t="s">
        <v>4582</v>
      </c>
      <c r="BV903" s="2" t="s">
        <v>231</v>
      </c>
      <c r="BW903" s="2" t="s">
        <v>231</v>
      </c>
      <c r="BX903" s="2" t="s">
        <v>231</v>
      </c>
      <c r="BY903" s="2" t="s">
        <v>277</v>
      </c>
      <c r="BZ903" s="2" t="s">
        <v>243</v>
      </c>
      <c r="CA903" s="2" t="s">
        <v>2430</v>
      </c>
      <c r="CB903" s="2" t="s">
        <v>4380</v>
      </c>
      <c r="CC903" s="2" t="s">
        <v>244</v>
      </c>
      <c r="CD903" s="2" t="s">
        <v>231</v>
      </c>
      <c r="CE903" s="4">
        <v>2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>
        <v>761</v>
      </c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>
        <v>1743</v>
      </c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>
        <v>687</v>
      </c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</row>
    <row r="904">
      <c r="A904" s="2" t="s">
        <v>4583</v>
      </c>
      <c r="B904" s="2" t="s">
        <v>287</v>
      </c>
      <c r="C904" s="2" t="s">
        <v>965</v>
      </c>
      <c r="D904" s="2" t="s">
        <v>289</v>
      </c>
      <c r="E904" s="2" t="s">
        <v>290</v>
      </c>
      <c r="F904" s="2" t="s">
        <v>4368</v>
      </c>
      <c r="G904" s="2" t="s">
        <v>4368</v>
      </c>
      <c r="H904" s="2" t="s">
        <v>4368</v>
      </c>
      <c r="I904" s="2" t="s">
        <v>4369</v>
      </c>
      <c r="J904" s="2" t="s">
        <v>302</v>
      </c>
      <c r="K904" s="2" t="s">
        <v>4573</v>
      </c>
      <c r="L904" s="3">
        <v>27.39</v>
      </c>
      <c r="M904" s="3">
        <v>28.76</v>
      </c>
      <c r="N904" s="3">
        <v>62.99</v>
      </c>
      <c r="O904" s="2" t="s">
        <v>243</v>
      </c>
      <c r="P904" s="2" t="s">
        <v>270</v>
      </c>
      <c r="Q904" s="2" t="s">
        <v>237</v>
      </c>
      <c r="R904" s="2" t="s">
        <v>231</v>
      </c>
      <c r="S904" s="2" t="s">
        <v>4574</v>
      </c>
      <c r="T904" s="2" t="s">
        <v>4134</v>
      </c>
      <c r="U904" s="2" t="s">
        <v>298</v>
      </c>
      <c r="V904" s="2" t="s">
        <v>3942</v>
      </c>
      <c r="W904" s="2" t="s">
        <v>273</v>
      </c>
      <c r="X904" s="2" t="s">
        <v>897</v>
      </c>
      <c r="Y904" s="2" t="s">
        <v>4372</v>
      </c>
      <c r="Z904" s="4">
        <v>3</v>
      </c>
      <c r="AA904" s="4">
        <f>=ROUNDDOWN(0.1,0)</f>
      </c>
      <c r="AB904" s="5">
        <v>30</v>
      </c>
      <c r="AC904" s="2" t="s">
        <v>876</v>
      </c>
      <c r="AD904" s="4">
        <v>296</v>
      </c>
      <c r="AE904" s="4">
        <v>1093</v>
      </c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231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231</v>
      </c>
      <c r="AW904" s="8" t="s">
        <v>231</v>
      </c>
      <c r="AX904" s="4" t="s">
        <v>231</v>
      </c>
      <c r="AY904" s="8" t="s">
        <v>231</v>
      </c>
      <c r="AZ904" s="7" t="s">
        <v>231</v>
      </c>
      <c r="BA904" s="7" t="s">
        <v>231</v>
      </c>
      <c r="BB904" s="7"/>
      <c r="BC904" s="4" t="s">
        <v>231</v>
      </c>
      <c r="BD904" s="8" t="s">
        <v>231</v>
      </c>
      <c r="BE904" s="4" t="s">
        <v>231</v>
      </c>
      <c r="BF904" s="8" t="s">
        <v>231</v>
      </c>
      <c r="BG904" s="7" t="s">
        <v>231</v>
      </c>
      <c r="BH904" s="7" t="s">
        <v>231</v>
      </c>
      <c r="BI904" s="7"/>
      <c r="BJ904" s="4"/>
      <c r="BK904" s="8"/>
      <c r="BL904" s="2" t="s">
        <v>231</v>
      </c>
      <c r="BM904" s="7"/>
      <c r="BN904" s="7"/>
      <c r="BO904" s="4"/>
      <c r="BP904" s="8"/>
      <c r="BQ904" s="4"/>
      <c r="BR904" s="8"/>
      <c r="BS904" s="7"/>
      <c r="BT904" s="7"/>
      <c r="BU904" s="2" t="s">
        <v>4584</v>
      </c>
      <c r="BV904" s="2" t="s">
        <v>231</v>
      </c>
      <c r="BW904" s="2" t="s">
        <v>231</v>
      </c>
      <c r="BX904" s="2" t="s">
        <v>231</v>
      </c>
      <c r="BY904" s="2" t="s">
        <v>277</v>
      </c>
      <c r="BZ904" s="2" t="s">
        <v>243</v>
      </c>
      <c r="CA904" s="2" t="s">
        <v>4374</v>
      </c>
      <c r="CB904" s="2" t="s">
        <v>4384</v>
      </c>
      <c r="CC904" s="2" t="s">
        <v>244</v>
      </c>
      <c r="CD904" s="2" t="s">
        <v>231</v>
      </c>
      <c r="CE904" s="4">
        <v>3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>
        <v>296</v>
      </c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>
        <v>538</v>
      </c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>
        <v>259</v>
      </c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</row>
    <row r="905">
      <c r="A905" s="2" t="s">
        <v>4585</v>
      </c>
      <c r="B905" s="2" t="s">
        <v>287</v>
      </c>
      <c r="C905" s="2" t="s">
        <v>965</v>
      </c>
      <c r="D905" s="2" t="s">
        <v>289</v>
      </c>
      <c r="E905" s="2" t="s">
        <v>290</v>
      </c>
      <c r="F905" s="2" t="s">
        <v>4368</v>
      </c>
      <c r="G905" s="2" t="s">
        <v>4368</v>
      </c>
      <c r="H905" s="2" t="s">
        <v>4368</v>
      </c>
      <c r="I905" s="2" t="s">
        <v>4369</v>
      </c>
      <c r="J905" s="2" t="s">
        <v>318</v>
      </c>
      <c r="K905" s="2" t="s">
        <v>1568</v>
      </c>
      <c r="L905" s="3">
        <v>14.89</v>
      </c>
      <c r="M905" s="3">
        <v>15.63</v>
      </c>
      <c r="N905" s="3">
        <v>31.99</v>
      </c>
      <c r="O905" s="2" t="s">
        <v>243</v>
      </c>
      <c r="P905" s="2" t="s">
        <v>270</v>
      </c>
      <c r="Q905" s="2" t="s">
        <v>237</v>
      </c>
      <c r="R905" s="2" t="s">
        <v>231</v>
      </c>
      <c r="S905" s="2" t="s">
        <v>4586</v>
      </c>
      <c r="T905" s="2" t="s">
        <v>4134</v>
      </c>
      <c r="U905" s="2" t="s">
        <v>231</v>
      </c>
      <c r="V905" s="2" t="s">
        <v>987</v>
      </c>
      <c r="W905" s="2" t="s">
        <v>273</v>
      </c>
      <c r="X905" s="2" t="s">
        <v>231</v>
      </c>
      <c r="Y905" s="2" t="s">
        <v>4170</v>
      </c>
      <c r="Z905" s="4"/>
      <c r="AA905" s="4">
        <f>=ROUNDDOWN({0},0)</f>
      </c>
      <c r="AB905" s="5">
        <v>46</v>
      </c>
      <c r="AC905" s="2" t="s">
        <v>4449</v>
      </c>
      <c r="AD905" s="4">
        <v>438</v>
      </c>
      <c r="AE905" s="4">
        <v>1666</v>
      </c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231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231</v>
      </c>
      <c r="AW905" s="8" t="s">
        <v>231</v>
      </c>
      <c r="AX905" s="4" t="s">
        <v>231</v>
      </c>
      <c r="AY905" s="8" t="s">
        <v>231</v>
      </c>
      <c r="AZ905" s="7" t="s">
        <v>231</v>
      </c>
      <c r="BA905" s="7" t="s">
        <v>231</v>
      </c>
      <c r="BB905" s="7"/>
      <c r="BC905" s="4" t="s">
        <v>231</v>
      </c>
      <c r="BD905" s="8" t="s">
        <v>231</v>
      </c>
      <c r="BE905" s="4" t="s">
        <v>231</v>
      </c>
      <c r="BF905" s="8" t="s">
        <v>231</v>
      </c>
      <c r="BG905" s="7" t="s">
        <v>231</v>
      </c>
      <c r="BH905" s="7" t="s">
        <v>231</v>
      </c>
      <c r="BI905" s="7"/>
      <c r="BJ905" s="4"/>
      <c r="BK905" s="8"/>
      <c r="BL905" s="2" t="s">
        <v>231</v>
      </c>
      <c r="BM905" s="7"/>
      <c r="BN905" s="7"/>
      <c r="BO905" s="4"/>
      <c r="BP905" s="8"/>
      <c r="BQ905" s="4"/>
      <c r="BR905" s="8"/>
      <c r="BS905" s="7"/>
      <c r="BT905" s="7"/>
      <c r="BU905" s="2" t="s">
        <v>4587</v>
      </c>
      <c r="BV905" s="2" t="s">
        <v>231</v>
      </c>
      <c r="BW905" s="2" t="s">
        <v>231</v>
      </c>
      <c r="BX905" s="2" t="s">
        <v>231</v>
      </c>
      <c r="BY905" s="2" t="s">
        <v>277</v>
      </c>
      <c r="BZ905" s="2" t="s">
        <v>243</v>
      </c>
      <c r="CA905" s="2" t="s">
        <v>4389</v>
      </c>
      <c r="CB905" s="2" t="s">
        <v>4397</v>
      </c>
      <c r="CC905" s="2" t="s">
        <v>244</v>
      </c>
      <c r="CD905" s="2" t="s">
        <v>231</v>
      </c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>
        <v>438</v>
      </c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>
        <v>825</v>
      </c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>
        <v>403</v>
      </c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</row>
    <row r="906">
      <c r="A906" s="2" t="s">
        <v>4588</v>
      </c>
      <c r="B906" s="2" t="s">
        <v>287</v>
      </c>
      <c r="C906" s="2" t="s">
        <v>965</v>
      </c>
      <c r="D906" s="2" t="s">
        <v>289</v>
      </c>
      <c r="E906" s="2" t="s">
        <v>290</v>
      </c>
      <c r="F906" s="2" t="s">
        <v>4368</v>
      </c>
      <c r="G906" s="2" t="s">
        <v>4368</v>
      </c>
      <c r="H906" s="2" t="s">
        <v>4368</v>
      </c>
      <c r="I906" s="2" t="s">
        <v>4369</v>
      </c>
      <c r="J906" s="2" t="s">
        <v>268</v>
      </c>
      <c r="K906" s="2" t="s">
        <v>1568</v>
      </c>
      <c r="L906" s="3">
        <v>16.16</v>
      </c>
      <c r="M906" s="3">
        <v>16.97</v>
      </c>
      <c r="N906" s="3">
        <v>34.99</v>
      </c>
      <c r="O906" s="2" t="s">
        <v>243</v>
      </c>
      <c r="P906" s="2" t="s">
        <v>270</v>
      </c>
      <c r="Q906" s="2" t="s">
        <v>237</v>
      </c>
      <c r="R906" s="2" t="s">
        <v>231</v>
      </c>
      <c r="S906" s="2" t="s">
        <v>4586</v>
      </c>
      <c r="T906" s="2" t="s">
        <v>4134</v>
      </c>
      <c r="U906" s="2" t="s">
        <v>231</v>
      </c>
      <c r="V906" s="2" t="s">
        <v>987</v>
      </c>
      <c r="W906" s="2" t="s">
        <v>273</v>
      </c>
      <c r="X906" s="2" t="s">
        <v>231</v>
      </c>
      <c r="Y906" s="2" t="s">
        <v>4170</v>
      </c>
      <c r="Z906" s="4"/>
      <c r="AA906" s="4">
        <f>=ROUNDDOWN({0},0)</f>
      </c>
      <c r="AB906" s="5">
        <v>26</v>
      </c>
      <c r="AC906" s="2" t="s">
        <v>4449</v>
      </c>
      <c r="AD906" s="4">
        <v>246</v>
      </c>
      <c r="AE906" s="4">
        <v>922</v>
      </c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231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231</v>
      </c>
      <c r="AW906" s="8" t="s">
        <v>231</v>
      </c>
      <c r="AX906" s="4" t="s">
        <v>231</v>
      </c>
      <c r="AY906" s="8" t="s">
        <v>231</v>
      </c>
      <c r="AZ906" s="7" t="s">
        <v>231</v>
      </c>
      <c r="BA906" s="7" t="s">
        <v>231</v>
      </c>
      <c r="BB906" s="7"/>
      <c r="BC906" s="4" t="s">
        <v>231</v>
      </c>
      <c r="BD906" s="8" t="s">
        <v>231</v>
      </c>
      <c r="BE906" s="4" t="s">
        <v>231</v>
      </c>
      <c r="BF906" s="8" t="s">
        <v>231</v>
      </c>
      <c r="BG906" s="7" t="s">
        <v>231</v>
      </c>
      <c r="BH906" s="7" t="s">
        <v>231</v>
      </c>
      <c r="BI906" s="7"/>
      <c r="BJ906" s="4"/>
      <c r="BK906" s="8"/>
      <c r="BL906" s="2" t="s">
        <v>231</v>
      </c>
      <c r="BM906" s="7"/>
      <c r="BN906" s="7"/>
      <c r="BO906" s="4"/>
      <c r="BP906" s="8"/>
      <c r="BQ906" s="4"/>
      <c r="BR906" s="8"/>
      <c r="BS906" s="7"/>
      <c r="BT906" s="7"/>
      <c r="BU906" s="2" t="s">
        <v>4589</v>
      </c>
      <c r="BV906" s="2" t="s">
        <v>231</v>
      </c>
      <c r="BW906" s="2" t="s">
        <v>231</v>
      </c>
      <c r="BX906" s="2" t="s">
        <v>231</v>
      </c>
      <c r="BY906" s="2" t="s">
        <v>277</v>
      </c>
      <c r="BZ906" s="2" t="s">
        <v>243</v>
      </c>
      <c r="CA906" s="2" t="s">
        <v>4389</v>
      </c>
      <c r="CB906" s="2" t="s">
        <v>4590</v>
      </c>
      <c r="CC906" s="2" t="s">
        <v>244</v>
      </c>
      <c r="CD906" s="2" t="s">
        <v>231</v>
      </c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>
        <v>246</v>
      </c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>
        <v>443</v>
      </c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>
        <v>233</v>
      </c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</row>
    <row r="907">
      <c r="A907" s="2" t="s">
        <v>4591</v>
      </c>
      <c r="B907" s="2" t="s">
        <v>287</v>
      </c>
      <c r="C907" s="2" t="s">
        <v>965</v>
      </c>
      <c r="D907" s="2" t="s">
        <v>289</v>
      </c>
      <c r="E907" s="2" t="s">
        <v>290</v>
      </c>
      <c r="F907" s="2" t="s">
        <v>4368</v>
      </c>
      <c r="G907" s="2" t="s">
        <v>4368</v>
      </c>
      <c r="H907" s="2" t="s">
        <v>4368</v>
      </c>
      <c r="I907" s="2" t="s">
        <v>4369</v>
      </c>
      <c r="J907" s="2" t="s">
        <v>293</v>
      </c>
      <c r="K907" s="2" t="s">
        <v>1568</v>
      </c>
      <c r="L907" s="3">
        <v>22.21</v>
      </c>
      <c r="M907" s="3">
        <v>23.32</v>
      </c>
      <c r="N907" s="3">
        <v>47.99</v>
      </c>
      <c r="O907" s="2" t="s">
        <v>243</v>
      </c>
      <c r="P907" s="2" t="s">
        <v>270</v>
      </c>
      <c r="Q907" s="2" t="s">
        <v>237</v>
      </c>
      <c r="R907" s="2" t="s">
        <v>231</v>
      </c>
      <c r="S907" s="2" t="s">
        <v>4586</v>
      </c>
      <c r="T907" s="2" t="s">
        <v>4134</v>
      </c>
      <c r="U907" s="2" t="s">
        <v>231</v>
      </c>
      <c r="V907" s="2" t="s">
        <v>987</v>
      </c>
      <c r="W907" s="2" t="s">
        <v>273</v>
      </c>
      <c r="X907" s="2" t="s">
        <v>231</v>
      </c>
      <c r="Y907" s="2" t="s">
        <v>4170</v>
      </c>
      <c r="Z907" s="4"/>
      <c r="AA907" s="4">
        <f>=ROUNDDOWN({0},0)</f>
      </c>
      <c r="AB907" s="5">
        <v>31</v>
      </c>
      <c r="AC907" s="2" t="s">
        <v>4449</v>
      </c>
      <c r="AD907" s="4">
        <v>296</v>
      </c>
      <c r="AE907" s="4">
        <v>1090</v>
      </c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231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231</v>
      </c>
      <c r="AW907" s="8" t="s">
        <v>231</v>
      </c>
      <c r="AX907" s="4" t="s">
        <v>231</v>
      </c>
      <c r="AY907" s="8" t="s">
        <v>231</v>
      </c>
      <c r="AZ907" s="7" t="s">
        <v>231</v>
      </c>
      <c r="BA907" s="7" t="s">
        <v>231</v>
      </c>
      <c r="BB907" s="7"/>
      <c r="BC907" s="4" t="s">
        <v>231</v>
      </c>
      <c r="BD907" s="8" t="s">
        <v>231</v>
      </c>
      <c r="BE907" s="4" t="s">
        <v>231</v>
      </c>
      <c r="BF907" s="8" t="s">
        <v>231</v>
      </c>
      <c r="BG907" s="7" t="s">
        <v>231</v>
      </c>
      <c r="BH907" s="7" t="s">
        <v>231</v>
      </c>
      <c r="BI907" s="7"/>
      <c r="BJ907" s="4"/>
      <c r="BK907" s="8"/>
      <c r="BL907" s="2" t="s">
        <v>4592</v>
      </c>
      <c r="BM907" s="7"/>
      <c r="BN907" s="7"/>
      <c r="BO907" s="4"/>
      <c r="BP907" s="8"/>
      <c r="BQ907" s="4"/>
      <c r="BR907" s="8"/>
      <c r="BS907" s="7"/>
      <c r="BT907" s="7"/>
      <c r="BU907" s="2" t="s">
        <v>4593</v>
      </c>
      <c r="BV907" s="2" t="s">
        <v>231</v>
      </c>
      <c r="BW907" s="2" t="s">
        <v>231</v>
      </c>
      <c r="BX907" s="2" t="s">
        <v>231</v>
      </c>
      <c r="BY907" s="2" t="s">
        <v>277</v>
      </c>
      <c r="BZ907" s="2" t="s">
        <v>243</v>
      </c>
      <c r="CA907" s="2" t="s">
        <v>4389</v>
      </c>
      <c r="CB907" s="2" t="s">
        <v>4594</v>
      </c>
      <c r="CC907" s="2" t="s">
        <v>244</v>
      </c>
      <c r="CD907" s="2" t="s">
        <v>231</v>
      </c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>
        <v>296</v>
      </c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>
        <v>522</v>
      </c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>
        <v>272</v>
      </c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</row>
    <row r="908">
      <c r="A908" s="2" t="s">
        <v>4595</v>
      </c>
      <c r="B908" s="2" t="s">
        <v>287</v>
      </c>
      <c r="C908" s="2" t="s">
        <v>965</v>
      </c>
      <c r="D908" s="2" t="s">
        <v>289</v>
      </c>
      <c r="E908" s="2" t="s">
        <v>290</v>
      </c>
      <c r="F908" s="2" t="s">
        <v>4368</v>
      </c>
      <c r="G908" s="2" t="s">
        <v>4368</v>
      </c>
      <c r="H908" s="2" t="s">
        <v>4368</v>
      </c>
      <c r="I908" s="2" t="s">
        <v>4369</v>
      </c>
      <c r="J908" s="2" t="s">
        <v>304</v>
      </c>
      <c r="K908" s="2" t="s">
        <v>1568</v>
      </c>
      <c r="L908" s="3">
        <v>27.39</v>
      </c>
      <c r="M908" s="3">
        <v>28.76</v>
      </c>
      <c r="N908" s="3">
        <v>62.99</v>
      </c>
      <c r="O908" s="2" t="s">
        <v>243</v>
      </c>
      <c r="P908" s="2" t="s">
        <v>270</v>
      </c>
      <c r="Q908" s="2" t="s">
        <v>237</v>
      </c>
      <c r="R908" s="2" t="s">
        <v>231</v>
      </c>
      <c r="S908" s="2" t="s">
        <v>4586</v>
      </c>
      <c r="T908" s="2" t="s">
        <v>4134</v>
      </c>
      <c r="U908" s="2" t="s">
        <v>231</v>
      </c>
      <c r="V908" s="2" t="s">
        <v>987</v>
      </c>
      <c r="W908" s="2" t="s">
        <v>273</v>
      </c>
      <c r="X908" s="2" t="s">
        <v>231</v>
      </c>
      <c r="Y908" s="2" t="s">
        <v>4170</v>
      </c>
      <c r="Z908" s="4"/>
      <c r="AA908" s="4">
        <f>=ROUNDDOWN({0},0)</f>
      </c>
      <c r="AB908" s="5">
        <v>11</v>
      </c>
      <c r="AC908" s="2" t="s">
        <v>4449</v>
      </c>
      <c r="AD908" s="4">
        <v>83</v>
      </c>
      <c r="AE908" s="4">
        <v>387</v>
      </c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231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231</v>
      </c>
      <c r="AW908" s="8" t="s">
        <v>231</v>
      </c>
      <c r="AX908" s="4" t="s">
        <v>231</v>
      </c>
      <c r="AY908" s="8" t="s">
        <v>231</v>
      </c>
      <c r="AZ908" s="7" t="s">
        <v>231</v>
      </c>
      <c r="BA908" s="7" t="s">
        <v>231</v>
      </c>
      <c r="BB908" s="7"/>
      <c r="BC908" s="4" t="s">
        <v>231</v>
      </c>
      <c r="BD908" s="8" t="s">
        <v>231</v>
      </c>
      <c r="BE908" s="4" t="s">
        <v>231</v>
      </c>
      <c r="BF908" s="8" t="s">
        <v>231</v>
      </c>
      <c r="BG908" s="7" t="s">
        <v>231</v>
      </c>
      <c r="BH908" s="7" t="s">
        <v>231</v>
      </c>
      <c r="BI908" s="7"/>
      <c r="BJ908" s="4"/>
      <c r="BK908" s="8"/>
      <c r="BL908" s="2" t="s">
        <v>231</v>
      </c>
      <c r="BM908" s="7"/>
      <c r="BN908" s="7"/>
      <c r="BO908" s="4"/>
      <c r="BP908" s="8"/>
      <c r="BQ908" s="4"/>
      <c r="BR908" s="8"/>
      <c r="BS908" s="7"/>
      <c r="BT908" s="7"/>
      <c r="BU908" s="2" t="s">
        <v>4596</v>
      </c>
      <c r="BV908" s="2" t="s">
        <v>231</v>
      </c>
      <c r="BW908" s="2" t="s">
        <v>231</v>
      </c>
      <c r="BX908" s="2" t="s">
        <v>231</v>
      </c>
      <c r="BY908" s="2" t="s">
        <v>277</v>
      </c>
      <c r="BZ908" s="2" t="s">
        <v>243</v>
      </c>
      <c r="CA908" s="2" t="s">
        <v>4389</v>
      </c>
      <c r="CB908" s="2" t="s">
        <v>771</v>
      </c>
      <c r="CC908" s="2" t="s">
        <v>244</v>
      </c>
      <c r="CD908" s="2" t="s">
        <v>231</v>
      </c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>
        <v>83</v>
      </c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>
        <v>204</v>
      </c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>
        <v>100</v>
      </c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</row>
    <row r="909">
      <c r="A909" s="2" t="s">
        <v>4597</v>
      </c>
      <c r="B909" s="2" t="s">
        <v>287</v>
      </c>
      <c r="C909" s="2" t="s">
        <v>965</v>
      </c>
      <c r="D909" s="2" t="s">
        <v>289</v>
      </c>
      <c r="E909" s="2" t="s">
        <v>290</v>
      </c>
      <c r="F909" s="2" t="s">
        <v>4368</v>
      </c>
      <c r="G909" s="2" t="s">
        <v>4368</v>
      </c>
      <c r="H909" s="2" t="s">
        <v>4368</v>
      </c>
      <c r="I909" s="2" t="s">
        <v>4369</v>
      </c>
      <c r="J909" s="2" t="s">
        <v>318</v>
      </c>
      <c r="K909" s="2" t="s">
        <v>4598</v>
      </c>
      <c r="L909" s="3">
        <v>14.89</v>
      </c>
      <c r="M909" s="3">
        <v>15.63</v>
      </c>
      <c r="N909" s="3">
        <v>31.99</v>
      </c>
      <c r="O909" s="2" t="s">
        <v>243</v>
      </c>
      <c r="P909" s="2" t="s">
        <v>4057</v>
      </c>
      <c r="Q909" s="2" t="s">
        <v>237</v>
      </c>
      <c r="R909" s="2" t="s">
        <v>231</v>
      </c>
      <c r="S909" s="2" t="s">
        <v>4599</v>
      </c>
      <c r="T909" s="2" t="s">
        <v>4134</v>
      </c>
      <c r="U909" s="2" t="s">
        <v>835</v>
      </c>
      <c r="V909" s="2" t="s">
        <v>4046</v>
      </c>
      <c r="W909" s="2" t="s">
        <v>273</v>
      </c>
      <c r="X909" s="2" t="s">
        <v>897</v>
      </c>
      <c r="Y909" s="2" t="s">
        <v>4372</v>
      </c>
      <c r="Z909" s="4"/>
      <c r="AA909" s="4">
        <f>=ROUNDDOWN({0},0)</f>
      </c>
      <c r="AB909" s="5">
        <v>106</v>
      </c>
      <c r="AC909" s="2" t="s">
        <v>4212</v>
      </c>
      <c r="AD909" s="4">
        <v>1000</v>
      </c>
      <c r="AE909" s="4">
        <v>3884</v>
      </c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231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231</v>
      </c>
      <c r="AW909" s="8" t="s">
        <v>231</v>
      </c>
      <c r="AX909" s="4" t="s">
        <v>231</v>
      </c>
      <c r="AY909" s="8" t="s">
        <v>231</v>
      </c>
      <c r="AZ909" s="7" t="s">
        <v>231</v>
      </c>
      <c r="BA909" s="7" t="s">
        <v>231</v>
      </c>
      <c r="BB909" s="7"/>
      <c r="BC909" s="4" t="s">
        <v>231</v>
      </c>
      <c r="BD909" s="8" t="s">
        <v>231</v>
      </c>
      <c r="BE909" s="4" t="s">
        <v>231</v>
      </c>
      <c r="BF909" s="8" t="s">
        <v>231</v>
      </c>
      <c r="BG909" s="7" t="s">
        <v>231</v>
      </c>
      <c r="BH909" s="7" t="s">
        <v>231</v>
      </c>
      <c r="BI909" s="7"/>
      <c r="BJ909" s="4"/>
      <c r="BK909" s="8"/>
      <c r="BL909" s="2" t="s">
        <v>231</v>
      </c>
      <c r="BM909" s="7"/>
      <c r="BN909" s="7"/>
      <c r="BO909" s="4"/>
      <c r="BP909" s="8"/>
      <c r="BQ909" s="4"/>
      <c r="BR909" s="8"/>
      <c r="BS909" s="7"/>
      <c r="BT909" s="7"/>
      <c r="BU909" s="2" t="s">
        <v>4600</v>
      </c>
      <c r="BV909" s="2" t="s">
        <v>231</v>
      </c>
      <c r="BW909" s="2" t="s">
        <v>231</v>
      </c>
      <c r="BX909" s="2" t="s">
        <v>231</v>
      </c>
      <c r="BY909" s="2" t="s">
        <v>277</v>
      </c>
      <c r="BZ909" s="2" t="s">
        <v>243</v>
      </c>
      <c r="CA909" s="2" t="s">
        <v>331</v>
      </c>
      <c r="CB909" s="2" t="s">
        <v>4186</v>
      </c>
      <c r="CC909" s="2" t="s">
        <v>244</v>
      </c>
      <c r="CD909" s="2" t="s">
        <v>231</v>
      </c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>
        <v>1000</v>
      </c>
      <c r="DX909" s="4"/>
      <c r="DY909" s="4"/>
      <c r="DZ909" s="4"/>
      <c r="EA909" s="4"/>
      <c r="EB909" s="4"/>
      <c r="EC909" s="4"/>
      <c r="ED909" s="4"/>
      <c r="EE909" s="4"/>
      <c r="EF909" s="4"/>
      <c r="EG909" s="4">
        <v>21</v>
      </c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>
        <v>1996</v>
      </c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>
        <v>867</v>
      </c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</row>
    <row r="910">
      <c r="A910" s="2" t="s">
        <v>4601</v>
      </c>
      <c r="B910" s="2" t="s">
        <v>287</v>
      </c>
      <c r="C910" s="2" t="s">
        <v>965</v>
      </c>
      <c r="D910" s="2" t="s">
        <v>289</v>
      </c>
      <c r="E910" s="2" t="s">
        <v>290</v>
      </c>
      <c r="F910" s="2" t="s">
        <v>4368</v>
      </c>
      <c r="G910" s="2" t="s">
        <v>4368</v>
      </c>
      <c r="H910" s="2" t="s">
        <v>4368</v>
      </c>
      <c r="I910" s="2" t="s">
        <v>4369</v>
      </c>
      <c r="J910" s="2" t="s">
        <v>281</v>
      </c>
      <c r="K910" s="2" t="s">
        <v>4598</v>
      </c>
      <c r="L910" s="3">
        <v>19.57</v>
      </c>
      <c r="M910" s="3">
        <v>20.55</v>
      </c>
      <c r="N910" s="3">
        <v>42.99</v>
      </c>
      <c r="O910" s="2" t="s">
        <v>243</v>
      </c>
      <c r="P910" s="2" t="s">
        <v>1332</v>
      </c>
      <c r="Q910" s="2" t="s">
        <v>237</v>
      </c>
      <c r="R910" s="2" t="s">
        <v>231</v>
      </c>
      <c r="S910" s="2" t="s">
        <v>4599</v>
      </c>
      <c r="T910" s="2" t="s">
        <v>4134</v>
      </c>
      <c r="U910" s="2" t="s">
        <v>298</v>
      </c>
      <c r="V910" s="2" t="s">
        <v>4046</v>
      </c>
      <c r="W910" s="2" t="s">
        <v>273</v>
      </c>
      <c r="X910" s="2" t="s">
        <v>897</v>
      </c>
      <c r="Y910" s="2" t="s">
        <v>4372</v>
      </c>
      <c r="Z910" s="4">
        <v>2</v>
      </c>
      <c r="AA910" s="4">
        <f>=ROUNDDOWN(0.028169014084507,0)</f>
      </c>
      <c r="AB910" s="5">
        <v>71</v>
      </c>
      <c r="AC910" s="2" t="s">
        <v>1754</v>
      </c>
      <c r="AD910" s="4">
        <v>691</v>
      </c>
      <c r="AE910" s="4">
        <v>2660</v>
      </c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231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231</v>
      </c>
      <c r="AW910" s="8" t="s">
        <v>231</v>
      </c>
      <c r="AX910" s="4" t="s">
        <v>231</v>
      </c>
      <c r="AY910" s="8" t="s">
        <v>231</v>
      </c>
      <c r="AZ910" s="7" t="s">
        <v>231</v>
      </c>
      <c r="BA910" s="7" t="s">
        <v>231</v>
      </c>
      <c r="BB910" s="7"/>
      <c r="BC910" s="4" t="s">
        <v>231</v>
      </c>
      <c r="BD910" s="8" t="s">
        <v>231</v>
      </c>
      <c r="BE910" s="4" t="s">
        <v>231</v>
      </c>
      <c r="BF910" s="8" t="s">
        <v>231</v>
      </c>
      <c r="BG910" s="7" t="s">
        <v>231</v>
      </c>
      <c r="BH910" s="7" t="s">
        <v>231</v>
      </c>
      <c r="BI910" s="7"/>
      <c r="BJ910" s="4"/>
      <c r="BK910" s="8"/>
      <c r="BL910" s="2" t="s">
        <v>231</v>
      </c>
      <c r="BM910" s="7"/>
      <c r="BN910" s="7"/>
      <c r="BO910" s="4"/>
      <c r="BP910" s="8"/>
      <c r="BQ910" s="4"/>
      <c r="BR910" s="8"/>
      <c r="BS910" s="7"/>
      <c r="BT910" s="7"/>
      <c r="BU910" s="2" t="s">
        <v>4602</v>
      </c>
      <c r="BV910" s="2" t="s">
        <v>231</v>
      </c>
      <c r="BW910" s="2" t="s">
        <v>231</v>
      </c>
      <c r="BX910" s="2" t="s">
        <v>231</v>
      </c>
      <c r="BY910" s="2" t="s">
        <v>277</v>
      </c>
      <c r="BZ910" s="2" t="s">
        <v>243</v>
      </c>
      <c r="CA910" s="2" t="s">
        <v>331</v>
      </c>
      <c r="CB910" s="2" t="s">
        <v>4567</v>
      </c>
      <c r="CC910" s="2" t="s">
        <v>244</v>
      </c>
      <c r="CD910" s="2" t="s">
        <v>231</v>
      </c>
      <c r="CE910" s="4">
        <v>2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>
        <v>691</v>
      </c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>
        <v>1388</v>
      </c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>
        <v>581</v>
      </c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</row>
    <row r="911">
      <c r="A911" s="2" t="s">
        <v>4603</v>
      </c>
      <c r="B911" s="2" t="s">
        <v>287</v>
      </c>
      <c r="C911" s="2" t="s">
        <v>965</v>
      </c>
      <c r="D911" s="2" t="s">
        <v>289</v>
      </c>
      <c r="E911" s="2" t="s">
        <v>290</v>
      </c>
      <c r="F911" s="2" t="s">
        <v>4368</v>
      </c>
      <c r="G911" s="2" t="s">
        <v>4368</v>
      </c>
      <c r="H911" s="2" t="s">
        <v>4368</v>
      </c>
      <c r="I911" s="2" t="s">
        <v>4369</v>
      </c>
      <c r="J911" s="2" t="s">
        <v>293</v>
      </c>
      <c r="K911" s="2" t="s">
        <v>4598</v>
      </c>
      <c r="L911" s="3">
        <v>22.21</v>
      </c>
      <c r="M911" s="3">
        <v>23.32</v>
      </c>
      <c r="N911" s="3">
        <v>47.99</v>
      </c>
      <c r="O911" s="2" t="s">
        <v>243</v>
      </c>
      <c r="P911" s="2" t="s">
        <v>1332</v>
      </c>
      <c r="Q911" s="2" t="s">
        <v>237</v>
      </c>
      <c r="R911" s="2" t="s">
        <v>231</v>
      </c>
      <c r="S911" s="2" t="s">
        <v>4599</v>
      </c>
      <c r="T911" s="2" t="s">
        <v>4134</v>
      </c>
      <c r="U911" s="2" t="s">
        <v>298</v>
      </c>
      <c r="V911" s="2" t="s">
        <v>4046</v>
      </c>
      <c r="W911" s="2" t="s">
        <v>273</v>
      </c>
      <c r="X911" s="2" t="s">
        <v>897</v>
      </c>
      <c r="Y911" s="2" t="s">
        <v>4372</v>
      </c>
      <c r="Z911" s="4"/>
      <c r="AA911" s="4">
        <f>=ROUNDDOWN({0},0)</f>
      </c>
      <c r="AB911" s="5">
        <v>64</v>
      </c>
      <c r="AC911" s="2" t="s">
        <v>1754</v>
      </c>
      <c r="AD911" s="4">
        <v>636</v>
      </c>
      <c r="AE911" s="4">
        <v>2373</v>
      </c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231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231</v>
      </c>
      <c r="AW911" s="8" t="s">
        <v>231</v>
      </c>
      <c r="AX911" s="4" t="s">
        <v>231</v>
      </c>
      <c r="AY911" s="8" t="s">
        <v>231</v>
      </c>
      <c r="AZ911" s="7" t="s">
        <v>231</v>
      </c>
      <c r="BA911" s="7" t="s">
        <v>231</v>
      </c>
      <c r="BB911" s="7"/>
      <c r="BC911" s="4" t="s">
        <v>231</v>
      </c>
      <c r="BD911" s="8" t="s">
        <v>231</v>
      </c>
      <c r="BE911" s="4" t="s">
        <v>231</v>
      </c>
      <c r="BF911" s="8" t="s">
        <v>231</v>
      </c>
      <c r="BG911" s="7" t="s">
        <v>231</v>
      </c>
      <c r="BH911" s="7" t="s">
        <v>231</v>
      </c>
      <c r="BI911" s="7"/>
      <c r="BJ911" s="4">
        <v>1</v>
      </c>
      <c r="BK911" s="8">
        <v>23.7</v>
      </c>
      <c r="BL911" s="2" t="s">
        <v>4429</v>
      </c>
      <c r="BM911" s="7"/>
      <c r="BN911" s="7"/>
      <c r="BO911" s="4"/>
      <c r="BP911" s="8"/>
      <c r="BQ911" s="4"/>
      <c r="BR911" s="8"/>
      <c r="BS911" s="7"/>
      <c r="BT911" s="7"/>
      <c r="BU911" s="2" t="s">
        <v>4604</v>
      </c>
      <c r="BV911" s="2" t="s">
        <v>231</v>
      </c>
      <c r="BW911" s="2" t="s">
        <v>231</v>
      </c>
      <c r="BX911" s="2" t="s">
        <v>231</v>
      </c>
      <c r="BY911" s="2" t="s">
        <v>277</v>
      </c>
      <c r="BZ911" s="2" t="s">
        <v>243</v>
      </c>
      <c r="CA911" s="2" t="s">
        <v>2430</v>
      </c>
      <c r="CB911" s="2" t="s">
        <v>4380</v>
      </c>
      <c r="CC911" s="2" t="s">
        <v>244</v>
      </c>
      <c r="CD911" s="2" t="s">
        <v>231</v>
      </c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>
        <v>636</v>
      </c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>
        <v>1212</v>
      </c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>
        <v>525</v>
      </c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</row>
    <row r="912">
      <c r="A912" s="2" t="s">
        <v>4605</v>
      </c>
      <c r="B912" s="2" t="s">
        <v>287</v>
      </c>
      <c r="C912" s="2" t="s">
        <v>965</v>
      </c>
      <c r="D912" s="2" t="s">
        <v>289</v>
      </c>
      <c r="E912" s="2" t="s">
        <v>290</v>
      </c>
      <c r="F912" s="2" t="s">
        <v>4368</v>
      </c>
      <c r="G912" s="2" t="s">
        <v>4368</v>
      </c>
      <c r="H912" s="2" t="s">
        <v>4368</v>
      </c>
      <c r="I912" s="2" t="s">
        <v>4369</v>
      </c>
      <c r="J912" s="2" t="s">
        <v>302</v>
      </c>
      <c r="K912" s="2" t="s">
        <v>4598</v>
      </c>
      <c r="L912" s="3">
        <v>27.39</v>
      </c>
      <c r="M912" s="3">
        <v>28.76</v>
      </c>
      <c r="N912" s="3">
        <v>62.99</v>
      </c>
      <c r="O912" s="2" t="s">
        <v>243</v>
      </c>
      <c r="P912" s="2" t="s">
        <v>270</v>
      </c>
      <c r="Q912" s="2" t="s">
        <v>237</v>
      </c>
      <c r="R912" s="2" t="s">
        <v>231</v>
      </c>
      <c r="S912" s="2" t="s">
        <v>4599</v>
      </c>
      <c r="T912" s="2" t="s">
        <v>4134</v>
      </c>
      <c r="U912" s="2" t="s">
        <v>298</v>
      </c>
      <c r="V912" s="2" t="s">
        <v>4046</v>
      </c>
      <c r="W912" s="2" t="s">
        <v>273</v>
      </c>
      <c r="X912" s="2" t="s">
        <v>897</v>
      </c>
      <c r="Y912" s="2" t="s">
        <v>4372</v>
      </c>
      <c r="Z912" s="4">
        <v>40</v>
      </c>
      <c r="AA912" s="4">
        <f>=ROUNDDOWN(1.42857142857143,0)</f>
      </c>
      <c r="AB912" s="5">
        <v>28</v>
      </c>
      <c r="AC912" s="2" t="s">
        <v>1754</v>
      </c>
      <c r="AD912" s="4">
        <v>282</v>
      </c>
      <c r="AE912" s="4">
        <v>1064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231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231</v>
      </c>
      <c r="AW912" s="8" t="s">
        <v>231</v>
      </c>
      <c r="AX912" s="4" t="s">
        <v>231</v>
      </c>
      <c r="AY912" s="8" t="s">
        <v>231</v>
      </c>
      <c r="AZ912" s="7" t="s">
        <v>231</v>
      </c>
      <c r="BA912" s="7" t="s">
        <v>231</v>
      </c>
      <c r="BB912" s="7"/>
      <c r="BC912" s="4" t="s">
        <v>231</v>
      </c>
      <c r="BD912" s="8" t="s">
        <v>231</v>
      </c>
      <c r="BE912" s="4" t="s">
        <v>231</v>
      </c>
      <c r="BF912" s="8" t="s">
        <v>231</v>
      </c>
      <c r="BG912" s="7" t="s">
        <v>231</v>
      </c>
      <c r="BH912" s="7" t="s">
        <v>231</v>
      </c>
      <c r="BI912" s="7"/>
      <c r="BJ912" s="4">
        <v>8</v>
      </c>
      <c r="BK912" s="8">
        <v>241.98</v>
      </c>
      <c r="BL912" s="2" t="s">
        <v>4606</v>
      </c>
      <c r="BM912" s="7"/>
      <c r="BN912" s="7"/>
      <c r="BO912" s="4"/>
      <c r="BP912" s="8"/>
      <c r="BQ912" s="4"/>
      <c r="BR912" s="8"/>
      <c r="BS912" s="7"/>
      <c r="BT912" s="7"/>
      <c r="BU912" s="2" t="s">
        <v>4607</v>
      </c>
      <c r="BV912" s="2" t="s">
        <v>231</v>
      </c>
      <c r="BW912" s="2" t="s">
        <v>231</v>
      </c>
      <c r="BX912" s="2" t="s">
        <v>231</v>
      </c>
      <c r="BY912" s="2" t="s">
        <v>277</v>
      </c>
      <c r="BZ912" s="2" t="s">
        <v>243</v>
      </c>
      <c r="CA912" s="2" t="s">
        <v>331</v>
      </c>
      <c r="CB912" s="2" t="s">
        <v>1346</v>
      </c>
      <c r="CC912" s="2" t="s">
        <v>244</v>
      </c>
      <c r="CD912" s="2" t="s">
        <v>231</v>
      </c>
      <c r="CE912" s="4">
        <v>40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>
        <v>282</v>
      </c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>
        <v>537</v>
      </c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>
        <v>245</v>
      </c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</row>
    <row r="913">
      <c r="A913" s="2" t="s">
        <v>4608</v>
      </c>
      <c r="B913" s="2" t="s">
        <v>287</v>
      </c>
      <c r="C913" s="2" t="s">
        <v>965</v>
      </c>
      <c r="D913" s="2" t="s">
        <v>289</v>
      </c>
      <c r="E913" s="2" t="s">
        <v>290</v>
      </c>
      <c r="F913" s="2" t="s">
        <v>4368</v>
      </c>
      <c r="G913" s="2" t="s">
        <v>4368</v>
      </c>
      <c r="H913" s="2" t="s">
        <v>4368</v>
      </c>
      <c r="I913" s="2" t="s">
        <v>4369</v>
      </c>
      <c r="J913" s="2" t="s">
        <v>318</v>
      </c>
      <c r="K913" s="2" t="s">
        <v>4609</v>
      </c>
      <c r="L913" s="3">
        <v>14.89</v>
      </c>
      <c r="M913" s="3">
        <v>15.63</v>
      </c>
      <c r="N913" s="3">
        <v>31.99</v>
      </c>
      <c r="O913" s="2" t="s">
        <v>243</v>
      </c>
      <c r="P913" s="2" t="s">
        <v>270</v>
      </c>
      <c r="Q913" s="2" t="s">
        <v>237</v>
      </c>
      <c r="R913" s="2" t="s">
        <v>231</v>
      </c>
      <c r="S913" s="2" t="s">
        <v>4610</v>
      </c>
      <c r="T913" s="2" t="s">
        <v>4134</v>
      </c>
      <c r="U913" s="2" t="s">
        <v>231</v>
      </c>
      <c r="V913" s="2" t="s">
        <v>239</v>
      </c>
      <c r="W913" s="2" t="s">
        <v>273</v>
      </c>
      <c r="X913" s="2" t="s">
        <v>231</v>
      </c>
      <c r="Y913" s="2" t="s">
        <v>274</v>
      </c>
      <c r="Z913" s="4"/>
      <c r="AA913" s="4">
        <f>=ROUNDDOWN({0},0)</f>
      </c>
      <c r="AB913" s="5">
        <v>55</v>
      </c>
      <c r="AC913" s="2" t="s">
        <v>1754</v>
      </c>
      <c r="AD913" s="4">
        <v>514</v>
      </c>
      <c r="AE913" s="4">
        <v>1998</v>
      </c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231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231</v>
      </c>
      <c r="AW913" s="8" t="s">
        <v>231</v>
      </c>
      <c r="AX913" s="4" t="s">
        <v>231</v>
      </c>
      <c r="AY913" s="8" t="s">
        <v>231</v>
      </c>
      <c r="AZ913" s="7" t="s">
        <v>231</v>
      </c>
      <c r="BA913" s="7" t="s">
        <v>231</v>
      </c>
      <c r="BB913" s="7"/>
      <c r="BC913" s="4" t="s">
        <v>231</v>
      </c>
      <c r="BD913" s="8" t="s">
        <v>231</v>
      </c>
      <c r="BE913" s="4" t="s">
        <v>231</v>
      </c>
      <c r="BF913" s="8" t="s">
        <v>231</v>
      </c>
      <c r="BG913" s="7" t="s">
        <v>231</v>
      </c>
      <c r="BH913" s="7" t="s">
        <v>231</v>
      </c>
      <c r="BI913" s="7"/>
      <c r="BJ913" s="4"/>
      <c r="BK913" s="8"/>
      <c r="BL913" s="2" t="s">
        <v>231</v>
      </c>
      <c r="BM913" s="7"/>
      <c r="BN913" s="7"/>
      <c r="BO913" s="4"/>
      <c r="BP913" s="8"/>
      <c r="BQ913" s="4"/>
      <c r="BR913" s="8"/>
      <c r="BS913" s="7"/>
      <c r="BT913" s="7"/>
      <c r="BU913" s="2" t="s">
        <v>4611</v>
      </c>
      <c r="BV913" s="2" t="s">
        <v>231</v>
      </c>
      <c r="BW913" s="2" t="s">
        <v>231</v>
      </c>
      <c r="BX913" s="2" t="s">
        <v>231</v>
      </c>
      <c r="BY913" s="2" t="s">
        <v>277</v>
      </c>
      <c r="BZ913" s="2" t="s">
        <v>243</v>
      </c>
      <c r="CA913" s="2" t="s">
        <v>4200</v>
      </c>
      <c r="CB913" s="2" t="s">
        <v>1082</v>
      </c>
      <c r="CC913" s="2" t="s">
        <v>244</v>
      </c>
      <c r="CD913" s="2" t="s">
        <v>231</v>
      </c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>
        <v>514</v>
      </c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>
        <v>1023</v>
      </c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>
        <v>461</v>
      </c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</row>
    <row r="914">
      <c r="A914" s="2" t="s">
        <v>4612</v>
      </c>
      <c r="B914" s="2" t="s">
        <v>287</v>
      </c>
      <c r="C914" s="2" t="s">
        <v>965</v>
      </c>
      <c r="D914" s="2" t="s">
        <v>289</v>
      </c>
      <c r="E914" s="2" t="s">
        <v>290</v>
      </c>
      <c r="F914" s="2" t="s">
        <v>4368</v>
      </c>
      <c r="G914" s="2" t="s">
        <v>4368</v>
      </c>
      <c r="H914" s="2" t="s">
        <v>4368</v>
      </c>
      <c r="I914" s="2" t="s">
        <v>4369</v>
      </c>
      <c r="J914" s="2" t="s">
        <v>281</v>
      </c>
      <c r="K914" s="2" t="s">
        <v>4609</v>
      </c>
      <c r="L914" s="3">
        <v>19.57</v>
      </c>
      <c r="M914" s="3">
        <v>20.55</v>
      </c>
      <c r="N914" s="3">
        <v>42.99</v>
      </c>
      <c r="O914" s="2" t="s">
        <v>243</v>
      </c>
      <c r="P914" s="2" t="s">
        <v>1281</v>
      </c>
      <c r="Q914" s="2" t="s">
        <v>237</v>
      </c>
      <c r="R914" s="2" t="s">
        <v>231</v>
      </c>
      <c r="S914" s="2" t="s">
        <v>4610</v>
      </c>
      <c r="T914" s="2" t="s">
        <v>4134</v>
      </c>
      <c r="U914" s="2" t="s">
        <v>231</v>
      </c>
      <c r="V914" s="2" t="s">
        <v>239</v>
      </c>
      <c r="W914" s="2" t="s">
        <v>273</v>
      </c>
      <c r="X914" s="2" t="s">
        <v>231</v>
      </c>
      <c r="Y914" s="2" t="s">
        <v>274</v>
      </c>
      <c r="Z914" s="4"/>
      <c r="AA914" s="4">
        <f>=ROUNDDOWN({0},0)</f>
      </c>
      <c r="AB914" s="5">
        <v>42</v>
      </c>
      <c r="AC914" s="2" t="s">
        <v>1754</v>
      </c>
      <c r="AD914" s="4">
        <v>391</v>
      </c>
      <c r="AE914" s="4">
        <v>1570</v>
      </c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231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231</v>
      </c>
      <c r="AW914" s="8" t="s">
        <v>231</v>
      </c>
      <c r="AX914" s="4" t="s">
        <v>231</v>
      </c>
      <c r="AY914" s="8" t="s">
        <v>231</v>
      </c>
      <c r="AZ914" s="7" t="s">
        <v>231</v>
      </c>
      <c r="BA914" s="7" t="s">
        <v>231</v>
      </c>
      <c r="BB914" s="7"/>
      <c r="BC914" s="4" t="s">
        <v>231</v>
      </c>
      <c r="BD914" s="8" t="s">
        <v>231</v>
      </c>
      <c r="BE914" s="4" t="s">
        <v>231</v>
      </c>
      <c r="BF914" s="8" t="s">
        <v>231</v>
      </c>
      <c r="BG914" s="7" t="s">
        <v>231</v>
      </c>
      <c r="BH914" s="7" t="s">
        <v>231</v>
      </c>
      <c r="BI914" s="7"/>
      <c r="BJ914" s="4"/>
      <c r="BK914" s="8"/>
      <c r="BL914" s="2" t="s">
        <v>231</v>
      </c>
      <c r="BM914" s="7"/>
      <c r="BN914" s="7"/>
      <c r="BO914" s="4"/>
      <c r="BP914" s="8"/>
      <c r="BQ914" s="4"/>
      <c r="BR914" s="8"/>
      <c r="BS914" s="7"/>
      <c r="BT914" s="7"/>
      <c r="BU914" s="2" t="s">
        <v>4613</v>
      </c>
      <c r="BV914" s="2" t="s">
        <v>231</v>
      </c>
      <c r="BW914" s="2" t="s">
        <v>231</v>
      </c>
      <c r="BX914" s="2" t="s">
        <v>231</v>
      </c>
      <c r="BY914" s="2" t="s">
        <v>277</v>
      </c>
      <c r="BZ914" s="2" t="s">
        <v>243</v>
      </c>
      <c r="CA914" s="2" t="s">
        <v>4200</v>
      </c>
      <c r="CB914" s="2" t="s">
        <v>4614</v>
      </c>
      <c r="CC914" s="2" t="s">
        <v>244</v>
      </c>
      <c r="CD914" s="2" t="s">
        <v>231</v>
      </c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>
        <v>391</v>
      </c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>
        <v>839</v>
      </c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>
        <v>340</v>
      </c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</row>
    <row r="915">
      <c r="A915" s="2" t="s">
        <v>4615</v>
      </c>
      <c r="B915" s="2" t="s">
        <v>287</v>
      </c>
      <c r="C915" s="2" t="s">
        <v>965</v>
      </c>
      <c r="D915" s="2" t="s">
        <v>289</v>
      </c>
      <c r="E915" s="2" t="s">
        <v>290</v>
      </c>
      <c r="F915" s="2" t="s">
        <v>4368</v>
      </c>
      <c r="G915" s="2" t="s">
        <v>4368</v>
      </c>
      <c r="H915" s="2" t="s">
        <v>4368</v>
      </c>
      <c r="I915" s="2" t="s">
        <v>4369</v>
      </c>
      <c r="J915" s="2" t="s">
        <v>293</v>
      </c>
      <c r="K915" s="2" t="s">
        <v>4609</v>
      </c>
      <c r="L915" s="3">
        <v>22.21</v>
      </c>
      <c r="M915" s="3">
        <v>23.32</v>
      </c>
      <c r="N915" s="3">
        <v>47.99</v>
      </c>
      <c r="O915" s="2" t="s">
        <v>243</v>
      </c>
      <c r="P915" s="2" t="s">
        <v>871</v>
      </c>
      <c r="Q915" s="2" t="s">
        <v>237</v>
      </c>
      <c r="R915" s="2" t="s">
        <v>231</v>
      </c>
      <c r="S915" s="2" t="s">
        <v>4610</v>
      </c>
      <c r="T915" s="2" t="s">
        <v>4134</v>
      </c>
      <c r="U915" s="2" t="s">
        <v>231</v>
      </c>
      <c r="V915" s="2" t="s">
        <v>239</v>
      </c>
      <c r="W915" s="2" t="s">
        <v>273</v>
      </c>
      <c r="X915" s="2" t="s">
        <v>231</v>
      </c>
      <c r="Y915" s="2" t="s">
        <v>274</v>
      </c>
      <c r="Z915" s="4"/>
      <c r="AA915" s="4">
        <f>=ROUNDDOWN({0},0)</f>
      </c>
      <c r="AB915" s="5">
        <v>61</v>
      </c>
      <c r="AC915" s="2" t="s">
        <v>1754</v>
      </c>
      <c r="AD915" s="4">
        <v>593</v>
      </c>
      <c r="AE915" s="4">
        <v>2292</v>
      </c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231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231</v>
      </c>
      <c r="AW915" s="8" t="s">
        <v>231</v>
      </c>
      <c r="AX915" s="4" t="s">
        <v>231</v>
      </c>
      <c r="AY915" s="8" t="s">
        <v>231</v>
      </c>
      <c r="AZ915" s="7" t="s">
        <v>231</v>
      </c>
      <c r="BA915" s="7" t="s">
        <v>231</v>
      </c>
      <c r="BB915" s="7"/>
      <c r="BC915" s="4" t="s">
        <v>231</v>
      </c>
      <c r="BD915" s="8" t="s">
        <v>231</v>
      </c>
      <c r="BE915" s="4" t="s">
        <v>231</v>
      </c>
      <c r="BF915" s="8" t="s">
        <v>231</v>
      </c>
      <c r="BG915" s="7" t="s">
        <v>231</v>
      </c>
      <c r="BH915" s="7" t="s">
        <v>231</v>
      </c>
      <c r="BI915" s="7"/>
      <c r="BJ915" s="4"/>
      <c r="BK915" s="8"/>
      <c r="BL915" s="2" t="s">
        <v>231</v>
      </c>
      <c r="BM915" s="7"/>
      <c r="BN915" s="7"/>
      <c r="BO915" s="4"/>
      <c r="BP915" s="8"/>
      <c r="BQ915" s="4"/>
      <c r="BR915" s="8"/>
      <c r="BS915" s="7"/>
      <c r="BT915" s="7"/>
      <c r="BU915" s="2" t="s">
        <v>4616</v>
      </c>
      <c r="BV915" s="2" t="s">
        <v>231</v>
      </c>
      <c r="BW915" s="2" t="s">
        <v>231</v>
      </c>
      <c r="BX915" s="2" t="s">
        <v>231</v>
      </c>
      <c r="BY915" s="2" t="s">
        <v>277</v>
      </c>
      <c r="BZ915" s="2" t="s">
        <v>243</v>
      </c>
      <c r="CA915" s="2" t="s">
        <v>4200</v>
      </c>
      <c r="CB915" s="2" t="s">
        <v>4617</v>
      </c>
      <c r="CC915" s="2" t="s">
        <v>244</v>
      </c>
      <c r="CD915" s="2" t="s">
        <v>231</v>
      </c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>
        <v>593</v>
      </c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>
        <v>1187</v>
      </c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>
        <v>512</v>
      </c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</row>
    <row r="916">
      <c r="A916" s="2" t="s">
        <v>4618</v>
      </c>
      <c r="B916" s="2" t="s">
        <v>287</v>
      </c>
      <c r="C916" s="2" t="s">
        <v>965</v>
      </c>
      <c r="D916" s="2" t="s">
        <v>289</v>
      </c>
      <c r="E916" s="2" t="s">
        <v>290</v>
      </c>
      <c r="F916" s="2" t="s">
        <v>4368</v>
      </c>
      <c r="G916" s="2" t="s">
        <v>4368</v>
      </c>
      <c r="H916" s="2" t="s">
        <v>4368</v>
      </c>
      <c r="I916" s="2" t="s">
        <v>4369</v>
      </c>
      <c r="J916" s="2" t="s">
        <v>302</v>
      </c>
      <c r="K916" s="2" t="s">
        <v>4609</v>
      </c>
      <c r="L916" s="3">
        <v>27.39</v>
      </c>
      <c r="M916" s="3">
        <v>28.76</v>
      </c>
      <c r="N916" s="3">
        <v>62.99</v>
      </c>
      <c r="O916" s="2" t="s">
        <v>243</v>
      </c>
      <c r="P916" s="2" t="s">
        <v>270</v>
      </c>
      <c r="Q916" s="2" t="s">
        <v>237</v>
      </c>
      <c r="R916" s="2" t="s">
        <v>231</v>
      </c>
      <c r="S916" s="2" t="s">
        <v>4610</v>
      </c>
      <c r="T916" s="2" t="s">
        <v>4134</v>
      </c>
      <c r="U916" s="2" t="s">
        <v>231</v>
      </c>
      <c r="V916" s="2" t="s">
        <v>239</v>
      </c>
      <c r="W916" s="2" t="s">
        <v>273</v>
      </c>
      <c r="X916" s="2" t="s">
        <v>231</v>
      </c>
      <c r="Y916" s="2" t="s">
        <v>274</v>
      </c>
      <c r="Z916" s="4">
        <v>32</v>
      </c>
      <c r="AA916" s="4">
        <f>=ROUNDDOWN(1.88235294117647,0)</f>
      </c>
      <c r="AB916" s="5">
        <v>17</v>
      </c>
      <c r="AC916" s="2" t="s">
        <v>1754</v>
      </c>
      <c r="AD916" s="4">
        <v>177</v>
      </c>
      <c r="AE916" s="4">
        <v>647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231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231</v>
      </c>
      <c r="AW916" s="8" t="s">
        <v>231</v>
      </c>
      <c r="AX916" s="4" t="s">
        <v>231</v>
      </c>
      <c r="AY916" s="8" t="s">
        <v>231</v>
      </c>
      <c r="AZ916" s="7" t="s">
        <v>231</v>
      </c>
      <c r="BA916" s="7" t="s">
        <v>231</v>
      </c>
      <c r="BB916" s="7"/>
      <c r="BC916" s="4" t="s">
        <v>231</v>
      </c>
      <c r="BD916" s="8" t="s">
        <v>231</v>
      </c>
      <c r="BE916" s="4" t="s">
        <v>231</v>
      </c>
      <c r="BF916" s="8" t="s">
        <v>231</v>
      </c>
      <c r="BG916" s="7" t="s">
        <v>231</v>
      </c>
      <c r="BH916" s="7" t="s">
        <v>231</v>
      </c>
      <c r="BI916" s="7"/>
      <c r="BJ916" s="4">
        <v>9</v>
      </c>
      <c r="BK916" s="8">
        <v>269.97</v>
      </c>
      <c r="BL916" s="2" t="s">
        <v>1657</v>
      </c>
      <c r="BM916" s="7"/>
      <c r="BN916" s="7"/>
      <c r="BO916" s="4"/>
      <c r="BP916" s="8"/>
      <c r="BQ916" s="4"/>
      <c r="BR916" s="8"/>
      <c r="BS916" s="7"/>
      <c r="BT916" s="7"/>
      <c r="BU916" s="2" t="s">
        <v>4619</v>
      </c>
      <c r="BV916" s="2" t="s">
        <v>231</v>
      </c>
      <c r="BW916" s="2" t="s">
        <v>231</v>
      </c>
      <c r="BX916" s="2" t="s">
        <v>231</v>
      </c>
      <c r="BY916" s="2" t="s">
        <v>277</v>
      </c>
      <c r="BZ916" s="2" t="s">
        <v>243</v>
      </c>
      <c r="CA916" s="2" t="s">
        <v>4200</v>
      </c>
      <c r="CB916" s="2" t="s">
        <v>4620</v>
      </c>
      <c r="CC916" s="2" t="s">
        <v>244</v>
      </c>
      <c r="CD916" s="2" t="s">
        <v>231</v>
      </c>
      <c r="CE916" s="4">
        <v>32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>
        <v>177</v>
      </c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>
        <v>316</v>
      </c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>
        <v>154</v>
      </c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</row>
    <row r="917">
      <c r="A917" s="2" t="s">
        <v>4621</v>
      </c>
      <c r="B917" s="2" t="s">
        <v>287</v>
      </c>
      <c r="C917" s="2" t="s">
        <v>965</v>
      </c>
      <c r="D917" s="2" t="s">
        <v>289</v>
      </c>
      <c r="E917" s="2" t="s">
        <v>290</v>
      </c>
      <c r="F917" s="2" t="s">
        <v>4368</v>
      </c>
      <c r="G917" s="2" t="s">
        <v>4368</v>
      </c>
      <c r="H917" s="2" t="s">
        <v>4368</v>
      </c>
      <c r="I917" s="2" t="s">
        <v>4369</v>
      </c>
      <c r="J917" s="2" t="s">
        <v>304</v>
      </c>
      <c r="K917" s="2" t="s">
        <v>4609</v>
      </c>
      <c r="L917" s="3">
        <v>27.39</v>
      </c>
      <c r="M917" s="3">
        <v>28.76</v>
      </c>
      <c r="N917" s="3">
        <v>62.99</v>
      </c>
      <c r="O917" s="2" t="s">
        <v>243</v>
      </c>
      <c r="P917" s="2" t="s">
        <v>270</v>
      </c>
      <c r="Q917" s="2" t="s">
        <v>237</v>
      </c>
      <c r="R917" s="2" t="s">
        <v>231</v>
      </c>
      <c r="S917" s="2" t="s">
        <v>4610</v>
      </c>
      <c r="T917" s="2" t="s">
        <v>4134</v>
      </c>
      <c r="U917" s="2" t="s">
        <v>231</v>
      </c>
      <c r="V917" s="2" t="s">
        <v>239</v>
      </c>
      <c r="W917" s="2" t="s">
        <v>273</v>
      </c>
      <c r="X917" s="2" t="s">
        <v>231</v>
      </c>
      <c r="Y917" s="2" t="s">
        <v>274</v>
      </c>
      <c r="Z917" s="4"/>
      <c r="AA917" s="4">
        <f>=ROUNDDOWN({0},0)</f>
      </c>
      <c r="AB917" s="5">
        <v>14</v>
      </c>
      <c r="AC917" s="2" t="s">
        <v>1754</v>
      </c>
      <c r="AD917" s="4">
        <v>143</v>
      </c>
      <c r="AE917" s="4">
        <v>557</v>
      </c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231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231</v>
      </c>
      <c r="AW917" s="8" t="s">
        <v>231</v>
      </c>
      <c r="AX917" s="4" t="s">
        <v>231</v>
      </c>
      <c r="AY917" s="8" t="s">
        <v>231</v>
      </c>
      <c r="AZ917" s="7" t="s">
        <v>231</v>
      </c>
      <c r="BA917" s="7" t="s">
        <v>231</v>
      </c>
      <c r="BB917" s="7"/>
      <c r="BC917" s="4" t="s">
        <v>231</v>
      </c>
      <c r="BD917" s="8" t="s">
        <v>231</v>
      </c>
      <c r="BE917" s="4" t="s">
        <v>231</v>
      </c>
      <c r="BF917" s="8" t="s">
        <v>231</v>
      </c>
      <c r="BG917" s="7" t="s">
        <v>231</v>
      </c>
      <c r="BH917" s="7" t="s">
        <v>231</v>
      </c>
      <c r="BI917" s="7"/>
      <c r="BJ917" s="4"/>
      <c r="BK917" s="8"/>
      <c r="BL917" s="2" t="s">
        <v>231</v>
      </c>
      <c r="BM917" s="7"/>
      <c r="BN917" s="7"/>
      <c r="BO917" s="4"/>
      <c r="BP917" s="8"/>
      <c r="BQ917" s="4"/>
      <c r="BR917" s="8"/>
      <c r="BS917" s="7"/>
      <c r="BT917" s="7"/>
      <c r="BU917" s="2" t="s">
        <v>4622</v>
      </c>
      <c r="BV917" s="2" t="s">
        <v>231</v>
      </c>
      <c r="BW917" s="2" t="s">
        <v>231</v>
      </c>
      <c r="BX917" s="2" t="s">
        <v>231</v>
      </c>
      <c r="BY917" s="2" t="s">
        <v>277</v>
      </c>
      <c r="BZ917" s="2" t="s">
        <v>243</v>
      </c>
      <c r="CA917" s="2" t="s">
        <v>4200</v>
      </c>
      <c r="CB917" s="2" t="s">
        <v>4623</v>
      </c>
      <c r="CC917" s="2" t="s">
        <v>244</v>
      </c>
      <c r="CD917" s="2" t="s">
        <v>231</v>
      </c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>
        <v>143</v>
      </c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>
        <v>293</v>
      </c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>
        <v>121</v>
      </c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</row>
    <row r="918">
      <c r="A918" s="2" t="s">
        <v>4624</v>
      </c>
      <c r="B918" s="2" t="s">
        <v>287</v>
      </c>
      <c r="C918" s="2" t="s">
        <v>965</v>
      </c>
      <c r="D918" s="2" t="s">
        <v>289</v>
      </c>
      <c r="E918" s="2" t="s">
        <v>290</v>
      </c>
      <c r="F918" s="2" t="s">
        <v>4368</v>
      </c>
      <c r="G918" s="2" t="s">
        <v>4368</v>
      </c>
      <c r="H918" s="2" t="s">
        <v>4368</v>
      </c>
      <c r="I918" s="2" t="s">
        <v>4369</v>
      </c>
      <c r="J918" s="2" t="s">
        <v>318</v>
      </c>
      <c r="K918" s="2" t="s">
        <v>4625</v>
      </c>
      <c r="L918" s="3">
        <v>14.89</v>
      </c>
      <c r="M918" s="3">
        <v>15.63</v>
      </c>
      <c r="N918" s="3">
        <v>31.99</v>
      </c>
      <c r="O918" s="2" t="s">
        <v>243</v>
      </c>
      <c r="P918" s="2" t="s">
        <v>270</v>
      </c>
      <c r="Q918" s="2" t="s">
        <v>237</v>
      </c>
      <c r="R918" s="2" t="s">
        <v>231</v>
      </c>
      <c r="S918" s="2" t="s">
        <v>4626</v>
      </c>
      <c r="T918" s="2" t="s">
        <v>4134</v>
      </c>
      <c r="U918" s="2" t="s">
        <v>231</v>
      </c>
      <c r="V918" s="2" t="s">
        <v>239</v>
      </c>
      <c r="W918" s="2" t="s">
        <v>273</v>
      </c>
      <c r="X918" s="2" t="s">
        <v>231</v>
      </c>
      <c r="Y918" s="2" t="s">
        <v>4627</v>
      </c>
      <c r="Z918" s="4"/>
      <c r="AA918" s="4">
        <f>=ROUNDDOWN({0},0)</f>
      </c>
      <c r="AB918" s="5">
        <v>51</v>
      </c>
      <c r="AC918" s="2" t="s">
        <v>4212</v>
      </c>
      <c r="AD918" s="4">
        <v>471</v>
      </c>
      <c r="AE918" s="4">
        <v>1848</v>
      </c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231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231</v>
      </c>
      <c r="AW918" s="8" t="s">
        <v>231</v>
      </c>
      <c r="AX918" s="4" t="s">
        <v>231</v>
      </c>
      <c r="AY918" s="8" t="s">
        <v>231</v>
      </c>
      <c r="AZ918" s="7" t="s">
        <v>231</v>
      </c>
      <c r="BA918" s="7" t="s">
        <v>231</v>
      </c>
      <c r="BB918" s="7"/>
      <c r="BC918" s="4" t="s">
        <v>231</v>
      </c>
      <c r="BD918" s="8" t="s">
        <v>231</v>
      </c>
      <c r="BE918" s="4" t="s">
        <v>231</v>
      </c>
      <c r="BF918" s="8" t="s">
        <v>231</v>
      </c>
      <c r="BG918" s="7" t="s">
        <v>231</v>
      </c>
      <c r="BH918" s="7" t="s">
        <v>231</v>
      </c>
      <c r="BI918" s="7"/>
      <c r="BJ918" s="4"/>
      <c r="BK918" s="8"/>
      <c r="BL918" s="2" t="s">
        <v>231</v>
      </c>
      <c r="BM918" s="7"/>
      <c r="BN918" s="7"/>
      <c r="BO918" s="4"/>
      <c r="BP918" s="8"/>
      <c r="BQ918" s="4"/>
      <c r="BR918" s="8"/>
      <c r="BS918" s="7"/>
      <c r="BT918" s="7"/>
      <c r="BU918" s="2" t="s">
        <v>4628</v>
      </c>
      <c r="BV918" s="2" t="s">
        <v>231</v>
      </c>
      <c r="BW918" s="2" t="s">
        <v>231</v>
      </c>
      <c r="BX918" s="2" t="s">
        <v>231</v>
      </c>
      <c r="BY918" s="2" t="s">
        <v>277</v>
      </c>
      <c r="BZ918" s="2" t="s">
        <v>243</v>
      </c>
      <c r="CA918" s="2" t="s">
        <v>4200</v>
      </c>
      <c r="CB918" s="2" t="s">
        <v>4509</v>
      </c>
      <c r="CC918" s="2" t="s">
        <v>244</v>
      </c>
      <c r="CD918" s="2" t="s">
        <v>231</v>
      </c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>
        <v>471</v>
      </c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>
        <v>949</v>
      </c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>
        <v>428</v>
      </c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</row>
    <row r="919">
      <c r="A919" s="2" t="s">
        <v>4629</v>
      </c>
      <c r="B919" s="2" t="s">
        <v>287</v>
      </c>
      <c r="C919" s="2" t="s">
        <v>965</v>
      </c>
      <c r="D919" s="2" t="s">
        <v>289</v>
      </c>
      <c r="E919" s="2" t="s">
        <v>290</v>
      </c>
      <c r="F919" s="2" t="s">
        <v>4368</v>
      </c>
      <c r="G919" s="2" t="s">
        <v>4368</v>
      </c>
      <c r="H919" s="2" t="s">
        <v>4368</v>
      </c>
      <c r="I919" s="2" t="s">
        <v>4369</v>
      </c>
      <c r="J919" s="2" t="s">
        <v>281</v>
      </c>
      <c r="K919" s="2" t="s">
        <v>4625</v>
      </c>
      <c r="L919" s="3">
        <v>19.57</v>
      </c>
      <c r="M919" s="3">
        <v>20.55</v>
      </c>
      <c r="N919" s="3">
        <v>42.99</v>
      </c>
      <c r="O919" s="2" t="s">
        <v>243</v>
      </c>
      <c r="P919" s="2" t="s">
        <v>1281</v>
      </c>
      <c r="Q919" s="2" t="s">
        <v>237</v>
      </c>
      <c r="R919" s="2" t="s">
        <v>231</v>
      </c>
      <c r="S919" s="2" t="s">
        <v>4626</v>
      </c>
      <c r="T919" s="2" t="s">
        <v>4134</v>
      </c>
      <c r="U919" s="2" t="s">
        <v>231</v>
      </c>
      <c r="V919" s="2" t="s">
        <v>239</v>
      </c>
      <c r="W919" s="2" t="s">
        <v>273</v>
      </c>
      <c r="X919" s="2" t="s">
        <v>231</v>
      </c>
      <c r="Y919" s="2" t="s">
        <v>274</v>
      </c>
      <c r="Z919" s="4"/>
      <c r="AA919" s="4">
        <f>=ROUNDDOWN({0},0)</f>
      </c>
      <c r="AB919" s="5">
        <v>38</v>
      </c>
      <c r="AC919" s="2" t="s">
        <v>4212</v>
      </c>
      <c r="AD919" s="4">
        <v>376</v>
      </c>
      <c r="AE919" s="4">
        <v>1411</v>
      </c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231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231</v>
      </c>
      <c r="AW919" s="8" t="s">
        <v>231</v>
      </c>
      <c r="AX919" s="4" t="s">
        <v>231</v>
      </c>
      <c r="AY919" s="8" t="s">
        <v>231</v>
      </c>
      <c r="AZ919" s="7" t="s">
        <v>231</v>
      </c>
      <c r="BA919" s="7" t="s">
        <v>231</v>
      </c>
      <c r="BB919" s="7"/>
      <c r="BC919" s="4" t="s">
        <v>231</v>
      </c>
      <c r="BD919" s="8" t="s">
        <v>231</v>
      </c>
      <c r="BE919" s="4" t="s">
        <v>231</v>
      </c>
      <c r="BF919" s="8" t="s">
        <v>231</v>
      </c>
      <c r="BG919" s="7" t="s">
        <v>231</v>
      </c>
      <c r="BH919" s="7" t="s">
        <v>231</v>
      </c>
      <c r="BI919" s="7"/>
      <c r="BJ919" s="4"/>
      <c r="BK919" s="8"/>
      <c r="BL919" s="2" t="s">
        <v>231</v>
      </c>
      <c r="BM919" s="7"/>
      <c r="BN919" s="7"/>
      <c r="BO919" s="4"/>
      <c r="BP919" s="8"/>
      <c r="BQ919" s="4"/>
      <c r="BR919" s="8"/>
      <c r="BS919" s="7"/>
      <c r="BT919" s="7"/>
      <c r="BU919" s="2" t="s">
        <v>4630</v>
      </c>
      <c r="BV919" s="2" t="s">
        <v>231</v>
      </c>
      <c r="BW919" s="2" t="s">
        <v>231</v>
      </c>
      <c r="BX919" s="2" t="s">
        <v>231</v>
      </c>
      <c r="BY919" s="2" t="s">
        <v>277</v>
      </c>
      <c r="BZ919" s="2" t="s">
        <v>243</v>
      </c>
      <c r="CA919" s="2" t="s">
        <v>4200</v>
      </c>
      <c r="CB919" s="2" t="s">
        <v>4631</v>
      </c>
      <c r="CC919" s="2" t="s">
        <v>244</v>
      </c>
      <c r="CD919" s="2" t="s">
        <v>231</v>
      </c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>
        <v>376</v>
      </c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>
        <v>718</v>
      </c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>
        <v>317</v>
      </c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</row>
    <row r="920">
      <c r="A920" s="2" t="s">
        <v>4632</v>
      </c>
      <c r="B920" s="2" t="s">
        <v>287</v>
      </c>
      <c r="C920" s="2" t="s">
        <v>965</v>
      </c>
      <c r="D920" s="2" t="s">
        <v>289</v>
      </c>
      <c r="E920" s="2" t="s">
        <v>290</v>
      </c>
      <c r="F920" s="2" t="s">
        <v>4368</v>
      </c>
      <c r="G920" s="2" t="s">
        <v>4368</v>
      </c>
      <c r="H920" s="2" t="s">
        <v>4368</v>
      </c>
      <c r="I920" s="2" t="s">
        <v>4369</v>
      </c>
      <c r="J920" s="2" t="s">
        <v>302</v>
      </c>
      <c r="K920" s="2" t="s">
        <v>4625</v>
      </c>
      <c r="L920" s="3">
        <v>27.39</v>
      </c>
      <c r="M920" s="3">
        <v>28.76</v>
      </c>
      <c r="N920" s="3">
        <v>62.99</v>
      </c>
      <c r="O920" s="2" t="s">
        <v>243</v>
      </c>
      <c r="P920" s="2" t="s">
        <v>270</v>
      </c>
      <c r="Q920" s="2" t="s">
        <v>237</v>
      </c>
      <c r="R920" s="2" t="s">
        <v>231</v>
      </c>
      <c r="S920" s="2" t="s">
        <v>4626</v>
      </c>
      <c r="T920" s="2" t="s">
        <v>4134</v>
      </c>
      <c r="U920" s="2" t="s">
        <v>231</v>
      </c>
      <c r="V920" s="2" t="s">
        <v>239</v>
      </c>
      <c r="W920" s="2" t="s">
        <v>273</v>
      </c>
      <c r="X920" s="2" t="s">
        <v>231</v>
      </c>
      <c r="Y920" s="2" t="s">
        <v>274</v>
      </c>
      <c r="Z920" s="4"/>
      <c r="AA920" s="4">
        <f>=ROUNDDOWN({0},0)</f>
      </c>
      <c r="AB920" s="5">
        <v>24</v>
      </c>
      <c r="AC920" s="2" t="s">
        <v>4212</v>
      </c>
      <c r="AD920" s="4">
        <v>232</v>
      </c>
      <c r="AE920" s="4">
        <v>902</v>
      </c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231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231</v>
      </c>
      <c r="AW920" s="8" t="s">
        <v>231</v>
      </c>
      <c r="AX920" s="4" t="s">
        <v>231</v>
      </c>
      <c r="AY920" s="8" t="s">
        <v>231</v>
      </c>
      <c r="AZ920" s="7" t="s">
        <v>231</v>
      </c>
      <c r="BA920" s="7" t="s">
        <v>231</v>
      </c>
      <c r="BB920" s="7"/>
      <c r="BC920" s="4" t="s">
        <v>231</v>
      </c>
      <c r="BD920" s="8" t="s">
        <v>231</v>
      </c>
      <c r="BE920" s="4" t="s">
        <v>231</v>
      </c>
      <c r="BF920" s="8" t="s">
        <v>231</v>
      </c>
      <c r="BG920" s="7" t="s">
        <v>231</v>
      </c>
      <c r="BH920" s="7" t="s">
        <v>231</v>
      </c>
      <c r="BI920" s="7"/>
      <c r="BJ920" s="4"/>
      <c r="BK920" s="8"/>
      <c r="BL920" s="2" t="s">
        <v>231</v>
      </c>
      <c r="BM920" s="7"/>
      <c r="BN920" s="7"/>
      <c r="BO920" s="4"/>
      <c r="BP920" s="8"/>
      <c r="BQ920" s="4"/>
      <c r="BR920" s="8"/>
      <c r="BS920" s="7"/>
      <c r="BT920" s="7"/>
      <c r="BU920" s="2" t="s">
        <v>4633</v>
      </c>
      <c r="BV920" s="2" t="s">
        <v>231</v>
      </c>
      <c r="BW920" s="2" t="s">
        <v>231</v>
      </c>
      <c r="BX920" s="2" t="s">
        <v>231</v>
      </c>
      <c r="BY920" s="2" t="s">
        <v>277</v>
      </c>
      <c r="BZ920" s="2" t="s">
        <v>243</v>
      </c>
      <c r="CA920" s="2" t="s">
        <v>4200</v>
      </c>
      <c r="CB920" s="2" t="s">
        <v>4634</v>
      </c>
      <c r="CC920" s="2" t="s">
        <v>244</v>
      </c>
      <c r="CD920" s="2" t="s">
        <v>231</v>
      </c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>
        <v>232</v>
      </c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>
        <v>454</v>
      </c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>
        <v>216</v>
      </c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</row>
    <row r="921">
      <c r="A921" s="2" t="s">
        <v>4635</v>
      </c>
      <c r="B921" s="2" t="s">
        <v>287</v>
      </c>
      <c r="C921" s="2" t="s">
        <v>965</v>
      </c>
      <c r="D921" s="2" t="s">
        <v>289</v>
      </c>
      <c r="E921" s="2" t="s">
        <v>290</v>
      </c>
      <c r="F921" s="2" t="s">
        <v>4368</v>
      </c>
      <c r="G921" s="2" t="s">
        <v>4368</v>
      </c>
      <c r="H921" s="2" t="s">
        <v>4368</v>
      </c>
      <c r="I921" s="2" t="s">
        <v>4369</v>
      </c>
      <c r="J921" s="2" t="s">
        <v>304</v>
      </c>
      <c r="K921" s="2" t="s">
        <v>4625</v>
      </c>
      <c r="L921" s="3">
        <v>27.39</v>
      </c>
      <c r="M921" s="3">
        <v>28.76</v>
      </c>
      <c r="N921" s="3">
        <v>62.99</v>
      </c>
      <c r="O921" s="2" t="s">
        <v>243</v>
      </c>
      <c r="P921" s="2" t="s">
        <v>270</v>
      </c>
      <c r="Q921" s="2" t="s">
        <v>237</v>
      </c>
      <c r="R921" s="2" t="s">
        <v>231</v>
      </c>
      <c r="S921" s="2" t="s">
        <v>4626</v>
      </c>
      <c r="T921" s="2" t="s">
        <v>4134</v>
      </c>
      <c r="U921" s="2" t="s">
        <v>231</v>
      </c>
      <c r="V921" s="2" t="s">
        <v>239</v>
      </c>
      <c r="W921" s="2" t="s">
        <v>273</v>
      </c>
      <c r="X921" s="2" t="s">
        <v>231</v>
      </c>
      <c r="Y921" s="2" t="s">
        <v>274</v>
      </c>
      <c r="Z921" s="4"/>
      <c r="AA921" s="4">
        <f>=ROUNDDOWN({0},0)</f>
      </c>
      <c r="AB921" s="5">
        <v>16</v>
      </c>
      <c r="AC921" s="2" t="s">
        <v>4212</v>
      </c>
      <c r="AD921" s="4">
        <v>160</v>
      </c>
      <c r="AE921" s="4">
        <v>606</v>
      </c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231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231</v>
      </c>
      <c r="AW921" s="8" t="s">
        <v>231</v>
      </c>
      <c r="AX921" s="4" t="s">
        <v>231</v>
      </c>
      <c r="AY921" s="8" t="s">
        <v>231</v>
      </c>
      <c r="AZ921" s="7" t="s">
        <v>231</v>
      </c>
      <c r="BA921" s="7" t="s">
        <v>231</v>
      </c>
      <c r="BB921" s="7"/>
      <c r="BC921" s="4" t="s">
        <v>231</v>
      </c>
      <c r="BD921" s="8" t="s">
        <v>231</v>
      </c>
      <c r="BE921" s="4" t="s">
        <v>231</v>
      </c>
      <c r="BF921" s="8" t="s">
        <v>231</v>
      </c>
      <c r="BG921" s="7" t="s">
        <v>231</v>
      </c>
      <c r="BH921" s="7" t="s">
        <v>231</v>
      </c>
      <c r="BI921" s="7"/>
      <c r="BJ921" s="4"/>
      <c r="BK921" s="8"/>
      <c r="BL921" s="2" t="s">
        <v>4636</v>
      </c>
      <c r="BM921" s="7"/>
      <c r="BN921" s="7"/>
      <c r="BO921" s="4"/>
      <c r="BP921" s="8"/>
      <c r="BQ921" s="4"/>
      <c r="BR921" s="8"/>
      <c r="BS921" s="7"/>
      <c r="BT921" s="7"/>
      <c r="BU921" s="2" t="s">
        <v>4637</v>
      </c>
      <c r="BV921" s="2" t="s">
        <v>231</v>
      </c>
      <c r="BW921" s="2" t="s">
        <v>231</v>
      </c>
      <c r="BX921" s="2" t="s">
        <v>231</v>
      </c>
      <c r="BY921" s="2" t="s">
        <v>277</v>
      </c>
      <c r="BZ921" s="2" t="s">
        <v>243</v>
      </c>
      <c r="CA921" s="2" t="s">
        <v>4200</v>
      </c>
      <c r="CB921" s="2" t="s">
        <v>4638</v>
      </c>
      <c r="CC921" s="2" t="s">
        <v>244</v>
      </c>
      <c r="CD921" s="2" t="s">
        <v>231</v>
      </c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>
        <v>160</v>
      </c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>
        <v>307</v>
      </c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>
        <v>139</v>
      </c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</row>
    <row r="922">
      <c r="A922" s="2" t="s">
        <v>4639</v>
      </c>
      <c r="B922" s="2" t="s">
        <v>287</v>
      </c>
      <c r="C922" s="2" t="s">
        <v>965</v>
      </c>
      <c r="D922" s="2" t="s">
        <v>289</v>
      </c>
      <c r="E922" s="2" t="s">
        <v>290</v>
      </c>
      <c r="F922" s="2" t="s">
        <v>4368</v>
      </c>
      <c r="G922" s="2" t="s">
        <v>4368</v>
      </c>
      <c r="H922" s="2" t="s">
        <v>4368</v>
      </c>
      <c r="I922" s="2" t="s">
        <v>4369</v>
      </c>
      <c r="J922" s="2" t="s">
        <v>318</v>
      </c>
      <c r="K922" s="2" t="s">
        <v>4640</v>
      </c>
      <c r="L922" s="3">
        <v>14.89</v>
      </c>
      <c r="M922" s="3">
        <v>15.63</v>
      </c>
      <c r="N922" s="3">
        <v>31.99</v>
      </c>
      <c r="O922" s="2" t="s">
        <v>243</v>
      </c>
      <c r="P922" s="2" t="s">
        <v>270</v>
      </c>
      <c r="Q922" s="2" t="s">
        <v>237</v>
      </c>
      <c r="R922" s="2" t="s">
        <v>231</v>
      </c>
      <c r="S922" s="2" t="s">
        <v>4641</v>
      </c>
      <c r="T922" s="2" t="s">
        <v>4134</v>
      </c>
      <c r="U922" s="2" t="s">
        <v>231</v>
      </c>
      <c r="V922" s="2" t="s">
        <v>4046</v>
      </c>
      <c r="W922" s="2" t="s">
        <v>273</v>
      </c>
      <c r="X922" s="2" t="s">
        <v>231</v>
      </c>
      <c r="Y922" s="2" t="s">
        <v>2848</v>
      </c>
      <c r="Z922" s="4"/>
      <c r="AA922" s="4">
        <f>=ROUNDDOWN({0},0)</f>
      </c>
      <c r="AB922" s="5">
        <v>50</v>
      </c>
      <c r="AC922" s="2" t="s">
        <v>1754</v>
      </c>
      <c r="AD922" s="4">
        <v>477</v>
      </c>
      <c r="AE922" s="4">
        <v>1828</v>
      </c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231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231</v>
      </c>
      <c r="AW922" s="8" t="s">
        <v>231</v>
      </c>
      <c r="AX922" s="4" t="s">
        <v>231</v>
      </c>
      <c r="AY922" s="8" t="s">
        <v>231</v>
      </c>
      <c r="AZ922" s="7" t="s">
        <v>231</v>
      </c>
      <c r="BA922" s="7" t="s">
        <v>231</v>
      </c>
      <c r="BB922" s="7"/>
      <c r="BC922" s="4" t="s">
        <v>231</v>
      </c>
      <c r="BD922" s="8" t="s">
        <v>231</v>
      </c>
      <c r="BE922" s="4" t="s">
        <v>231</v>
      </c>
      <c r="BF922" s="8" t="s">
        <v>231</v>
      </c>
      <c r="BG922" s="7" t="s">
        <v>231</v>
      </c>
      <c r="BH922" s="7" t="s">
        <v>231</v>
      </c>
      <c r="BI922" s="7"/>
      <c r="BJ922" s="4"/>
      <c r="BK922" s="8"/>
      <c r="BL922" s="2" t="s">
        <v>231</v>
      </c>
      <c r="BM922" s="7"/>
      <c r="BN922" s="7"/>
      <c r="BO922" s="4"/>
      <c r="BP922" s="8"/>
      <c r="BQ922" s="4"/>
      <c r="BR922" s="8"/>
      <c r="BS922" s="7"/>
      <c r="BT922" s="7"/>
      <c r="BU922" s="2" t="s">
        <v>4642</v>
      </c>
      <c r="BV922" s="2" t="s">
        <v>231</v>
      </c>
      <c r="BW922" s="2" t="s">
        <v>231</v>
      </c>
      <c r="BX922" s="2" t="s">
        <v>231</v>
      </c>
      <c r="BY922" s="2" t="s">
        <v>277</v>
      </c>
      <c r="BZ922" s="2" t="s">
        <v>243</v>
      </c>
      <c r="CA922" s="2" t="s">
        <v>4389</v>
      </c>
      <c r="CB922" s="2" t="s">
        <v>4283</v>
      </c>
      <c r="CC922" s="2" t="s">
        <v>244</v>
      </c>
      <c r="CD922" s="2" t="s">
        <v>231</v>
      </c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>
        <v>477</v>
      </c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>
        <v>929</v>
      </c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>
        <v>422</v>
      </c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</row>
    <row r="923">
      <c r="A923" s="2" t="s">
        <v>4643</v>
      </c>
      <c r="B923" s="2" t="s">
        <v>287</v>
      </c>
      <c r="C923" s="2" t="s">
        <v>965</v>
      </c>
      <c r="D923" s="2" t="s">
        <v>289</v>
      </c>
      <c r="E923" s="2" t="s">
        <v>290</v>
      </c>
      <c r="F923" s="2" t="s">
        <v>4368</v>
      </c>
      <c r="G923" s="2" t="s">
        <v>4368</v>
      </c>
      <c r="H923" s="2" t="s">
        <v>4368</v>
      </c>
      <c r="I923" s="2" t="s">
        <v>4369</v>
      </c>
      <c r="J923" s="2" t="s">
        <v>268</v>
      </c>
      <c r="K923" s="2" t="s">
        <v>4640</v>
      </c>
      <c r="L923" s="3">
        <v>16.16</v>
      </c>
      <c r="M923" s="3">
        <v>16.97</v>
      </c>
      <c r="N923" s="3">
        <v>34.99</v>
      </c>
      <c r="O923" s="2" t="s">
        <v>243</v>
      </c>
      <c r="P923" s="2" t="s">
        <v>270</v>
      </c>
      <c r="Q923" s="2" t="s">
        <v>237</v>
      </c>
      <c r="R923" s="2" t="s">
        <v>231</v>
      </c>
      <c r="S923" s="2" t="s">
        <v>4641</v>
      </c>
      <c r="T923" s="2" t="s">
        <v>4134</v>
      </c>
      <c r="U923" s="2" t="s">
        <v>231</v>
      </c>
      <c r="V923" s="2" t="s">
        <v>4046</v>
      </c>
      <c r="W923" s="2" t="s">
        <v>273</v>
      </c>
      <c r="X923" s="2" t="s">
        <v>231</v>
      </c>
      <c r="Y923" s="2" t="s">
        <v>2848</v>
      </c>
      <c r="Z923" s="4"/>
      <c r="AA923" s="4">
        <f>=ROUNDDOWN({0},0)</f>
      </c>
      <c r="AB923" s="5">
        <v>27</v>
      </c>
      <c r="AC923" s="2" t="s">
        <v>1754</v>
      </c>
      <c r="AD923" s="4">
        <v>258</v>
      </c>
      <c r="AE923" s="4">
        <v>977</v>
      </c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231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231</v>
      </c>
      <c r="AW923" s="8" t="s">
        <v>231</v>
      </c>
      <c r="AX923" s="4" t="s">
        <v>231</v>
      </c>
      <c r="AY923" s="8" t="s">
        <v>231</v>
      </c>
      <c r="AZ923" s="7" t="s">
        <v>231</v>
      </c>
      <c r="BA923" s="7" t="s">
        <v>231</v>
      </c>
      <c r="BB923" s="7"/>
      <c r="BC923" s="4" t="s">
        <v>231</v>
      </c>
      <c r="BD923" s="8" t="s">
        <v>231</v>
      </c>
      <c r="BE923" s="4" t="s">
        <v>231</v>
      </c>
      <c r="BF923" s="8" t="s">
        <v>231</v>
      </c>
      <c r="BG923" s="7" t="s">
        <v>231</v>
      </c>
      <c r="BH923" s="7" t="s">
        <v>231</v>
      </c>
      <c r="BI923" s="7"/>
      <c r="BJ923" s="4"/>
      <c r="BK923" s="8"/>
      <c r="BL923" s="2" t="s">
        <v>231</v>
      </c>
      <c r="BM923" s="7"/>
      <c r="BN923" s="7"/>
      <c r="BO923" s="4"/>
      <c r="BP923" s="8"/>
      <c r="BQ923" s="4"/>
      <c r="BR923" s="8"/>
      <c r="BS923" s="7"/>
      <c r="BT923" s="7"/>
      <c r="BU923" s="2" t="s">
        <v>4644</v>
      </c>
      <c r="BV923" s="2" t="s">
        <v>231</v>
      </c>
      <c r="BW923" s="2" t="s">
        <v>231</v>
      </c>
      <c r="BX923" s="2" t="s">
        <v>231</v>
      </c>
      <c r="BY923" s="2" t="s">
        <v>277</v>
      </c>
      <c r="BZ923" s="2" t="s">
        <v>243</v>
      </c>
      <c r="CA923" s="2" t="s">
        <v>4389</v>
      </c>
      <c r="CB923" s="2" t="s">
        <v>4498</v>
      </c>
      <c r="CC923" s="2" t="s">
        <v>244</v>
      </c>
      <c r="CD923" s="2" t="s">
        <v>231</v>
      </c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>
        <v>258</v>
      </c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>
        <v>487</v>
      </c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>
        <v>232</v>
      </c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</row>
    <row r="924">
      <c r="A924" s="2" t="s">
        <v>4645</v>
      </c>
      <c r="B924" s="2" t="s">
        <v>287</v>
      </c>
      <c r="C924" s="2" t="s">
        <v>965</v>
      </c>
      <c r="D924" s="2" t="s">
        <v>289</v>
      </c>
      <c r="E924" s="2" t="s">
        <v>290</v>
      </c>
      <c r="F924" s="2" t="s">
        <v>4368</v>
      </c>
      <c r="G924" s="2" t="s">
        <v>4368</v>
      </c>
      <c r="H924" s="2" t="s">
        <v>4368</v>
      </c>
      <c r="I924" s="2" t="s">
        <v>4369</v>
      </c>
      <c r="J924" s="2" t="s">
        <v>281</v>
      </c>
      <c r="K924" s="2" t="s">
        <v>4640</v>
      </c>
      <c r="L924" s="3">
        <v>19.57</v>
      </c>
      <c r="M924" s="3">
        <v>20.55</v>
      </c>
      <c r="N924" s="3">
        <v>42.99</v>
      </c>
      <c r="O924" s="2" t="s">
        <v>243</v>
      </c>
      <c r="P924" s="2" t="s">
        <v>270</v>
      </c>
      <c r="Q924" s="2" t="s">
        <v>237</v>
      </c>
      <c r="R924" s="2" t="s">
        <v>231</v>
      </c>
      <c r="S924" s="2" t="s">
        <v>4641</v>
      </c>
      <c r="T924" s="2" t="s">
        <v>4134</v>
      </c>
      <c r="U924" s="2" t="s">
        <v>231</v>
      </c>
      <c r="V924" s="2" t="s">
        <v>4046</v>
      </c>
      <c r="W924" s="2" t="s">
        <v>273</v>
      </c>
      <c r="X924" s="2" t="s">
        <v>231</v>
      </c>
      <c r="Y924" s="2" t="s">
        <v>2848</v>
      </c>
      <c r="Z924" s="4"/>
      <c r="AA924" s="4">
        <f>=ROUNDDOWN({0},0)</f>
      </c>
      <c r="AB924" s="5">
        <v>24</v>
      </c>
      <c r="AC924" s="2" t="s">
        <v>1754</v>
      </c>
      <c r="AD924" s="4">
        <v>236</v>
      </c>
      <c r="AE924" s="4">
        <v>907</v>
      </c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231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231</v>
      </c>
      <c r="AW924" s="8" t="s">
        <v>231</v>
      </c>
      <c r="AX924" s="4" t="s">
        <v>231</v>
      </c>
      <c r="AY924" s="8" t="s">
        <v>231</v>
      </c>
      <c r="AZ924" s="7" t="s">
        <v>231</v>
      </c>
      <c r="BA924" s="7" t="s">
        <v>231</v>
      </c>
      <c r="BB924" s="7"/>
      <c r="BC924" s="4" t="s">
        <v>231</v>
      </c>
      <c r="BD924" s="8" t="s">
        <v>231</v>
      </c>
      <c r="BE924" s="4" t="s">
        <v>231</v>
      </c>
      <c r="BF924" s="8" t="s">
        <v>231</v>
      </c>
      <c r="BG924" s="7" t="s">
        <v>231</v>
      </c>
      <c r="BH924" s="7" t="s">
        <v>231</v>
      </c>
      <c r="BI924" s="7"/>
      <c r="BJ924" s="4"/>
      <c r="BK924" s="8"/>
      <c r="BL924" s="2" t="s">
        <v>231</v>
      </c>
      <c r="BM924" s="7"/>
      <c r="BN924" s="7"/>
      <c r="BO924" s="4"/>
      <c r="BP924" s="8"/>
      <c r="BQ924" s="4"/>
      <c r="BR924" s="8"/>
      <c r="BS924" s="7"/>
      <c r="BT924" s="7"/>
      <c r="BU924" s="2" t="s">
        <v>4646</v>
      </c>
      <c r="BV924" s="2" t="s">
        <v>231</v>
      </c>
      <c r="BW924" s="2" t="s">
        <v>231</v>
      </c>
      <c r="BX924" s="2" t="s">
        <v>231</v>
      </c>
      <c r="BY924" s="2" t="s">
        <v>277</v>
      </c>
      <c r="BZ924" s="2" t="s">
        <v>243</v>
      </c>
      <c r="CA924" s="2" t="s">
        <v>4389</v>
      </c>
      <c r="CB924" s="2" t="s">
        <v>4594</v>
      </c>
      <c r="CC924" s="2" t="s">
        <v>244</v>
      </c>
      <c r="CD924" s="2" t="s">
        <v>231</v>
      </c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>
        <v>236</v>
      </c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>
        <v>462</v>
      </c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>
        <v>209</v>
      </c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</row>
    <row r="925">
      <c r="A925" s="2" t="s">
        <v>4647</v>
      </c>
      <c r="B925" s="2" t="s">
        <v>287</v>
      </c>
      <c r="C925" s="2" t="s">
        <v>965</v>
      </c>
      <c r="D925" s="2" t="s">
        <v>289</v>
      </c>
      <c r="E925" s="2" t="s">
        <v>290</v>
      </c>
      <c r="F925" s="2" t="s">
        <v>4368</v>
      </c>
      <c r="G925" s="2" t="s">
        <v>4368</v>
      </c>
      <c r="H925" s="2" t="s">
        <v>4368</v>
      </c>
      <c r="I925" s="2" t="s">
        <v>4369</v>
      </c>
      <c r="J925" s="2" t="s">
        <v>293</v>
      </c>
      <c r="K925" s="2" t="s">
        <v>4640</v>
      </c>
      <c r="L925" s="3">
        <v>22.21</v>
      </c>
      <c r="M925" s="3">
        <v>23.32</v>
      </c>
      <c r="N925" s="3">
        <v>47.99</v>
      </c>
      <c r="O925" s="2" t="s">
        <v>243</v>
      </c>
      <c r="P925" s="2" t="s">
        <v>1332</v>
      </c>
      <c r="Q925" s="2" t="s">
        <v>237</v>
      </c>
      <c r="R925" s="2" t="s">
        <v>231</v>
      </c>
      <c r="S925" s="2" t="s">
        <v>4641</v>
      </c>
      <c r="T925" s="2" t="s">
        <v>4134</v>
      </c>
      <c r="U925" s="2" t="s">
        <v>231</v>
      </c>
      <c r="V925" s="2" t="s">
        <v>4046</v>
      </c>
      <c r="W925" s="2" t="s">
        <v>273</v>
      </c>
      <c r="X925" s="2" t="s">
        <v>231</v>
      </c>
      <c r="Y925" s="2" t="s">
        <v>2848</v>
      </c>
      <c r="Z925" s="4"/>
      <c r="AA925" s="4">
        <f>=ROUNDDOWN({0},0)</f>
      </c>
      <c r="AB925" s="5">
        <v>41</v>
      </c>
      <c r="AC925" s="2" t="s">
        <v>1754</v>
      </c>
      <c r="AD925" s="4">
        <v>399</v>
      </c>
      <c r="AE925" s="4">
        <v>1520</v>
      </c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231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231</v>
      </c>
      <c r="AW925" s="8" t="s">
        <v>231</v>
      </c>
      <c r="AX925" s="4" t="s">
        <v>231</v>
      </c>
      <c r="AY925" s="8" t="s">
        <v>231</v>
      </c>
      <c r="AZ925" s="7" t="s">
        <v>231</v>
      </c>
      <c r="BA925" s="7" t="s">
        <v>231</v>
      </c>
      <c r="BB925" s="7"/>
      <c r="BC925" s="4" t="s">
        <v>231</v>
      </c>
      <c r="BD925" s="8" t="s">
        <v>231</v>
      </c>
      <c r="BE925" s="4" t="s">
        <v>231</v>
      </c>
      <c r="BF925" s="8" t="s">
        <v>231</v>
      </c>
      <c r="BG925" s="7" t="s">
        <v>231</v>
      </c>
      <c r="BH925" s="7" t="s">
        <v>231</v>
      </c>
      <c r="BI925" s="7"/>
      <c r="BJ925" s="4"/>
      <c r="BK925" s="8"/>
      <c r="BL925" s="2" t="s">
        <v>231</v>
      </c>
      <c r="BM925" s="7"/>
      <c r="BN925" s="7"/>
      <c r="BO925" s="4"/>
      <c r="BP925" s="8"/>
      <c r="BQ925" s="4"/>
      <c r="BR925" s="8"/>
      <c r="BS925" s="7"/>
      <c r="BT925" s="7"/>
      <c r="BU925" s="2" t="s">
        <v>4648</v>
      </c>
      <c r="BV925" s="2" t="s">
        <v>231</v>
      </c>
      <c r="BW925" s="2" t="s">
        <v>231</v>
      </c>
      <c r="BX925" s="2" t="s">
        <v>231</v>
      </c>
      <c r="BY925" s="2" t="s">
        <v>277</v>
      </c>
      <c r="BZ925" s="2" t="s">
        <v>243</v>
      </c>
      <c r="CA925" s="2" t="s">
        <v>4389</v>
      </c>
      <c r="CB925" s="2" t="s">
        <v>1834</v>
      </c>
      <c r="CC925" s="2" t="s">
        <v>244</v>
      </c>
      <c r="CD925" s="2" t="s">
        <v>231</v>
      </c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>
        <v>399</v>
      </c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>
        <v>779</v>
      </c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>
        <v>342</v>
      </c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</row>
    <row r="926">
      <c r="A926" s="2" t="s">
        <v>4649</v>
      </c>
      <c r="B926" s="2" t="s">
        <v>287</v>
      </c>
      <c r="C926" s="2" t="s">
        <v>965</v>
      </c>
      <c r="D926" s="2" t="s">
        <v>289</v>
      </c>
      <c r="E926" s="2" t="s">
        <v>290</v>
      </c>
      <c r="F926" s="2" t="s">
        <v>4368</v>
      </c>
      <c r="G926" s="2" t="s">
        <v>4368</v>
      </c>
      <c r="H926" s="2" t="s">
        <v>4368</v>
      </c>
      <c r="I926" s="2" t="s">
        <v>4369</v>
      </c>
      <c r="J926" s="2" t="s">
        <v>302</v>
      </c>
      <c r="K926" s="2" t="s">
        <v>4640</v>
      </c>
      <c r="L926" s="3">
        <v>27.39</v>
      </c>
      <c r="M926" s="3">
        <v>28.76</v>
      </c>
      <c r="N926" s="3">
        <v>62.99</v>
      </c>
      <c r="O926" s="2" t="s">
        <v>243</v>
      </c>
      <c r="P926" s="2" t="s">
        <v>270</v>
      </c>
      <c r="Q926" s="2" t="s">
        <v>237</v>
      </c>
      <c r="R926" s="2" t="s">
        <v>231</v>
      </c>
      <c r="S926" s="2" t="s">
        <v>4641</v>
      </c>
      <c r="T926" s="2" t="s">
        <v>4134</v>
      </c>
      <c r="U926" s="2" t="s">
        <v>231</v>
      </c>
      <c r="V926" s="2" t="s">
        <v>4046</v>
      </c>
      <c r="W926" s="2" t="s">
        <v>273</v>
      </c>
      <c r="X926" s="2" t="s">
        <v>231</v>
      </c>
      <c r="Y926" s="2" t="s">
        <v>2848</v>
      </c>
      <c r="Z926" s="4"/>
      <c r="AA926" s="4">
        <f>=ROUNDDOWN({0},0)</f>
      </c>
      <c r="AB926" s="5">
        <v>15</v>
      </c>
      <c r="AC926" s="2" t="s">
        <v>1754</v>
      </c>
      <c r="AD926" s="4">
        <v>153</v>
      </c>
      <c r="AE926" s="4">
        <v>576</v>
      </c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231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231</v>
      </c>
      <c r="AW926" s="8" t="s">
        <v>231</v>
      </c>
      <c r="AX926" s="4" t="s">
        <v>231</v>
      </c>
      <c r="AY926" s="8" t="s">
        <v>231</v>
      </c>
      <c r="AZ926" s="7" t="s">
        <v>231</v>
      </c>
      <c r="BA926" s="7" t="s">
        <v>231</v>
      </c>
      <c r="BB926" s="7"/>
      <c r="BC926" s="4" t="s">
        <v>231</v>
      </c>
      <c r="BD926" s="8" t="s">
        <v>231</v>
      </c>
      <c r="BE926" s="4" t="s">
        <v>231</v>
      </c>
      <c r="BF926" s="8" t="s">
        <v>231</v>
      </c>
      <c r="BG926" s="7" t="s">
        <v>231</v>
      </c>
      <c r="BH926" s="7" t="s">
        <v>231</v>
      </c>
      <c r="BI926" s="7"/>
      <c r="BJ926" s="4">
        <v>1</v>
      </c>
      <c r="BK926" s="8">
        <v>30.87</v>
      </c>
      <c r="BL926" s="2" t="s">
        <v>1020</v>
      </c>
      <c r="BM926" s="7"/>
      <c r="BN926" s="7"/>
      <c r="BO926" s="4"/>
      <c r="BP926" s="8"/>
      <c r="BQ926" s="4"/>
      <c r="BR926" s="8"/>
      <c r="BS926" s="7"/>
      <c r="BT926" s="7"/>
      <c r="BU926" s="2" t="s">
        <v>4650</v>
      </c>
      <c r="BV926" s="2" t="s">
        <v>231</v>
      </c>
      <c r="BW926" s="2" t="s">
        <v>231</v>
      </c>
      <c r="BX926" s="2" t="s">
        <v>231</v>
      </c>
      <c r="BY926" s="2" t="s">
        <v>277</v>
      </c>
      <c r="BZ926" s="2" t="s">
        <v>243</v>
      </c>
      <c r="CA926" s="2" t="s">
        <v>4389</v>
      </c>
      <c r="CB926" s="2" t="s">
        <v>4651</v>
      </c>
      <c r="CC926" s="2" t="s">
        <v>244</v>
      </c>
      <c r="CD926" s="2" t="s">
        <v>231</v>
      </c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>
        <v>153</v>
      </c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>
        <v>287</v>
      </c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>
        <v>136</v>
      </c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</row>
    <row r="927">
      <c r="A927" s="2" t="s">
        <v>4652</v>
      </c>
      <c r="B927" s="2" t="s">
        <v>287</v>
      </c>
      <c r="C927" s="2" t="s">
        <v>965</v>
      </c>
      <c r="D927" s="2" t="s">
        <v>289</v>
      </c>
      <c r="E927" s="2" t="s">
        <v>290</v>
      </c>
      <c r="F927" s="2" t="s">
        <v>4368</v>
      </c>
      <c r="G927" s="2" t="s">
        <v>4368</v>
      </c>
      <c r="H927" s="2" t="s">
        <v>4368</v>
      </c>
      <c r="I927" s="2" t="s">
        <v>4369</v>
      </c>
      <c r="J927" s="2" t="s">
        <v>318</v>
      </c>
      <c r="K927" s="2" t="s">
        <v>4653</v>
      </c>
      <c r="L927" s="3">
        <v>14.89</v>
      </c>
      <c r="M927" s="3">
        <v>15.63</v>
      </c>
      <c r="N927" s="3">
        <v>31.99</v>
      </c>
      <c r="O927" s="2" t="s">
        <v>243</v>
      </c>
      <c r="P927" s="2" t="s">
        <v>270</v>
      </c>
      <c r="Q927" s="2" t="s">
        <v>237</v>
      </c>
      <c r="R927" s="2" t="s">
        <v>231</v>
      </c>
      <c r="S927" s="2" t="s">
        <v>4654</v>
      </c>
      <c r="T927" s="2" t="s">
        <v>4134</v>
      </c>
      <c r="U927" s="2" t="s">
        <v>231</v>
      </c>
      <c r="V927" s="2" t="s">
        <v>4046</v>
      </c>
      <c r="W927" s="2" t="s">
        <v>273</v>
      </c>
      <c r="X927" s="2" t="s">
        <v>231</v>
      </c>
      <c r="Y927" s="2" t="s">
        <v>2848</v>
      </c>
      <c r="Z927" s="4">
        <v>3</v>
      </c>
      <c r="AA927" s="4">
        <f>=ROUNDDOWN(0.0731707317073171,0)</f>
      </c>
      <c r="AB927" s="5">
        <v>41</v>
      </c>
      <c r="AC927" s="2" t="s">
        <v>4135</v>
      </c>
      <c r="AD927" s="4">
        <v>396</v>
      </c>
      <c r="AE927" s="4">
        <v>1461</v>
      </c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231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231</v>
      </c>
      <c r="AW927" s="8" t="s">
        <v>231</v>
      </c>
      <c r="AX927" s="4" t="s">
        <v>231</v>
      </c>
      <c r="AY927" s="8" t="s">
        <v>231</v>
      </c>
      <c r="AZ927" s="7" t="s">
        <v>231</v>
      </c>
      <c r="BA927" s="7" t="s">
        <v>231</v>
      </c>
      <c r="BB927" s="7"/>
      <c r="BC927" s="4" t="s">
        <v>231</v>
      </c>
      <c r="BD927" s="8" t="s">
        <v>231</v>
      </c>
      <c r="BE927" s="4" t="s">
        <v>231</v>
      </c>
      <c r="BF927" s="8" t="s">
        <v>231</v>
      </c>
      <c r="BG927" s="7" t="s">
        <v>231</v>
      </c>
      <c r="BH927" s="7" t="s">
        <v>231</v>
      </c>
      <c r="BI927" s="7"/>
      <c r="BJ927" s="4"/>
      <c r="BK927" s="8"/>
      <c r="BL927" s="2" t="s">
        <v>231</v>
      </c>
      <c r="BM927" s="7"/>
      <c r="BN927" s="7"/>
      <c r="BO927" s="4"/>
      <c r="BP927" s="8"/>
      <c r="BQ927" s="4"/>
      <c r="BR927" s="8"/>
      <c r="BS927" s="7"/>
      <c r="BT927" s="7"/>
      <c r="BU927" s="2" t="s">
        <v>4655</v>
      </c>
      <c r="BV927" s="2" t="s">
        <v>231</v>
      </c>
      <c r="BW927" s="2" t="s">
        <v>231</v>
      </c>
      <c r="BX927" s="2" t="s">
        <v>231</v>
      </c>
      <c r="BY927" s="2" t="s">
        <v>277</v>
      </c>
      <c r="BZ927" s="2" t="s">
        <v>243</v>
      </c>
      <c r="CA927" s="2" t="s">
        <v>4389</v>
      </c>
      <c r="CB927" s="2" t="s">
        <v>4394</v>
      </c>
      <c r="CC927" s="2" t="s">
        <v>244</v>
      </c>
      <c r="CD927" s="2" t="s">
        <v>231</v>
      </c>
      <c r="CE927" s="4">
        <v>3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>
        <v>396</v>
      </c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>
        <v>710</v>
      </c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>
        <v>355</v>
      </c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</row>
    <row r="928">
      <c r="A928" s="2" t="s">
        <v>4656</v>
      </c>
      <c r="B928" s="2" t="s">
        <v>287</v>
      </c>
      <c r="C928" s="2" t="s">
        <v>965</v>
      </c>
      <c r="D928" s="2" t="s">
        <v>289</v>
      </c>
      <c r="E928" s="2" t="s">
        <v>290</v>
      </c>
      <c r="F928" s="2" t="s">
        <v>4368</v>
      </c>
      <c r="G928" s="2" t="s">
        <v>4368</v>
      </c>
      <c r="H928" s="2" t="s">
        <v>4368</v>
      </c>
      <c r="I928" s="2" t="s">
        <v>4369</v>
      </c>
      <c r="J928" s="2" t="s">
        <v>268</v>
      </c>
      <c r="K928" s="2" t="s">
        <v>4653</v>
      </c>
      <c r="L928" s="3">
        <v>16.16</v>
      </c>
      <c r="M928" s="3">
        <v>16.97</v>
      </c>
      <c r="N928" s="3">
        <v>34.99</v>
      </c>
      <c r="O928" s="2" t="s">
        <v>243</v>
      </c>
      <c r="P928" s="2" t="s">
        <v>871</v>
      </c>
      <c r="Q928" s="2" t="s">
        <v>237</v>
      </c>
      <c r="R928" s="2" t="s">
        <v>231</v>
      </c>
      <c r="S928" s="2" t="s">
        <v>4654</v>
      </c>
      <c r="T928" s="2" t="s">
        <v>4134</v>
      </c>
      <c r="U928" s="2" t="s">
        <v>231</v>
      </c>
      <c r="V928" s="2" t="s">
        <v>4046</v>
      </c>
      <c r="W928" s="2" t="s">
        <v>273</v>
      </c>
      <c r="X928" s="2" t="s">
        <v>231</v>
      </c>
      <c r="Y928" s="2" t="s">
        <v>4657</v>
      </c>
      <c r="Z928" s="4"/>
      <c r="AA928" s="4">
        <f>=ROUNDDOWN({0},0)</f>
      </c>
      <c r="AB928" s="5">
        <v>43</v>
      </c>
      <c r="AC928" s="2" t="s">
        <v>4135</v>
      </c>
      <c r="AD928" s="4">
        <v>415</v>
      </c>
      <c r="AE928" s="4">
        <v>1587</v>
      </c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231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231</v>
      </c>
      <c r="AW928" s="8" t="s">
        <v>231</v>
      </c>
      <c r="AX928" s="4" t="s">
        <v>231</v>
      </c>
      <c r="AY928" s="8" t="s">
        <v>231</v>
      </c>
      <c r="AZ928" s="7" t="s">
        <v>231</v>
      </c>
      <c r="BA928" s="7" t="s">
        <v>231</v>
      </c>
      <c r="BB928" s="7"/>
      <c r="BC928" s="4" t="s">
        <v>231</v>
      </c>
      <c r="BD928" s="8" t="s">
        <v>231</v>
      </c>
      <c r="BE928" s="4" t="s">
        <v>231</v>
      </c>
      <c r="BF928" s="8" t="s">
        <v>231</v>
      </c>
      <c r="BG928" s="7" t="s">
        <v>231</v>
      </c>
      <c r="BH928" s="7" t="s">
        <v>231</v>
      </c>
      <c r="BI928" s="7"/>
      <c r="BJ928" s="4"/>
      <c r="BK928" s="8"/>
      <c r="BL928" s="2" t="s">
        <v>231</v>
      </c>
      <c r="BM928" s="7"/>
      <c r="BN928" s="7"/>
      <c r="BO928" s="4"/>
      <c r="BP928" s="8"/>
      <c r="BQ928" s="4"/>
      <c r="BR928" s="8"/>
      <c r="BS928" s="7"/>
      <c r="BT928" s="7"/>
      <c r="BU928" s="2" t="s">
        <v>4658</v>
      </c>
      <c r="BV928" s="2" t="s">
        <v>231</v>
      </c>
      <c r="BW928" s="2" t="s">
        <v>231</v>
      </c>
      <c r="BX928" s="2" t="s">
        <v>231</v>
      </c>
      <c r="BY928" s="2" t="s">
        <v>277</v>
      </c>
      <c r="BZ928" s="2" t="s">
        <v>243</v>
      </c>
      <c r="CA928" s="2" t="s">
        <v>4389</v>
      </c>
      <c r="CB928" s="2" t="s">
        <v>4216</v>
      </c>
      <c r="CC928" s="2" t="s">
        <v>244</v>
      </c>
      <c r="CD928" s="2" t="s">
        <v>231</v>
      </c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>
        <v>415</v>
      </c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>
        <v>801</v>
      </c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>
        <v>371</v>
      </c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</row>
    <row r="929">
      <c r="A929" s="2" t="s">
        <v>4659</v>
      </c>
      <c r="B929" s="2" t="s">
        <v>287</v>
      </c>
      <c r="C929" s="2" t="s">
        <v>965</v>
      </c>
      <c r="D929" s="2" t="s">
        <v>289</v>
      </c>
      <c r="E929" s="2" t="s">
        <v>290</v>
      </c>
      <c r="F929" s="2" t="s">
        <v>4368</v>
      </c>
      <c r="G929" s="2" t="s">
        <v>4368</v>
      </c>
      <c r="H929" s="2" t="s">
        <v>4368</v>
      </c>
      <c r="I929" s="2" t="s">
        <v>4369</v>
      </c>
      <c r="J929" s="2" t="s">
        <v>281</v>
      </c>
      <c r="K929" s="2" t="s">
        <v>4653</v>
      </c>
      <c r="L929" s="3">
        <v>19.57</v>
      </c>
      <c r="M929" s="3">
        <v>20.55</v>
      </c>
      <c r="N929" s="3">
        <v>42.99</v>
      </c>
      <c r="O929" s="2" t="s">
        <v>243</v>
      </c>
      <c r="P929" s="2" t="s">
        <v>1281</v>
      </c>
      <c r="Q929" s="2" t="s">
        <v>237</v>
      </c>
      <c r="R929" s="2" t="s">
        <v>231</v>
      </c>
      <c r="S929" s="2" t="s">
        <v>4654</v>
      </c>
      <c r="T929" s="2" t="s">
        <v>4134</v>
      </c>
      <c r="U929" s="2" t="s">
        <v>231</v>
      </c>
      <c r="V929" s="2" t="s">
        <v>4046</v>
      </c>
      <c r="W929" s="2" t="s">
        <v>273</v>
      </c>
      <c r="X929" s="2" t="s">
        <v>231</v>
      </c>
      <c r="Y929" s="2" t="s">
        <v>2848</v>
      </c>
      <c r="Z929" s="4">
        <v>3</v>
      </c>
      <c r="AA929" s="4">
        <f>=ROUNDDOWN(0.06,0)</f>
      </c>
      <c r="AB929" s="5">
        <v>50</v>
      </c>
      <c r="AC929" s="2" t="s">
        <v>4135</v>
      </c>
      <c r="AD929" s="4">
        <v>471</v>
      </c>
      <c r="AE929" s="4">
        <v>1802</v>
      </c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231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231</v>
      </c>
      <c r="AW929" s="8" t="s">
        <v>231</v>
      </c>
      <c r="AX929" s="4" t="s">
        <v>231</v>
      </c>
      <c r="AY929" s="8" t="s">
        <v>231</v>
      </c>
      <c r="AZ929" s="7" t="s">
        <v>231</v>
      </c>
      <c r="BA929" s="7" t="s">
        <v>231</v>
      </c>
      <c r="BB929" s="7"/>
      <c r="BC929" s="4" t="s">
        <v>231</v>
      </c>
      <c r="BD929" s="8" t="s">
        <v>231</v>
      </c>
      <c r="BE929" s="4" t="s">
        <v>231</v>
      </c>
      <c r="BF929" s="8" t="s">
        <v>231</v>
      </c>
      <c r="BG929" s="7" t="s">
        <v>231</v>
      </c>
      <c r="BH929" s="7" t="s">
        <v>231</v>
      </c>
      <c r="BI929" s="7"/>
      <c r="BJ929" s="4"/>
      <c r="BK929" s="8"/>
      <c r="BL929" s="2" t="s">
        <v>231</v>
      </c>
      <c r="BM929" s="7"/>
      <c r="BN929" s="7"/>
      <c r="BO929" s="4"/>
      <c r="BP929" s="8"/>
      <c r="BQ929" s="4"/>
      <c r="BR929" s="8"/>
      <c r="BS929" s="7"/>
      <c r="BT929" s="7"/>
      <c r="BU929" s="2" t="s">
        <v>4660</v>
      </c>
      <c r="BV929" s="2" t="s">
        <v>231</v>
      </c>
      <c r="BW929" s="2" t="s">
        <v>231</v>
      </c>
      <c r="BX929" s="2" t="s">
        <v>231</v>
      </c>
      <c r="BY929" s="2" t="s">
        <v>277</v>
      </c>
      <c r="BZ929" s="2" t="s">
        <v>243</v>
      </c>
      <c r="CA929" s="2" t="s">
        <v>4389</v>
      </c>
      <c r="CB929" s="2" t="s">
        <v>4594</v>
      </c>
      <c r="CC929" s="2" t="s">
        <v>244</v>
      </c>
      <c r="CD929" s="2" t="s">
        <v>231</v>
      </c>
      <c r="CE929" s="4">
        <v>3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>
        <v>471</v>
      </c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>
        <v>911</v>
      </c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>
        <v>420</v>
      </c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</row>
    <row r="930">
      <c r="A930" s="2" t="s">
        <v>4661</v>
      </c>
      <c r="B930" s="2" t="s">
        <v>287</v>
      </c>
      <c r="C930" s="2" t="s">
        <v>965</v>
      </c>
      <c r="D930" s="2" t="s">
        <v>289</v>
      </c>
      <c r="E930" s="2" t="s">
        <v>290</v>
      </c>
      <c r="F930" s="2" t="s">
        <v>4368</v>
      </c>
      <c r="G930" s="2" t="s">
        <v>4368</v>
      </c>
      <c r="H930" s="2" t="s">
        <v>4368</v>
      </c>
      <c r="I930" s="2" t="s">
        <v>4369</v>
      </c>
      <c r="J930" s="2" t="s">
        <v>293</v>
      </c>
      <c r="K930" s="2" t="s">
        <v>4653</v>
      </c>
      <c r="L930" s="3">
        <v>22.21</v>
      </c>
      <c r="M930" s="3">
        <v>23.32</v>
      </c>
      <c r="N930" s="3">
        <v>47.99</v>
      </c>
      <c r="O930" s="2" t="s">
        <v>243</v>
      </c>
      <c r="P930" s="2" t="s">
        <v>4057</v>
      </c>
      <c r="Q930" s="2" t="s">
        <v>237</v>
      </c>
      <c r="R930" s="2" t="s">
        <v>231</v>
      </c>
      <c r="S930" s="2" t="s">
        <v>4654</v>
      </c>
      <c r="T930" s="2" t="s">
        <v>4134</v>
      </c>
      <c r="U930" s="2" t="s">
        <v>231</v>
      </c>
      <c r="V930" s="2" t="s">
        <v>4046</v>
      </c>
      <c r="W930" s="2" t="s">
        <v>273</v>
      </c>
      <c r="X930" s="2" t="s">
        <v>231</v>
      </c>
      <c r="Y930" s="2" t="s">
        <v>4657</v>
      </c>
      <c r="Z930" s="4"/>
      <c r="AA930" s="4">
        <f>=ROUNDDOWN({0},0)</f>
      </c>
      <c r="AB930" s="5">
        <v>125</v>
      </c>
      <c r="AC930" s="2" t="s">
        <v>4135</v>
      </c>
      <c r="AD930" s="4">
        <v>1078</v>
      </c>
      <c r="AE930" s="4">
        <v>4412</v>
      </c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231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231</v>
      </c>
      <c r="AW930" s="8" t="s">
        <v>231</v>
      </c>
      <c r="AX930" s="4" t="s">
        <v>231</v>
      </c>
      <c r="AY930" s="8" t="s">
        <v>231</v>
      </c>
      <c r="AZ930" s="7" t="s">
        <v>231</v>
      </c>
      <c r="BA930" s="7" t="s">
        <v>231</v>
      </c>
      <c r="BB930" s="7"/>
      <c r="BC930" s="4" t="s">
        <v>231</v>
      </c>
      <c r="BD930" s="8" t="s">
        <v>231</v>
      </c>
      <c r="BE930" s="4" t="s">
        <v>231</v>
      </c>
      <c r="BF930" s="8" t="s">
        <v>231</v>
      </c>
      <c r="BG930" s="7" t="s">
        <v>231</v>
      </c>
      <c r="BH930" s="7" t="s">
        <v>231</v>
      </c>
      <c r="BI930" s="7"/>
      <c r="BJ930" s="4"/>
      <c r="BK930" s="8"/>
      <c r="BL930" s="2" t="s">
        <v>231</v>
      </c>
      <c r="BM930" s="7"/>
      <c r="BN930" s="7"/>
      <c r="BO930" s="4"/>
      <c r="BP930" s="8"/>
      <c r="BQ930" s="4"/>
      <c r="BR930" s="8"/>
      <c r="BS930" s="7"/>
      <c r="BT930" s="7"/>
      <c r="BU930" s="2" t="s">
        <v>4662</v>
      </c>
      <c r="BV930" s="2" t="s">
        <v>231</v>
      </c>
      <c r="BW930" s="2" t="s">
        <v>231</v>
      </c>
      <c r="BX930" s="2" t="s">
        <v>231</v>
      </c>
      <c r="BY930" s="2" t="s">
        <v>277</v>
      </c>
      <c r="BZ930" s="2" t="s">
        <v>243</v>
      </c>
      <c r="CA930" s="2" t="s">
        <v>4389</v>
      </c>
      <c r="CB930" s="2" t="s">
        <v>4161</v>
      </c>
      <c r="CC930" s="2" t="s">
        <v>244</v>
      </c>
      <c r="CD930" s="2" t="s">
        <v>231</v>
      </c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>
        <v>1078</v>
      </c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>
        <v>2300</v>
      </c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>
        <v>1034</v>
      </c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</row>
    <row r="931">
      <c r="A931" s="2" t="s">
        <v>4663</v>
      </c>
      <c r="B931" s="2" t="s">
        <v>287</v>
      </c>
      <c r="C931" s="2" t="s">
        <v>965</v>
      </c>
      <c r="D931" s="2" t="s">
        <v>289</v>
      </c>
      <c r="E931" s="2" t="s">
        <v>290</v>
      </c>
      <c r="F931" s="2" t="s">
        <v>4368</v>
      </c>
      <c r="G931" s="2" t="s">
        <v>4368</v>
      </c>
      <c r="H931" s="2" t="s">
        <v>4368</v>
      </c>
      <c r="I931" s="2" t="s">
        <v>4369</v>
      </c>
      <c r="J931" s="2" t="s">
        <v>318</v>
      </c>
      <c r="K931" s="2" t="s">
        <v>4664</v>
      </c>
      <c r="L931" s="3">
        <v>14.89</v>
      </c>
      <c r="M931" s="3">
        <v>15.63</v>
      </c>
      <c r="N931" s="3">
        <v>31.99</v>
      </c>
      <c r="O931" s="2" t="s">
        <v>243</v>
      </c>
      <c r="P931" s="2" t="s">
        <v>1281</v>
      </c>
      <c r="Q931" s="2" t="s">
        <v>237</v>
      </c>
      <c r="R931" s="2" t="s">
        <v>231</v>
      </c>
      <c r="S931" s="2" t="s">
        <v>4665</v>
      </c>
      <c r="T931" s="2" t="s">
        <v>4134</v>
      </c>
      <c r="U931" s="2" t="s">
        <v>835</v>
      </c>
      <c r="V931" s="2" t="s">
        <v>4046</v>
      </c>
      <c r="W931" s="2" t="s">
        <v>273</v>
      </c>
      <c r="X931" s="2" t="s">
        <v>897</v>
      </c>
      <c r="Y931" s="2" t="s">
        <v>4183</v>
      </c>
      <c r="Z931" s="4"/>
      <c r="AA931" s="4">
        <f>=ROUNDDOWN({0},0)</f>
      </c>
      <c r="AB931" s="5">
        <v>39</v>
      </c>
      <c r="AC931" s="2" t="s">
        <v>876</v>
      </c>
      <c r="AD931" s="4">
        <v>380</v>
      </c>
      <c r="AE931" s="4">
        <v>1419</v>
      </c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231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231</v>
      </c>
      <c r="AW931" s="8" t="s">
        <v>231</v>
      </c>
      <c r="AX931" s="4" t="s">
        <v>231</v>
      </c>
      <c r="AY931" s="8" t="s">
        <v>231</v>
      </c>
      <c r="AZ931" s="7" t="s">
        <v>231</v>
      </c>
      <c r="BA931" s="7" t="s">
        <v>231</v>
      </c>
      <c r="BB931" s="7"/>
      <c r="BC931" s="4" t="s">
        <v>231</v>
      </c>
      <c r="BD931" s="8" t="s">
        <v>231</v>
      </c>
      <c r="BE931" s="4" t="s">
        <v>231</v>
      </c>
      <c r="BF931" s="8" t="s">
        <v>231</v>
      </c>
      <c r="BG931" s="7" t="s">
        <v>231</v>
      </c>
      <c r="BH931" s="7" t="s">
        <v>231</v>
      </c>
      <c r="BI931" s="7"/>
      <c r="BJ931" s="4"/>
      <c r="BK931" s="8"/>
      <c r="BL931" s="2" t="s">
        <v>393</v>
      </c>
      <c r="BM931" s="7"/>
      <c r="BN931" s="7"/>
      <c r="BO931" s="4"/>
      <c r="BP931" s="8"/>
      <c r="BQ931" s="4"/>
      <c r="BR931" s="8"/>
      <c r="BS931" s="7"/>
      <c r="BT931" s="7"/>
      <c r="BU931" s="2" t="s">
        <v>4666</v>
      </c>
      <c r="BV931" s="2" t="s">
        <v>231</v>
      </c>
      <c r="BW931" s="2" t="s">
        <v>231</v>
      </c>
      <c r="BX931" s="2" t="s">
        <v>231</v>
      </c>
      <c r="BY931" s="2" t="s">
        <v>277</v>
      </c>
      <c r="BZ931" s="2" t="s">
        <v>243</v>
      </c>
      <c r="CA931" s="2" t="s">
        <v>2430</v>
      </c>
      <c r="CB931" s="2" t="s">
        <v>4667</v>
      </c>
      <c r="CC931" s="2" t="s">
        <v>244</v>
      </c>
      <c r="CD931" s="2" t="s">
        <v>231</v>
      </c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>
        <v>380</v>
      </c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>
        <v>706</v>
      </c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>
        <v>333</v>
      </c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</row>
    <row r="932">
      <c r="A932" s="2" t="s">
        <v>4668</v>
      </c>
      <c r="B932" s="2" t="s">
        <v>287</v>
      </c>
      <c r="C932" s="2" t="s">
        <v>965</v>
      </c>
      <c r="D932" s="2" t="s">
        <v>289</v>
      </c>
      <c r="E932" s="2" t="s">
        <v>290</v>
      </c>
      <c r="F932" s="2" t="s">
        <v>4368</v>
      </c>
      <c r="G932" s="2" t="s">
        <v>4368</v>
      </c>
      <c r="H932" s="2" t="s">
        <v>4368</v>
      </c>
      <c r="I932" s="2" t="s">
        <v>4369</v>
      </c>
      <c r="J932" s="2" t="s">
        <v>281</v>
      </c>
      <c r="K932" s="2" t="s">
        <v>4664</v>
      </c>
      <c r="L932" s="3">
        <v>19.57</v>
      </c>
      <c r="M932" s="3">
        <v>20.55</v>
      </c>
      <c r="N932" s="3">
        <v>42.99</v>
      </c>
      <c r="O932" s="2" t="s">
        <v>243</v>
      </c>
      <c r="P932" s="2" t="s">
        <v>1332</v>
      </c>
      <c r="Q932" s="2" t="s">
        <v>237</v>
      </c>
      <c r="R932" s="2" t="s">
        <v>231</v>
      </c>
      <c r="S932" s="2" t="s">
        <v>4665</v>
      </c>
      <c r="T932" s="2" t="s">
        <v>4134</v>
      </c>
      <c r="U932" s="2" t="s">
        <v>298</v>
      </c>
      <c r="V932" s="2" t="s">
        <v>4046</v>
      </c>
      <c r="W932" s="2" t="s">
        <v>273</v>
      </c>
      <c r="X932" s="2" t="s">
        <v>897</v>
      </c>
      <c r="Y932" s="2" t="s">
        <v>4183</v>
      </c>
      <c r="Z932" s="4">
        <v>2</v>
      </c>
      <c r="AA932" s="4">
        <f>=ROUNDDOWN(0.0512820512820513,0)</f>
      </c>
      <c r="AB932" s="5">
        <v>39</v>
      </c>
      <c r="AC932" s="2" t="s">
        <v>876</v>
      </c>
      <c r="AD932" s="4">
        <v>370</v>
      </c>
      <c r="AE932" s="4">
        <v>1450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231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231</v>
      </c>
      <c r="AW932" s="8" t="s">
        <v>231</v>
      </c>
      <c r="AX932" s="4" t="s">
        <v>231</v>
      </c>
      <c r="AY932" s="8" t="s">
        <v>231</v>
      </c>
      <c r="AZ932" s="7" t="s">
        <v>231</v>
      </c>
      <c r="BA932" s="7" t="s">
        <v>231</v>
      </c>
      <c r="BB932" s="7"/>
      <c r="BC932" s="4" t="s">
        <v>231</v>
      </c>
      <c r="BD932" s="8" t="s">
        <v>231</v>
      </c>
      <c r="BE932" s="4" t="s">
        <v>231</v>
      </c>
      <c r="BF932" s="8" t="s">
        <v>231</v>
      </c>
      <c r="BG932" s="7" t="s">
        <v>231</v>
      </c>
      <c r="BH932" s="7" t="s">
        <v>231</v>
      </c>
      <c r="BI932" s="7"/>
      <c r="BJ932" s="4"/>
      <c r="BK932" s="8"/>
      <c r="BL932" s="2" t="s">
        <v>231</v>
      </c>
      <c r="BM932" s="7"/>
      <c r="BN932" s="7"/>
      <c r="BO932" s="4"/>
      <c r="BP932" s="8"/>
      <c r="BQ932" s="4"/>
      <c r="BR932" s="8"/>
      <c r="BS932" s="7"/>
      <c r="BT932" s="7"/>
      <c r="BU932" s="2" t="s">
        <v>4669</v>
      </c>
      <c r="BV932" s="2" t="s">
        <v>231</v>
      </c>
      <c r="BW932" s="2" t="s">
        <v>231</v>
      </c>
      <c r="BX932" s="2" t="s">
        <v>231</v>
      </c>
      <c r="BY932" s="2" t="s">
        <v>277</v>
      </c>
      <c r="BZ932" s="2" t="s">
        <v>243</v>
      </c>
      <c r="CA932" s="2" t="s">
        <v>2430</v>
      </c>
      <c r="CB932" s="2" t="s">
        <v>4186</v>
      </c>
      <c r="CC932" s="2" t="s">
        <v>244</v>
      </c>
      <c r="CD932" s="2" t="s">
        <v>231</v>
      </c>
      <c r="CE932" s="4">
        <v>2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>
        <v>370</v>
      </c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>
        <v>759</v>
      </c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>
        <v>321</v>
      </c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</row>
    <row r="933">
      <c r="A933" s="2" t="s">
        <v>4670</v>
      </c>
      <c r="B933" s="2" t="s">
        <v>287</v>
      </c>
      <c r="C933" s="2" t="s">
        <v>965</v>
      </c>
      <c r="D933" s="2" t="s">
        <v>289</v>
      </c>
      <c r="E933" s="2" t="s">
        <v>290</v>
      </c>
      <c r="F933" s="2" t="s">
        <v>4368</v>
      </c>
      <c r="G933" s="2" t="s">
        <v>4368</v>
      </c>
      <c r="H933" s="2" t="s">
        <v>4368</v>
      </c>
      <c r="I933" s="2" t="s">
        <v>4369</v>
      </c>
      <c r="J933" s="2" t="s">
        <v>293</v>
      </c>
      <c r="K933" s="2" t="s">
        <v>4664</v>
      </c>
      <c r="L933" s="3">
        <v>22.21</v>
      </c>
      <c r="M933" s="3">
        <v>23.32</v>
      </c>
      <c r="N933" s="3">
        <v>47.99</v>
      </c>
      <c r="O933" s="2" t="s">
        <v>243</v>
      </c>
      <c r="P933" s="2" t="s">
        <v>1281</v>
      </c>
      <c r="Q933" s="2" t="s">
        <v>237</v>
      </c>
      <c r="R933" s="2" t="s">
        <v>231</v>
      </c>
      <c r="S933" s="2" t="s">
        <v>4665</v>
      </c>
      <c r="T933" s="2" t="s">
        <v>4134</v>
      </c>
      <c r="U933" s="2" t="s">
        <v>298</v>
      </c>
      <c r="V933" s="2" t="s">
        <v>4046</v>
      </c>
      <c r="W933" s="2" t="s">
        <v>273</v>
      </c>
      <c r="X933" s="2" t="s">
        <v>897</v>
      </c>
      <c r="Y933" s="2" t="s">
        <v>4183</v>
      </c>
      <c r="Z933" s="4">
        <v>3</v>
      </c>
      <c r="AA933" s="4">
        <f>=ROUNDDOWN(0.103448275862069,0)</f>
      </c>
      <c r="AB933" s="5">
        <v>29</v>
      </c>
      <c r="AC933" s="2" t="s">
        <v>876</v>
      </c>
      <c r="AD933" s="4">
        <v>263</v>
      </c>
      <c r="AE933" s="4">
        <v>1056</v>
      </c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231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231</v>
      </c>
      <c r="AW933" s="8" t="s">
        <v>231</v>
      </c>
      <c r="AX933" s="4" t="s">
        <v>231</v>
      </c>
      <c r="AY933" s="8" t="s">
        <v>231</v>
      </c>
      <c r="AZ933" s="7" t="s">
        <v>231</v>
      </c>
      <c r="BA933" s="7" t="s">
        <v>231</v>
      </c>
      <c r="BB933" s="7"/>
      <c r="BC933" s="4" t="s">
        <v>231</v>
      </c>
      <c r="BD933" s="8" t="s">
        <v>231</v>
      </c>
      <c r="BE933" s="4" t="s">
        <v>231</v>
      </c>
      <c r="BF933" s="8" t="s">
        <v>231</v>
      </c>
      <c r="BG933" s="7" t="s">
        <v>231</v>
      </c>
      <c r="BH933" s="7" t="s">
        <v>231</v>
      </c>
      <c r="BI933" s="7"/>
      <c r="BJ933" s="4"/>
      <c r="BK933" s="8"/>
      <c r="BL933" s="2" t="s">
        <v>4671</v>
      </c>
      <c r="BM933" s="7"/>
      <c r="BN933" s="7"/>
      <c r="BO933" s="4"/>
      <c r="BP933" s="8"/>
      <c r="BQ933" s="4"/>
      <c r="BR933" s="8"/>
      <c r="BS933" s="7"/>
      <c r="BT933" s="7"/>
      <c r="BU933" s="2" t="s">
        <v>4672</v>
      </c>
      <c r="BV933" s="2" t="s">
        <v>231</v>
      </c>
      <c r="BW933" s="2" t="s">
        <v>231</v>
      </c>
      <c r="BX933" s="2" t="s">
        <v>231</v>
      </c>
      <c r="BY933" s="2" t="s">
        <v>277</v>
      </c>
      <c r="BZ933" s="2" t="s">
        <v>243</v>
      </c>
      <c r="CA933" s="2" t="s">
        <v>2430</v>
      </c>
      <c r="CB933" s="2" t="s">
        <v>4384</v>
      </c>
      <c r="CC933" s="2" t="s">
        <v>244</v>
      </c>
      <c r="CD933" s="2" t="s">
        <v>231</v>
      </c>
      <c r="CE933" s="4">
        <v>3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>
        <v>263</v>
      </c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>
        <v>538</v>
      </c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>
        <v>255</v>
      </c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</row>
    <row r="934">
      <c r="A934" s="2" t="s">
        <v>4673</v>
      </c>
      <c r="B934" s="2" t="s">
        <v>287</v>
      </c>
      <c r="C934" s="2" t="s">
        <v>965</v>
      </c>
      <c r="D934" s="2" t="s">
        <v>289</v>
      </c>
      <c r="E934" s="2" t="s">
        <v>290</v>
      </c>
      <c r="F934" s="2" t="s">
        <v>4368</v>
      </c>
      <c r="G934" s="2" t="s">
        <v>4368</v>
      </c>
      <c r="H934" s="2" t="s">
        <v>4368</v>
      </c>
      <c r="I934" s="2" t="s">
        <v>4369</v>
      </c>
      <c r="J934" s="2" t="s">
        <v>302</v>
      </c>
      <c r="K934" s="2" t="s">
        <v>4664</v>
      </c>
      <c r="L934" s="3">
        <v>27.39</v>
      </c>
      <c r="M934" s="3">
        <v>28.76</v>
      </c>
      <c r="N934" s="3">
        <v>62.99</v>
      </c>
      <c r="O934" s="2" t="s">
        <v>243</v>
      </c>
      <c r="P934" s="2" t="s">
        <v>270</v>
      </c>
      <c r="Q934" s="2" t="s">
        <v>237</v>
      </c>
      <c r="R934" s="2" t="s">
        <v>231</v>
      </c>
      <c r="S934" s="2" t="s">
        <v>4665</v>
      </c>
      <c r="T934" s="2" t="s">
        <v>4134</v>
      </c>
      <c r="U934" s="2" t="s">
        <v>298</v>
      </c>
      <c r="V934" s="2" t="s">
        <v>4046</v>
      </c>
      <c r="W934" s="2" t="s">
        <v>273</v>
      </c>
      <c r="X934" s="2" t="s">
        <v>897</v>
      </c>
      <c r="Y934" s="2" t="s">
        <v>4183</v>
      </c>
      <c r="Z934" s="4">
        <v>122</v>
      </c>
      <c r="AA934" s="4">
        <f>=ROUNDDOWN(9.38461538461538,0)</f>
      </c>
      <c r="AB934" s="5">
        <v>13</v>
      </c>
      <c r="AC934" s="2" t="s">
        <v>876</v>
      </c>
      <c r="AD934" s="4">
        <v>114</v>
      </c>
      <c r="AE934" s="4">
        <v>474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231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231</v>
      </c>
      <c r="AW934" s="8" t="s">
        <v>231</v>
      </c>
      <c r="AX934" s="4" t="s">
        <v>231</v>
      </c>
      <c r="AY934" s="8" t="s">
        <v>231</v>
      </c>
      <c r="AZ934" s="7" t="s">
        <v>231</v>
      </c>
      <c r="BA934" s="7" t="s">
        <v>231</v>
      </c>
      <c r="BB934" s="7"/>
      <c r="BC934" s="4" t="s">
        <v>231</v>
      </c>
      <c r="BD934" s="8" t="s">
        <v>231</v>
      </c>
      <c r="BE934" s="4" t="s">
        <v>231</v>
      </c>
      <c r="BF934" s="8" t="s">
        <v>231</v>
      </c>
      <c r="BG934" s="7" t="s">
        <v>231</v>
      </c>
      <c r="BH934" s="7" t="s">
        <v>231</v>
      </c>
      <c r="BI934" s="7"/>
      <c r="BJ934" s="4">
        <v>4</v>
      </c>
      <c r="BK934" s="8">
        <v>128.79</v>
      </c>
      <c r="BL934" s="2" t="s">
        <v>4674</v>
      </c>
      <c r="BM934" s="7"/>
      <c r="BN934" s="7"/>
      <c r="BO934" s="4"/>
      <c r="BP934" s="8"/>
      <c r="BQ934" s="4"/>
      <c r="BR934" s="8"/>
      <c r="BS934" s="7"/>
      <c r="BT934" s="7"/>
      <c r="BU934" s="2" t="s">
        <v>4675</v>
      </c>
      <c r="BV934" s="2" t="s">
        <v>231</v>
      </c>
      <c r="BW934" s="2" t="s">
        <v>231</v>
      </c>
      <c r="BX934" s="2" t="s">
        <v>231</v>
      </c>
      <c r="BY934" s="2" t="s">
        <v>277</v>
      </c>
      <c r="BZ934" s="2" t="s">
        <v>243</v>
      </c>
      <c r="CA934" s="2" t="s">
        <v>2430</v>
      </c>
      <c r="CB934" s="2" t="s">
        <v>4676</v>
      </c>
      <c r="CC934" s="2" t="s">
        <v>244</v>
      </c>
      <c r="CD934" s="2" t="s">
        <v>231</v>
      </c>
      <c r="CE934" s="4">
        <v>122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>
        <v>114</v>
      </c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>
        <v>244</v>
      </c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>
        <v>116</v>
      </c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</row>
    <row r="935">
      <c r="A935" s="2" t="s">
        <v>4677</v>
      </c>
      <c r="B935" s="2" t="s">
        <v>287</v>
      </c>
      <c r="C935" s="2" t="s">
        <v>965</v>
      </c>
      <c r="D935" s="2" t="s">
        <v>289</v>
      </c>
      <c r="E935" s="2" t="s">
        <v>290</v>
      </c>
      <c r="F935" s="2" t="s">
        <v>4368</v>
      </c>
      <c r="G935" s="2" t="s">
        <v>4368</v>
      </c>
      <c r="H935" s="2" t="s">
        <v>4368</v>
      </c>
      <c r="I935" s="2" t="s">
        <v>4369</v>
      </c>
      <c r="J935" s="2" t="s">
        <v>318</v>
      </c>
      <c r="K935" s="2" t="s">
        <v>4678</v>
      </c>
      <c r="L935" s="3">
        <v>14.89</v>
      </c>
      <c r="M935" s="3">
        <v>15.63</v>
      </c>
      <c r="N935" s="3">
        <v>31.99</v>
      </c>
      <c r="O935" s="2" t="s">
        <v>243</v>
      </c>
      <c r="P935" s="2" t="s">
        <v>1281</v>
      </c>
      <c r="Q935" s="2" t="s">
        <v>237</v>
      </c>
      <c r="R935" s="2" t="s">
        <v>231</v>
      </c>
      <c r="S935" s="2" t="s">
        <v>4679</v>
      </c>
      <c r="T935" s="2" t="s">
        <v>4134</v>
      </c>
      <c r="U935" s="2" t="s">
        <v>231</v>
      </c>
      <c r="V935" s="2" t="s">
        <v>4046</v>
      </c>
      <c r="W935" s="2" t="s">
        <v>273</v>
      </c>
      <c r="X935" s="2" t="s">
        <v>231</v>
      </c>
      <c r="Y935" s="2" t="s">
        <v>2848</v>
      </c>
      <c r="Z935" s="4"/>
      <c r="AA935" s="4">
        <f>=ROUNDDOWN({0},0)</f>
      </c>
      <c r="AB935" s="5">
        <v>36</v>
      </c>
      <c r="AC935" s="2" t="s">
        <v>4212</v>
      </c>
      <c r="AD935" s="4">
        <v>323</v>
      </c>
      <c r="AE935" s="4">
        <v>1314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231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231</v>
      </c>
      <c r="AW935" s="8" t="s">
        <v>231</v>
      </c>
      <c r="AX935" s="4" t="s">
        <v>231</v>
      </c>
      <c r="AY935" s="8" t="s">
        <v>231</v>
      </c>
      <c r="AZ935" s="7" t="s">
        <v>231</v>
      </c>
      <c r="BA935" s="7" t="s">
        <v>231</v>
      </c>
      <c r="BB935" s="7"/>
      <c r="BC935" s="4" t="s">
        <v>231</v>
      </c>
      <c r="BD935" s="8" t="s">
        <v>231</v>
      </c>
      <c r="BE935" s="4" t="s">
        <v>231</v>
      </c>
      <c r="BF935" s="8" t="s">
        <v>231</v>
      </c>
      <c r="BG935" s="7" t="s">
        <v>231</v>
      </c>
      <c r="BH935" s="7" t="s">
        <v>231</v>
      </c>
      <c r="BI935" s="7"/>
      <c r="BJ935" s="4"/>
      <c r="BK935" s="8"/>
      <c r="BL935" s="2" t="s">
        <v>231</v>
      </c>
      <c r="BM935" s="7"/>
      <c r="BN935" s="7"/>
      <c r="BO935" s="4"/>
      <c r="BP935" s="8"/>
      <c r="BQ935" s="4"/>
      <c r="BR935" s="8"/>
      <c r="BS935" s="7"/>
      <c r="BT935" s="7"/>
      <c r="BU935" s="2" t="s">
        <v>4680</v>
      </c>
      <c r="BV935" s="2" t="s">
        <v>231</v>
      </c>
      <c r="BW935" s="2" t="s">
        <v>231</v>
      </c>
      <c r="BX935" s="2" t="s">
        <v>231</v>
      </c>
      <c r="BY935" s="2" t="s">
        <v>277</v>
      </c>
      <c r="BZ935" s="2" t="s">
        <v>243</v>
      </c>
      <c r="CA935" s="2" t="s">
        <v>4389</v>
      </c>
      <c r="CB935" s="2" t="s">
        <v>771</v>
      </c>
      <c r="CC935" s="2" t="s">
        <v>244</v>
      </c>
      <c r="CD935" s="2" t="s">
        <v>231</v>
      </c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>
        <v>323</v>
      </c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>
        <v>690</v>
      </c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>
        <v>301</v>
      </c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</row>
    <row r="936">
      <c r="A936" s="2" t="s">
        <v>4681</v>
      </c>
      <c r="B936" s="2" t="s">
        <v>287</v>
      </c>
      <c r="C936" s="2" t="s">
        <v>965</v>
      </c>
      <c r="D936" s="2" t="s">
        <v>289</v>
      </c>
      <c r="E936" s="2" t="s">
        <v>290</v>
      </c>
      <c r="F936" s="2" t="s">
        <v>4368</v>
      </c>
      <c r="G936" s="2" t="s">
        <v>4368</v>
      </c>
      <c r="H936" s="2" t="s">
        <v>4368</v>
      </c>
      <c r="I936" s="2" t="s">
        <v>4369</v>
      </c>
      <c r="J936" s="2" t="s">
        <v>268</v>
      </c>
      <c r="K936" s="2" t="s">
        <v>4678</v>
      </c>
      <c r="L936" s="3">
        <v>16.16</v>
      </c>
      <c r="M936" s="3">
        <v>16.97</v>
      </c>
      <c r="N936" s="3">
        <v>34.99</v>
      </c>
      <c r="O936" s="2" t="s">
        <v>243</v>
      </c>
      <c r="P936" s="2" t="s">
        <v>270</v>
      </c>
      <c r="Q936" s="2" t="s">
        <v>237</v>
      </c>
      <c r="R936" s="2" t="s">
        <v>231</v>
      </c>
      <c r="S936" s="2" t="s">
        <v>4679</v>
      </c>
      <c r="T936" s="2" t="s">
        <v>4134</v>
      </c>
      <c r="U936" s="2" t="s">
        <v>231</v>
      </c>
      <c r="V936" s="2" t="s">
        <v>4046</v>
      </c>
      <c r="W936" s="2" t="s">
        <v>273</v>
      </c>
      <c r="X936" s="2" t="s">
        <v>231</v>
      </c>
      <c r="Y936" s="2" t="s">
        <v>2848</v>
      </c>
      <c r="Z936" s="4"/>
      <c r="AA936" s="4">
        <f>=ROUNDDOWN({0},0)</f>
      </c>
      <c r="AB936" s="5">
        <v>12</v>
      </c>
      <c r="AC936" s="2" t="s">
        <v>4212</v>
      </c>
      <c r="AD936" s="4">
        <v>121</v>
      </c>
      <c r="AE936" s="4">
        <v>439</v>
      </c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231</v>
      </c>
      <c r="AW936" s="8" t="s">
        <v>231</v>
      </c>
      <c r="AX936" s="4" t="s">
        <v>231</v>
      </c>
      <c r="AY936" s="8" t="s">
        <v>231</v>
      </c>
      <c r="AZ936" s="7" t="s">
        <v>231</v>
      </c>
      <c r="BA936" s="7" t="s">
        <v>231</v>
      </c>
      <c r="BB936" s="7"/>
      <c r="BC936" s="4" t="s">
        <v>231</v>
      </c>
      <c r="BD936" s="8" t="s">
        <v>231</v>
      </c>
      <c r="BE936" s="4" t="s">
        <v>231</v>
      </c>
      <c r="BF936" s="8" t="s">
        <v>231</v>
      </c>
      <c r="BG936" s="7" t="s">
        <v>231</v>
      </c>
      <c r="BH936" s="7" t="s">
        <v>231</v>
      </c>
      <c r="BI936" s="7"/>
      <c r="BJ936" s="4"/>
      <c r="BK936" s="8"/>
      <c r="BL936" s="2" t="s">
        <v>231</v>
      </c>
      <c r="BM936" s="7"/>
      <c r="BN936" s="7"/>
      <c r="BO936" s="4"/>
      <c r="BP936" s="8"/>
      <c r="BQ936" s="4"/>
      <c r="BR936" s="8"/>
      <c r="BS936" s="7"/>
      <c r="BT936" s="7"/>
      <c r="BU936" s="2" t="s">
        <v>4682</v>
      </c>
      <c r="BV936" s="2" t="s">
        <v>231</v>
      </c>
      <c r="BW936" s="2" t="s">
        <v>231</v>
      </c>
      <c r="BX936" s="2" t="s">
        <v>231</v>
      </c>
      <c r="BY936" s="2" t="s">
        <v>277</v>
      </c>
      <c r="BZ936" s="2" t="s">
        <v>243</v>
      </c>
      <c r="CA936" s="2" t="s">
        <v>4389</v>
      </c>
      <c r="CB936" s="2" t="s">
        <v>4683</v>
      </c>
      <c r="CC936" s="2" t="s">
        <v>244</v>
      </c>
      <c r="CD936" s="2" t="s">
        <v>231</v>
      </c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>
        <v>121</v>
      </c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>
        <v>209</v>
      </c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>
        <v>109</v>
      </c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</row>
    <row r="937">
      <c r="A937" s="2" t="s">
        <v>4684</v>
      </c>
      <c r="B937" s="2" t="s">
        <v>287</v>
      </c>
      <c r="C937" s="2" t="s">
        <v>965</v>
      </c>
      <c r="D937" s="2" t="s">
        <v>289</v>
      </c>
      <c r="E937" s="2" t="s">
        <v>290</v>
      </c>
      <c r="F937" s="2" t="s">
        <v>4368</v>
      </c>
      <c r="G937" s="2" t="s">
        <v>4368</v>
      </c>
      <c r="H937" s="2" t="s">
        <v>4368</v>
      </c>
      <c r="I937" s="2" t="s">
        <v>4369</v>
      </c>
      <c r="J937" s="2" t="s">
        <v>281</v>
      </c>
      <c r="K937" s="2" t="s">
        <v>4678</v>
      </c>
      <c r="L937" s="3">
        <v>19.57</v>
      </c>
      <c r="M937" s="3">
        <v>20.55</v>
      </c>
      <c r="N937" s="3">
        <v>42.99</v>
      </c>
      <c r="O937" s="2" t="s">
        <v>243</v>
      </c>
      <c r="P937" s="2" t="s">
        <v>270</v>
      </c>
      <c r="Q937" s="2" t="s">
        <v>237</v>
      </c>
      <c r="R937" s="2" t="s">
        <v>231</v>
      </c>
      <c r="S937" s="2" t="s">
        <v>4679</v>
      </c>
      <c r="T937" s="2" t="s">
        <v>4134</v>
      </c>
      <c r="U937" s="2" t="s">
        <v>231</v>
      </c>
      <c r="V937" s="2" t="s">
        <v>4046</v>
      </c>
      <c r="W937" s="2" t="s">
        <v>273</v>
      </c>
      <c r="X937" s="2" t="s">
        <v>231</v>
      </c>
      <c r="Y937" s="2" t="s">
        <v>2848</v>
      </c>
      <c r="Z937" s="4"/>
      <c r="AA937" s="4">
        <f>=ROUNDDOWN({0},0)</f>
      </c>
      <c r="AB937" s="5">
        <v>20</v>
      </c>
      <c r="AC937" s="2" t="s">
        <v>4212</v>
      </c>
      <c r="AD937" s="4">
        <v>192</v>
      </c>
      <c r="AE937" s="4">
        <v>743</v>
      </c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231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231</v>
      </c>
      <c r="AW937" s="8" t="s">
        <v>231</v>
      </c>
      <c r="AX937" s="4" t="s">
        <v>231</v>
      </c>
      <c r="AY937" s="8" t="s">
        <v>231</v>
      </c>
      <c r="AZ937" s="7" t="s">
        <v>231</v>
      </c>
      <c r="BA937" s="7" t="s">
        <v>231</v>
      </c>
      <c r="BB937" s="7"/>
      <c r="BC937" s="4" t="s">
        <v>231</v>
      </c>
      <c r="BD937" s="8" t="s">
        <v>231</v>
      </c>
      <c r="BE937" s="4" t="s">
        <v>231</v>
      </c>
      <c r="BF937" s="8" t="s">
        <v>231</v>
      </c>
      <c r="BG937" s="7" t="s">
        <v>231</v>
      </c>
      <c r="BH937" s="7" t="s">
        <v>231</v>
      </c>
      <c r="BI937" s="7"/>
      <c r="BJ937" s="4"/>
      <c r="BK937" s="8"/>
      <c r="BL937" s="2" t="s">
        <v>4335</v>
      </c>
      <c r="BM937" s="7"/>
      <c r="BN937" s="7"/>
      <c r="BO937" s="4"/>
      <c r="BP937" s="8"/>
      <c r="BQ937" s="4"/>
      <c r="BR937" s="8"/>
      <c r="BS937" s="7"/>
      <c r="BT937" s="7"/>
      <c r="BU937" s="2" t="s">
        <v>4685</v>
      </c>
      <c r="BV937" s="2" t="s">
        <v>231</v>
      </c>
      <c r="BW937" s="2" t="s">
        <v>231</v>
      </c>
      <c r="BX937" s="2" t="s">
        <v>231</v>
      </c>
      <c r="BY937" s="2" t="s">
        <v>277</v>
      </c>
      <c r="BZ937" s="2" t="s">
        <v>243</v>
      </c>
      <c r="CA937" s="2" t="s">
        <v>4389</v>
      </c>
      <c r="CB937" s="2" t="s">
        <v>4216</v>
      </c>
      <c r="CC937" s="2" t="s">
        <v>244</v>
      </c>
      <c r="CD937" s="2" t="s">
        <v>231</v>
      </c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>
        <v>192</v>
      </c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>
        <v>371</v>
      </c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>
        <v>180</v>
      </c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</row>
    <row r="938">
      <c r="A938" s="2" t="s">
        <v>4686</v>
      </c>
      <c r="B938" s="2" t="s">
        <v>287</v>
      </c>
      <c r="C938" s="2" t="s">
        <v>965</v>
      </c>
      <c r="D938" s="2" t="s">
        <v>289</v>
      </c>
      <c r="E938" s="2" t="s">
        <v>290</v>
      </c>
      <c r="F938" s="2" t="s">
        <v>4368</v>
      </c>
      <c r="G938" s="2" t="s">
        <v>4368</v>
      </c>
      <c r="H938" s="2" t="s">
        <v>4368</v>
      </c>
      <c r="I938" s="2" t="s">
        <v>4369</v>
      </c>
      <c r="J938" s="2" t="s">
        <v>293</v>
      </c>
      <c r="K938" s="2" t="s">
        <v>4678</v>
      </c>
      <c r="L938" s="3">
        <v>22.21</v>
      </c>
      <c r="M938" s="3">
        <v>23.32</v>
      </c>
      <c r="N938" s="3">
        <v>47.99</v>
      </c>
      <c r="O938" s="2" t="s">
        <v>243</v>
      </c>
      <c r="P938" s="2" t="s">
        <v>270</v>
      </c>
      <c r="Q938" s="2" t="s">
        <v>237</v>
      </c>
      <c r="R938" s="2" t="s">
        <v>231</v>
      </c>
      <c r="S938" s="2" t="s">
        <v>4679</v>
      </c>
      <c r="T938" s="2" t="s">
        <v>4134</v>
      </c>
      <c r="U938" s="2" t="s">
        <v>231</v>
      </c>
      <c r="V938" s="2" t="s">
        <v>4046</v>
      </c>
      <c r="W938" s="2" t="s">
        <v>273</v>
      </c>
      <c r="X938" s="2" t="s">
        <v>231</v>
      </c>
      <c r="Y938" s="2" t="s">
        <v>2848</v>
      </c>
      <c r="Z938" s="4"/>
      <c r="AA938" s="4">
        <f>=ROUNDDOWN({0},0)</f>
      </c>
      <c r="AB938" s="5">
        <v>25</v>
      </c>
      <c r="AC938" s="2" t="s">
        <v>4212</v>
      </c>
      <c r="AD938" s="4">
        <v>115</v>
      </c>
      <c r="AE938" s="4">
        <v>785</v>
      </c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231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231</v>
      </c>
      <c r="AW938" s="8" t="s">
        <v>231</v>
      </c>
      <c r="AX938" s="4" t="s">
        <v>231</v>
      </c>
      <c r="AY938" s="8" t="s">
        <v>231</v>
      </c>
      <c r="AZ938" s="7" t="s">
        <v>231</v>
      </c>
      <c r="BA938" s="7" t="s">
        <v>231</v>
      </c>
      <c r="BB938" s="7"/>
      <c r="BC938" s="4" t="s">
        <v>231</v>
      </c>
      <c r="BD938" s="8" t="s">
        <v>231</v>
      </c>
      <c r="BE938" s="4" t="s">
        <v>231</v>
      </c>
      <c r="BF938" s="8" t="s">
        <v>231</v>
      </c>
      <c r="BG938" s="7" t="s">
        <v>231</v>
      </c>
      <c r="BH938" s="7" t="s">
        <v>231</v>
      </c>
      <c r="BI938" s="7"/>
      <c r="BJ938" s="4"/>
      <c r="BK938" s="8"/>
      <c r="BL938" s="2" t="s">
        <v>4335</v>
      </c>
      <c r="BM938" s="7"/>
      <c r="BN938" s="7"/>
      <c r="BO938" s="4"/>
      <c r="BP938" s="8"/>
      <c r="BQ938" s="4"/>
      <c r="BR938" s="8"/>
      <c r="BS938" s="7"/>
      <c r="BT938" s="7"/>
      <c r="BU938" s="2" t="s">
        <v>4687</v>
      </c>
      <c r="BV938" s="2" t="s">
        <v>231</v>
      </c>
      <c r="BW938" s="2" t="s">
        <v>231</v>
      </c>
      <c r="BX938" s="2" t="s">
        <v>231</v>
      </c>
      <c r="BY938" s="2" t="s">
        <v>277</v>
      </c>
      <c r="BZ938" s="2" t="s">
        <v>243</v>
      </c>
      <c r="CA938" s="2" t="s">
        <v>4389</v>
      </c>
      <c r="CB938" s="2" t="s">
        <v>1834</v>
      </c>
      <c r="CC938" s="2" t="s">
        <v>244</v>
      </c>
      <c r="CD938" s="2" t="s">
        <v>231</v>
      </c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>
        <v>115</v>
      </c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>
        <v>453</v>
      </c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>
        <v>217</v>
      </c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</row>
    <row r="939">
      <c r="A939" s="2" t="s">
        <v>4688</v>
      </c>
      <c r="B939" s="2" t="s">
        <v>287</v>
      </c>
      <c r="C939" s="2" t="s">
        <v>965</v>
      </c>
      <c r="D939" s="2" t="s">
        <v>289</v>
      </c>
      <c r="E939" s="2" t="s">
        <v>290</v>
      </c>
      <c r="F939" s="2" t="s">
        <v>4368</v>
      </c>
      <c r="G939" s="2" t="s">
        <v>4368</v>
      </c>
      <c r="H939" s="2" t="s">
        <v>4368</v>
      </c>
      <c r="I939" s="2" t="s">
        <v>4369</v>
      </c>
      <c r="J939" s="2" t="s">
        <v>302</v>
      </c>
      <c r="K939" s="2" t="s">
        <v>4678</v>
      </c>
      <c r="L939" s="3">
        <v>27.39</v>
      </c>
      <c r="M939" s="3">
        <v>28.76</v>
      </c>
      <c r="N939" s="3">
        <v>62.99</v>
      </c>
      <c r="O939" s="2" t="s">
        <v>243</v>
      </c>
      <c r="P939" s="2" t="s">
        <v>270</v>
      </c>
      <c r="Q939" s="2" t="s">
        <v>237</v>
      </c>
      <c r="R939" s="2" t="s">
        <v>231</v>
      </c>
      <c r="S939" s="2" t="s">
        <v>4679</v>
      </c>
      <c r="T939" s="2" t="s">
        <v>4134</v>
      </c>
      <c r="U939" s="2" t="s">
        <v>231</v>
      </c>
      <c r="V939" s="2" t="s">
        <v>4046</v>
      </c>
      <c r="W939" s="2" t="s">
        <v>273</v>
      </c>
      <c r="X939" s="2" t="s">
        <v>231</v>
      </c>
      <c r="Y939" s="2" t="s">
        <v>2848</v>
      </c>
      <c r="Z939" s="4">
        <v>1</v>
      </c>
      <c r="AA939" s="4">
        <f>=ROUNDDOWN(0.0625,0)</f>
      </c>
      <c r="AB939" s="5">
        <v>16</v>
      </c>
      <c r="AC939" s="2" t="s">
        <v>4212</v>
      </c>
      <c r="AD939" s="4">
        <v>154</v>
      </c>
      <c r="AE939" s="4">
        <v>574</v>
      </c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231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231</v>
      </c>
      <c r="AW939" s="8" t="s">
        <v>231</v>
      </c>
      <c r="AX939" s="4" t="s">
        <v>231</v>
      </c>
      <c r="AY939" s="8" t="s">
        <v>231</v>
      </c>
      <c r="AZ939" s="7" t="s">
        <v>231</v>
      </c>
      <c r="BA939" s="7" t="s">
        <v>231</v>
      </c>
      <c r="BB939" s="7"/>
      <c r="BC939" s="4" t="s">
        <v>231</v>
      </c>
      <c r="BD939" s="8" t="s">
        <v>231</v>
      </c>
      <c r="BE939" s="4" t="s">
        <v>231</v>
      </c>
      <c r="BF939" s="8" t="s">
        <v>231</v>
      </c>
      <c r="BG939" s="7" t="s">
        <v>231</v>
      </c>
      <c r="BH939" s="7" t="s">
        <v>231</v>
      </c>
      <c r="BI939" s="7"/>
      <c r="BJ939" s="4"/>
      <c r="BK939" s="8"/>
      <c r="BL939" s="2" t="s">
        <v>231</v>
      </c>
      <c r="BM939" s="7"/>
      <c r="BN939" s="7"/>
      <c r="BO939" s="4"/>
      <c r="BP939" s="8"/>
      <c r="BQ939" s="4"/>
      <c r="BR939" s="8"/>
      <c r="BS939" s="7"/>
      <c r="BT939" s="7"/>
      <c r="BU939" s="2" t="s">
        <v>4689</v>
      </c>
      <c r="BV939" s="2" t="s">
        <v>231</v>
      </c>
      <c r="BW939" s="2" t="s">
        <v>231</v>
      </c>
      <c r="BX939" s="2" t="s">
        <v>231</v>
      </c>
      <c r="BY939" s="2" t="s">
        <v>277</v>
      </c>
      <c r="BZ939" s="2" t="s">
        <v>243</v>
      </c>
      <c r="CA939" s="2" t="s">
        <v>4389</v>
      </c>
      <c r="CB939" s="2" t="s">
        <v>4690</v>
      </c>
      <c r="CC939" s="2" t="s">
        <v>244</v>
      </c>
      <c r="CD939" s="2" t="s">
        <v>231</v>
      </c>
      <c r="CE939" s="4">
        <v>1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>
        <v>154</v>
      </c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>
        <v>272</v>
      </c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>
        <v>148</v>
      </c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</row>
    <row r="940">
      <c r="A940" s="2" t="s">
        <v>4691</v>
      </c>
      <c r="B940" s="2" t="s">
        <v>287</v>
      </c>
      <c r="C940" s="2" t="s">
        <v>965</v>
      </c>
      <c r="D940" s="2" t="s">
        <v>289</v>
      </c>
      <c r="E940" s="2" t="s">
        <v>290</v>
      </c>
      <c r="F940" s="2" t="s">
        <v>4368</v>
      </c>
      <c r="G940" s="2" t="s">
        <v>4368</v>
      </c>
      <c r="H940" s="2" t="s">
        <v>4368</v>
      </c>
      <c r="I940" s="2" t="s">
        <v>4369</v>
      </c>
      <c r="J940" s="2" t="s">
        <v>318</v>
      </c>
      <c r="K940" s="2" t="s">
        <v>4692</v>
      </c>
      <c r="L940" s="3">
        <v>14.89</v>
      </c>
      <c r="M940" s="3">
        <v>15.63</v>
      </c>
      <c r="N940" s="3">
        <v>31.99</v>
      </c>
      <c r="O940" s="2" t="s">
        <v>243</v>
      </c>
      <c r="P940" s="2" t="s">
        <v>270</v>
      </c>
      <c r="Q940" s="2" t="s">
        <v>237</v>
      </c>
      <c r="R940" s="2" t="s">
        <v>231</v>
      </c>
      <c r="S940" s="2" t="s">
        <v>4693</v>
      </c>
      <c r="T940" s="2" t="s">
        <v>4134</v>
      </c>
      <c r="U940" s="2" t="s">
        <v>231</v>
      </c>
      <c r="V940" s="2" t="s">
        <v>1304</v>
      </c>
      <c r="W940" s="2" t="s">
        <v>273</v>
      </c>
      <c r="X940" s="2" t="s">
        <v>231</v>
      </c>
      <c r="Y940" s="2" t="s">
        <v>4170</v>
      </c>
      <c r="Z940" s="4">
        <v>1</v>
      </c>
      <c r="AA940" s="4">
        <f>=ROUNDDOWN(0.0178571428571429,0)</f>
      </c>
      <c r="AB940" s="5">
        <v>56</v>
      </c>
      <c r="AC940" s="2" t="s">
        <v>4135</v>
      </c>
      <c r="AD940" s="4">
        <v>160</v>
      </c>
      <c r="AE940" s="4">
        <v>2107</v>
      </c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231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231</v>
      </c>
      <c r="AW940" s="8" t="s">
        <v>231</v>
      </c>
      <c r="AX940" s="4" t="s">
        <v>231</v>
      </c>
      <c r="AY940" s="8" t="s">
        <v>231</v>
      </c>
      <c r="AZ940" s="7" t="s">
        <v>231</v>
      </c>
      <c r="BA940" s="7" t="s">
        <v>231</v>
      </c>
      <c r="BB940" s="7"/>
      <c r="BC940" s="4" t="s">
        <v>231</v>
      </c>
      <c r="BD940" s="8" t="s">
        <v>231</v>
      </c>
      <c r="BE940" s="4" t="s">
        <v>231</v>
      </c>
      <c r="BF940" s="8" t="s">
        <v>231</v>
      </c>
      <c r="BG940" s="7" t="s">
        <v>231</v>
      </c>
      <c r="BH940" s="7" t="s">
        <v>231</v>
      </c>
      <c r="BI940" s="7"/>
      <c r="BJ940" s="4"/>
      <c r="BK940" s="8"/>
      <c r="BL940" s="2" t="s">
        <v>231</v>
      </c>
      <c r="BM940" s="7"/>
      <c r="BN940" s="7"/>
      <c r="BO940" s="4"/>
      <c r="BP940" s="8"/>
      <c r="BQ940" s="4"/>
      <c r="BR940" s="8"/>
      <c r="BS940" s="7"/>
      <c r="BT940" s="7"/>
      <c r="BU940" s="2" t="s">
        <v>4694</v>
      </c>
      <c r="BV940" s="2" t="s">
        <v>231</v>
      </c>
      <c r="BW940" s="2" t="s">
        <v>231</v>
      </c>
      <c r="BX940" s="2" t="s">
        <v>231</v>
      </c>
      <c r="BY940" s="2" t="s">
        <v>277</v>
      </c>
      <c r="BZ940" s="2" t="s">
        <v>243</v>
      </c>
      <c r="CA940" s="2" t="s">
        <v>4389</v>
      </c>
      <c r="CB940" s="2" t="s">
        <v>771</v>
      </c>
      <c r="CC940" s="2" t="s">
        <v>244</v>
      </c>
      <c r="CD940" s="2" t="s">
        <v>231</v>
      </c>
      <c r="CE940" s="4">
        <v>1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>
        <v>160</v>
      </c>
      <c r="DR940" s="4"/>
      <c r="DS940" s="4"/>
      <c r="DT940" s="4"/>
      <c r="DU940" s="4">
        <v>383</v>
      </c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>
        <v>1099</v>
      </c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>
        <v>465</v>
      </c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</row>
    <row r="941">
      <c r="A941" s="2" t="s">
        <v>4695</v>
      </c>
      <c r="B941" s="2" t="s">
        <v>287</v>
      </c>
      <c r="C941" s="2" t="s">
        <v>965</v>
      </c>
      <c r="D941" s="2" t="s">
        <v>289</v>
      </c>
      <c r="E941" s="2" t="s">
        <v>290</v>
      </c>
      <c r="F941" s="2" t="s">
        <v>4368</v>
      </c>
      <c r="G941" s="2" t="s">
        <v>4368</v>
      </c>
      <c r="H941" s="2" t="s">
        <v>4368</v>
      </c>
      <c r="I941" s="2" t="s">
        <v>4369</v>
      </c>
      <c r="J941" s="2" t="s">
        <v>268</v>
      </c>
      <c r="K941" s="2" t="s">
        <v>4692</v>
      </c>
      <c r="L941" s="3">
        <v>16.16</v>
      </c>
      <c r="M941" s="3">
        <v>16.97</v>
      </c>
      <c r="N941" s="3">
        <v>34.99</v>
      </c>
      <c r="O941" s="2" t="s">
        <v>243</v>
      </c>
      <c r="P941" s="2" t="s">
        <v>270</v>
      </c>
      <c r="Q941" s="2" t="s">
        <v>237</v>
      </c>
      <c r="R941" s="2" t="s">
        <v>231</v>
      </c>
      <c r="S941" s="2" t="s">
        <v>4693</v>
      </c>
      <c r="T941" s="2" t="s">
        <v>4134</v>
      </c>
      <c r="U941" s="2" t="s">
        <v>231</v>
      </c>
      <c r="V941" s="2" t="s">
        <v>1304</v>
      </c>
      <c r="W941" s="2" t="s">
        <v>273</v>
      </c>
      <c r="X941" s="2" t="s">
        <v>231</v>
      </c>
      <c r="Y941" s="2" t="s">
        <v>4170</v>
      </c>
      <c r="Z941" s="4">
        <v>3</v>
      </c>
      <c r="AA941" s="4">
        <f>=ROUNDDOWN(0.0681818181818182,0)</f>
      </c>
      <c r="AB941" s="5">
        <v>44</v>
      </c>
      <c r="AC941" s="2" t="s">
        <v>4135</v>
      </c>
      <c r="AD941" s="4">
        <v>312</v>
      </c>
      <c r="AE941" s="4">
        <v>1473</v>
      </c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231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231</v>
      </c>
      <c r="AW941" s="8" t="s">
        <v>231</v>
      </c>
      <c r="AX941" s="4" t="s">
        <v>231</v>
      </c>
      <c r="AY941" s="8" t="s">
        <v>231</v>
      </c>
      <c r="AZ941" s="7" t="s">
        <v>231</v>
      </c>
      <c r="BA941" s="7" t="s">
        <v>231</v>
      </c>
      <c r="BB941" s="7"/>
      <c r="BC941" s="4" t="s">
        <v>231</v>
      </c>
      <c r="BD941" s="8" t="s">
        <v>231</v>
      </c>
      <c r="BE941" s="4" t="s">
        <v>231</v>
      </c>
      <c r="BF941" s="8" t="s">
        <v>231</v>
      </c>
      <c r="BG941" s="7" t="s">
        <v>231</v>
      </c>
      <c r="BH941" s="7" t="s">
        <v>231</v>
      </c>
      <c r="BI941" s="7"/>
      <c r="BJ941" s="4"/>
      <c r="BK941" s="8"/>
      <c r="BL941" s="2" t="s">
        <v>1020</v>
      </c>
      <c r="BM941" s="7"/>
      <c r="BN941" s="7"/>
      <c r="BO941" s="4"/>
      <c r="BP941" s="8"/>
      <c r="BQ941" s="4"/>
      <c r="BR941" s="8"/>
      <c r="BS941" s="7"/>
      <c r="BT941" s="7"/>
      <c r="BU941" s="2" t="s">
        <v>4696</v>
      </c>
      <c r="BV941" s="2" t="s">
        <v>231</v>
      </c>
      <c r="BW941" s="2" t="s">
        <v>231</v>
      </c>
      <c r="BX941" s="2" t="s">
        <v>231</v>
      </c>
      <c r="BY941" s="2" t="s">
        <v>277</v>
      </c>
      <c r="BZ941" s="2" t="s">
        <v>243</v>
      </c>
      <c r="CA941" s="2" t="s">
        <v>4389</v>
      </c>
      <c r="CB941" s="2" t="s">
        <v>4380</v>
      </c>
      <c r="CC941" s="2" t="s">
        <v>244</v>
      </c>
      <c r="CD941" s="2" t="s">
        <v>231</v>
      </c>
      <c r="CE941" s="4">
        <v>3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>
        <v>312</v>
      </c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>
        <v>782</v>
      </c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>
        <v>379</v>
      </c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</row>
    <row r="942">
      <c r="A942" s="2" t="s">
        <v>4697</v>
      </c>
      <c r="B942" s="2" t="s">
        <v>287</v>
      </c>
      <c r="C942" s="2" t="s">
        <v>965</v>
      </c>
      <c r="D942" s="2" t="s">
        <v>289</v>
      </c>
      <c r="E942" s="2" t="s">
        <v>290</v>
      </c>
      <c r="F942" s="2" t="s">
        <v>4368</v>
      </c>
      <c r="G942" s="2" t="s">
        <v>4368</v>
      </c>
      <c r="H942" s="2" t="s">
        <v>4368</v>
      </c>
      <c r="I942" s="2" t="s">
        <v>4369</v>
      </c>
      <c r="J942" s="2" t="s">
        <v>281</v>
      </c>
      <c r="K942" s="2" t="s">
        <v>4692</v>
      </c>
      <c r="L942" s="3">
        <v>19.57</v>
      </c>
      <c r="M942" s="3">
        <v>20.55</v>
      </c>
      <c r="N942" s="3">
        <v>42.99</v>
      </c>
      <c r="O942" s="2" t="s">
        <v>243</v>
      </c>
      <c r="P942" s="2" t="s">
        <v>270</v>
      </c>
      <c r="Q942" s="2" t="s">
        <v>237</v>
      </c>
      <c r="R942" s="2" t="s">
        <v>231</v>
      </c>
      <c r="S942" s="2" t="s">
        <v>4693</v>
      </c>
      <c r="T942" s="2" t="s">
        <v>4134</v>
      </c>
      <c r="U942" s="2" t="s">
        <v>231</v>
      </c>
      <c r="V942" s="2" t="s">
        <v>1304</v>
      </c>
      <c r="W942" s="2" t="s">
        <v>273</v>
      </c>
      <c r="X942" s="2" t="s">
        <v>231</v>
      </c>
      <c r="Y942" s="2" t="s">
        <v>4170</v>
      </c>
      <c r="Z942" s="4">
        <v>138</v>
      </c>
      <c r="AA942" s="4">
        <f>=ROUNDDOWN(3.36585365853659,0)</f>
      </c>
      <c r="AB942" s="5">
        <v>41</v>
      </c>
      <c r="AC942" s="2" t="s">
        <v>4135</v>
      </c>
      <c r="AD942" s="4">
        <v>398</v>
      </c>
      <c r="AE942" s="4">
        <v>1512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231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231</v>
      </c>
      <c r="AW942" s="8" t="s">
        <v>231</v>
      </c>
      <c r="AX942" s="4" t="s">
        <v>231</v>
      </c>
      <c r="AY942" s="8" t="s">
        <v>231</v>
      </c>
      <c r="AZ942" s="7" t="s">
        <v>231</v>
      </c>
      <c r="BA942" s="7" t="s">
        <v>231</v>
      </c>
      <c r="BB942" s="7"/>
      <c r="BC942" s="4" t="s">
        <v>231</v>
      </c>
      <c r="BD942" s="8" t="s">
        <v>231</v>
      </c>
      <c r="BE942" s="4" t="s">
        <v>231</v>
      </c>
      <c r="BF942" s="8" t="s">
        <v>231</v>
      </c>
      <c r="BG942" s="7" t="s">
        <v>231</v>
      </c>
      <c r="BH942" s="7" t="s">
        <v>231</v>
      </c>
      <c r="BI942" s="7"/>
      <c r="BJ942" s="4">
        <v>12</v>
      </c>
      <c r="BK942" s="8">
        <v>264.35</v>
      </c>
      <c r="BL942" s="2" t="s">
        <v>4698</v>
      </c>
      <c r="BM942" s="7"/>
      <c r="BN942" s="7"/>
      <c r="BO942" s="4"/>
      <c r="BP942" s="8"/>
      <c r="BQ942" s="4"/>
      <c r="BR942" s="8"/>
      <c r="BS942" s="7"/>
      <c r="BT942" s="7"/>
      <c r="BU942" s="2" t="s">
        <v>4699</v>
      </c>
      <c r="BV942" s="2" t="s">
        <v>231</v>
      </c>
      <c r="BW942" s="2" t="s">
        <v>231</v>
      </c>
      <c r="BX942" s="2" t="s">
        <v>231</v>
      </c>
      <c r="BY942" s="2" t="s">
        <v>277</v>
      </c>
      <c r="BZ942" s="2" t="s">
        <v>243</v>
      </c>
      <c r="CA942" s="2" t="s">
        <v>4389</v>
      </c>
      <c r="CB942" s="2" t="s">
        <v>771</v>
      </c>
      <c r="CC942" s="2" t="s">
        <v>244</v>
      </c>
      <c r="CD942" s="2" t="s">
        <v>231</v>
      </c>
      <c r="CE942" s="4">
        <v>138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>
        <v>398</v>
      </c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>
        <v>764</v>
      </c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>
        <v>350</v>
      </c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</row>
    <row r="943">
      <c r="A943" s="2" t="s">
        <v>4700</v>
      </c>
      <c r="B943" s="2" t="s">
        <v>287</v>
      </c>
      <c r="C943" s="2" t="s">
        <v>965</v>
      </c>
      <c r="D943" s="2" t="s">
        <v>289</v>
      </c>
      <c r="E943" s="2" t="s">
        <v>290</v>
      </c>
      <c r="F943" s="2" t="s">
        <v>4368</v>
      </c>
      <c r="G943" s="2" t="s">
        <v>4368</v>
      </c>
      <c r="H943" s="2" t="s">
        <v>4368</v>
      </c>
      <c r="I943" s="2" t="s">
        <v>4369</v>
      </c>
      <c r="J943" s="2" t="s">
        <v>293</v>
      </c>
      <c r="K943" s="2" t="s">
        <v>4692</v>
      </c>
      <c r="L943" s="3">
        <v>22.21</v>
      </c>
      <c r="M943" s="3">
        <v>23.32</v>
      </c>
      <c r="N943" s="3">
        <v>47.99</v>
      </c>
      <c r="O943" s="2" t="s">
        <v>243</v>
      </c>
      <c r="P943" s="2" t="s">
        <v>1281</v>
      </c>
      <c r="Q943" s="2" t="s">
        <v>237</v>
      </c>
      <c r="R943" s="2" t="s">
        <v>231</v>
      </c>
      <c r="S943" s="2" t="s">
        <v>4693</v>
      </c>
      <c r="T943" s="2" t="s">
        <v>4134</v>
      </c>
      <c r="U943" s="2" t="s">
        <v>231</v>
      </c>
      <c r="V943" s="2" t="s">
        <v>1304</v>
      </c>
      <c r="W943" s="2" t="s">
        <v>273</v>
      </c>
      <c r="X943" s="2" t="s">
        <v>231</v>
      </c>
      <c r="Y943" s="2" t="s">
        <v>4170</v>
      </c>
      <c r="Z943" s="4"/>
      <c r="AA943" s="4">
        <f>=ROUNDDOWN({0},0)</f>
      </c>
      <c r="AB943" s="5">
        <v>45</v>
      </c>
      <c r="AC943" s="2" t="s">
        <v>4135</v>
      </c>
      <c r="AD943" s="4">
        <v>388</v>
      </c>
      <c r="AE943" s="4">
        <v>1596</v>
      </c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231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231</v>
      </c>
      <c r="AW943" s="8" t="s">
        <v>231</v>
      </c>
      <c r="AX943" s="4" t="s">
        <v>231</v>
      </c>
      <c r="AY943" s="8" t="s">
        <v>231</v>
      </c>
      <c r="AZ943" s="7" t="s">
        <v>231</v>
      </c>
      <c r="BA943" s="7" t="s">
        <v>231</v>
      </c>
      <c r="BB943" s="7"/>
      <c r="BC943" s="4" t="s">
        <v>231</v>
      </c>
      <c r="BD943" s="8" t="s">
        <v>231</v>
      </c>
      <c r="BE943" s="4" t="s">
        <v>231</v>
      </c>
      <c r="BF943" s="8" t="s">
        <v>231</v>
      </c>
      <c r="BG943" s="7" t="s">
        <v>231</v>
      </c>
      <c r="BH943" s="7" t="s">
        <v>231</v>
      </c>
      <c r="BI943" s="7"/>
      <c r="BJ943" s="4"/>
      <c r="BK943" s="8"/>
      <c r="BL943" s="2" t="s">
        <v>231</v>
      </c>
      <c r="BM943" s="7"/>
      <c r="BN943" s="7"/>
      <c r="BO943" s="4"/>
      <c r="BP943" s="8"/>
      <c r="BQ943" s="4"/>
      <c r="BR943" s="8"/>
      <c r="BS943" s="7"/>
      <c r="BT943" s="7"/>
      <c r="BU943" s="2" t="s">
        <v>4701</v>
      </c>
      <c r="BV943" s="2" t="s">
        <v>231</v>
      </c>
      <c r="BW943" s="2" t="s">
        <v>231</v>
      </c>
      <c r="BX943" s="2" t="s">
        <v>231</v>
      </c>
      <c r="BY943" s="2" t="s">
        <v>277</v>
      </c>
      <c r="BZ943" s="2" t="s">
        <v>243</v>
      </c>
      <c r="CA943" s="2" t="s">
        <v>4389</v>
      </c>
      <c r="CB943" s="2" t="s">
        <v>4324</v>
      </c>
      <c r="CC943" s="2" t="s">
        <v>244</v>
      </c>
      <c r="CD943" s="2" t="s">
        <v>231</v>
      </c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>
        <v>388</v>
      </c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>
        <v>826</v>
      </c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>
        <v>382</v>
      </c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</row>
    <row r="944">
      <c r="A944" s="2" t="s">
        <v>4702</v>
      </c>
      <c r="B944" s="2" t="s">
        <v>287</v>
      </c>
      <c r="C944" s="2" t="s">
        <v>965</v>
      </c>
      <c r="D944" s="2" t="s">
        <v>289</v>
      </c>
      <c r="E944" s="2" t="s">
        <v>290</v>
      </c>
      <c r="F944" s="2" t="s">
        <v>4368</v>
      </c>
      <c r="G944" s="2" t="s">
        <v>4368</v>
      </c>
      <c r="H944" s="2" t="s">
        <v>4368</v>
      </c>
      <c r="I944" s="2" t="s">
        <v>4369</v>
      </c>
      <c r="J944" s="2" t="s">
        <v>302</v>
      </c>
      <c r="K944" s="2" t="s">
        <v>4692</v>
      </c>
      <c r="L944" s="3">
        <v>27.39</v>
      </c>
      <c r="M944" s="3">
        <v>28.76</v>
      </c>
      <c r="N944" s="3">
        <v>62.99</v>
      </c>
      <c r="O944" s="2" t="s">
        <v>243</v>
      </c>
      <c r="P944" s="2" t="s">
        <v>270</v>
      </c>
      <c r="Q944" s="2" t="s">
        <v>237</v>
      </c>
      <c r="R944" s="2" t="s">
        <v>231</v>
      </c>
      <c r="S944" s="2" t="s">
        <v>4693</v>
      </c>
      <c r="T944" s="2" t="s">
        <v>4134</v>
      </c>
      <c r="U944" s="2" t="s">
        <v>231</v>
      </c>
      <c r="V944" s="2" t="s">
        <v>1304</v>
      </c>
      <c r="W944" s="2" t="s">
        <v>273</v>
      </c>
      <c r="X944" s="2" t="s">
        <v>231</v>
      </c>
      <c r="Y944" s="2" t="s">
        <v>4170</v>
      </c>
      <c r="Z944" s="4">
        <v>24</v>
      </c>
      <c r="AA944" s="4">
        <f>=ROUNDDOWN(1.09090909090909,0)</f>
      </c>
      <c r="AB944" s="5">
        <v>22</v>
      </c>
      <c r="AC944" s="2" t="s">
        <v>4449</v>
      </c>
      <c r="AD944" s="4">
        <v>196</v>
      </c>
      <c r="AE944" s="4">
        <v>774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231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231</v>
      </c>
      <c r="AW944" s="8" t="s">
        <v>231</v>
      </c>
      <c r="AX944" s="4" t="s">
        <v>231</v>
      </c>
      <c r="AY944" s="8" t="s">
        <v>231</v>
      </c>
      <c r="AZ944" s="7" t="s">
        <v>231</v>
      </c>
      <c r="BA944" s="7" t="s">
        <v>231</v>
      </c>
      <c r="BB944" s="7"/>
      <c r="BC944" s="4" t="s">
        <v>231</v>
      </c>
      <c r="BD944" s="8" t="s">
        <v>231</v>
      </c>
      <c r="BE944" s="4" t="s">
        <v>231</v>
      </c>
      <c r="BF944" s="8" t="s">
        <v>231</v>
      </c>
      <c r="BG944" s="7" t="s">
        <v>231</v>
      </c>
      <c r="BH944" s="7" t="s">
        <v>231</v>
      </c>
      <c r="BI944" s="7"/>
      <c r="BJ944" s="4">
        <v>7</v>
      </c>
      <c r="BK944" s="8">
        <v>212.33</v>
      </c>
      <c r="BL944" s="2" t="s">
        <v>4703</v>
      </c>
      <c r="BM944" s="7"/>
      <c r="BN944" s="7"/>
      <c r="BO944" s="4"/>
      <c r="BP944" s="8"/>
      <c r="BQ944" s="4"/>
      <c r="BR944" s="8"/>
      <c r="BS944" s="7"/>
      <c r="BT944" s="7"/>
      <c r="BU944" s="2" t="s">
        <v>4704</v>
      </c>
      <c r="BV944" s="2" t="s">
        <v>231</v>
      </c>
      <c r="BW944" s="2" t="s">
        <v>231</v>
      </c>
      <c r="BX944" s="2" t="s">
        <v>231</v>
      </c>
      <c r="BY944" s="2" t="s">
        <v>277</v>
      </c>
      <c r="BZ944" s="2" t="s">
        <v>243</v>
      </c>
      <c r="CA944" s="2" t="s">
        <v>4389</v>
      </c>
      <c r="CB944" s="2" t="s">
        <v>4705</v>
      </c>
      <c r="CC944" s="2" t="s">
        <v>244</v>
      </c>
      <c r="CD944" s="2" t="s">
        <v>231</v>
      </c>
      <c r="CE944" s="4">
        <v>24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>
        <v>196</v>
      </c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>
        <v>381</v>
      </c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>
        <v>197</v>
      </c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</row>
    <row r="945">
      <c r="A945" s="2" t="s">
        <v>4706</v>
      </c>
      <c r="B945" s="2" t="s">
        <v>287</v>
      </c>
      <c r="C945" s="2" t="s">
        <v>965</v>
      </c>
      <c r="D945" s="2" t="s">
        <v>289</v>
      </c>
      <c r="E945" s="2" t="s">
        <v>290</v>
      </c>
      <c r="F945" s="2" t="s">
        <v>4368</v>
      </c>
      <c r="G945" s="2" t="s">
        <v>4368</v>
      </c>
      <c r="H945" s="2" t="s">
        <v>4368</v>
      </c>
      <c r="I945" s="2" t="s">
        <v>4369</v>
      </c>
      <c r="J945" s="2" t="s">
        <v>318</v>
      </c>
      <c r="K945" s="2" t="s">
        <v>4707</v>
      </c>
      <c r="L945" s="3">
        <v>14.89</v>
      </c>
      <c r="M945" s="3">
        <v>15.63</v>
      </c>
      <c r="N945" s="3">
        <v>31.99</v>
      </c>
      <c r="O945" s="2" t="s">
        <v>243</v>
      </c>
      <c r="P945" s="2" t="s">
        <v>1332</v>
      </c>
      <c r="Q945" s="2" t="s">
        <v>237</v>
      </c>
      <c r="R945" s="2" t="s">
        <v>231</v>
      </c>
      <c r="S945" s="2" t="s">
        <v>4708</v>
      </c>
      <c r="T945" s="2" t="s">
        <v>4134</v>
      </c>
      <c r="U945" s="2" t="s">
        <v>231</v>
      </c>
      <c r="V945" s="2" t="s">
        <v>4046</v>
      </c>
      <c r="W945" s="2" t="s">
        <v>273</v>
      </c>
      <c r="X945" s="2" t="s">
        <v>231</v>
      </c>
      <c r="Y945" s="2" t="s">
        <v>4472</v>
      </c>
      <c r="Z945" s="4"/>
      <c r="AA945" s="4">
        <f>=ROUNDDOWN({0},0)</f>
      </c>
      <c r="AB945" s="5">
        <v>87</v>
      </c>
      <c r="AC945" s="2" t="s">
        <v>4135</v>
      </c>
      <c r="AD945" s="4">
        <v>847</v>
      </c>
      <c r="AE945" s="4">
        <v>3240</v>
      </c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231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231</v>
      </c>
      <c r="AW945" s="8" t="s">
        <v>231</v>
      </c>
      <c r="AX945" s="4" t="s">
        <v>231</v>
      </c>
      <c r="AY945" s="8" t="s">
        <v>231</v>
      </c>
      <c r="AZ945" s="7" t="s">
        <v>231</v>
      </c>
      <c r="BA945" s="7" t="s">
        <v>231</v>
      </c>
      <c r="BB945" s="7"/>
      <c r="BC945" s="4" t="s">
        <v>231</v>
      </c>
      <c r="BD945" s="8" t="s">
        <v>231</v>
      </c>
      <c r="BE945" s="4" t="s">
        <v>231</v>
      </c>
      <c r="BF945" s="8" t="s">
        <v>231</v>
      </c>
      <c r="BG945" s="7" t="s">
        <v>231</v>
      </c>
      <c r="BH945" s="7" t="s">
        <v>231</v>
      </c>
      <c r="BI945" s="7"/>
      <c r="BJ945" s="4"/>
      <c r="BK945" s="8"/>
      <c r="BL945" s="2" t="s">
        <v>231</v>
      </c>
      <c r="BM945" s="7"/>
      <c r="BN945" s="7"/>
      <c r="BO945" s="4"/>
      <c r="BP945" s="8"/>
      <c r="BQ945" s="4"/>
      <c r="BR945" s="8"/>
      <c r="BS945" s="7"/>
      <c r="BT945" s="7"/>
      <c r="BU945" s="2" t="s">
        <v>4709</v>
      </c>
      <c r="BV945" s="2" t="s">
        <v>231</v>
      </c>
      <c r="BW945" s="2" t="s">
        <v>231</v>
      </c>
      <c r="BX945" s="2" t="s">
        <v>231</v>
      </c>
      <c r="BY945" s="2" t="s">
        <v>277</v>
      </c>
      <c r="BZ945" s="2" t="s">
        <v>243</v>
      </c>
      <c r="CA945" s="2" t="s">
        <v>4200</v>
      </c>
      <c r="CB945" s="2" t="s">
        <v>1002</v>
      </c>
      <c r="CC945" s="2" t="s">
        <v>244</v>
      </c>
      <c r="CD945" s="2" t="s">
        <v>231</v>
      </c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>
        <v>847</v>
      </c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>
        <v>1676</v>
      </c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>
        <v>717</v>
      </c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</row>
    <row r="946">
      <c r="A946" s="2" t="s">
        <v>4710</v>
      </c>
      <c r="B946" s="2" t="s">
        <v>287</v>
      </c>
      <c r="C946" s="2" t="s">
        <v>965</v>
      </c>
      <c r="D946" s="2" t="s">
        <v>289</v>
      </c>
      <c r="E946" s="2" t="s">
        <v>290</v>
      </c>
      <c r="F946" s="2" t="s">
        <v>4368</v>
      </c>
      <c r="G946" s="2" t="s">
        <v>4368</v>
      </c>
      <c r="H946" s="2" t="s">
        <v>4368</v>
      </c>
      <c r="I946" s="2" t="s">
        <v>4369</v>
      </c>
      <c r="J946" s="2" t="s">
        <v>268</v>
      </c>
      <c r="K946" s="2" t="s">
        <v>4707</v>
      </c>
      <c r="L946" s="3">
        <v>16.16</v>
      </c>
      <c r="M946" s="3">
        <v>16.97</v>
      </c>
      <c r="N946" s="3">
        <v>34.99</v>
      </c>
      <c r="O946" s="2" t="s">
        <v>243</v>
      </c>
      <c r="P946" s="2" t="s">
        <v>871</v>
      </c>
      <c r="Q946" s="2" t="s">
        <v>237</v>
      </c>
      <c r="R946" s="2" t="s">
        <v>231</v>
      </c>
      <c r="S946" s="2" t="s">
        <v>4708</v>
      </c>
      <c r="T946" s="2" t="s">
        <v>4134</v>
      </c>
      <c r="U946" s="2" t="s">
        <v>231</v>
      </c>
      <c r="V946" s="2" t="s">
        <v>4046</v>
      </c>
      <c r="W946" s="2" t="s">
        <v>273</v>
      </c>
      <c r="X946" s="2" t="s">
        <v>231</v>
      </c>
      <c r="Y946" s="2" t="s">
        <v>4472</v>
      </c>
      <c r="Z946" s="4"/>
      <c r="AA946" s="4">
        <f>=ROUNDDOWN({0},0)</f>
      </c>
      <c r="AB946" s="5">
        <v>50</v>
      </c>
      <c r="AC946" s="2" t="s">
        <v>4135</v>
      </c>
      <c r="AD946" s="4">
        <v>490</v>
      </c>
      <c r="AE946" s="4">
        <v>1810</v>
      </c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231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231</v>
      </c>
      <c r="AW946" s="8" t="s">
        <v>231</v>
      </c>
      <c r="AX946" s="4" t="s">
        <v>231</v>
      </c>
      <c r="AY946" s="8" t="s">
        <v>231</v>
      </c>
      <c r="AZ946" s="7" t="s">
        <v>231</v>
      </c>
      <c r="BA946" s="7" t="s">
        <v>231</v>
      </c>
      <c r="BB946" s="7"/>
      <c r="BC946" s="4" t="s">
        <v>231</v>
      </c>
      <c r="BD946" s="8" t="s">
        <v>231</v>
      </c>
      <c r="BE946" s="4" t="s">
        <v>231</v>
      </c>
      <c r="BF946" s="8" t="s">
        <v>231</v>
      </c>
      <c r="BG946" s="7" t="s">
        <v>231</v>
      </c>
      <c r="BH946" s="7" t="s">
        <v>231</v>
      </c>
      <c r="BI946" s="7"/>
      <c r="BJ946" s="4"/>
      <c r="BK946" s="8"/>
      <c r="BL946" s="2" t="s">
        <v>231</v>
      </c>
      <c r="BM946" s="7"/>
      <c r="BN946" s="7"/>
      <c r="BO946" s="4"/>
      <c r="BP946" s="8"/>
      <c r="BQ946" s="4"/>
      <c r="BR946" s="8"/>
      <c r="BS946" s="7"/>
      <c r="BT946" s="7"/>
      <c r="BU946" s="2" t="s">
        <v>4711</v>
      </c>
      <c r="BV946" s="2" t="s">
        <v>231</v>
      </c>
      <c r="BW946" s="2" t="s">
        <v>231</v>
      </c>
      <c r="BX946" s="2" t="s">
        <v>231</v>
      </c>
      <c r="BY946" s="2" t="s">
        <v>277</v>
      </c>
      <c r="BZ946" s="2" t="s">
        <v>243</v>
      </c>
      <c r="CA946" s="2" t="s">
        <v>4474</v>
      </c>
      <c r="CB946" s="2" t="s">
        <v>4172</v>
      </c>
      <c r="CC946" s="2" t="s">
        <v>244</v>
      </c>
      <c r="CD946" s="2" t="s">
        <v>231</v>
      </c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>
        <v>490</v>
      </c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>
        <v>890</v>
      </c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>
        <v>430</v>
      </c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</row>
    <row r="947">
      <c r="A947" s="2" t="s">
        <v>4712</v>
      </c>
      <c r="B947" s="2" t="s">
        <v>287</v>
      </c>
      <c r="C947" s="2" t="s">
        <v>965</v>
      </c>
      <c r="D947" s="2" t="s">
        <v>289</v>
      </c>
      <c r="E947" s="2" t="s">
        <v>290</v>
      </c>
      <c r="F947" s="2" t="s">
        <v>4368</v>
      </c>
      <c r="G947" s="2" t="s">
        <v>4368</v>
      </c>
      <c r="H947" s="2" t="s">
        <v>4368</v>
      </c>
      <c r="I947" s="2" t="s">
        <v>4369</v>
      </c>
      <c r="J947" s="2" t="s">
        <v>281</v>
      </c>
      <c r="K947" s="2" t="s">
        <v>4707</v>
      </c>
      <c r="L947" s="3">
        <v>19.57</v>
      </c>
      <c r="M947" s="3">
        <v>20.55</v>
      </c>
      <c r="N947" s="3">
        <v>42.99</v>
      </c>
      <c r="O947" s="2" t="s">
        <v>243</v>
      </c>
      <c r="P947" s="2" t="s">
        <v>270</v>
      </c>
      <c r="Q947" s="2" t="s">
        <v>237</v>
      </c>
      <c r="R947" s="2" t="s">
        <v>231</v>
      </c>
      <c r="S947" s="2" t="s">
        <v>4708</v>
      </c>
      <c r="T947" s="2" t="s">
        <v>4134</v>
      </c>
      <c r="U947" s="2" t="s">
        <v>231</v>
      </c>
      <c r="V947" s="2" t="s">
        <v>4046</v>
      </c>
      <c r="W947" s="2" t="s">
        <v>273</v>
      </c>
      <c r="X947" s="2" t="s">
        <v>231</v>
      </c>
      <c r="Y947" s="2" t="s">
        <v>4472</v>
      </c>
      <c r="Z947" s="4"/>
      <c r="AA947" s="4">
        <f>=ROUNDDOWN({0},0)</f>
      </c>
      <c r="AB947" s="5">
        <v>42</v>
      </c>
      <c r="AC947" s="2" t="s">
        <v>4449</v>
      </c>
      <c r="AD947" s="4">
        <v>411</v>
      </c>
      <c r="AE947" s="4">
        <v>1500</v>
      </c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231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231</v>
      </c>
      <c r="AW947" s="8" t="s">
        <v>231</v>
      </c>
      <c r="AX947" s="4" t="s">
        <v>231</v>
      </c>
      <c r="AY947" s="8" t="s">
        <v>231</v>
      </c>
      <c r="AZ947" s="7" t="s">
        <v>231</v>
      </c>
      <c r="BA947" s="7" t="s">
        <v>231</v>
      </c>
      <c r="BB947" s="7"/>
      <c r="BC947" s="4" t="s">
        <v>231</v>
      </c>
      <c r="BD947" s="8" t="s">
        <v>231</v>
      </c>
      <c r="BE947" s="4" t="s">
        <v>231</v>
      </c>
      <c r="BF947" s="8" t="s">
        <v>231</v>
      </c>
      <c r="BG947" s="7" t="s">
        <v>231</v>
      </c>
      <c r="BH947" s="7" t="s">
        <v>231</v>
      </c>
      <c r="BI947" s="7"/>
      <c r="BJ947" s="4"/>
      <c r="BK947" s="8"/>
      <c r="BL947" s="2" t="s">
        <v>231</v>
      </c>
      <c r="BM947" s="7"/>
      <c r="BN947" s="7"/>
      <c r="BO947" s="4"/>
      <c r="BP947" s="8"/>
      <c r="BQ947" s="4"/>
      <c r="BR947" s="8"/>
      <c r="BS947" s="7"/>
      <c r="BT947" s="7"/>
      <c r="BU947" s="2" t="s">
        <v>4713</v>
      </c>
      <c r="BV947" s="2" t="s">
        <v>231</v>
      </c>
      <c r="BW947" s="2" t="s">
        <v>231</v>
      </c>
      <c r="BX947" s="2" t="s">
        <v>231</v>
      </c>
      <c r="BY947" s="2" t="s">
        <v>277</v>
      </c>
      <c r="BZ947" s="2" t="s">
        <v>243</v>
      </c>
      <c r="CA947" s="2" t="s">
        <v>4200</v>
      </c>
      <c r="CB947" s="2" t="s">
        <v>414</v>
      </c>
      <c r="CC947" s="2" t="s">
        <v>244</v>
      </c>
      <c r="CD947" s="2" t="s">
        <v>231</v>
      </c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>
        <v>411</v>
      </c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>
        <v>723</v>
      </c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>
        <v>366</v>
      </c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</row>
    <row r="948">
      <c r="A948" s="2" t="s">
        <v>4714</v>
      </c>
      <c r="B948" s="2" t="s">
        <v>287</v>
      </c>
      <c r="C948" s="2" t="s">
        <v>965</v>
      </c>
      <c r="D948" s="2" t="s">
        <v>289</v>
      </c>
      <c r="E948" s="2" t="s">
        <v>290</v>
      </c>
      <c r="F948" s="2" t="s">
        <v>4368</v>
      </c>
      <c r="G948" s="2" t="s">
        <v>4368</v>
      </c>
      <c r="H948" s="2" t="s">
        <v>4368</v>
      </c>
      <c r="I948" s="2" t="s">
        <v>4369</v>
      </c>
      <c r="J948" s="2" t="s">
        <v>293</v>
      </c>
      <c r="K948" s="2" t="s">
        <v>4707</v>
      </c>
      <c r="L948" s="3">
        <v>22.21</v>
      </c>
      <c r="M948" s="3">
        <v>23.32</v>
      </c>
      <c r="N948" s="3">
        <v>47.99</v>
      </c>
      <c r="O948" s="2" t="s">
        <v>243</v>
      </c>
      <c r="P948" s="2" t="s">
        <v>1332</v>
      </c>
      <c r="Q948" s="2" t="s">
        <v>237</v>
      </c>
      <c r="R948" s="2" t="s">
        <v>231</v>
      </c>
      <c r="S948" s="2" t="s">
        <v>4708</v>
      </c>
      <c r="T948" s="2" t="s">
        <v>4134</v>
      </c>
      <c r="U948" s="2" t="s">
        <v>231</v>
      </c>
      <c r="V948" s="2" t="s">
        <v>4046</v>
      </c>
      <c r="W948" s="2" t="s">
        <v>273</v>
      </c>
      <c r="X948" s="2" t="s">
        <v>231</v>
      </c>
      <c r="Y948" s="2" t="s">
        <v>4472</v>
      </c>
      <c r="Z948" s="4">
        <v>2</v>
      </c>
      <c r="AA948" s="4">
        <f>=ROUNDDOWN(0.0240963855421687,0)</f>
      </c>
      <c r="AB948" s="5">
        <v>83</v>
      </c>
      <c r="AC948" s="2" t="s">
        <v>4135</v>
      </c>
      <c r="AD948" s="4">
        <v>805</v>
      </c>
      <c r="AE948" s="4">
        <v>3028</v>
      </c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231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231</v>
      </c>
      <c r="AW948" s="8" t="s">
        <v>231</v>
      </c>
      <c r="AX948" s="4" t="s">
        <v>231</v>
      </c>
      <c r="AY948" s="8" t="s">
        <v>231</v>
      </c>
      <c r="AZ948" s="7" t="s">
        <v>231</v>
      </c>
      <c r="BA948" s="7" t="s">
        <v>231</v>
      </c>
      <c r="BB948" s="7"/>
      <c r="BC948" s="4" t="s">
        <v>231</v>
      </c>
      <c r="BD948" s="8" t="s">
        <v>231</v>
      </c>
      <c r="BE948" s="4" t="s">
        <v>231</v>
      </c>
      <c r="BF948" s="8" t="s">
        <v>231</v>
      </c>
      <c r="BG948" s="7" t="s">
        <v>231</v>
      </c>
      <c r="BH948" s="7" t="s">
        <v>231</v>
      </c>
      <c r="BI948" s="7"/>
      <c r="BJ948" s="4"/>
      <c r="BK948" s="8"/>
      <c r="BL948" s="2" t="s">
        <v>231</v>
      </c>
      <c r="BM948" s="7"/>
      <c r="BN948" s="7"/>
      <c r="BO948" s="4"/>
      <c r="BP948" s="8"/>
      <c r="BQ948" s="4"/>
      <c r="BR948" s="8"/>
      <c r="BS948" s="7"/>
      <c r="BT948" s="7"/>
      <c r="BU948" s="2" t="s">
        <v>4715</v>
      </c>
      <c r="BV948" s="2" t="s">
        <v>231</v>
      </c>
      <c r="BW948" s="2" t="s">
        <v>231</v>
      </c>
      <c r="BX948" s="2" t="s">
        <v>231</v>
      </c>
      <c r="BY948" s="2" t="s">
        <v>277</v>
      </c>
      <c r="BZ948" s="2" t="s">
        <v>243</v>
      </c>
      <c r="CA948" s="2" t="s">
        <v>4200</v>
      </c>
      <c r="CB948" s="2" t="s">
        <v>2053</v>
      </c>
      <c r="CC948" s="2" t="s">
        <v>244</v>
      </c>
      <c r="CD948" s="2" t="s">
        <v>231</v>
      </c>
      <c r="CE948" s="4">
        <v>2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>
        <v>805</v>
      </c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>
        <v>1529</v>
      </c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>
        <v>694</v>
      </c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</row>
    <row r="949">
      <c r="A949" s="2" t="s">
        <v>4716</v>
      </c>
      <c r="B949" s="2" t="s">
        <v>287</v>
      </c>
      <c r="C949" s="2" t="s">
        <v>965</v>
      </c>
      <c r="D949" s="2" t="s">
        <v>289</v>
      </c>
      <c r="E949" s="2" t="s">
        <v>290</v>
      </c>
      <c r="F949" s="2" t="s">
        <v>4368</v>
      </c>
      <c r="G949" s="2" t="s">
        <v>4368</v>
      </c>
      <c r="H949" s="2" t="s">
        <v>4368</v>
      </c>
      <c r="I949" s="2" t="s">
        <v>4369</v>
      </c>
      <c r="J949" s="2" t="s">
        <v>302</v>
      </c>
      <c r="K949" s="2" t="s">
        <v>4707</v>
      </c>
      <c r="L949" s="3">
        <v>27.39</v>
      </c>
      <c r="M949" s="3">
        <v>28.76</v>
      </c>
      <c r="N949" s="3">
        <v>62.99</v>
      </c>
      <c r="O949" s="2" t="s">
        <v>243</v>
      </c>
      <c r="P949" s="2" t="s">
        <v>1281</v>
      </c>
      <c r="Q949" s="2" t="s">
        <v>237</v>
      </c>
      <c r="R949" s="2" t="s">
        <v>231</v>
      </c>
      <c r="S949" s="2" t="s">
        <v>4708</v>
      </c>
      <c r="T949" s="2" t="s">
        <v>4134</v>
      </c>
      <c r="U949" s="2" t="s">
        <v>231</v>
      </c>
      <c r="V949" s="2" t="s">
        <v>4046</v>
      </c>
      <c r="W949" s="2" t="s">
        <v>273</v>
      </c>
      <c r="X949" s="2" t="s">
        <v>231</v>
      </c>
      <c r="Y949" s="2" t="s">
        <v>4717</v>
      </c>
      <c r="Z949" s="4">
        <v>3</v>
      </c>
      <c r="AA949" s="4">
        <f>=ROUNDDOWN(0.0714285714285714,0)</f>
      </c>
      <c r="AB949" s="5">
        <v>42</v>
      </c>
      <c r="AC949" s="2" t="s">
        <v>4449</v>
      </c>
      <c r="AD949" s="4">
        <v>412</v>
      </c>
      <c r="AE949" s="4">
        <v>1515</v>
      </c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231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231</v>
      </c>
      <c r="AW949" s="8" t="s">
        <v>231</v>
      </c>
      <c r="AX949" s="4" t="s">
        <v>231</v>
      </c>
      <c r="AY949" s="8" t="s">
        <v>231</v>
      </c>
      <c r="AZ949" s="7" t="s">
        <v>231</v>
      </c>
      <c r="BA949" s="7" t="s">
        <v>231</v>
      </c>
      <c r="BB949" s="7"/>
      <c r="BC949" s="4" t="s">
        <v>231</v>
      </c>
      <c r="BD949" s="8" t="s">
        <v>231</v>
      </c>
      <c r="BE949" s="4" t="s">
        <v>231</v>
      </c>
      <c r="BF949" s="8" t="s">
        <v>231</v>
      </c>
      <c r="BG949" s="7" t="s">
        <v>231</v>
      </c>
      <c r="BH949" s="7" t="s">
        <v>231</v>
      </c>
      <c r="BI949" s="7"/>
      <c r="BJ949" s="4"/>
      <c r="BK949" s="8"/>
      <c r="BL949" s="2" t="s">
        <v>231</v>
      </c>
      <c r="BM949" s="7"/>
      <c r="BN949" s="7"/>
      <c r="BO949" s="4"/>
      <c r="BP949" s="8"/>
      <c r="BQ949" s="4"/>
      <c r="BR949" s="8"/>
      <c r="BS949" s="7"/>
      <c r="BT949" s="7"/>
      <c r="BU949" s="2" t="s">
        <v>4718</v>
      </c>
      <c r="BV949" s="2" t="s">
        <v>231</v>
      </c>
      <c r="BW949" s="2" t="s">
        <v>231</v>
      </c>
      <c r="BX949" s="2" t="s">
        <v>231</v>
      </c>
      <c r="BY949" s="2" t="s">
        <v>277</v>
      </c>
      <c r="BZ949" s="2" t="s">
        <v>243</v>
      </c>
      <c r="CA949" s="2" t="s">
        <v>4200</v>
      </c>
      <c r="CB949" s="2" t="s">
        <v>4719</v>
      </c>
      <c r="CC949" s="2" t="s">
        <v>244</v>
      </c>
      <c r="CD949" s="2" t="s">
        <v>231</v>
      </c>
      <c r="CE949" s="4">
        <v>3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>
        <v>412</v>
      </c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>
        <v>739</v>
      </c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>
        <v>364</v>
      </c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</row>
    <row r="950">
      <c r="A950" s="2" t="s">
        <v>4720</v>
      </c>
      <c r="B950" s="2" t="s">
        <v>287</v>
      </c>
      <c r="C950" s="2" t="s">
        <v>965</v>
      </c>
      <c r="D950" s="2" t="s">
        <v>289</v>
      </c>
      <c r="E950" s="2" t="s">
        <v>290</v>
      </c>
      <c r="F950" s="2" t="s">
        <v>4368</v>
      </c>
      <c r="G950" s="2" t="s">
        <v>4368</v>
      </c>
      <c r="H950" s="2" t="s">
        <v>4368</v>
      </c>
      <c r="I950" s="2" t="s">
        <v>4369</v>
      </c>
      <c r="J950" s="2" t="s">
        <v>318</v>
      </c>
      <c r="K950" s="2" t="s">
        <v>1348</v>
      </c>
      <c r="L950" s="3">
        <v>14.89</v>
      </c>
      <c r="M950" s="3">
        <v>15.63</v>
      </c>
      <c r="N950" s="3">
        <v>31.99</v>
      </c>
      <c r="O950" s="2" t="s">
        <v>243</v>
      </c>
      <c r="P950" s="2" t="s">
        <v>270</v>
      </c>
      <c r="Q950" s="2" t="s">
        <v>237</v>
      </c>
      <c r="R950" s="2" t="s">
        <v>231</v>
      </c>
      <c r="S950" s="2" t="s">
        <v>4721</v>
      </c>
      <c r="T950" s="2" t="s">
        <v>4134</v>
      </c>
      <c r="U950" s="2" t="s">
        <v>231</v>
      </c>
      <c r="V950" s="2" t="s">
        <v>1304</v>
      </c>
      <c r="W950" s="2" t="s">
        <v>273</v>
      </c>
      <c r="X950" s="2" t="s">
        <v>231</v>
      </c>
      <c r="Y950" s="2" t="s">
        <v>274</v>
      </c>
      <c r="Z950" s="4"/>
      <c r="AA950" s="4">
        <f>=ROUNDDOWN({0},0)</f>
      </c>
      <c r="AB950" s="5">
        <v>37</v>
      </c>
      <c r="AC950" s="2" t="s">
        <v>4449</v>
      </c>
      <c r="AD950" s="4">
        <v>364</v>
      </c>
      <c r="AE950" s="4">
        <v>1324</v>
      </c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231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231</v>
      </c>
      <c r="AW950" s="8" t="s">
        <v>231</v>
      </c>
      <c r="AX950" s="4" t="s">
        <v>231</v>
      </c>
      <c r="AY950" s="8" t="s">
        <v>231</v>
      </c>
      <c r="AZ950" s="7" t="s">
        <v>231</v>
      </c>
      <c r="BA950" s="7" t="s">
        <v>231</v>
      </c>
      <c r="BB950" s="7"/>
      <c r="BC950" s="4" t="s">
        <v>231</v>
      </c>
      <c r="BD950" s="8" t="s">
        <v>231</v>
      </c>
      <c r="BE950" s="4" t="s">
        <v>231</v>
      </c>
      <c r="BF950" s="8" t="s">
        <v>231</v>
      </c>
      <c r="BG950" s="7" t="s">
        <v>231</v>
      </c>
      <c r="BH950" s="7" t="s">
        <v>231</v>
      </c>
      <c r="BI950" s="7"/>
      <c r="BJ950" s="4"/>
      <c r="BK950" s="8"/>
      <c r="BL950" s="2" t="s">
        <v>231</v>
      </c>
      <c r="BM950" s="7"/>
      <c r="BN950" s="7"/>
      <c r="BO950" s="4"/>
      <c r="BP950" s="8"/>
      <c r="BQ950" s="4"/>
      <c r="BR950" s="8"/>
      <c r="BS950" s="7"/>
      <c r="BT950" s="7"/>
      <c r="BU950" s="2" t="s">
        <v>4722</v>
      </c>
      <c r="BV950" s="2" t="s">
        <v>231</v>
      </c>
      <c r="BW950" s="2" t="s">
        <v>231</v>
      </c>
      <c r="BX950" s="2" t="s">
        <v>231</v>
      </c>
      <c r="BY950" s="2" t="s">
        <v>277</v>
      </c>
      <c r="BZ950" s="2" t="s">
        <v>243</v>
      </c>
      <c r="CA950" s="2" t="s">
        <v>4200</v>
      </c>
      <c r="CB950" s="2" t="s">
        <v>4723</v>
      </c>
      <c r="CC950" s="2" t="s">
        <v>244</v>
      </c>
      <c r="CD950" s="2" t="s">
        <v>231</v>
      </c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>
        <v>364</v>
      </c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>
        <v>636</v>
      </c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>
        <v>324</v>
      </c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</row>
    <row r="951">
      <c r="A951" s="2" t="s">
        <v>4724</v>
      </c>
      <c r="B951" s="2" t="s">
        <v>287</v>
      </c>
      <c r="C951" s="2" t="s">
        <v>965</v>
      </c>
      <c r="D951" s="2" t="s">
        <v>289</v>
      </c>
      <c r="E951" s="2" t="s">
        <v>290</v>
      </c>
      <c r="F951" s="2" t="s">
        <v>4368</v>
      </c>
      <c r="G951" s="2" t="s">
        <v>4368</v>
      </c>
      <c r="H951" s="2" t="s">
        <v>4368</v>
      </c>
      <c r="I951" s="2" t="s">
        <v>4369</v>
      </c>
      <c r="J951" s="2" t="s">
        <v>268</v>
      </c>
      <c r="K951" s="2" t="s">
        <v>1348</v>
      </c>
      <c r="L951" s="3">
        <v>16.16</v>
      </c>
      <c r="M951" s="3">
        <v>16.97</v>
      </c>
      <c r="N951" s="3">
        <v>34.99</v>
      </c>
      <c r="O951" s="2" t="s">
        <v>243</v>
      </c>
      <c r="P951" s="2" t="s">
        <v>871</v>
      </c>
      <c r="Q951" s="2" t="s">
        <v>237</v>
      </c>
      <c r="R951" s="2" t="s">
        <v>231</v>
      </c>
      <c r="S951" s="2" t="s">
        <v>4721</v>
      </c>
      <c r="T951" s="2" t="s">
        <v>4134</v>
      </c>
      <c r="U951" s="2" t="s">
        <v>231</v>
      </c>
      <c r="V951" s="2" t="s">
        <v>1304</v>
      </c>
      <c r="W951" s="2" t="s">
        <v>273</v>
      </c>
      <c r="X951" s="2" t="s">
        <v>231</v>
      </c>
      <c r="Y951" s="2" t="s">
        <v>4472</v>
      </c>
      <c r="Z951" s="4"/>
      <c r="AA951" s="4">
        <f>=ROUNDDOWN({0},0)</f>
      </c>
      <c r="AB951" s="5">
        <v>50</v>
      </c>
      <c r="AC951" s="2" t="s">
        <v>4449</v>
      </c>
      <c r="AD951" s="4">
        <v>486</v>
      </c>
      <c r="AE951" s="4">
        <v>1800</v>
      </c>
      <c r="AF951" s="6">
        <v>65</v>
      </c>
      <c r="AG951" s="6"/>
      <c r="AH951" s="7">
        <v>0.129</v>
      </c>
      <c r="AI951" s="4"/>
      <c r="AJ951" s="4">
        <f>=ROUNDDOWN({0},0)</f>
      </c>
      <c r="AK951" s="5"/>
      <c r="AL951" s="2" t="s">
        <v>231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231</v>
      </c>
      <c r="AW951" s="8" t="s">
        <v>231</v>
      </c>
      <c r="AX951" s="4" t="s">
        <v>231</v>
      </c>
      <c r="AY951" s="8" t="s">
        <v>231</v>
      </c>
      <c r="AZ951" s="7" t="s">
        <v>231</v>
      </c>
      <c r="BA951" s="7" t="s">
        <v>231</v>
      </c>
      <c r="BB951" s="7"/>
      <c r="BC951" s="4" t="s">
        <v>231</v>
      </c>
      <c r="BD951" s="8" t="s">
        <v>231</v>
      </c>
      <c r="BE951" s="4" t="s">
        <v>231</v>
      </c>
      <c r="BF951" s="8" t="s">
        <v>231</v>
      </c>
      <c r="BG951" s="7" t="s">
        <v>231</v>
      </c>
      <c r="BH951" s="7" t="s">
        <v>231</v>
      </c>
      <c r="BI951" s="7"/>
      <c r="BJ951" s="4">
        <v>3</v>
      </c>
      <c r="BK951" s="8">
        <v>53.49</v>
      </c>
      <c r="BL951" s="2" t="s">
        <v>4725</v>
      </c>
      <c r="BM951" s="7"/>
      <c r="BN951" s="7"/>
      <c r="BO951" s="4"/>
      <c r="BP951" s="8"/>
      <c r="BQ951" s="4"/>
      <c r="BR951" s="8"/>
      <c r="BS951" s="7"/>
      <c r="BT951" s="7"/>
      <c r="BU951" s="2" t="s">
        <v>4726</v>
      </c>
      <c r="BV951" s="2" t="s">
        <v>231</v>
      </c>
      <c r="BW951" s="2" t="s">
        <v>231</v>
      </c>
      <c r="BX951" s="2" t="s">
        <v>231</v>
      </c>
      <c r="BY951" s="2" t="s">
        <v>277</v>
      </c>
      <c r="BZ951" s="2" t="s">
        <v>243</v>
      </c>
      <c r="CA951" s="2" t="s">
        <v>4474</v>
      </c>
      <c r="CB951" s="2" t="s">
        <v>4475</v>
      </c>
      <c r="CC951" s="2" t="s">
        <v>244</v>
      </c>
      <c r="CD951" s="2" t="s">
        <v>231</v>
      </c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>
        <v>486</v>
      </c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>
        <v>889</v>
      </c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>
        <v>425</v>
      </c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</row>
    <row r="952">
      <c r="A952" s="2" t="s">
        <v>4727</v>
      </c>
      <c r="B952" s="2" t="s">
        <v>287</v>
      </c>
      <c r="C952" s="2" t="s">
        <v>965</v>
      </c>
      <c r="D952" s="2" t="s">
        <v>289</v>
      </c>
      <c r="E952" s="2" t="s">
        <v>290</v>
      </c>
      <c r="F952" s="2" t="s">
        <v>4368</v>
      </c>
      <c r="G952" s="2" t="s">
        <v>4368</v>
      </c>
      <c r="H952" s="2" t="s">
        <v>4368</v>
      </c>
      <c r="I952" s="2" t="s">
        <v>4369</v>
      </c>
      <c r="J952" s="2" t="s">
        <v>281</v>
      </c>
      <c r="K952" s="2" t="s">
        <v>1348</v>
      </c>
      <c r="L952" s="3">
        <v>19.57</v>
      </c>
      <c r="M952" s="3">
        <v>20.55</v>
      </c>
      <c r="N952" s="3">
        <v>42.99</v>
      </c>
      <c r="O952" s="2" t="s">
        <v>243</v>
      </c>
      <c r="P952" s="2" t="s">
        <v>1281</v>
      </c>
      <c r="Q952" s="2" t="s">
        <v>237</v>
      </c>
      <c r="R952" s="2" t="s">
        <v>231</v>
      </c>
      <c r="S952" s="2" t="s">
        <v>4721</v>
      </c>
      <c r="T952" s="2" t="s">
        <v>4134</v>
      </c>
      <c r="U952" s="2" t="s">
        <v>231</v>
      </c>
      <c r="V952" s="2" t="s">
        <v>1304</v>
      </c>
      <c r="W952" s="2" t="s">
        <v>273</v>
      </c>
      <c r="X952" s="2" t="s">
        <v>231</v>
      </c>
      <c r="Y952" s="2" t="s">
        <v>274</v>
      </c>
      <c r="Z952" s="4">
        <v>2</v>
      </c>
      <c r="AA952" s="4">
        <f>=ROUNDDOWN(0.0645161290322581,0)</f>
      </c>
      <c r="AB952" s="5">
        <v>31</v>
      </c>
      <c r="AC952" s="2" t="s">
        <v>4449</v>
      </c>
      <c r="AD952" s="4">
        <v>309</v>
      </c>
      <c r="AE952" s="4">
        <v>1123</v>
      </c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231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231</v>
      </c>
      <c r="AW952" s="8" t="s">
        <v>231</v>
      </c>
      <c r="AX952" s="4" t="s">
        <v>231</v>
      </c>
      <c r="AY952" s="8" t="s">
        <v>231</v>
      </c>
      <c r="AZ952" s="7" t="s">
        <v>231</v>
      </c>
      <c r="BA952" s="7" t="s">
        <v>231</v>
      </c>
      <c r="BB952" s="7"/>
      <c r="BC952" s="4" t="s">
        <v>231</v>
      </c>
      <c r="BD952" s="8" t="s">
        <v>231</v>
      </c>
      <c r="BE952" s="4" t="s">
        <v>231</v>
      </c>
      <c r="BF952" s="8" t="s">
        <v>231</v>
      </c>
      <c r="BG952" s="7" t="s">
        <v>231</v>
      </c>
      <c r="BH952" s="7" t="s">
        <v>231</v>
      </c>
      <c r="BI952" s="7"/>
      <c r="BJ952" s="4"/>
      <c r="BK952" s="8"/>
      <c r="BL952" s="2" t="s">
        <v>424</v>
      </c>
      <c r="BM952" s="7"/>
      <c r="BN952" s="7"/>
      <c r="BO952" s="4"/>
      <c r="BP952" s="8"/>
      <c r="BQ952" s="4"/>
      <c r="BR952" s="8"/>
      <c r="BS952" s="7"/>
      <c r="BT952" s="7"/>
      <c r="BU952" s="2" t="s">
        <v>4728</v>
      </c>
      <c r="BV952" s="2" t="s">
        <v>231</v>
      </c>
      <c r="BW952" s="2" t="s">
        <v>231</v>
      </c>
      <c r="BX952" s="2" t="s">
        <v>231</v>
      </c>
      <c r="BY952" s="2" t="s">
        <v>277</v>
      </c>
      <c r="BZ952" s="2" t="s">
        <v>243</v>
      </c>
      <c r="CA952" s="2" t="s">
        <v>4200</v>
      </c>
      <c r="CB952" s="2" t="s">
        <v>414</v>
      </c>
      <c r="CC952" s="2" t="s">
        <v>244</v>
      </c>
      <c r="CD952" s="2" t="s">
        <v>231</v>
      </c>
      <c r="CE952" s="4">
        <v>2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>
        <v>309</v>
      </c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>
        <v>539</v>
      </c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>
        <v>275</v>
      </c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</row>
    <row r="953">
      <c r="A953" s="2" t="s">
        <v>4729</v>
      </c>
      <c r="B953" s="2" t="s">
        <v>287</v>
      </c>
      <c r="C953" s="2" t="s">
        <v>965</v>
      </c>
      <c r="D953" s="2" t="s">
        <v>289</v>
      </c>
      <c r="E953" s="2" t="s">
        <v>290</v>
      </c>
      <c r="F953" s="2" t="s">
        <v>4368</v>
      </c>
      <c r="G953" s="2" t="s">
        <v>4368</v>
      </c>
      <c r="H953" s="2" t="s">
        <v>4368</v>
      </c>
      <c r="I953" s="2" t="s">
        <v>4369</v>
      </c>
      <c r="J953" s="2" t="s">
        <v>304</v>
      </c>
      <c r="K953" s="2" t="s">
        <v>1348</v>
      </c>
      <c r="L953" s="3">
        <v>27.39</v>
      </c>
      <c r="M953" s="3">
        <v>28.76</v>
      </c>
      <c r="N953" s="3">
        <v>62.99</v>
      </c>
      <c r="O953" s="2" t="s">
        <v>243</v>
      </c>
      <c r="P953" s="2" t="s">
        <v>270</v>
      </c>
      <c r="Q953" s="2" t="s">
        <v>237</v>
      </c>
      <c r="R953" s="2" t="s">
        <v>231</v>
      </c>
      <c r="S953" s="2" t="s">
        <v>4721</v>
      </c>
      <c r="T953" s="2" t="s">
        <v>4134</v>
      </c>
      <c r="U953" s="2" t="s">
        <v>231</v>
      </c>
      <c r="V953" s="2" t="s">
        <v>1304</v>
      </c>
      <c r="W953" s="2" t="s">
        <v>273</v>
      </c>
      <c r="X953" s="2" t="s">
        <v>231</v>
      </c>
      <c r="Y953" s="2" t="s">
        <v>4472</v>
      </c>
      <c r="Z953" s="4">
        <v>3</v>
      </c>
      <c r="AA953" s="4">
        <f>=ROUNDDOWN(0.214285714285714,0)</f>
      </c>
      <c r="AB953" s="5">
        <v>14</v>
      </c>
      <c r="AC953" s="2" t="s">
        <v>4449</v>
      </c>
      <c r="AD953" s="4">
        <v>144</v>
      </c>
      <c r="AE953" s="4">
        <v>539</v>
      </c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231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231</v>
      </c>
      <c r="AW953" s="8" t="s">
        <v>231</v>
      </c>
      <c r="AX953" s="4" t="s">
        <v>231</v>
      </c>
      <c r="AY953" s="8" t="s">
        <v>231</v>
      </c>
      <c r="AZ953" s="7" t="s">
        <v>231</v>
      </c>
      <c r="BA953" s="7" t="s">
        <v>231</v>
      </c>
      <c r="BB953" s="7"/>
      <c r="BC953" s="4" t="s">
        <v>231</v>
      </c>
      <c r="BD953" s="8" t="s">
        <v>231</v>
      </c>
      <c r="BE953" s="4" t="s">
        <v>231</v>
      </c>
      <c r="BF953" s="8" t="s">
        <v>231</v>
      </c>
      <c r="BG953" s="7" t="s">
        <v>231</v>
      </c>
      <c r="BH953" s="7" t="s">
        <v>231</v>
      </c>
      <c r="BI953" s="7"/>
      <c r="BJ953" s="4"/>
      <c r="BK953" s="8"/>
      <c r="BL953" s="2" t="s">
        <v>231</v>
      </c>
      <c r="BM953" s="7"/>
      <c r="BN953" s="7"/>
      <c r="BO953" s="4"/>
      <c r="BP953" s="8"/>
      <c r="BQ953" s="4"/>
      <c r="BR953" s="8"/>
      <c r="BS953" s="7"/>
      <c r="BT953" s="7"/>
      <c r="BU953" s="2" t="s">
        <v>4730</v>
      </c>
      <c r="BV953" s="2" t="s">
        <v>231</v>
      </c>
      <c r="BW953" s="2" t="s">
        <v>231</v>
      </c>
      <c r="BX953" s="2" t="s">
        <v>231</v>
      </c>
      <c r="BY953" s="2" t="s">
        <v>277</v>
      </c>
      <c r="BZ953" s="2" t="s">
        <v>243</v>
      </c>
      <c r="CA953" s="2" t="s">
        <v>4200</v>
      </c>
      <c r="CB953" s="2" t="s">
        <v>4302</v>
      </c>
      <c r="CC953" s="2" t="s">
        <v>244</v>
      </c>
      <c r="CD953" s="2" t="s">
        <v>231</v>
      </c>
      <c r="CE953" s="4">
        <v>3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>
        <v>144</v>
      </c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>
        <v>270</v>
      </c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>
        <v>125</v>
      </c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</row>
    <row r="954">
      <c r="A954" s="2" t="s">
        <v>4731</v>
      </c>
      <c r="B954" s="2" t="s">
        <v>287</v>
      </c>
      <c r="C954" s="2" t="s">
        <v>965</v>
      </c>
      <c r="D954" s="2" t="s">
        <v>289</v>
      </c>
      <c r="E954" s="2" t="s">
        <v>290</v>
      </c>
      <c r="F954" s="2" t="s">
        <v>4368</v>
      </c>
      <c r="G954" s="2" t="s">
        <v>4368</v>
      </c>
      <c r="H954" s="2" t="s">
        <v>4368</v>
      </c>
      <c r="I954" s="2" t="s">
        <v>4369</v>
      </c>
      <c r="J954" s="2" t="s">
        <v>302</v>
      </c>
      <c r="K954" s="2" t="s">
        <v>4732</v>
      </c>
      <c r="L954" s="3">
        <v>27.39</v>
      </c>
      <c r="M954" s="3">
        <v>28.76</v>
      </c>
      <c r="N954" s="3">
        <v>62.99</v>
      </c>
      <c r="O954" s="2" t="s">
        <v>243</v>
      </c>
      <c r="P954" s="2" t="s">
        <v>341</v>
      </c>
      <c r="Q954" s="2" t="s">
        <v>237</v>
      </c>
      <c r="R954" s="2" t="s">
        <v>231</v>
      </c>
      <c r="S954" s="2" t="s">
        <v>4733</v>
      </c>
      <c r="T954" s="2" t="s">
        <v>4134</v>
      </c>
      <c r="U954" s="2" t="s">
        <v>298</v>
      </c>
      <c r="V954" s="2" t="s">
        <v>1685</v>
      </c>
      <c r="W954" s="2" t="s">
        <v>273</v>
      </c>
      <c r="X954" s="2" t="s">
        <v>792</v>
      </c>
      <c r="Y954" s="2" t="s">
        <v>4417</v>
      </c>
      <c r="Z954" s="4">
        <v>142</v>
      </c>
      <c r="AA954" s="4">
        <f>=ROUNDDOWN(118.333333333333,0)</f>
      </c>
      <c r="AB954" s="5">
        <v>1.2</v>
      </c>
      <c r="AC954" s="2" t="s">
        <v>231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231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231</v>
      </c>
      <c r="BD954" s="8" t="s">
        <v>231</v>
      </c>
      <c r="BE954" s="4" t="s">
        <v>231</v>
      </c>
      <c r="BF954" s="8" t="s">
        <v>231</v>
      </c>
      <c r="BG954" s="7" t="s">
        <v>231</v>
      </c>
      <c r="BH954" s="7" t="s">
        <v>231</v>
      </c>
      <c r="BI954" s="7"/>
      <c r="BJ954" s="4">
        <v>1</v>
      </c>
      <c r="BK954" s="8">
        <v>32.75</v>
      </c>
      <c r="BL954" s="2" t="s">
        <v>4229</v>
      </c>
      <c r="BM954" s="7"/>
      <c r="BN954" s="7"/>
      <c r="BO954" s="4"/>
      <c r="BP954" s="8"/>
      <c r="BQ954" s="4"/>
      <c r="BR954" s="8"/>
      <c r="BS954" s="7"/>
      <c r="BT954" s="7"/>
      <c r="BU954" s="2" t="s">
        <v>4734</v>
      </c>
      <c r="BV954" s="2" t="s">
        <v>231</v>
      </c>
      <c r="BW954" s="2" t="s">
        <v>231</v>
      </c>
      <c r="BX954" s="2" t="s">
        <v>1360</v>
      </c>
      <c r="BY954" s="2" t="s">
        <v>277</v>
      </c>
      <c r="BZ954" s="2" t="s">
        <v>243</v>
      </c>
      <c r="CA954" s="2" t="s">
        <v>4420</v>
      </c>
      <c r="CB954" s="2" t="s">
        <v>4735</v>
      </c>
      <c r="CC954" s="2" t="s">
        <v>244</v>
      </c>
      <c r="CD954" s="2" t="s">
        <v>231</v>
      </c>
      <c r="CE954" s="4">
        <v>142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</row>
    <row r="955">
      <c r="A955" s="2" t="s">
        <v>4736</v>
      </c>
      <c r="B955" s="2" t="s">
        <v>287</v>
      </c>
      <c r="C955" s="2" t="s">
        <v>965</v>
      </c>
      <c r="D955" s="2" t="s">
        <v>289</v>
      </c>
      <c r="E955" s="2" t="s">
        <v>290</v>
      </c>
      <c r="F955" s="2" t="s">
        <v>4368</v>
      </c>
      <c r="G955" s="2" t="s">
        <v>4368</v>
      </c>
      <c r="H955" s="2" t="s">
        <v>4368</v>
      </c>
      <c r="I955" s="2" t="s">
        <v>4369</v>
      </c>
      <c r="J955" s="2" t="s">
        <v>318</v>
      </c>
      <c r="K955" s="2" t="s">
        <v>4737</v>
      </c>
      <c r="L955" s="3">
        <v>14.89</v>
      </c>
      <c r="M955" s="3">
        <v>15.63</v>
      </c>
      <c r="N955" s="3">
        <v>31.99</v>
      </c>
      <c r="O955" s="2" t="s">
        <v>243</v>
      </c>
      <c r="P955" s="2" t="s">
        <v>871</v>
      </c>
      <c r="Q955" s="2" t="s">
        <v>237</v>
      </c>
      <c r="R955" s="2" t="s">
        <v>231</v>
      </c>
      <c r="S955" s="2" t="s">
        <v>4738</v>
      </c>
      <c r="T955" s="2" t="s">
        <v>4134</v>
      </c>
      <c r="U955" s="2" t="s">
        <v>835</v>
      </c>
      <c r="V955" s="2" t="s">
        <v>1685</v>
      </c>
      <c r="W955" s="2" t="s">
        <v>273</v>
      </c>
      <c r="X955" s="2" t="s">
        <v>792</v>
      </c>
      <c r="Y955" s="2" t="s">
        <v>4417</v>
      </c>
      <c r="Z955" s="4">
        <v>1</v>
      </c>
      <c r="AA955" s="4">
        <f>=ROUNDDOWN(0.0175438596491228,0)</f>
      </c>
      <c r="AB955" s="5">
        <v>57</v>
      </c>
      <c r="AC955" s="2" t="s">
        <v>4449</v>
      </c>
      <c r="AD955" s="4">
        <v>550</v>
      </c>
      <c r="AE955" s="4">
        <v>2081</v>
      </c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231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231</v>
      </c>
      <c r="AW955" s="8" t="s">
        <v>231</v>
      </c>
      <c r="AX955" s="4" t="s">
        <v>231</v>
      </c>
      <c r="AY955" s="8" t="s">
        <v>231</v>
      </c>
      <c r="AZ955" s="7" t="s">
        <v>231</v>
      </c>
      <c r="BA955" s="7" t="s">
        <v>231</v>
      </c>
      <c r="BB955" s="7"/>
      <c r="BC955" s="4" t="s">
        <v>231</v>
      </c>
      <c r="BD955" s="8" t="s">
        <v>231</v>
      </c>
      <c r="BE955" s="4" t="s">
        <v>231</v>
      </c>
      <c r="BF955" s="8" t="s">
        <v>231</v>
      </c>
      <c r="BG955" s="7" t="s">
        <v>231</v>
      </c>
      <c r="BH955" s="7" t="s">
        <v>231</v>
      </c>
      <c r="BI955" s="7"/>
      <c r="BJ955" s="4"/>
      <c r="BK955" s="8"/>
      <c r="BL955" s="2" t="s">
        <v>4322</v>
      </c>
      <c r="BM955" s="7"/>
      <c r="BN955" s="7"/>
      <c r="BO955" s="4"/>
      <c r="BP955" s="8"/>
      <c r="BQ955" s="4"/>
      <c r="BR955" s="8"/>
      <c r="BS955" s="7"/>
      <c r="BT955" s="7"/>
      <c r="BU955" s="2" t="s">
        <v>4739</v>
      </c>
      <c r="BV955" s="2" t="s">
        <v>231</v>
      </c>
      <c r="BW955" s="2" t="s">
        <v>231</v>
      </c>
      <c r="BX955" s="2" t="s">
        <v>231</v>
      </c>
      <c r="BY955" s="2" t="s">
        <v>277</v>
      </c>
      <c r="BZ955" s="2" t="s">
        <v>243</v>
      </c>
      <c r="CA955" s="2" t="s">
        <v>4420</v>
      </c>
      <c r="CB955" s="2" t="s">
        <v>4740</v>
      </c>
      <c r="CC955" s="2" t="s">
        <v>244</v>
      </c>
      <c r="CD955" s="2" t="s">
        <v>231</v>
      </c>
      <c r="CE955" s="4">
        <v>1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>
        <v>550</v>
      </c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>
        <v>1039</v>
      </c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>
        <v>492</v>
      </c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</row>
    <row r="956">
      <c r="A956" s="2" t="s">
        <v>4741</v>
      </c>
      <c r="B956" s="2" t="s">
        <v>287</v>
      </c>
      <c r="C956" s="2" t="s">
        <v>965</v>
      </c>
      <c r="D956" s="2" t="s">
        <v>289</v>
      </c>
      <c r="E956" s="2" t="s">
        <v>290</v>
      </c>
      <c r="F956" s="2" t="s">
        <v>4368</v>
      </c>
      <c r="G956" s="2" t="s">
        <v>4368</v>
      </c>
      <c r="H956" s="2" t="s">
        <v>4368</v>
      </c>
      <c r="I956" s="2" t="s">
        <v>4369</v>
      </c>
      <c r="J956" s="2" t="s">
        <v>268</v>
      </c>
      <c r="K956" s="2" t="s">
        <v>4737</v>
      </c>
      <c r="L956" s="3">
        <v>16.16</v>
      </c>
      <c r="M956" s="3">
        <v>16.97</v>
      </c>
      <c r="N956" s="3">
        <v>34.99</v>
      </c>
      <c r="O956" s="2" t="s">
        <v>243</v>
      </c>
      <c r="P956" s="2" t="s">
        <v>270</v>
      </c>
      <c r="Q956" s="2" t="s">
        <v>237</v>
      </c>
      <c r="R956" s="2" t="s">
        <v>231</v>
      </c>
      <c r="S956" s="2" t="s">
        <v>4738</v>
      </c>
      <c r="T956" s="2" t="s">
        <v>4134</v>
      </c>
      <c r="U956" s="2" t="s">
        <v>835</v>
      </c>
      <c r="V956" s="2" t="s">
        <v>1685</v>
      </c>
      <c r="W956" s="2" t="s">
        <v>273</v>
      </c>
      <c r="X956" s="2" t="s">
        <v>792</v>
      </c>
      <c r="Y956" s="2" t="s">
        <v>4417</v>
      </c>
      <c r="Z956" s="4"/>
      <c r="AA956" s="4">
        <f>=ROUNDDOWN({0},0)</f>
      </c>
      <c r="AB956" s="5">
        <v>21</v>
      </c>
      <c r="AC956" s="2" t="s">
        <v>4449</v>
      </c>
      <c r="AD956" s="4">
        <v>211</v>
      </c>
      <c r="AE956" s="4">
        <v>768</v>
      </c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231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231</v>
      </c>
      <c r="AW956" s="8" t="s">
        <v>231</v>
      </c>
      <c r="AX956" s="4" t="s">
        <v>231</v>
      </c>
      <c r="AY956" s="8" t="s">
        <v>231</v>
      </c>
      <c r="AZ956" s="7" t="s">
        <v>231</v>
      </c>
      <c r="BA956" s="7" t="s">
        <v>231</v>
      </c>
      <c r="BB956" s="7"/>
      <c r="BC956" s="4" t="s">
        <v>231</v>
      </c>
      <c r="BD956" s="8" t="s">
        <v>231</v>
      </c>
      <c r="BE956" s="4" t="s">
        <v>231</v>
      </c>
      <c r="BF956" s="8" t="s">
        <v>231</v>
      </c>
      <c r="BG956" s="7" t="s">
        <v>231</v>
      </c>
      <c r="BH956" s="7" t="s">
        <v>231</v>
      </c>
      <c r="BI956" s="7"/>
      <c r="BJ956" s="4"/>
      <c r="BK956" s="8"/>
      <c r="BL956" s="2" t="s">
        <v>231</v>
      </c>
      <c r="BM956" s="7"/>
      <c r="BN956" s="7"/>
      <c r="BO956" s="4"/>
      <c r="BP956" s="8"/>
      <c r="BQ956" s="4"/>
      <c r="BR956" s="8"/>
      <c r="BS956" s="7"/>
      <c r="BT956" s="7"/>
      <c r="BU956" s="2" t="s">
        <v>4742</v>
      </c>
      <c r="BV956" s="2" t="s">
        <v>231</v>
      </c>
      <c r="BW956" s="2" t="s">
        <v>231</v>
      </c>
      <c r="BX956" s="2" t="s">
        <v>231</v>
      </c>
      <c r="BY956" s="2" t="s">
        <v>277</v>
      </c>
      <c r="BZ956" s="2" t="s">
        <v>243</v>
      </c>
      <c r="CA956" s="2" t="s">
        <v>4420</v>
      </c>
      <c r="CB956" s="2" t="s">
        <v>766</v>
      </c>
      <c r="CC956" s="2" t="s">
        <v>244</v>
      </c>
      <c r="CD956" s="2" t="s">
        <v>231</v>
      </c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>
        <v>211</v>
      </c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>
        <v>360</v>
      </c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>
        <v>197</v>
      </c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</row>
    <row r="957">
      <c r="A957" s="2" t="s">
        <v>4743</v>
      </c>
      <c r="B957" s="2" t="s">
        <v>287</v>
      </c>
      <c r="C957" s="2" t="s">
        <v>965</v>
      </c>
      <c r="D957" s="2" t="s">
        <v>289</v>
      </c>
      <c r="E957" s="2" t="s">
        <v>290</v>
      </c>
      <c r="F957" s="2" t="s">
        <v>4368</v>
      </c>
      <c r="G957" s="2" t="s">
        <v>4368</v>
      </c>
      <c r="H957" s="2" t="s">
        <v>4368</v>
      </c>
      <c r="I957" s="2" t="s">
        <v>4369</v>
      </c>
      <c r="J957" s="2" t="s">
        <v>293</v>
      </c>
      <c r="K957" s="2" t="s">
        <v>4737</v>
      </c>
      <c r="L957" s="3">
        <v>22.21</v>
      </c>
      <c r="M957" s="3">
        <v>23.32</v>
      </c>
      <c r="N957" s="3">
        <v>47.99</v>
      </c>
      <c r="O957" s="2" t="s">
        <v>243</v>
      </c>
      <c r="P957" s="2" t="s">
        <v>4057</v>
      </c>
      <c r="Q957" s="2" t="s">
        <v>237</v>
      </c>
      <c r="R957" s="2" t="s">
        <v>231</v>
      </c>
      <c r="S957" s="2" t="s">
        <v>4738</v>
      </c>
      <c r="T957" s="2" t="s">
        <v>4134</v>
      </c>
      <c r="U957" s="2" t="s">
        <v>298</v>
      </c>
      <c r="V957" s="2" t="s">
        <v>1685</v>
      </c>
      <c r="W957" s="2" t="s">
        <v>273</v>
      </c>
      <c r="X957" s="2" t="s">
        <v>792</v>
      </c>
      <c r="Y957" s="2" t="s">
        <v>4417</v>
      </c>
      <c r="Z957" s="4"/>
      <c r="AA957" s="4">
        <f>=ROUNDDOWN({0},0)</f>
      </c>
      <c r="AB957" s="5">
        <v>108</v>
      </c>
      <c r="AC957" s="2" t="s">
        <v>4135</v>
      </c>
      <c r="AD957" s="4">
        <v>1048</v>
      </c>
      <c r="AE957" s="4">
        <v>3919</v>
      </c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231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231</v>
      </c>
      <c r="AW957" s="8" t="s">
        <v>231</v>
      </c>
      <c r="AX957" s="4" t="s">
        <v>231</v>
      </c>
      <c r="AY957" s="8" t="s">
        <v>231</v>
      </c>
      <c r="AZ957" s="7" t="s">
        <v>231</v>
      </c>
      <c r="BA957" s="7" t="s">
        <v>231</v>
      </c>
      <c r="BB957" s="7"/>
      <c r="BC957" s="4" t="s">
        <v>231</v>
      </c>
      <c r="BD957" s="8" t="s">
        <v>231</v>
      </c>
      <c r="BE957" s="4" t="s">
        <v>231</v>
      </c>
      <c r="BF957" s="8" t="s">
        <v>231</v>
      </c>
      <c r="BG957" s="7" t="s">
        <v>231</v>
      </c>
      <c r="BH957" s="7" t="s">
        <v>231</v>
      </c>
      <c r="BI957" s="7"/>
      <c r="BJ957" s="4"/>
      <c r="BK957" s="8"/>
      <c r="BL957" s="2" t="s">
        <v>231</v>
      </c>
      <c r="BM957" s="7"/>
      <c r="BN957" s="7"/>
      <c r="BO957" s="4"/>
      <c r="BP957" s="8"/>
      <c r="BQ957" s="4"/>
      <c r="BR957" s="8"/>
      <c r="BS957" s="7"/>
      <c r="BT957" s="7"/>
      <c r="BU957" s="2" t="s">
        <v>4744</v>
      </c>
      <c r="BV957" s="2" t="s">
        <v>231</v>
      </c>
      <c r="BW957" s="2" t="s">
        <v>231</v>
      </c>
      <c r="BX957" s="2" t="s">
        <v>231</v>
      </c>
      <c r="BY957" s="2" t="s">
        <v>277</v>
      </c>
      <c r="BZ957" s="2" t="s">
        <v>243</v>
      </c>
      <c r="CA957" s="2" t="s">
        <v>4420</v>
      </c>
      <c r="CB957" s="2" t="s">
        <v>4745</v>
      </c>
      <c r="CC957" s="2" t="s">
        <v>244</v>
      </c>
      <c r="CD957" s="2" t="s">
        <v>231</v>
      </c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>
        <v>1048</v>
      </c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>
        <v>1962</v>
      </c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>
        <v>909</v>
      </c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</row>
    <row r="958">
      <c r="A958" s="2" t="s">
        <v>4746</v>
      </c>
      <c r="B958" s="2" t="s">
        <v>287</v>
      </c>
      <c r="C958" s="2" t="s">
        <v>965</v>
      </c>
      <c r="D958" s="2" t="s">
        <v>289</v>
      </c>
      <c r="E958" s="2" t="s">
        <v>290</v>
      </c>
      <c r="F958" s="2" t="s">
        <v>4368</v>
      </c>
      <c r="G958" s="2" t="s">
        <v>4368</v>
      </c>
      <c r="H958" s="2" t="s">
        <v>4368</v>
      </c>
      <c r="I958" s="2" t="s">
        <v>4369</v>
      </c>
      <c r="J958" s="2" t="s">
        <v>302</v>
      </c>
      <c r="K958" s="2" t="s">
        <v>4737</v>
      </c>
      <c r="L958" s="3">
        <v>27.39</v>
      </c>
      <c r="M958" s="3">
        <v>28.76</v>
      </c>
      <c r="N958" s="3">
        <v>62.99</v>
      </c>
      <c r="O958" s="2" t="s">
        <v>243</v>
      </c>
      <c r="P958" s="2" t="s">
        <v>270</v>
      </c>
      <c r="Q958" s="2" t="s">
        <v>237</v>
      </c>
      <c r="R958" s="2" t="s">
        <v>231</v>
      </c>
      <c r="S958" s="2" t="s">
        <v>4738</v>
      </c>
      <c r="T958" s="2" t="s">
        <v>4134</v>
      </c>
      <c r="U958" s="2" t="s">
        <v>298</v>
      </c>
      <c r="V958" s="2" t="s">
        <v>1685</v>
      </c>
      <c r="W958" s="2" t="s">
        <v>273</v>
      </c>
      <c r="X958" s="2" t="s">
        <v>792</v>
      </c>
      <c r="Y958" s="2" t="s">
        <v>4417</v>
      </c>
      <c r="Z958" s="4">
        <v>13</v>
      </c>
      <c r="AA958" s="4">
        <f>=ROUNDDOWN(0.52,0)</f>
      </c>
      <c r="AB958" s="5">
        <v>25</v>
      </c>
      <c r="AC958" s="2" t="s">
        <v>4135</v>
      </c>
      <c r="AD958" s="4">
        <v>253</v>
      </c>
      <c r="AE958" s="4">
        <v>926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231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231</v>
      </c>
      <c r="AW958" s="8" t="s">
        <v>231</v>
      </c>
      <c r="AX958" s="4" t="s">
        <v>231</v>
      </c>
      <c r="AY958" s="8" t="s">
        <v>231</v>
      </c>
      <c r="AZ958" s="7" t="s">
        <v>231</v>
      </c>
      <c r="BA958" s="7" t="s">
        <v>231</v>
      </c>
      <c r="BB958" s="7"/>
      <c r="BC958" s="4" t="s">
        <v>231</v>
      </c>
      <c r="BD958" s="8" t="s">
        <v>231</v>
      </c>
      <c r="BE958" s="4" t="s">
        <v>231</v>
      </c>
      <c r="BF958" s="8" t="s">
        <v>231</v>
      </c>
      <c r="BG958" s="7" t="s">
        <v>231</v>
      </c>
      <c r="BH958" s="7" t="s">
        <v>231</v>
      </c>
      <c r="BI958" s="7"/>
      <c r="BJ958" s="4">
        <v>14</v>
      </c>
      <c r="BK958" s="8">
        <v>413.05</v>
      </c>
      <c r="BL958" s="2" t="s">
        <v>3774</v>
      </c>
      <c r="BM958" s="7"/>
      <c r="BN958" s="7"/>
      <c r="BO958" s="4"/>
      <c r="BP958" s="8"/>
      <c r="BQ958" s="4"/>
      <c r="BR958" s="8"/>
      <c r="BS958" s="7"/>
      <c r="BT958" s="7"/>
      <c r="BU958" s="2" t="s">
        <v>4747</v>
      </c>
      <c r="BV958" s="2" t="s">
        <v>231</v>
      </c>
      <c r="BW958" s="2" t="s">
        <v>231</v>
      </c>
      <c r="BX958" s="2" t="s">
        <v>231</v>
      </c>
      <c r="BY958" s="2" t="s">
        <v>277</v>
      </c>
      <c r="BZ958" s="2" t="s">
        <v>243</v>
      </c>
      <c r="CA958" s="2" t="s">
        <v>4420</v>
      </c>
      <c r="CB958" s="2" t="s">
        <v>4748</v>
      </c>
      <c r="CC958" s="2" t="s">
        <v>244</v>
      </c>
      <c r="CD958" s="2" t="s">
        <v>231</v>
      </c>
      <c r="CE958" s="4">
        <v>13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>
        <v>253</v>
      </c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>
        <v>449</v>
      </c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>
        <v>224</v>
      </c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</row>
    <row r="959">
      <c r="A959" s="2" t="s">
        <v>4749</v>
      </c>
      <c r="B959" s="2" t="s">
        <v>287</v>
      </c>
      <c r="C959" s="2" t="s">
        <v>965</v>
      </c>
      <c r="D959" s="2" t="s">
        <v>289</v>
      </c>
      <c r="E959" s="2" t="s">
        <v>290</v>
      </c>
      <c r="F959" s="2" t="s">
        <v>4368</v>
      </c>
      <c r="G959" s="2" t="s">
        <v>4368</v>
      </c>
      <c r="H959" s="2" t="s">
        <v>4368</v>
      </c>
      <c r="I959" s="2" t="s">
        <v>4369</v>
      </c>
      <c r="J959" s="2" t="s">
        <v>268</v>
      </c>
      <c r="K959" s="2" t="s">
        <v>1369</v>
      </c>
      <c r="L959" s="3">
        <v>16.16</v>
      </c>
      <c r="M959" s="3">
        <v>16.97</v>
      </c>
      <c r="N959" s="3">
        <v>34.99</v>
      </c>
      <c r="O959" s="2" t="s">
        <v>243</v>
      </c>
      <c r="P959" s="2" t="s">
        <v>1281</v>
      </c>
      <c r="Q959" s="2" t="s">
        <v>237</v>
      </c>
      <c r="R959" s="2" t="s">
        <v>231</v>
      </c>
      <c r="S959" s="2" t="s">
        <v>4750</v>
      </c>
      <c r="T959" s="2" t="s">
        <v>4134</v>
      </c>
      <c r="U959" s="2" t="s">
        <v>231</v>
      </c>
      <c r="V959" s="2" t="s">
        <v>1304</v>
      </c>
      <c r="W959" s="2" t="s">
        <v>273</v>
      </c>
      <c r="X959" s="2" t="s">
        <v>231</v>
      </c>
      <c r="Y959" s="2" t="s">
        <v>4472</v>
      </c>
      <c r="Z959" s="4">
        <v>1</v>
      </c>
      <c r="AA959" s="4">
        <f>=ROUNDDOWN(0.032258064516129,0)</f>
      </c>
      <c r="AB959" s="5">
        <v>31</v>
      </c>
      <c r="AC959" s="2" t="s">
        <v>4449</v>
      </c>
      <c r="AD959" s="4">
        <v>311</v>
      </c>
      <c r="AE959" s="4">
        <v>1139</v>
      </c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231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231</v>
      </c>
      <c r="AW959" s="8" t="s">
        <v>231</v>
      </c>
      <c r="AX959" s="4" t="s">
        <v>231</v>
      </c>
      <c r="AY959" s="8" t="s">
        <v>231</v>
      </c>
      <c r="AZ959" s="7" t="s">
        <v>231</v>
      </c>
      <c r="BA959" s="7" t="s">
        <v>231</v>
      </c>
      <c r="BB959" s="7"/>
      <c r="BC959" s="4" t="s">
        <v>231</v>
      </c>
      <c r="BD959" s="8" t="s">
        <v>231</v>
      </c>
      <c r="BE959" s="4" t="s">
        <v>231</v>
      </c>
      <c r="BF959" s="8" t="s">
        <v>231</v>
      </c>
      <c r="BG959" s="7" t="s">
        <v>231</v>
      </c>
      <c r="BH959" s="7" t="s">
        <v>231</v>
      </c>
      <c r="BI959" s="7"/>
      <c r="BJ959" s="4"/>
      <c r="BK959" s="8"/>
      <c r="BL959" s="2" t="s">
        <v>231</v>
      </c>
      <c r="BM959" s="7"/>
      <c r="BN959" s="7"/>
      <c r="BO959" s="4"/>
      <c r="BP959" s="8"/>
      <c r="BQ959" s="4"/>
      <c r="BR959" s="8"/>
      <c r="BS959" s="7"/>
      <c r="BT959" s="7"/>
      <c r="BU959" s="2" t="s">
        <v>4751</v>
      </c>
      <c r="BV959" s="2" t="s">
        <v>231</v>
      </c>
      <c r="BW959" s="2" t="s">
        <v>231</v>
      </c>
      <c r="BX959" s="2" t="s">
        <v>231</v>
      </c>
      <c r="BY959" s="2" t="s">
        <v>277</v>
      </c>
      <c r="BZ959" s="2" t="s">
        <v>243</v>
      </c>
      <c r="CA959" s="2" t="s">
        <v>4474</v>
      </c>
      <c r="CB959" s="2" t="s">
        <v>4390</v>
      </c>
      <c r="CC959" s="2" t="s">
        <v>244</v>
      </c>
      <c r="CD959" s="2" t="s">
        <v>231</v>
      </c>
      <c r="CE959" s="4">
        <v>1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>
        <v>311</v>
      </c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>
        <v>554</v>
      </c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>
        <v>274</v>
      </c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</row>
    <row r="960">
      <c r="A960" s="2" t="s">
        <v>4752</v>
      </c>
      <c r="B960" s="2" t="s">
        <v>287</v>
      </c>
      <c r="C960" s="2" t="s">
        <v>965</v>
      </c>
      <c r="D960" s="2" t="s">
        <v>289</v>
      </c>
      <c r="E960" s="2" t="s">
        <v>290</v>
      </c>
      <c r="F960" s="2" t="s">
        <v>4368</v>
      </c>
      <c r="G960" s="2" t="s">
        <v>4368</v>
      </c>
      <c r="H960" s="2" t="s">
        <v>4368</v>
      </c>
      <c r="I960" s="2" t="s">
        <v>4369</v>
      </c>
      <c r="J960" s="2" t="s">
        <v>281</v>
      </c>
      <c r="K960" s="2" t="s">
        <v>1369</v>
      </c>
      <c r="L960" s="3">
        <v>19.57</v>
      </c>
      <c r="M960" s="3">
        <v>20.55</v>
      </c>
      <c r="N960" s="3">
        <v>42.99</v>
      </c>
      <c r="O960" s="2" t="s">
        <v>243</v>
      </c>
      <c r="P960" s="2" t="s">
        <v>270</v>
      </c>
      <c r="Q960" s="2" t="s">
        <v>237</v>
      </c>
      <c r="R960" s="2" t="s">
        <v>231</v>
      </c>
      <c r="S960" s="2" t="s">
        <v>4750</v>
      </c>
      <c r="T960" s="2" t="s">
        <v>4134</v>
      </c>
      <c r="U960" s="2" t="s">
        <v>231</v>
      </c>
      <c r="V960" s="2" t="s">
        <v>1304</v>
      </c>
      <c r="W960" s="2" t="s">
        <v>273</v>
      </c>
      <c r="X960" s="2" t="s">
        <v>231</v>
      </c>
      <c r="Y960" s="2" t="s">
        <v>274</v>
      </c>
      <c r="Z960" s="4"/>
      <c r="AA960" s="4">
        <f>=ROUNDDOWN({0},0)</f>
      </c>
      <c r="AB960" s="5">
        <v>25</v>
      </c>
      <c r="AC960" s="2" t="s">
        <v>4449</v>
      </c>
      <c r="AD960" s="4">
        <v>250</v>
      </c>
      <c r="AE960" s="4">
        <v>915</v>
      </c>
      <c r="AF960" s="6">
        <v>65</v>
      </c>
      <c r="AG960" s="6"/>
      <c r="AH960" s="7">
        <v>0.1613</v>
      </c>
      <c r="AI960" s="4"/>
      <c r="AJ960" s="4">
        <f>=ROUNDDOWN({0},0)</f>
      </c>
      <c r="AK960" s="5"/>
      <c r="AL960" s="2" t="s">
        <v>231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231</v>
      </c>
      <c r="AW960" s="8" t="s">
        <v>231</v>
      </c>
      <c r="AX960" s="4" t="s">
        <v>231</v>
      </c>
      <c r="AY960" s="8" t="s">
        <v>231</v>
      </c>
      <c r="AZ960" s="7" t="s">
        <v>231</v>
      </c>
      <c r="BA960" s="7" t="s">
        <v>231</v>
      </c>
      <c r="BB960" s="7"/>
      <c r="BC960" s="4" t="s">
        <v>231</v>
      </c>
      <c r="BD960" s="8" t="s">
        <v>231</v>
      </c>
      <c r="BE960" s="4" t="s">
        <v>231</v>
      </c>
      <c r="BF960" s="8" t="s">
        <v>231</v>
      </c>
      <c r="BG960" s="7" t="s">
        <v>231</v>
      </c>
      <c r="BH960" s="7" t="s">
        <v>231</v>
      </c>
      <c r="BI960" s="7"/>
      <c r="BJ960" s="4">
        <v>13</v>
      </c>
      <c r="BK960" s="8">
        <v>280.2</v>
      </c>
      <c r="BL960" s="2" t="s">
        <v>4753</v>
      </c>
      <c r="BM960" s="7"/>
      <c r="BN960" s="7"/>
      <c r="BO960" s="4"/>
      <c r="BP960" s="8"/>
      <c r="BQ960" s="4"/>
      <c r="BR960" s="8"/>
      <c r="BS960" s="7"/>
      <c r="BT960" s="7"/>
      <c r="BU960" s="2" t="s">
        <v>4754</v>
      </c>
      <c r="BV960" s="2" t="s">
        <v>231</v>
      </c>
      <c r="BW960" s="2" t="s">
        <v>231</v>
      </c>
      <c r="BX960" s="2" t="s">
        <v>231</v>
      </c>
      <c r="BY960" s="2" t="s">
        <v>277</v>
      </c>
      <c r="BZ960" s="2" t="s">
        <v>243</v>
      </c>
      <c r="CA960" s="2" t="s">
        <v>4200</v>
      </c>
      <c r="CB960" s="2" t="s">
        <v>346</v>
      </c>
      <c r="CC960" s="2" t="s">
        <v>244</v>
      </c>
      <c r="CD960" s="2" t="s">
        <v>231</v>
      </c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>
        <v>250</v>
      </c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>
        <v>444</v>
      </c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>
        <v>221</v>
      </c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</row>
    <row r="961">
      <c r="A961" s="2" t="s">
        <v>4755</v>
      </c>
      <c r="B961" s="2" t="s">
        <v>287</v>
      </c>
      <c r="C961" s="2" t="s">
        <v>965</v>
      </c>
      <c r="D961" s="2" t="s">
        <v>289</v>
      </c>
      <c r="E961" s="2" t="s">
        <v>290</v>
      </c>
      <c r="F961" s="2" t="s">
        <v>4368</v>
      </c>
      <c r="G961" s="2" t="s">
        <v>4368</v>
      </c>
      <c r="H961" s="2" t="s">
        <v>4368</v>
      </c>
      <c r="I961" s="2" t="s">
        <v>4369</v>
      </c>
      <c r="J961" s="2" t="s">
        <v>293</v>
      </c>
      <c r="K961" s="2" t="s">
        <v>1369</v>
      </c>
      <c r="L961" s="3">
        <v>22.21</v>
      </c>
      <c r="M961" s="3">
        <v>23.32</v>
      </c>
      <c r="N961" s="3">
        <v>47.99</v>
      </c>
      <c r="O961" s="2" t="s">
        <v>243</v>
      </c>
      <c r="P961" s="2" t="s">
        <v>871</v>
      </c>
      <c r="Q961" s="2" t="s">
        <v>237</v>
      </c>
      <c r="R961" s="2" t="s">
        <v>231</v>
      </c>
      <c r="S961" s="2" t="s">
        <v>4750</v>
      </c>
      <c r="T961" s="2" t="s">
        <v>4134</v>
      </c>
      <c r="U961" s="2" t="s">
        <v>231</v>
      </c>
      <c r="V961" s="2" t="s">
        <v>1304</v>
      </c>
      <c r="W961" s="2" t="s">
        <v>273</v>
      </c>
      <c r="X961" s="2" t="s">
        <v>231</v>
      </c>
      <c r="Y961" s="2" t="s">
        <v>4472</v>
      </c>
      <c r="Z961" s="4">
        <v>1</v>
      </c>
      <c r="AA961" s="4">
        <f>=ROUNDDOWN(0.0212765957446809,0)</f>
      </c>
      <c r="AB961" s="5">
        <v>47</v>
      </c>
      <c r="AC961" s="2" t="s">
        <v>4449</v>
      </c>
      <c r="AD961" s="4">
        <v>469</v>
      </c>
      <c r="AE961" s="4">
        <v>1717</v>
      </c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231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231</v>
      </c>
      <c r="AW961" s="8" t="s">
        <v>231</v>
      </c>
      <c r="AX961" s="4" t="s">
        <v>231</v>
      </c>
      <c r="AY961" s="8" t="s">
        <v>231</v>
      </c>
      <c r="AZ961" s="7" t="s">
        <v>231</v>
      </c>
      <c r="BA961" s="7" t="s">
        <v>231</v>
      </c>
      <c r="BB961" s="7"/>
      <c r="BC961" s="4" t="s">
        <v>231</v>
      </c>
      <c r="BD961" s="8" t="s">
        <v>231</v>
      </c>
      <c r="BE961" s="4" t="s">
        <v>231</v>
      </c>
      <c r="BF961" s="8" t="s">
        <v>231</v>
      </c>
      <c r="BG961" s="7" t="s">
        <v>231</v>
      </c>
      <c r="BH961" s="7" t="s">
        <v>231</v>
      </c>
      <c r="BI961" s="7"/>
      <c r="BJ961" s="4"/>
      <c r="BK961" s="8"/>
      <c r="BL961" s="2" t="s">
        <v>231</v>
      </c>
      <c r="BM961" s="7"/>
      <c r="BN961" s="7"/>
      <c r="BO961" s="4"/>
      <c r="BP961" s="8"/>
      <c r="BQ961" s="4"/>
      <c r="BR961" s="8"/>
      <c r="BS961" s="7"/>
      <c r="BT961" s="7"/>
      <c r="BU961" s="2" t="s">
        <v>4756</v>
      </c>
      <c r="BV961" s="2" t="s">
        <v>231</v>
      </c>
      <c r="BW961" s="2" t="s">
        <v>231</v>
      </c>
      <c r="BX961" s="2" t="s">
        <v>231</v>
      </c>
      <c r="BY961" s="2" t="s">
        <v>277</v>
      </c>
      <c r="BZ961" s="2" t="s">
        <v>243</v>
      </c>
      <c r="CA961" s="2" t="s">
        <v>4200</v>
      </c>
      <c r="CB961" s="2" t="s">
        <v>4757</v>
      </c>
      <c r="CC961" s="2" t="s">
        <v>244</v>
      </c>
      <c r="CD961" s="2" t="s">
        <v>231</v>
      </c>
      <c r="CE961" s="4">
        <v>1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>
        <v>469</v>
      </c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>
        <v>833</v>
      </c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>
        <v>415</v>
      </c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</row>
    <row r="962">
      <c r="A962" s="2" t="s">
        <v>4758</v>
      </c>
      <c r="B962" s="2" t="s">
        <v>287</v>
      </c>
      <c r="C962" s="2" t="s">
        <v>965</v>
      </c>
      <c r="D962" s="2" t="s">
        <v>289</v>
      </c>
      <c r="E962" s="2" t="s">
        <v>290</v>
      </c>
      <c r="F962" s="2" t="s">
        <v>4368</v>
      </c>
      <c r="G962" s="2" t="s">
        <v>4368</v>
      </c>
      <c r="H962" s="2" t="s">
        <v>4368</v>
      </c>
      <c r="I962" s="2" t="s">
        <v>4369</v>
      </c>
      <c r="J962" s="2" t="s">
        <v>302</v>
      </c>
      <c r="K962" s="2" t="s">
        <v>1369</v>
      </c>
      <c r="L962" s="3">
        <v>27.39</v>
      </c>
      <c r="M962" s="3">
        <v>28.76</v>
      </c>
      <c r="N962" s="3">
        <v>62.99</v>
      </c>
      <c r="O962" s="2" t="s">
        <v>243</v>
      </c>
      <c r="P962" s="2" t="s">
        <v>1281</v>
      </c>
      <c r="Q962" s="2" t="s">
        <v>237</v>
      </c>
      <c r="R962" s="2" t="s">
        <v>231</v>
      </c>
      <c r="S962" s="2" t="s">
        <v>4750</v>
      </c>
      <c r="T962" s="2" t="s">
        <v>4134</v>
      </c>
      <c r="U962" s="2" t="s">
        <v>231</v>
      </c>
      <c r="V962" s="2" t="s">
        <v>1304</v>
      </c>
      <c r="W962" s="2" t="s">
        <v>273</v>
      </c>
      <c r="X962" s="2" t="s">
        <v>231</v>
      </c>
      <c r="Y962" s="2" t="s">
        <v>4472</v>
      </c>
      <c r="Z962" s="4">
        <v>35</v>
      </c>
      <c r="AA962" s="4">
        <f>=ROUNDDOWN(1.75,0)</f>
      </c>
      <c r="AB962" s="5">
        <v>20</v>
      </c>
      <c r="AC962" s="2" t="s">
        <v>4449</v>
      </c>
      <c r="AD962" s="4">
        <v>201</v>
      </c>
      <c r="AE962" s="4">
        <v>724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231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231</v>
      </c>
      <c r="AW962" s="8" t="s">
        <v>231</v>
      </c>
      <c r="AX962" s="4" t="s">
        <v>231</v>
      </c>
      <c r="AY962" s="8" t="s">
        <v>231</v>
      </c>
      <c r="AZ962" s="7" t="s">
        <v>231</v>
      </c>
      <c r="BA962" s="7" t="s">
        <v>231</v>
      </c>
      <c r="BB962" s="7"/>
      <c r="BC962" s="4" t="s">
        <v>231</v>
      </c>
      <c r="BD962" s="8" t="s">
        <v>231</v>
      </c>
      <c r="BE962" s="4" t="s">
        <v>231</v>
      </c>
      <c r="BF962" s="8" t="s">
        <v>231</v>
      </c>
      <c r="BG962" s="7" t="s">
        <v>231</v>
      </c>
      <c r="BH962" s="7" t="s">
        <v>231</v>
      </c>
      <c r="BI962" s="7"/>
      <c r="BJ962" s="4">
        <v>7</v>
      </c>
      <c r="BK962" s="8">
        <v>214.38</v>
      </c>
      <c r="BL962" s="2" t="s">
        <v>4759</v>
      </c>
      <c r="BM962" s="7"/>
      <c r="BN962" s="7"/>
      <c r="BO962" s="4"/>
      <c r="BP962" s="8"/>
      <c r="BQ962" s="4"/>
      <c r="BR962" s="8"/>
      <c r="BS962" s="7"/>
      <c r="BT962" s="7"/>
      <c r="BU962" s="2" t="s">
        <v>4760</v>
      </c>
      <c r="BV962" s="2" t="s">
        <v>231</v>
      </c>
      <c r="BW962" s="2" t="s">
        <v>231</v>
      </c>
      <c r="BX962" s="2" t="s">
        <v>231</v>
      </c>
      <c r="BY962" s="2" t="s">
        <v>277</v>
      </c>
      <c r="BZ962" s="2" t="s">
        <v>243</v>
      </c>
      <c r="CA962" s="2" t="s">
        <v>4200</v>
      </c>
      <c r="CB962" s="2" t="s">
        <v>1709</v>
      </c>
      <c r="CC962" s="2" t="s">
        <v>244</v>
      </c>
      <c r="CD962" s="2" t="s">
        <v>231</v>
      </c>
      <c r="CE962" s="4">
        <v>35</v>
      </c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>
        <v>201</v>
      </c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>
        <v>342</v>
      </c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>
        <v>181</v>
      </c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</row>
    <row r="963">
      <c r="A963" s="2" t="s">
        <v>4761</v>
      </c>
      <c r="B963" s="2" t="s">
        <v>287</v>
      </c>
      <c r="C963" s="2" t="s">
        <v>965</v>
      </c>
      <c r="D963" s="2" t="s">
        <v>289</v>
      </c>
      <c r="E963" s="2" t="s">
        <v>290</v>
      </c>
      <c r="F963" s="2" t="s">
        <v>4368</v>
      </c>
      <c r="G963" s="2" t="s">
        <v>4368</v>
      </c>
      <c r="H963" s="2" t="s">
        <v>4368</v>
      </c>
      <c r="I963" s="2" t="s">
        <v>4369</v>
      </c>
      <c r="J963" s="2" t="s">
        <v>304</v>
      </c>
      <c r="K963" s="2" t="s">
        <v>1369</v>
      </c>
      <c r="L963" s="3">
        <v>27.39</v>
      </c>
      <c r="M963" s="3">
        <v>28.76</v>
      </c>
      <c r="N963" s="3">
        <v>62.99</v>
      </c>
      <c r="O963" s="2" t="s">
        <v>243</v>
      </c>
      <c r="P963" s="2" t="s">
        <v>1281</v>
      </c>
      <c r="Q963" s="2" t="s">
        <v>237</v>
      </c>
      <c r="R963" s="2" t="s">
        <v>231</v>
      </c>
      <c r="S963" s="2" t="s">
        <v>4750</v>
      </c>
      <c r="T963" s="2" t="s">
        <v>4134</v>
      </c>
      <c r="U963" s="2" t="s">
        <v>231</v>
      </c>
      <c r="V963" s="2" t="s">
        <v>1304</v>
      </c>
      <c r="W963" s="2" t="s">
        <v>273</v>
      </c>
      <c r="X963" s="2" t="s">
        <v>231</v>
      </c>
      <c r="Y963" s="2" t="s">
        <v>4762</v>
      </c>
      <c r="Z963" s="4"/>
      <c r="AA963" s="4">
        <f>=ROUNDDOWN({0},0)</f>
      </c>
      <c r="AB963" s="5">
        <v>21</v>
      </c>
      <c r="AC963" s="2" t="s">
        <v>4449</v>
      </c>
      <c r="AD963" s="4">
        <v>208</v>
      </c>
      <c r="AE963" s="4">
        <v>814</v>
      </c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231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231</v>
      </c>
      <c r="AW963" s="8" t="s">
        <v>231</v>
      </c>
      <c r="AX963" s="4" t="s">
        <v>231</v>
      </c>
      <c r="AY963" s="8" t="s">
        <v>231</v>
      </c>
      <c r="AZ963" s="7" t="s">
        <v>231</v>
      </c>
      <c r="BA963" s="7" t="s">
        <v>231</v>
      </c>
      <c r="BB963" s="7"/>
      <c r="BC963" s="4" t="s">
        <v>231</v>
      </c>
      <c r="BD963" s="8" t="s">
        <v>231</v>
      </c>
      <c r="BE963" s="4" t="s">
        <v>231</v>
      </c>
      <c r="BF963" s="8" t="s">
        <v>231</v>
      </c>
      <c r="BG963" s="7" t="s">
        <v>231</v>
      </c>
      <c r="BH963" s="7" t="s">
        <v>231</v>
      </c>
      <c r="BI963" s="7"/>
      <c r="BJ963" s="4"/>
      <c r="BK963" s="8"/>
      <c r="BL963" s="2" t="s">
        <v>231</v>
      </c>
      <c r="BM963" s="7"/>
      <c r="BN963" s="7"/>
      <c r="BO963" s="4"/>
      <c r="BP963" s="8"/>
      <c r="BQ963" s="4"/>
      <c r="BR963" s="8"/>
      <c r="BS963" s="7"/>
      <c r="BT963" s="7"/>
      <c r="BU963" s="2" t="s">
        <v>4763</v>
      </c>
      <c r="BV963" s="2" t="s">
        <v>231</v>
      </c>
      <c r="BW963" s="2" t="s">
        <v>231</v>
      </c>
      <c r="BX963" s="2" t="s">
        <v>231</v>
      </c>
      <c r="BY963" s="2" t="s">
        <v>277</v>
      </c>
      <c r="BZ963" s="2" t="s">
        <v>243</v>
      </c>
      <c r="CA963" s="2" t="s">
        <v>4200</v>
      </c>
      <c r="CB963" s="2" t="s">
        <v>4764</v>
      </c>
      <c r="CC963" s="2" t="s">
        <v>244</v>
      </c>
      <c r="CD963" s="2" t="s">
        <v>231</v>
      </c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>
        <v>208</v>
      </c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>
        <v>435</v>
      </c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>
        <v>171</v>
      </c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</row>
    <row r="964">
      <c r="A964" s="2" t="s">
        <v>4765</v>
      </c>
      <c r="B964" s="2" t="s">
        <v>287</v>
      </c>
      <c r="C964" s="2" t="s">
        <v>965</v>
      </c>
      <c r="D964" s="2" t="s">
        <v>289</v>
      </c>
      <c r="E964" s="2" t="s">
        <v>290</v>
      </c>
      <c r="F964" s="2" t="s">
        <v>4368</v>
      </c>
      <c r="G964" s="2" t="s">
        <v>4368</v>
      </c>
      <c r="H964" s="2" t="s">
        <v>4368</v>
      </c>
      <c r="I964" s="2" t="s">
        <v>4369</v>
      </c>
      <c r="J964" s="2" t="s">
        <v>318</v>
      </c>
      <c r="K964" s="2" t="s">
        <v>4766</v>
      </c>
      <c r="L964" s="3">
        <v>14.89</v>
      </c>
      <c r="M964" s="3">
        <v>15.63</v>
      </c>
      <c r="N964" s="3">
        <v>31.99</v>
      </c>
      <c r="O964" s="2" t="s">
        <v>243</v>
      </c>
      <c r="P964" s="2" t="s">
        <v>270</v>
      </c>
      <c r="Q964" s="2" t="s">
        <v>237</v>
      </c>
      <c r="R964" s="2" t="s">
        <v>231</v>
      </c>
      <c r="S964" s="2" t="s">
        <v>4767</v>
      </c>
      <c r="T964" s="2" t="s">
        <v>4134</v>
      </c>
      <c r="U964" s="2" t="s">
        <v>231</v>
      </c>
      <c r="V964" s="2" t="s">
        <v>239</v>
      </c>
      <c r="W964" s="2" t="s">
        <v>273</v>
      </c>
      <c r="X964" s="2" t="s">
        <v>231</v>
      </c>
      <c r="Y964" s="2" t="s">
        <v>274</v>
      </c>
      <c r="Z964" s="4"/>
      <c r="AA964" s="4">
        <f>=ROUNDDOWN({0},0)</f>
      </c>
      <c r="AB964" s="5">
        <v>35</v>
      </c>
      <c r="AC964" s="2" t="s">
        <v>4212</v>
      </c>
      <c r="AD964" s="4">
        <v>347</v>
      </c>
      <c r="AE964" s="4">
        <v>1308</v>
      </c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231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231</v>
      </c>
      <c r="AW964" s="8" t="s">
        <v>231</v>
      </c>
      <c r="AX964" s="4" t="s">
        <v>231</v>
      </c>
      <c r="AY964" s="8" t="s">
        <v>231</v>
      </c>
      <c r="AZ964" s="7" t="s">
        <v>231</v>
      </c>
      <c r="BA964" s="7" t="s">
        <v>231</v>
      </c>
      <c r="BB964" s="7"/>
      <c r="BC964" s="4" t="s">
        <v>231</v>
      </c>
      <c r="BD964" s="8" t="s">
        <v>231</v>
      </c>
      <c r="BE964" s="4" t="s">
        <v>231</v>
      </c>
      <c r="BF964" s="8" t="s">
        <v>231</v>
      </c>
      <c r="BG964" s="7" t="s">
        <v>231</v>
      </c>
      <c r="BH964" s="7" t="s">
        <v>231</v>
      </c>
      <c r="BI964" s="7"/>
      <c r="BJ964" s="4"/>
      <c r="BK964" s="8"/>
      <c r="BL964" s="2" t="s">
        <v>231</v>
      </c>
      <c r="BM964" s="7"/>
      <c r="BN964" s="7"/>
      <c r="BO964" s="4"/>
      <c r="BP964" s="8"/>
      <c r="BQ964" s="4"/>
      <c r="BR964" s="8"/>
      <c r="BS964" s="7"/>
      <c r="BT964" s="7"/>
      <c r="BU964" s="2" t="s">
        <v>4768</v>
      </c>
      <c r="BV964" s="2" t="s">
        <v>231</v>
      </c>
      <c r="BW964" s="2" t="s">
        <v>231</v>
      </c>
      <c r="BX964" s="2" t="s">
        <v>231</v>
      </c>
      <c r="BY964" s="2" t="s">
        <v>277</v>
      </c>
      <c r="BZ964" s="2" t="s">
        <v>243</v>
      </c>
      <c r="CA964" s="2" t="s">
        <v>4200</v>
      </c>
      <c r="CB964" s="2" t="s">
        <v>4769</v>
      </c>
      <c r="CC964" s="2" t="s">
        <v>244</v>
      </c>
      <c r="CD964" s="2" t="s">
        <v>231</v>
      </c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>
        <v>347</v>
      </c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>
        <v>663</v>
      </c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>
        <v>298</v>
      </c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</row>
    <row r="965">
      <c r="A965" s="2" t="s">
        <v>4770</v>
      </c>
      <c r="B965" s="2" t="s">
        <v>287</v>
      </c>
      <c r="C965" s="2" t="s">
        <v>965</v>
      </c>
      <c r="D965" s="2" t="s">
        <v>289</v>
      </c>
      <c r="E965" s="2" t="s">
        <v>290</v>
      </c>
      <c r="F965" s="2" t="s">
        <v>4368</v>
      </c>
      <c r="G965" s="2" t="s">
        <v>4368</v>
      </c>
      <c r="H965" s="2" t="s">
        <v>4368</v>
      </c>
      <c r="I965" s="2" t="s">
        <v>4369</v>
      </c>
      <c r="J965" s="2" t="s">
        <v>281</v>
      </c>
      <c r="K965" s="2" t="s">
        <v>4766</v>
      </c>
      <c r="L965" s="3">
        <v>19.57</v>
      </c>
      <c r="M965" s="3">
        <v>20.55</v>
      </c>
      <c r="N965" s="3">
        <v>42.99</v>
      </c>
      <c r="O965" s="2" t="s">
        <v>243</v>
      </c>
      <c r="P965" s="2" t="s">
        <v>270</v>
      </c>
      <c r="Q965" s="2" t="s">
        <v>237</v>
      </c>
      <c r="R965" s="2" t="s">
        <v>231</v>
      </c>
      <c r="S965" s="2" t="s">
        <v>4767</v>
      </c>
      <c r="T965" s="2" t="s">
        <v>4134</v>
      </c>
      <c r="U965" s="2" t="s">
        <v>231</v>
      </c>
      <c r="V965" s="2" t="s">
        <v>239</v>
      </c>
      <c r="W965" s="2" t="s">
        <v>273</v>
      </c>
      <c r="X965" s="2" t="s">
        <v>231</v>
      </c>
      <c r="Y965" s="2" t="s">
        <v>274</v>
      </c>
      <c r="Z965" s="4">
        <v>3</v>
      </c>
      <c r="AA965" s="4">
        <f>=ROUNDDOWN(0.176470588235294,0)</f>
      </c>
      <c r="AB965" s="5">
        <v>17</v>
      </c>
      <c r="AC965" s="2" t="s">
        <v>4212</v>
      </c>
      <c r="AD965" s="4">
        <v>169</v>
      </c>
      <c r="AE965" s="4">
        <v>638</v>
      </c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231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231</v>
      </c>
      <c r="AW965" s="8" t="s">
        <v>231</v>
      </c>
      <c r="AX965" s="4" t="s">
        <v>231</v>
      </c>
      <c r="AY965" s="8" t="s">
        <v>231</v>
      </c>
      <c r="AZ965" s="7" t="s">
        <v>231</v>
      </c>
      <c r="BA965" s="7" t="s">
        <v>231</v>
      </c>
      <c r="BB965" s="7"/>
      <c r="BC965" s="4" t="s">
        <v>231</v>
      </c>
      <c r="BD965" s="8" t="s">
        <v>231</v>
      </c>
      <c r="BE965" s="4" t="s">
        <v>231</v>
      </c>
      <c r="BF965" s="8" t="s">
        <v>231</v>
      </c>
      <c r="BG965" s="7" t="s">
        <v>231</v>
      </c>
      <c r="BH965" s="7" t="s">
        <v>231</v>
      </c>
      <c r="BI965" s="7"/>
      <c r="BJ965" s="4"/>
      <c r="BK965" s="8"/>
      <c r="BL965" s="2" t="s">
        <v>231</v>
      </c>
      <c r="BM965" s="7"/>
      <c r="BN965" s="7"/>
      <c r="BO965" s="4"/>
      <c r="BP965" s="8"/>
      <c r="BQ965" s="4"/>
      <c r="BR965" s="8"/>
      <c r="BS965" s="7"/>
      <c r="BT965" s="7"/>
      <c r="BU965" s="2" t="s">
        <v>4771</v>
      </c>
      <c r="BV965" s="2" t="s">
        <v>231</v>
      </c>
      <c r="BW965" s="2" t="s">
        <v>231</v>
      </c>
      <c r="BX965" s="2" t="s">
        <v>231</v>
      </c>
      <c r="BY965" s="2" t="s">
        <v>277</v>
      </c>
      <c r="BZ965" s="2" t="s">
        <v>243</v>
      </c>
      <c r="CA965" s="2" t="s">
        <v>4200</v>
      </c>
      <c r="CB965" s="2" t="s">
        <v>4772</v>
      </c>
      <c r="CC965" s="2" t="s">
        <v>244</v>
      </c>
      <c r="CD965" s="2" t="s">
        <v>231</v>
      </c>
      <c r="CE965" s="4">
        <v>3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>
        <v>169</v>
      </c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>
        <v>319</v>
      </c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>
        <v>150</v>
      </c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</row>
    <row r="966">
      <c r="A966" s="2" t="s">
        <v>4773</v>
      </c>
      <c r="B966" s="2" t="s">
        <v>287</v>
      </c>
      <c r="C966" s="2" t="s">
        <v>965</v>
      </c>
      <c r="D966" s="2" t="s">
        <v>289</v>
      </c>
      <c r="E966" s="2" t="s">
        <v>290</v>
      </c>
      <c r="F966" s="2" t="s">
        <v>4368</v>
      </c>
      <c r="G966" s="2" t="s">
        <v>4368</v>
      </c>
      <c r="H966" s="2" t="s">
        <v>4368</v>
      </c>
      <c r="I966" s="2" t="s">
        <v>4369</v>
      </c>
      <c r="J966" s="2" t="s">
        <v>293</v>
      </c>
      <c r="K966" s="2" t="s">
        <v>4766</v>
      </c>
      <c r="L966" s="3">
        <v>22.21</v>
      </c>
      <c r="M966" s="3">
        <v>23.32</v>
      </c>
      <c r="N966" s="3">
        <v>47.99</v>
      </c>
      <c r="O966" s="2" t="s">
        <v>243</v>
      </c>
      <c r="P966" s="2" t="s">
        <v>270</v>
      </c>
      <c r="Q966" s="2" t="s">
        <v>237</v>
      </c>
      <c r="R966" s="2" t="s">
        <v>231</v>
      </c>
      <c r="S966" s="2" t="s">
        <v>4767</v>
      </c>
      <c r="T966" s="2" t="s">
        <v>4134</v>
      </c>
      <c r="U966" s="2" t="s">
        <v>231</v>
      </c>
      <c r="V966" s="2" t="s">
        <v>239</v>
      </c>
      <c r="W966" s="2" t="s">
        <v>273</v>
      </c>
      <c r="X966" s="2" t="s">
        <v>231</v>
      </c>
      <c r="Y966" s="2" t="s">
        <v>4627</v>
      </c>
      <c r="Z966" s="4">
        <v>1</v>
      </c>
      <c r="AA966" s="4">
        <f>=ROUNDDOWN(0.0357142857142857,0)</f>
      </c>
      <c r="AB966" s="5">
        <v>28</v>
      </c>
      <c r="AC966" s="2" t="s">
        <v>4212</v>
      </c>
      <c r="AD966" s="4">
        <v>255</v>
      </c>
      <c r="AE966" s="4">
        <v>991</v>
      </c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231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231</v>
      </c>
      <c r="AW966" s="8" t="s">
        <v>231</v>
      </c>
      <c r="AX966" s="4" t="s">
        <v>231</v>
      </c>
      <c r="AY966" s="8" t="s">
        <v>231</v>
      </c>
      <c r="AZ966" s="7" t="s">
        <v>231</v>
      </c>
      <c r="BA966" s="7" t="s">
        <v>231</v>
      </c>
      <c r="BB966" s="7"/>
      <c r="BC966" s="4" t="s">
        <v>231</v>
      </c>
      <c r="BD966" s="8" t="s">
        <v>231</v>
      </c>
      <c r="BE966" s="4" t="s">
        <v>231</v>
      </c>
      <c r="BF966" s="8" t="s">
        <v>231</v>
      </c>
      <c r="BG966" s="7" t="s">
        <v>231</v>
      </c>
      <c r="BH966" s="7" t="s">
        <v>231</v>
      </c>
      <c r="BI966" s="7"/>
      <c r="BJ966" s="4"/>
      <c r="BK966" s="8"/>
      <c r="BL966" s="2" t="s">
        <v>231</v>
      </c>
      <c r="BM966" s="7"/>
      <c r="BN966" s="7"/>
      <c r="BO966" s="4"/>
      <c r="BP966" s="8"/>
      <c r="BQ966" s="4"/>
      <c r="BR966" s="8"/>
      <c r="BS966" s="7"/>
      <c r="BT966" s="7"/>
      <c r="BU966" s="2" t="s">
        <v>4774</v>
      </c>
      <c r="BV966" s="2" t="s">
        <v>231</v>
      </c>
      <c r="BW966" s="2" t="s">
        <v>231</v>
      </c>
      <c r="BX966" s="2" t="s">
        <v>231</v>
      </c>
      <c r="BY966" s="2" t="s">
        <v>277</v>
      </c>
      <c r="BZ966" s="2" t="s">
        <v>243</v>
      </c>
      <c r="CA966" s="2" t="s">
        <v>4200</v>
      </c>
      <c r="CB966" s="2" t="s">
        <v>4631</v>
      </c>
      <c r="CC966" s="2" t="s">
        <v>244</v>
      </c>
      <c r="CD966" s="2" t="s">
        <v>231</v>
      </c>
      <c r="CE966" s="4">
        <v>1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>
        <v>255</v>
      </c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>
        <v>490</v>
      </c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>
        <v>246</v>
      </c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</row>
    <row r="967">
      <c r="A967" s="2" t="s">
        <v>4775</v>
      </c>
      <c r="B967" s="2" t="s">
        <v>287</v>
      </c>
      <c r="C967" s="2" t="s">
        <v>965</v>
      </c>
      <c r="D967" s="2" t="s">
        <v>289</v>
      </c>
      <c r="E967" s="2" t="s">
        <v>290</v>
      </c>
      <c r="F967" s="2" t="s">
        <v>4368</v>
      </c>
      <c r="G967" s="2" t="s">
        <v>4368</v>
      </c>
      <c r="H967" s="2" t="s">
        <v>4368</v>
      </c>
      <c r="I967" s="2" t="s">
        <v>4369</v>
      </c>
      <c r="J967" s="2" t="s">
        <v>302</v>
      </c>
      <c r="K967" s="2" t="s">
        <v>4766</v>
      </c>
      <c r="L967" s="3">
        <v>27.39</v>
      </c>
      <c r="M967" s="3">
        <v>28.76</v>
      </c>
      <c r="N967" s="3">
        <v>62.99</v>
      </c>
      <c r="O967" s="2" t="s">
        <v>243</v>
      </c>
      <c r="P967" s="2" t="s">
        <v>270</v>
      </c>
      <c r="Q967" s="2" t="s">
        <v>237</v>
      </c>
      <c r="R967" s="2" t="s">
        <v>231</v>
      </c>
      <c r="S967" s="2" t="s">
        <v>4767</v>
      </c>
      <c r="T967" s="2" t="s">
        <v>4134</v>
      </c>
      <c r="U967" s="2" t="s">
        <v>231</v>
      </c>
      <c r="V967" s="2" t="s">
        <v>239</v>
      </c>
      <c r="W967" s="2" t="s">
        <v>273</v>
      </c>
      <c r="X967" s="2" t="s">
        <v>231</v>
      </c>
      <c r="Y967" s="2" t="s">
        <v>274</v>
      </c>
      <c r="Z967" s="4">
        <v>100</v>
      </c>
      <c r="AA967" s="4">
        <f>=ROUNDDOWN(8.33333333333333,0)</f>
      </c>
      <c r="AB967" s="5">
        <v>12</v>
      </c>
      <c r="AC967" s="2" t="s">
        <v>4212</v>
      </c>
      <c r="AD967" s="4">
        <v>129</v>
      </c>
      <c r="AE967" s="4">
        <v>458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231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231</v>
      </c>
      <c r="AW967" s="8" t="s">
        <v>231</v>
      </c>
      <c r="AX967" s="4" t="s">
        <v>231</v>
      </c>
      <c r="AY967" s="8" t="s">
        <v>231</v>
      </c>
      <c r="AZ967" s="7" t="s">
        <v>231</v>
      </c>
      <c r="BA967" s="7" t="s">
        <v>231</v>
      </c>
      <c r="BB967" s="7"/>
      <c r="BC967" s="4" t="s">
        <v>231</v>
      </c>
      <c r="BD967" s="8" t="s">
        <v>231</v>
      </c>
      <c r="BE967" s="4" t="s">
        <v>231</v>
      </c>
      <c r="BF967" s="8" t="s">
        <v>231</v>
      </c>
      <c r="BG967" s="7" t="s">
        <v>231</v>
      </c>
      <c r="BH967" s="7" t="s">
        <v>231</v>
      </c>
      <c r="BI967" s="7"/>
      <c r="BJ967" s="4">
        <v>5</v>
      </c>
      <c r="BK967" s="8">
        <v>195.29</v>
      </c>
      <c r="BL967" s="2" t="s">
        <v>4776</v>
      </c>
      <c r="BM967" s="7"/>
      <c r="BN967" s="7"/>
      <c r="BO967" s="4"/>
      <c r="BP967" s="8"/>
      <c r="BQ967" s="4"/>
      <c r="BR967" s="8"/>
      <c r="BS967" s="7"/>
      <c r="BT967" s="7"/>
      <c r="BU967" s="2" t="s">
        <v>4777</v>
      </c>
      <c r="BV967" s="2" t="s">
        <v>231</v>
      </c>
      <c r="BW967" s="2" t="s">
        <v>231</v>
      </c>
      <c r="BX967" s="2" t="s">
        <v>231</v>
      </c>
      <c r="BY967" s="2" t="s">
        <v>277</v>
      </c>
      <c r="BZ967" s="2" t="s">
        <v>243</v>
      </c>
      <c r="CA967" s="2" t="s">
        <v>4200</v>
      </c>
      <c r="CB967" s="2" t="s">
        <v>4483</v>
      </c>
      <c r="CC967" s="2" t="s">
        <v>244</v>
      </c>
      <c r="CD967" s="2" t="s">
        <v>231</v>
      </c>
      <c r="CE967" s="4">
        <v>100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>
        <v>129</v>
      </c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>
        <v>215</v>
      </c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>
        <v>114</v>
      </c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</row>
    <row r="968">
      <c r="A968" s="2" t="s">
        <v>4778</v>
      </c>
      <c r="B968" s="2" t="s">
        <v>287</v>
      </c>
      <c r="C968" s="2" t="s">
        <v>965</v>
      </c>
      <c r="D968" s="2" t="s">
        <v>289</v>
      </c>
      <c r="E968" s="2" t="s">
        <v>290</v>
      </c>
      <c r="F968" s="2" t="s">
        <v>4368</v>
      </c>
      <c r="G968" s="2" t="s">
        <v>4368</v>
      </c>
      <c r="H968" s="2" t="s">
        <v>4368</v>
      </c>
      <c r="I968" s="2" t="s">
        <v>4369</v>
      </c>
      <c r="J968" s="2" t="s">
        <v>304</v>
      </c>
      <c r="K968" s="2" t="s">
        <v>4766</v>
      </c>
      <c r="L968" s="3">
        <v>27.39</v>
      </c>
      <c r="M968" s="3">
        <v>28.76</v>
      </c>
      <c r="N968" s="3">
        <v>62.99</v>
      </c>
      <c r="O968" s="2" t="s">
        <v>243</v>
      </c>
      <c r="P968" s="2" t="s">
        <v>270</v>
      </c>
      <c r="Q968" s="2" t="s">
        <v>237</v>
      </c>
      <c r="R968" s="2" t="s">
        <v>231</v>
      </c>
      <c r="S968" s="2" t="s">
        <v>4767</v>
      </c>
      <c r="T968" s="2" t="s">
        <v>4134</v>
      </c>
      <c r="U968" s="2" t="s">
        <v>231</v>
      </c>
      <c r="V968" s="2" t="s">
        <v>239</v>
      </c>
      <c r="W968" s="2" t="s">
        <v>273</v>
      </c>
      <c r="X968" s="2" t="s">
        <v>231</v>
      </c>
      <c r="Y968" s="2" t="s">
        <v>274</v>
      </c>
      <c r="Z968" s="4"/>
      <c r="AA968" s="4">
        <f>=ROUNDDOWN({0},0)</f>
      </c>
      <c r="AB968" s="5">
        <v>7</v>
      </c>
      <c r="AC968" s="2" t="s">
        <v>4212</v>
      </c>
      <c r="AD968" s="4">
        <v>73</v>
      </c>
      <c r="AE968" s="4">
        <v>286</v>
      </c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231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231</v>
      </c>
      <c r="AW968" s="8" t="s">
        <v>231</v>
      </c>
      <c r="AX968" s="4" t="s">
        <v>231</v>
      </c>
      <c r="AY968" s="8" t="s">
        <v>231</v>
      </c>
      <c r="AZ968" s="7" t="s">
        <v>231</v>
      </c>
      <c r="BA968" s="7" t="s">
        <v>231</v>
      </c>
      <c r="BB968" s="7"/>
      <c r="BC968" s="4" t="s">
        <v>231</v>
      </c>
      <c r="BD968" s="8" t="s">
        <v>231</v>
      </c>
      <c r="BE968" s="4" t="s">
        <v>231</v>
      </c>
      <c r="BF968" s="8" t="s">
        <v>231</v>
      </c>
      <c r="BG968" s="7" t="s">
        <v>231</v>
      </c>
      <c r="BH968" s="7" t="s">
        <v>231</v>
      </c>
      <c r="BI968" s="7"/>
      <c r="BJ968" s="4"/>
      <c r="BK968" s="8"/>
      <c r="BL968" s="2" t="s">
        <v>231</v>
      </c>
      <c r="BM968" s="7"/>
      <c r="BN968" s="7"/>
      <c r="BO968" s="4"/>
      <c r="BP968" s="8"/>
      <c r="BQ968" s="4"/>
      <c r="BR968" s="8"/>
      <c r="BS968" s="7"/>
      <c r="BT968" s="7"/>
      <c r="BU968" s="2" t="s">
        <v>4779</v>
      </c>
      <c r="BV968" s="2" t="s">
        <v>231</v>
      </c>
      <c r="BW968" s="2" t="s">
        <v>231</v>
      </c>
      <c r="BX968" s="2" t="s">
        <v>231</v>
      </c>
      <c r="BY968" s="2" t="s">
        <v>277</v>
      </c>
      <c r="BZ968" s="2" t="s">
        <v>243</v>
      </c>
      <c r="CA968" s="2" t="s">
        <v>4200</v>
      </c>
      <c r="CB968" s="2" t="s">
        <v>4483</v>
      </c>
      <c r="CC968" s="2" t="s">
        <v>244</v>
      </c>
      <c r="CD968" s="2" t="s">
        <v>231</v>
      </c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>
        <v>73</v>
      </c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>
        <v>145</v>
      </c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>
        <v>68</v>
      </c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</row>
    <row r="969">
      <c r="A969" s="2" t="s">
        <v>4780</v>
      </c>
      <c r="B969" s="2" t="s">
        <v>287</v>
      </c>
      <c r="C969" s="2" t="s">
        <v>965</v>
      </c>
      <c r="D969" s="2" t="s">
        <v>289</v>
      </c>
      <c r="E969" s="2" t="s">
        <v>290</v>
      </c>
      <c r="F969" s="2" t="s">
        <v>4368</v>
      </c>
      <c r="G969" s="2" t="s">
        <v>4368</v>
      </c>
      <c r="H969" s="2" t="s">
        <v>4368</v>
      </c>
      <c r="I969" s="2" t="s">
        <v>4369</v>
      </c>
      <c r="J969" s="2" t="s">
        <v>318</v>
      </c>
      <c r="K969" s="2" t="s">
        <v>4781</v>
      </c>
      <c r="L969" s="3">
        <v>14.89</v>
      </c>
      <c r="M969" s="3">
        <v>15.63</v>
      </c>
      <c r="N969" s="3">
        <v>36.99</v>
      </c>
      <c r="O969" s="2" t="s">
        <v>243</v>
      </c>
      <c r="P969" s="2" t="s">
        <v>236</v>
      </c>
      <c r="Q969" s="2" t="s">
        <v>237</v>
      </c>
      <c r="R969" s="2" t="s">
        <v>231</v>
      </c>
      <c r="S969" s="2" t="s">
        <v>4782</v>
      </c>
      <c r="T969" s="2" t="s">
        <v>4134</v>
      </c>
      <c r="U969" s="2" t="s">
        <v>835</v>
      </c>
      <c r="V969" s="2" t="s">
        <v>2195</v>
      </c>
      <c r="W969" s="2" t="s">
        <v>273</v>
      </c>
      <c r="X969" s="2" t="s">
        <v>897</v>
      </c>
      <c r="Y969" s="2" t="s">
        <v>231</v>
      </c>
      <c r="Z969" s="4"/>
      <c r="AA969" s="4">
        <f>=ROUNDDOWN({0},0)</f>
      </c>
      <c r="AB969" s="5"/>
      <c r="AC969" s="2" t="s">
        <v>4195</v>
      </c>
      <c r="AD969" s="4">
        <v>1034</v>
      </c>
      <c r="AE969" s="4">
        <v>1654</v>
      </c>
      <c r="AF969" s="6">
        <v>69</v>
      </c>
      <c r="AG969" s="6"/>
      <c r="AH969" s="7">
        <v>0</v>
      </c>
      <c r="AI969" s="4"/>
      <c r="AJ969" s="4">
        <f>=ROUNDDOWN({0},0)</f>
      </c>
      <c r="AK969" s="5"/>
      <c r="AL969" s="2" t="s">
        <v>231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231</v>
      </c>
      <c r="AW969" s="8" t="s">
        <v>231</v>
      </c>
      <c r="AX969" s="4" t="s">
        <v>231</v>
      </c>
      <c r="AY969" s="8" t="s">
        <v>231</v>
      </c>
      <c r="AZ969" s="7" t="s">
        <v>231</v>
      </c>
      <c r="BA969" s="7" t="s">
        <v>231</v>
      </c>
      <c r="BB969" s="7"/>
      <c r="BC969" s="4" t="s">
        <v>231</v>
      </c>
      <c r="BD969" s="8" t="s">
        <v>231</v>
      </c>
      <c r="BE969" s="4" t="s">
        <v>231</v>
      </c>
      <c r="BF969" s="8" t="s">
        <v>231</v>
      </c>
      <c r="BG969" s="7" t="s">
        <v>231</v>
      </c>
      <c r="BH969" s="7" t="s">
        <v>231</v>
      </c>
      <c r="BI969" s="7"/>
      <c r="BJ969" s="4"/>
      <c r="BK969" s="8"/>
      <c r="BL969" s="2" t="s">
        <v>231</v>
      </c>
      <c r="BM969" s="7"/>
      <c r="BN969" s="7"/>
      <c r="BO969" s="4"/>
      <c r="BP969" s="8"/>
      <c r="BQ969" s="4"/>
      <c r="BR969" s="8"/>
      <c r="BS969" s="7"/>
      <c r="BT969" s="7"/>
      <c r="BU969" s="2" t="s">
        <v>241</v>
      </c>
      <c r="BV969" s="2" t="s">
        <v>231</v>
      </c>
      <c r="BW969" s="2" t="s">
        <v>231</v>
      </c>
      <c r="BX969" s="2" t="s">
        <v>241</v>
      </c>
      <c r="BY969" s="2" t="s">
        <v>242</v>
      </c>
      <c r="BZ969" s="2" t="s">
        <v>243</v>
      </c>
      <c r="CA969" s="2" t="s">
        <v>231</v>
      </c>
      <c r="CB969" s="2" t="s">
        <v>231</v>
      </c>
      <c r="CC969" s="2" t="s">
        <v>244</v>
      </c>
      <c r="CD969" s="2" t="s">
        <v>231</v>
      </c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>
        <v>1034</v>
      </c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>
        <v>620</v>
      </c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</row>
    <row r="970">
      <c r="A970" s="2" t="s">
        <v>4783</v>
      </c>
      <c r="B970" s="2" t="s">
        <v>287</v>
      </c>
      <c r="C970" s="2" t="s">
        <v>965</v>
      </c>
      <c r="D970" s="2" t="s">
        <v>289</v>
      </c>
      <c r="E970" s="2" t="s">
        <v>290</v>
      </c>
      <c r="F970" s="2" t="s">
        <v>4368</v>
      </c>
      <c r="G970" s="2" t="s">
        <v>4368</v>
      </c>
      <c r="H970" s="2" t="s">
        <v>4368</v>
      </c>
      <c r="I970" s="2" t="s">
        <v>4369</v>
      </c>
      <c r="J970" s="2" t="s">
        <v>268</v>
      </c>
      <c r="K970" s="2" t="s">
        <v>4781</v>
      </c>
      <c r="L970" s="3">
        <v>16.16</v>
      </c>
      <c r="M970" s="3">
        <v>16.97</v>
      </c>
      <c r="N970" s="3">
        <v>39.99</v>
      </c>
      <c r="O970" s="2" t="s">
        <v>243</v>
      </c>
      <c r="P970" s="2" t="s">
        <v>236</v>
      </c>
      <c r="Q970" s="2" t="s">
        <v>237</v>
      </c>
      <c r="R970" s="2" t="s">
        <v>231</v>
      </c>
      <c r="S970" s="2" t="s">
        <v>4782</v>
      </c>
      <c r="T970" s="2" t="s">
        <v>4134</v>
      </c>
      <c r="U970" s="2" t="s">
        <v>835</v>
      </c>
      <c r="V970" s="2" t="s">
        <v>2195</v>
      </c>
      <c r="W970" s="2" t="s">
        <v>273</v>
      </c>
      <c r="X970" s="2" t="s">
        <v>897</v>
      </c>
      <c r="Y970" s="2" t="s">
        <v>231</v>
      </c>
      <c r="Z970" s="4"/>
      <c r="AA970" s="4">
        <f>=ROUNDDOWN({0},0)</f>
      </c>
      <c r="AB970" s="5"/>
      <c r="AC970" s="2" t="s">
        <v>4195</v>
      </c>
      <c r="AD970" s="4">
        <v>522</v>
      </c>
      <c r="AE970" s="4">
        <v>835</v>
      </c>
      <c r="AF970" s="6">
        <v>69</v>
      </c>
      <c r="AG970" s="6"/>
      <c r="AH970" s="7">
        <v>0</v>
      </c>
      <c r="AI970" s="4"/>
      <c r="AJ970" s="4">
        <f>=ROUNDDOWN({0},0)</f>
      </c>
      <c r="AK970" s="5"/>
      <c r="AL970" s="2" t="s">
        <v>231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231</v>
      </c>
      <c r="AW970" s="8" t="s">
        <v>231</v>
      </c>
      <c r="AX970" s="4" t="s">
        <v>231</v>
      </c>
      <c r="AY970" s="8" t="s">
        <v>231</v>
      </c>
      <c r="AZ970" s="7" t="s">
        <v>231</v>
      </c>
      <c r="BA970" s="7" t="s">
        <v>231</v>
      </c>
      <c r="BB970" s="7"/>
      <c r="BC970" s="4" t="s">
        <v>231</v>
      </c>
      <c r="BD970" s="8" t="s">
        <v>231</v>
      </c>
      <c r="BE970" s="4" t="s">
        <v>231</v>
      </c>
      <c r="BF970" s="8" t="s">
        <v>231</v>
      </c>
      <c r="BG970" s="7" t="s">
        <v>231</v>
      </c>
      <c r="BH970" s="7" t="s">
        <v>231</v>
      </c>
      <c r="BI970" s="7"/>
      <c r="BJ970" s="4"/>
      <c r="BK970" s="8"/>
      <c r="BL970" s="2" t="s">
        <v>231</v>
      </c>
      <c r="BM970" s="7"/>
      <c r="BN970" s="7"/>
      <c r="BO970" s="4"/>
      <c r="BP970" s="8"/>
      <c r="BQ970" s="4"/>
      <c r="BR970" s="8"/>
      <c r="BS970" s="7"/>
      <c r="BT970" s="7"/>
      <c r="BU970" s="2" t="s">
        <v>241</v>
      </c>
      <c r="BV970" s="2" t="s">
        <v>231</v>
      </c>
      <c r="BW970" s="2" t="s">
        <v>231</v>
      </c>
      <c r="BX970" s="2" t="s">
        <v>241</v>
      </c>
      <c r="BY970" s="2" t="s">
        <v>242</v>
      </c>
      <c r="BZ970" s="2" t="s">
        <v>243</v>
      </c>
      <c r="CA970" s="2" t="s">
        <v>231</v>
      </c>
      <c r="CB970" s="2" t="s">
        <v>231</v>
      </c>
      <c r="CC970" s="2" t="s">
        <v>244</v>
      </c>
      <c r="CD970" s="2" t="s">
        <v>231</v>
      </c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>
        <v>522</v>
      </c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>
        <v>313</v>
      </c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</row>
    <row r="971">
      <c r="A971" s="2" t="s">
        <v>4784</v>
      </c>
      <c r="B971" s="2" t="s">
        <v>287</v>
      </c>
      <c r="C971" s="2" t="s">
        <v>965</v>
      </c>
      <c r="D971" s="2" t="s">
        <v>289</v>
      </c>
      <c r="E971" s="2" t="s">
        <v>290</v>
      </c>
      <c r="F971" s="2" t="s">
        <v>4368</v>
      </c>
      <c r="G971" s="2" t="s">
        <v>4368</v>
      </c>
      <c r="H971" s="2" t="s">
        <v>4368</v>
      </c>
      <c r="I971" s="2" t="s">
        <v>4369</v>
      </c>
      <c r="J971" s="2" t="s">
        <v>281</v>
      </c>
      <c r="K971" s="2" t="s">
        <v>4781</v>
      </c>
      <c r="L971" s="3">
        <v>19.57</v>
      </c>
      <c r="M971" s="3">
        <v>20.55</v>
      </c>
      <c r="N971" s="3">
        <v>47.99</v>
      </c>
      <c r="O971" s="2" t="s">
        <v>243</v>
      </c>
      <c r="P971" s="2" t="s">
        <v>236</v>
      </c>
      <c r="Q971" s="2" t="s">
        <v>237</v>
      </c>
      <c r="R971" s="2" t="s">
        <v>231</v>
      </c>
      <c r="S971" s="2" t="s">
        <v>4782</v>
      </c>
      <c r="T971" s="2" t="s">
        <v>4134</v>
      </c>
      <c r="U971" s="2" t="s">
        <v>298</v>
      </c>
      <c r="V971" s="2" t="s">
        <v>2195</v>
      </c>
      <c r="W971" s="2" t="s">
        <v>273</v>
      </c>
      <c r="X971" s="2" t="s">
        <v>897</v>
      </c>
      <c r="Y971" s="2" t="s">
        <v>231</v>
      </c>
      <c r="Z971" s="4"/>
      <c r="AA971" s="4">
        <f>=ROUNDDOWN({0},0)</f>
      </c>
      <c r="AB971" s="5"/>
      <c r="AC971" s="2" t="s">
        <v>4195</v>
      </c>
      <c r="AD971" s="4">
        <v>522</v>
      </c>
      <c r="AE971" s="4">
        <v>835</v>
      </c>
      <c r="AF971" s="6">
        <v>69</v>
      </c>
      <c r="AG971" s="6"/>
      <c r="AH971" s="7">
        <v>0</v>
      </c>
      <c r="AI971" s="4"/>
      <c r="AJ971" s="4">
        <f>=ROUNDDOWN({0},0)</f>
      </c>
      <c r="AK971" s="5"/>
      <c r="AL971" s="2" t="s">
        <v>231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231</v>
      </c>
      <c r="AW971" s="8" t="s">
        <v>231</v>
      </c>
      <c r="AX971" s="4" t="s">
        <v>231</v>
      </c>
      <c r="AY971" s="8" t="s">
        <v>231</v>
      </c>
      <c r="AZ971" s="7" t="s">
        <v>231</v>
      </c>
      <c r="BA971" s="7" t="s">
        <v>231</v>
      </c>
      <c r="BB971" s="7"/>
      <c r="BC971" s="4" t="s">
        <v>231</v>
      </c>
      <c r="BD971" s="8" t="s">
        <v>231</v>
      </c>
      <c r="BE971" s="4" t="s">
        <v>231</v>
      </c>
      <c r="BF971" s="8" t="s">
        <v>231</v>
      </c>
      <c r="BG971" s="7" t="s">
        <v>231</v>
      </c>
      <c r="BH971" s="7" t="s">
        <v>231</v>
      </c>
      <c r="BI971" s="7"/>
      <c r="BJ971" s="4"/>
      <c r="BK971" s="8"/>
      <c r="BL971" s="2" t="s">
        <v>231</v>
      </c>
      <c r="BM971" s="7"/>
      <c r="BN971" s="7"/>
      <c r="BO971" s="4"/>
      <c r="BP971" s="8"/>
      <c r="BQ971" s="4"/>
      <c r="BR971" s="8"/>
      <c r="BS971" s="7"/>
      <c r="BT971" s="7"/>
      <c r="BU971" s="2" t="s">
        <v>241</v>
      </c>
      <c r="BV971" s="2" t="s">
        <v>231</v>
      </c>
      <c r="BW971" s="2" t="s">
        <v>231</v>
      </c>
      <c r="BX971" s="2" t="s">
        <v>241</v>
      </c>
      <c r="BY971" s="2" t="s">
        <v>242</v>
      </c>
      <c r="BZ971" s="2" t="s">
        <v>243</v>
      </c>
      <c r="CA971" s="2" t="s">
        <v>231</v>
      </c>
      <c r="CB971" s="2" t="s">
        <v>231</v>
      </c>
      <c r="CC971" s="2" t="s">
        <v>244</v>
      </c>
      <c r="CD971" s="2" t="s">
        <v>231</v>
      </c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>
        <v>522</v>
      </c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>
        <v>313</v>
      </c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</row>
    <row r="972">
      <c r="A972" s="2" t="s">
        <v>4785</v>
      </c>
      <c r="B972" s="2" t="s">
        <v>287</v>
      </c>
      <c r="C972" s="2" t="s">
        <v>965</v>
      </c>
      <c r="D972" s="2" t="s">
        <v>289</v>
      </c>
      <c r="E972" s="2" t="s">
        <v>290</v>
      </c>
      <c r="F972" s="2" t="s">
        <v>4368</v>
      </c>
      <c r="G972" s="2" t="s">
        <v>4368</v>
      </c>
      <c r="H972" s="2" t="s">
        <v>4368</v>
      </c>
      <c r="I972" s="2" t="s">
        <v>4369</v>
      </c>
      <c r="J972" s="2" t="s">
        <v>293</v>
      </c>
      <c r="K972" s="2" t="s">
        <v>4781</v>
      </c>
      <c r="L972" s="3">
        <v>22.21</v>
      </c>
      <c r="M972" s="3">
        <v>23.32</v>
      </c>
      <c r="N972" s="3">
        <v>52.99</v>
      </c>
      <c r="O972" s="2" t="s">
        <v>243</v>
      </c>
      <c r="P972" s="2" t="s">
        <v>236</v>
      </c>
      <c r="Q972" s="2" t="s">
        <v>237</v>
      </c>
      <c r="R972" s="2" t="s">
        <v>231</v>
      </c>
      <c r="S972" s="2" t="s">
        <v>4782</v>
      </c>
      <c r="T972" s="2" t="s">
        <v>4134</v>
      </c>
      <c r="U972" s="2" t="s">
        <v>298</v>
      </c>
      <c r="V972" s="2" t="s">
        <v>2195</v>
      </c>
      <c r="W972" s="2" t="s">
        <v>273</v>
      </c>
      <c r="X972" s="2" t="s">
        <v>897</v>
      </c>
      <c r="Y972" s="2" t="s">
        <v>231</v>
      </c>
      <c r="Z972" s="4"/>
      <c r="AA972" s="4">
        <f>=ROUNDDOWN({0},0)</f>
      </c>
      <c r="AB972" s="5"/>
      <c r="AC972" s="2" t="s">
        <v>4195</v>
      </c>
      <c r="AD972" s="4">
        <v>841</v>
      </c>
      <c r="AE972" s="4">
        <v>1345</v>
      </c>
      <c r="AF972" s="6">
        <v>69</v>
      </c>
      <c r="AG972" s="6"/>
      <c r="AH972" s="7">
        <v>0</v>
      </c>
      <c r="AI972" s="4"/>
      <c r="AJ972" s="4">
        <f>=ROUNDDOWN({0},0)</f>
      </c>
      <c r="AK972" s="5"/>
      <c r="AL972" s="2" t="s">
        <v>231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231</v>
      </c>
      <c r="AW972" s="8" t="s">
        <v>231</v>
      </c>
      <c r="AX972" s="4" t="s">
        <v>231</v>
      </c>
      <c r="AY972" s="8" t="s">
        <v>231</v>
      </c>
      <c r="AZ972" s="7" t="s">
        <v>231</v>
      </c>
      <c r="BA972" s="7" t="s">
        <v>231</v>
      </c>
      <c r="BB972" s="7"/>
      <c r="BC972" s="4" t="s">
        <v>231</v>
      </c>
      <c r="BD972" s="8" t="s">
        <v>231</v>
      </c>
      <c r="BE972" s="4" t="s">
        <v>231</v>
      </c>
      <c r="BF972" s="8" t="s">
        <v>231</v>
      </c>
      <c r="BG972" s="7" t="s">
        <v>231</v>
      </c>
      <c r="BH972" s="7" t="s">
        <v>231</v>
      </c>
      <c r="BI972" s="7"/>
      <c r="BJ972" s="4"/>
      <c r="BK972" s="8"/>
      <c r="BL972" s="2" t="s">
        <v>231</v>
      </c>
      <c r="BM972" s="7"/>
      <c r="BN972" s="7"/>
      <c r="BO972" s="4"/>
      <c r="BP972" s="8"/>
      <c r="BQ972" s="4"/>
      <c r="BR972" s="8"/>
      <c r="BS972" s="7"/>
      <c r="BT972" s="7"/>
      <c r="BU972" s="2" t="s">
        <v>241</v>
      </c>
      <c r="BV972" s="2" t="s">
        <v>231</v>
      </c>
      <c r="BW972" s="2" t="s">
        <v>231</v>
      </c>
      <c r="BX972" s="2" t="s">
        <v>241</v>
      </c>
      <c r="BY972" s="2" t="s">
        <v>242</v>
      </c>
      <c r="BZ972" s="2" t="s">
        <v>243</v>
      </c>
      <c r="CA972" s="2" t="s">
        <v>231</v>
      </c>
      <c r="CB972" s="2" t="s">
        <v>231</v>
      </c>
      <c r="CC972" s="2" t="s">
        <v>244</v>
      </c>
      <c r="CD972" s="2" t="s">
        <v>231</v>
      </c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>
        <v>841</v>
      </c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>
        <v>504</v>
      </c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</row>
    <row r="973">
      <c r="A973" s="2" t="s">
        <v>4786</v>
      </c>
      <c r="B973" s="2" t="s">
        <v>287</v>
      </c>
      <c r="C973" s="2" t="s">
        <v>965</v>
      </c>
      <c r="D973" s="2" t="s">
        <v>289</v>
      </c>
      <c r="E973" s="2" t="s">
        <v>290</v>
      </c>
      <c r="F973" s="2" t="s">
        <v>4368</v>
      </c>
      <c r="G973" s="2" t="s">
        <v>4368</v>
      </c>
      <c r="H973" s="2" t="s">
        <v>4368</v>
      </c>
      <c r="I973" s="2" t="s">
        <v>4369</v>
      </c>
      <c r="J973" s="2" t="s">
        <v>302</v>
      </c>
      <c r="K973" s="2" t="s">
        <v>4781</v>
      </c>
      <c r="L973" s="3">
        <v>27.39</v>
      </c>
      <c r="M973" s="3">
        <v>28.76</v>
      </c>
      <c r="N973" s="3">
        <v>67.99</v>
      </c>
      <c r="O973" s="2" t="s">
        <v>243</v>
      </c>
      <c r="P973" s="2" t="s">
        <v>236</v>
      </c>
      <c r="Q973" s="2" t="s">
        <v>237</v>
      </c>
      <c r="R973" s="2" t="s">
        <v>231</v>
      </c>
      <c r="S973" s="2" t="s">
        <v>4782</v>
      </c>
      <c r="T973" s="2" t="s">
        <v>4134</v>
      </c>
      <c r="U973" s="2" t="s">
        <v>298</v>
      </c>
      <c r="V973" s="2" t="s">
        <v>2195</v>
      </c>
      <c r="W973" s="2" t="s">
        <v>273</v>
      </c>
      <c r="X973" s="2" t="s">
        <v>897</v>
      </c>
      <c r="Y973" s="2" t="s">
        <v>231</v>
      </c>
      <c r="Z973" s="4"/>
      <c r="AA973" s="4">
        <f>=ROUNDDOWN({0},0)</f>
      </c>
      <c r="AB973" s="5"/>
      <c r="AC973" s="2" t="s">
        <v>4195</v>
      </c>
      <c r="AD973" s="4">
        <v>365</v>
      </c>
      <c r="AE973" s="4">
        <v>584</v>
      </c>
      <c r="AF973" s="6">
        <v>69</v>
      </c>
      <c r="AG973" s="6"/>
      <c r="AH973" s="7">
        <v>0</v>
      </c>
      <c r="AI973" s="4"/>
      <c r="AJ973" s="4">
        <f>=ROUNDDOWN({0},0)</f>
      </c>
      <c r="AK973" s="5"/>
      <c r="AL973" s="2" t="s">
        <v>231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231</v>
      </c>
      <c r="AW973" s="8" t="s">
        <v>231</v>
      </c>
      <c r="AX973" s="4" t="s">
        <v>231</v>
      </c>
      <c r="AY973" s="8" t="s">
        <v>231</v>
      </c>
      <c r="AZ973" s="7" t="s">
        <v>231</v>
      </c>
      <c r="BA973" s="7" t="s">
        <v>231</v>
      </c>
      <c r="BB973" s="7"/>
      <c r="BC973" s="4" t="s">
        <v>231</v>
      </c>
      <c r="BD973" s="8" t="s">
        <v>231</v>
      </c>
      <c r="BE973" s="4" t="s">
        <v>231</v>
      </c>
      <c r="BF973" s="8" t="s">
        <v>231</v>
      </c>
      <c r="BG973" s="7" t="s">
        <v>231</v>
      </c>
      <c r="BH973" s="7" t="s">
        <v>231</v>
      </c>
      <c r="BI973" s="7"/>
      <c r="BJ973" s="4"/>
      <c r="BK973" s="8"/>
      <c r="BL973" s="2" t="s">
        <v>231</v>
      </c>
      <c r="BM973" s="7"/>
      <c r="BN973" s="7"/>
      <c r="BO973" s="4"/>
      <c r="BP973" s="8"/>
      <c r="BQ973" s="4"/>
      <c r="BR973" s="8"/>
      <c r="BS973" s="7"/>
      <c r="BT973" s="7"/>
      <c r="BU973" s="2" t="s">
        <v>241</v>
      </c>
      <c r="BV973" s="2" t="s">
        <v>231</v>
      </c>
      <c r="BW973" s="2" t="s">
        <v>231</v>
      </c>
      <c r="BX973" s="2" t="s">
        <v>241</v>
      </c>
      <c r="BY973" s="2" t="s">
        <v>242</v>
      </c>
      <c r="BZ973" s="2" t="s">
        <v>243</v>
      </c>
      <c r="CA973" s="2" t="s">
        <v>231</v>
      </c>
      <c r="CB973" s="2" t="s">
        <v>231</v>
      </c>
      <c r="CC973" s="2" t="s">
        <v>244</v>
      </c>
      <c r="CD973" s="2" t="s">
        <v>231</v>
      </c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>
        <v>365</v>
      </c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>
        <v>219</v>
      </c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</row>
    <row r="974">
      <c r="A974" s="2" t="s">
        <v>4787</v>
      </c>
      <c r="B974" s="2" t="s">
        <v>287</v>
      </c>
      <c r="C974" s="2" t="s">
        <v>965</v>
      </c>
      <c r="D974" s="2" t="s">
        <v>289</v>
      </c>
      <c r="E974" s="2" t="s">
        <v>290</v>
      </c>
      <c r="F974" s="2" t="s">
        <v>4368</v>
      </c>
      <c r="G974" s="2" t="s">
        <v>4368</v>
      </c>
      <c r="H974" s="2" t="s">
        <v>4368</v>
      </c>
      <c r="I974" s="2" t="s">
        <v>4369</v>
      </c>
      <c r="J974" s="2" t="s">
        <v>304</v>
      </c>
      <c r="K974" s="2" t="s">
        <v>4781</v>
      </c>
      <c r="L974" s="3">
        <v>27.39</v>
      </c>
      <c r="M974" s="3">
        <v>28.76</v>
      </c>
      <c r="N974" s="3">
        <v>67.99</v>
      </c>
      <c r="O974" s="2" t="s">
        <v>243</v>
      </c>
      <c r="P974" s="2" t="s">
        <v>236</v>
      </c>
      <c r="Q974" s="2" t="s">
        <v>237</v>
      </c>
      <c r="R974" s="2" t="s">
        <v>231</v>
      </c>
      <c r="S974" s="2" t="s">
        <v>4782</v>
      </c>
      <c r="T974" s="2" t="s">
        <v>4134</v>
      </c>
      <c r="U974" s="2" t="s">
        <v>298</v>
      </c>
      <c r="V974" s="2" t="s">
        <v>2195</v>
      </c>
      <c r="W974" s="2" t="s">
        <v>273</v>
      </c>
      <c r="X974" s="2" t="s">
        <v>897</v>
      </c>
      <c r="Y974" s="2" t="s">
        <v>231</v>
      </c>
      <c r="Z974" s="4"/>
      <c r="AA974" s="4">
        <f>=ROUNDDOWN({0},0)</f>
      </c>
      <c r="AB974" s="5"/>
      <c r="AC974" s="2" t="s">
        <v>4195</v>
      </c>
      <c r="AD974" s="4">
        <v>346</v>
      </c>
      <c r="AE974" s="4">
        <v>554</v>
      </c>
      <c r="AF974" s="6">
        <v>69</v>
      </c>
      <c r="AG974" s="6"/>
      <c r="AH974" s="7">
        <v>0</v>
      </c>
      <c r="AI974" s="4"/>
      <c r="AJ974" s="4">
        <f>=ROUNDDOWN({0},0)</f>
      </c>
      <c r="AK974" s="5"/>
      <c r="AL974" s="2" t="s">
        <v>231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231</v>
      </c>
      <c r="AW974" s="8" t="s">
        <v>231</v>
      </c>
      <c r="AX974" s="4" t="s">
        <v>231</v>
      </c>
      <c r="AY974" s="8" t="s">
        <v>231</v>
      </c>
      <c r="AZ974" s="7" t="s">
        <v>231</v>
      </c>
      <c r="BA974" s="7" t="s">
        <v>231</v>
      </c>
      <c r="BB974" s="7"/>
      <c r="BC974" s="4" t="s">
        <v>231</v>
      </c>
      <c r="BD974" s="8" t="s">
        <v>231</v>
      </c>
      <c r="BE974" s="4" t="s">
        <v>231</v>
      </c>
      <c r="BF974" s="8" t="s">
        <v>231</v>
      </c>
      <c r="BG974" s="7" t="s">
        <v>231</v>
      </c>
      <c r="BH974" s="7" t="s">
        <v>231</v>
      </c>
      <c r="BI974" s="7"/>
      <c r="BJ974" s="4"/>
      <c r="BK974" s="8"/>
      <c r="BL974" s="2" t="s">
        <v>231</v>
      </c>
      <c r="BM974" s="7"/>
      <c r="BN974" s="7"/>
      <c r="BO974" s="4"/>
      <c r="BP974" s="8"/>
      <c r="BQ974" s="4"/>
      <c r="BR974" s="8"/>
      <c r="BS974" s="7"/>
      <c r="BT974" s="7"/>
      <c r="BU974" s="2" t="s">
        <v>241</v>
      </c>
      <c r="BV974" s="2" t="s">
        <v>231</v>
      </c>
      <c r="BW974" s="2" t="s">
        <v>231</v>
      </c>
      <c r="BX974" s="2" t="s">
        <v>241</v>
      </c>
      <c r="BY974" s="2" t="s">
        <v>242</v>
      </c>
      <c r="BZ974" s="2" t="s">
        <v>243</v>
      </c>
      <c r="CA974" s="2" t="s">
        <v>231</v>
      </c>
      <c r="CB974" s="2" t="s">
        <v>231</v>
      </c>
      <c r="CC974" s="2" t="s">
        <v>244</v>
      </c>
      <c r="CD974" s="2" t="s">
        <v>231</v>
      </c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>
        <v>346</v>
      </c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>
        <v>208</v>
      </c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</row>
    <row r="975">
      <c r="A975" s="2" t="s">
        <v>4788</v>
      </c>
      <c r="B975" s="2" t="s">
        <v>287</v>
      </c>
      <c r="C975" s="2" t="s">
        <v>965</v>
      </c>
      <c r="D975" s="2" t="s">
        <v>289</v>
      </c>
      <c r="E975" s="2" t="s">
        <v>290</v>
      </c>
      <c r="F975" s="2" t="s">
        <v>4368</v>
      </c>
      <c r="G975" s="2" t="s">
        <v>4368</v>
      </c>
      <c r="H975" s="2" t="s">
        <v>4368</v>
      </c>
      <c r="I975" s="2" t="s">
        <v>4369</v>
      </c>
      <c r="J975" s="2" t="s">
        <v>318</v>
      </c>
      <c r="K975" s="2" t="s">
        <v>4789</v>
      </c>
      <c r="L975" s="3">
        <v>14.89</v>
      </c>
      <c r="M975" s="3">
        <v>15.63</v>
      </c>
      <c r="N975" s="3">
        <v>31.99</v>
      </c>
      <c r="O975" s="2" t="s">
        <v>243</v>
      </c>
      <c r="P975" s="2" t="s">
        <v>270</v>
      </c>
      <c r="Q975" s="2" t="s">
        <v>237</v>
      </c>
      <c r="R975" s="2" t="s">
        <v>231</v>
      </c>
      <c r="S975" s="2" t="s">
        <v>4790</v>
      </c>
      <c r="T975" s="2" t="s">
        <v>4134</v>
      </c>
      <c r="U975" s="2" t="s">
        <v>231</v>
      </c>
      <c r="V975" s="2" t="s">
        <v>4046</v>
      </c>
      <c r="W975" s="2" t="s">
        <v>273</v>
      </c>
      <c r="X975" s="2" t="s">
        <v>231</v>
      </c>
      <c r="Y975" s="2" t="s">
        <v>274</v>
      </c>
      <c r="Z975" s="4"/>
      <c r="AA975" s="4">
        <f>=ROUNDDOWN({0},0)</f>
      </c>
      <c r="AB975" s="5">
        <v>40</v>
      </c>
      <c r="AC975" s="2" t="s">
        <v>4135</v>
      </c>
      <c r="AD975" s="4">
        <v>394</v>
      </c>
      <c r="AE975" s="4">
        <v>1434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231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231</v>
      </c>
      <c r="AW975" s="8" t="s">
        <v>231</v>
      </c>
      <c r="AX975" s="4" t="s">
        <v>231</v>
      </c>
      <c r="AY975" s="8" t="s">
        <v>231</v>
      </c>
      <c r="AZ975" s="7" t="s">
        <v>231</v>
      </c>
      <c r="BA975" s="7" t="s">
        <v>231</v>
      </c>
      <c r="BB975" s="7"/>
      <c r="BC975" s="4" t="s">
        <v>231</v>
      </c>
      <c r="BD975" s="8" t="s">
        <v>231</v>
      </c>
      <c r="BE975" s="4" t="s">
        <v>231</v>
      </c>
      <c r="BF975" s="8" t="s">
        <v>231</v>
      </c>
      <c r="BG975" s="7" t="s">
        <v>231</v>
      </c>
      <c r="BH975" s="7" t="s">
        <v>231</v>
      </c>
      <c r="BI975" s="7"/>
      <c r="BJ975" s="4"/>
      <c r="BK975" s="8"/>
      <c r="BL975" s="2" t="s">
        <v>384</v>
      </c>
      <c r="BM975" s="7"/>
      <c r="BN975" s="7"/>
      <c r="BO975" s="4"/>
      <c r="BP975" s="8"/>
      <c r="BQ975" s="4"/>
      <c r="BR975" s="8"/>
      <c r="BS975" s="7"/>
      <c r="BT975" s="7"/>
      <c r="BU975" s="2" t="s">
        <v>4791</v>
      </c>
      <c r="BV975" s="2" t="s">
        <v>231</v>
      </c>
      <c r="BW975" s="2" t="s">
        <v>231</v>
      </c>
      <c r="BX975" s="2" t="s">
        <v>231</v>
      </c>
      <c r="BY975" s="2" t="s">
        <v>277</v>
      </c>
      <c r="BZ975" s="2" t="s">
        <v>243</v>
      </c>
      <c r="CA975" s="2" t="s">
        <v>4200</v>
      </c>
      <c r="CB975" s="2" t="s">
        <v>4638</v>
      </c>
      <c r="CC975" s="2" t="s">
        <v>244</v>
      </c>
      <c r="CD975" s="2" t="s">
        <v>231</v>
      </c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>
        <v>394</v>
      </c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>
        <v>689</v>
      </c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>
        <v>351</v>
      </c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</row>
    <row r="976">
      <c r="A976" s="2" t="s">
        <v>4792</v>
      </c>
      <c r="B976" s="2" t="s">
        <v>287</v>
      </c>
      <c r="C976" s="2" t="s">
        <v>965</v>
      </c>
      <c r="D976" s="2" t="s">
        <v>289</v>
      </c>
      <c r="E976" s="2" t="s">
        <v>290</v>
      </c>
      <c r="F976" s="2" t="s">
        <v>4368</v>
      </c>
      <c r="G976" s="2" t="s">
        <v>4368</v>
      </c>
      <c r="H976" s="2" t="s">
        <v>4368</v>
      </c>
      <c r="I976" s="2" t="s">
        <v>4369</v>
      </c>
      <c r="J976" s="2" t="s">
        <v>281</v>
      </c>
      <c r="K976" s="2" t="s">
        <v>4789</v>
      </c>
      <c r="L976" s="3">
        <v>19.57</v>
      </c>
      <c r="M976" s="3">
        <v>20.55</v>
      </c>
      <c r="N976" s="3">
        <v>42.99</v>
      </c>
      <c r="O976" s="2" t="s">
        <v>243</v>
      </c>
      <c r="P976" s="2" t="s">
        <v>1281</v>
      </c>
      <c r="Q976" s="2" t="s">
        <v>237</v>
      </c>
      <c r="R976" s="2" t="s">
        <v>231</v>
      </c>
      <c r="S976" s="2" t="s">
        <v>4790</v>
      </c>
      <c r="T976" s="2" t="s">
        <v>4134</v>
      </c>
      <c r="U976" s="2" t="s">
        <v>231</v>
      </c>
      <c r="V976" s="2" t="s">
        <v>4046</v>
      </c>
      <c r="W976" s="2" t="s">
        <v>273</v>
      </c>
      <c r="X976" s="2" t="s">
        <v>231</v>
      </c>
      <c r="Y976" s="2" t="s">
        <v>4472</v>
      </c>
      <c r="Z976" s="4"/>
      <c r="AA976" s="4">
        <f>=ROUNDDOWN({0},0)</f>
      </c>
      <c r="AB976" s="5">
        <v>31</v>
      </c>
      <c r="AC976" s="2" t="s">
        <v>4135</v>
      </c>
      <c r="AD976" s="4">
        <v>303</v>
      </c>
      <c r="AE976" s="4">
        <v>1108</v>
      </c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231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231</v>
      </c>
      <c r="AW976" s="8" t="s">
        <v>231</v>
      </c>
      <c r="AX976" s="4" t="s">
        <v>231</v>
      </c>
      <c r="AY976" s="8" t="s">
        <v>231</v>
      </c>
      <c r="AZ976" s="7" t="s">
        <v>231</v>
      </c>
      <c r="BA976" s="7" t="s">
        <v>231</v>
      </c>
      <c r="BB976" s="7"/>
      <c r="BC976" s="4" t="s">
        <v>231</v>
      </c>
      <c r="BD976" s="8" t="s">
        <v>231</v>
      </c>
      <c r="BE976" s="4" t="s">
        <v>231</v>
      </c>
      <c r="BF976" s="8" t="s">
        <v>231</v>
      </c>
      <c r="BG976" s="7" t="s">
        <v>231</v>
      </c>
      <c r="BH976" s="7" t="s">
        <v>231</v>
      </c>
      <c r="BI976" s="7"/>
      <c r="BJ976" s="4"/>
      <c r="BK976" s="8"/>
      <c r="BL976" s="2" t="s">
        <v>953</v>
      </c>
      <c r="BM976" s="7"/>
      <c r="BN976" s="7"/>
      <c r="BO976" s="4"/>
      <c r="BP976" s="8"/>
      <c r="BQ976" s="4"/>
      <c r="BR976" s="8"/>
      <c r="BS976" s="7"/>
      <c r="BT976" s="7"/>
      <c r="BU976" s="2" t="s">
        <v>4793</v>
      </c>
      <c r="BV976" s="2" t="s">
        <v>231</v>
      </c>
      <c r="BW976" s="2" t="s">
        <v>231</v>
      </c>
      <c r="BX976" s="2" t="s">
        <v>231</v>
      </c>
      <c r="BY976" s="2" t="s">
        <v>277</v>
      </c>
      <c r="BZ976" s="2" t="s">
        <v>243</v>
      </c>
      <c r="CA976" s="2" t="s">
        <v>4200</v>
      </c>
      <c r="CB976" s="2" t="s">
        <v>4620</v>
      </c>
      <c r="CC976" s="2" t="s">
        <v>244</v>
      </c>
      <c r="CD976" s="2" t="s">
        <v>231</v>
      </c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>
        <v>303</v>
      </c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>
        <v>537</v>
      </c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>
        <v>268</v>
      </c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</row>
    <row r="977">
      <c r="A977" s="2" t="s">
        <v>4794</v>
      </c>
      <c r="B977" s="2" t="s">
        <v>287</v>
      </c>
      <c r="C977" s="2" t="s">
        <v>965</v>
      </c>
      <c r="D977" s="2" t="s">
        <v>289</v>
      </c>
      <c r="E977" s="2" t="s">
        <v>290</v>
      </c>
      <c r="F977" s="2" t="s">
        <v>4368</v>
      </c>
      <c r="G977" s="2" t="s">
        <v>4368</v>
      </c>
      <c r="H977" s="2" t="s">
        <v>4368</v>
      </c>
      <c r="I977" s="2" t="s">
        <v>4369</v>
      </c>
      <c r="J977" s="2" t="s">
        <v>293</v>
      </c>
      <c r="K977" s="2" t="s">
        <v>4789</v>
      </c>
      <c r="L977" s="3">
        <v>22.21</v>
      </c>
      <c r="M977" s="3">
        <v>23.32</v>
      </c>
      <c r="N977" s="3">
        <v>47.99</v>
      </c>
      <c r="O977" s="2" t="s">
        <v>243</v>
      </c>
      <c r="P977" s="2" t="s">
        <v>270</v>
      </c>
      <c r="Q977" s="2" t="s">
        <v>237</v>
      </c>
      <c r="R977" s="2" t="s">
        <v>231</v>
      </c>
      <c r="S977" s="2" t="s">
        <v>4790</v>
      </c>
      <c r="T977" s="2" t="s">
        <v>4134</v>
      </c>
      <c r="U977" s="2" t="s">
        <v>231</v>
      </c>
      <c r="V977" s="2" t="s">
        <v>4046</v>
      </c>
      <c r="W977" s="2" t="s">
        <v>273</v>
      </c>
      <c r="X977" s="2" t="s">
        <v>231</v>
      </c>
      <c r="Y977" s="2" t="s">
        <v>274</v>
      </c>
      <c r="Z977" s="4"/>
      <c r="AA977" s="4">
        <f>=ROUNDDOWN({0},0)</f>
      </c>
      <c r="AB977" s="5">
        <v>39</v>
      </c>
      <c r="AC977" s="2" t="s">
        <v>4135</v>
      </c>
      <c r="AD977" s="4">
        <v>386</v>
      </c>
      <c r="AE977" s="4">
        <v>1361</v>
      </c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231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231</v>
      </c>
      <c r="AW977" s="8" t="s">
        <v>231</v>
      </c>
      <c r="AX977" s="4" t="s">
        <v>231</v>
      </c>
      <c r="AY977" s="8" t="s">
        <v>231</v>
      </c>
      <c r="AZ977" s="7" t="s">
        <v>231</v>
      </c>
      <c r="BA977" s="7" t="s">
        <v>231</v>
      </c>
      <c r="BB977" s="7"/>
      <c r="BC977" s="4" t="s">
        <v>231</v>
      </c>
      <c r="BD977" s="8" t="s">
        <v>231</v>
      </c>
      <c r="BE977" s="4" t="s">
        <v>231</v>
      </c>
      <c r="BF977" s="8" t="s">
        <v>231</v>
      </c>
      <c r="BG977" s="7" t="s">
        <v>231</v>
      </c>
      <c r="BH977" s="7" t="s">
        <v>231</v>
      </c>
      <c r="BI977" s="7"/>
      <c r="BJ977" s="4"/>
      <c r="BK977" s="8"/>
      <c r="BL977" s="2" t="s">
        <v>231</v>
      </c>
      <c r="BM977" s="7"/>
      <c r="BN977" s="7"/>
      <c r="BO977" s="4"/>
      <c r="BP977" s="8"/>
      <c r="BQ977" s="4"/>
      <c r="BR977" s="8"/>
      <c r="BS977" s="7"/>
      <c r="BT977" s="7"/>
      <c r="BU977" s="2" t="s">
        <v>4795</v>
      </c>
      <c r="BV977" s="2" t="s">
        <v>231</v>
      </c>
      <c r="BW977" s="2" t="s">
        <v>231</v>
      </c>
      <c r="BX977" s="2" t="s">
        <v>231</v>
      </c>
      <c r="BY977" s="2" t="s">
        <v>277</v>
      </c>
      <c r="BZ977" s="2" t="s">
        <v>243</v>
      </c>
      <c r="CA977" s="2" t="s">
        <v>4200</v>
      </c>
      <c r="CB977" s="2" t="s">
        <v>1868</v>
      </c>
      <c r="CC977" s="2" t="s">
        <v>244</v>
      </c>
      <c r="CD977" s="2" t="s">
        <v>231</v>
      </c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>
        <v>386</v>
      </c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>
        <v>622</v>
      </c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>
        <v>353</v>
      </c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</row>
    <row r="978">
      <c r="A978" s="2" t="s">
        <v>4796</v>
      </c>
      <c r="B978" s="2" t="s">
        <v>287</v>
      </c>
      <c r="C978" s="2" t="s">
        <v>965</v>
      </c>
      <c r="D978" s="2" t="s">
        <v>289</v>
      </c>
      <c r="E978" s="2" t="s">
        <v>290</v>
      </c>
      <c r="F978" s="2" t="s">
        <v>4368</v>
      </c>
      <c r="G978" s="2" t="s">
        <v>4368</v>
      </c>
      <c r="H978" s="2" t="s">
        <v>4368</v>
      </c>
      <c r="I978" s="2" t="s">
        <v>4369</v>
      </c>
      <c r="J978" s="2" t="s">
        <v>302</v>
      </c>
      <c r="K978" s="2" t="s">
        <v>4789</v>
      </c>
      <c r="L978" s="3">
        <v>27.39</v>
      </c>
      <c r="M978" s="3">
        <v>28.76</v>
      </c>
      <c r="N978" s="3">
        <v>62.99</v>
      </c>
      <c r="O978" s="2" t="s">
        <v>243</v>
      </c>
      <c r="P978" s="2" t="s">
        <v>270</v>
      </c>
      <c r="Q978" s="2" t="s">
        <v>237</v>
      </c>
      <c r="R978" s="2" t="s">
        <v>231</v>
      </c>
      <c r="S978" s="2" t="s">
        <v>4790</v>
      </c>
      <c r="T978" s="2" t="s">
        <v>4134</v>
      </c>
      <c r="U978" s="2" t="s">
        <v>231</v>
      </c>
      <c r="V978" s="2" t="s">
        <v>4046</v>
      </c>
      <c r="W978" s="2" t="s">
        <v>273</v>
      </c>
      <c r="X978" s="2" t="s">
        <v>231</v>
      </c>
      <c r="Y978" s="2" t="s">
        <v>274</v>
      </c>
      <c r="Z978" s="4"/>
      <c r="AA978" s="4">
        <f>=ROUNDDOWN({0},0)</f>
      </c>
      <c r="AB978" s="5">
        <v>18</v>
      </c>
      <c r="AC978" s="2" t="s">
        <v>4135</v>
      </c>
      <c r="AD978" s="4">
        <v>188</v>
      </c>
      <c r="AE978" s="4">
        <v>658</v>
      </c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231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231</v>
      </c>
      <c r="AW978" s="8" t="s">
        <v>231</v>
      </c>
      <c r="AX978" s="4" t="s">
        <v>231</v>
      </c>
      <c r="AY978" s="8" t="s">
        <v>231</v>
      </c>
      <c r="AZ978" s="7" t="s">
        <v>231</v>
      </c>
      <c r="BA978" s="7" t="s">
        <v>231</v>
      </c>
      <c r="BB978" s="7"/>
      <c r="BC978" s="4" t="s">
        <v>231</v>
      </c>
      <c r="BD978" s="8" t="s">
        <v>231</v>
      </c>
      <c r="BE978" s="4" t="s">
        <v>231</v>
      </c>
      <c r="BF978" s="8" t="s">
        <v>231</v>
      </c>
      <c r="BG978" s="7" t="s">
        <v>231</v>
      </c>
      <c r="BH978" s="7" t="s">
        <v>231</v>
      </c>
      <c r="BI978" s="7"/>
      <c r="BJ978" s="4"/>
      <c r="BK978" s="8"/>
      <c r="BL978" s="2" t="s">
        <v>231</v>
      </c>
      <c r="BM978" s="7"/>
      <c r="BN978" s="7"/>
      <c r="BO978" s="4"/>
      <c r="BP978" s="8"/>
      <c r="BQ978" s="4"/>
      <c r="BR978" s="8"/>
      <c r="BS978" s="7"/>
      <c r="BT978" s="7"/>
      <c r="BU978" s="2" t="s">
        <v>4797</v>
      </c>
      <c r="BV978" s="2" t="s">
        <v>231</v>
      </c>
      <c r="BW978" s="2" t="s">
        <v>231</v>
      </c>
      <c r="BX978" s="2" t="s">
        <v>231</v>
      </c>
      <c r="BY978" s="2" t="s">
        <v>277</v>
      </c>
      <c r="BZ978" s="2" t="s">
        <v>243</v>
      </c>
      <c r="CA978" s="2" t="s">
        <v>4200</v>
      </c>
      <c r="CB978" s="2" t="s">
        <v>4509</v>
      </c>
      <c r="CC978" s="2" t="s">
        <v>244</v>
      </c>
      <c r="CD978" s="2" t="s">
        <v>231</v>
      </c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>
        <v>188</v>
      </c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>
        <v>297</v>
      </c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>
        <v>173</v>
      </c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</row>
    <row r="979">
      <c r="A979" s="2" t="s">
        <v>4798</v>
      </c>
      <c r="B979" s="2" t="s">
        <v>287</v>
      </c>
      <c r="C979" s="2" t="s">
        <v>965</v>
      </c>
      <c r="D979" s="2" t="s">
        <v>289</v>
      </c>
      <c r="E979" s="2" t="s">
        <v>290</v>
      </c>
      <c r="F979" s="2" t="s">
        <v>4368</v>
      </c>
      <c r="G979" s="2" t="s">
        <v>4368</v>
      </c>
      <c r="H979" s="2" t="s">
        <v>4368</v>
      </c>
      <c r="I979" s="2" t="s">
        <v>4369</v>
      </c>
      <c r="J979" s="2" t="s">
        <v>318</v>
      </c>
      <c r="K979" s="2" t="s">
        <v>4799</v>
      </c>
      <c r="L979" s="3">
        <v>14.89</v>
      </c>
      <c r="M979" s="3">
        <v>15.63</v>
      </c>
      <c r="N979" s="3">
        <v>36.99</v>
      </c>
      <c r="O979" s="2" t="s">
        <v>243</v>
      </c>
      <c r="P979" s="2" t="s">
        <v>236</v>
      </c>
      <c r="Q979" s="2" t="s">
        <v>237</v>
      </c>
      <c r="R979" s="2" t="s">
        <v>231</v>
      </c>
      <c r="S979" s="2" t="s">
        <v>4800</v>
      </c>
      <c r="T979" s="2" t="s">
        <v>4134</v>
      </c>
      <c r="U979" s="2" t="s">
        <v>835</v>
      </c>
      <c r="V979" s="2" t="s">
        <v>4046</v>
      </c>
      <c r="W979" s="2" t="s">
        <v>273</v>
      </c>
      <c r="X979" s="2" t="s">
        <v>897</v>
      </c>
      <c r="Y979" s="2" t="s">
        <v>231</v>
      </c>
      <c r="Z979" s="4"/>
      <c r="AA979" s="4">
        <f>=ROUNDDOWN({0},0)</f>
      </c>
      <c r="AB979" s="5"/>
      <c r="AC979" s="2" t="s">
        <v>4195</v>
      </c>
      <c r="AD979" s="4">
        <v>920</v>
      </c>
      <c r="AE979" s="4">
        <v>1472</v>
      </c>
      <c r="AF979" s="6">
        <v>69</v>
      </c>
      <c r="AG979" s="6"/>
      <c r="AH979" s="7">
        <v>0</v>
      </c>
      <c r="AI979" s="4"/>
      <c r="AJ979" s="4">
        <f>=ROUNDDOWN({0},0)</f>
      </c>
      <c r="AK979" s="5"/>
      <c r="AL979" s="2" t="s">
        <v>231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231</v>
      </c>
      <c r="AW979" s="8" t="s">
        <v>231</v>
      </c>
      <c r="AX979" s="4" t="s">
        <v>231</v>
      </c>
      <c r="AY979" s="8" t="s">
        <v>231</v>
      </c>
      <c r="AZ979" s="7" t="s">
        <v>231</v>
      </c>
      <c r="BA979" s="7" t="s">
        <v>231</v>
      </c>
      <c r="BB979" s="7"/>
      <c r="BC979" s="4" t="s">
        <v>231</v>
      </c>
      <c r="BD979" s="8" t="s">
        <v>231</v>
      </c>
      <c r="BE979" s="4" t="s">
        <v>231</v>
      </c>
      <c r="BF979" s="8" t="s">
        <v>231</v>
      </c>
      <c r="BG979" s="7" t="s">
        <v>231</v>
      </c>
      <c r="BH979" s="7" t="s">
        <v>231</v>
      </c>
      <c r="BI979" s="7"/>
      <c r="BJ979" s="4"/>
      <c r="BK979" s="8"/>
      <c r="BL979" s="2" t="s">
        <v>231</v>
      </c>
      <c r="BM979" s="7"/>
      <c r="BN979" s="7"/>
      <c r="BO979" s="4"/>
      <c r="BP979" s="8"/>
      <c r="BQ979" s="4"/>
      <c r="BR979" s="8"/>
      <c r="BS979" s="7"/>
      <c r="BT979" s="7"/>
      <c r="BU979" s="2" t="s">
        <v>241</v>
      </c>
      <c r="BV979" s="2" t="s">
        <v>231</v>
      </c>
      <c r="BW979" s="2" t="s">
        <v>231</v>
      </c>
      <c r="BX979" s="2" t="s">
        <v>241</v>
      </c>
      <c r="BY979" s="2" t="s">
        <v>242</v>
      </c>
      <c r="BZ979" s="2" t="s">
        <v>243</v>
      </c>
      <c r="CA979" s="2" t="s">
        <v>231</v>
      </c>
      <c r="CB979" s="2" t="s">
        <v>231</v>
      </c>
      <c r="CC979" s="2" t="s">
        <v>244</v>
      </c>
      <c r="CD979" s="2" t="s">
        <v>231</v>
      </c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>
        <v>920</v>
      </c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>
        <v>552</v>
      </c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</row>
    <row r="980">
      <c r="A980" s="2" t="s">
        <v>4801</v>
      </c>
      <c r="B980" s="2" t="s">
        <v>287</v>
      </c>
      <c r="C980" s="2" t="s">
        <v>965</v>
      </c>
      <c r="D980" s="2" t="s">
        <v>289</v>
      </c>
      <c r="E980" s="2" t="s">
        <v>290</v>
      </c>
      <c r="F980" s="2" t="s">
        <v>4368</v>
      </c>
      <c r="G980" s="2" t="s">
        <v>4368</v>
      </c>
      <c r="H980" s="2" t="s">
        <v>4368</v>
      </c>
      <c r="I980" s="2" t="s">
        <v>4369</v>
      </c>
      <c r="J980" s="2" t="s">
        <v>268</v>
      </c>
      <c r="K980" s="2" t="s">
        <v>4799</v>
      </c>
      <c r="L980" s="3">
        <v>16.16</v>
      </c>
      <c r="M980" s="3">
        <v>16.97</v>
      </c>
      <c r="N980" s="3">
        <v>39.99</v>
      </c>
      <c r="O980" s="2" t="s">
        <v>243</v>
      </c>
      <c r="P980" s="2" t="s">
        <v>236</v>
      </c>
      <c r="Q980" s="2" t="s">
        <v>237</v>
      </c>
      <c r="R980" s="2" t="s">
        <v>231</v>
      </c>
      <c r="S980" s="2" t="s">
        <v>4800</v>
      </c>
      <c r="T980" s="2" t="s">
        <v>4134</v>
      </c>
      <c r="U980" s="2" t="s">
        <v>835</v>
      </c>
      <c r="V980" s="2" t="s">
        <v>4046</v>
      </c>
      <c r="W980" s="2" t="s">
        <v>273</v>
      </c>
      <c r="X980" s="2" t="s">
        <v>897</v>
      </c>
      <c r="Y980" s="2" t="s">
        <v>231</v>
      </c>
      <c r="Z980" s="4"/>
      <c r="AA980" s="4">
        <f>=ROUNDDOWN({0},0)</f>
      </c>
      <c r="AB980" s="5"/>
      <c r="AC980" s="2" t="s">
        <v>4195</v>
      </c>
      <c r="AD980" s="4">
        <v>944</v>
      </c>
      <c r="AE980" s="4">
        <v>1511</v>
      </c>
      <c r="AF980" s="6">
        <v>69</v>
      </c>
      <c r="AG980" s="6"/>
      <c r="AH980" s="7">
        <v>0</v>
      </c>
      <c r="AI980" s="4"/>
      <c r="AJ980" s="4">
        <f>=ROUNDDOWN({0},0)</f>
      </c>
      <c r="AK980" s="5"/>
      <c r="AL980" s="2" t="s">
        <v>231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231</v>
      </c>
      <c r="AW980" s="8" t="s">
        <v>231</v>
      </c>
      <c r="AX980" s="4" t="s">
        <v>231</v>
      </c>
      <c r="AY980" s="8" t="s">
        <v>231</v>
      </c>
      <c r="AZ980" s="7" t="s">
        <v>231</v>
      </c>
      <c r="BA980" s="7" t="s">
        <v>231</v>
      </c>
      <c r="BB980" s="7"/>
      <c r="BC980" s="4" t="s">
        <v>231</v>
      </c>
      <c r="BD980" s="8" t="s">
        <v>231</v>
      </c>
      <c r="BE980" s="4" t="s">
        <v>231</v>
      </c>
      <c r="BF980" s="8" t="s">
        <v>231</v>
      </c>
      <c r="BG980" s="7" t="s">
        <v>231</v>
      </c>
      <c r="BH980" s="7" t="s">
        <v>231</v>
      </c>
      <c r="BI980" s="7"/>
      <c r="BJ980" s="4"/>
      <c r="BK980" s="8"/>
      <c r="BL980" s="2" t="s">
        <v>231</v>
      </c>
      <c r="BM980" s="7"/>
      <c r="BN980" s="7"/>
      <c r="BO980" s="4"/>
      <c r="BP980" s="8"/>
      <c r="BQ980" s="4"/>
      <c r="BR980" s="8"/>
      <c r="BS980" s="7"/>
      <c r="BT980" s="7"/>
      <c r="BU980" s="2" t="s">
        <v>241</v>
      </c>
      <c r="BV980" s="2" t="s">
        <v>231</v>
      </c>
      <c r="BW980" s="2" t="s">
        <v>231</v>
      </c>
      <c r="BX980" s="2" t="s">
        <v>241</v>
      </c>
      <c r="BY980" s="2" t="s">
        <v>242</v>
      </c>
      <c r="BZ980" s="2" t="s">
        <v>243</v>
      </c>
      <c r="CA980" s="2" t="s">
        <v>231</v>
      </c>
      <c r="CB980" s="2" t="s">
        <v>231</v>
      </c>
      <c r="CC980" s="2" t="s">
        <v>244</v>
      </c>
      <c r="CD980" s="2" t="s">
        <v>231</v>
      </c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>
        <v>944</v>
      </c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>
        <v>567</v>
      </c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</row>
    <row r="981">
      <c r="A981" s="2" t="s">
        <v>4802</v>
      </c>
      <c r="B981" s="2" t="s">
        <v>287</v>
      </c>
      <c r="C981" s="2" t="s">
        <v>965</v>
      </c>
      <c r="D981" s="2" t="s">
        <v>289</v>
      </c>
      <c r="E981" s="2" t="s">
        <v>290</v>
      </c>
      <c r="F981" s="2" t="s">
        <v>4368</v>
      </c>
      <c r="G981" s="2" t="s">
        <v>4368</v>
      </c>
      <c r="H981" s="2" t="s">
        <v>4368</v>
      </c>
      <c r="I981" s="2" t="s">
        <v>4369</v>
      </c>
      <c r="J981" s="2" t="s">
        <v>281</v>
      </c>
      <c r="K981" s="2" t="s">
        <v>4799</v>
      </c>
      <c r="L981" s="3">
        <v>19.57</v>
      </c>
      <c r="M981" s="3">
        <v>20.55</v>
      </c>
      <c r="N981" s="3">
        <v>47.99</v>
      </c>
      <c r="O981" s="2" t="s">
        <v>243</v>
      </c>
      <c r="P981" s="2" t="s">
        <v>236</v>
      </c>
      <c r="Q981" s="2" t="s">
        <v>237</v>
      </c>
      <c r="R981" s="2" t="s">
        <v>231</v>
      </c>
      <c r="S981" s="2" t="s">
        <v>4800</v>
      </c>
      <c r="T981" s="2" t="s">
        <v>4134</v>
      </c>
      <c r="U981" s="2" t="s">
        <v>298</v>
      </c>
      <c r="V981" s="2" t="s">
        <v>4046</v>
      </c>
      <c r="W981" s="2" t="s">
        <v>273</v>
      </c>
      <c r="X981" s="2" t="s">
        <v>897</v>
      </c>
      <c r="Y981" s="2" t="s">
        <v>231</v>
      </c>
      <c r="Z981" s="4"/>
      <c r="AA981" s="4">
        <f>=ROUNDDOWN({0},0)</f>
      </c>
      <c r="AB981" s="5"/>
      <c r="AC981" s="2" t="s">
        <v>4195</v>
      </c>
      <c r="AD981" s="4">
        <v>1053</v>
      </c>
      <c r="AE981" s="4">
        <v>1685</v>
      </c>
      <c r="AF981" s="6">
        <v>69</v>
      </c>
      <c r="AG981" s="6"/>
      <c r="AH981" s="7">
        <v>0</v>
      </c>
      <c r="AI981" s="4"/>
      <c r="AJ981" s="4">
        <f>=ROUNDDOWN({0},0)</f>
      </c>
      <c r="AK981" s="5"/>
      <c r="AL981" s="2" t="s">
        <v>231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231</v>
      </c>
      <c r="AW981" s="8" t="s">
        <v>231</v>
      </c>
      <c r="AX981" s="4" t="s">
        <v>231</v>
      </c>
      <c r="AY981" s="8" t="s">
        <v>231</v>
      </c>
      <c r="AZ981" s="7" t="s">
        <v>231</v>
      </c>
      <c r="BA981" s="7" t="s">
        <v>231</v>
      </c>
      <c r="BB981" s="7"/>
      <c r="BC981" s="4" t="s">
        <v>231</v>
      </c>
      <c r="BD981" s="8" t="s">
        <v>231</v>
      </c>
      <c r="BE981" s="4" t="s">
        <v>231</v>
      </c>
      <c r="BF981" s="8" t="s">
        <v>231</v>
      </c>
      <c r="BG981" s="7" t="s">
        <v>231</v>
      </c>
      <c r="BH981" s="7" t="s">
        <v>231</v>
      </c>
      <c r="BI981" s="7"/>
      <c r="BJ981" s="4"/>
      <c r="BK981" s="8"/>
      <c r="BL981" s="2" t="s">
        <v>231</v>
      </c>
      <c r="BM981" s="7"/>
      <c r="BN981" s="7"/>
      <c r="BO981" s="4"/>
      <c r="BP981" s="8"/>
      <c r="BQ981" s="4"/>
      <c r="BR981" s="8"/>
      <c r="BS981" s="7"/>
      <c r="BT981" s="7"/>
      <c r="BU981" s="2" t="s">
        <v>241</v>
      </c>
      <c r="BV981" s="2" t="s">
        <v>231</v>
      </c>
      <c r="BW981" s="2" t="s">
        <v>231</v>
      </c>
      <c r="BX981" s="2" t="s">
        <v>241</v>
      </c>
      <c r="BY981" s="2" t="s">
        <v>242</v>
      </c>
      <c r="BZ981" s="2" t="s">
        <v>243</v>
      </c>
      <c r="CA981" s="2" t="s">
        <v>231</v>
      </c>
      <c r="CB981" s="2" t="s">
        <v>231</v>
      </c>
      <c r="CC981" s="2" t="s">
        <v>244</v>
      </c>
      <c r="CD981" s="2" t="s">
        <v>231</v>
      </c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>
        <v>1053</v>
      </c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>
        <v>632</v>
      </c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</row>
    <row r="982">
      <c r="A982" s="2" t="s">
        <v>4803</v>
      </c>
      <c r="B982" s="2" t="s">
        <v>287</v>
      </c>
      <c r="C982" s="2" t="s">
        <v>965</v>
      </c>
      <c r="D982" s="2" t="s">
        <v>289</v>
      </c>
      <c r="E982" s="2" t="s">
        <v>290</v>
      </c>
      <c r="F982" s="2" t="s">
        <v>4368</v>
      </c>
      <c r="G982" s="2" t="s">
        <v>4368</v>
      </c>
      <c r="H982" s="2" t="s">
        <v>4368</v>
      </c>
      <c r="I982" s="2" t="s">
        <v>4369</v>
      </c>
      <c r="J982" s="2" t="s">
        <v>293</v>
      </c>
      <c r="K982" s="2" t="s">
        <v>4799</v>
      </c>
      <c r="L982" s="3">
        <v>22.21</v>
      </c>
      <c r="M982" s="3">
        <v>23.32</v>
      </c>
      <c r="N982" s="3">
        <v>52.99</v>
      </c>
      <c r="O982" s="2" t="s">
        <v>243</v>
      </c>
      <c r="P982" s="2" t="s">
        <v>236</v>
      </c>
      <c r="Q982" s="2" t="s">
        <v>237</v>
      </c>
      <c r="R982" s="2" t="s">
        <v>231</v>
      </c>
      <c r="S982" s="2" t="s">
        <v>4800</v>
      </c>
      <c r="T982" s="2" t="s">
        <v>4134</v>
      </c>
      <c r="U982" s="2" t="s">
        <v>298</v>
      </c>
      <c r="V982" s="2" t="s">
        <v>4046</v>
      </c>
      <c r="W982" s="2" t="s">
        <v>273</v>
      </c>
      <c r="X982" s="2" t="s">
        <v>897</v>
      </c>
      <c r="Y982" s="2" t="s">
        <v>231</v>
      </c>
      <c r="Z982" s="4"/>
      <c r="AA982" s="4">
        <f>=ROUNDDOWN({0},0)</f>
      </c>
      <c r="AB982" s="5"/>
      <c r="AC982" s="2" t="s">
        <v>4195</v>
      </c>
      <c r="AD982" s="4">
        <v>2558</v>
      </c>
      <c r="AE982" s="4">
        <v>4093</v>
      </c>
      <c r="AF982" s="6">
        <v>69</v>
      </c>
      <c r="AG982" s="6"/>
      <c r="AH982" s="7">
        <v>0</v>
      </c>
      <c r="AI982" s="4"/>
      <c r="AJ982" s="4">
        <f>=ROUNDDOWN({0},0)</f>
      </c>
      <c r="AK982" s="5"/>
      <c r="AL982" s="2" t="s">
        <v>231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231</v>
      </c>
      <c r="AW982" s="8" t="s">
        <v>231</v>
      </c>
      <c r="AX982" s="4" t="s">
        <v>231</v>
      </c>
      <c r="AY982" s="8" t="s">
        <v>231</v>
      </c>
      <c r="AZ982" s="7" t="s">
        <v>231</v>
      </c>
      <c r="BA982" s="7" t="s">
        <v>231</v>
      </c>
      <c r="BB982" s="7"/>
      <c r="BC982" s="4" t="s">
        <v>231</v>
      </c>
      <c r="BD982" s="8" t="s">
        <v>231</v>
      </c>
      <c r="BE982" s="4" t="s">
        <v>231</v>
      </c>
      <c r="BF982" s="8" t="s">
        <v>231</v>
      </c>
      <c r="BG982" s="7" t="s">
        <v>231</v>
      </c>
      <c r="BH982" s="7" t="s">
        <v>231</v>
      </c>
      <c r="BI982" s="7"/>
      <c r="BJ982" s="4"/>
      <c r="BK982" s="8"/>
      <c r="BL982" s="2" t="s">
        <v>231</v>
      </c>
      <c r="BM982" s="7"/>
      <c r="BN982" s="7"/>
      <c r="BO982" s="4"/>
      <c r="BP982" s="8"/>
      <c r="BQ982" s="4"/>
      <c r="BR982" s="8"/>
      <c r="BS982" s="7"/>
      <c r="BT982" s="7"/>
      <c r="BU982" s="2" t="s">
        <v>241</v>
      </c>
      <c r="BV982" s="2" t="s">
        <v>231</v>
      </c>
      <c r="BW982" s="2" t="s">
        <v>231</v>
      </c>
      <c r="BX982" s="2" t="s">
        <v>241</v>
      </c>
      <c r="BY982" s="2" t="s">
        <v>242</v>
      </c>
      <c r="BZ982" s="2" t="s">
        <v>243</v>
      </c>
      <c r="CA982" s="2" t="s">
        <v>231</v>
      </c>
      <c r="CB982" s="2" t="s">
        <v>231</v>
      </c>
      <c r="CC982" s="2" t="s">
        <v>244</v>
      </c>
      <c r="CD982" s="2" t="s">
        <v>231</v>
      </c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>
        <v>2558</v>
      </c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>
        <v>1535</v>
      </c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</row>
    <row r="983">
      <c r="A983" s="2" t="s">
        <v>4804</v>
      </c>
      <c r="B983" s="2" t="s">
        <v>287</v>
      </c>
      <c r="C983" s="2" t="s">
        <v>965</v>
      </c>
      <c r="D983" s="2" t="s">
        <v>289</v>
      </c>
      <c r="E983" s="2" t="s">
        <v>290</v>
      </c>
      <c r="F983" s="2" t="s">
        <v>4368</v>
      </c>
      <c r="G983" s="2" t="s">
        <v>4368</v>
      </c>
      <c r="H983" s="2" t="s">
        <v>4368</v>
      </c>
      <c r="I983" s="2" t="s">
        <v>4369</v>
      </c>
      <c r="J983" s="2" t="s">
        <v>302</v>
      </c>
      <c r="K983" s="2" t="s">
        <v>4799</v>
      </c>
      <c r="L983" s="3">
        <v>27.39</v>
      </c>
      <c r="M983" s="3">
        <v>28.76</v>
      </c>
      <c r="N983" s="3">
        <v>67.99</v>
      </c>
      <c r="O983" s="2" t="s">
        <v>243</v>
      </c>
      <c r="P983" s="2" t="s">
        <v>236</v>
      </c>
      <c r="Q983" s="2" t="s">
        <v>237</v>
      </c>
      <c r="R983" s="2" t="s">
        <v>231</v>
      </c>
      <c r="S983" s="2" t="s">
        <v>4800</v>
      </c>
      <c r="T983" s="2" t="s">
        <v>4134</v>
      </c>
      <c r="U983" s="2" t="s">
        <v>298</v>
      </c>
      <c r="V983" s="2" t="s">
        <v>4046</v>
      </c>
      <c r="W983" s="2" t="s">
        <v>273</v>
      </c>
      <c r="X983" s="2" t="s">
        <v>897</v>
      </c>
      <c r="Y983" s="2" t="s">
        <v>231</v>
      </c>
      <c r="Z983" s="4"/>
      <c r="AA983" s="4">
        <f>=ROUNDDOWN({0},0)</f>
      </c>
      <c r="AB983" s="5"/>
      <c r="AC983" s="2" t="s">
        <v>4195</v>
      </c>
      <c r="AD983" s="4">
        <v>807</v>
      </c>
      <c r="AE983" s="4">
        <v>1291</v>
      </c>
      <c r="AF983" s="6">
        <v>69</v>
      </c>
      <c r="AG983" s="6"/>
      <c r="AH983" s="7">
        <v>0</v>
      </c>
      <c r="AI983" s="4"/>
      <c r="AJ983" s="4">
        <f>=ROUNDDOWN({0},0)</f>
      </c>
      <c r="AK983" s="5"/>
      <c r="AL983" s="2" t="s">
        <v>231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231</v>
      </c>
      <c r="AW983" s="8" t="s">
        <v>231</v>
      </c>
      <c r="AX983" s="4" t="s">
        <v>231</v>
      </c>
      <c r="AY983" s="8" t="s">
        <v>231</v>
      </c>
      <c r="AZ983" s="7" t="s">
        <v>231</v>
      </c>
      <c r="BA983" s="7" t="s">
        <v>231</v>
      </c>
      <c r="BB983" s="7"/>
      <c r="BC983" s="4" t="s">
        <v>231</v>
      </c>
      <c r="BD983" s="8" t="s">
        <v>231</v>
      </c>
      <c r="BE983" s="4" t="s">
        <v>231</v>
      </c>
      <c r="BF983" s="8" t="s">
        <v>231</v>
      </c>
      <c r="BG983" s="7" t="s">
        <v>231</v>
      </c>
      <c r="BH983" s="7" t="s">
        <v>231</v>
      </c>
      <c r="BI983" s="7"/>
      <c r="BJ983" s="4"/>
      <c r="BK983" s="8"/>
      <c r="BL983" s="2" t="s">
        <v>231</v>
      </c>
      <c r="BM983" s="7"/>
      <c r="BN983" s="7"/>
      <c r="BO983" s="4"/>
      <c r="BP983" s="8"/>
      <c r="BQ983" s="4"/>
      <c r="BR983" s="8"/>
      <c r="BS983" s="7"/>
      <c r="BT983" s="7"/>
      <c r="BU983" s="2" t="s">
        <v>241</v>
      </c>
      <c r="BV983" s="2" t="s">
        <v>231</v>
      </c>
      <c r="BW983" s="2" t="s">
        <v>231</v>
      </c>
      <c r="BX983" s="2" t="s">
        <v>241</v>
      </c>
      <c r="BY983" s="2" t="s">
        <v>242</v>
      </c>
      <c r="BZ983" s="2" t="s">
        <v>243</v>
      </c>
      <c r="CA983" s="2" t="s">
        <v>231</v>
      </c>
      <c r="CB983" s="2" t="s">
        <v>231</v>
      </c>
      <c r="CC983" s="2" t="s">
        <v>244</v>
      </c>
      <c r="CD983" s="2" t="s">
        <v>231</v>
      </c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>
        <v>807</v>
      </c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>
        <v>484</v>
      </c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</row>
    <row r="984">
      <c r="A984" s="2" t="s">
        <v>4805</v>
      </c>
      <c r="B984" s="2" t="s">
        <v>287</v>
      </c>
      <c r="C984" s="2" t="s">
        <v>965</v>
      </c>
      <c r="D984" s="2" t="s">
        <v>289</v>
      </c>
      <c r="E984" s="2" t="s">
        <v>290</v>
      </c>
      <c r="F984" s="2" t="s">
        <v>4368</v>
      </c>
      <c r="G984" s="2" t="s">
        <v>4368</v>
      </c>
      <c r="H984" s="2" t="s">
        <v>4368</v>
      </c>
      <c r="I984" s="2" t="s">
        <v>4369</v>
      </c>
      <c r="J984" s="2" t="s">
        <v>304</v>
      </c>
      <c r="K984" s="2" t="s">
        <v>4799</v>
      </c>
      <c r="L984" s="3">
        <v>27.39</v>
      </c>
      <c r="M984" s="3">
        <v>28.76</v>
      </c>
      <c r="N984" s="3">
        <v>67.99</v>
      </c>
      <c r="O984" s="2" t="s">
        <v>243</v>
      </c>
      <c r="P984" s="2" t="s">
        <v>236</v>
      </c>
      <c r="Q984" s="2" t="s">
        <v>237</v>
      </c>
      <c r="R984" s="2" t="s">
        <v>231</v>
      </c>
      <c r="S984" s="2" t="s">
        <v>4800</v>
      </c>
      <c r="T984" s="2" t="s">
        <v>4134</v>
      </c>
      <c r="U984" s="2" t="s">
        <v>298</v>
      </c>
      <c r="V984" s="2" t="s">
        <v>4046</v>
      </c>
      <c r="W984" s="2" t="s">
        <v>273</v>
      </c>
      <c r="X984" s="2" t="s">
        <v>897</v>
      </c>
      <c r="Y984" s="2" t="s">
        <v>231</v>
      </c>
      <c r="Z984" s="4"/>
      <c r="AA984" s="4">
        <f>=ROUNDDOWN({0},0)</f>
      </c>
      <c r="AB984" s="5"/>
      <c r="AC984" s="2" t="s">
        <v>4195</v>
      </c>
      <c r="AD984" s="4">
        <v>474</v>
      </c>
      <c r="AE984" s="4">
        <v>758</v>
      </c>
      <c r="AF984" s="6">
        <v>69</v>
      </c>
      <c r="AG984" s="6"/>
      <c r="AH984" s="7">
        <v>0</v>
      </c>
      <c r="AI984" s="4"/>
      <c r="AJ984" s="4">
        <f>=ROUNDDOWN({0},0)</f>
      </c>
      <c r="AK984" s="5"/>
      <c r="AL984" s="2" t="s">
        <v>231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231</v>
      </c>
      <c r="AW984" s="8" t="s">
        <v>231</v>
      </c>
      <c r="AX984" s="4" t="s">
        <v>231</v>
      </c>
      <c r="AY984" s="8" t="s">
        <v>231</v>
      </c>
      <c r="AZ984" s="7" t="s">
        <v>231</v>
      </c>
      <c r="BA984" s="7" t="s">
        <v>231</v>
      </c>
      <c r="BB984" s="7"/>
      <c r="BC984" s="4" t="s">
        <v>231</v>
      </c>
      <c r="BD984" s="8" t="s">
        <v>231</v>
      </c>
      <c r="BE984" s="4" t="s">
        <v>231</v>
      </c>
      <c r="BF984" s="8" t="s">
        <v>231</v>
      </c>
      <c r="BG984" s="7" t="s">
        <v>231</v>
      </c>
      <c r="BH984" s="7" t="s">
        <v>231</v>
      </c>
      <c r="BI984" s="7"/>
      <c r="BJ984" s="4"/>
      <c r="BK984" s="8"/>
      <c r="BL984" s="2" t="s">
        <v>231</v>
      </c>
      <c r="BM984" s="7"/>
      <c r="BN984" s="7"/>
      <c r="BO984" s="4"/>
      <c r="BP984" s="8"/>
      <c r="BQ984" s="4"/>
      <c r="BR984" s="8"/>
      <c r="BS984" s="7"/>
      <c r="BT984" s="7"/>
      <c r="BU984" s="2" t="s">
        <v>241</v>
      </c>
      <c r="BV984" s="2" t="s">
        <v>231</v>
      </c>
      <c r="BW984" s="2" t="s">
        <v>231</v>
      </c>
      <c r="BX984" s="2" t="s">
        <v>241</v>
      </c>
      <c r="BY984" s="2" t="s">
        <v>242</v>
      </c>
      <c r="BZ984" s="2" t="s">
        <v>243</v>
      </c>
      <c r="CA984" s="2" t="s">
        <v>231</v>
      </c>
      <c r="CB984" s="2" t="s">
        <v>231</v>
      </c>
      <c r="CC984" s="2" t="s">
        <v>244</v>
      </c>
      <c r="CD984" s="2" t="s">
        <v>231</v>
      </c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>
        <v>474</v>
      </c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>
        <v>284</v>
      </c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</row>
    <row r="985">
      <c r="A985" s="2" t="s">
        <v>4806</v>
      </c>
      <c r="B985" s="2" t="s">
        <v>287</v>
      </c>
      <c r="C985" s="2" t="s">
        <v>965</v>
      </c>
      <c r="D985" s="2" t="s">
        <v>826</v>
      </c>
      <c r="E985" s="2" t="s">
        <v>1060</v>
      </c>
      <c r="F985" s="2" t="s">
        <v>4807</v>
      </c>
      <c r="G985" s="2" t="s">
        <v>4807</v>
      </c>
      <c r="H985" s="2" t="s">
        <v>4807</v>
      </c>
      <c r="I985" s="2" t="s">
        <v>4808</v>
      </c>
      <c r="J985" s="2" t="s">
        <v>832</v>
      </c>
      <c r="K985" s="2" t="s">
        <v>4809</v>
      </c>
      <c r="L985" s="3">
        <v>23.1</v>
      </c>
      <c r="M985" s="3">
        <v>24.26</v>
      </c>
      <c r="N985" s="3">
        <v>54.99</v>
      </c>
      <c r="O985" s="2" t="s">
        <v>235</v>
      </c>
      <c r="P985" s="2" t="s">
        <v>341</v>
      </c>
      <c r="Q985" s="2" t="s">
        <v>237</v>
      </c>
      <c r="R985" s="2" t="s">
        <v>231</v>
      </c>
      <c r="S985" s="2" t="s">
        <v>4810</v>
      </c>
      <c r="T985" s="2" t="s">
        <v>4134</v>
      </c>
      <c r="U985" s="2" t="s">
        <v>791</v>
      </c>
      <c r="V985" s="2" t="s">
        <v>1685</v>
      </c>
      <c r="W985" s="2" t="s">
        <v>273</v>
      </c>
      <c r="X985" s="2" t="s">
        <v>792</v>
      </c>
      <c r="Y985" s="2" t="s">
        <v>4513</v>
      </c>
      <c r="Z985" s="4">
        <v>214</v>
      </c>
      <c r="AA985" s="4">
        <f>=ROUNDDOWN(45.531914893617,0)</f>
      </c>
      <c r="AB985" s="5">
        <v>4.7</v>
      </c>
      <c r="AC985" s="2" t="s">
        <v>231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231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231</v>
      </c>
      <c r="BD985" s="8" t="s">
        <v>231</v>
      </c>
      <c r="BE985" s="4" t="s">
        <v>231</v>
      </c>
      <c r="BF985" s="8" t="s">
        <v>231</v>
      </c>
      <c r="BG985" s="7" t="s">
        <v>231</v>
      </c>
      <c r="BH985" s="7" t="s">
        <v>231</v>
      </c>
      <c r="BI985" s="7"/>
      <c r="BJ985" s="4">
        <v>4</v>
      </c>
      <c r="BK985" s="8">
        <v>67.91</v>
      </c>
      <c r="BL985" s="2" t="s">
        <v>1013</v>
      </c>
      <c r="BM985" s="7"/>
      <c r="BN985" s="7"/>
      <c r="BO985" s="4"/>
      <c r="BP985" s="8"/>
      <c r="BQ985" s="4"/>
      <c r="BR985" s="8"/>
      <c r="BS985" s="7"/>
      <c r="BT985" s="7"/>
      <c r="BU985" s="2" t="s">
        <v>4811</v>
      </c>
      <c r="BV985" s="2" t="s">
        <v>231</v>
      </c>
      <c r="BW985" s="2" t="s">
        <v>231</v>
      </c>
      <c r="BX985" s="2" t="s">
        <v>231</v>
      </c>
      <c r="BY985" s="2" t="s">
        <v>277</v>
      </c>
      <c r="BZ985" s="2" t="s">
        <v>243</v>
      </c>
      <c r="CA985" s="2" t="s">
        <v>4513</v>
      </c>
      <c r="CB985" s="2" t="s">
        <v>875</v>
      </c>
      <c r="CC985" s="2" t="s">
        <v>244</v>
      </c>
      <c r="CD985" s="2" t="s">
        <v>231</v>
      </c>
      <c r="CE985" s="4">
        <v>214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</row>
    <row r="986">
      <c r="A986" s="2" t="s">
        <v>4812</v>
      </c>
      <c r="B986" s="2" t="s">
        <v>287</v>
      </c>
      <c r="C986" s="2" t="s">
        <v>965</v>
      </c>
      <c r="D986" s="2" t="s">
        <v>826</v>
      </c>
      <c r="E986" s="2" t="s">
        <v>1060</v>
      </c>
      <c r="F986" s="2" t="s">
        <v>4807</v>
      </c>
      <c r="G986" s="2" t="s">
        <v>4807</v>
      </c>
      <c r="H986" s="2" t="s">
        <v>4807</v>
      </c>
      <c r="I986" s="2" t="s">
        <v>4808</v>
      </c>
      <c r="J986" s="2" t="s">
        <v>832</v>
      </c>
      <c r="K986" s="2" t="s">
        <v>4562</v>
      </c>
      <c r="L986" s="3">
        <v>23.1</v>
      </c>
      <c r="M986" s="3">
        <v>24.26</v>
      </c>
      <c r="N986" s="3">
        <v>54.99</v>
      </c>
      <c r="O986" s="2" t="s">
        <v>235</v>
      </c>
      <c r="P986" s="2" t="s">
        <v>341</v>
      </c>
      <c r="Q986" s="2" t="s">
        <v>237</v>
      </c>
      <c r="R986" s="2" t="s">
        <v>231</v>
      </c>
      <c r="S986" s="2" t="s">
        <v>4810</v>
      </c>
      <c r="T986" s="2" t="s">
        <v>4134</v>
      </c>
      <c r="U986" s="2" t="s">
        <v>791</v>
      </c>
      <c r="V986" s="2" t="s">
        <v>1685</v>
      </c>
      <c r="W986" s="2" t="s">
        <v>273</v>
      </c>
      <c r="X986" s="2" t="s">
        <v>792</v>
      </c>
      <c r="Y986" s="2" t="s">
        <v>4420</v>
      </c>
      <c r="Z986" s="4">
        <v>145</v>
      </c>
      <c r="AA986" s="4">
        <f>=ROUNDDOWN(241.666666666667,0)</f>
      </c>
      <c r="AB986" s="5">
        <v>0.6</v>
      </c>
      <c r="AC986" s="2" t="s">
        <v>231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231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231</v>
      </c>
      <c r="BD986" s="8" t="s">
        <v>231</v>
      </c>
      <c r="BE986" s="4" t="s">
        <v>231</v>
      </c>
      <c r="BF986" s="8" t="s">
        <v>231</v>
      </c>
      <c r="BG986" s="7" t="s">
        <v>231</v>
      </c>
      <c r="BH986" s="7" t="s">
        <v>231</v>
      </c>
      <c r="BI986" s="7"/>
      <c r="BJ986" s="4">
        <v>2</v>
      </c>
      <c r="BK986" s="8">
        <v>33.15</v>
      </c>
      <c r="BL986" s="2" t="s">
        <v>1240</v>
      </c>
      <c r="BM986" s="7"/>
      <c r="BN986" s="7"/>
      <c r="BO986" s="4"/>
      <c r="BP986" s="8"/>
      <c r="BQ986" s="4"/>
      <c r="BR986" s="8"/>
      <c r="BS986" s="7"/>
      <c r="BT986" s="7"/>
      <c r="BU986" s="2" t="s">
        <v>4813</v>
      </c>
      <c r="BV986" s="2" t="s">
        <v>231</v>
      </c>
      <c r="BW986" s="2" t="s">
        <v>231</v>
      </c>
      <c r="BX986" s="2" t="s">
        <v>231</v>
      </c>
      <c r="BY986" s="2" t="s">
        <v>277</v>
      </c>
      <c r="BZ986" s="2" t="s">
        <v>243</v>
      </c>
      <c r="CA986" s="2" t="s">
        <v>4420</v>
      </c>
      <c r="CB986" s="2" t="s">
        <v>4814</v>
      </c>
      <c r="CC986" s="2" t="s">
        <v>244</v>
      </c>
      <c r="CD986" s="2" t="s">
        <v>231</v>
      </c>
      <c r="CE986" s="4">
        <v>145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</row>
    <row r="987">
      <c r="A987" s="2" t="s">
        <v>4815</v>
      </c>
      <c r="B987" s="2" t="s">
        <v>287</v>
      </c>
      <c r="C987" s="2" t="s">
        <v>825</v>
      </c>
      <c r="D987" s="2" t="s">
        <v>289</v>
      </c>
      <c r="E987" s="2" t="s">
        <v>290</v>
      </c>
      <c r="F987" s="2" t="s">
        <v>4816</v>
      </c>
      <c r="G987" s="2" t="s">
        <v>4816</v>
      </c>
      <c r="H987" s="2" t="s">
        <v>4816</v>
      </c>
      <c r="I987" s="2" t="s">
        <v>4817</v>
      </c>
      <c r="J987" s="2" t="s">
        <v>318</v>
      </c>
      <c r="K987" s="2" t="s">
        <v>4818</v>
      </c>
      <c r="L987" s="3">
        <v>14.89</v>
      </c>
      <c r="M987" s="3">
        <v>15.63</v>
      </c>
      <c r="N987" s="3">
        <v>31.99</v>
      </c>
      <c r="O987" s="2" t="s">
        <v>243</v>
      </c>
      <c r="P987" s="2" t="s">
        <v>270</v>
      </c>
      <c r="Q987" s="2" t="s">
        <v>237</v>
      </c>
      <c r="R987" s="2" t="s">
        <v>231</v>
      </c>
      <c r="S987" s="2" t="s">
        <v>4819</v>
      </c>
      <c r="T987" s="2" t="s">
        <v>4134</v>
      </c>
      <c r="U987" s="2" t="s">
        <v>835</v>
      </c>
      <c r="V987" s="2" t="s">
        <v>1685</v>
      </c>
      <c r="W987" s="2" t="s">
        <v>273</v>
      </c>
      <c r="X987" s="2" t="s">
        <v>792</v>
      </c>
      <c r="Y987" s="2" t="s">
        <v>4417</v>
      </c>
      <c r="Z987" s="4">
        <v>3</v>
      </c>
      <c r="AA987" s="4">
        <f>=ROUNDDOWN(0.0909090909090909,0)</f>
      </c>
      <c r="AB987" s="5">
        <v>33</v>
      </c>
      <c r="AC987" s="2" t="s">
        <v>4135</v>
      </c>
      <c r="AD987" s="4">
        <v>328</v>
      </c>
      <c r="AE987" s="4">
        <v>1197</v>
      </c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231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231</v>
      </c>
      <c r="AW987" s="8" t="s">
        <v>231</v>
      </c>
      <c r="AX987" s="4" t="s">
        <v>231</v>
      </c>
      <c r="AY987" s="8" t="s">
        <v>231</v>
      </c>
      <c r="AZ987" s="7" t="s">
        <v>231</v>
      </c>
      <c r="BA987" s="7" t="s">
        <v>231</v>
      </c>
      <c r="BB987" s="7"/>
      <c r="BC987" s="4" t="s">
        <v>231</v>
      </c>
      <c r="BD987" s="8" t="s">
        <v>231</v>
      </c>
      <c r="BE987" s="4" t="s">
        <v>231</v>
      </c>
      <c r="BF987" s="8" t="s">
        <v>231</v>
      </c>
      <c r="BG987" s="7" t="s">
        <v>231</v>
      </c>
      <c r="BH987" s="7" t="s">
        <v>231</v>
      </c>
      <c r="BI987" s="7"/>
      <c r="BJ987" s="4"/>
      <c r="BK987" s="8"/>
      <c r="BL987" s="2" t="s">
        <v>231</v>
      </c>
      <c r="BM987" s="7"/>
      <c r="BN987" s="7"/>
      <c r="BO987" s="4"/>
      <c r="BP987" s="8"/>
      <c r="BQ987" s="4"/>
      <c r="BR987" s="8"/>
      <c r="BS987" s="7"/>
      <c r="BT987" s="7"/>
      <c r="BU987" s="2" t="s">
        <v>4820</v>
      </c>
      <c r="BV987" s="2" t="s">
        <v>231</v>
      </c>
      <c r="BW987" s="2" t="s">
        <v>231</v>
      </c>
      <c r="BX987" s="2" t="s">
        <v>231</v>
      </c>
      <c r="BY987" s="2" t="s">
        <v>277</v>
      </c>
      <c r="BZ987" s="2" t="s">
        <v>243</v>
      </c>
      <c r="CA987" s="2" t="s">
        <v>4417</v>
      </c>
      <c r="CB987" s="2" t="s">
        <v>4821</v>
      </c>
      <c r="CC987" s="2" t="s">
        <v>244</v>
      </c>
      <c r="CD987" s="2" t="s">
        <v>231</v>
      </c>
      <c r="CE987" s="4">
        <v>3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>
        <v>328</v>
      </c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>
        <v>589</v>
      </c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>
        <v>280</v>
      </c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</row>
    <row r="988">
      <c r="A988" s="2" t="s">
        <v>4822</v>
      </c>
      <c r="B988" s="2" t="s">
        <v>287</v>
      </c>
      <c r="C988" s="2" t="s">
        <v>825</v>
      </c>
      <c r="D988" s="2" t="s">
        <v>289</v>
      </c>
      <c r="E988" s="2" t="s">
        <v>290</v>
      </c>
      <c r="F988" s="2" t="s">
        <v>4816</v>
      </c>
      <c r="G988" s="2" t="s">
        <v>4816</v>
      </c>
      <c r="H988" s="2" t="s">
        <v>4816</v>
      </c>
      <c r="I988" s="2" t="s">
        <v>4817</v>
      </c>
      <c r="J988" s="2" t="s">
        <v>268</v>
      </c>
      <c r="K988" s="2" t="s">
        <v>4818</v>
      </c>
      <c r="L988" s="3">
        <v>15.22</v>
      </c>
      <c r="M988" s="3">
        <v>15.98</v>
      </c>
      <c r="N988" s="3">
        <v>32.99</v>
      </c>
      <c r="O988" s="2" t="s">
        <v>243</v>
      </c>
      <c r="P988" s="2" t="s">
        <v>1281</v>
      </c>
      <c r="Q988" s="2" t="s">
        <v>237</v>
      </c>
      <c r="R988" s="2" t="s">
        <v>231</v>
      </c>
      <c r="S988" s="2" t="s">
        <v>4819</v>
      </c>
      <c r="T988" s="2" t="s">
        <v>4134</v>
      </c>
      <c r="U988" s="2" t="s">
        <v>835</v>
      </c>
      <c r="V988" s="2" t="s">
        <v>1685</v>
      </c>
      <c r="W988" s="2" t="s">
        <v>273</v>
      </c>
      <c r="X988" s="2" t="s">
        <v>792</v>
      </c>
      <c r="Y988" s="2" t="s">
        <v>4417</v>
      </c>
      <c r="Z988" s="4"/>
      <c r="AA988" s="4">
        <f>=ROUNDDOWN({0},0)</f>
      </c>
      <c r="AB988" s="5">
        <v>22</v>
      </c>
      <c r="AC988" s="2" t="s">
        <v>4135</v>
      </c>
      <c r="AD988" s="4">
        <v>215</v>
      </c>
      <c r="AE988" s="4">
        <v>782</v>
      </c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231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231</v>
      </c>
      <c r="AW988" s="8" t="s">
        <v>231</v>
      </c>
      <c r="AX988" s="4" t="s">
        <v>231</v>
      </c>
      <c r="AY988" s="8" t="s">
        <v>231</v>
      </c>
      <c r="AZ988" s="7" t="s">
        <v>231</v>
      </c>
      <c r="BA988" s="7" t="s">
        <v>231</v>
      </c>
      <c r="BB988" s="7"/>
      <c r="BC988" s="4" t="s">
        <v>231</v>
      </c>
      <c r="BD988" s="8" t="s">
        <v>231</v>
      </c>
      <c r="BE988" s="4" t="s">
        <v>231</v>
      </c>
      <c r="BF988" s="8" t="s">
        <v>231</v>
      </c>
      <c r="BG988" s="7" t="s">
        <v>231</v>
      </c>
      <c r="BH988" s="7" t="s">
        <v>231</v>
      </c>
      <c r="BI988" s="7"/>
      <c r="BJ988" s="4"/>
      <c r="BK988" s="8"/>
      <c r="BL988" s="2" t="s">
        <v>231</v>
      </c>
      <c r="BM988" s="7"/>
      <c r="BN988" s="7"/>
      <c r="BO988" s="4"/>
      <c r="BP988" s="8"/>
      <c r="BQ988" s="4"/>
      <c r="BR988" s="8"/>
      <c r="BS988" s="7"/>
      <c r="BT988" s="7"/>
      <c r="BU988" s="2" t="s">
        <v>4823</v>
      </c>
      <c r="BV988" s="2" t="s">
        <v>231</v>
      </c>
      <c r="BW988" s="2" t="s">
        <v>231</v>
      </c>
      <c r="BX988" s="2" t="s">
        <v>231</v>
      </c>
      <c r="BY988" s="2" t="s">
        <v>277</v>
      </c>
      <c r="BZ988" s="2" t="s">
        <v>243</v>
      </c>
      <c r="CA988" s="2" t="s">
        <v>4417</v>
      </c>
      <c r="CB988" s="2" t="s">
        <v>4824</v>
      </c>
      <c r="CC988" s="2" t="s">
        <v>244</v>
      </c>
      <c r="CD988" s="2" t="s">
        <v>231</v>
      </c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>
        <v>215</v>
      </c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>
        <v>383</v>
      </c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>
        <v>184</v>
      </c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</row>
    <row r="989">
      <c r="A989" s="2" t="s">
        <v>4825</v>
      </c>
      <c r="B989" s="2" t="s">
        <v>287</v>
      </c>
      <c r="C989" s="2" t="s">
        <v>825</v>
      </c>
      <c r="D989" s="2" t="s">
        <v>289</v>
      </c>
      <c r="E989" s="2" t="s">
        <v>290</v>
      </c>
      <c r="F989" s="2" t="s">
        <v>4816</v>
      </c>
      <c r="G989" s="2" t="s">
        <v>4816</v>
      </c>
      <c r="H989" s="2" t="s">
        <v>4816</v>
      </c>
      <c r="I989" s="2" t="s">
        <v>4817</v>
      </c>
      <c r="J989" s="2" t="s">
        <v>281</v>
      </c>
      <c r="K989" s="2" t="s">
        <v>4818</v>
      </c>
      <c r="L989" s="3">
        <v>19.13</v>
      </c>
      <c r="M989" s="3">
        <v>20.09</v>
      </c>
      <c r="N989" s="3">
        <v>42.99</v>
      </c>
      <c r="O989" s="2" t="s">
        <v>243</v>
      </c>
      <c r="P989" s="2" t="s">
        <v>270</v>
      </c>
      <c r="Q989" s="2" t="s">
        <v>237</v>
      </c>
      <c r="R989" s="2" t="s">
        <v>231</v>
      </c>
      <c r="S989" s="2" t="s">
        <v>4819</v>
      </c>
      <c r="T989" s="2" t="s">
        <v>4134</v>
      </c>
      <c r="U989" s="2" t="s">
        <v>298</v>
      </c>
      <c r="V989" s="2" t="s">
        <v>1685</v>
      </c>
      <c r="W989" s="2" t="s">
        <v>273</v>
      </c>
      <c r="X989" s="2" t="s">
        <v>792</v>
      </c>
      <c r="Y989" s="2" t="s">
        <v>4417</v>
      </c>
      <c r="Z989" s="4"/>
      <c r="AA989" s="4">
        <f>=ROUNDDOWN({0},0)</f>
      </c>
      <c r="AB989" s="5">
        <v>28</v>
      </c>
      <c r="AC989" s="2" t="s">
        <v>4135</v>
      </c>
      <c r="AD989" s="4">
        <v>273</v>
      </c>
      <c r="AE989" s="4">
        <v>998</v>
      </c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231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231</v>
      </c>
      <c r="AW989" s="8" t="s">
        <v>231</v>
      </c>
      <c r="AX989" s="4" t="s">
        <v>231</v>
      </c>
      <c r="AY989" s="8" t="s">
        <v>231</v>
      </c>
      <c r="AZ989" s="7" t="s">
        <v>231</v>
      </c>
      <c r="BA989" s="7" t="s">
        <v>231</v>
      </c>
      <c r="BB989" s="7"/>
      <c r="BC989" s="4" t="s">
        <v>231</v>
      </c>
      <c r="BD989" s="8" t="s">
        <v>231</v>
      </c>
      <c r="BE989" s="4" t="s">
        <v>231</v>
      </c>
      <c r="BF989" s="8" t="s">
        <v>231</v>
      </c>
      <c r="BG989" s="7" t="s">
        <v>231</v>
      </c>
      <c r="BH989" s="7" t="s">
        <v>231</v>
      </c>
      <c r="BI989" s="7"/>
      <c r="BJ989" s="4"/>
      <c r="BK989" s="8"/>
      <c r="BL989" s="2" t="s">
        <v>231</v>
      </c>
      <c r="BM989" s="7"/>
      <c r="BN989" s="7"/>
      <c r="BO989" s="4"/>
      <c r="BP989" s="8"/>
      <c r="BQ989" s="4"/>
      <c r="BR989" s="8"/>
      <c r="BS989" s="7"/>
      <c r="BT989" s="7"/>
      <c r="BU989" s="2" t="s">
        <v>4826</v>
      </c>
      <c r="BV989" s="2" t="s">
        <v>231</v>
      </c>
      <c r="BW989" s="2" t="s">
        <v>231</v>
      </c>
      <c r="BX989" s="2" t="s">
        <v>231</v>
      </c>
      <c r="BY989" s="2" t="s">
        <v>277</v>
      </c>
      <c r="BZ989" s="2" t="s">
        <v>243</v>
      </c>
      <c r="CA989" s="2" t="s">
        <v>4417</v>
      </c>
      <c r="CB989" s="2" t="s">
        <v>240</v>
      </c>
      <c r="CC989" s="2" t="s">
        <v>244</v>
      </c>
      <c r="CD989" s="2" t="s">
        <v>231</v>
      </c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>
        <v>273</v>
      </c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>
        <v>492</v>
      </c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>
        <v>233</v>
      </c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</row>
    <row r="990">
      <c r="A990" s="2" t="s">
        <v>4827</v>
      </c>
      <c r="B990" s="2" t="s">
        <v>287</v>
      </c>
      <c r="C990" s="2" t="s">
        <v>825</v>
      </c>
      <c r="D990" s="2" t="s">
        <v>289</v>
      </c>
      <c r="E990" s="2" t="s">
        <v>290</v>
      </c>
      <c r="F990" s="2" t="s">
        <v>4816</v>
      </c>
      <c r="G990" s="2" t="s">
        <v>4816</v>
      </c>
      <c r="H990" s="2" t="s">
        <v>4816</v>
      </c>
      <c r="I990" s="2" t="s">
        <v>4817</v>
      </c>
      <c r="J990" s="2" t="s">
        <v>293</v>
      </c>
      <c r="K990" s="2" t="s">
        <v>4818</v>
      </c>
      <c r="L990" s="3">
        <v>21.27</v>
      </c>
      <c r="M990" s="3">
        <v>22.33</v>
      </c>
      <c r="N990" s="3">
        <v>47.99</v>
      </c>
      <c r="O990" s="2" t="s">
        <v>243</v>
      </c>
      <c r="P990" s="2" t="s">
        <v>1281</v>
      </c>
      <c r="Q990" s="2" t="s">
        <v>237</v>
      </c>
      <c r="R990" s="2" t="s">
        <v>231</v>
      </c>
      <c r="S990" s="2" t="s">
        <v>4819</v>
      </c>
      <c r="T990" s="2" t="s">
        <v>4134</v>
      </c>
      <c r="U990" s="2" t="s">
        <v>298</v>
      </c>
      <c r="V990" s="2" t="s">
        <v>1685</v>
      </c>
      <c r="W990" s="2" t="s">
        <v>273</v>
      </c>
      <c r="X990" s="2" t="s">
        <v>792</v>
      </c>
      <c r="Y990" s="2" t="s">
        <v>4417</v>
      </c>
      <c r="Z990" s="4"/>
      <c r="AA990" s="4">
        <f>=ROUNDDOWN({0},0)</f>
      </c>
      <c r="AB990" s="5">
        <v>19</v>
      </c>
      <c r="AC990" s="2" t="s">
        <v>4135</v>
      </c>
      <c r="AD990" s="4">
        <v>195</v>
      </c>
      <c r="AE990" s="4">
        <v>733</v>
      </c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231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231</v>
      </c>
      <c r="AW990" s="8" t="s">
        <v>231</v>
      </c>
      <c r="AX990" s="4" t="s">
        <v>231</v>
      </c>
      <c r="AY990" s="8" t="s">
        <v>231</v>
      </c>
      <c r="AZ990" s="7" t="s">
        <v>231</v>
      </c>
      <c r="BA990" s="7" t="s">
        <v>231</v>
      </c>
      <c r="BB990" s="7"/>
      <c r="BC990" s="4" t="s">
        <v>231</v>
      </c>
      <c r="BD990" s="8" t="s">
        <v>231</v>
      </c>
      <c r="BE990" s="4" t="s">
        <v>231</v>
      </c>
      <c r="BF990" s="8" t="s">
        <v>231</v>
      </c>
      <c r="BG990" s="7" t="s">
        <v>231</v>
      </c>
      <c r="BH990" s="7" t="s">
        <v>231</v>
      </c>
      <c r="BI990" s="7"/>
      <c r="BJ990" s="4"/>
      <c r="BK990" s="8"/>
      <c r="BL990" s="2" t="s">
        <v>231</v>
      </c>
      <c r="BM990" s="7"/>
      <c r="BN990" s="7"/>
      <c r="BO990" s="4"/>
      <c r="BP990" s="8"/>
      <c r="BQ990" s="4"/>
      <c r="BR990" s="8"/>
      <c r="BS990" s="7"/>
      <c r="BT990" s="7"/>
      <c r="BU990" s="2" t="s">
        <v>4828</v>
      </c>
      <c r="BV990" s="2" t="s">
        <v>231</v>
      </c>
      <c r="BW990" s="2" t="s">
        <v>231</v>
      </c>
      <c r="BX990" s="2" t="s">
        <v>231</v>
      </c>
      <c r="BY990" s="2" t="s">
        <v>277</v>
      </c>
      <c r="BZ990" s="2" t="s">
        <v>243</v>
      </c>
      <c r="CA990" s="2" t="s">
        <v>4417</v>
      </c>
      <c r="CB990" s="2" t="s">
        <v>4829</v>
      </c>
      <c r="CC990" s="2" t="s">
        <v>244</v>
      </c>
      <c r="CD990" s="2" t="s">
        <v>231</v>
      </c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>
        <v>195</v>
      </c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>
        <v>376</v>
      </c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>
        <v>162</v>
      </c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</row>
    <row r="991">
      <c r="A991" s="2" t="s">
        <v>4830</v>
      </c>
      <c r="B991" s="2" t="s">
        <v>287</v>
      </c>
      <c r="C991" s="2" t="s">
        <v>825</v>
      </c>
      <c r="D991" s="2" t="s">
        <v>289</v>
      </c>
      <c r="E991" s="2" t="s">
        <v>290</v>
      </c>
      <c r="F991" s="2" t="s">
        <v>4816</v>
      </c>
      <c r="G991" s="2" t="s">
        <v>4816</v>
      </c>
      <c r="H991" s="2" t="s">
        <v>4816</v>
      </c>
      <c r="I991" s="2" t="s">
        <v>4817</v>
      </c>
      <c r="J991" s="2" t="s">
        <v>318</v>
      </c>
      <c r="K991" s="2" t="s">
        <v>4831</v>
      </c>
      <c r="L991" s="3">
        <v>14.89</v>
      </c>
      <c r="M991" s="3">
        <v>15.63</v>
      </c>
      <c r="N991" s="3">
        <v>31.99</v>
      </c>
      <c r="O991" s="2" t="s">
        <v>243</v>
      </c>
      <c r="P991" s="2" t="s">
        <v>270</v>
      </c>
      <c r="Q991" s="2" t="s">
        <v>237</v>
      </c>
      <c r="R991" s="2" t="s">
        <v>231</v>
      </c>
      <c r="S991" s="2" t="s">
        <v>4832</v>
      </c>
      <c r="T991" s="2" t="s">
        <v>4134</v>
      </c>
      <c r="U991" s="2" t="s">
        <v>835</v>
      </c>
      <c r="V991" s="2" t="s">
        <v>4046</v>
      </c>
      <c r="W991" s="2" t="s">
        <v>273</v>
      </c>
      <c r="X991" s="2" t="s">
        <v>792</v>
      </c>
      <c r="Y991" s="2" t="s">
        <v>4833</v>
      </c>
      <c r="Z991" s="4"/>
      <c r="AA991" s="4">
        <f>=ROUNDDOWN({0},0)</f>
      </c>
      <c r="AB991" s="5">
        <v>20</v>
      </c>
      <c r="AC991" s="2" t="s">
        <v>4135</v>
      </c>
      <c r="AD991" s="4">
        <v>201</v>
      </c>
      <c r="AE991" s="4">
        <v>799</v>
      </c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231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231</v>
      </c>
      <c r="AW991" s="8" t="s">
        <v>231</v>
      </c>
      <c r="AX991" s="4" t="s">
        <v>231</v>
      </c>
      <c r="AY991" s="8" t="s">
        <v>231</v>
      </c>
      <c r="AZ991" s="7" t="s">
        <v>231</v>
      </c>
      <c r="BA991" s="7" t="s">
        <v>231</v>
      </c>
      <c r="BB991" s="7"/>
      <c r="BC991" s="4" t="s">
        <v>231</v>
      </c>
      <c r="BD991" s="8" t="s">
        <v>231</v>
      </c>
      <c r="BE991" s="4" t="s">
        <v>231</v>
      </c>
      <c r="BF991" s="8" t="s">
        <v>231</v>
      </c>
      <c r="BG991" s="7" t="s">
        <v>231</v>
      </c>
      <c r="BH991" s="7" t="s">
        <v>231</v>
      </c>
      <c r="BI991" s="7"/>
      <c r="BJ991" s="4"/>
      <c r="BK991" s="8"/>
      <c r="BL991" s="2" t="s">
        <v>231</v>
      </c>
      <c r="BM991" s="7"/>
      <c r="BN991" s="7"/>
      <c r="BO991" s="4"/>
      <c r="BP991" s="8"/>
      <c r="BQ991" s="4"/>
      <c r="BR991" s="8"/>
      <c r="BS991" s="7"/>
      <c r="BT991" s="7"/>
      <c r="BU991" s="2" t="s">
        <v>4834</v>
      </c>
      <c r="BV991" s="2" t="s">
        <v>231</v>
      </c>
      <c r="BW991" s="2" t="s">
        <v>231</v>
      </c>
      <c r="BX991" s="2" t="s">
        <v>231</v>
      </c>
      <c r="BY991" s="2" t="s">
        <v>277</v>
      </c>
      <c r="BZ991" s="2" t="s">
        <v>243</v>
      </c>
      <c r="CA991" s="2" t="s">
        <v>4835</v>
      </c>
      <c r="CB991" s="2" t="s">
        <v>4836</v>
      </c>
      <c r="CC991" s="2" t="s">
        <v>244</v>
      </c>
      <c r="CD991" s="2" t="s">
        <v>231</v>
      </c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>
        <v>201</v>
      </c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>
        <v>438</v>
      </c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>
        <v>160</v>
      </c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</row>
    <row r="992">
      <c r="A992" s="2" t="s">
        <v>4837</v>
      </c>
      <c r="B992" s="2" t="s">
        <v>287</v>
      </c>
      <c r="C992" s="2" t="s">
        <v>825</v>
      </c>
      <c r="D992" s="2" t="s">
        <v>289</v>
      </c>
      <c r="E992" s="2" t="s">
        <v>290</v>
      </c>
      <c r="F992" s="2" t="s">
        <v>4816</v>
      </c>
      <c r="G992" s="2" t="s">
        <v>4816</v>
      </c>
      <c r="H992" s="2" t="s">
        <v>4816</v>
      </c>
      <c r="I992" s="2" t="s">
        <v>4817</v>
      </c>
      <c r="J992" s="2" t="s">
        <v>268</v>
      </c>
      <c r="K992" s="2" t="s">
        <v>4831</v>
      </c>
      <c r="L992" s="3">
        <v>15.22</v>
      </c>
      <c r="M992" s="3">
        <v>15.98</v>
      </c>
      <c r="N992" s="3">
        <v>32.99</v>
      </c>
      <c r="O992" s="2" t="s">
        <v>243</v>
      </c>
      <c r="P992" s="2" t="s">
        <v>270</v>
      </c>
      <c r="Q992" s="2" t="s">
        <v>237</v>
      </c>
      <c r="R992" s="2" t="s">
        <v>231</v>
      </c>
      <c r="S992" s="2" t="s">
        <v>4832</v>
      </c>
      <c r="T992" s="2" t="s">
        <v>4134</v>
      </c>
      <c r="U992" s="2" t="s">
        <v>835</v>
      </c>
      <c r="V992" s="2" t="s">
        <v>4046</v>
      </c>
      <c r="W992" s="2" t="s">
        <v>273</v>
      </c>
      <c r="X992" s="2" t="s">
        <v>792</v>
      </c>
      <c r="Y992" s="2" t="s">
        <v>4833</v>
      </c>
      <c r="Z992" s="4">
        <v>1</v>
      </c>
      <c r="AA992" s="4">
        <f>=ROUNDDOWN(0.0909090909090909,0)</f>
      </c>
      <c r="AB992" s="5">
        <v>11</v>
      </c>
      <c r="AC992" s="2" t="s">
        <v>4135</v>
      </c>
      <c r="AD992" s="4">
        <v>112</v>
      </c>
      <c r="AE992" s="4">
        <v>421</v>
      </c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231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231</v>
      </c>
      <c r="AW992" s="8" t="s">
        <v>231</v>
      </c>
      <c r="AX992" s="4" t="s">
        <v>231</v>
      </c>
      <c r="AY992" s="8" t="s">
        <v>231</v>
      </c>
      <c r="AZ992" s="7" t="s">
        <v>231</v>
      </c>
      <c r="BA992" s="7" t="s">
        <v>231</v>
      </c>
      <c r="BB992" s="7"/>
      <c r="BC992" s="4" t="s">
        <v>231</v>
      </c>
      <c r="BD992" s="8" t="s">
        <v>231</v>
      </c>
      <c r="BE992" s="4" t="s">
        <v>231</v>
      </c>
      <c r="BF992" s="8" t="s">
        <v>231</v>
      </c>
      <c r="BG992" s="7" t="s">
        <v>231</v>
      </c>
      <c r="BH992" s="7" t="s">
        <v>231</v>
      </c>
      <c r="BI992" s="7"/>
      <c r="BJ992" s="4"/>
      <c r="BK992" s="8"/>
      <c r="BL992" s="2" t="s">
        <v>231</v>
      </c>
      <c r="BM992" s="7"/>
      <c r="BN992" s="7"/>
      <c r="BO992" s="4"/>
      <c r="BP992" s="8"/>
      <c r="BQ992" s="4"/>
      <c r="BR992" s="8"/>
      <c r="BS992" s="7"/>
      <c r="BT992" s="7"/>
      <c r="BU992" s="2" t="s">
        <v>4838</v>
      </c>
      <c r="BV992" s="2" t="s">
        <v>231</v>
      </c>
      <c r="BW992" s="2" t="s">
        <v>231</v>
      </c>
      <c r="BX992" s="2" t="s">
        <v>231</v>
      </c>
      <c r="BY992" s="2" t="s">
        <v>277</v>
      </c>
      <c r="BZ992" s="2" t="s">
        <v>243</v>
      </c>
      <c r="CA992" s="2" t="s">
        <v>4835</v>
      </c>
      <c r="CB992" s="2" t="s">
        <v>1208</v>
      </c>
      <c r="CC992" s="2" t="s">
        <v>244</v>
      </c>
      <c r="CD992" s="2" t="s">
        <v>231</v>
      </c>
      <c r="CE992" s="4">
        <v>1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>
        <v>112</v>
      </c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>
        <v>215</v>
      </c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>
        <v>94</v>
      </c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</row>
    <row r="993">
      <c r="A993" s="2" t="s">
        <v>4839</v>
      </c>
      <c r="B993" s="2" t="s">
        <v>287</v>
      </c>
      <c r="C993" s="2" t="s">
        <v>825</v>
      </c>
      <c r="D993" s="2" t="s">
        <v>289</v>
      </c>
      <c r="E993" s="2" t="s">
        <v>290</v>
      </c>
      <c r="F993" s="2" t="s">
        <v>4816</v>
      </c>
      <c r="G993" s="2" t="s">
        <v>4816</v>
      </c>
      <c r="H993" s="2" t="s">
        <v>4816</v>
      </c>
      <c r="I993" s="2" t="s">
        <v>4817</v>
      </c>
      <c r="J993" s="2" t="s">
        <v>281</v>
      </c>
      <c r="K993" s="2" t="s">
        <v>4831</v>
      </c>
      <c r="L993" s="3">
        <v>19.13</v>
      </c>
      <c r="M993" s="3">
        <v>20.09</v>
      </c>
      <c r="N993" s="3">
        <v>42.99</v>
      </c>
      <c r="O993" s="2" t="s">
        <v>243</v>
      </c>
      <c r="P993" s="2" t="s">
        <v>1281</v>
      </c>
      <c r="Q993" s="2" t="s">
        <v>237</v>
      </c>
      <c r="R993" s="2" t="s">
        <v>231</v>
      </c>
      <c r="S993" s="2" t="s">
        <v>4832</v>
      </c>
      <c r="T993" s="2" t="s">
        <v>4134</v>
      </c>
      <c r="U993" s="2" t="s">
        <v>298</v>
      </c>
      <c r="V993" s="2" t="s">
        <v>4046</v>
      </c>
      <c r="W993" s="2" t="s">
        <v>273</v>
      </c>
      <c r="X993" s="2" t="s">
        <v>792</v>
      </c>
      <c r="Y993" s="2" t="s">
        <v>4833</v>
      </c>
      <c r="Z993" s="4"/>
      <c r="AA993" s="4">
        <f>=ROUNDDOWN({0},0)</f>
      </c>
      <c r="AB993" s="5">
        <v>18</v>
      </c>
      <c r="AC993" s="2" t="s">
        <v>4135</v>
      </c>
      <c r="AD993" s="4">
        <v>188</v>
      </c>
      <c r="AE993" s="4">
        <v>766</v>
      </c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231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231</v>
      </c>
      <c r="AW993" s="8" t="s">
        <v>231</v>
      </c>
      <c r="AX993" s="4" t="s">
        <v>231</v>
      </c>
      <c r="AY993" s="8" t="s">
        <v>231</v>
      </c>
      <c r="AZ993" s="7" t="s">
        <v>231</v>
      </c>
      <c r="BA993" s="7" t="s">
        <v>231</v>
      </c>
      <c r="BB993" s="7"/>
      <c r="BC993" s="4" t="s">
        <v>231</v>
      </c>
      <c r="BD993" s="8" t="s">
        <v>231</v>
      </c>
      <c r="BE993" s="4" t="s">
        <v>231</v>
      </c>
      <c r="BF993" s="8" t="s">
        <v>231</v>
      </c>
      <c r="BG993" s="7" t="s">
        <v>231</v>
      </c>
      <c r="BH993" s="7" t="s">
        <v>231</v>
      </c>
      <c r="BI993" s="7"/>
      <c r="BJ993" s="4"/>
      <c r="BK993" s="8"/>
      <c r="BL993" s="2" t="s">
        <v>231</v>
      </c>
      <c r="BM993" s="7"/>
      <c r="BN993" s="7"/>
      <c r="BO993" s="4"/>
      <c r="BP993" s="8"/>
      <c r="BQ993" s="4"/>
      <c r="BR993" s="8"/>
      <c r="BS993" s="7"/>
      <c r="BT993" s="7"/>
      <c r="BU993" s="2" t="s">
        <v>4840</v>
      </c>
      <c r="BV993" s="2" t="s">
        <v>231</v>
      </c>
      <c r="BW993" s="2" t="s">
        <v>231</v>
      </c>
      <c r="BX993" s="2" t="s">
        <v>231</v>
      </c>
      <c r="BY993" s="2" t="s">
        <v>277</v>
      </c>
      <c r="BZ993" s="2" t="s">
        <v>243</v>
      </c>
      <c r="CA993" s="2" t="s">
        <v>4835</v>
      </c>
      <c r="CB993" s="2" t="s">
        <v>4841</v>
      </c>
      <c r="CC993" s="2" t="s">
        <v>244</v>
      </c>
      <c r="CD993" s="2" t="s">
        <v>231</v>
      </c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>
        <v>188</v>
      </c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>
        <v>431</v>
      </c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>
        <v>147</v>
      </c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</row>
    <row r="994">
      <c r="A994" s="2" t="s">
        <v>4842</v>
      </c>
      <c r="B994" s="2" t="s">
        <v>287</v>
      </c>
      <c r="C994" s="2" t="s">
        <v>825</v>
      </c>
      <c r="D994" s="2" t="s">
        <v>289</v>
      </c>
      <c r="E994" s="2" t="s">
        <v>290</v>
      </c>
      <c r="F994" s="2" t="s">
        <v>4816</v>
      </c>
      <c r="G994" s="2" t="s">
        <v>4816</v>
      </c>
      <c r="H994" s="2" t="s">
        <v>4816</v>
      </c>
      <c r="I994" s="2" t="s">
        <v>4817</v>
      </c>
      <c r="J994" s="2" t="s">
        <v>293</v>
      </c>
      <c r="K994" s="2" t="s">
        <v>4831</v>
      </c>
      <c r="L994" s="3">
        <v>21.27</v>
      </c>
      <c r="M994" s="3">
        <v>22.33</v>
      </c>
      <c r="N994" s="3">
        <v>47.99</v>
      </c>
      <c r="O994" s="2" t="s">
        <v>243</v>
      </c>
      <c r="P994" s="2" t="s">
        <v>270</v>
      </c>
      <c r="Q994" s="2" t="s">
        <v>237</v>
      </c>
      <c r="R994" s="2" t="s">
        <v>231</v>
      </c>
      <c r="S994" s="2" t="s">
        <v>4832</v>
      </c>
      <c r="T994" s="2" t="s">
        <v>4134</v>
      </c>
      <c r="U994" s="2" t="s">
        <v>298</v>
      </c>
      <c r="V994" s="2" t="s">
        <v>4046</v>
      </c>
      <c r="W994" s="2" t="s">
        <v>273</v>
      </c>
      <c r="X994" s="2" t="s">
        <v>792</v>
      </c>
      <c r="Y994" s="2" t="s">
        <v>4833</v>
      </c>
      <c r="Z994" s="4"/>
      <c r="AA994" s="4">
        <f>=ROUNDDOWN({0},0)</f>
      </c>
      <c r="AB994" s="5">
        <v>18</v>
      </c>
      <c r="AC994" s="2" t="s">
        <v>4135</v>
      </c>
      <c r="AD994" s="4">
        <v>182</v>
      </c>
      <c r="AE994" s="4">
        <v>719</v>
      </c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231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231</v>
      </c>
      <c r="AW994" s="8" t="s">
        <v>231</v>
      </c>
      <c r="AX994" s="4" t="s">
        <v>231</v>
      </c>
      <c r="AY994" s="8" t="s">
        <v>231</v>
      </c>
      <c r="AZ994" s="7" t="s">
        <v>231</v>
      </c>
      <c r="BA994" s="7" t="s">
        <v>231</v>
      </c>
      <c r="BB994" s="7"/>
      <c r="BC994" s="4" t="s">
        <v>231</v>
      </c>
      <c r="BD994" s="8" t="s">
        <v>231</v>
      </c>
      <c r="BE994" s="4" t="s">
        <v>231</v>
      </c>
      <c r="BF994" s="8" t="s">
        <v>231</v>
      </c>
      <c r="BG994" s="7" t="s">
        <v>231</v>
      </c>
      <c r="BH994" s="7" t="s">
        <v>231</v>
      </c>
      <c r="BI994" s="7"/>
      <c r="BJ994" s="4"/>
      <c r="BK994" s="8"/>
      <c r="BL994" s="2" t="s">
        <v>231</v>
      </c>
      <c r="BM994" s="7"/>
      <c r="BN994" s="7"/>
      <c r="BO994" s="4"/>
      <c r="BP994" s="8"/>
      <c r="BQ994" s="4"/>
      <c r="BR994" s="8"/>
      <c r="BS994" s="7"/>
      <c r="BT994" s="7"/>
      <c r="BU994" s="2" t="s">
        <v>4843</v>
      </c>
      <c r="BV994" s="2" t="s">
        <v>231</v>
      </c>
      <c r="BW994" s="2" t="s">
        <v>231</v>
      </c>
      <c r="BX994" s="2" t="s">
        <v>231</v>
      </c>
      <c r="BY994" s="2" t="s">
        <v>277</v>
      </c>
      <c r="BZ994" s="2" t="s">
        <v>243</v>
      </c>
      <c r="CA994" s="2" t="s">
        <v>4835</v>
      </c>
      <c r="CB994" s="2" t="s">
        <v>4844</v>
      </c>
      <c r="CC994" s="2" t="s">
        <v>244</v>
      </c>
      <c r="CD994" s="2" t="s">
        <v>231</v>
      </c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>
        <v>182</v>
      </c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>
        <v>391</v>
      </c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>
        <v>146</v>
      </c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</row>
    <row r="995">
      <c r="A995" s="2" t="s">
        <v>4845</v>
      </c>
      <c r="B995" s="2" t="s">
        <v>287</v>
      </c>
      <c r="C995" s="2" t="s">
        <v>825</v>
      </c>
      <c r="D995" s="2" t="s">
        <v>289</v>
      </c>
      <c r="E995" s="2" t="s">
        <v>290</v>
      </c>
      <c r="F995" s="2" t="s">
        <v>4816</v>
      </c>
      <c r="G995" s="2" t="s">
        <v>4816</v>
      </c>
      <c r="H995" s="2" t="s">
        <v>4816</v>
      </c>
      <c r="I995" s="2" t="s">
        <v>4817</v>
      </c>
      <c r="J995" s="2" t="s">
        <v>318</v>
      </c>
      <c r="K995" s="2" t="s">
        <v>4846</v>
      </c>
      <c r="L995" s="3">
        <v>14.89</v>
      </c>
      <c r="M995" s="3">
        <v>15.63</v>
      </c>
      <c r="N995" s="3">
        <v>31.99</v>
      </c>
      <c r="O995" s="2" t="s">
        <v>243</v>
      </c>
      <c r="P995" s="2" t="s">
        <v>341</v>
      </c>
      <c r="Q995" s="2" t="s">
        <v>237</v>
      </c>
      <c r="R995" s="2" t="s">
        <v>231</v>
      </c>
      <c r="S995" s="2" t="s">
        <v>4847</v>
      </c>
      <c r="T995" s="2" t="s">
        <v>4134</v>
      </c>
      <c r="U995" s="2" t="s">
        <v>835</v>
      </c>
      <c r="V995" s="2" t="s">
        <v>381</v>
      </c>
      <c r="W995" s="2" t="s">
        <v>273</v>
      </c>
      <c r="X995" s="2" t="s">
        <v>792</v>
      </c>
      <c r="Y995" s="2" t="s">
        <v>4848</v>
      </c>
      <c r="Z995" s="4">
        <v>298</v>
      </c>
      <c r="AA995" s="4">
        <f>=ROUNDDOWN(21.4388489208633,0)</f>
      </c>
      <c r="AB995" s="5">
        <v>13.9</v>
      </c>
      <c r="AC995" s="2" t="s">
        <v>231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231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231</v>
      </c>
      <c r="BD995" s="8" t="s">
        <v>231</v>
      </c>
      <c r="BE995" s="4" t="s">
        <v>231</v>
      </c>
      <c r="BF995" s="8" t="s">
        <v>231</v>
      </c>
      <c r="BG995" s="7" t="s">
        <v>231</v>
      </c>
      <c r="BH995" s="7" t="s">
        <v>231</v>
      </c>
      <c r="BI995" s="7"/>
      <c r="BJ995" s="4">
        <v>22</v>
      </c>
      <c r="BK995" s="8">
        <v>354.12</v>
      </c>
      <c r="BL995" s="2" t="s">
        <v>4849</v>
      </c>
      <c r="BM995" s="7"/>
      <c r="BN995" s="7"/>
      <c r="BO995" s="4"/>
      <c r="BP995" s="8"/>
      <c r="BQ995" s="4"/>
      <c r="BR995" s="8"/>
      <c r="BS995" s="7"/>
      <c r="BT995" s="7"/>
      <c r="BU995" s="2" t="s">
        <v>4850</v>
      </c>
      <c r="BV995" s="2" t="s">
        <v>231</v>
      </c>
      <c r="BW995" s="2" t="s">
        <v>231</v>
      </c>
      <c r="BX995" s="2" t="s">
        <v>1360</v>
      </c>
      <c r="BY995" s="2" t="s">
        <v>277</v>
      </c>
      <c r="BZ995" s="2" t="s">
        <v>243</v>
      </c>
      <c r="CA995" s="2" t="s">
        <v>4851</v>
      </c>
      <c r="CB995" s="2" t="s">
        <v>4852</v>
      </c>
      <c r="CC995" s="2" t="s">
        <v>244</v>
      </c>
      <c r="CD995" s="2" t="s">
        <v>231</v>
      </c>
      <c r="CE995" s="4">
        <v>298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</row>
    <row r="996">
      <c r="A996" s="2" t="s">
        <v>4853</v>
      </c>
      <c r="B996" s="2" t="s">
        <v>287</v>
      </c>
      <c r="C996" s="2" t="s">
        <v>825</v>
      </c>
      <c r="D996" s="2" t="s">
        <v>289</v>
      </c>
      <c r="E996" s="2" t="s">
        <v>290</v>
      </c>
      <c r="F996" s="2" t="s">
        <v>4816</v>
      </c>
      <c r="G996" s="2" t="s">
        <v>4816</v>
      </c>
      <c r="H996" s="2" t="s">
        <v>4816</v>
      </c>
      <c r="I996" s="2" t="s">
        <v>4817</v>
      </c>
      <c r="J996" s="2" t="s">
        <v>318</v>
      </c>
      <c r="K996" s="2" t="s">
        <v>4854</v>
      </c>
      <c r="L996" s="3">
        <v>14.89</v>
      </c>
      <c r="M996" s="3">
        <v>15.63</v>
      </c>
      <c r="N996" s="3">
        <v>31.99</v>
      </c>
      <c r="O996" s="2" t="s">
        <v>243</v>
      </c>
      <c r="P996" s="2" t="s">
        <v>270</v>
      </c>
      <c r="Q996" s="2" t="s">
        <v>237</v>
      </c>
      <c r="R996" s="2" t="s">
        <v>231</v>
      </c>
      <c r="S996" s="2" t="s">
        <v>4855</v>
      </c>
      <c r="T996" s="2" t="s">
        <v>4134</v>
      </c>
      <c r="U996" s="2" t="s">
        <v>835</v>
      </c>
      <c r="V996" s="2" t="s">
        <v>2195</v>
      </c>
      <c r="W996" s="2" t="s">
        <v>273</v>
      </c>
      <c r="X996" s="2" t="s">
        <v>792</v>
      </c>
      <c r="Y996" s="2" t="s">
        <v>4848</v>
      </c>
      <c r="Z996" s="4">
        <v>2</v>
      </c>
      <c r="AA996" s="4">
        <f>=ROUNDDOWN(0.0869565217391304,0)</f>
      </c>
      <c r="AB996" s="5">
        <v>23</v>
      </c>
      <c r="AC996" s="2" t="s">
        <v>4135</v>
      </c>
      <c r="AD996" s="4">
        <v>227</v>
      </c>
      <c r="AE996" s="4">
        <v>855</v>
      </c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231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231</v>
      </c>
      <c r="AW996" s="8" t="s">
        <v>231</v>
      </c>
      <c r="AX996" s="4" t="s">
        <v>231</v>
      </c>
      <c r="AY996" s="8" t="s">
        <v>231</v>
      </c>
      <c r="AZ996" s="7" t="s">
        <v>231</v>
      </c>
      <c r="BA996" s="7" t="s">
        <v>231</v>
      </c>
      <c r="BB996" s="7"/>
      <c r="BC996" s="4" t="s">
        <v>231</v>
      </c>
      <c r="BD996" s="8" t="s">
        <v>231</v>
      </c>
      <c r="BE996" s="4" t="s">
        <v>231</v>
      </c>
      <c r="BF996" s="8" t="s">
        <v>231</v>
      </c>
      <c r="BG996" s="7" t="s">
        <v>231</v>
      </c>
      <c r="BH996" s="7" t="s">
        <v>231</v>
      </c>
      <c r="BI996" s="7"/>
      <c r="BJ996" s="4">
        <v>1</v>
      </c>
      <c r="BK996" s="8">
        <v>31.99</v>
      </c>
      <c r="BL996" s="2" t="s">
        <v>4856</v>
      </c>
      <c r="BM996" s="7"/>
      <c r="BN996" s="7"/>
      <c r="BO996" s="4"/>
      <c r="BP996" s="8"/>
      <c r="BQ996" s="4"/>
      <c r="BR996" s="8"/>
      <c r="BS996" s="7"/>
      <c r="BT996" s="7"/>
      <c r="BU996" s="2" t="s">
        <v>4857</v>
      </c>
      <c r="BV996" s="2" t="s">
        <v>231</v>
      </c>
      <c r="BW996" s="2" t="s">
        <v>231</v>
      </c>
      <c r="BX996" s="2" t="s">
        <v>241</v>
      </c>
      <c r="BY996" s="2" t="s">
        <v>277</v>
      </c>
      <c r="BZ996" s="2" t="s">
        <v>243</v>
      </c>
      <c r="CA996" s="2" t="s">
        <v>4851</v>
      </c>
      <c r="CB996" s="2" t="s">
        <v>1410</v>
      </c>
      <c r="CC996" s="2" t="s">
        <v>244</v>
      </c>
      <c r="CD996" s="2" t="s">
        <v>231</v>
      </c>
      <c r="CE996" s="4">
        <v>2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>
        <v>227</v>
      </c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>
        <v>439</v>
      </c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>
        <v>189</v>
      </c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</row>
    <row r="997">
      <c r="A997" s="2" t="s">
        <v>4858</v>
      </c>
      <c r="B997" s="2" t="s">
        <v>287</v>
      </c>
      <c r="C997" s="2" t="s">
        <v>825</v>
      </c>
      <c r="D997" s="2" t="s">
        <v>289</v>
      </c>
      <c r="E997" s="2" t="s">
        <v>290</v>
      </c>
      <c r="F997" s="2" t="s">
        <v>4816</v>
      </c>
      <c r="G997" s="2" t="s">
        <v>4816</v>
      </c>
      <c r="H997" s="2" t="s">
        <v>4816</v>
      </c>
      <c r="I997" s="2" t="s">
        <v>4817</v>
      </c>
      <c r="J997" s="2" t="s">
        <v>268</v>
      </c>
      <c r="K997" s="2" t="s">
        <v>4854</v>
      </c>
      <c r="L997" s="3">
        <v>15.22</v>
      </c>
      <c r="M997" s="3">
        <v>15.98</v>
      </c>
      <c r="N997" s="3">
        <v>32.99</v>
      </c>
      <c r="O997" s="2" t="s">
        <v>243</v>
      </c>
      <c r="P997" s="2" t="s">
        <v>270</v>
      </c>
      <c r="Q997" s="2" t="s">
        <v>237</v>
      </c>
      <c r="R997" s="2" t="s">
        <v>231</v>
      </c>
      <c r="S997" s="2" t="s">
        <v>4855</v>
      </c>
      <c r="T997" s="2" t="s">
        <v>4134</v>
      </c>
      <c r="U997" s="2" t="s">
        <v>835</v>
      </c>
      <c r="V997" s="2" t="s">
        <v>2195</v>
      </c>
      <c r="W997" s="2" t="s">
        <v>273</v>
      </c>
      <c r="X997" s="2" t="s">
        <v>792</v>
      </c>
      <c r="Y997" s="2" t="s">
        <v>4848</v>
      </c>
      <c r="Z997" s="4">
        <v>2</v>
      </c>
      <c r="AA997" s="4">
        <f>=ROUNDDOWN(0.142857142857143,0)</f>
      </c>
      <c r="AB997" s="5">
        <v>14</v>
      </c>
      <c r="AC997" s="2" t="s">
        <v>4135</v>
      </c>
      <c r="AD997" s="4">
        <v>142</v>
      </c>
      <c r="AE997" s="4">
        <v>505</v>
      </c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231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231</v>
      </c>
      <c r="AW997" s="8" t="s">
        <v>231</v>
      </c>
      <c r="AX997" s="4" t="s">
        <v>231</v>
      </c>
      <c r="AY997" s="8" t="s">
        <v>231</v>
      </c>
      <c r="AZ997" s="7" t="s">
        <v>231</v>
      </c>
      <c r="BA997" s="7" t="s">
        <v>231</v>
      </c>
      <c r="BB997" s="7"/>
      <c r="BC997" s="4" t="s">
        <v>231</v>
      </c>
      <c r="BD997" s="8" t="s">
        <v>231</v>
      </c>
      <c r="BE997" s="4" t="s">
        <v>231</v>
      </c>
      <c r="BF997" s="8" t="s">
        <v>231</v>
      </c>
      <c r="BG997" s="7" t="s">
        <v>231</v>
      </c>
      <c r="BH997" s="7" t="s">
        <v>231</v>
      </c>
      <c r="BI997" s="7"/>
      <c r="BJ997" s="4"/>
      <c r="BK997" s="8"/>
      <c r="BL997" s="2" t="s">
        <v>231</v>
      </c>
      <c r="BM997" s="7"/>
      <c r="BN997" s="7"/>
      <c r="BO997" s="4"/>
      <c r="BP997" s="8"/>
      <c r="BQ997" s="4"/>
      <c r="BR997" s="8"/>
      <c r="BS997" s="7"/>
      <c r="BT997" s="7"/>
      <c r="BU997" s="2" t="s">
        <v>4859</v>
      </c>
      <c r="BV997" s="2" t="s">
        <v>231</v>
      </c>
      <c r="BW997" s="2" t="s">
        <v>231</v>
      </c>
      <c r="BX997" s="2" t="s">
        <v>241</v>
      </c>
      <c r="BY997" s="2" t="s">
        <v>277</v>
      </c>
      <c r="BZ997" s="2" t="s">
        <v>243</v>
      </c>
      <c r="CA997" s="2" t="s">
        <v>4851</v>
      </c>
      <c r="CB997" s="2" t="s">
        <v>4860</v>
      </c>
      <c r="CC997" s="2" t="s">
        <v>244</v>
      </c>
      <c r="CD997" s="2" t="s">
        <v>231</v>
      </c>
      <c r="CE997" s="4">
        <v>2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>
        <v>142</v>
      </c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>
        <v>240</v>
      </c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>
        <v>123</v>
      </c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</row>
    <row r="998">
      <c r="A998" s="2" t="s">
        <v>4861</v>
      </c>
      <c r="B998" s="2" t="s">
        <v>287</v>
      </c>
      <c r="C998" s="2" t="s">
        <v>825</v>
      </c>
      <c r="D998" s="2" t="s">
        <v>289</v>
      </c>
      <c r="E998" s="2" t="s">
        <v>290</v>
      </c>
      <c r="F998" s="2" t="s">
        <v>4816</v>
      </c>
      <c r="G998" s="2" t="s">
        <v>4816</v>
      </c>
      <c r="H998" s="2" t="s">
        <v>4816</v>
      </c>
      <c r="I998" s="2" t="s">
        <v>4817</v>
      </c>
      <c r="J998" s="2" t="s">
        <v>281</v>
      </c>
      <c r="K998" s="2" t="s">
        <v>4854</v>
      </c>
      <c r="L998" s="3">
        <v>19.13</v>
      </c>
      <c r="M998" s="3">
        <v>20.09</v>
      </c>
      <c r="N998" s="3">
        <v>42.99</v>
      </c>
      <c r="O998" s="2" t="s">
        <v>243</v>
      </c>
      <c r="P998" s="2" t="s">
        <v>270</v>
      </c>
      <c r="Q998" s="2" t="s">
        <v>237</v>
      </c>
      <c r="R998" s="2" t="s">
        <v>231</v>
      </c>
      <c r="S998" s="2" t="s">
        <v>4855</v>
      </c>
      <c r="T998" s="2" t="s">
        <v>4134</v>
      </c>
      <c r="U998" s="2" t="s">
        <v>298</v>
      </c>
      <c r="V998" s="2" t="s">
        <v>2195</v>
      </c>
      <c r="W998" s="2" t="s">
        <v>273</v>
      </c>
      <c r="X998" s="2" t="s">
        <v>792</v>
      </c>
      <c r="Y998" s="2" t="s">
        <v>4848</v>
      </c>
      <c r="Z998" s="4">
        <v>2</v>
      </c>
      <c r="AA998" s="4">
        <f>=ROUNDDOWN(0.153846153846154,0)</f>
      </c>
      <c r="AB998" s="5">
        <v>13</v>
      </c>
      <c r="AC998" s="2" t="s">
        <v>4135</v>
      </c>
      <c r="AD998" s="4">
        <v>126</v>
      </c>
      <c r="AE998" s="4">
        <v>465</v>
      </c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231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231</v>
      </c>
      <c r="AW998" s="8" t="s">
        <v>231</v>
      </c>
      <c r="AX998" s="4" t="s">
        <v>231</v>
      </c>
      <c r="AY998" s="8" t="s">
        <v>231</v>
      </c>
      <c r="AZ998" s="7" t="s">
        <v>231</v>
      </c>
      <c r="BA998" s="7" t="s">
        <v>231</v>
      </c>
      <c r="BB998" s="7"/>
      <c r="BC998" s="4" t="s">
        <v>231</v>
      </c>
      <c r="BD998" s="8" t="s">
        <v>231</v>
      </c>
      <c r="BE998" s="4" t="s">
        <v>231</v>
      </c>
      <c r="BF998" s="8" t="s">
        <v>231</v>
      </c>
      <c r="BG998" s="7" t="s">
        <v>231</v>
      </c>
      <c r="BH998" s="7" t="s">
        <v>231</v>
      </c>
      <c r="BI998" s="7"/>
      <c r="BJ998" s="4">
        <v>1</v>
      </c>
      <c r="BK998" s="8">
        <v>42.99</v>
      </c>
      <c r="BL998" s="2" t="s">
        <v>4862</v>
      </c>
      <c r="BM998" s="7"/>
      <c r="BN998" s="7"/>
      <c r="BO998" s="4"/>
      <c r="BP998" s="8"/>
      <c r="BQ998" s="4"/>
      <c r="BR998" s="8"/>
      <c r="BS998" s="7"/>
      <c r="BT998" s="7"/>
      <c r="BU998" s="2" t="s">
        <v>4863</v>
      </c>
      <c r="BV998" s="2" t="s">
        <v>231</v>
      </c>
      <c r="BW998" s="2" t="s">
        <v>231</v>
      </c>
      <c r="BX998" s="2" t="s">
        <v>241</v>
      </c>
      <c r="BY998" s="2" t="s">
        <v>277</v>
      </c>
      <c r="BZ998" s="2" t="s">
        <v>243</v>
      </c>
      <c r="CA998" s="2" t="s">
        <v>4851</v>
      </c>
      <c r="CB998" s="2" t="s">
        <v>4864</v>
      </c>
      <c r="CC998" s="2" t="s">
        <v>244</v>
      </c>
      <c r="CD998" s="2" t="s">
        <v>231</v>
      </c>
      <c r="CE998" s="4">
        <v>2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>
        <v>126</v>
      </c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>
        <v>232</v>
      </c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>
        <v>107</v>
      </c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</row>
    <row r="999">
      <c r="A999" s="2" t="s">
        <v>4865</v>
      </c>
      <c r="B999" s="2" t="s">
        <v>287</v>
      </c>
      <c r="C999" s="2" t="s">
        <v>825</v>
      </c>
      <c r="D999" s="2" t="s">
        <v>289</v>
      </c>
      <c r="E999" s="2" t="s">
        <v>290</v>
      </c>
      <c r="F999" s="2" t="s">
        <v>4816</v>
      </c>
      <c r="G999" s="2" t="s">
        <v>4816</v>
      </c>
      <c r="H999" s="2" t="s">
        <v>4816</v>
      </c>
      <c r="I999" s="2" t="s">
        <v>4817</v>
      </c>
      <c r="J999" s="2" t="s">
        <v>293</v>
      </c>
      <c r="K999" s="2" t="s">
        <v>4854</v>
      </c>
      <c r="L999" s="3">
        <v>21.27</v>
      </c>
      <c r="M999" s="3">
        <v>22.33</v>
      </c>
      <c r="N999" s="3">
        <v>47.99</v>
      </c>
      <c r="O999" s="2" t="s">
        <v>243</v>
      </c>
      <c r="P999" s="2" t="s">
        <v>270</v>
      </c>
      <c r="Q999" s="2" t="s">
        <v>237</v>
      </c>
      <c r="R999" s="2" t="s">
        <v>231</v>
      </c>
      <c r="S999" s="2" t="s">
        <v>4855</v>
      </c>
      <c r="T999" s="2" t="s">
        <v>4134</v>
      </c>
      <c r="U999" s="2" t="s">
        <v>298</v>
      </c>
      <c r="V999" s="2" t="s">
        <v>2195</v>
      </c>
      <c r="W999" s="2" t="s">
        <v>273</v>
      </c>
      <c r="X999" s="2" t="s">
        <v>792</v>
      </c>
      <c r="Y999" s="2" t="s">
        <v>4848</v>
      </c>
      <c r="Z999" s="4">
        <v>2</v>
      </c>
      <c r="AA999" s="4">
        <f>=ROUNDDOWN(0.125,0)</f>
      </c>
      <c r="AB999" s="5">
        <v>16</v>
      </c>
      <c r="AC999" s="2" t="s">
        <v>4135</v>
      </c>
      <c r="AD999" s="4">
        <v>169</v>
      </c>
      <c r="AE999" s="4">
        <v>606</v>
      </c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231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231</v>
      </c>
      <c r="AW999" s="8" t="s">
        <v>231</v>
      </c>
      <c r="AX999" s="4" t="s">
        <v>231</v>
      </c>
      <c r="AY999" s="8" t="s">
        <v>231</v>
      </c>
      <c r="AZ999" s="7" t="s">
        <v>231</v>
      </c>
      <c r="BA999" s="7" t="s">
        <v>231</v>
      </c>
      <c r="BB999" s="7"/>
      <c r="BC999" s="4" t="s">
        <v>231</v>
      </c>
      <c r="BD999" s="8" t="s">
        <v>231</v>
      </c>
      <c r="BE999" s="4" t="s">
        <v>231</v>
      </c>
      <c r="BF999" s="8" t="s">
        <v>231</v>
      </c>
      <c r="BG999" s="7" t="s">
        <v>231</v>
      </c>
      <c r="BH999" s="7" t="s">
        <v>231</v>
      </c>
      <c r="BI999" s="7"/>
      <c r="BJ999" s="4"/>
      <c r="BK999" s="8"/>
      <c r="BL999" s="2" t="s">
        <v>4578</v>
      </c>
      <c r="BM999" s="7"/>
      <c r="BN999" s="7"/>
      <c r="BO999" s="4"/>
      <c r="BP999" s="8"/>
      <c r="BQ999" s="4"/>
      <c r="BR999" s="8"/>
      <c r="BS999" s="7"/>
      <c r="BT999" s="7"/>
      <c r="BU999" s="2" t="s">
        <v>4866</v>
      </c>
      <c r="BV999" s="2" t="s">
        <v>231</v>
      </c>
      <c r="BW999" s="2" t="s">
        <v>231</v>
      </c>
      <c r="BX999" s="2" t="s">
        <v>241</v>
      </c>
      <c r="BY999" s="2" t="s">
        <v>277</v>
      </c>
      <c r="BZ999" s="2" t="s">
        <v>243</v>
      </c>
      <c r="CA999" s="2" t="s">
        <v>4851</v>
      </c>
      <c r="CB999" s="2" t="s">
        <v>4867</v>
      </c>
      <c r="CC999" s="2" t="s">
        <v>244</v>
      </c>
      <c r="CD999" s="2" t="s">
        <v>231</v>
      </c>
      <c r="CE999" s="4">
        <v>2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>
        <v>169</v>
      </c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>
        <v>290</v>
      </c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>
        <v>147</v>
      </c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</row>
    <row r="1000">
      <c r="A1000" s="2" t="s">
        <v>4868</v>
      </c>
      <c r="B1000" s="2" t="s">
        <v>287</v>
      </c>
      <c r="C1000" s="2" t="s">
        <v>825</v>
      </c>
      <c r="D1000" s="2" t="s">
        <v>289</v>
      </c>
      <c r="E1000" s="2" t="s">
        <v>290</v>
      </c>
      <c r="F1000" s="2" t="s">
        <v>4816</v>
      </c>
      <c r="G1000" s="2" t="s">
        <v>4816</v>
      </c>
      <c r="H1000" s="2" t="s">
        <v>4816</v>
      </c>
      <c r="I1000" s="2" t="s">
        <v>4817</v>
      </c>
      <c r="J1000" s="2" t="s">
        <v>318</v>
      </c>
      <c r="K1000" s="2" t="s">
        <v>4869</v>
      </c>
      <c r="L1000" s="3">
        <v>14.89</v>
      </c>
      <c r="M1000" s="3">
        <v>15.63</v>
      </c>
      <c r="N1000" s="3">
        <v>31.99</v>
      </c>
      <c r="O1000" s="2" t="s">
        <v>243</v>
      </c>
      <c r="P1000" s="2" t="s">
        <v>4057</v>
      </c>
      <c r="Q1000" s="2" t="s">
        <v>237</v>
      </c>
      <c r="R1000" s="2" t="s">
        <v>231</v>
      </c>
      <c r="S1000" s="2" t="s">
        <v>4870</v>
      </c>
      <c r="T1000" s="2" t="s">
        <v>4134</v>
      </c>
      <c r="U1000" s="2" t="s">
        <v>835</v>
      </c>
      <c r="V1000" s="2" t="s">
        <v>4046</v>
      </c>
      <c r="W1000" s="2" t="s">
        <v>273</v>
      </c>
      <c r="X1000" s="2" t="s">
        <v>792</v>
      </c>
      <c r="Y1000" s="2" t="s">
        <v>4833</v>
      </c>
      <c r="Z1000" s="4"/>
      <c r="AA1000" s="4">
        <f>=ROUNDDOWN({0},0)</f>
      </c>
      <c r="AB1000" s="5">
        <v>56</v>
      </c>
      <c r="AC1000" s="2" t="s">
        <v>4135</v>
      </c>
      <c r="AD1000" s="4">
        <v>540</v>
      </c>
      <c r="AE1000" s="4">
        <v>2201</v>
      </c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231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231</v>
      </c>
      <c r="AW1000" s="8" t="s">
        <v>231</v>
      </c>
      <c r="AX1000" s="4" t="s">
        <v>231</v>
      </c>
      <c r="AY1000" s="8" t="s">
        <v>231</v>
      </c>
      <c r="AZ1000" s="7" t="s">
        <v>231</v>
      </c>
      <c r="BA1000" s="7" t="s">
        <v>231</v>
      </c>
      <c r="BB1000" s="7"/>
      <c r="BC1000" s="4" t="s">
        <v>231</v>
      </c>
      <c r="BD1000" s="8" t="s">
        <v>231</v>
      </c>
      <c r="BE1000" s="4" t="s">
        <v>231</v>
      </c>
      <c r="BF1000" s="8" t="s">
        <v>231</v>
      </c>
      <c r="BG1000" s="7" t="s">
        <v>231</v>
      </c>
      <c r="BH1000" s="7" t="s">
        <v>231</v>
      </c>
      <c r="BI1000" s="7"/>
      <c r="BJ1000" s="4"/>
      <c r="BK1000" s="8"/>
      <c r="BL1000" s="2" t="s">
        <v>231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4871</v>
      </c>
      <c r="BV1000" s="2" t="s">
        <v>231</v>
      </c>
      <c r="BW1000" s="2" t="s">
        <v>231</v>
      </c>
      <c r="BX1000" s="2" t="s">
        <v>231</v>
      </c>
      <c r="BY1000" s="2" t="s">
        <v>277</v>
      </c>
      <c r="BZ1000" s="2" t="s">
        <v>243</v>
      </c>
      <c r="CA1000" s="2" t="s">
        <v>4835</v>
      </c>
      <c r="CB1000" s="2" t="s">
        <v>4872</v>
      </c>
      <c r="CC1000" s="2" t="s">
        <v>244</v>
      </c>
      <c r="CD1000" s="2" t="s">
        <v>231</v>
      </c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>
        <v>540</v>
      </c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>
        <v>1239</v>
      </c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>
        <v>422</v>
      </c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</row>
    <row r="1001">
      <c r="A1001" s="2" t="s">
        <v>4873</v>
      </c>
      <c r="B1001" s="2" t="s">
        <v>287</v>
      </c>
      <c r="C1001" s="2" t="s">
        <v>825</v>
      </c>
      <c r="D1001" s="2" t="s">
        <v>289</v>
      </c>
      <c r="E1001" s="2" t="s">
        <v>290</v>
      </c>
      <c r="F1001" s="2" t="s">
        <v>4816</v>
      </c>
      <c r="G1001" s="2" t="s">
        <v>4816</v>
      </c>
      <c r="H1001" s="2" t="s">
        <v>4816</v>
      </c>
      <c r="I1001" s="2" t="s">
        <v>4817</v>
      </c>
      <c r="J1001" s="2" t="s">
        <v>268</v>
      </c>
      <c r="K1001" s="2" t="s">
        <v>4869</v>
      </c>
      <c r="L1001" s="3">
        <v>15.22</v>
      </c>
      <c r="M1001" s="3">
        <v>15.98</v>
      </c>
      <c r="N1001" s="3">
        <v>32.99</v>
      </c>
      <c r="O1001" s="2" t="s">
        <v>243</v>
      </c>
      <c r="P1001" s="2" t="s">
        <v>1281</v>
      </c>
      <c r="Q1001" s="2" t="s">
        <v>237</v>
      </c>
      <c r="R1001" s="2" t="s">
        <v>231</v>
      </c>
      <c r="S1001" s="2" t="s">
        <v>4870</v>
      </c>
      <c r="T1001" s="2" t="s">
        <v>4134</v>
      </c>
      <c r="U1001" s="2" t="s">
        <v>835</v>
      </c>
      <c r="V1001" s="2" t="s">
        <v>4046</v>
      </c>
      <c r="W1001" s="2" t="s">
        <v>273</v>
      </c>
      <c r="X1001" s="2" t="s">
        <v>792</v>
      </c>
      <c r="Y1001" s="2" t="s">
        <v>4833</v>
      </c>
      <c r="Z1001" s="4">
        <v>1</v>
      </c>
      <c r="AA1001" s="4">
        <f>=ROUNDDOWN(0.0416666666666667,0)</f>
      </c>
      <c r="AB1001" s="5">
        <v>24</v>
      </c>
      <c r="AC1001" s="2" t="s">
        <v>4135</v>
      </c>
      <c r="AD1001" s="4">
        <v>240</v>
      </c>
      <c r="AE1001" s="4">
        <v>942</v>
      </c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231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231</v>
      </c>
      <c r="AW1001" s="8" t="s">
        <v>231</v>
      </c>
      <c r="AX1001" s="4" t="s">
        <v>231</v>
      </c>
      <c r="AY1001" s="8" t="s">
        <v>231</v>
      </c>
      <c r="AZ1001" s="7" t="s">
        <v>231</v>
      </c>
      <c r="BA1001" s="7" t="s">
        <v>231</v>
      </c>
      <c r="BB1001" s="7"/>
      <c r="BC1001" s="4" t="s">
        <v>231</v>
      </c>
      <c r="BD1001" s="8" t="s">
        <v>231</v>
      </c>
      <c r="BE1001" s="4" t="s">
        <v>231</v>
      </c>
      <c r="BF1001" s="8" t="s">
        <v>231</v>
      </c>
      <c r="BG1001" s="7" t="s">
        <v>231</v>
      </c>
      <c r="BH1001" s="7" t="s">
        <v>231</v>
      </c>
      <c r="BI1001" s="7"/>
      <c r="BJ1001" s="4"/>
      <c r="BK1001" s="8"/>
      <c r="BL1001" s="2" t="s">
        <v>231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4874</v>
      </c>
      <c r="BV1001" s="2" t="s">
        <v>231</v>
      </c>
      <c r="BW1001" s="2" t="s">
        <v>231</v>
      </c>
      <c r="BX1001" s="2" t="s">
        <v>231</v>
      </c>
      <c r="BY1001" s="2" t="s">
        <v>277</v>
      </c>
      <c r="BZ1001" s="2" t="s">
        <v>243</v>
      </c>
      <c r="CA1001" s="2" t="s">
        <v>4835</v>
      </c>
      <c r="CB1001" s="2" t="s">
        <v>1208</v>
      </c>
      <c r="CC1001" s="2" t="s">
        <v>244</v>
      </c>
      <c r="CD1001" s="2" t="s">
        <v>231</v>
      </c>
      <c r="CE1001" s="4">
        <v>1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>
        <v>240</v>
      </c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>
        <v>509</v>
      </c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>
        <v>193</v>
      </c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</row>
    <row r="1002">
      <c r="A1002" s="2" t="s">
        <v>4875</v>
      </c>
      <c r="B1002" s="2" t="s">
        <v>287</v>
      </c>
      <c r="C1002" s="2" t="s">
        <v>825</v>
      </c>
      <c r="D1002" s="2" t="s">
        <v>289</v>
      </c>
      <c r="E1002" s="2" t="s">
        <v>290</v>
      </c>
      <c r="F1002" s="2" t="s">
        <v>4816</v>
      </c>
      <c r="G1002" s="2" t="s">
        <v>4816</v>
      </c>
      <c r="H1002" s="2" t="s">
        <v>4816</v>
      </c>
      <c r="I1002" s="2" t="s">
        <v>4817</v>
      </c>
      <c r="J1002" s="2" t="s">
        <v>281</v>
      </c>
      <c r="K1002" s="2" t="s">
        <v>4869</v>
      </c>
      <c r="L1002" s="3">
        <v>19.13</v>
      </c>
      <c r="M1002" s="3">
        <v>20.09</v>
      </c>
      <c r="N1002" s="3">
        <v>42.99</v>
      </c>
      <c r="O1002" s="2" t="s">
        <v>243</v>
      </c>
      <c r="P1002" s="2" t="s">
        <v>270</v>
      </c>
      <c r="Q1002" s="2" t="s">
        <v>237</v>
      </c>
      <c r="R1002" s="2" t="s">
        <v>231</v>
      </c>
      <c r="S1002" s="2" t="s">
        <v>4870</v>
      </c>
      <c r="T1002" s="2" t="s">
        <v>4134</v>
      </c>
      <c r="U1002" s="2" t="s">
        <v>298</v>
      </c>
      <c r="V1002" s="2" t="s">
        <v>4046</v>
      </c>
      <c r="W1002" s="2" t="s">
        <v>273</v>
      </c>
      <c r="X1002" s="2" t="s">
        <v>792</v>
      </c>
      <c r="Y1002" s="2" t="s">
        <v>4833</v>
      </c>
      <c r="Z1002" s="4">
        <v>2</v>
      </c>
      <c r="AA1002" s="4">
        <f>=ROUNDDOWN(0.133333333333333,0)</f>
      </c>
      <c r="AB1002" s="5">
        <v>15</v>
      </c>
      <c r="AC1002" s="2" t="s">
        <v>4135</v>
      </c>
      <c r="AD1002" s="4">
        <v>159</v>
      </c>
      <c r="AE1002" s="4">
        <v>616</v>
      </c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231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231</v>
      </c>
      <c r="AW1002" s="8" t="s">
        <v>231</v>
      </c>
      <c r="AX1002" s="4" t="s">
        <v>231</v>
      </c>
      <c r="AY1002" s="8" t="s">
        <v>231</v>
      </c>
      <c r="AZ1002" s="7" t="s">
        <v>231</v>
      </c>
      <c r="BA1002" s="7" t="s">
        <v>231</v>
      </c>
      <c r="BB1002" s="7"/>
      <c r="BC1002" s="4" t="s">
        <v>231</v>
      </c>
      <c r="BD1002" s="8" t="s">
        <v>231</v>
      </c>
      <c r="BE1002" s="4" t="s">
        <v>231</v>
      </c>
      <c r="BF1002" s="8" t="s">
        <v>231</v>
      </c>
      <c r="BG1002" s="7" t="s">
        <v>231</v>
      </c>
      <c r="BH1002" s="7" t="s">
        <v>231</v>
      </c>
      <c r="BI1002" s="7"/>
      <c r="BJ1002" s="4"/>
      <c r="BK1002" s="8"/>
      <c r="BL1002" s="2" t="s">
        <v>3191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4876</v>
      </c>
      <c r="BV1002" s="2" t="s">
        <v>231</v>
      </c>
      <c r="BW1002" s="2" t="s">
        <v>231</v>
      </c>
      <c r="BX1002" s="2" t="s">
        <v>231</v>
      </c>
      <c r="BY1002" s="2" t="s">
        <v>277</v>
      </c>
      <c r="BZ1002" s="2" t="s">
        <v>243</v>
      </c>
      <c r="CA1002" s="2" t="s">
        <v>4835</v>
      </c>
      <c r="CB1002" s="2" t="s">
        <v>4872</v>
      </c>
      <c r="CC1002" s="2" t="s">
        <v>244</v>
      </c>
      <c r="CD1002" s="2" t="s">
        <v>231</v>
      </c>
      <c r="CE1002" s="4">
        <v>2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>
        <v>159</v>
      </c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>
        <v>328</v>
      </c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>
        <v>129</v>
      </c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</row>
    <row r="1003">
      <c r="A1003" s="2" t="s">
        <v>4877</v>
      </c>
      <c r="B1003" s="2" t="s">
        <v>287</v>
      </c>
      <c r="C1003" s="2" t="s">
        <v>825</v>
      </c>
      <c r="D1003" s="2" t="s">
        <v>289</v>
      </c>
      <c r="E1003" s="2" t="s">
        <v>290</v>
      </c>
      <c r="F1003" s="2" t="s">
        <v>4816</v>
      </c>
      <c r="G1003" s="2" t="s">
        <v>4816</v>
      </c>
      <c r="H1003" s="2" t="s">
        <v>4816</v>
      </c>
      <c r="I1003" s="2" t="s">
        <v>4817</v>
      </c>
      <c r="J1003" s="2" t="s">
        <v>293</v>
      </c>
      <c r="K1003" s="2" t="s">
        <v>4869</v>
      </c>
      <c r="L1003" s="3">
        <v>21.27</v>
      </c>
      <c r="M1003" s="3">
        <v>22.33</v>
      </c>
      <c r="N1003" s="3">
        <v>47.99</v>
      </c>
      <c r="O1003" s="2" t="s">
        <v>243</v>
      </c>
      <c r="P1003" s="2" t="s">
        <v>1281</v>
      </c>
      <c r="Q1003" s="2" t="s">
        <v>237</v>
      </c>
      <c r="R1003" s="2" t="s">
        <v>231</v>
      </c>
      <c r="S1003" s="2" t="s">
        <v>4870</v>
      </c>
      <c r="T1003" s="2" t="s">
        <v>4134</v>
      </c>
      <c r="U1003" s="2" t="s">
        <v>298</v>
      </c>
      <c r="V1003" s="2" t="s">
        <v>4046</v>
      </c>
      <c r="W1003" s="2" t="s">
        <v>273</v>
      </c>
      <c r="X1003" s="2" t="s">
        <v>792</v>
      </c>
      <c r="Y1003" s="2" t="s">
        <v>4833</v>
      </c>
      <c r="Z1003" s="4">
        <v>1</v>
      </c>
      <c r="AA1003" s="4">
        <f>=ROUNDDOWN(0.037037037037037,0)</f>
      </c>
      <c r="AB1003" s="5">
        <v>27</v>
      </c>
      <c r="AC1003" s="2" t="s">
        <v>4135</v>
      </c>
      <c r="AD1003" s="4">
        <v>263</v>
      </c>
      <c r="AE1003" s="4">
        <v>1015</v>
      </c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231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231</v>
      </c>
      <c r="AW1003" s="8" t="s">
        <v>231</v>
      </c>
      <c r="AX1003" s="4" t="s">
        <v>231</v>
      </c>
      <c r="AY1003" s="8" t="s">
        <v>231</v>
      </c>
      <c r="AZ1003" s="7" t="s">
        <v>231</v>
      </c>
      <c r="BA1003" s="7" t="s">
        <v>231</v>
      </c>
      <c r="BB1003" s="7"/>
      <c r="BC1003" s="4" t="s">
        <v>231</v>
      </c>
      <c r="BD1003" s="8" t="s">
        <v>231</v>
      </c>
      <c r="BE1003" s="4" t="s">
        <v>231</v>
      </c>
      <c r="BF1003" s="8" t="s">
        <v>231</v>
      </c>
      <c r="BG1003" s="7" t="s">
        <v>231</v>
      </c>
      <c r="BH1003" s="7" t="s">
        <v>231</v>
      </c>
      <c r="BI1003" s="7"/>
      <c r="BJ1003" s="4"/>
      <c r="BK1003" s="8"/>
      <c r="BL1003" s="2" t="s">
        <v>1306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4878</v>
      </c>
      <c r="BV1003" s="2" t="s">
        <v>231</v>
      </c>
      <c r="BW1003" s="2" t="s">
        <v>231</v>
      </c>
      <c r="BX1003" s="2" t="s">
        <v>231</v>
      </c>
      <c r="BY1003" s="2" t="s">
        <v>277</v>
      </c>
      <c r="BZ1003" s="2" t="s">
        <v>243</v>
      </c>
      <c r="CA1003" s="2" t="s">
        <v>4835</v>
      </c>
      <c r="CB1003" s="2" t="s">
        <v>2728</v>
      </c>
      <c r="CC1003" s="2" t="s">
        <v>244</v>
      </c>
      <c r="CD1003" s="2" t="s">
        <v>231</v>
      </c>
      <c r="CE1003" s="4">
        <v>1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>
        <v>263</v>
      </c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>
        <v>538</v>
      </c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>
        <v>214</v>
      </c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</row>
    <row r="1004">
      <c r="A1004" s="2" t="s">
        <v>4879</v>
      </c>
      <c r="B1004" s="2" t="s">
        <v>287</v>
      </c>
      <c r="C1004" s="2" t="s">
        <v>825</v>
      </c>
      <c r="D1004" s="2" t="s">
        <v>289</v>
      </c>
      <c r="E1004" s="2" t="s">
        <v>290</v>
      </c>
      <c r="F1004" s="2" t="s">
        <v>4816</v>
      </c>
      <c r="G1004" s="2" t="s">
        <v>4816</v>
      </c>
      <c r="H1004" s="2" t="s">
        <v>4816</v>
      </c>
      <c r="I1004" s="2" t="s">
        <v>4817</v>
      </c>
      <c r="J1004" s="2" t="s">
        <v>318</v>
      </c>
      <c r="K1004" s="2" t="s">
        <v>4880</v>
      </c>
      <c r="L1004" s="3">
        <v>14.89</v>
      </c>
      <c r="M1004" s="3">
        <v>15.63</v>
      </c>
      <c r="N1004" s="3">
        <v>31.99</v>
      </c>
      <c r="O1004" s="2" t="s">
        <v>243</v>
      </c>
      <c r="P1004" s="2" t="s">
        <v>270</v>
      </c>
      <c r="Q1004" s="2" t="s">
        <v>237</v>
      </c>
      <c r="R1004" s="2" t="s">
        <v>231</v>
      </c>
      <c r="S1004" s="2" t="s">
        <v>4881</v>
      </c>
      <c r="T1004" s="2" t="s">
        <v>4134</v>
      </c>
      <c r="U1004" s="2" t="s">
        <v>835</v>
      </c>
      <c r="V1004" s="2" t="s">
        <v>4046</v>
      </c>
      <c r="W1004" s="2" t="s">
        <v>273</v>
      </c>
      <c r="X1004" s="2" t="s">
        <v>792</v>
      </c>
      <c r="Y1004" s="2" t="s">
        <v>4833</v>
      </c>
      <c r="Z1004" s="4"/>
      <c r="AA1004" s="4">
        <f>=ROUNDDOWN({0},0)</f>
      </c>
      <c r="AB1004" s="5">
        <v>28</v>
      </c>
      <c r="AC1004" s="2" t="s">
        <v>4135</v>
      </c>
      <c r="AD1004" s="4">
        <v>283</v>
      </c>
      <c r="AE1004" s="4">
        <v>1091</v>
      </c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231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231</v>
      </c>
      <c r="AW1004" s="8" t="s">
        <v>231</v>
      </c>
      <c r="AX1004" s="4" t="s">
        <v>231</v>
      </c>
      <c r="AY1004" s="8" t="s">
        <v>231</v>
      </c>
      <c r="AZ1004" s="7" t="s">
        <v>231</v>
      </c>
      <c r="BA1004" s="7" t="s">
        <v>231</v>
      </c>
      <c r="BB1004" s="7"/>
      <c r="BC1004" s="4" t="s">
        <v>231</v>
      </c>
      <c r="BD1004" s="8" t="s">
        <v>231</v>
      </c>
      <c r="BE1004" s="4" t="s">
        <v>231</v>
      </c>
      <c r="BF1004" s="8" t="s">
        <v>231</v>
      </c>
      <c r="BG1004" s="7" t="s">
        <v>231</v>
      </c>
      <c r="BH1004" s="7" t="s">
        <v>231</v>
      </c>
      <c r="BI1004" s="7"/>
      <c r="BJ1004" s="4"/>
      <c r="BK1004" s="8"/>
      <c r="BL1004" s="2" t="s">
        <v>231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4882</v>
      </c>
      <c r="BV1004" s="2" t="s">
        <v>231</v>
      </c>
      <c r="BW1004" s="2" t="s">
        <v>231</v>
      </c>
      <c r="BX1004" s="2" t="s">
        <v>231</v>
      </c>
      <c r="BY1004" s="2" t="s">
        <v>277</v>
      </c>
      <c r="BZ1004" s="2" t="s">
        <v>243</v>
      </c>
      <c r="CA1004" s="2" t="s">
        <v>4835</v>
      </c>
      <c r="CB1004" s="2" t="s">
        <v>4836</v>
      </c>
      <c r="CC1004" s="2" t="s">
        <v>244</v>
      </c>
      <c r="CD1004" s="2" t="s">
        <v>231</v>
      </c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>
        <v>283</v>
      </c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>
        <v>576</v>
      </c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>
        <v>232</v>
      </c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</row>
    <row r="1005">
      <c r="A1005" s="2" t="s">
        <v>4883</v>
      </c>
      <c r="B1005" s="2" t="s">
        <v>287</v>
      </c>
      <c r="C1005" s="2" t="s">
        <v>825</v>
      </c>
      <c r="D1005" s="2" t="s">
        <v>289</v>
      </c>
      <c r="E1005" s="2" t="s">
        <v>290</v>
      </c>
      <c r="F1005" s="2" t="s">
        <v>4816</v>
      </c>
      <c r="G1005" s="2" t="s">
        <v>4816</v>
      </c>
      <c r="H1005" s="2" t="s">
        <v>4816</v>
      </c>
      <c r="I1005" s="2" t="s">
        <v>4817</v>
      </c>
      <c r="J1005" s="2" t="s">
        <v>268</v>
      </c>
      <c r="K1005" s="2" t="s">
        <v>4880</v>
      </c>
      <c r="L1005" s="3">
        <v>15.22</v>
      </c>
      <c r="M1005" s="3">
        <v>15.98</v>
      </c>
      <c r="N1005" s="3">
        <v>32.99</v>
      </c>
      <c r="O1005" s="2" t="s">
        <v>243</v>
      </c>
      <c r="P1005" s="2" t="s">
        <v>270</v>
      </c>
      <c r="Q1005" s="2" t="s">
        <v>237</v>
      </c>
      <c r="R1005" s="2" t="s">
        <v>231</v>
      </c>
      <c r="S1005" s="2" t="s">
        <v>4881</v>
      </c>
      <c r="T1005" s="2" t="s">
        <v>4134</v>
      </c>
      <c r="U1005" s="2" t="s">
        <v>835</v>
      </c>
      <c r="V1005" s="2" t="s">
        <v>4046</v>
      </c>
      <c r="W1005" s="2" t="s">
        <v>273</v>
      </c>
      <c r="X1005" s="2" t="s">
        <v>792</v>
      </c>
      <c r="Y1005" s="2" t="s">
        <v>4833</v>
      </c>
      <c r="Z1005" s="4">
        <v>3</v>
      </c>
      <c r="AA1005" s="4">
        <f>=ROUNDDOWN(0.230769230769231,0)</f>
      </c>
      <c r="AB1005" s="5">
        <v>13</v>
      </c>
      <c r="AC1005" s="2" t="s">
        <v>4135</v>
      </c>
      <c r="AD1005" s="4">
        <v>135</v>
      </c>
      <c r="AE1005" s="4">
        <v>498</v>
      </c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231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231</v>
      </c>
      <c r="AW1005" s="8" t="s">
        <v>231</v>
      </c>
      <c r="AX1005" s="4" t="s">
        <v>231</v>
      </c>
      <c r="AY1005" s="8" t="s">
        <v>231</v>
      </c>
      <c r="AZ1005" s="7" t="s">
        <v>231</v>
      </c>
      <c r="BA1005" s="7" t="s">
        <v>231</v>
      </c>
      <c r="BB1005" s="7"/>
      <c r="BC1005" s="4" t="s">
        <v>231</v>
      </c>
      <c r="BD1005" s="8" t="s">
        <v>231</v>
      </c>
      <c r="BE1005" s="4" t="s">
        <v>231</v>
      </c>
      <c r="BF1005" s="8" t="s">
        <v>231</v>
      </c>
      <c r="BG1005" s="7" t="s">
        <v>231</v>
      </c>
      <c r="BH1005" s="7" t="s">
        <v>231</v>
      </c>
      <c r="BI1005" s="7"/>
      <c r="BJ1005" s="4"/>
      <c r="BK1005" s="8"/>
      <c r="BL1005" s="2" t="s">
        <v>231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4884</v>
      </c>
      <c r="BV1005" s="2" t="s">
        <v>231</v>
      </c>
      <c r="BW1005" s="2" t="s">
        <v>231</v>
      </c>
      <c r="BX1005" s="2" t="s">
        <v>231</v>
      </c>
      <c r="BY1005" s="2" t="s">
        <v>277</v>
      </c>
      <c r="BZ1005" s="2" t="s">
        <v>243</v>
      </c>
      <c r="CA1005" s="2" t="s">
        <v>4835</v>
      </c>
      <c r="CB1005" s="2" t="s">
        <v>4885</v>
      </c>
      <c r="CC1005" s="2" t="s">
        <v>244</v>
      </c>
      <c r="CD1005" s="2" t="s">
        <v>231</v>
      </c>
      <c r="CE1005" s="4">
        <v>3</v>
      </c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>
        <v>135</v>
      </c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>
        <v>248</v>
      </c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>
        <v>115</v>
      </c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</row>
    <row r="1006">
      <c r="A1006" s="2" t="s">
        <v>4886</v>
      </c>
      <c r="B1006" s="2" t="s">
        <v>287</v>
      </c>
      <c r="C1006" s="2" t="s">
        <v>825</v>
      </c>
      <c r="D1006" s="2" t="s">
        <v>289</v>
      </c>
      <c r="E1006" s="2" t="s">
        <v>290</v>
      </c>
      <c r="F1006" s="2" t="s">
        <v>4816</v>
      </c>
      <c r="G1006" s="2" t="s">
        <v>4816</v>
      </c>
      <c r="H1006" s="2" t="s">
        <v>4816</v>
      </c>
      <c r="I1006" s="2" t="s">
        <v>4817</v>
      </c>
      <c r="J1006" s="2" t="s">
        <v>281</v>
      </c>
      <c r="K1006" s="2" t="s">
        <v>4880</v>
      </c>
      <c r="L1006" s="3">
        <v>19.13</v>
      </c>
      <c r="M1006" s="3">
        <v>20.09</v>
      </c>
      <c r="N1006" s="3">
        <v>42.99</v>
      </c>
      <c r="O1006" s="2" t="s">
        <v>243</v>
      </c>
      <c r="P1006" s="2" t="s">
        <v>871</v>
      </c>
      <c r="Q1006" s="2" t="s">
        <v>237</v>
      </c>
      <c r="R1006" s="2" t="s">
        <v>231</v>
      </c>
      <c r="S1006" s="2" t="s">
        <v>4881</v>
      </c>
      <c r="T1006" s="2" t="s">
        <v>4134</v>
      </c>
      <c r="U1006" s="2" t="s">
        <v>298</v>
      </c>
      <c r="V1006" s="2" t="s">
        <v>4046</v>
      </c>
      <c r="W1006" s="2" t="s">
        <v>273</v>
      </c>
      <c r="X1006" s="2" t="s">
        <v>792</v>
      </c>
      <c r="Y1006" s="2" t="s">
        <v>4833</v>
      </c>
      <c r="Z1006" s="4">
        <v>1</v>
      </c>
      <c r="AA1006" s="4">
        <f>=ROUNDDOWN(0.0434782608695652,0)</f>
      </c>
      <c r="AB1006" s="5">
        <v>23</v>
      </c>
      <c r="AC1006" s="2" t="s">
        <v>4135</v>
      </c>
      <c r="AD1006" s="4">
        <v>228</v>
      </c>
      <c r="AE1006" s="4">
        <v>849</v>
      </c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231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231</v>
      </c>
      <c r="AW1006" s="8" t="s">
        <v>231</v>
      </c>
      <c r="AX1006" s="4" t="s">
        <v>231</v>
      </c>
      <c r="AY1006" s="8" t="s">
        <v>231</v>
      </c>
      <c r="AZ1006" s="7" t="s">
        <v>231</v>
      </c>
      <c r="BA1006" s="7" t="s">
        <v>231</v>
      </c>
      <c r="BB1006" s="7"/>
      <c r="BC1006" s="4" t="s">
        <v>231</v>
      </c>
      <c r="BD1006" s="8" t="s">
        <v>231</v>
      </c>
      <c r="BE1006" s="4" t="s">
        <v>231</v>
      </c>
      <c r="BF1006" s="8" t="s">
        <v>231</v>
      </c>
      <c r="BG1006" s="7" t="s">
        <v>231</v>
      </c>
      <c r="BH1006" s="7" t="s">
        <v>231</v>
      </c>
      <c r="BI1006" s="7"/>
      <c r="BJ1006" s="4"/>
      <c r="BK1006" s="8"/>
      <c r="BL1006" s="2" t="s">
        <v>231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4887</v>
      </c>
      <c r="BV1006" s="2" t="s">
        <v>231</v>
      </c>
      <c r="BW1006" s="2" t="s">
        <v>231</v>
      </c>
      <c r="BX1006" s="2" t="s">
        <v>231</v>
      </c>
      <c r="BY1006" s="2" t="s">
        <v>277</v>
      </c>
      <c r="BZ1006" s="2" t="s">
        <v>243</v>
      </c>
      <c r="CA1006" s="2" t="s">
        <v>4835</v>
      </c>
      <c r="CB1006" s="2" t="s">
        <v>3579</v>
      </c>
      <c r="CC1006" s="2" t="s">
        <v>244</v>
      </c>
      <c r="CD1006" s="2" t="s">
        <v>231</v>
      </c>
      <c r="CE1006" s="4">
        <v>1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>
        <v>228</v>
      </c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>
        <v>430</v>
      </c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>
        <v>191</v>
      </c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</row>
    <row r="1007">
      <c r="A1007" s="2" t="s">
        <v>4888</v>
      </c>
      <c r="B1007" s="2" t="s">
        <v>287</v>
      </c>
      <c r="C1007" s="2" t="s">
        <v>825</v>
      </c>
      <c r="D1007" s="2" t="s">
        <v>289</v>
      </c>
      <c r="E1007" s="2" t="s">
        <v>290</v>
      </c>
      <c r="F1007" s="2" t="s">
        <v>4816</v>
      </c>
      <c r="G1007" s="2" t="s">
        <v>4816</v>
      </c>
      <c r="H1007" s="2" t="s">
        <v>4816</v>
      </c>
      <c r="I1007" s="2" t="s">
        <v>4817</v>
      </c>
      <c r="J1007" s="2" t="s">
        <v>293</v>
      </c>
      <c r="K1007" s="2" t="s">
        <v>4880</v>
      </c>
      <c r="L1007" s="3">
        <v>21.27</v>
      </c>
      <c r="M1007" s="3">
        <v>22.33</v>
      </c>
      <c r="N1007" s="3">
        <v>47.99</v>
      </c>
      <c r="O1007" s="2" t="s">
        <v>243</v>
      </c>
      <c r="P1007" s="2" t="s">
        <v>1281</v>
      </c>
      <c r="Q1007" s="2" t="s">
        <v>237</v>
      </c>
      <c r="R1007" s="2" t="s">
        <v>231</v>
      </c>
      <c r="S1007" s="2" t="s">
        <v>4881</v>
      </c>
      <c r="T1007" s="2" t="s">
        <v>4134</v>
      </c>
      <c r="U1007" s="2" t="s">
        <v>298</v>
      </c>
      <c r="V1007" s="2" t="s">
        <v>4046</v>
      </c>
      <c r="W1007" s="2" t="s">
        <v>273</v>
      </c>
      <c r="X1007" s="2" t="s">
        <v>792</v>
      </c>
      <c r="Y1007" s="2" t="s">
        <v>4833</v>
      </c>
      <c r="Z1007" s="4">
        <v>2</v>
      </c>
      <c r="AA1007" s="4">
        <f>=ROUNDDOWN(0.08,0)</f>
      </c>
      <c r="AB1007" s="5">
        <v>25</v>
      </c>
      <c r="AC1007" s="2" t="s">
        <v>4135</v>
      </c>
      <c r="AD1007" s="4">
        <v>253</v>
      </c>
      <c r="AE1007" s="4">
        <v>921</v>
      </c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231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231</v>
      </c>
      <c r="AW1007" s="8" t="s">
        <v>231</v>
      </c>
      <c r="AX1007" s="4" t="s">
        <v>231</v>
      </c>
      <c r="AY1007" s="8" t="s">
        <v>231</v>
      </c>
      <c r="AZ1007" s="7" t="s">
        <v>231</v>
      </c>
      <c r="BA1007" s="7" t="s">
        <v>231</v>
      </c>
      <c r="BB1007" s="7"/>
      <c r="BC1007" s="4" t="s">
        <v>231</v>
      </c>
      <c r="BD1007" s="8" t="s">
        <v>231</v>
      </c>
      <c r="BE1007" s="4" t="s">
        <v>231</v>
      </c>
      <c r="BF1007" s="8" t="s">
        <v>231</v>
      </c>
      <c r="BG1007" s="7" t="s">
        <v>231</v>
      </c>
      <c r="BH1007" s="7" t="s">
        <v>231</v>
      </c>
      <c r="BI1007" s="7"/>
      <c r="BJ1007" s="4"/>
      <c r="BK1007" s="8"/>
      <c r="BL1007" s="2" t="s">
        <v>231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4889</v>
      </c>
      <c r="BV1007" s="2" t="s">
        <v>231</v>
      </c>
      <c r="BW1007" s="2" t="s">
        <v>231</v>
      </c>
      <c r="BX1007" s="2" t="s">
        <v>231</v>
      </c>
      <c r="BY1007" s="2" t="s">
        <v>277</v>
      </c>
      <c r="BZ1007" s="2" t="s">
        <v>243</v>
      </c>
      <c r="CA1007" s="2" t="s">
        <v>4835</v>
      </c>
      <c r="CB1007" s="2" t="s">
        <v>4890</v>
      </c>
      <c r="CC1007" s="2" t="s">
        <v>244</v>
      </c>
      <c r="CD1007" s="2" t="s">
        <v>231</v>
      </c>
      <c r="CE1007" s="4">
        <v>2</v>
      </c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>
        <v>253</v>
      </c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>
        <v>451</v>
      </c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>
        <v>217</v>
      </c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</row>
    <row r="1008">
      <c r="A1008" s="2" t="s">
        <v>4891</v>
      </c>
      <c r="B1008" s="2" t="s">
        <v>287</v>
      </c>
      <c r="C1008" s="2" t="s">
        <v>825</v>
      </c>
      <c r="D1008" s="2" t="s">
        <v>289</v>
      </c>
      <c r="E1008" s="2" t="s">
        <v>290</v>
      </c>
      <c r="F1008" s="2" t="s">
        <v>4816</v>
      </c>
      <c r="G1008" s="2" t="s">
        <v>4816</v>
      </c>
      <c r="H1008" s="2" t="s">
        <v>4816</v>
      </c>
      <c r="I1008" s="2" t="s">
        <v>4817</v>
      </c>
      <c r="J1008" s="2" t="s">
        <v>318</v>
      </c>
      <c r="K1008" s="2" t="s">
        <v>4892</v>
      </c>
      <c r="L1008" s="3">
        <v>14.89</v>
      </c>
      <c r="M1008" s="3">
        <v>15.63</v>
      </c>
      <c r="N1008" s="3">
        <v>31.99</v>
      </c>
      <c r="O1008" s="2" t="s">
        <v>243</v>
      </c>
      <c r="P1008" s="2" t="s">
        <v>1281</v>
      </c>
      <c r="Q1008" s="2" t="s">
        <v>237</v>
      </c>
      <c r="R1008" s="2" t="s">
        <v>231</v>
      </c>
      <c r="S1008" s="2" t="s">
        <v>4893</v>
      </c>
      <c r="T1008" s="2" t="s">
        <v>4134</v>
      </c>
      <c r="U1008" s="2" t="s">
        <v>835</v>
      </c>
      <c r="V1008" s="2" t="s">
        <v>4046</v>
      </c>
      <c r="W1008" s="2" t="s">
        <v>273</v>
      </c>
      <c r="X1008" s="2" t="s">
        <v>792</v>
      </c>
      <c r="Y1008" s="2" t="s">
        <v>4833</v>
      </c>
      <c r="Z1008" s="4"/>
      <c r="AA1008" s="4">
        <f>=ROUNDDOWN({0},0)</f>
      </c>
      <c r="AB1008" s="5">
        <v>21</v>
      </c>
      <c r="AC1008" s="2" t="s">
        <v>4135</v>
      </c>
      <c r="AD1008" s="4">
        <v>205</v>
      </c>
      <c r="AE1008" s="4">
        <v>783</v>
      </c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231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231</v>
      </c>
      <c r="AW1008" s="8" t="s">
        <v>231</v>
      </c>
      <c r="AX1008" s="4" t="s">
        <v>231</v>
      </c>
      <c r="AY1008" s="8" t="s">
        <v>231</v>
      </c>
      <c r="AZ1008" s="7" t="s">
        <v>231</v>
      </c>
      <c r="BA1008" s="7" t="s">
        <v>231</v>
      </c>
      <c r="BB1008" s="7"/>
      <c r="BC1008" s="4" t="s">
        <v>231</v>
      </c>
      <c r="BD1008" s="8" t="s">
        <v>231</v>
      </c>
      <c r="BE1008" s="4" t="s">
        <v>231</v>
      </c>
      <c r="BF1008" s="8" t="s">
        <v>231</v>
      </c>
      <c r="BG1008" s="7" t="s">
        <v>231</v>
      </c>
      <c r="BH1008" s="7" t="s">
        <v>231</v>
      </c>
      <c r="BI1008" s="7"/>
      <c r="BJ1008" s="4"/>
      <c r="BK1008" s="8"/>
      <c r="BL1008" s="2" t="s">
        <v>231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4894</v>
      </c>
      <c r="BV1008" s="2" t="s">
        <v>231</v>
      </c>
      <c r="BW1008" s="2" t="s">
        <v>231</v>
      </c>
      <c r="BX1008" s="2" t="s">
        <v>231</v>
      </c>
      <c r="BY1008" s="2" t="s">
        <v>277</v>
      </c>
      <c r="BZ1008" s="2" t="s">
        <v>243</v>
      </c>
      <c r="CA1008" s="2" t="s">
        <v>4835</v>
      </c>
      <c r="CB1008" s="2" t="s">
        <v>4895</v>
      </c>
      <c r="CC1008" s="2" t="s">
        <v>244</v>
      </c>
      <c r="CD1008" s="2" t="s">
        <v>231</v>
      </c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>
        <v>205</v>
      </c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>
        <v>409</v>
      </c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>
        <v>169</v>
      </c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</row>
    <row r="1009">
      <c r="A1009" s="2" t="s">
        <v>4896</v>
      </c>
      <c r="B1009" s="2" t="s">
        <v>287</v>
      </c>
      <c r="C1009" s="2" t="s">
        <v>825</v>
      </c>
      <c r="D1009" s="2" t="s">
        <v>289</v>
      </c>
      <c r="E1009" s="2" t="s">
        <v>290</v>
      </c>
      <c r="F1009" s="2" t="s">
        <v>4816</v>
      </c>
      <c r="G1009" s="2" t="s">
        <v>4816</v>
      </c>
      <c r="H1009" s="2" t="s">
        <v>4816</v>
      </c>
      <c r="I1009" s="2" t="s">
        <v>4817</v>
      </c>
      <c r="J1009" s="2" t="s">
        <v>268</v>
      </c>
      <c r="K1009" s="2" t="s">
        <v>4892</v>
      </c>
      <c r="L1009" s="3">
        <v>15.22</v>
      </c>
      <c r="M1009" s="3">
        <v>15.98</v>
      </c>
      <c r="N1009" s="3">
        <v>32.99</v>
      </c>
      <c r="O1009" s="2" t="s">
        <v>243</v>
      </c>
      <c r="P1009" s="2" t="s">
        <v>270</v>
      </c>
      <c r="Q1009" s="2" t="s">
        <v>237</v>
      </c>
      <c r="R1009" s="2" t="s">
        <v>231</v>
      </c>
      <c r="S1009" s="2" t="s">
        <v>4893</v>
      </c>
      <c r="T1009" s="2" t="s">
        <v>4134</v>
      </c>
      <c r="U1009" s="2" t="s">
        <v>835</v>
      </c>
      <c r="V1009" s="2" t="s">
        <v>4046</v>
      </c>
      <c r="W1009" s="2" t="s">
        <v>273</v>
      </c>
      <c r="X1009" s="2" t="s">
        <v>792</v>
      </c>
      <c r="Y1009" s="2" t="s">
        <v>4833</v>
      </c>
      <c r="Z1009" s="4">
        <v>2</v>
      </c>
      <c r="AA1009" s="4">
        <f>=ROUNDDOWN(0.181818181818182,0)</f>
      </c>
      <c r="AB1009" s="5">
        <v>11</v>
      </c>
      <c r="AC1009" s="2" t="s">
        <v>4135</v>
      </c>
      <c r="AD1009" s="4">
        <v>115</v>
      </c>
      <c r="AE1009" s="4">
        <v>445</v>
      </c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231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231</v>
      </c>
      <c r="AW1009" s="8" t="s">
        <v>231</v>
      </c>
      <c r="AX1009" s="4" t="s">
        <v>231</v>
      </c>
      <c r="AY1009" s="8" t="s">
        <v>231</v>
      </c>
      <c r="AZ1009" s="7" t="s">
        <v>231</v>
      </c>
      <c r="BA1009" s="7" t="s">
        <v>231</v>
      </c>
      <c r="BB1009" s="7"/>
      <c r="BC1009" s="4" t="s">
        <v>231</v>
      </c>
      <c r="BD1009" s="8" t="s">
        <v>231</v>
      </c>
      <c r="BE1009" s="4" t="s">
        <v>231</v>
      </c>
      <c r="BF1009" s="8" t="s">
        <v>231</v>
      </c>
      <c r="BG1009" s="7" t="s">
        <v>231</v>
      </c>
      <c r="BH1009" s="7" t="s">
        <v>231</v>
      </c>
      <c r="BI1009" s="7"/>
      <c r="BJ1009" s="4"/>
      <c r="BK1009" s="8"/>
      <c r="BL1009" s="2" t="s">
        <v>231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4897</v>
      </c>
      <c r="BV1009" s="2" t="s">
        <v>231</v>
      </c>
      <c r="BW1009" s="2" t="s">
        <v>231</v>
      </c>
      <c r="BX1009" s="2" t="s">
        <v>231</v>
      </c>
      <c r="BY1009" s="2" t="s">
        <v>277</v>
      </c>
      <c r="BZ1009" s="2" t="s">
        <v>243</v>
      </c>
      <c r="CA1009" s="2" t="s">
        <v>4835</v>
      </c>
      <c r="CB1009" s="2" t="s">
        <v>4898</v>
      </c>
      <c r="CC1009" s="2" t="s">
        <v>244</v>
      </c>
      <c r="CD1009" s="2" t="s">
        <v>231</v>
      </c>
      <c r="CE1009" s="4">
        <v>2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>
        <v>115</v>
      </c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>
        <v>236</v>
      </c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>
        <v>94</v>
      </c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</row>
    <row r="1010">
      <c r="A1010" s="2" t="s">
        <v>4899</v>
      </c>
      <c r="B1010" s="2" t="s">
        <v>287</v>
      </c>
      <c r="C1010" s="2" t="s">
        <v>825</v>
      </c>
      <c r="D1010" s="2" t="s">
        <v>289</v>
      </c>
      <c r="E1010" s="2" t="s">
        <v>290</v>
      </c>
      <c r="F1010" s="2" t="s">
        <v>4816</v>
      </c>
      <c r="G1010" s="2" t="s">
        <v>4816</v>
      </c>
      <c r="H1010" s="2" t="s">
        <v>4816</v>
      </c>
      <c r="I1010" s="2" t="s">
        <v>4817</v>
      </c>
      <c r="J1010" s="2" t="s">
        <v>281</v>
      </c>
      <c r="K1010" s="2" t="s">
        <v>4892</v>
      </c>
      <c r="L1010" s="3">
        <v>19.13</v>
      </c>
      <c r="M1010" s="3">
        <v>20.09</v>
      </c>
      <c r="N1010" s="3">
        <v>42.99</v>
      </c>
      <c r="O1010" s="2" t="s">
        <v>243</v>
      </c>
      <c r="P1010" s="2" t="s">
        <v>270</v>
      </c>
      <c r="Q1010" s="2" t="s">
        <v>237</v>
      </c>
      <c r="R1010" s="2" t="s">
        <v>231</v>
      </c>
      <c r="S1010" s="2" t="s">
        <v>4893</v>
      </c>
      <c r="T1010" s="2" t="s">
        <v>4134</v>
      </c>
      <c r="U1010" s="2" t="s">
        <v>298</v>
      </c>
      <c r="V1010" s="2" t="s">
        <v>4046</v>
      </c>
      <c r="W1010" s="2" t="s">
        <v>273</v>
      </c>
      <c r="X1010" s="2" t="s">
        <v>792</v>
      </c>
      <c r="Y1010" s="2" t="s">
        <v>4833</v>
      </c>
      <c r="Z1010" s="4">
        <v>3</v>
      </c>
      <c r="AA1010" s="4">
        <f>=ROUNDDOWN(0.25,0)</f>
      </c>
      <c r="AB1010" s="5">
        <v>12</v>
      </c>
      <c r="AC1010" s="2" t="s">
        <v>4135</v>
      </c>
      <c r="AD1010" s="4">
        <v>128</v>
      </c>
      <c r="AE1010" s="4">
        <v>485</v>
      </c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231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231</v>
      </c>
      <c r="AW1010" s="8" t="s">
        <v>231</v>
      </c>
      <c r="AX1010" s="4" t="s">
        <v>231</v>
      </c>
      <c r="AY1010" s="8" t="s">
        <v>231</v>
      </c>
      <c r="AZ1010" s="7" t="s">
        <v>231</v>
      </c>
      <c r="BA1010" s="7" t="s">
        <v>231</v>
      </c>
      <c r="BB1010" s="7"/>
      <c r="BC1010" s="4" t="s">
        <v>231</v>
      </c>
      <c r="BD1010" s="8" t="s">
        <v>231</v>
      </c>
      <c r="BE1010" s="4" t="s">
        <v>231</v>
      </c>
      <c r="BF1010" s="8" t="s">
        <v>231</v>
      </c>
      <c r="BG1010" s="7" t="s">
        <v>231</v>
      </c>
      <c r="BH1010" s="7" t="s">
        <v>231</v>
      </c>
      <c r="BI1010" s="7"/>
      <c r="BJ1010" s="4"/>
      <c r="BK1010" s="8"/>
      <c r="BL1010" s="2" t="s">
        <v>1306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4900</v>
      </c>
      <c r="BV1010" s="2" t="s">
        <v>231</v>
      </c>
      <c r="BW1010" s="2" t="s">
        <v>231</v>
      </c>
      <c r="BX1010" s="2" t="s">
        <v>231</v>
      </c>
      <c r="BY1010" s="2" t="s">
        <v>277</v>
      </c>
      <c r="BZ1010" s="2" t="s">
        <v>243</v>
      </c>
      <c r="CA1010" s="2" t="s">
        <v>4835</v>
      </c>
      <c r="CB1010" s="2" t="s">
        <v>2420</v>
      </c>
      <c r="CC1010" s="2" t="s">
        <v>244</v>
      </c>
      <c r="CD1010" s="2" t="s">
        <v>231</v>
      </c>
      <c r="CE1010" s="4">
        <v>3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>
        <v>128</v>
      </c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>
        <v>250</v>
      </c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>
        <v>107</v>
      </c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</row>
    <row r="1011">
      <c r="A1011" s="2" t="s">
        <v>4901</v>
      </c>
      <c r="B1011" s="2" t="s">
        <v>287</v>
      </c>
      <c r="C1011" s="2" t="s">
        <v>825</v>
      </c>
      <c r="D1011" s="2" t="s">
        <v>289</v>
      </c>
      <c r="E1011" s="2" t="s">
        <v>290</v>
      </c>
      <c r="F1011" s="2" t="s">
        <v>4816</v>
      </c>
      <c r="G1011" s="2" t="s">
        <v>4816</v>
      </c>
      <c r="H1011" s="2" t="s">
        <v>4816</v>
      </c>
      <c r="I1011" s="2" t="s">
        <v>4817</v>
      </c>
      <c r="J1011" s="2" t="s">
        <v>293</v>
      </c>
      <c r="K1011" s="2" t="s">
        <v>4892</v>
      </c>
      <c r="L1011" s="3">
        <v>21.27</v>
      </c>
      <c r="M1011" s="3">
        <v>22.33</v>
      </c>
      <c r="N1011" s="3">
        <v>47.99</v>
      </c>
      <c r="O1011" s="2" t="s">
        <v>243</v>
      </c>
      <c r="P1011" s="2" t="s">
        <v>270</v>
      </c>
      <c r="Q1011" s="2" t="s">
        <v>237</v>
      </c>
      <c r="R1011" s="2" t="s">
        <v>231</v>
      </c>
      <c r="S1011" s="2" t="s">
        <v>4893</v>
      </c>
      <c r="T1011" s="2" t="s">
        <v>4134</v>
      </c>
      <c r="U1011" s="2" t="s">
        <v>298</v>
      </c>
      <c r="V1011" s="2" t="s">
        <v>4046</v>
      </c>
      <c r="W1011" s="2" t="s">
        <v>273</v>
      </c>
      <c r="X1011" s="2" t="s">
        <v>792</v>
      </c>
      <c r="Y1011" s="2" t="s">
        <v>4833</v>
      </c>
      <c r="Z1011" s="4"/>
      <c r="AA1011" s="4">
        <f>=ROUNDDOWN({0},0)</f>
      </c>
      <c r="AB1011" s="5">
        <v>11</v>
      </c>
      <c r="AC1011" s="2" t="s">
        <v>4135</v>
      </c>
      <c r="AD1011" s="4">
        <v>117</v>
      </c>
      <c r="AE1011" s="4">
        <v>449</v>
      </c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231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231</v>
      </c>
      <c r="AW1011" s="8" t="s">
        <v>231</v>
      </c>
      <c r="AX1011" s="4" t="s">
        <v>231</v>
      </c>
      <c r="AY1011" s="8" t="s">
        <v>231</v>
      </c>
      <c r="AZ1011" s="7" t="s">
        <v>231</v>
      </c>
      <c r="BA1011" s="7" t="s">
        <v>231</v>
      </c>
      <c r="BB1011" s="7"/>
      <c r="BC1011" s="4" t="s">
        <v>231</v>
      </c>
      <c r="BD1011" s="8" t="s">
        <v>231</v>
      </c>
      <c r="BE1011" s="4" t="s">
        <v>231</v>
      </c>
      <c r="BF1011" s="8" t="s">
        <v>231</v>
      </c>
      <c r="BG1011" s="7" t="s">
        <v>231</v>
      </c>
      <c r="BH1011" s="7" t="s">
        <v>231</v>
      </c>
      <c r="BI1011" s="7"/>
      <c r="BJ1011" s="4"/>
      <c r="BK1011" s="8"/>
      <c r="BL1011" s="2" t="s">
        <v>4902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4903</v>
      </c>
      <c r="BV1011" s="2" t="s">
        <v>231</v>
      </c>
      <c r="BW1011" s="2" t="s">
        <v>231</v>
      </c>
      <c r="BX1011" s="2" t="s">
        <v>231</v>
      </c>
      <c r="BY1011" s="2" t="s">
        <v>277</v>
      </c>
      <c r="BZ1011" s="2" t="s">
        <v>243</v>
      </c>
      <c r="CA1011" s="2" t="s">
        <v>4835</v>
      </c>
      <c r="CB1011" s="2" t="s">
        <v>4306</v>
      </c>
      <c r="CC1011" s="2" t="s">
        <v>244</v>
      </c>
      <c r="CD1011" s="2" t="s">
        <v>231</v>
      </c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>
        <v>117</v>
      </c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>
        <v>236</v>
      </c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>
        <v>96</v>
      </c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</row>
    <row r="1012">
      <c r="A1012" s="2" t="s">
        <v>4904</v>
      </c>
      <c r="B1012" s="2" t="s">
        <v>287</v>
      </c>
      <c r="C1012" s="2" t="s">
        <v>825</v>
      </c>
      <c r="D1012" s="2" t="s">
        <v>289</v>
      </c>
      <c r="E1012" s="2" t="s">
        <v>290</v>
      </c>
      <c r="F1012" s="2" t="s">
        <v>4816</v>
      </c>
      <c r="G1012" s="2" t="s">
        <v>4816</v>
      </c>
      <c r="H1012" s="2" t="s">
        <v>4816</v>
      </c>
      <c r="I1012" s="2" t="s">
        <v>4817</v>
      </c>
      <c r="J1012" s="2" t="s">
        <v>318</v>
      </c>
      <c r="K1012" s="2" t="s">
        <v>4905</v>
      </c>
      <c r="L1012" s="3">
        <v>14.89</v>
      </c>
      <c r="M1012" s="3">
        <v>15.63</v>
      </c>
      <c r="N1012" s="3">
        <v>31.99</v>
      </c>
      <c r="O1012" s="2" t="s">
        <v>243</v>
      </c>
      <c r="P1012" s="2" t="s">
        <v>270</v>
      </c>
      <c r="Q1012" s="2" t="s">
        <v>237</v>
      </c>
      <c r="R1012" s="2" t="s">
        <v>231</v>
      </c>
      <c r="S1012" s="2" t="s">
        <v>4906</v>
      </c>
      <c r="T1012" s="2" t="s">
        <v>4134</v>
      </c>
      <c r="U1012" s="2" t="s">
        <v>835</v>
      </c>
      <c r="V1012" s="2" t="s">
        <v>4046</v>
      </c>
      <c r="W1012" s="2" t="s">
        <v>273</v>
      </c>
      <c r="X1012" s="2" t="s">
        <v>792</v>
      </c>
      <c r="Y1012" s="2" t="s">
        <v>4833</v>
      </c>
      <c r="Z1012" s="4">
        <v>209</v>
      </c>
      <c r="AA1012" s="4">
        <f>=ROUNDDOWN(12.2941176470588,0)</f>
      </c>
      <c r="AB1012" s="5">
        <v>17</v>
      </c>
      <c r="AC1012" s="2" t="s">
        <v>4135</v>
      </c>
      <c r="AD1012" s="4">
        <v>111</v>
      </c>
      <c r="AE1012" s="4">
        <v>618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231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231</v>
      </c>
      <c r="AW1012" s="8" t="s">
        <v>231</v>
      </c>
      <c r="AX1012" s="4" t="s">
        <v>231</v>
      </c>
      <c r="AY1012" s="8" t="s">
        <v>231</v>
      </c>
      <c r="AZ1012" s="7" t="s">
        <v>231</v>
      </c>
      <c r="BA1012" s="7" t="s">
        <v>231</v>
      </c>
      <c r="BB1012" s="7"/>
      <c r="BC1012" s="4" t="s">
        <v>231</v>
      </c>
      <c r="BD1012" s="8" t="s">
        <v>231</v>
      </c>
      <c r="BE1012" s="4" t="s">
        <v>231</v>
      </c>
      <c r="BF1012" s="8" t="s">
        <v>231</v>
      </c>
      <c r="BG1012" s="7" t="s">
        <v>231</v>
      </c>
      <c r="BH1012" s="7" t="s">
        <v>231</v>
      </c>
      <c r="BI1012" s="7"/>
      <c r="BJ1012" s="4">
        <v>6</v>
      </c>
      <c r="BK1012" s="8">
        <v>98.26</v>
      </c>
      <c r="BL1012" s="2" t="s">
        <v>3249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4907</v>
      </c>
      <c r="BV1012" s="2" t="s">
        <v>231</v>
      </c>
      <c r="BW1012" s="2" t="s">
        <v>231</v>
      </c>
      <c r="BX1012" s="2" t="s">
        <v>231</v>
      </c>
      <c r="BY1012" s="2" t="s">
        <v>277</v>
      </c>
      <c r="BZ1012" s="2" t="s">
        <v>243</v>
      </c>
      <c r="CA1012" s="2" t="s">
        <v>4835</v>
      </c>
      <c r="CB1012" s="2" t="s">
        <v>4908</v>
      </c>
      <c r="CC1012" s="2" t="s">
        <v>244</v>
      </c>
      <c r="CD1012" s="2" t="s">
        <v>231</v>
      </c>
      <c r="CE1012" s="4">
        <v>209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>
        <v>111</v>
      </c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>
        <v>368</v>
      </c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>
        <v>139</v>
      </c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</row>
    <row r="1013">
      <c r="A1013" s="2" t="s">
        <v>4909</v>
      </c>
      <c r="B1013" s="2" t="s">
        <v>287</v>
      </c>
      <c r="C1013" s="2" t="s">
        <v>825</v>
      </c>
      <c r="D1013" s="2" t="s">
        <v>289</v>
      </c>
      <c r="E1013" s="2" t="s">
        <v>290</v>
      </c>
      <c r="F1013" s="2" t="s">
        <v>4816</v>
      </c>
      <c r="G1013" s="2" t="s">
        <v>4816</v>
      </c>
      <c r="H1013" s="2" t="s">
        <v>4816</v>
      </c>
      <c r="I1013" s="2" t="s">
        <v>4817</v>
      </c>
      <c r="J1013" s="2" t="s">
        <v>281</v>
      </c>
      <c r="K1013" s="2" t="s">
        <v>4905</v>
      </c>
      <c r="L1013" s="3">
        <v>19.13</v>
      </c>
      <c r="M1013" s="3">
        <v>20.09</v>
      </c>
      <c r="N1013" s="3">
        <v>42.99</v>
      </c>
      <c r="O1013" s="2" t="s">
        <v>243</v>
      </c>
      <c r="P1013" s="2" t="s">
        <v>270</v>
      </c>
      <c r="Q1013" s="2" t="s">
        <v>237</v>
      </c>
      <c r="R1013" s="2" t="s">
        <v>231</v>
      </c>
      <c r="S1013" s="2" t="s">
        <v>4906</v>
      </c>
      <c r="T1013" s="2" t="s">
        <v>4134</v>
      </c>
      <c r="U1013" s="2" t="s">
        <v>298</v>
      </c>
      <c r="V1013" s="2" t="s">
        <v>4046</v>
      </c>
      <c r="W1013" s="2" t="s">
        <v>273</v>
      </c>
      <c r="X1013" s="2" t="s">
        <v>792</v>
      </c>
      <c r="Y1013" s="2" t="s">
        <v>4833</v>
      </c>
      <c r="Z1013" s="4"/>
      <c r="AA1013" s="4">
        <f>=ROUNDDOWN({0},0)</f>
      </c>
      <c r="AB1013" s="5">
        <v>12</v>
      </c>
      <c r="AC1013" s="2" t="s">
        <v>4135</v>
      </c>
      <c r="AD1013" s="4">
        <v>127</v>
      </c>
      <c r="AE1013" s="4">
        <v>496</v>
      </c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231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231</v>
      </c>
      <c r="AW1013" s="8" t="s">
        <v>231</v>
      </c>
      <c r="AX1013" s="4" t="s">
        <v>231</v>
      </c>
      <c r="AY1013" s="8" t="s">
        <v>231</v>
      </c>
      <c r="AZ1013" s="7" t="s">
        <v>231</v>
      </c>
      <c r="BA1013" s="7" t="s">
        <v>231</v>
      </c>
      <c r="BB1013" s="7"/>
      <c r="BC1013" s="4" t="s">
        <v>231</v>
      </c>
      <c r="BD1013" s="8" t="s">
        <v>231</v>
      </c>
      <c r="BE1013" s="4" t="s">
        <v>231</v>
      </c>
      <c r="BF1013" s="8" t="s">
        <v>231</v>
      </c>
      <c r="BG1013" s="7" t="s">
        <v>231</v>
      </c>
      <c r="BH1013" s="7" t="s">
        <v>231</v>
      </c>
      <c r="BI1013" s="7"/>
      <c r="BJ1013" s="4"/>
      <c r="BK1013" s="8"/>
      <c r="BL1013" s="2" t="s">
        <v>4910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4911</v>
      </c>
      <c r="BV1013" s="2" t="s">
        <v>231</v>
      </c>
      <c r="BW1013" s="2" t="s">
        <v>231</v>
      </c>
      <c r="BX1013" s="2" t="s">
        <v>231</v>
      </c>
      <c r="BY1013" s="2" t="s">
        <v>277</v>
      </c>
      <c r="BZ1013" s="2" t="s">
        <v>243</v>
      </c>
      <c r="CA1013" s="2" t="s">
        <v>4835</v>
      </c>
      <c r="CB1013" s="2" t="s">
        <v>4912</v>
      </c>
      <c r="CC1013" s="2" t="s">
        <v>244</v>
      </c>
      <c r="CD1013" s="2" t="s">
        <v>231</v>
      </c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>
        <v>127</v>
      </c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>
        <v>267</v>
      </c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>
        <v>102</v>
      </c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</row>
    <row r="1014">
      <c r="A1014" s="2" t="s">
        <v>4913</v>
      </c>
      <c r="B1014" s="2" t="s">
        <v>287</v>
      </c>
      <c r="C1014" s="2" t="s">
        <v>825</v>
      </c>
      <c r="D1014" s="2" t="s">
        <v>289</v>
      </c>
      <c r="E1014" s="2" t="s">
        <v>290</v>
      </c>
      <c r="F1014" s="2" t="s">
        <v>4816</v>
      </c>
      <c r="G1014" s="2" t="s">
        <v>4816</v>
      </c>
      <c r="H1014" s="2" t="s">
        <v>4816</v>
      </c>
      <c r="I1014" s="2" t="s">
        <v>4817</v>
      </c>
      <c r="J1014" s="2" t="s">
        <v>293</v>
      </c>
      <c r="K1014" s="2" t="s">
        <v>4905</v>
      </c>
      <c r="L1014" s="3">
        <v>21.27</v>
      </c>
      <c r="M1014" s="3">
        <v>22.33</v>
      </c>
      <c r="N1014" s="3">
        <v>47.99</v>
      </c>
      <c r="O1014" s="2" t="s">
        <v>243</v>
      </c>
      <c r="P1014" s="2" t="s">
        <v>270</v>
      </c>
      <c r="Q1014" s="2" t="s">
        <v>237</v>
      </c>
      <c r="R1014" s="2" t="s">
        <v>231</v>
      </c>
      <c r="S1014" s="2" t="s">
        <v>4906</v>
      </c>
      <c r="T1014" s="2" t="s">
        <v>4134</v>
      </c>
      <c r="U1014" s="2" t="s">
        <v>298</v>
      </c>
      <c r="V1014" s="2" t="s">
        <v>4046</v>
      </c>
      <c r="W1014" s="2" t="s">
        <v>273</v>
      </c>
      <c r="X1014" s="2" t="s">
        <v>792</v>
      </c>
      <c r="Y1014" s="2" t="s">
        <v>4833</v>
      </c>
      <c r="Z1014" s="4"/>
      <c r="AA1014" s="4">
        <f>=ROUNDDOWN({0},0)</f>
      </c>
      <c r="AB1014" s="5">
        <v>16</v>
      </c>
      <c r="AC1014" s="2" t="s">
        <v>4135</v>
      </c>
      <c r="AD1014" s="4">
        <v>164</v>
      </c>
      <c r="AE1014" s="4">
        <v>615</v>
      </c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231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231</v>
      </c>
      <c r="AW1014" s="8" t="s">
        <v>231</v>
      </c>
      <c r="AX1014" s="4" t="s">
        <v>231</v>
      </c>
      <c r="AY1014" s="8" t="s">
        <v>231</v>
      </c>
      <c r="AZ1014" s="7" t="s">
        <v>231</v>
      </c>
      <c r="BA1014" s="7" t="s">
        <v>231</v>
      </c>
      <c r="BB1014" s="7"/>
      <c r="BC1014" s="4" t="s">
        <v>231</v>
      </c>
      <c r="BD1014" s="8" t="s">
        <v>231</v>
      </c>
      <c r="BE1014" s="4" t="s">
        <v>231</v>
      </c>
      <c r="BF1014" s="8" t="s">
        <v>231</v>
      </c>
      <c r="BG1014" s="7" t="s">
        <v>231</v>
      </c>
      <c r="BH1014" s="7" t="s">
        <v>231</v>
      </c>
      <c r="BI1014" s="7"/>
      <c r="BJ1014" s="4"/>
      <c r="BK1014" s="8"/>
      <c r="BL1014" s="2" t="s">
        <v>4914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4915</v>
      </c>
      <c r="BV1014" s="2" t="s">
        <v>231</v>
      </c>
      <c r="BW1014" s="2" t="s">
        <v>231</v>
      </c>
      <c r="BX1014" s="2" t="s">
        <v>231</v>
      </c>
      <c r="BY1014" s="2" t="s">
        <v>277</v>
      </c>
      <c r="BZ1014" s="2" t="s">
        <v>243</v>
      </c>
      <c r="CA1014" s="2" t="s">
        <v>4835</v>
      </c>
      <c r="CB1014" s="2" t="s">
        <v>4916</v>
      </c>
      <c r="CC1014" s="2" t="s">
        <v>244</v>
      </c>
      <c r="CD1014" s="2" t="s">
        <v>231</v>
      </c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>
        <v>164</v>
      </c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>
        <v>314</v>
      </c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>
        <v>137</v>
      </c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</row>
    <row r="1015">
      <c r="A1015" s="2" t="s">
        <v>4917</v>
      </c>
      <c r="B1015" s="2" t="s">
        <v>287</v>
      </c>
      <c r="C1015" s="2" t="s">
        <v>825</v>
      </c>
      <c r="D1015" s="2" t="s">
        <v>289</v>
      </c>
      <c r="E1015" s="2" t="s">
        <v>290</v>
      </c>
      <c r="F1015" s="2" t="s">
        <v>4816</v>
      </c>
      <c r="G1015" s="2" t="s">
        <v>4816</v>
      </c>
      <c r="H1015" s="2" t="s">
        <v>4816</v>
      </c>
      <c r="I1015" s="2" t="s">
        <v>4817</v>
      </c>
      <c r="J1015" s="2" t="s">
        <v>318</v>
      </c>
      <c r="K1015" s="2" t="s">
        <v>4918</v>
      </c>
      <c r="L1015" s="3">
        <v>14.89</v>
      </c>
      <c r="M1015" s="3">
        <v>15.63</v>
      </c>
      <c r="N1015" s="3">
        <v>31.99</v>
      </c>
      <c r="O1015" s="2" t="s">
        <v>243</v>
      </c>
      <c r="P1015" s="2" t="s">
        <v>270</v>
      </c>
      <c r="Q1015" s="2" t="s">
        <v>237</v>
      </c>
      <c r="R1015" s="2" t="s">
        <v>231</v>
      </c>
      <c r="S1015" s="2" t="s">
        <v>4919</v>
      </c>
      <c r="T1015" s="2" t="s">
        <v>4134</v>
      </c>
      <c r="U1015" s="2" t="s">
        <v>835</v>
      </c>
      <c r="V1015" s="2" t="s">
        <v>1685</v>
      </c>
      <c r="W1015" s="2" t="s">
        <v>273</v>
      </c>
      <c r="X1015" s="2" t="s">
        <v>792</v>
      </c>
      <c r="Y1015" s="2" t="s">
        <v>4417</v>
      </c>
      <c r="Z1015" s="4"/>
      <c r="AA1015" s="4">
        <f>=ROUNDDOWN({0},0)</f>
      </c>
      <c r="AB1015" s="5">
        <v>16</v>
      </c>
      <c r="AC1015" s="2" t="s">
        <v>4135</v>
      </c>
      <c r="AD1015" s="4">
        <v>170</v>
      </c>
      <c r="AE1015" s="4">
        <v>635</v>
      </c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231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231</v>
      </c>
      <c r="AW1015" s="8" t="s">
        <v>231</v>
      </c>
      <c r="AX1015" s="4" t="s">
        <v>231</v>
      </c>
      <c r="AY1015" s="8" t="s">
        <v>231</v>
      </c>
      <c r="AZ1015" s="7" t="s">
        <v>231</v>
      </c>
      <c r="BA1015" s="7" t="s">
        <v>231</v>
      </c>
      <c r="BB1015" s="7"/>
      <c r="BC1015" s="4" t="s">
        <v>231</v>
      </c>
      <c r="BD1015" s="8" t="s">
        <v>231</v>
      </c>
      <c r="BE1015" s="4" t="s">
        <v>231</v>
      </c>
      <c r="BF1015" s="8" t="s">
        <v>231</v>
      </c>
      <c r="BG1015" s="7" t="s">
        <v>231</v>
      </c>
      <c r="BH1015" s="7" t="s">
        <v>231</v>
      </c>
      <c r="BI1015" s="7"/>
      <c r="BJ1015" s="4"/>
      <c r="BK1015" s="8"/>
      <c r="BL1015" s="2" t="s">
        <v>231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4920</v>
      </c>
      <c r="BV1015" s="2" t="s">
        <v>231</v>
      </c>
      <c r="BW1015" s="2" t="s">
        <v>231</v>
      </c>
      <c r="BX1015" s="2" t="s">
        <v>231</v>
      </c>
      <c r="BY1015" s="2" t="s">
        <v>277</v>
      </c>
      <c r="BZ1015" s="2" t="s">
        <v>243</v>
      </c>
      <c r="CA1015" s="2" t="s">
        <v>4417</v>
      </c>
      <c r="CB1015" s="2" t="s">
        <v>4921</v>
      </c>
      <c r="CC1015" s="2" t="s">
        <v>244</v>
      </c>
      <c r="CD1015" s="2" t="s">
        <v>231</v>
      </c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>
        <v>170</v>
      </c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>
        <v>322</v>
      </c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>
        <v>143</v>
      </c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</row>
    <row r="1016">
      <c r="A1016" s="2" t="s">
        <v>4922</v>
      </c>
      <c r="B1016" s="2" t="s">
        <v>287</v>
      </c>
      <c r="C1016" s="2" t="s">
        <v>825</v>
      </c>
      <c r="D1016" s="2" t="s">
        <v>289</v>
      </c>
      <c r="E1016" s="2" t="s">
        <v>290</v>
      </c>
      <c r="F1016" s="2" t="s">
        <v>4816</v>
      </c>
      <c r="G1016" s="2" t="s">
        <v>4816</v>
      </c>
      <c r="H1016" s="2" t="s">
        <v>4816</v>
      </c>
      <c r="I1016" s="2" t="s">
        <v>4817</v>
      </c>
      <c r="J1016" s="2" t="s">
        <v>268</v>
      </c>
      <c r="K1016" s="2" t="s">
        <v>4918</v>
      </c>
      <c r="L1016" s="3">
        <v>15.22</v>
      </c>
      <c r="M1016" s="3">
        <v>15.98</v>
      </c>
      <c r="N1016" s="3">
        <v>32.99</v>
      </c>
      <c r="O1016" s="2" t="s">
        <v>243</v>
      </c>
      <c r="P1016" s="2" t="s">
        <v>270</v>
      </c>
      <c r="Q1016" s="2" t="s">
        <v>237</v>
      </c>
      <c r="R1016" s="2" t="s">
        <v>231</v>
      </c>
      <c r="S1016" s="2" t="s">
        <v>4919</v>
      </c>
      <c r="T1016" s="2" t="s">
        <v>4134</v>
      </c>
      <c r="U1016" s="2" t="s">
        <v>835</v>
      </c>
      <c r="V1016" s="2" t="s">
        <v>1685</v>
      </c>
      <c r="W1016" s="2" t="s">
        <v>273</v>
      </c>
      <c r="X1016" s="2" t="s">
        <v>792</v>
      </c>
      <c r="Y1016" s="2" t="s">
        <v>4417</v>
      </c>
      <c r="Z1016" s="4">
        <v>1</v>
      </c>
      <c r="AA1016" s="4">
        <f>=ROUNDDOWN(0.142857142857143,0)</f>
      </c>
      <c r="AB1016" s="5">
        <v>7</v>
      </c>
      <c r="AC1016" s="2" t="s">
        <v>4135</v>
      </c>
      <c r="AD1016" s="4">
        <v>81</v>
      </c>
      <c r="AE1016" s="4">
        <v>287</v>
      </c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231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231</v>
      </c>
      <c r="AW1016" s="8" t="s">
        <v>231</v>
      </c>
      <c r="AX1016" s="4" t="s">
        <v>231</v>
      </c>
      <c r="AY1016" s="8" t="s">
        <v>231</v>
      </c>
      <c r="AZ1016" s="7" t="s">
        <v>231</v>
      </c>
      <c r="BA1016" s="7" t="s">
        <v>231</v>
      </c>
      <c r="BB1016" s="7"/>
      <c r="BC1016" s="4" t="s">
        <v>231</v>
      </c>
      <c r="BD1016" s="8" t="s">
        <v>231</v>
      </c>
      <c r="BE1016" s="4" t="s">
        <v>231</v>
      </c>
      <c r="BF1016" s="8" t="s">
        <v>231</v>
      </c>
      <c r="BG1016" s="7" t="s">
        <v>231</v>
      </c>
      <c r="BH1016" s="7" t="s">
        <v>231</v>
      </c>
      <c r="BI1016" s="7"/>
      <c r="BJ1016" s="4"/>
      <c r="BK1016" s="8"/>
      <c r="BL1016" s="2" t="s">
        <v>231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4923</v>
      </c>
      <c r="BV1016" s="2" t="s">
        <v>231</v>
      </c>
      <c r="BW1016" s="2" t="s">
        <v>231</v>
      </c>
      <c r="BX1016" s="2" t="s">
        <v>231</v>
      </c>
      <c r="BY1016" s="2" t="s">
        <v>277</v>
      </c>
      <c r="BZ1016" s="2" t="s">
        <v>243</v>
      </c>
      <c r="CA1016" s="2" t="s">
        <v>4417</v>
      </c>
      <c r="CB1016" s="2" t="s">
        <v>4924</v>
      </c>
      <c r="CC1016" s="2" t="s">
        <v>244</v>
      </c>
      <c r="CD1016" s="2" t="s">
        <v>231</v>
      </c>
      <c r="CE1016" s="4">
        <v>1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>
        <v>81</v>
      </c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>
        <v>135</v>
      </c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>
        <v>71</v>
      </c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</row>
    <row r="1017">
      <c r="A1017" s="2" t="s">
        <v>4925</v>
      </c>
      <c r="B1017" s="2" t="s">
        <v>287</v>
      </c>
      <c r="C1017" s="2" t="s">
        <v>825</v>
      </c>
      <c r="D1017" s="2" t="s">
        <v>289</v>
      </c>
      <c r="E1017" s="2" t="s">
        <v>290</v>
      </c>
      <c r="F1017" s="2" t="s">
        <v>4816</v>
      </c>
      <c r="G1017" s="2" t="s">
        <v>4816</v>
      </c>
      <c r="H1017" s="2" t="s">
        <v>4816</v>
      </c>
      <c r="I1017" s="2" t="s">
        <v>4817</v>
      </c>
      <c r="J1017" s="2" t="s">
        <v>293</v>
      </c>
      <c r="K1017" s="2" t="s">
        <v>4918</v>
      </c>
      <c r="L1017" s="3">
        <v>21.27</v>
      </c>
      <c r="M1017" s="3">
        <v>22.33</v>
      </c>
      <c r="N1017" s="3">
        <v>47.99</v>
      </c>
      <c r="O1017" s="2" t="s">
        <v>243</v>
      </c>
      <c r="P1017" s="2" t="s">
        <v>270</v>
      </c>
      <c r="Q1017" s="2" t="s">
        <v>237</v>
      </c>
      <c r="R1017" s="2" t="s">
        <v>231</v>
      </c>
      <c r="S1017" s="2" t="s">
        <v>4919</v>
      </c>
      <c r="T1017" s="2" t="s">
        <v>4134</v>
      </c>
      <c r="U1017" s="2" t="s">
        <v>298</v>
      </c>
      <c r="V1017" s="2" t="s">
        <v>1685</v>
      </c>
      <c r="W1017" s="2" t="s">
        <v>273</v>
      </c>
      <c r="X1017" s="2" t="s">
        <v>792</v>
      </c>
      <c r="Y1017" s="2" t="s">
        <v>4417</v>
      </c>
      <c r="Z1017" s="4"/>
      <c r="AA1017" s="4">
        <f>=ROUNDDOWN({0},0)</f>
      </c>
      <c r="AB1017" s="5">
        <v>11</v>
      </c>
      <c r="AC1017" s="2" t="s">
        <v>4135</v>
      </c>
      <c r="AD1017" s="4">
        <v>114</v>
      </c>
      <c r="AE1017" s="4">
        <v>428</v>
      </c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231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231</v>
      </c>
      <c r="AW1017" s="8" t="s">
        <v>231</v>
      </c>
      <c r="AX1017" s="4" t="s">
        <v>231</v>
      </c>
      <c r="AY1017" s="8" t="s">
        <v>231</v>
      </c>
      <c r="AZ1017" s="7" t="s">
        <v>231</v>
      </c>
      <c r="BA1017" s="7" t="s">
        <v>231</v>
      </c>
      <c r="BB1017" s="7"/>
      <c r="BC1017" s="4" t="s">
        <v>231</v>
      </c>
      <c r="BD1017" s="8" t="s">
        <v>231</v>
      </c>
      <c r="BE1017" s="4" t="s">
        <v>231</v>
      </c>
      <c r="BF1017" s="8" t="s">
        <v>231</v>
      </c>
      <c r="BG1017" s="7" t="s">
        <v>231</v>
      </c>
      <c r="BH1017" s="7" t="s">
        <v>231</v>
      </c>
      <c r="BI1017" s="7"/>
      <c r="BJ1017" s="4"/>
      <c r="BK1017" s="8"/>
      <c r="BL1017" s="2" t="s">
        <v>4335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4926</v>
      </c>
      <c r="BV1017" s="2" t="s">
        <v>231</v>
      </c>
      <c r="BW1017" s="2" t="s">
        <v>231</v>
      </c>
      <c r="BX1017" s="2" t="s">
        <v>231</v>
      </c>
      <c r="BY1017" s="2" t="s">
        <v>277</v>
      </c>
      <c r="BZ1017" s="2" t="s">
        <v>243</v>
      </c>
      <c r="CA1017" s="2" t="s">
        <v>4417</v>
      </c>
      <c r="CB1017" s="2" t="s">
        <v>4927</v>
      </c>
      <c r="CC1017" s="2" t="s">
        <v>244</v>
      </c>
      <c r="CD1017" s="2" t="s">
        <v>231</v>
      </c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>
        <v>114</v>
      </c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>
        <v>218</v>
      </c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>
        <v>96</v>
      </c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</row>
    <row r="1018">
      <c r="A1018" s="2" t="s">
        <v>4928</v>
      </c>
      <c r="B1018" s="2" t="s">
        <v>287</v>
      </c>
      <c r="C1018" s="2" t="s">
        <v>825</v>
      </c>
      <c r="D1018" s="2" t="s">
        <v>289</v>
      </c>
      <c r="E1018" s="2" t="s">
        <v>290</v>
      </c>
      <c r="F1018" s="2" t="s">
        <v>4816</v>
      </c>
      <c r="G1018" s="2" t="s">
        <v>4816</v>
      </c>
      <c r="H1018" s="2" t="s">
        <v>4816</v>
      </c>
      <c r="I1018" s="2" t="s">
        <v>4817</v>
      </c>
      <c r="J1018" s="2" t="s">
        <v>318</v>
      </c>
      <c r="K1018" s="2" t="s">
        <v>4929</v>
      </c>
      <c r="L1018" s="3">
        <v>14.89</v>
      </c>
      <c r="M1018" s="3">
        <v>15.63</v>
      </c>
      <c r="N1018" s="3">
        <v>31.99</v>
      </c>
      <c r="O1018" s="2" t="s">
        <v>243</v>
      </c>
      <c r="P1018" s="2" t="s">
        <v>270</v>
      </c>
      <c r="Q1018" s="2" t="s">
        <v>237</v>
      </c>
      <c r="R1018" s="2" t="s">
        <v>231</v>
      </c>
      <c r="S1018" s="2" t="s">
        <v>4930</v>
      </c>
      <c r="T1018" s="2" t="s">
        <v>4134</v>
      </c>
      <c r="U1018" s="2" t="s">
        <v>835</v>
      </c>
      <c r="V1018" s="2" t="s">
        <v>4046</v>
      </c>
      <c r="W1018" s="2" t="s">
        <v>792</v>
      </c>
      <c r="X1018" s="2" t="s">
        <v>231</v>
      </c>
      <c r="Y1018" s="2" t="s">
        <v>4833</v>
      </c>
      <c r="Z1018" s="4"/>
      <c r="AA1018" s="4">
        <f>=ROUNDDOWN({0},0)</f>
      </c>
      <c r="AB1018" s="5">
        <v>29</v>
      </c>
      <c r="AC1018" s="2" t="s">
        <v>4135</v>
      </c>
      <c r="AD1018" s="4">
        <v>286</v>
      </c>
      <c r="AE1018" s="4">
        <v>1102</v>
      </c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231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231</v>
      </c>
      <c r="AW1018" s="8" t="s">
        <v>231</v>
      </c>
      <c r="AX1018" s="4" t="s">
        <v>231</v>
      </c>
      <c r="AY1018" s="8" t="s">
        <v>231</v>
      </c>
      <c r="AZ1018" s="7" t="s">
        <v>231</v>
      </c>
      <c r="BA1018" s="7" t="s">
        <v>231</v>
      </c>
      <c r="BB1018" s="7"/>
      <c r="BC1018" s="4" t="s">
        <v>231</v>
      </c>
      <c r="BD1018" s="8" t="s">
        <v>231</v>
      </c>
      <c r="BE1018" s="4" t="s">
        <v>231</v>
      </c>
      <c r="BF1018" s="8" t="s">
        <v>231</v>
      </c>
      <c r="BG1018" s="7" t="s">
        <v>231</v>
      </c>
      <c r="BH1018" s="7" t="s">
        <v>231</v>
      </c>
      <c r="BI1018" s="7"/>
      <c r="BJ1018" s="4"/>
      <c r="BK1018" s="8"/>
      <c r="BL1018" s="2" t="s">
        <v>231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4931</v>
      </c>
      <c r="BV1018" s="2" t="s">
        <v>231</v>
      </c>
      <c r="BW1018" s="2" t="s">
        <v>231</v>
      </c>
      <c r="BX1018" s="2" t="s">
        <v>231</v>
      </c>
      <c r="BY1018" s="2" t="s">
        <v>277</v>
      </c>
      <c r="BZ1018" s="2" t="s">
        <v>243</v>
      </c>
      <c r="CA1018" s="2" t="s">
        <v>4835</v>
      </c>
      <c r="CB1018" s="2" t="s">
        <v>4908</v>
      </c>
      <c r="CC1018" s="2" t="s">
        <v>244</v>
      </c>
      <c r="CD1018" s="2" t="s">
        <v>231</v>
      </c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>
        <v>286</v>
      </c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>
        <v>581</v>
      </c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>
        <v>235</v>
      </c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</row>
    <row r="1019">
      <c r="A1019" s="2" t="s">
        <v>4932</v>
      </c>
      <c r="B1019" s="2" t="s">
        <v>287</v>
      </c>
      <c r="C1019" s="2" t="s">
        <v>825</v>
      </c>
      <c r="D1019" s="2" t="s">
        <v>289</v>
      </c>
      <c r="E1019" s="2" t="s">
        <v>290</v>
      </c>
      <c r="F1019" s="2" t="s">
        <v>4816</v>
      </c>
      <c r="G1019" s="2" t="s">
        <v>4816</v>
      </c>
      <c r="H1019" s="2" t="s">
        <v>4816</v>
      </c>
      <c r="I1019" s="2" t="s">
        <v>4817</v>
      </c>
      <c r="J1019" s="2" t="s">
        <v>268</v>
      </c>
      <c r="K1019" s="2" t="s">
        <v>4929</v>
      </c>
      <c r="L1019" s="3">
        <v>15.22</v>
      </c>
      <c r="M1019" s="3">
        <v>15.98</v>
      </c>
      <c r="N1019" s="3">
        <v>32.99</v>
      </c>
      <c r="O1019" s="2" t="s">
        <v>243</v>
      </c>
      <c r="P1019" s="2" t="s">
        <v>270</v>
      </c>
      <c r="Q1019" s="2" t="s">
        <v>237</v>
      </c>
      <c r="R1019" s="2" t="s">
        <v>231</v>
      </c>
      <c r="S1019" s="2" t="s">
        <v>4930</v>
      </c>
      <c r="T1019" s="2" t="s">
        <v>4134</v>
      </c>
      <c r="U1019" s="2" t="s">
        <v>835</v>
      </c>
      <c r="V1019" s="2" t="s">
        <v>4046</v>
      </c>
      <c r="W1019" s="2" t="s">
        <v>273</v>
      </c>
      <c r="X1019" s="2" t="s">
        <v>792</v>
      </c>
      <c r="Y1019" s="2" t="s">
        <v>4833</v>
      </c>
      <c r="Z1019" s="4"/>
      <c r="AA1019" s="4">
        <f>=ROUNDDOWN({0},0)</f>
      </c>
      <c r="AB1019" s="5">
        <v>17</v>
      </c>
      <c r="AC1019" s="2" t="s">
        <v>4135</v>
      </c>
      <c r="AD1019" s="4">
        <v>173</v>
      </c>
      <c r="AE1019" s="4">
        <v>641</v>
      </c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231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231</v>
      </c>
      <c r="AW1019" s="8" t="s">
        <v>231</v>
      </c>
      <c r="AX1019" s="4" t="s">
        <v>231</v>
      </c>
      <c r="AY1019" s="8" t="s">
        <v>231</v>
      </c>
      <c r="AZ1019" s="7" t="s">
        <v>231</v>
      </c>
      <c r="BA1019" s="7" t="s">
        <v>231</v>
      </c>
      <c r="BB1019" s="7"/>
      <c r="BC1019" s="4" t="s">
        <v>231</v>
      </c>
      <c r="BD1019" s="8" t="s">
        <v>231</v>
      </c>
      <c r="BE1019" s="4" t="s">
        <v>231</v>
      </c>
      <c r="BF1019" s="8" t="s">
        <v>231</v>
      </c>
      <c r="BG1019" s="7" t="s">
        <v>231</v>
      </c>
      <c r="BH1019" s="7" t="s">
        <v>231</v>
      </c>
      <c r="BI1019" s="7"/>
      <c r="BJ1019" s="4"/>
      <c r="BK1019" s="8"/>
      <c r="BL1019" s="2" t="s">
        <v>231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4933</v>
      </c>
      <c r="BV1019" s="2" t="s">
        <v>231</v>
      </c>
      <c r="BW1019" s="2" t="s">
        <v>231</v>
      </c>
      <c r="BX1019" s="2" t="s">
        <v>231</v>
      </c>
      <c r="BY1019" s="2" t="s">
        <v>277</v>
      </c>
      <c r="BZ1019" s="2" t="s">
        <v>243</v>
      </c>
      <c r="CA1019" s="2" t="s">
        <v>4835</v>
      </c>
      <c r="CB1019" s="2" t="s">
        <v>4908</v>
      </c>
      <c r="CC1019" s="2" t="s">
        <v>244</v>
      </c>
      <c r="CD1019" s="2" t="s">
        <v>231</v>
      </c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>
        <v>173</v>
      </c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>
        <v>322</v>
      </c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>
        <v>146</v>
      </c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</row>
    <row r="1020">
      <c r="A1020" s="2" t="s">
        <v>4934</v>
      </c>
      <c r="B1020" s="2" t="s">
        <v>287</v>
      </c>
      <c r="C1020" s="2" t="s">
        <v>825</v>
      </c>
      <c r="D1020" s="2" t="s">
        <v>289</v>
      </c>
      <c r="E1020" s="2" t="s">
        <v>290</v>
      </c>
      <c r="F1020" s="2" t="s">
        <v>4816</v>
      </c>
      <c r="G1020" s="2" t="s">
        <v>4816</v>
      </c>
      <c r="H1020" s="2" t="s">
        <v>4816</v>
      </c>
      <c r="I1020" s="2" t="s">
        <v>4817</v>
      </c>
      <c r="J1020" s="2" t="s">
        <v>281</v>
      </c>
      <c r="K1020" s="2" t="s">
        <v>4929</v>
      </c>
      <c r="L1020" s="3">
        <v>19.13</v>
      </c>
      <c r="M1020" s="3">
        <v>20.09</v>
      </c>
      <c r="N1020" s="3">
        <v>42.99</v>
      </c>
      <c r="O1020" s="2" t="s">
        <v>243</v>
      </c>
      <c r="P1020" s="2" t="s">
        <v>270</v>
      </c>
      <c r="Q1020" s="2" t="s">
        <v>237</v>
      </c>
      <c r="R1020" s="2" t="s">
        <v>231</v>
      </c>
      <c r="S1020" s="2" t="s">
        <v>4930</v>
      </c>
      <c r="T1020" s="2" t="s">
        <v>4134</v>
      </c>
      <c r="U1020" s="2" t="s">
        <v>298</v>
      </c>
      <c r="V1020" s="2" t="s">
        <v>4046</v>
      </c>
      <c r="W1020" s="2" t="s">
        <v>273</v>
      </c>
      <c r="X1020" s="2" t="s">
        <v>792</v>
      </c>
      <c r="Y1020" s="2" t="s">
        <v>4833</v>
      </c>
      <c r="Z1020" s="4"/>
      <c r="AA1020" s="4">
        <f>=ROUNDDOWN({0},0)</f>
      </c>
      <c r="AB1020" s="5">
        <v>16</v>
      </c>
      <c r="AC1020" s="2" t="s">
        <v>4135</v>
      </c>
      <c r="AD1020" s="4">
        <v>161</v>
      </c>
      <c r="AE1020" s="4">
        <v>602</v>
      </c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231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231</v>
      </c>
      <c r="AW1020" s="8" t="s">
        <v>231</v>
      </c>
      <c r="AX1020" s="4" t="s">
        <v>231</v>
      </c>
      <c r="AY1020" s="8" t="s">
        <v>231</v>
      </c>
      <c r="AZ1020" s="7" t="s">
        <v>231</v>
      </c>
      <c r="BA1020" s="7" t="s">
        <v>231</v>
      </c>
      <c r="BB1020" s="7"/>
      <c r="BC1020" s="4" t="s">
        <v>231</v>
      </c>
      <c r="BD1020" s="8" t="s">
        <v>231</v>
      </c>
      <c r="BE1020" s="4" t="s">
        <v>231</v>
      </c>
      <c r="BF1020" s="8" t="s">
        <v>231</v>
      </c>
      <c r="BG1020" s="7" t="s">
        <v>231</v>
      </c>
      <c r="BH1020" s="7" t="s">
        <v>231</v>
      </c>
      <c r="BI1020" s="7"/>
      <c r="BJ1020" s="4"/>
      <c r="BK1020" s="8"/>
      <c r="BL1020" s="2" t="s">
        <v>231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4935</v>
      </c>
      <c r="BV1020" s="2" t="s">
        <v>231</v>
      </c>
      <c r="BW1020" s="2" t="s">
        <v>231</v>
      </c>
      <c r="BX1020" s="2" t="s">
        <v>231</v>
      </c>
      <c r="BY1020" s="2" t="s">
        <v>277</v>
      </c>
      <c r="BZ1020" s="2" t="s">
        <v>243</v>
      </c>
      <c r="CA1020" s="2" t="s">
        <v>4835</v>
      </c>
      <c r="CB1020" s="2" t="s">
        <v>4936</v>
      </c>
      <c r="CC1020" s="2" t="s">
        <v>244</v>
      </c>
      <c r="CD1020" s="2" t="s">
        <v>231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>
        <v>161</v>
      </c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>
        <v>306</v>
      </c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>
        <v>135</v>
      </c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</row>
    <row r="1021">
      <c r="A1021" s="2" t="s">
        <v>4937</v>
      </c>
      <c r="B1021" s="2" t="s">
        <v>287</v>
      </c>
      <c r="C1021" s="2" t="s">
        <v>825</v>
      </c>
      <c r="D1021" s="2" t="s">
        <v>289</v>
      </c>
      <c r="E1021" s="2" t="s">
        <v>290</v>
      </c>
      <c r="F1021" s="2" t="s">
        <v>4816</v>
      </c>
      <c r="G1021" s="2" t="s">
        <v>4816</v>
      </c>
      <c r="H1021" s="2" t="s">
        <v>4816</v>
      </c>
      <c r="I1021" s="2" t="s">
        <v>4817</v>
      </c>
      <c r="J1021" s="2" t="s">
        <v>293</v>
      </c>
      <c r="K1021" s="2" t="s">
        <v>4929</v>
      </c>
      <c r="L1021" s="3">
        <v>21.27</v>
      </c>
      <c r="M1021" s="3">
        <v>22.33</v>
      </c>
      <c r="N1021" s="3">
        <v>47.99</v>
      </c>
      <c r="O1021" s="2" t="s">
        <v>243</v>
      </c>
      <c r="P1021" s="2" t="s">
        <v>270</v>
      </c>
      <c r="Q1021" s="2" t="s">
        <v>237</v>
      </c>
      <c r="R1021" s="2" t="s">
        <v>231</v>
      </c>
      <c r="S1021" s="2" t="s">
        <v>4930</v>
      </c>
      <c r="T1021" s="2" t="s">
        <v>4134</v>
      </c>
      <c r="U1021" s="2" t="s">
        <v>298</v>
      </c>
      <c r="V1021" s="2" t="s">
        <v>4046</v>
      </c>
      <c r="W1021" s="2" t="s">
        <v>273</v>
      </c>
      <c r="X1021" s="2" t="s">
        <v>792</v>
      </c>
      <c r="Y1021" s="2" t="s">
        <v>4833</v>
      </c>
      <c r="Z1021" s="4">
        <v>2</v>
      </c>
      <c r="AA1021" s="4">
        <f>=ROUNDDOWN(0.117647058823529,0)</f>
      </c>
      <c r="AB1021" s="5">
        <v>17</v>
      </c>
      <c r="AC1021" s="2" t="s">
        <v>4135</v>
      </c>
      <c r="AD1021" s="4">
        <v>171</v>
      </c>
      <c r="AE1021" s="4">
        <v>607</v>
      </c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231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231</v>
      </c>
      <c r="AW1021" s="8" t="s">
        <v>231</v>
      </c>
      <c r="AX1021" s="4" t="s">
        <v>231</v>
      </c>
      <c r="AY1021" s="8" t="s">
        <v>231</v>
      </c>
      <c r="AZ1021" s="7" t="s">
        <v>231</v>
      </c>
      <c r="BA1021" s="7" t="s">
        <v>231</v>
      </c>
      <c r="BB1021" s="7"/>
      <c r="BC1021" s="4" t="s">
        <v>231</v>
      </c>
      <c r="BD1021" s="8" t="s">
        <v>231</v>
      </c>
      <c r="BE1021" s="4" t="s">
        <v>231</v>
      </c>
      <c r="BF1021" s="8" t="s">
        <v>231</v>
      </c>
      <c r="BG1021" s="7" t="s">
        <v>231</v>
      </c>
      <c r="BH1021" s="7" t="s">
        <v>231</v>
      </c>
      <c r="BI1021" s="7"/>
      <c r="BJ1021" s="4"/>
      <c r="BK1021" s="8"/>
      <c r="BL1021" s="2" t="s">
        <v>231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4938</v>
      </c>
      <c r="BV1021" s="2" t="s">
        <v>231</v>
      </c>
      <c r="BW1021" s="2" t="s">
        <v>231</v>
      </c>
      <c r="BX1021" s="2" t="s">
        <v>231</v>
      </c>
      <c r="BY1021" s="2" t="s">
        <v>277</v>
      </c>
      <c r="BZ1021" s="2" t="s">
        <v>243</v>
      </c>
      <c r="CA1021" s="2" t="s">
        <v>4835</v>
      </c>
      <c r="CB1021" s="2" t="s">
        <v>4912</v>
      </c>
      <c r="CC1021" s="2" t="s">
        <v>244</v>
      </c>
      <c r="CD1021" s="2" t="s">
        <v>231</v>
      </c>
      <c r="CE1021" s="4">
        <v>2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>
        <v>171</v>
      </c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>
        <v>287</v>
      </c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>
        <v>149</v>
      </c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</row>
    <row r="1022">
      <c r="A1022" s="2" t="s">
        <v>4939</v>
      </c>
      <c r="B1022" s="2" t="s">
        <v>287</v>
      </c>
      <c r="C1022" s="2" t="s">
        <v>825</v>
      </c>
      <c r="D1022" s="2" t="s">
        <v>289</v>
      </c>
      <c r="E1022" s="2" t="s">
        <v>290</v>
      </c>
      <c r="F1022" s="2" t="s">
        <v>4816</v>
      </c>
      <c r="G1022" s="2" t="s">
        <v>4816</v>
      </c>
      <c r="H1022" s="2" t="s">
        <v>4816</v>
      </c>
      <c r="I1022" s="2" t="s">
        <v>4817</v>
      </c>
      <c r="J1022" s="2" t="s">
        <v>318</v>
      </c>
      <c r="K1022" s="2" t="s">
        <v>4940</v>
      </c>
      <c r="L1022" s="3">
        <v>14.89</v>
      </c>
      <c r="M1022" s="3">
        <v>15.63</v>
      </c>
      <c r="N1022" s="3">
        <v>31.99</v>
      </c>
      <c r="O1022" s="2" t="s">
        <v>243</v>
      </c>
      <c r="P1022" s="2" t="s">
        <v>1281</v>
      </c>
      <c r="Q1022" s="2" t="s">
        <v>237</v>
      </c>
      <c r="R1022" s="2" t="s">
        <v>231</v>
      </c>
      <c r="S1022" s="2" t="s">
        <v>4941</v>
      </c>
      <c r="T1022" s="2" t="s">
        <v>4134</v>
      </c>
      <c r="U1022" s="2" t="s">
        <v>835</v>
      </c>
      <c r="V1022" s="2" t="s">
        <v>1685</v>
      </c>
      <c r="W1022" s="2" t="s">
        <v>273</v>
      </c>
      <c r="X1022" s="2" t="s">
        <v>792</v>
      </c>
      <c r="Y1022" s="2" t="s">
        <v>4417</v>
      </c>
      <c r="Z1022" s="4"/>
      <c r="AA1022" s="4">
        <f>=ROUNDDOWN({0},0)</f>
      </c>
      <c r="AB1022" s="5">
        <v>39</v>
      </c>
      <c r="AC1022" s="2" t="s">
        <v>4135</v>
      </c>
      <c r="AD1022" s="4">
        <v>378</v>
      </c>
      <c r="AE1022" s="4">
        <v>1419</v>
      </c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231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231</v>
      </c>
      <c r="AW1022" s="8" t="s">
        <v>231</v>
      </c>
      <c r="AX1022" s="4" t="s">
        <v>231</v>
      </c>
      <c r="AY1022" s="8" t="s">
        <v>231</v>
      </c>
      <c r="AZ1022" s="7" t="s">
        <v>231</v>
      </c>
      <c r="BA1022" s="7" t="s">
        <v>231</v>
      </c>
      <c r="BB1022" s="7"/>
      <c r="BC1022" s="4" t="s">
        <v>231</v>
      </c>
      <c r="BD1022" s="8" t="s">
        <v>231</v>
      </c>
      <c r="BE1022" s="4" t="s">
        <v>231</v>
      </c>
      <c r="BF1022" s="8" t="s">
        <v>231</v>
      </c>
      <c r="BG1022" s="7" t="s">
        <v>231</v>
      </c>
      <c r="BH1022" s="7" t="s">
        <v>231</v>
      </c>
      <c r="BI1022" s="7"/>
      <c r="BJ1022" s="4"/>
      <c r="BK1022" s="8"/>
      <c r="BL1022" s="2" t="s">
        <v>231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4942</v>
      </c>
      <c r="BV1022" s="2" t="s">
        <v>231</v>
      </c>
      <c r="BW1022" s="2" t="s">
        <v>231</v>
      </c>
      <c r="BX1022" s="2" t="s">
        <v>231</v>
      </c>
      <c r="BY1022" s="2" t="s">
        <v>277</v>
      </c>
      <c r="BZ1022" s="2" t="s">
        <v>243</v>
      </c>
      <c r="CA1022" s="2" t="s">
        <v>4417</v>
      </c>
      <c r="CB1022" s="2" t="s">
        <v>4513</v>
      </c>
      <c r="CC1022" s="2" t="s">
        <v>244</v>
      </c>
      <c r="CD1022" s="2" t="s">
        <v>231</v>
      </c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>
        <v>378</v>
      </c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>
        <v>726</v>
      </c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>
        <v>315</v>
      </c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</row>
    <row r="1023">
      <c r="A1023" s="2" t="s">
        <v>4943</v>
      </c>
      <c r="B1023" s="2" t="s">
        <v>287</v>
      </c>
      <c r="C1023" s="2" t="s">
        <v>825</v>
      </c>
      <c r="D1023" s="2" t="s">
        <v>289</v>
      </c>
      <c r="E1023" s="2" t="s">
        <v>290</v>
      </c>
      <c r="F1023" s="2" t="s">
        <v>4816</v>
      </c>
      <c r="G1023" s="2" t="s">
        <v>4816</v>
      </c>
      <c r="H1023" s="2" t="s">
        <v>4816</v>
      </c>
      <c r="I1023" s="2" t="s">
        <v>4817</v>
      </c>
      <c r="J1023" s="2" t="s">
        <v>268</v>
      </c>
      <c r="K1023" s="2" t="s">
        <v>4940</v>
      </c>
      <c r="L1023" s="3">
        <v>15.22</v>
      </c>
      <c r="M1023" s="3">
        <v>15.98</v>
      </c>
      <c r="N1023" s="3">
        <v>32.99</v>
      </c>
      <c r="O1023" s="2" t="s">
        <v>243</v>
      </c>
      <c r="P1023" s="2" t="s">
        <v>270</v>
      </c>
      <c r="Q1023" s="2" t="s">
        <v>237</v>
      </c>
      <c r="R1023" s="2" t="s">
        <v>231</v>
      </c>
      <c r="S1023" s="2" t="s">
        <v>4941</v>
      </c>
      <c r="T1023" s="2" t="s">
        <v>4134</v>
      </c>
      <c r="U1023" s="2" t="s">
        <v>835</v>
      </c>
      <c r="V1023" s="2" t="s">
        <v>1685</v>
      </c>
      <c r="W1023" s="2" t="s">
        <v>273</v>
      </c>
      <c r="X1023" s="2" t="s">
        <v>792</v>
      </c>
      <c r="Y1023" s="2" t="s">
        <v>4417</v>
      </c>
      <c r="Z1023" s="4"/>
      <c r="AA1023" s="4">
        <f>=ROUNDDOWN({0},0)</f>
      </c>
      <c r="AB1023" s="5">
        <v>13</v>
      </c>
      <c r="AC1023" s="2" t="s">
        <v>4135</v>
      </c>
      <c r="AD1023" s="4">
        <v>132</v>
      </c>
      <c r="AE1023" s="4">
        <v>486</v>
      </c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231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231</v>
      </c>
      <c r="AW1023" s="8" t="s">
        <v>231</v>
      </c>
      <c r="AX1023" s="4" t="s">
        <v>231</v>
      </c>
      <c r="AY1023" s="8" t="s">
        <v>231</v>
      </c>
      <c r="AZ1023" s="7" t="s">
        <v>231</v>
      </c>
      <c r="BA1023" s="7" t="s">
        <v>231</v>
      </c>
      <c r="BB1023" s="7"/>
      <c r="BC1023" s="4" t="s">
        <v>231</v>
      </c>
      <c r="BD1023" s="8" t="s">
        <v>231</v>
      </c>
      <c r="BE1023" s="4" t="s">
        <v>231</v>
      </c>
      <c r="BF1023" s="8" t="s">
        <v>231</v>
      </c>
      <c r="BG1023" s="7" t="s">
        <v>231</v>
      </c>
      <c r="BH1023" s="7" t="s">
        <v>231</v>
      </c>
      <c r="BI1023" s="7"/>
      <c r="BJ1023" s="4"/>
      <c r="BK1023" s="8"/>
      <c r="BL1023" s="2" t="s">
        <v>231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4944</v>
      </c>
      <c r="BV1023" s="2" t="s">
        <v>231</v>
      </c>
      <c r="BW1023" s="2" t="s">
        <v>231</v>
      </c>
      <c r="BX1023" s="2" t="s">
        <v>231</v>
      </c>
      <c r="BY1023" s="2" t="s">
        <v>277</v>
      </c>
      <c r="BZ1023" s="2" t="s">
        <v>243</v>
      </c>
      <c r="CA1023" s="2" t="s">
        <v>4417</v>
      </c>
      <c r="CB1023" s="2" t="s">
        <v>4945</v>
      </c>
      <c r="CC1023" s="2" t="s">
        <v>244</v>
      </c>
      <c r="CD1023" s="2" t="s">
        <v>231</v>
      </c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>
        <v>132</v>
      </c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>
        <v>242</v>
      </c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>
        <v>112</v>
      </c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</row>
    <row r="1024">
      <c r="A1024" s="2" t="s">
        <v>4946</v>
      </c>
      <c r="B1024" s="2" t="s">
        <v>287</v>
      </c>
      <c r="C1024" s="2" t="s">
        <v>825</v>
      </c>
      <c r="D1024" s="2" t="s">
        <v>289</v>
      </c>
      <c r="E1024" s="2" t="s">
        <v>290</v>
      </c>
      <c r="F1024" s="2" t="s">
        <v>4816</v>
      </c>
      <c r="G1024" s="2" t="s">
        <v>4816</v>
      </c>
      <c r="H1024" s="2" t="s">
        <v>4816</v>
      </c>
      <c r="I1024" s="2" t="s">
        <v>4817</v>
      </c>
      <c r="J1024" s="2" t="s">
        <v>281</v>
      </c>
      <c r="K1024" s="2" t="s">
        <v>4940</v>
      </c>
      <c r="L1024" s="3">
        <v>19.13</v>
      </c>
      <c r="M1024" s="3">
        <v>20.09</v>
      </c>
      <c r="N1024" s="3">
        <v>42.99</v>
      </c>
      <c r="O1024" s="2" t="s">
        <v>243</v>
      </c>
      <c r="P1024" s="2" t="s">
        <v>270</v>
      </c>
      <c r="Q1024" s="2" t="s">
        <v>237</v>
      </c>
      <c r="R1024" s="2" t="s">
        <v>231</v>
      </c>
      <c r="S1024" s="2" t="s">
        <v>4941</v>
      </c>
      <c r="T1024" s="2" t="s">
        <v>4134</v>
      </c>
      <c r="U1024" s="2" t="s">
        <v>298</v>
      </c>
      <c r="V1024" s="2" t="s">
        <v>1685</v>
      </c>
      <c r="W1024" s="2" t="s">
        <v>273</v>
      </c>
      <c r="X1024" s="2" t="s">
        <v>792</v>
      </c>
      <c r="Y1024" s="2" t="s">
        <v>4417</v>
      </c>
      <c r="Z1024" s="4"/>
      <c r="AA1024" s="4">
        <f>=ROUNDDOWN({0},0)</f>
      </c>
      <c r="AB1024" s="5">
        <v>20</v>
      </c>
      <c r="AC1024" s="2" t="s">
        <v>4135</v>
      </c>
      <c r="AD1024" s="4">
        <v>204</v>
      </c>
      <c r="AE1024" s="4">
        <v>776</v>
      </c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231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231</v>
      </c>
      <c r="AW1024" s="8" t="s">
        <v>231</v>
      </c>
      <c r="AX1024" s="4" t="s">
        <v>231</v>
      </c>
      <c r="AY1024" s="8" t="s">
        <v>231</v>
      </c>
      <c r="AZ1024" s="7" t="s">
        <v>231</v>
      </c>
      <c r="BA1024" s="7" t="s">
        <v>231</v>
      </c>
      <c r="BB1024" s="7"/>
      <c r="BC1024" s="4" t="s">
        <v>231</v>
      </c>
      <c r="BD1024" s="8" t="s">
        <v>231</v>
      </c>
      <c r="BE1024" s="4" t="s">
        <v>231</v>
      </c>
      <c r="BF1024" s="8" t="s">
        <v>231</v>
      </c>
      <c r="BG1024" s="7" t="s">
        <v>231</v>
      </c>
      <c r="BH1024" s="7" t="s">
        <v>231</v>
      </c>
      <c r="BI1024" s="7"/>
      <c r="BJ1024" s="4"/>
      <c r="BK1024" s="8"/>
      <c r="BL1024" s="2" t="s">
        <v>231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4947</v>
      </c>
      <c r="BV1024" s="2" t="s">
        <v>231</v>
      </c>
      <c r="BW1024" s="2" t="s">
        <v>231</v>
      </c>
      <c r="BX1024" s="2" t="s">
        <v>231</v>
      </c>
      <c r="BY1024" s="2" t="s">
        <v>277</v>
      </c>
      <c r="BZ1024" s="2" t="s">
        <v>243</v>
      </c>
      <c r="CA1024" s="2" t="s">
        <v>4417</v>
      </c>
      <c r="CB1024" s="2" t="s">
        <v>4948</v>
      </c>
      <c r="CC1024" s="2" t="s">
        <v>244</v>
      </c>
      <c r="CD1024" s="2" t="s">
        <v>231</v>
      </c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>
        <v>204</v>
      </c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>
        <v>403</v>
      </c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>
        <v>169</v>
      </c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</row>
    <row r="1025">
      <c r="A1025" s="2" t="s">
        <v>4949</v>
      </c>
      <c r="B1025" s="2" t="s">
        <v>287</v>
      </c>
      <c r="C1025" s="2" t="s">
        <v>825</v>
      </c>
      <c r="D1025" s="2" t="s">
        <v>289</v>
      </c>
      <c r="E1025" s="2" t="s">
        <v>290</v>
      </c>
      <c r="F1025" s="2" t="s">
        <v>4816</v>
      </c>
      <c r="G1025" s="2" t="s">
        <v>4816</v>
      </c>
      <c r="H1025" s="2" t="s">
        <v>4816</v>
      </c>
      <c r="I1025" s="2" t="s">
        <v>4817</v>
      </c>
      <c r="J1025" s="2" t="s">
        <v>293</v>
      </c>
      <c r="K1025" s="2" t="s">
        <v>4940</v>
      </c>
      <c r="L1025" s="3">
        <v>21.27</v>
      </c>
      <c r="M1025" s="3">
        <v>22.33</v>
      </c>
      <c r="N1025" s="3">
        <v>47.99</v>
      </c>
      <c r="O1025" s="2" t="s">
        <v>243</v>
      </c>
      <c r="P1025" s="2" t="s">
        <v>270</v>
      </c>
      <c r="Q1025" s="2" t="s">
        <v>237</v>
      </c>
      <c r="R1025" s="2" t="s">
        <v>231</v>
      </c>
      <c r="S1025" s="2" t="s">
        <v>4941</v>
      </c>
      <c r="T1025" s="2" t="s">
        <v>4134</v>
      </c>
      <c r="U1025" s="2" t="s">
        <v>298</v>
      </c>
      <c r="V1025" s="2" t="s">
        <v>1685</v>
      </c>
      <c r="W1025" s="2" t="s">
        <v>273</v>
      </c>
      <c r="X1025" s="2" t="s">
        <v>792</v>
      </c>
      <c r="Y1025" s="2" t="s">
        <v>4417</v>
      </c>
      <c r="Z1025" s="4"/>
      <c r="AA1025" s="4">
        <f>=ROUNDDOWN({0},0)</f>
      </c>
      <c r="AB1025" s="5">
        <v>22</v>
      </c>
      <c r="AC1025" s="2" t="s">
        <v>4135</v>
      </c>
      <c r="AD1025" s="4">
        <v>225</v>
      </c>
      <c r="AE1025" s="4">
        <v>844</v>
      </c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231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231</v>
      </c>
      <c r="AW1025" s="8" t="s">
        <v>231</v>
      </c>
      <c r="AX1025" s="4" t="s">
        <v>231</v>
      </c>
      <c r="AY1025" s="8" t="s">
        <v>231</v>
      </c>
      <c r="AZ1025" s="7" t="s">
        <v>231</v>
      </c>
      <c r="BA1025" s="7" t="s">
        <v>231</v>
      </c>
      <c r="BB1025" s="7"/>
      <c r="BC1025" s="4" t="s">
        <v>231</v>
      </c>
      <c r="BD1025" s="8" t="s">
        <v>231</v>
      </c>
      <c r="BE1025" s="4" t="s">
        <v>231</v>
      </c>
      <c r="BF1025" s="8" t="s">
        <v>231</v>
      </c>
      <c r="BG1025" s="7" t="s">
        <v>231</v>
      </c>
      <c r="BH1025" s="7" t="s">
        <v>231</v>
      </c>
      <c r="BI1025" s="7"/>
      <c r="BJ1025" s="4"/>
      <c r="BK1025" s="8"/>
      <c r="BL1025" s="2" t="s">
        <v>231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4950</v>
      </c>
      <c r="BV1025" s="2" t="s">
        <v>231</v>
      </c>
      <c r="BW1025" s="2" t="s">
        <v>231</v>
      </c>
      <c r="BX1025" s="2" t="s">
        <v>231</v>
      </c>
      <c r="BY1025" s="2" t="s">
        <v>277</v>
      </c>
      <c r="BZ1025" s="2" t="s">
        <v>243</v>
      </c>
      <c r="CA1025" s="2" t="s">
        <v>4417</v>
      </c>
      <c r="CB1025" s="2" t="s">
        <v>4951</v>
      </c>
      <c r="CC1025" s="2" t="s">
        <v>244</v>
      </c>
      <c r="CD1025" s="2" t="s">
        <v>231</v>
      </c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>
        <v>225</v>
      </c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>
        <v>431</v>
      </c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>
        <v>188</v>
      </c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</row>
    <row r="1026">
      <c r="A1026" s="2" t="s">
        <v>4952</v>
      </c>
      <c r="B1026" s="2" t="s">
        <v>287</v>
      </c>
      <c r="C1026" s="2" t="s">
        <v>825</v>
      </c>
      <c r="D1026" s="2" t="s">
        <v>289</v>
      </c>
      <c r="E1026" s="2" t="s">
        <v>290</v>
      </c>
      <c r="F1026" s="2" t="s">
        <v>4816</v>
      </c>
      <c r="G1026" s="2" t="s">
        <v>4816</v>
      </c>
      <c r="H1026" s="2" t="s">
        <v>4816</v>
      </c>
      <c r="I1026" s="2" t="s">
        <v>4817</v>
      </c>
      <c r="J1026" s="2" t="s">
        <v>318</v>
      </c>
      <c r="K1026" s="2" t="s">
        <v>4953</v>
      </c>
      <c r="L1026" s="3">
        <v>14.89</v>
      </c>
      <c r="M1026" s="3">
        <v>15.63</v>
      </c>
      <c r="N1026" s="3">
        <v>31.99</v>
      </c>
      <c r="O1026" s="2" t="s">
        <v>243</v>
      </c>
      <c r="P1026" s="2" t="s">
        <v>236</v>
      </c>
      <c r="Q1026" s="2" t="s">
        <v>237</v>
      </c>
      <c r="R1026" s="2" t="s">
        <v>231</v>
      </c>
      <c r="S1026" s="2" t="s">
        <v>4954</v>
      </c>
      <c r="T1026" s="2" t="s">
        <v>4134</v>
      </c>
      <c r="U1026" s="2" t="s">
        <v>835</v>
      </c>
      <c r="V1026" s="2" t="s">
        <v>4046</v>
      </c>
      <c r="W1026" s="2" t="s">
        <v>273</v>
      </c>
      <c r="X1026" s="2" t="s">
        <v>792</v>
      </c>
      <c r="Y1026" s="2" t="s">
        <v>231</v>
      </c>
      <c r="Z1026" s="4"/>
      <c r="AA1026" s="4">
        <f>=ROUNDDOWN({0},0)</f>
      </c>
      <c r="AB1026" s="5"/>
      <c r="AC1026" s="2" t="s">
        <v>3295</v>
      </c>
      <c r="AD1026" s="4">
        <v>715</v>
      </c>
      <c r="AE1026" s="4">
        <v>1429</v>
      </c>
      <c r="AF1026" s="6">
        <v>70</v>
      </c>
      <c r="AG1026" s="6"/>
      <c r="AH1026" s="7">
        <v>0</v>
      </c>
      <c r="AI1026" s="4"/>
      <c r="AJ1026" s="4">
        <f>=ROUNDDOWN({0},0)</f>
      </c>
      <c r="AK1026" s="5"/>
      <c r="AL1026" s="2" t="s">
        <v>231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231</v>
      </c>
      <c r="AW1026" s="8" t="s">
        <v>231</v>
      </c>
      <c r="AX1026" s="4" t="s">
        <v>231</v>
      </c>
      <c r="AY1026" s="8" t="s">
        <v>231</v>
      </c>
      <c r="AZ1026" s="7" t="s">
        <v>231</v>
      </c>
      <c r="BA1026" s="7" t="s">
        <v>231</v>
      </c>
      <c r="BB1026" s="7"/>
      <c r="BC1026" s="4" t="s">
        <v>231</v>
      </c>
      <c r="BD1026" s="8" t="s">
        <v>231</v>
      </c>
      <c r="BE1026" s="4" t="s">
        <v>231</v>
      </c>
      <c r="BF1026" s="8" t="s">
        <v>231</v>
      </c>
      <c r="BG1026" s="7" t="s">
        <v>231</v>
      </c>
      <c r="BH1026" s="7" t="s">
        <v>231</v>
      </c>
      <c r="BI1026" s="7"/>
      <c r="BJ1026" s="4"/>
      <c r="BK1026" s="8"/>
      <c r="BL1026" s="2" t="s">
        <v>231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241</v>
      </c>
      <c r="BV1026" s="2" t="s">
        <v>231</v>
      </c>
      <c r="BW1026" s="2" t="s">
        <v>231</v>
      </c>
      <c r="BX1026" s="2" t="s">
        <v>241</v>
      </c>
      <c r="BY1026" s="2" t="s">
        <v>242</v>
      </c>
      <c r="BZ1026" s="2" t="s">
        <v>243</v>
      </c>
      <c r="CA1026" s="2" t="s">
        <v>231</v>
      </c>
      <c r="CB1026" s="2" t="s">
        <v>231</v>
      </c>
      <c r="CC1026" s="2" t="s">
        <v>244</v>
      </c>
      <c r="CD1026" s="2" t="s">
        <v>231</v>
      </c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>
        <v>715</v>
      </c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>
        <v>500</v>
      </c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>
        <v>214</v>
      </c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</row>
    <row r="1027">
      <c r="A1027" s="2" t="s">
        <v>4955</v>
      </c>
      <c r="B1027" s="2" t="s">
        <v>287</v>
      </c>
      <c r="C1027" s="2" t="s">
        <v>825</v>
      </c>
      <c r="D1027" s="2" t="s">
        <v>289</v>
      </c>
      <c r="E1027" s="2" t="s">
        <v>290</v>
      </c>
      <c r="F1027" s="2" t="s">
        <v>4816</v>
      </c>
      <c r="G1027" s="2" t="s">
        <v>4816</v>
      </c>
      <c r="H1027" s="2" t="s">
        <v>4816</v>
      </c>
      <c r="I1027" s="2" t="s">
        <v>4817</v>
      </c>
      <c r="J1027" s="2" t="s">
        <v>268</v>
      </c>
      <c r="K1027" s="2" t="s">
        <v>4953</v>
      </c>
      <c r="L1027" s="3">
        <v>15.22</v>
      </c>
      <c r="M1027" s="3">
        <v>15.98</v>
      </c>
      <c r="N1027" s="3">
        <v>31.99</v>
      </c>
      <c r="O1027" s="2" t="s">
        <v>243</v>
      </c>
      <c r="P1027" s="2" t="s">
        <v>236</v>
      </c>
      <c r="Q1027" s="2" t="s">
        <v>237</v>
      </c>
      <c r="R1027" s="2" t="s">
        <v>231</v>
      </c>
      <c r="S1027" s="2" t="s">
        <v>4954</v>
      </c>
      <c r="T1027" s="2" t="s">
        <v>4134</v>
      </c>
      <c r="U1027" s="2" t="s">
        <v>835</v>
      </c>
      <c r="V1027" s="2" t="s">
        <v>4046</v>
      </c>
      <c r="W1027" s="2" t="s">
        <v>273</v>
      </c>
      <c r="X1027" s="2" t="s">
        <v>792</v>
      </c>
      <c r="Y1027" s="2" t="s">
        <v>231</v>
      </c>
      <c r="Z1027" s="4"/>
      <c r="AA1027" s="4">
        <f>=ROUNDDOWN({0},0)</f>
      </c>
      <c r="AB1027" s="5"/>
      <c r="AC1027" s="2" t="s">
        <v>3295</v>
      </c>
      <c r="AD1027" s="4">
        <v>446</v>
      </c>
      <c r="AE1027" s="4">
        <v>892</v>
      </c>
      <c r="AF1027" s="6">
        <v>70</v>
      </c>
      <c r="AG1027" s="6"/>
      <c r="AH1027" s="7">
        <v>0</v>
      </c>
      <c r="AI1027" s="4"/>
      <c r="AJ1027" s="4">
        <f>=ROUNDDOWN({0},0)</f>
      </c>
      <c r="AK1027" s="5"/>
      <c r="AL1027" s="2" t="s">
        <v>231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231</v>
      </c>
      <c r="AW1027" s="8" t="s">
        <v>231</v>
      </c>
      <c r="AX1027" s="4" t="s">
        <v>231</v>
      </c>
      <c r="AY1027" s="8" t="s">
        <v>231</v>
      </c>
      <c r="AZ1027" s="7" t="s">
        <v>231</v>
      </c>
      <c r="BA1027" s="7" t="s">
        <v>231</v>
      </c>
      <c r="BB1027" s="7"/>
      <c r="BC1027" s="4" t="s">
        <v>231</v>
      </c>
      <c r="BD1027" s="8" t="s">
        <v>231</v>
      </c>
      <c r="BE1027" s="4" t="s">
        <v>231</v>
      </c>
      <c r="BF1027" s="8" t="s">
        <v>231</v>
      </c>
      <c r="BG1027" s="7" t="s">
        <v>231</v>
      </c>
      <c r="BH1027" s="7" t="s">
        <v>231</v>
      </c>
      <c r="BI1027" s="7"/>
      <c r="BJ1027" s="4"/>
      <c r="BK1027" s="8"/>
      <c r="BL1027" s="2" t="s">
        <v>231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241</v>
      </c>
      <c r="BV1027" s="2" t="s">
        <v>231</v>
      </c>
      <c r="BW1027" s="2" t="s">
        <v>231</v>
      </c>
      <c r="BX1027" s="2" t="s">
        <v>241</v>
      </c>
      <c r="BY1027" s="2" t="s">
        <v>242</v>
      </c>
      <c r="BZ1027" s="2" t="s">
        <v>243</v>
      </c>
      <c r="CA1027" s="2" t="s">
        <v>231</v>
      </c>
      <c r="CB1027" s="2" t="s">
        <v>231</v>
      </c>
      <c r="CC1027" s="2" t="s">
        <v>244</v>
      </c>
      <c r="CD1027" s="2" t="s">
        <v>231</v>
      </c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>
        <v>446</v>
      </c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>
        <v>312</v>
      </c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>
        <v>134</v>
      </c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</row>
    <row r="1028">
      <c r="A1028" s="2" t="s">
        <v>4956</v>
      </c>
      <c r="B1028" s="2" t="s">
        <v>287</v>
      </c>
      <c r="C1028" s="2" t="s">
        <v>825</v>
      </c>
      <c r="D1028" s="2" t="s">
        <v>289</v>
      </c>
      <c r="E1028" s="2" t="s">
        <v>290</v>
      </c>
      <c r="F1028" s="2" t="s">
        <v>4816</v>
      </c>
      <c r="G1028" s="2" t="s">
        <v>4816</v>
      </c>
      <c r="H1028" s="2" t="s">
        <v>4816</v>
      </c>
      <c r="I1028" s="2" t="s">
        <v>4817</v>
      </c>
      <c r="J1028" s="2" t="s">
        <v>281</v>
      </c>
      <c r="K1028" s="2" t="s">
        <v>4953</v>
      </c>
      <c r="L1028" s="3">
        <v>19.13</v>
      </c>
      <c r="M1028" s="3">
        <v>20.09</v>
      </c>
      <c r="N1028" s="3">
        <v>42.99</v>
      </c>
      <c r="O1028" s="2" t="s">
        <v>243</v>
      </c>
      <c r="P1028" s="2" t="s">
        <v>236</v>
      </c>
      <c r="Q1028" s="2" t="s">
        <v>237</v>
      </c>
      <c r="R1028" s="2" t="s">
        <v>231</v>
      </c>
      <c r="S1028" s="2" t="s">
        <v>4954</v>
      </c>
      <c r="T1028" s="2" t="s">
        <v>4134</v>
      </c>
      <c r="U1028" s="2" t="s">
        <v>298</v>
      </c>
      <c r="V1028" s="2" t="s">
        <v>4046</v>
      </c>
      <c r="W1028" s="2" t="s">
        <v>273</v>
      </c>
      <c r="X1028" s="2" t="s">
        <v>792</v>
      </c>
      <c r="Y1028" s="2" t="s">
        <v>231</v>
      </c>
      <c r="Z1028" s="4"/>
      <c r="AA1028" s="4">
        <f>=ROUNDDOWN({0},0)</f>
      </c>
      <c r="AB1028" s="5"/>
      <c r="AC1028" s="2" t="s">
        <v>3295</v>
      </c>
      <c r="AD1028" s="4">
        <v>542</v>
      </c>
      <c r="AE1028" s="4">
        <v>1085</v>
      </c>
      <c r="AF1028" s="6">
        <v>70</v>
      </c>
      <c r="AG1028" s="6"/>
      <c r="AH1028" s="7">
        <v>0</v>
      </c>
      <c r="AI1028" s="4"/>
      <c r="AJ1028" s="4">
        <f>=ROUNDDOWN({0},0)</f>
      </c>
      <c r="AK1028" s="5"/>
      <c r="AL1028" s="2" t="s">
        <v>231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231</v>
      </c>
      <c r="AW1028" s="8" t="s">
        <v>231</v>
      </c>
      <c r="AX1028" s="4" t="s">
        <v>231</v>
      </c>
      <c r="AY1028" s="8" t="s">
        <v>231</v>
      </c>
      <c r="AZ1028" s="7" t="s">
        <v>231</v>
      </c>
      <c r="BA1028" s="7" t="s">
        <v>231</v>
      </c>
      <c r="BB1028" s="7"/>
      <c r="BC1028" s="4" t="s">
        <v>231</v>
      </c>
      <c r="BD1028" s="8" t="s">
        <v>231</v>
      </c>
      <c r="BE1028" s="4" t="s">
        <v>231</v>
      </c>
      <c r="BF1028" s="8" t="s">
        <v>231</v>
      </c>
      <c r="BG1028" s="7" t="s">
        <v>231</v>
      </c>
      <c r="BH1028" s="7" t="s">
        <v>231</v>
      </c>
      <c r="BI1028" s="7"/>
      <c r="BJ1028" s="4"/>
      <c r="BK1028" s="8"/>
      <c r="BL1028" s="2" t="s">
        <v>231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241</v>
      </c>
      <c r="BV1028" s="2" t="s">
        <v>231</v>
      </c>
      <c r="BW1028" s="2" t="s">
        <v>231</v>
      </c>
      <c r="BX1028" s="2" t="s">
        <v>241</v>
      </c>
      <c r="BY1028" s="2" t="s">
        <v>242</v>
      </c>
      <c r="BZ1028" s="2" t="s">
        <v>243</v>
      </c>
      <c r="CA1028" s="2" t="s">
        <v>231</v>
      </c>
      <c r="CB1028" s="2" t="s">
        <v>231</v>
      </c>
      <c r="CC1028" s="2" t="s">
        <v>244</v>
      </c>
      <c r="CD1028" s="2" t="s">
        <v>231</v>
      </c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>
        <v>542</v>
      </c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>
        <v>380</v>
      </c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>
        <v>163</v>
      </c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</row>
    <row r="1029">
      <c r="A1029" s="2" t="s">
        <v>4957</v>
      </c>
      <c r="B1029" s="2" t="s">
        <v>287</v>
      </c>
      <c r="C1029" s="2" t="s">
        <v>825</v>
      </c>
      <c r="D1029" s="2" t="s">
        <v>289</v>
      </c>
      <c r="E1029" s="2" t="s">
        <v>290</v>
      </c>
      <c r="F1029" s="2" t="s">
        <v>4816</v>
      </c>
      <c r="G1029" s="2" t="s">
        <v>4816</v>
      </c>
      <c r="H1029" s="2" t="s">
        <v>4816</v>
      </c>
      <c r="I1029" s="2" t="s">
        <v>4817</v>
      </c>
      <c r="J1029" s="2" t="s">
        <v>293</v>
      </c>
      <c r="K1029" s="2" t="s">
        <v>4953</v>
      </c>
      <c r="L1029" s="3">
        <v>21.27</v>
      </c>
      <c r="M1029" s="3">
        <v>22.33</v>
      </c>
      <c r="N1029" s="3">
        <v>47.99</v>
      </c>
      <c r="O1029" s="2" t="s">
        <v>243</v>
      </c>
      <c r="P1029" s="2" t="s">
        <v>236</v>
      </c>
      <c r="Q1029" s="2" t="s">
        <v>237</v>
      </c>
      <c r="R1029" s="2" t="s">
        <v>231</v>
      </c>
      <c r="S1029" s="2" t="s">
        <v>4954</v>
      </c>
      <c r="T1029" s="2" t="s">
        <v>4134</v>
      </c>
      <c r="U1029" s="2" t="s">
        <v>298</v>
      </c>
      <c r="V1029" s="2" t="s">
        <v>4046</v>
      </c>
      <c r="W1029" s="2" t="s">
        <v>273</v>
      </c>
      <c r="X1029" s="2" t="s">
        <v>792</v>
      </c>
      <c r="Y1029" s="2" t="s">
        <v>231</v>
      </c>
      <c r="Z1029" s="4"/>
      <c r="AA1029" s="4">
        <f>=ROUNDDOWN({0},0)</f>
      </c>
      <c r="AB1029" s="5"/>
      <c r="AC1029" s="2" t="s">
        <v>3295</v>
      </c>
      <c r="AD1029" s="4">
        <v>433</v>
      </c>
      <c r="AE1029" s="4">
        <v>866</v>
      </c>
      <c r="AF1029" s="6">
        <v>70</v>
      </c>
      <c r="AG1029" s="6"/>
      <c r="AH1029" s="7">
        <v>0</v>
      </c>
      <c r="AI1029" s="4"/>
      <c r="AJ1029" s="4">
        <f>=ROUNDDOWN({0},0)</f>
      </c>
      <c r="AK1029" s="5"/>
      <c r="AL1029" s="2" t="s">
        <v>231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231</v>
      </c>
      <c r="AW1029" s="8" t="s">
        <v>231</v>
      </c>
      <c r="AX1029" s="4" t="s">
        <v>231</v>
      </c>
      <c r="AY1029" s="8" t="s">
        <v>231</v>
      </c>
      <c r="AZ1029" s="7" t="s">
        <v>231</v>
      </c>
      <c r="BA1029" s="7" t="s">
        <v>231</v>
      </c>
      <c r="BB1029" s="7"/>
      <c r="BC1029" s="4" t="s">
        <v>231</v>
      </c>
      <c r="BD1029" s="8" t="s">
        <v>231</v>
      </c>
      <c r="BE1029" s="4" t="s">
        <v>231</v>
      </c>
      <c r="BF1029" s="8" t="s">
        <v>231</v>
      </c>
      <c r="BG1029" s="7" t="s">
        <v>231</v>
      </c>
      <c r="BH1029" s="7" t="s">
        <v>231</v>
      </c>
      <c r="BI1029" s="7"/>
      <c r="BJ1029" s="4"/>
      <c r="BK1029" s="8"/>
      <c r="BL1029" s="2" t="s">
        <v>231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241</v>
      </c>
      <c r="BV1029" s="2" t="s">
        <v>231</v>
      </c>
      <c r="BW1029" s="2" t="s">
        <v>231</v>
      </c>
      <c r="BX1029" s="2" t="s">
        <v>241</v>
      </c>
      <c r="BY1029" s="2" t="s">
        <v>242</v>
      </c>
      <c r="BZ1029" s="2" t="s">
        <v>243</v>
      </c>
      <c r="CA1029" s="2" t="s">
        <v>231</v>
      </c>
      <c r="CB1029" s="2" t="s">
        <v>231</v>
      </c>
      <c r="CC1029" s="2" t="s">
        <v>244</v>
      </c>
      <c r="CD1029" s="2" t="s">
        <v>231</v>
      </c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>
        <v>433</v>
      </c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>
        <v>303</v>
      </c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>
        <v>130</v>
      </c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</row>
    <row r="1030">
      <c r="A1030" s="2" t="s">
        <v>4958</v>
      </c>
      <c r="B1030" s="2" t="s">
        <v>1004</v>
      </c>
      <c r="C1030" s="2" t="s">
        <v>815</v>
      </c>
      <c r="D1030" s="2" t="s">
        <v>1689</v>
      </c>
      <c r="E1030" s="2" t="s">
        <v>1690</v>
      </c>
      <c r="F1030" s="2" t="s">
        <v>4959</v>
      </c>
      <c r="G1030" s="2" t="s">
        <v>4959</v>
      </c>
      <c r="H1030" s="2" t="s">
        <v>4959</v>
      </c>
      <c r="I1030" s="2" t="s">
        <v>2651</v>
      </c>
      <c r="J1030" s="2" t="s">
        <v>807</v>
      </c>
      <c r="K1030" s="2" t="s">
        <v>747</v>
      </c>
      <c r="L1030" s="3">
        <v>261</v>
      </c>
      <c r="M1030" s="3">
        <v>274.05</v>
      </c>
      <c r="N1030" s="3">
        <v>549</v>
      </c>
      <c r="O1030" s="2" t="s">
        <v>243</v>
      </c>
      <c r="P1030" s="2" t="s">
        <v>270</v>
      </c>
      <c r="Q1030" s="2" t="s">
        <v>237</v>
      </c>
      <c r="R1030" s="2" t="s">
        <v>231</v>
      </c>
      <c r="S1030" s="2" t="s">
        <v>4960</v>
      </c>
      <c r="T1030" s="2" t="s">
        <v>231</v>
      </c>
      <c r="U1030" s="2" t="s">
        <v>231</v>
      </c>
      <c r="V1030" s="2" t="s">
        <v>239</v>
      </c>
      <c r="W1030" s="2" t="s">
        <v>808</v>
      </c>
      <c r="X1030" s="2" t="s">
        <v>231</v>
      </c>
      <c r="Y1030" s="2" t="s">
        <v>274</v>
      </c>
      <c r="Z1030" s="4">
        <v>199</v>
      </c>
      <c r="AA1030" s="4">
        <f>=ROUNDDOWN(39.8,0)</f>
      </c>
      <c r="AB1030" s="5">
        <v>5</v>
      </c>
      <c r="AC1030" s="2" t="s">
        <v>794</v>
      </c>
      <c r="AD1030" s="4">
        <v>42</v>
      </c>
      <c r="AE1030" s="4">
        <v>42</v>
      </c>
      <c r="AF1030" s="6">
        <v>66</v>
      </c>
      <c r="AG1030" s="6">
        <v>49</v>
      </c>
      <c r="AH1030" s="7">
        <v>1</v>
      </c>
      <c r="AI1030" s="4"/>
      <c r="AJ1030" s="4">
        <f>=ROUNDDOWN({0},0)</f>
      </c>
      <c r="AK1030" s="5"/>
      <c r="AL1030" s="2" t="s">
        <v>231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>
        <v>12</v>
      </c>
      <c r="BK1030" s="8">
        <v>2817.66</v>
      </c>
      <c r="BL1030" s="2" t="s">
        <v>4961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4962</v>
      </c>
      <c r="BV1030" s="2" t="s">
        <v>231</v>
      </c>
      <c r="BW1030" s="2" t="s">
        <v>231</v>
      </c>
      <c r="BX1030" s="2" t="s">
        <v>1812</v>
      </c>
      <c r="BY1030" s="2" t="s">
        <v>277</v>
      </c>
      <c r="BZ1030" s="2" t="s">
        <v>243</v>
      </c>
      <c r="CA1030" s="2" t="s">
        <v>4353</v>
      </c>
      <c r="CB1030" s="2" t="s">
        <v>4963</v>
      </c>
      <c r="CC1030" s="2" t="s">
        <v>244</v>
      </c>
      <c r="CD1030" s="2" t="s">
        <v>231</v>
      </c>
      <c r="CE1030" s="4"/>
      <c r="CF1030" s="4">
        <v>133</v>
      </c>
      <c r="CG1030" s="4"/>
      <c r="CH1030" s="4"/>
      <c r="CI1030" s="4">
        <v>66</v>
      </c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>
        <v>42</v>
      </c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</row>
    <row r="1031">
      <c r="A1031" s="2" t="s">
        <v>4964</v>
      </c>
      <c r="B1031" s="2" t="s">
        <v>801</v>
      </c>
      <c r="C1031" s="2" t="s">
        <v>1105</v>
      </c>
      <c r="D1031" s="2" t="s">
        <v>1114</v>
      </c>
      <c r="E1031" s="2" t="s">
        <v>1115</v>
      </c>
      <c r="F1031" s="2" t="s">
        <v>4965</v>
      </c>
      <c r="G1031" s="2" t="s">
        <v>4965</v>
      </c>
      <c r="H1031" s="2" t="s">
        <v>4965</v>
      </c>
      <c r="I1031" s="2" t="s">
        <v>4966</v>
      </c>
      <c r="J1031" s="2" t="s">
        <v>807</v>
      </c>
      <c r="K1031" s="2" t="s">
        <v>319</v>
      </c>
      <c r="L1031" s="3">
        <v>43.2</v>
      </c>
      <c r="M1031" s="3">
        <v>45.36</v>
      </c>
      <c r="N1031" s="3">
        <v>99.99</v>
      </c>
      <c r="O1031" s="2" t="s">
        <v>243</v>
      </c>
      <c r="P1031" s="2" t="s">
        <v>341</v>
      </c>
      <c r="Q1031" s="2" t="s">
        <v>237</v>
      </c>
      <c r="R1031" s="2" t="s">
        <v>231</v>
      </c>
      <c r="S1031" s="2" t="s">
        <v>231</v>
      </c>
      <c r="T1031" s="2" t="s">
        <v>231</v>
      </c>
      <c r="U1031" s="2" t="s">
        <v>327</v>
      </c>
      <c r="V1031" s="2" t="s">
        <v>662</v>
      </c>
      <c r="W1031" s="2" t="s">
        <v>273</v>
      </c>
      <c r="X1031" s="2" t="s">
        <v>792</v>
      </c>
      <c r="Y1031" s="2" t="s">
        <v>3857</v>
      </c>
      <c r="Z1031" s="4">
        <v>55</v>
      </c>
      <c r="AA1031" s="4">
        <f>=ROUNDDOWN({0},0)</f>
      </c>
      <c r="AB1031" s="5"/>
      <c r="AC1031" s="2" t="s">
        <v>231</v>
      </c>
      <c r="AD1031" s="4"/>
      <c r="AE1031" s="4"/>
      <c r="AF1031" s="6">
        <v>63</v>
      </c>
      <c r="AG1031" s="6"/>
      <c r="AH1031" s="7">
        <v>1</v>
      </c>
      <c r="AI1031" s="4"/>
      <c r="AJ1031" s="4">
        <f>=ROUNDDOWN({0},0)</f>
      </c>
      <c r="AK1031" s="5"/>
      <c r="AL1031" s="2" t="s">
        <v>231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5</v>
      </c>
      <c r="BK1031" s="8">
        <v>301.1</v>
      </c>
      <c r="BL1031" s="2" t="s">
        <v>863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4967</v>
      </c>
      <c r="BV1031" s="2" t="s">
        <v>231</v>
      </c>
      <c r="BW1031" s="2" t="s">
        <v>231</v>
      </c>
      <c r="BX1031" s="2" t="s">
        <v>231</v>
      </c>
      <c r="BY1031" s="2" t="s">
        <v>277</v>
      </c>
      <c r="BZ1031" s="2" t="s">
        <v>243</v>
      </c>
      <c r="CA1031" s="2" t="s">
        <v>4968</v>
      </c>
      <c r="CB1031" s="2" t="s">
        <v>4969</v>
      </c>
      <c r="CC1031" s="2" t="s">
        <v>244</v>
      </c>
      <c r="CD1031" s="2" t="s">
        <v>231</v>
      </c>
      <c r="CE1031" s="4"/>
      <c r="CF1031" s="4">
        <v>55</v>
      </c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</row>
    <row r="1032">
      <c r="A1032" s="2" t="s">
        <v>4970</v>
      </c>
      <c r="B1032" s="2" t="s">
        <v>801</v>
      </c>
      <c r="C1032" s="2" t="s">
        <v>802</v>
      </c>
      <c r="D1032" s="2" t="s">
        <v>803</v>
      </c>
      <c r="E1032" s="2" t="s">
        <v>804</v>
      </c>
      <c r="F1032" s="2" t="s">
        <v>4971</v>
      </c>
      <c r="G1032" s="2" t="s">
        <v>4971</v>
      </c>
      <c r="H1032" s="2" t="s">
        <v>4971</v>
      </c>
      <c r="I1032" s="2" t="s">
        <v>4972</v>
      </c>
      <c r="J1032" s="2" t="s">
        <v>807</v>
      </c>
      <c r="K1032" s="2" t="s">
        <v>1118</v>
      </c>
      <c r="L1032" s="3">
        <v>136</v>
      </c>
      <c r="M1032" s="3">
        <v>142.8</v>
      </c>
      <c r="N1032" s="3">
        <v>279.99</v>
      </c>
      <c r="O1032" s="2" t="s">
        <v>243</v>
      </c>
      <c r="P1032" s="2" t="s">
        <v>1915</v>
      </c>
      <c r="Q1032" s="2" t="s">
        <v>237</v>
      </c>
      <c r="R1032" s="2" t="s">
        <v>231</v>
      </c>
      <c r="S1032" s="2" t="s">
        <v>231</v>
      </c>
      <c r="T1032" s="2" t="s">
        <v>231</v>
      </c>
      <c r="U1032" s="2" t="s">
        <v>327</v>
      </c>
      <c r="V1032" s="2" t="s">
        <v>662</v>
      </c>
      <c r="W1032" s="2" t="s">
        <v>792</v>
      </c>
      <c r="X1032" s="2" t="s">
        <v>691</v>
      </c>
      <c r="Y1032" s="2" t="s">
        <v>231</v>
      </c>
      <c r="Z1032" s="4"/>
      <c r="AA1032" s="4">
        <f>=ROUNDDOWN({0},0)</f>
      </c>
      <c r="AB1032" s="5"/>
      <c r="AC1032" s="2" t="s">
        <v>223</v>
      </c>
      <c r="AD1032" s="4">
        <v>150</v>
      </c>
      <c r="AE1032" s="4">
        <v>150</v>
      </c>
      <c r="AF1032" s="6">
        <v>72</v>
      </c>
      <c r="AG1032" s="6"/>
      <c r="AH1032" s="7">
        <v>0</v>
      </c>
      <c r="AI1032" s="4"/>
      <c r="AJ1032" s="4">
        <f>=ROUNDDOWN({0},0)</f>
      </c>
      <c r="AK1032" s="5"/>
      <c r="AL1032" s="2" t="s">
        <v>231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231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241</v>
      </c>
      <c r="BV1032" s="2" t="s">
        <v>231</v>
      </c>
      <c r="BW1032" s="2" t="s">
        <v>231</v>
      </c>
      <c r="BX1032" s="2" t="s">
        <v>241</v>
      </c>
      <c r="BY1032" s="2" t="s">
        <v>242</v>
      </c>
      <c r="BZ1032" s="2" t="s">
        <v>243</v>
      </c>
      <c r="CA1032" s="2" t="s">
        <v>231</v>
      </c>
      <c r="CB1032" s="2" t="s">
        <v>231</v>
      </c>
      <c r="CC1032" s="2" t="s">
        <v>244</v>
      </c>
      <c r="CD1032" s="2" t="s">
        <v>231</v>
      </c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>
        <v>150</v>
      </c>
      <c r="HG1032" s="4"/>
      <c r="HH1032" s="4"/>
      <c r="HI1032" s="4"/>
      <c r="HJ1032" s="4"/>
      <c r="HK1032" s="4"/>
      <c r="HL1032" s="4"/>
    </row>
    <row r="1033">
      <c r="A1033" s="2" t="s">
        <v>4973</v>
      </c>
      <c r="B1033" s="2" t="s">
        <v>1186</v>
      </c>
      <c r="C1033" s="2" t="s">
        <v>288</v>
      </c>
      <c r="D1033" s="2" t="s">
        <v>826</v>
      </c>
      <c r="E1033" s="2" t="s">
        <v>1060</v>
      </c>
      <c r="F1033" s="2" t="s">
        <v>4974</v>
      </c>
      <c r="G1033" s="2" t="s">
        <v>4975</v>
      </c>
      <c r="H1033" s="2" t="s">
        <v>4976</v>
      </c>
      <c r="I1033" s="2" t="s">
        <v>4977</v>
      </c>
      <c r="J1033" s="2" t="s">
        <v>658</v>
      </c>
      <c r="K1033" s="2" t="s">
        <v>4978</v>
      </c>
      <c r="L1033" s="3">
        <v>32</v>
      </c>
      <c r="M1033" s="3">
        <v>33.6</v>
      </c>
      <c r="N1033" s="3">
        <v>69.99</v>
      </c>
      <c r="O1033" s="2" t="s">
        <v>243</v>
      </c>
      <c r="P1033" s="2" t="s">
        <v>236</v>
      </c>
      <c r="Q1033" s="2" t="s">
        <v>237</v>
      </c>
      <c r="R1033" s="2" t="s">
        <v>231</v>
      </c>
      <c r="S1033" s="2" t="s">
        <v>4979</v>
      </c>
      <c r="T1033" s="2" t="s">
        <v>362</v>
      </c>
      <c r="U1033" s="2" t="s">
        <v>835</v>
      </c>
      <c r="V1033" s="2" t="s">
        <v>1192</v>
      </c>
      <c r="W1033" s="2" t="s">
        <v>808</v>
      </c>
      <c r="X1033" s="2" t="s">
        <v>691</v>
      </c>
      <c r="Y1033" s="2" t="s">
        <v>2980</v>
      </c>
      <c r="Z1033" s="4">
        <v>171</v>
      </c>
      <c r="AA1033" s="4">
        <f>=ROUNDDOWN(34.2,0)</f>
      </c>
      <c r="AB1033" s="5">
        <v>5</v>
      </c>
      <c r="AC1033" s="2" t="s">
        <v>231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231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231</v>
      </c>
      <c r="AW1033" s="8" t="s">
        <v>231</v>
      </c>
      <c r="AX1033" s="4" t="s">
        <v>231</v>
      </c>
      <c r="AY1033" s="8" t="s">
        <v>231</v>
      </c>
      <c r="AZ1033" s="7" t="s">
        <v>231</v>
      </c>
      <c r="BA1033" s="7" t="s">
        <v>231</v>
      </c>
      <c r="BB1033" s="7"/>
      <c r="BC1033" s="4" t="s">
        <v>231</v>
      </c>
      <c r="BD1033" s="8" t="s">
        <v>231</v>
      </c>
      <c r="BE1033" s="4" t="s">
        <v>231</v>
      </c>
      <c r="BF1033" s="8" t="s">
        <v>231</v>
      </c>
      <c r="BG1033" s="7" t="s">
        <v>231</v>
      </c>
      <c r="BH1033" s="7" t="s">
        <v>231</v>
      </c>
      <c r="BI1033" s="7"/>
      <c r="BJ1033" s="4">
        <v>10</v>
      </c>
      <c r="BK1033" s="8">
        <v>350.8</v>
      </c>
      <c r="BL1033" s="2" t="s">
        <v>810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4980</v>
      </c>
      <c r="BV1033" s="2" t="s">
        <v>231</v>
      </c>
      <c r="BW1033" s="2" t="s">
        <v>231</v>
      </c>
      <c r="BX1033" s="2" t="s">
        <v>241</v>
      </c>
      <c r="BY1033" s="2" t="s">
        <v>277</v>
      </c>
      <c r="BZ1033" s="2" t="s">
        <v>243</v>
      </c>
      <c r="CA1033" s="2" t="s">
        <v>4981</v>
      </c>
      <c r="CB1033" s="2" t="s">
        <v>4982</v>
      </c>
      <c r="CC1033" s="2" t="s">
        <v>244</v>
      </c>
      <c r="CD1033" s="2" t="s">
        <v>231</v>
      </c>
      <c r="CE1033" s="4">
        <v>171</v>
      </c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</row>
    <row r="1034">
      <c r="A1034" s="2" t="s">
        <v>4983</v>
      </c>
      <c r="B1034" s="2" t="s">
        <v>1186</v>
      </c>
      <c r="C1034" s="2" t="s">
        <v>288</v>
      </c>
      <c r="D1034" s="2" t="s">
        <v>826</v>
      </c>
      <c r="E1034" s="2" t="s">
        <v>1060</v>
      </c>
      <c r="F1034" s="2" t="s">
        <v>4974</v>
      </c>
      <c r="G1034" s="2" t="s">
        <v>4975</v>
      </c>
      <c r="H1034" s="2" t="s">
        <v>4976</v>
      </c>
      <c r="I1034" s="2" t="s">
        <v>4977</v>
      </c>
      <c r="J1034" s="2" t="s">
        <v>669</v>
      </c>
      <c r="K1034" s="2" t="s">
        <v>4978</v>
      </c>
      <c r="L1034" s="3">
        <v>36.57</v>
      </c>
      <c r="M1034" s="3">
        <v>38.4</v>
      </c>
      <c r="N1034" s="3">
        <v>79.99</v>
      </c>
      <c r="O1034" s="2" t="s">
        <v>243</v>
      </c>
      <c r="P1034" s="2" t="s">
        <v>236</v>
      </c>
      <c r="Q1034" s="2" t="s">
        <v>237</v>
      </c>
      <c r="R1034" s="2" t="s">
        <v>231</v>
      </c>
      <c r="S1034" s="2" t="s">
        <v>4979</v>
      </c>
      <c r="T1034" s="2" t="s">
        <v>362</v>
      </c>
      <c r="U1034" s="2" t="s">
        <v>835</v>
      </c>
      <c r="V1034" s="2" t="s">
        <v>1192</v>
      </c>
      <c r="W1034" s="2" t="s">
        <v>808</v>
      </c>
      <c r="X1034" s="2" t="s">
        <v>691</v>
      </c>
      <c r="Y1034" s="2" t="s">
        <v>2980</v>
      </c>
      <c r="Z1034" s="4">
        <v>191</v>
      </c>
      <c r="AA1034" s="4">
        <f>=ROUNDDOWN(38.2,0)</f>
      </c>
      <c r="AB1034" s="5">
        <v>5</v>
      </c>
      <c r="AC1034" s="2" t="s">
        <v>231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231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231</v>
      </c>
      <c r="AW1034" s="8" t="s">
        <v>231</v>
      </c>
      <c r="AX1034" s="4" t="s">
        <v>231</v>
      </c>
      <c r="AY1034" s="8" t="s">
        <v>231</v>
      </c>
      <c r="AZ1034" s="7" t="s">
        <v>231</v>
      </c>
      <c r="BA1034" s="7" t="s">
        <v>231</v>
      </c>
      <c r="BB1034" s="7"/>
      <c r="BC1034" s="4" t="s">
        <v>231</v>
      </c>
      <c r="BD1034" s="8" t="s">
        <v>231</v>
      </c>
      <c r="BE1034" s="4" t="s">
        <v>231</v>
      </c>
      <c r="BF1034" s="8" t="s">
        <v>231</v>
      </c>
      <c r="BG1034" s="7" t="s">
        <v>231</v>
      </c>
      <c r="BH1034" s="7" t="s">
        <v>231</v>
      </c>
      <c r="BI1034" s="7"/>
      <c r="BJ1034" s="4">
        <v>7</v>
      </c>
      <c r="BK1034" s="8">
        <v>287.99</v>
      </c>
      <c r="BL1034" s="2" t="s">
        <v>3758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4984</v>
      </c>
      <c r="BV1034" s="2" t="s">
        <v>231</v>
      </c>
      <c r="BW1034" s="2" t="s">
        <v>231</v>
      </c>
      <c r="BX1034" s="2" t="s">
        <v>241</v>
      </c>
      <c r="BY1034" s="2" t="s">
        <v>277</v>
      </c>
      <c r="BZ1034" s="2" t="s">
        <v>243</v>
      </c>
      <c r="CA1034" s="2" t="s">
        <v>4981</v>
      </c>
      <c r="CB1034" s="2" t="s">
        <v>2771</v>
      </c>
      <c r="CC1034" s="2" t="s">
        <v>244</v>
      </c>
      <c r="CD1034" s="2" t="s">
        <v>231</v>
      </c>
      <c r="CE1034" s="4">
        <v>191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</row>
    <row r="1035">
      <c r="A1035" s="2" t="s">
        <v>4985</v>
      </c>
      <c r="B1035" s="2" t="s">
        <v>1389</v>
      </c>
      <c r="C1035" s="2" t="s">
        <v>288</v>
      </c>
      <c r="D1035" s="2" t="s">
        <v>1389</v>
      </c>
      <c r="E1035" s="2" t="s">
        <v>1389</v>
      </c>
      <c r="F1035" s="2" t="s">
        <v>2506</v>
      </c>
      <c r="G1035" s="2" t="s">
        <v>3494</v>
      </c>
      <c r="H1035" s="2" t="s">
        <v>4986</v>
      </c>
      <c r="I1035" s="2" t="s">
        <v>4987</v>
      </c>
      <c r="J1035" s="2" t="s">
        <v>4988</v>
      </c>
      <c r="K1035" s="2" t="s">
        <v>4989</v>
      </c>
      <c r="L1035" s="3">
        <v>28.39</v>
      </c>
      <c r="M1035" s="3">
        <v>29.81</v>
      </c>
      <c r="N1035" s="3">
        <v>64.99</v>
      </c>
      <c r="O1035" s="2" t="s">
        <v>243</v>
      </c>
      <c r="P1035" s="2" t="s">
        <v>341</v>
      </c>
      <c r="Q1035" s="2" t="s">
        <v>237</v>
      </c>
      <c r="R1035" s="2" t="s">
        <v>231</v>
      </c>
      <c r="S1035" s="2" t="s">
        <v>231</v>
      </c>
      <c r="T1035" s="2" t="s">
        <v>231</v>
      </c>
      <c r="U1035" s="2" t="s">
        <v>327</v>
      </c>
      <c r="V1035" s="2" t="s">
        <v>987</v>
      </c>
      <c r="W1035" s="2" t="s">
        <v>792</v>
      </c>
      <c r="X1035" s="2" t="s">
        <v>231</v>
      </c>
      <c r="Y1035" s="2" t="s">
        <v>3198</v>
      </c>
      <c r="Z1035" s="4">
        <v>11</v>
      </c>
      <c r="AA1035" s="4">
        <f>=ROUNDDOWN(36.6666666666667,0)</f>
      </c>
      <c r="AB1035" s="5">
        <v>0.3</v>
      </c>
      <c r="AC1035" s="2" t="s">
        <v>231</v>
      </c>
      <c r="AD1035" s="4"/>
      <c r="AE1035" s="4"/>
      <c r="AF1035" s="6">
        <v>63</v>
      </c>
      <c r="AG1035" s="6"/>
      <c r="AH1035" s="7">
        <v>1</v>
      </c>
      <c r="AI1035" s="4"/>
      <c r="AJ1035" s="4">
        <f>=ROUNDDOWN({0},0)</f>
      </c>
      <c r="AK1035" s="5"/>
      <c r="AL1035" s="2" t="s">
        <v>231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231</v>
      </c>
      <c r="AW1035" s="8" t="s">
        <v>231</v>
      </c>
      <c r="AX1035" s="4" t="s">
        <v>231</v>
      </c>
      <c r="AY1035" s="8" t="s">
        <v>231</v>
      </c>
      <c r="AZ1035" s="7" t="s">
        <v>231</v>
      </c>
      <c r="BA1035" s="7" t="s">
        <v>231</v>
      </c>
      <c r="BB1035" s="7"/>
      <c r="BC1035" s="4" t="s">
        <v>231</v>
      </c>
      <c r="BD1035" s="8" t="s">
        <v>231</v>
      </c>
      <c r="BE1035" s="4" t="s">
        <v>231</v>
      </c>
      <c r="BF1035" s="8" t="s">
        <v>231</v>
      </c>
      <c r="BG1035" s="7" t="s">
        <v>231</v>
      </c>
      <c r="BH1035" s="7" t="s">
        <v>231</v>
      </c>
      <c r="BI1035" s="7"/>
      <c r="BJ1035" s="4">
        <v>2</v>
      </c>
      <c r="BK1035" s="8">
        <v>75.52</v>
      </c>
      <c r="BL1035" s="2" t="s">
        <v>4990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4991</v>
      </c>
      <c r="BV1035" s="2" t="s">
        <v>231</v>
      </c>
      <c r="BW1035" s="2" t="s">
        <v>231</v>
      </c>
      <c r="BX1035" s="2" t="s">
        <v>231</v>
      </c>
      <c r="BY1035" s="2" t="s">
        <v>277</v>
      </c>
      <c r="BZ1035" s="2" t="s">
        <v>243</v>
      </c>
      <c r="CA1035" s="2" t="s">
        <v>1379</v>
      </c>
      <c r="CB1035" s="2" t="s">
        <v>3279</v>
      </c>
      <c r="CC1035" s="2" t="s">
        <v>244</v>
      </c>
      <c r="CD1035" s="2" t="s">
        <v>231</v>
      </c>
      <c r="CE1035" s="4"/>
      <c r="CF1035" s="4">
        <v>11</v>
      </c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</row>
    <row r="1036">
      <c r="A1036" s="2" t="s">
        <v>4992</v>
      </c>
      <c r="B1036" s="2" t="s">
        <v>1389</v>
      </c>
      <c r="C1036" s="2" t="s">
        <v>288</v>
      </c>
      <c r="D1036" s="2" t="s">
        <v>1389</v>
      </c>
      <c r="E1036" s="2" t="s">
        <v>1389</v>
      </c>
      <c r="F1036" s="2" t="s">
        <v>2506</v>
      </c>
      <c r="G1036" s="2" t="s">
        <v>3494</v>
      </c>
      <c r="H1036" s="2" t="s">
        <v>4986</v>
      </c>
      <c r="I1036" s="2" t="s">
        <v>4987</v>
      </c>
      <c r="J1036" s="2" t="s">
        <v>2039</v>
      </c>
      <c r="K1036" s="2" t="s">
        <v>4989</v>
      </c>
      <c r="L1036" s="3">
        <v>107.72</v>
      </c>
      <c r="M1036" s="3">
        <v>113.11</v>
      </c>
      <c r="N1036" s="3">
        <v>239.99</v>
      </c>
      <c r="O1036" s="2" t="s">
        <v>243</v>
      </c>
      <c r="P1036" s="2" t="s">
        <v>341</v>
      </c>
      <c r="Q1036" s="2" t="s">
        <v>237</v>
      </c>
      <c r="R1036" s="2" t="s">
        <v>231</v>
      </c>
      <c r="S1036" s="2" t="s">
        <v>231</v>
      </c>
      <c r="T1036" s="2" t="s">
        <v>231</v>
      </c>
      <c r="U1036" s="2" t="s">
        <v>327</v>
      </c>
      <c r="V1036" s="2" t="s">
        <v>987</v>
      </c>
      <c r="W1036" s="2" t="s">
        <v>676</v>
      </c>
      <c r="X1036" s="2" t="s">
        <v>231</v>
      </c>
      <c r="Y1036" s="2" t="s">
        <v>4993</v>
      </c>
      <c r="Z1036" s="4">
        <v>488</v>
      </c>
      <c r="AA1036" s="4">
        <f>=ROUNDDOWN(697.142857142857,0)</f>
      </c>
      <c r="AB1036" s="5">
        <v>0.7</v>
      </c>
      <c r="AC1036" s="2" t="s">
        <v>231</v>
      </c>
      <c r="AD1036" s="4"/>
      <c r="AE1036" s="4"/>
      <c r="AF1036" s="6">
        <v>63</v>
      </c>
      <c r="AG1036" s="6"/>
      <c r="AH1036" s="7">
        <v>1</v>
      </c>
      <c r="AI1036" s="4"/>
      <c r="AJ1036" s="4">
        <f>=ROUNDDOWN({0},0)</f>
      </c>
      <c r="AK1036" s="5"/>
      <c r="AL1036" s="2" t="s">
        <v>231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231</v>
      </c>
      <c r="AW1036" s="8" t="s">
        <v>231</v>
      </c>
      <c r="AX1036" s="4" t="s">
        <v>231</v>
      </c>
      <c r="AY1036" s="8" t="s">
        <v>231</v>
      </c>
      <c r="AZ1036" s="7" t="s">
        <v>231</v>
      </c>
      <c r="BA1036" s="7" t="s">
        <v>231</v>
      </c>
      <c r="BB1036" s="7"/>
      <c r="BC1036" s="4" t="s">
        <v>231</v>
      </c>
      <c r="BD1036" s="8" t="s">
        <v>231</v>
      </c>
      <c r="BE1036" s="4" t="s">
        <v>231</v>
      </c>
      <c r="BF1036" s="8" t="s">
        <v>231</v>
      </c>
      <c r="BG1036" s="7" t="s">
        <v>231</v>
      </c>
      <c r="BH1036" s="7" t="s">
        <v>231</v>
      </c>
      <c r="BI1036" s="7"/>
      <c r="BJ1036" s="4">
        <v>5</v>
      </c>
      <c r="BK1036" s="8">
        <v>668.67</v>
      </c>
      <c r="BL1036" s="2" t="s">
        <v>863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4994</v>
      </c>
      <c r="BV1036" s="2" t="s">
        <v>231</v>
      </c>
      <c r="BW1036" s="2" t="s">
        <v>231</v>
      </c>
      <c r="BX1036" s="2" t="s">
        <v>231</v>
      </c>
      <c r="BY1036" s="2" t="s">
        <v>277</v>
      </c>
      <c r="BZ1036" s="2" t="s">
        <v>243</v>
      </c>
      <c r="CA1036" s="2" t="s">
        <v>4995</v>
      </c>
      <c r="CB1036" s="2" t="s">
        <v>4996</v>
      </c>
      <c r="CC1036" s="2" t="s">
        <v>244</v>
      </c>
      <c r="CD1036" s="2" t="s">
        <v>231</v>
      </c>
      <c r="CE1036" s="4"/>
      <c r="CF1036" s="4">
        <v>488</v>
      </c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</row>
    <row r="1037">
      <c r="A1037" s="2" t="s">
        <v>4997</v>
      </c>
      <c r="B1037" s="2" t="s">
        <v>847</v>
      </c>
      <c r="C1037" s="2" t="s">
        <v>288</v>
      </c>
      <c r="D1037" s="2" t="s">
        <v>2003</v>
      </c>
      <c r="E1037" s="2" t="s">
        <v>2623</v>
      </c>
      <c r="F1037" s="2" t="s">
        <v>4998</v>
      </c>
      <c r="G1037" s="2" t="s">
        <v>4998</v>
      </c>
      <c r="H1037" s="2" t="s">
        <v>4998</v>
      </c>
      <c r="I1037" s="2" t="s">
        <v>4999</v>
      </c>
      <c r="J1037" s="2" t="s">
        <v>807</v>
      </c>
      <c r="K1037" s="2" t="s">
        <v>5000</v>
      </c>
      <c r="L1037" s="3">
        <v>28.22</v>
      </c>
      <c r="M1037" s="3">
        <v>29.63</v>
      </c>
      <c r="N1037" s="3">
        <v>59.49</v>
      </c>
      <c r="O1037" s="2" t="s">
        <v>243</v>
      </c>
      <c r="P1037" s="2" t="s">
        <v>270</v>
      </c>
      <c r="Q1037" s="2" t="s">
        <v>237</v>
      </c>
      <c r="R1037" s="2" t="s">
        <v>231</v>
      </c>
      <c r="S1037" s="2" t="s">
        <v>5001</v>
      </c>
      <c r="T1037" s="2" t="s">
        <v>231</v>
      </c>
      <c r="U1037" s="2" t="s">
        <v>327</v>
      </c>
      <c r="V1037" s="2" t="s">
        <v>3223</v>
      </c>
      <c r="W1037" s="2" t="s">
        <v>896</v>
      </c>
      <c r="X1037" s="2" t="s">
        <v>231</v>
      </c>
      <c r="Y1037" s="2" t="s">
        <v>5002</v>
      </c>
      <c r="Z1037" s="4">
        <v>94</v>
      </c>
      <c r="AA1037" s="4">
        <f>=ROUNDDOWN(9.4,0)</f>
      </c>
      <c r="AB1037" s="5">
        <v>10</v>
      </c>
      <c r="AC1037" s="2" t="s">
        <v>1664</v>
      </c>
      <c r="AD1037" s="4">
        <v>150</v>
      </c>
      <c r="AE1037" s="4">
        <v>150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231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>
        <v>59</v>
      </c>
      <c r="BK1037" s="8">
        <v>1878.6</v>
      </c>
      <c r="BL1037" s="2" t="s">
        <v>5003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5004</v>
      </c>
      <c r="BV1037" s="2" t="s">
        <v>231</v>
      </c>
      <c r="BW1037" s="2" t="s">
        <v>231</v>
      </c>
      <c r="BX1037" s="2" t="s">
        <v>231</v>
      </c>
      <c r="BY1037" s="2" t="s">
        <v>277</v>
      </c>
      <c r="BZ1037" s="2" t="s">
        <v>243</v>
      </c>
      <c r="CA1037" s="2" t="s">
        <v>1604</v>
      </c>
      <c r="CB1037" s="2" t="s">
        <v>3711</v>
      </c>
      <c r="CC1037" s="2" t="s">
        <v>244</v>
      </c>
      <c r="CD1037" s="2" t="s">
        <v>231</v>
      </c>
      <c r="CE1037" s="4"/>
      <c r="CF1037" s="4">
        <v>94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>
        <v>150</v>
      </c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</row>
    <row r="1038">
      <c r="A1038" s="2" t="s">
        <v>5005</v>
      </c>
      <c r="B1038" s="2" t="s">
        <v>1004</v>
      </c>
      <c r="C1038" s="2" t="s">
        <v>1105</v>
      </c>
      <c r="D1038" s="2" t="s">
        <v>1689</v>
      </c>
      <c r="E1038" s="2" t="s">
        <v>2538</v>
      </c>
      <c r="F1038" s="2" t="s">
        <v>5006</v>
      </c>
      <c r="G1038" s="2" t="s">
        <v>5006</v>
      </c>
      <c r="H1038" s="2" t="s">
        <v>5006</v>
      </c>
      <c r="I1038" s="2" t="s">
        <v>5007</v>
      </c>
      <c r="J1038" s="2" t="s">
        <v>807</v>
      </c>
      <c r="K1038" s="2" t="s">
        <v>2321</v>
      </c>
      <c r="L1038" s="3">
        <v>112.1</v>
      </c>
      <c r="M1038" s="3">
        <v>117.7</v>
      </c>
      <c r="N1038" s="3">
        <v>239</v>
      </c>
      <c r="O1038" s="2" t="s">
        <v>235</v>
      </c>
      <c r="P1038" s="2" t="s">
        <v>341</v>
      </c>
      <c r="Q1038" s="2" t="s">
        <v>237</v>
      </c>
      <c r="R1038" s="2" t="s">
        <v>231</v>
      </c>
      <c r="S1038" s="2" t="s">
        <v>231</v>
      </c>
      <c r="T1038" s="2" t="s">
        <v>231</v>
      </c>
      <c r="U1038" s="2" t="s">
        <v>327</v>
      </c>
      <c r="V1038" s="2" t="s">
        <v>662</v>
      </c>
      <c r="W1038" s="2" t="s">
        <v>792</v>
      </c>
      <c r="X1038" s="2" t="s">
        <v>691</v>
      </c>
      <c r="Y1038" s="2" t="s">
        <v>3681</v>
      </c>
      <c r="Z1038" s="4"/>
      <c r="AA1038" s="4">
        <f>=ROUNDDOWN({0},0)</f>
      </c>
      <c r="AB1038" s="5">
        <v>4</v>
      </c>
      <c r="AC1038" s="2" t="s">
        <v>231</v>
      </c>
      <c r="AD1038" s="4"/>
      <c r="AE1038" s="4"/>
      <c r="AF1038" s="6">
        <v>74</v>
      </c>
      <c r="AG1038" s="6"/>
      <c r="AH1038" s="7">
        <v>0</v>
      </c>
      <c r="AI1038" s="4"/>
      <c r="AJ1038" s="4">
        <f>=ROUNDDOWN({0},0)</f>
      </c>
      <c r="AK1038" s="5"/>
      <c r="AL1038" s="2" t="s">
        <v>231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231</v>
      </c>
      <c r="BD1038" s="8" t="s">
        <v>231</v>
      </c>
      <c r="BE1038" s="4" t="s">
        <v>231</v>
      </c>
      <c r="BF1038" s="8" t="s">
        <v>231</v>
      </c>
      <c r="BG1038" s="7" t="s">
        <v>231</v>
      </c>
      <c r="BH1038" s="7" t="s">
        <v>231</v>
      </c>
      <c r="BI1038" s="7"/>
      <c r="BJ1038" s="4"/>
      <c r="BK1038" s="8"/>
      <c r="BL1038" s="2" t="s">
        <v>231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241</v>
      </c>
      <c r="BV1038" s="2" t="s">
        <v>231</v>
      </c>
      <c r="BW1038" s="2" t="s">
        <v>231</v>
      </c>
      <c r="BX1038" s="2" t="s">
        <v>241</v>
      </c>
      <c r="BY1038" s="2" t="s">
        <v>2527</v>
      </c>
      <c r="BZ1038" s="2" t="s">
        <v>243</v>
      </c>
      <c r="CA1038" s="2" t="s">
        <v>231</v>
      </c>
      <c r="CB1038" s="2" t="s">
        <v>231</v>
      </c>
      <c r="CC1038" s="2" t="s">
        <v>244</v>
      </c>
      <c r="CD1038" s="2" t="s">
        <v>231</v>
      </c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</row>
    <row r="1039">
      <c r="A1039" s="2" t="s">
        <v>5008</v>
      </c>
      <c r="B1039" s="2" t="s">
        <v>1004</v>
      </c>
      <c r="C1039" s="2" t="s">
        <v>1105</v>
      </c>
      <c r="D1039" s="2" t="s">
        <v>1689</v>
      </c>
      <c r="E1039" s="2" t="s">
        <v>2538</v>
      </c>
      <c r="F1039" s="2" t="s">
        <v>5006</v>
      </c>
      <c r="G1039" s="2" t="s">
        <v>5006</v>
      </c>
      <c r="H1039" s="2" t="s">
        <v>5006</v>
      </c>
      <c r="I1039" s="2" t="s">
        <v>5007</v>
      </c>
      <c r="J1039" s="2" t="s">
        <v>807</v>
      </c>
      <c r="K1039" s="2" t="s">
        <v>1136</v>
      </c>
      <c r="L1039" s="3">
        <v>112.1</v>
      </c>
      <c r="M1039" s="3">
        <v>117.7</v>
      </c>
      <c r="N1039" s="3">
        <v>239</v>
      </c>
      <c r="O1039" s="2" t="s">
        <v>243</v>
      </c>
      <c r="P1039" s="2" t="s">
        <v>236</v>
      </c>
      <c r="Q1039" s="2" t="s">
        <v>237</v>
      </c>
      <c r="R1039" s="2" t="s">
        <v>231</v>
      </c>
      <c r="S1039" s="2" t="s">
        <v>231</v>
      </c>
      <c r="T1039" s="2" t="s">
        <v>231</v>
      </c>
      <c r="U1039" s="2" t="s">
        <v>327</v>
      </c>
      <c r="V1039" s="2" t="s">
        <v>662</v>
      </c>
      <c r="W1039" s="2" t="s">
        <v>792</v>
      </c>
      <c r="X1039" s="2" t="s">
        <v>691</v>
      </c>
      <c r="Y1039" s="2" t="s">
        <v>2447</v>
      </c>
      <c r="Z1039" s="4">
        <v>95</v>
      </c>
      <c r="AA1039" s="4">
        <f>=ROUNDDOWN(23.75,0)</f>
      </c>
      <c r="AB1039" s="5">
        <v>4</v>
      </c>
      <c r="AC1039" s="2" t="s">
        <v>231</v>
      </c>
      <c r="AD1039" s="4"/>
      <c r="AE1039" s="4"/>
      <c r="AF1039" s="6">
        <v>74</v>
      </c>
      <c r="AG1039" s="6"/>
      <c r="AH1039" s="7">
        <v>1</v>
      </c>
      <c r="AI1039" s="4"/>
      <c r="AJ1039" s="4">
        <f>=ROUNDDOWN({0},0)</f>
      </c>
      <c r="AK1039" s="5"/>
      <c r="AL1039" s="2" t="s">
        <v>231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231</v>
      </c>
      <c r="BD1039" s="8" t="s">
        <v>231</v>
      </c>
      <c r="BE1039" s="4" t="s">
        <v>231</v>
      </c>
      <c r="BF1039" s="8" t="s">
        <v>231</v>
      </c>
      <c r="BG1039" s="7" t="s">
        <v>231</v>
      </c>
      <c r="BH1039" s="7" t="s">
        <v>231</v>
      </c>
      <c r="BI1039" s="7"/>
      <c r="BJ1039" s="4"/>
      <c r="BK1039" s="8"/>
      <c r="BL1039" s="2" t="s">
        <v>231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241</v>
      </c>
      <c r="BV1039" s="2" t="s">
        <v>231</v>
      </c>
      <c r="BW1039" s="2" t="s">
        <v>231</v>
      </c>
      <c r="BX1039" s="2" t="s">
        <v>241</v>
      </c>
      <c r="BY1039" s="2" t="s">
        <v>2527</v>
      </c>
      <c r="BZ1039" s="2" t="s">
        <v>243</v>
      </c>
      <c r="CA1039" s="2" t="s">
        <v>231</v>
      </c>
      <c r="CB1039" s="2" t="s">
        <v>231</v>
      </c>
      <c r="CC1039" s="2" t="s">
        <v>244</v>
      </c>
      <c r="CD1039" s="2" t="s">
        <v>231</v>
      </c>
      <c r="CE1039" s="4"/>
      <c r="CF1039" s="4">
        <v>95</v>
      </c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</row>
    <row r="1040">
      <c r="A1040" s="2" t="s">
        <v>5009</v>
      </c>
      <c r="B1040" s="2" t="s">
        <v>1004</v>
      </c>
      <c r="C1040" s="2" t="s">
        <v>1105</v>
      </c>
      <c r="D1040" s="2" t="s">
        <v>1689</v>
      </c>
      <c r="E1040" s="2" t="s">
        <v>2538</v>
      </c>
      <c r="F1040" s="2" t="s">
        <v>5006</v>
      </c>
      <c r="G1040" s="2" t="s">
        <v>5006</v>
      </c>
      <c r="H1040" s="2" t="s">
        <v>5006</v>
      </c>
      <c r="I1040" s="2" t="s">
        <v>5007</v>
      </c>
      <c r="J1040" s="2" t="s">
        <v>807</v>
      </c>
      <c r="K1040" s="2" t="s">
        <v>5010</v>
      </c>
      <c r="L1040" s="3">
        <v>112.1</v>
      </c>
      <c r="M1040" s="3">
        <v>117.7</v>
      </c>
      <c r="N1040" s="3">
        <v>239</v>
      </c>
      <c r="O1040" s="2" t="s">
        <v>243</v>
      </c>
      <c r="P1040" s="2" t="s">
        <v>236</v>
      </c>
      <c r="Q1040" s="2" t="s">
        <v>237</v>
      </c>
      <c r="R1040" s="2" t="s">
        <v>231</v>
      </c>
      <c r="S1040" s="2" t="s">
        <v>231</v>
      </c>
      <c r="T1040" s="2" t="s">
        <v>231</v>
      </c>
      <c r="U1040" s="2" t="s">
        <v>327</v>
      </c>
      <c r="V1040" s="2" t="s">
        <v>662</v>
      </c>
      <c r="W1040" s="2" t="s">
        <v>792</v>
      </c>
      <c r="X1040" s="2" t="s">
        <v>691</v>
      </c>
      <c r="Y1040" s="2" t="s">
        <v>1075</v>
      </c>
      <c r="Z1040" s="4">
        <v>99</v>
      </c>
      <c r="AA1040" s="4">
        <f>=ROUNDDOWN(16.5,0)</f>
      </c>
      <c r="AB1040" s="5">
        <v>6</v>
      </c>
      <c r="AC1040" s="2" t="s">
        <v>477</v>
      </c>
      <c r="AD1040" s="4">
        <v>100</v>
      </c>
      <c r="AE1040" s="4">
        <v>100</v>
      </c>
      <c r="AF1040" s="6">
        <v>74</v>
      </c>
      <c r="AG1040" s="6"/>
      <c r="AH1040" s="7">
        <v>1</v>
      </c>
      <c r="AI1040" s="4"/>
      <c r="AJ1040" s="4">
        <f>=ROUNDDOWN({0},0)</f>
      </c>
      <c r="AK1040" s="5"/>
      <c r="AL1040" s="2" t="s">
        <v>231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 t="s">
        <v>231</v>
      </c>
      <c r="BD1040" s="8" t="s">
        <v>231</v>
      </c>
      <c r="BE1040" s="4" t="s">
        <v>231</v>
      </c>
      <c r="BF1040" s="8" t="s">
        <v>231</v>
      </c>
      <c r="BG1040" s="7" t="s">
        <v>231</v>
      </c>
      <c r="BH1040" s="7" t="s">
        <v>231</v>
      </c>
      <c r="BI1040" s="7"/>
      <c r="BJ1040" s="4"/>
      <c r="BK1040" s="8"/>
      <c r="BL1040" s="2" t="s">
        <v>231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5011</v>
      </c>
      <c r="BV1040" s="2" t="s">
        <v>231</v>
      </c>
      <c r="BW1040" s="2" t="s">
        <v>231</v>
      </c>
      <c r="BX1040" s="2" t="s">
        <v>241</v>
      </c>
      <c r="BY1040" s="2" t="s">
        <v>277</v>
      </c>
      <c r="BZ1040" s="2" t="s">
        <v>243</v>
      </c>
      <c r="CA1040" s="2" t="s">
        <v>2637</v>
      </c>
      <c r="CB1040" s="2" t="s">
        <v>231</v>
      </c>
      <c r="CC1040" s="2" t="s">
        <v>244</v>
      </c>
      <c r="CD1040" s="2" t="s">
        <v>231</v>
      </c>
      <c r="CE1040" s="4"/>
      <c r="CF1040" s="4">
        <v>99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>
        <v>100</v>
      </c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</row>
    <row r="1041">
      <c r="A1041" s="2" t="s">
        <v>5012</v>
      </c>
      <c r="B1041" s="2" t="s">
        <v>1004</v>
      </c>
      <c r="C1041" s="2" t="s">
        <v>1105</v>
      </c>
      <c r="D1041" s="2" t="s">
        <v>1689</v>
      </c>
      <c r="E1041" s="2" t="s">
        <v>2538</v>
      </c>
      <c r="F1041" s="2" t="s">
        <v>5006</v>
      </c>
      <c r="G1041" s="2" t="s">
        <v>5006</v>
      </c>
      <c r="H1041" s="2" t="s">
        <v>5006</v>
      </c>
      <c r="I1041" s="2" t="s">
        <v>5007</v>
      </c>
      <c r="J1041" s="2" t="s">
        <v>807</v>
      </c>
      <c r="K1041" s="2" t="s">
        <v>253</v>
      </c>
      <c r="L1041" s="3">
        <v>112.1</v>
      </c>
      <c r="M1041" s="3">
        <v>117.7</v>
      </c>
      <c r="N1041" s="3">
        <v>239</v>
      </c>
      <c r="O1041" s="2" t="s">
        <v>243</v>
      </c>
      <c r="P1041" s="2" t="s">
        <v>341</v>
      </c>
      <c r="Q1041" s="2" t="s">
        <v>237</v>
      </c>
      <c r="R1041" s="2" t="s">
        <v>231</v>
      </c>
      <c r="S1041" s="2" t="s">
        <v>231</v>
      </c>
      <c r="T1041" s="2" t="s">
        <v>231</v>
      </c>
      <c r="U1041" s="2" t="s">
        <v>327</v>
      </c>
      <c r="V1041" s="2" t="s">
        <v>662</v>
      </c>
      <c r="W1041" s="2" t="s">
        <v>792</v>
      </c>
      <c r="X1041" s="2" t="s">
        <v>691</v>
      </c>
      <c r="Y1041" s="2" t="s">
        <v>3681</v>
      </c>
      <c r="Z1041" s="4">
        <v>33</v>
      </c>
      <c r="AA1041" s="4">
        <f>=ROUNDDOWN(16.5,0)</f>
      </c>
      <c r="AB1041" s="5">
        <v>2</v>
      </c>
      <c r="AC1041" s="2" t="s">
        <v>231</v>
      </c>
      <c r="AD1041" s="4"/>
      <c r="AE1041" s="4"/>
      <c r="AF1041" s="6">
        <v>74</v>
      </c>
      <c r="AG1041" s="6"/>
      <c r="AH1041" s="7">
        <v>1</v>
      </c>
      <c r="AI1041" s="4"/>
      <c r="AJ1041" s="4">
        <f>=ROUNDDOWN({0},0)</f>
      </c>
      <c r="AK1041" s="5"/>
      <c r="AL1041" s="2" t="s">
        <v>231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231</v>
      </c>
      <c r="BD1041" s="8" t="s">
        <v>231</v>
      </c>
      <c r="BE1041" s="4" t="s">
        <v>231</v>
      </c>
      <c r="BF1041" s="8" t="s">
        <v>231</v>
      </c>
      <c r="BG1041" s="7" t="s">
        <v>231</v>
      </c>
      <c r="BH1041" s="7" t="s">
        <v>231</v>
      </c>
      <c r="BI1041" s="7"/>
      <c r="BJ1041" s="4">
        <v>2</v>
      </c>
      <c r="BK1041" s="8">
        <v>190.7</v>
      </c>
      <c r="BL1041" s="2" t="s">
        <v>5013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5014</v>
      </c>
      <c r="BV1041" s="2" t="s">
        <v>231</v>
      </c>
      <c r="BW1041" s="2" t="s">
        <v>231</v>
      </c>
      <c r="BX1041" s="2" t="s">
        <v>241</v>
      </c>
      <c r="BY1041" s="2" t="s">
        <v>277</v>
      </c>
      <c r="BZ1041" s="2" t="s">
        <v>243</v>
      </c>
      <c r="CA1041" s="2" t="s">
        <v>5015</v>
      </c>
      <c r="CB1041" s="2" t="s">
        <v>1698</v>
      </c>
      <c r="CC1041" s="2" t="s">
        <v>244</v>
      </c>
      <c r="CD1041" s="2" t="s">
        <v>231</v>
      </c>
      <c r="CE1041" s="4"/>
      <c r="CF1041" s="4">
        <v>33</v>
      </c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</row>
    <row r="1042">
      <c r="A1042" s="2" t="s">
        <v>5016</v>
      </c>
      <c r="B1042" s="2" t="s">
        <v>1004</v>
      </c>
      <c r="C1042" s="2" t="s">
        <v>1105</v>
      </c>
      <c r="D1042" s="2" t="s">
        <v>1689</v>
      </c>
      <c r="E1042" s="2" t="s">
        <v>2538</v>
      </c>
      <c r="F1042" s="2" t="s">
        <v>5006</v>
      </c>
      <c r="G1042" s="2" t="s">
        <v>5006</v>
      </c>
      <c r="H1042" s="2" t="s">
        <v>5006</v>
      </c>
      <c r="I1042" s="2" t="s">
        <v>5007</v>
      </c>
      <c r="J1042" s="2" t="s">
        <v>807</v>
      </c>
      <c r="K1042" s="2" t="s">
        <v>5017</v>
      </c>
      <c r="L1042" s="3">
        <v>112.1</v>
      </c>
      <c r="M1042" s="3">
        <v>117.7</v>
      </c>
      <c r="N1042" s="3">
        <v>239</v>
      </c>
      <c r="O1042" s="2" t="s">
        <v>243</v>
      </c>
      <c r="P1042" s="2" t="s">
        <v>236</v>
      </c>
      <c r="Q1042" s="2" t="s">
        <v>237</v>
      </c>
      <c r="R1042" s="2" t="s">
        <v>231</v>
      </c>
      <c r="S1042" s="2" t="s">
        <v>231</v>
      </c>
      <c r="T1042" s="2" t="s">
        <v>231</v>
      </c>
      <c r="U1042" s="2" t="s">
        <v>327</v>
      </c>
      <c r="V1042" s="2" t="s">
        <v>662</v>
      </c>
      <c r="W1042" s="2" t="s">
        <v>792</v>
      </c>
      <c r="X1042" s="2" t="s">
        <v>691</v>
      </c>
      <c r="Y1042" s="2" t="s">
        <v>5018</v>
      </c>
      <c r="Z1042" s="4">
        <v>80</v>
      </c>
      <c r="AA1042" s="4">
        <f>=ROUNDDOWN(40,0)</f>
      </c>
      <c r="AB1042" s="5">
        <v>2</v>
      </c>
      <c r="AC1042" s="2" t="s">
        <v>231</v>
      </c>
      <c r="AD1042" s="4"/>
      <c r="AE1042" s="4"/>
      <c r="AF1042" s="6">
        <v>74</v>
      </c>
      <c r="AG1042" s="6"/>
      <c r="AH1042" s="7">
        <v>1</v>
      </c>
      <c r="AI1042" s="4"/>
      <c r="AJ1042" s="4">
        <f>=ROUNDDOWN({0},0)</f>
      </c>
      <c r="AK1042" s="5"/>
      <c r="AL1042" s="2" t="s">
        <v>231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231</v>
      </c>
      <c r="BD1042" s="8" t="s">
        <v>231</v>
      </c>
      <c r="BE1042" s="4" t="s">
        <v>231</v>
      </c>
      <c r="BF1042" s="8" t="s">
        <v>231</v>
      </c>
      <c r="BG1042" s="7" t="s">
        <v>231</v>
      </c>
      <c r="BH1042" s="7" t="s">
        <v>231</v>
      </c>
      <c r="BI1042" s="7"/>
      <c r="BJ1042" s="4"/>
      <c r="BK1042" s="8"/>
      <c r="BL1042" s="2" t="s">
        <v>231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5019</v>
      </c>
      <c r="BV1042" s="2" t="s">
        <v>231</v>
      </c>
      <c r="BW1042" s="2" t="s">
        <v>231</v>
      </c>
      <c r="BX1042" s="2" t="s">
        <v>241</v>
      </c>
      <c r="BY1042" s="2" t="s">
        <v>277</v>
      </c>
      <c r="BZ1042" s="2" t="s">
        <v>243</v>
      </c>
      <c r="CA1042" s="2" t="s">
        <v>2637</v>
      </c>
      <c r="CB1042" s="2" t="s">
        <v>231</v>
      </c>
      <c r="CC1042" s="2" t="s">
        <v>244</v>
      </c>
      <c r="CD1042" s="2" t="s">
        <v>231</v>
      </c>
      <c r="CE1042" s="4"/>
      <c r="CF1042" s="4">
        <v>80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</row>
    <row r="1043">
      <c r="A1043" s="2" t="s">
        <v>5020</v>
      </c>
      <c r="B1043" s="2" t="s">
        <v>1004</v>
      </c>
      <c r="C1043" s="2" t="s">
        <v>1105</v>
      </c>
      <c r="D1043" s="2" t="s">
        <v>1689</v>
      </c>
      <c r="E1043" s="2" t="s">
        <v>2538</v>
      </c>
      <c r="F1043" s="2" t="s">
        <v>5006</v>
      </c>
      <c r="G1043" s="2" t="s">
        <v>5006</v>
      </c>
      <c r="H1043" s="2" t="s">
        <v>5006</v>
      </c>
      <c r="I1043" s="2" t="s">
        <v>5007</v>
      </c>
      <c r="J1043" s="2" t="s">
        <v>807</v>
      </c>
      <c r="K1043" s="2" t="s">
        <v>5021</v>
      </c>
      <c r="L1043" s="3">
        <v>112.1</v>
      </c>
      <c r="M1043" s="3">
        <v>117.7</v>
      </c>
      <c r="N1043" s="3">
        <v>239</v>
      </c>
      <c r="O1043" s="2" t="s">
        <v>235</v>
      </c>
      <c r="P1043" s="2" t="s">
        <v>341</v>
      </c>
      <c r="Q1043" s="2" t="s">
        <v>237</v>
      </c>
      <c r="R1043" s="2" t="s">
        <v>231</v>
      </c>
      <c r="S1043" s="2" t="s">
        <v>231</v>
      </c>
      <c r="T1043" s="2" t="s">
        <v>231</v>
      </c>
      <c r="U1043" s="2" t="s">
        <v>327</v>
      </c>
      <c r="V1043" s="2" t="s">
        <v>662</v>
      </c>
      <c r="W1043" s="2" t="s">
        <v>792</v>
      </c>
      <c r="X1043" s="2" t="s">
        <v>691</v>
      </c>
      <c r="Y1043" s="2" t="s">
        <v>3681</v>
      </c>
      <c r="Z1043" s="4"/>
      <c r="AA1043" s="4">
        <f>=ROUNDDOWN({0},0)</f>
      </c>
      <c r="AB1043" s="5">
        <v>6</v>
      </c>
      <c r="AC1043" s="2" t="s">
        <v>231</v>
      </c>
      <c r="AD1043" s="4"/>
      <c r="AE1043" s="4"/>
      <c r="AF1043" s="6">
        <v>74</v>
      </c>
      <c r="AG1043" s="6"/>
      <c r="AH1043" s="7">
        <v>0</v>
      </c>
      <c r="AI1043" s="4"/>
      <c r="AJ1043" s="4">
        <f>=ROUNDDOWN({0},0)</f>
      </c>
      <c r="AK1043" s="5"/>
      <c r="AL1043" s="2" t="s">
        <v>231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231</v>
      </c>
      <c r="BD1043" s="8" t="s">
        <v>231</v>
      </c>
      <c r="BE1043" s="4" t="s">
        <v>231</v>
      </c>
      <c r="BF1043" s="8" t="s">
        <v>231</v>
      </c>
      <c r="BG1043" s="7" t="s">
        <v>231</v>
      </c>
      <c r="BH1043" s="7" t="s">
        <v>231</v>
      </c>
      <c r="BI1043" s="7"/>
      <c r="BJ1043" s="4"/>
      <c r="BK1043" s="8"/>
      <c r="BL1043" s="2" t="s">
        <v>231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5022</v>
      </c>
      <c r="BV1043" s="2" t="s">
        <v>231</v>
      </c>
      <c r="BW1043" s="2" t="s">
        <v>231</v>
      </c>
      <c r="BX1043" s="2" t="s">
        <v>241</v>
      </c>
      <c r="BY1043" s="2" t="s">
        <v>277</v>
      </c>
      <c r="BZ1043" s="2" t="s">
        <v>243</v>
      </c>
      <c r="CA1043" s="2" t="s">
        <v>5015</v>
      </c>
      <c r="CB1043" s="2" t="s">
        <v>5023</v>
      </c>
      <c r="CC1043" s="2" t="s">
        <v>244</v>
      </c>
      <c r="CD1043" s="2" t="s">
        <v>231</v>
      </c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</row>
    <row r="1044">
      <c r="A1044" s="2" t="s">
        <v>5024</v>
      </c>
      <c r="B1044" s="2" t="s">
        <v>824</v>
      </c>
      <c r="C1044" s="2" t="s">
        <v>1051</v>
      </c>
      <c r="D1044" s="2" t="s">
        <v>654</v>
      </c>
      <c r="E1044" s="2" t="s">
        <v>890</v>
      </c>
      <c r="F1044" s="2" t="s">
        <v>2143</v>
      </c>
      <c r="G1044" s="2" t="s">
        <v>5025</v>
      </c>
      <c r="H1044" s="2" t="s">
        <v>5026</v>
      </c>
      <c r="I1044" s="2" t="s">
        <v>5027</v>
      </c>
      <c r="J1044" s="2" t="s">
        <v>658</v>
      </c>
      <c r="K1044" s="2" t="s">
        <v>253</v>
      </c>
      <c r="L1044" s="3">
        <v>62.5</v>
      </c>
      <c r="M1044" s="3">
        <v>65.63</v>
      </c>
      <c r="N1044" s="3">
        <v>124.99</v>
      </c>
      <c r="O1044" s="2" t="s">
        <v>243</v>
      </c>
      <c r="P1044" s="2" t="s">
        <v>917</v>
      </c>
      <c r="Q1044" s="2" t="s">
        <v>237</v>
      </c>
      <c r="R1044" s="2" t="s">
        <v>231</v>
      </c>
      <c r="S1044" s="2" t="s">
        <v>5028</v>
      </c>
      <c r="T1044" s="2" t="s">
        <v>362</v>
      </c>
      <c r="U1044" s="2" t="s">
        <v>835</v>
      </c>
      <c r="V1044" s="2" t="s">
        <v>239</v>
      </c>
      <c r="W1044" s="2" t="s">
        <v>273</v>
      </c>
      <c r="X1044" s="2" t="s">
        <v>792</v>
      </c>
      <c r="Y1044" s="2" t="s">
        <v>5029</v>
      </c>
      <c r="Z1044" s="4">
        <v>1</v>
      </c>
      <c r="AA1044" s="4">
        <f>=ROUNDDOWN(0.126582278481013,0)</f>
      </c>
      <c r="AB1044" s="5">
        <v>7.9</v>
      </c>
      <c r="AC1044" s="2" t="s">
        <v>231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231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/>
      <c r="BD1044" s="8"/>
      <c r="BE1044" s="4"/>
      <c r="BF1044" s="8"/>
      <c r="BG1044" s="7"/>
      <c r="BH1044" s="7"/>
      <c r="BI1044" s="7"/>
      <c r="BJ1044" s="4">
        <v>34</v>
      </c>
      <c r="BK1044" s="8">
        <v>2260.2</v>
      </c>
      <c r="BL1044" s="2" t="s">
        <v>587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5030</v>
      </c>
      <c r="BV1044" s="2" t="s">
        <v>231</v>
      </c>
      <c r="BW1044" s="2" t="s">
        <v>231</v>
      </c>
      <c r="BX1044" s="2" t="s">
        <v>231</v>
      </c>
      <c r="BY1044" s="2" t="s">
        <v>277</v>
      </c>
      <c r="BZ1044" s="2" t="s">
        <v>243</v>
      </c>
      <c r="CA1044" s="2" t="s">
        <v>5031</v>
      </c>
      <c r="CB1044" s="2" t="s">
        <v>5032</v>
      </c>
      <c r="CC1044" s="2" t="s">
        <v>244</v>
      </c>
      <c r="CD1044" s="2" t="s">
        <v>231</v>
      </c>
      <c r="CE1044" s="4">
        <v>1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</row>
    <row r="1045">
      <c r="A1045" s="2" t="s">
        <v>5033</v>
      </c>
      <c r="B1045" s="2" t="s">
        <v>1004</v>
      </c>
      <c r="C1045" s="2" t="s">
        <v>288</v>
      </c>
      <c r="D1045" s="2" t="s">
        <v>5034</v>
      </c>
      <c r="E1045" s="2" t="s">
        <v>5035</v>
      </c>
      <c r="F1045" s="2" t="s">
        <v>5036</v>
      </c>
      <c r="G1045" s="2" t="s">
        <v>5037</v>
      </c>
      <c r="H1045" s="2" t="s">
        <v>5038</v>
      </c>
      <c r="I1045" s="2" t="s">
        <v>5039</v>
      </c>
      <c r="J1045" s="2" t="s">
        <v>807</v>
      </c>
      <c r="K1045" s="2" t="s">
        <v>253</v>
      </c>
      <c r="L1045" s="3">
        <v>239</v>
      </c>
      <c r="M1045" s="3">
        <v>250.95</v>
      </c>
      <c r="N1045" s="3">
        <v>499</v>
      </c>
      <c r="O1045" s="2" t="s">
        <v>235</v>
      </c>
      <c r="P1045" s="2" t="s">
        <v>341</v>
      </c>
      <c r="Q1045" s="2" t="s">
        <v>237</v>
      </c>
      <c r="R1045" s="2" t="s">
        <v>231</v>
      </c>
      <c r="S1045" s="2" t="s">
        <v>231</v>
      </c>
      <c r="T1045" s="2" t="s">
        <v>231</v>
      </c>
      <c r="U1045" s="2" t="s">
        <v>231</v>
      </c>
      <c r="V1045" s="2" t="s">
        <v>662</v>
      </c>
      <c r="W1045" s="2" t="s">
        <v>792</v>
      </c>
      <c r="X1045" s="2" t="s">
        <v>2500</v>
      </c>
      <c r="Y1045" s="2" t="s">
        <v>5040</v>
      </c>
      <c r="Z1045" s="4">
        <v>55</v>
      </c>
      <c r="AA1045" s="4">
        <f>=ROUNDDOWN(68.75,0)</f>
      </c>
      <c r="AB1045" s="5">
        <v>0.8</v>
      </c>
      <c r="AC1045" s="2" t="s">
        <v>231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231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>
        <v>3</v>
      </c>
      <c r="BK1045" s="8">
        <v>577.69</v>
      </c>
      <c r="BL1045" s="2" t="s">
        <v>5041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5042</v>
      </c>
      <c r="BV1045" s="2" t="s">
        <v>231</v>
      </c>
      <c r="BW1045" s="2" t="s">
        <v>231</v>
      </c>
      <c r="BX1045" s="2" t="s">
        <v>231</v>
      </c>
      <c r="BY1045" s="2" t="s">
        <v>277</v>
      </c>
      <c r="BZ1045" s="2" t="s">
        <v>243</v>
      </c>
      <c r="CA1045" s="2" t="s">
        <v>5043</v>
      </c>
      <c r="CB1045" s="2" t="s">
        <v>3970</v>
      </c>
      <c r="CC1045" s="2" t="s">
        <v>244</v>
      </c>
      <c r="CD1045" s="2" t="s">
        <v>231</v>
      </c>
      <c r="CE1045" s="4"/>
      <c r="CF1045" s="4">
        <v>55</v>
      </c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</row>
    <row r="1046">
      <c r="A1046" s="2" t="s">
        <v>5044</v>
      </c>
      <c r="B1046" s="2" t="s">
        <v>824</v>
      </c>
      <c r="C1046" s="2" t="s">
        <v>825</v>
      </c>
      <c r="D1046" s="2" t="s">
        <v>654</v>
      </c>
      <c r="E1046" s="2" t="s">
        <v>655</v>
      </c>
      <c r="F1046" s="2" t="s">
        <v>5045</v>
      </c>
      <c r="G1046" s="2" t="s">
        <v>3617</v>
      </c>
      <c r="H1046" s="2" t="s">
        <v>5046</v>
      </c>
      <c r="I1046" s="2" t="s">
        <v>984</v>
      </c>
      <c r="J1046" s="2" t="s">
        <v>669</v>
      </c>
      <c r="K1046" s="2" t="s">
        <v>253</v>
      </c>
      <c r="L1046" s="3">
        <v>42.3</v>
      </c>
      <c r="M1046" s="3">
        <v>44.42</v>
      </c>
      <c r="N1046" s="3">
        <v>89.99</v>
      </c>
      <c r="O1046" s="2" t="s">
        <v>243</v>
      </c>
      <c r="P1046" s="2" t="s">
        <v>1985</v>
      </c>
      <c r="Q1046" s="2" t="s">
        <v>237</v>
      </c>
      <c r="R1046" s="2" t="s">
        <v>231</v>
      </c>
      <c r="S1046" s="2" t="s">
        <v>5047</v>
      </c>
      <c r="T1046" s="2" t="s">
        <v>472</v>
      </c>
      <c r="U1046" s="2" t="s">
        <v>661</v>
      </c>
      <c r="V1046" s="2" t="s">
        <v>1304</v>
      </c>
      <c r="W1046" s="2" t="s">
        <v>273</v>
      </c>
      <c r="X1046" s="2" t="s">
        <v>897</v>
      </c>
      <c r="Y1046" s="2" t="s">
        <v>274</v>
      </c>
      <c r="Z1046" s="4">
        <v>204</v>
      </c>
      <c r="AA1046" s="4">
        <f>=ROUNDDOWN(51,0)</f>
      </c>
      <c r="AB1046" s="5">
        <v>4</v>
      </c>
      <c r="AC1046" s="2" t="s">
        <v>701</v>
      </c>
      <c r="AD1046" s="4">
        <v>80</v>
      </c>
      <c r="AE1046" s="4">
        <v>80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231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>
        <v>14</v>
      </c>
      <c r="BK1046" s="8">
        <v>627.2</v>
      </c>
      <c r="BL1046" s="2" t="s">
        <v>5048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5049</v>
      </c>
      <c r="BV1046" s="2" t="s">
        <v>231</v>
      </c>
      <c r="BW1046" s="2" t="s">
        <v>231</v>
      </c>
      <c r="BX1046" s="2" t="s">
        <v>231</v>
      </c>
      <c r="BY1046" s="2" t="s">
        <v>277</v>
      </c>
      <c r="BZ1046" s="2" t="s">
        <v>243</v>
      </c>
      <c r="CA1046" s="2" t="s">
        <v>284</v>
      </c>
      <c r="CB1046" s="2" t="s">
        <v>5050</v>
      </c>
      <c r="CC1046" s="2" t="s">
        <v>244</v>
      </c>
      <c r="CD1046" s="2" t="s">
        <v>231</v>
      </c>
      <c r="CE1046" s="4">
        <v>204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>
        <v>80</v>
      </c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</row>
    <row r="1047">
      <c r="A1047" s="2" t="s">
        <v>5051</v>
      </c>
      <c r="B1047" s="2" t="s">
        <v>1186</v>
      </c>
      <c r="C1047" s="2" t="s">
        <v>288</v>
      </c>
      <c r="D1047" s="2" t="s">
        <v>826</v>
      </c>
      <c r="E1047" s="2" t="s">
        <v>827</v>
      </c>
      <c r="F1047" s="2" t="s">
        <v>5052</v>
      </c>
      <c r="G1047" s="2" t="s">
        <v>5053</v>
      </c>
      <c r="H1047" s="2" t="s">
        <v>5054</v>
      </c>
      <c r="I1047" s="2" t="s">
        <v>5055</v>
      </c>
      <c r="J1047" s="2" t="s">
        <v>302</v>
      </c>
      <c r="K1047" s="2" t="s">
        <v>985</v>
      </c>
      <c r="L1047" s="3">
        <v>81.59</v>
      </c>
      <c r="M1047" s="3">
        <v>85.67</v>
      </c>
      <c r="N1047" s="3">
        <v>159.99</v>
      </c>
      <c r="O1047" s="2" t="s">
        <v>243</v>
      </c>
      <c r="P1047" s="2" t="s">
        <v>270</v>
      </c>
      <c r="Q1047" s="2" t="s">
        <v>237</v>
      </c>
      <c r="R1047" s="2" t="s">
        <v>231</v>
      </c>
      <c r="S1047" s="2" t="s">
        <v>5056</v>
      </c>
      <c r="T1047" s="2" t="s">
        <v>231</v>
      </c>
      <c r="U1047" s="2" t="s">
        <v>1196</v>
      </c>
      <c r="V1047" s="2" t="s">
        <v>1433</v>
      </c>
      <c r="W1047" s="2" t="s">
        <v>971</v>
      </c>
      <c r="X1047" s="2" t="s">
        <v>5057</v>
      </c>
      <c r="Y1047" s="2" t="s">
        <v>274</v>
      </c>
      <c r="Z1047" s="4">
        <v>205</v>
      </c>
      <c r="AA1047" s="4">
        <f>=ROUNDDOWN(22.7777777777778,0)</f>
      </c>
      <c r="AB1047" s="5">
        <v>9</v>
      </c>
      <c r="AC1047" s="2" t="s">
        <v>2140</v>
      </c>
      <c r="AD1047" s="4">
        <v>40</v>
      </c>
      <c r="AE1047" s="4">
        <v>100</v>
      </c>
      <c r="AF1047" s="6">
        <v>65</v>
      </c>
      <c r="AG1047" s="6">
        <v>73</v>
      </c>
      <c r="AH1047" s="7">
        <v>1</v>
      </c>
      <c r="AI1047" s="4"/>
      <c r="AJ1047" s="4">
        <f>=ROUNDDOWN({0},0)</f>
      </c>
      <c r="AK1047" s="5"/>
      <c r="AL1047" s="2" t="s">
        <v>231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>
        <v>21</v>
      </c>
      <c r="BK1047" s="8">
        <v>1811.87</v>
      </c>
      <c r="BL1047" s="2" t="s">
        <v>988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5058</v>
      </c>
      <c r="BV1047" s="2" t="s">
        <v>231</v>
      </c>
      <c r="BW1047" s="2" t="s">
        <v>231</v>
      </c>
      <c r="BX1047" s="2" t="s">
        <v>231</v>
      </c>
      <c r="BY1047" s="2" t="s">
        <v>277</v>
      </c>
      <c r="BZ1047" s="2" t="s">
        <v>243</v>
      </c>
      <c r="CA1047" s="2" t="s">
        <v>284</v>
      </c>
      <c r="CB1047" s="2" t="s">
        <v>467</v>
      </c>
      <c r="CC1047" s="2" t="s">
        <v>244</v>
      </c>
      <c r="CD1047" s="2" t="s">
        <v>231</v>
      </c>
      <c r="CE1047" s="4">
        <v>147</v>
      </c>
      <c r="CF1047" s="4"/>
      <c r="CG1047" s="4"/>
      <c r="CH1047" s="4"/>
      <c r="CI1047" s="4">
        <v>57</v>
      </c>
      <c r="CJ1047" s="4"/>
      <c r="CK1047" s="4"/>
      <c r="CL1047" s="4">
        <v>1</v>
      </c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>
        <v>40</v>
      </c>
      <c r="FD1047" s="4"/>
      <c r="FE1047" s="4"/>
      <c r="FF1047" s="4"/>
      <c r="FG1047" s="4"/>
      <c r="FH1047" s="4">
        <v>30</v>
      </c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>
        <v>20</v>
      </c>
      <c r="HA1047" s="4"/>
      <c r="HB1047" s="4"/>
      <c r="HC1047" s="4"/>
      <c r="HD1047" s="4">
        <v>10</v>
      </c>
      <c r="HE1047" s="4"/>
      <c r="HF1047" s="4"/>
      <c r="HG1047" s="4"/>
      <c r="HH1047" s="4"/>
      <c r="HI1047" s="4"/>
      <c r="HJ1047" s="4"/>
      <c r="HK1047" s="4"/>
      <c r="HL1047" s="4"/>
    </row>
    <row r="1048">
      <c r="A1048" s="2" t="s">
        <v>5059</v>
      </c>
      <c r="B1048" s="2" t="s">
        <v>1186</v>
      </c>
      <c r="C1048" s="2" t="s">
        <v>288</v>
      </c>
      <c r="D1048" s="2" t="s">
        <v>654</v>
      </c>
      <c r="E1048" s="2" t="s">
        <v>655</v>
      </c>
      <c r="F1048" s="2" t="s">
        <v>5060</v>
      </c>
      <c r="G1048" s="2" t="s">
        <v>2299</v>
      </c>
      <c r="H1048" s="2" t="s">
        <v>5061</v>
      </c>
      <c r="I1048" s="2" t="s">
        <v>5062</v>
      </c>
      <c r="J1048" s="2" t="s">
        <v>293</v>
      </c>
      <c r="K1048" s="2" t="s">
        <v>234</v>
      </c>
      <c r="L1048" s="3">
        <v>66.66</v>
      </c>
      <c r="M1048" s="3">
        <v>69.99</v>
      </c>
      <c r="N1048" s="3">
        <v>139.99</v>
      </c>
      <c r="O1048" s="2" t="s">
        <v>243</v>
      </c>
      <c r="P1048" s="2" t="s">
        <v>341</v>
      </c>
      <c r="Q1048" s="2" t="s">
        <v>237</v>
      </c>
      <c r="R1048" s="2" t="s">
        <v>231</v>
      </c>
      <c r="S1048" s="2" t="s">
        <v>5063</v>
      </c>
      <c r="T1048" s="2" t="s">
        <v>231</v>
      </c>
      <c r="U1048" s="2" t="s">
        <v>700</v>
      </c>
      <c r="V1048" s="2" t="s">
        <v>1890</v>
      </c>
      <c r="W1048" s="2" t="s">
        <v>792</v>
      </c>
      <c r="X1048" s="2" t="s">
        <v>299</v>
      </c>
      <c r="Y1048" s="2" t="s">
        <v>1374</v>
      </c>
      <c r="Z1048" s="4">
        <v>80</v>
      </c>
      <c r="AA1048" s="4">
        <f>=ROUNDDOWN(2.7027027027027,0)</f>
      </c>
      <c r="AB1048" s="5">
        <v>29.6</v>
      </c>
      <c r="AC1048" s="2" t="s">
        <v>231</v>
      </c>
      <c r="AD1048" s="4"/>
      <c r="AE1048" s="4"/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231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>
        <v>134</v>
      </c>
      <c r="BK1048" s="8">
        <v>5474.28</v>
      </c>
      <c r="BL1048" s="2" t="s">
        <v>5064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5065</v>
      </c>
      <c r="BV1048" s="2" t="s">
        <v>231</v>
      </c>
      <c r="BW1048" s="2" t="s">
        <v>231</v>
      </c>
      <c r="BX1048" s="2" t="s">
        <v>231</v>
      </c>
      <c r="BY1048" s="2" t="s">
        <v>277</v>
      </c>
      <c r="BZ1048" s="2" t="s">
        <v>243</v>
      </c>
      <c r="CA1048" s="2" t="s">
        <v>1381</v>
      </c>
      <c r="CB1048" s="2" t="s">
        <v>3439</v>
      </c>
      <c r="CC1048" s="2" t="s">
        <v>244</v>
      </c>
      <c r="CD1048" s="2" t="s">
        <v>231</v>
      </c>
      <c r="CE1048" s="4">
        <v>80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</row>
    <row r="1049">
      <c r="A1049" s="2" t="s">
        <v>5066</v>
      </c>
      <c r="B1049" s="2" t="s">
        <v>1004</v>
      </c>
      <c r="C1049" s="2" t="s">
        <v>288</v>
      </c>
      <c r="D1049" s="2" t="s">
        <v>1031</v>
      </c>
      <c r="E1049" s="2" t="s">
        <v>1032</v>
      </c>
      <c r="F1049" s="2" t="s">
        <v>5067</v>
      </c>
      <c r="G1049" s="2" t="s">
        <v>5068</v>
      </c>
      <c r="H1049" s="2" t="s">
        <v>5069</v>
      </c>
      <c r="I1049" s="2" t="s">
        <v>5070</v>
      </c>
      <c r="J1049" s="2" t="s">
        <v>807</v>
      </c>
      <c r="K1049" s="2" t="s">
        <v>253</v>
      </c>
      <c r="L1049" s="3">
        <v>190.4</v>
      </c>
      <c r="M1049" s="3">
        <v>199.92</v>
      </c>
      <c r="N1049" s="3">
        <v>399</v>
      </c>
      <c r="O1049" s="2" t="s">
        <v>235</v>
      </c>
      <c r="P1049" s="2" t="s">
        <v>341</v>
      </c>
      <c r="Q1049" s="2" t="s">
        <v>237</v>
      </c>
      <c r="R1049" s="2" t="s">
        <v>231</v>
      </c>
      <c r="S1049" s="2" t="s">
        <v>231</v>
      </c>
      <c r="T1049" s="2" t="s">
        <v>231</v>
      </c>
      <c r="U1049" s="2" t="s">
        <v>231</v>
      </c>
      <c r="V1049" s="2" t="s">
        <v>239</v>
      </c>
      <c r="W1049" s="2" t="s">
        <v>792</v>
      </c>
      <c r="X1049" s="2" t="s">
        <v>231</v>
      </c>
      <c r="Y1049" s="2" t="s">
        <v>1078</v>
      </c>
      <c r="Z1049" s="4">
        <v>96</v>
      </c>
      <c r="AA1049" s="4">
        <f>=ROUNDDOWN(40,0)</f>
      </c>
      <c r="AB1049" s="5">
        <v>2.4</v>
      </c>
      <c r="AC1049" s="2" t="s">
        <v>231</v>
      </c>
      <c r="AD1049" s="4"/>
      <c r="AE1049" s="4"/>
      <c r="AF1049" s="6">
        <v>74</v>
      </c>
      <c r="AG1049" s="6">
        <v>60</v>
      </c>
      <c r="AH1049" s="7">
        <v>1</v>
      </c>
      <c r="AI1049" s="4"/>
      <c r="AJ1049" s="4">
        <f>=ROUNDDOWN({0},0)</f>
      </c>
      <c r="AK1049" s="5"/>
      <c r="AL1049" s="2" t="s">
        <v>231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>
        <v>11</v>
      </c>
      <c r="BK1049" s="8">
        <v>1353.99</v>
      </c>
      <c r="BL1049" s="2" t="s">
        <v>2022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5071</v>
      </c>
      <c r="BV1049" s="2" t="s">
        <v>231</v>
      </c>
      <c r="BW1049" s="2" t="s">
        <v>231</v>
      </c>
      <c r="BX1049" s="2" t="s">
        <v>231</v>
      </c>
      <c r="BY1049" s="2" t="s">
        <v>277</v>
      </c>
      <c r="BZ1049" s="2" t="s">
        <v>243</v>
      </c>
      <c r="CA1049" s="2" t="s">
        <v>4475</v>
      </c>
      <c r="CB1049" s="2" t="s">
        <v>314</v>
      </c>
      <c r="CC1049" s="2" t="s">
        <v>244</v>
      </c>
      <c r="CD1049" s="2" t="s">
        <v>231</v>
      </c>
      <c r="CE1049" s="4"/>
      <c r="CF1049" s="4">
        <v>96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</row>
    <row r="1050">
      <c r="A1050" s="2" t="s">
        <v>5072</v>
      </c>
      <c r="B1050" s="2" t="s">
        <v>1004</v>
      </c>
      <c r="C1050" s="2" t="s">
        <v>867</v>
      </c>
      <c r="D1050" s="2" t="s">
        <v>1689</v>
      </c>
      <c r="E1050" s="2" t="s">
        <v>1690</v>
      </c>
      <c r="F1050" s="2" t="s">
        <v>5073</v>
      </c>
      <c r="G1050" s="2" t="s">
        <v>5073</v>
      </c>
      <c r="H1050" s="2" t="s">
        <v>5073</v>
      </c>
      <c r="I1050" s="2" t="s">
        <v>5074</v>
      </c>
      <c r="J1050" s="2" t="s">
        <v>807</v>
      </c>
      <c r="K1050" s="2" t="s">
        <v>2321</v>
      </c>
      <c r="L1050" s="3">
        <v>561.91</v>
      </c>
      <c r="M1050" s="3">
        <v>590.01</v>
      </c>
      <c r="N1050" s="3">
        <v>1179</v>
      </c>
      <c r="O1050" s="2" t="s">
        <v>243</v>
      </c>
      <c r="P1050" s="2" t="s">
        <v>1037</v>
      </c>
      <c r="Q1050" s="2" t="s">
        <v>237</v>
      </c>
      <c r="R1050" s="2" t="s">
        <v>16</v>
      </c>
      <c r="S1050" s="2" t="s">
        <v>5075</v>
      </c>
      <c r="T1050" s="2" t="s">
        <v>231</v>
      </c>
      <c r="U1050" s="2" t="s">
        <v>791</v>
      </c>
      <c r="V1050" s="2" t="s">
        <v>239</v>
      </c>
      <c r="W1050" s="2" t="s">
        <v>896</v>
      </c>
      <c r="X1050" s="2" t="s">
        <v>874</v>
      </c>
      <c r="Y1050" s="2" t="s">
        <v>2858</v>
      </c>
      <c r="Z1050" s="4">
        <v>199</v>
      </c>
      <c r="AA1050" s="4">
        <f>=ROUNDDOWN({0},0)</f>
      </c>
      <c r="AB1050" s="5"/>
      <c r="AC1050" s="2" t="s">
        <v>3090</v>
      </c>
      <c r="AD1050" s="4">
        <v>91</v>
      </c>
      <c r="AE1050" s="4">
        <v>91</v>
      </c>
      <c r="AF1050" s="6"/>
      <c r="AG1050" s="6"/>
      <c r="AH1050" s="7">
        <v>1</v>
      </c>
      <c r="AI1050" s="4"/>
      <c r="AJ1050" s="4">
        <f>=ROUNDDOWN({0},0)</f>
      </c>
      <c r="AK1050" s="5"/>
      <c r="AL1050" s="2" t="s">
        <v>231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231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5076</v>
      </c>
      <c r="BV1050" s="2" t="s">
        <v>231</v>
      </c>
      <c r="BW1050" s="2" t="s">
        <v>231</v>
      </c>
      <c r="BX1050" s="2" t="s">
        <v>241</v>
      </c>
      <c r="BY1050" s="2" t="s">
        <v>277</v>
      </c>
      <c r="BZ1050" s="2" t="s">
        <v>243</v>
      </c>
      <c r="CA1050" s="2" t="s">
        <v>1041</v>
      </c>
      <c r="CB1050" s="2" t="s">
        <v>231</v>
      </c>
      <c r="CC1050" s="2" t="s">
        <v>244</v>
      </c>
      <c r="CD1050" s="2" t="s">
        <v>231</v>
      </c>
      <c r="CE1050" s="4"/>
      <c r="CF1050" s="4">
        <v>199</v>
      </c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>
        <v>91</v>
      </c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</row>
    <row r="1051">
      <c r="A1051" s="2" t="s">
        <v>5077</v>
      </c>
      <c r="B1051" s="2" t="s">
        <v>1004</v>
      </c>
      <c r="C1051" s="2" t="s">
        <v>288</v>
      </c>
      <c r="D1051" s="2" t="s">
        <v>5078</v>
      </c>
      <c r="E1051" s="2" t="s">
        <v>5079</v>
      </c>
      <c r="F1051" s="2" t="s">
        <v>5080</v>
      </c>
      <c r="G1051" s="2" t="s">
        <v>5081</v>
      </c>
      <c r="H1051" s="2" t="s">
        <v>5082</v>
      </c>
      <c r="I1051" s="2" t="s">
        <v>5083</v>
      </c>
      <c r="J1051" s="2" t="s">
        <v>807</v>
      </c>
      <c r="K1051" s="2" t="s">
        <v>5084</v>
      </c>
      <c r="L1051" s="3">
        <v>89.78</v>
      </c>
      <c r="M1051" s="3">
        <v>94.27</v>
      </c>
      <c r="N1051" s="3">
        <v>189</v>
      </c>
      <c r="O1051" s="2" t="s">
        <v>243</v>
      </c>
      <c r="P1051" s="2" t="s">
        <v>341</v>
      </c>
      <c r="Q1051" s="2" t="s">
        <v>237</v>
      </c>
      <c r="R1051" s="2" t="s">
        <v>231</v>
      </c>
      <c r="S1051" s="2" t="s">
        <v>231</v>
      </c>
      <c r="T1051" s="2" t="s">
        <v>231</v>
      </c>
      <c r="U1051" s="2" t="s">
        <v>327</v>
      </c>
      <c r="V1051" s="2" t="s">
        <v>662</v>
      </c>
      <c r="W1051" s="2" t="s">
        <v>792</v>
      </c>
      <c r="X1051" s="2" t="s">
        <v>299</v>
      </c>
      <c r="Y1051" s="2" t="s">
        <v>3857</v>
      </c>
      <c r="Z1051" s="4">
        <v>69</v>
      </c>
      <c r="AA1051" s="4">
        <f>=ROUNDDOWN(34.5,0)</f>
      </c>
      <c r="AB1051" s="5">
        <v>2</v>
      </c>
      <c r="AC1051" s="2" t="s">
        <v>231</v>
      </c>
      <c r="AD1051" s="4"/>
      <c r="AE1051" s="4"/>
      <c r="AF1051" s="6">
        <v>74</v>
      </c>
      <c r="AG1051" s="6"/>
      <c r="AH1051" s="7">
        <v>1</v>
      </c>
      <c r="AI1051" s="4"/>
      <c r="AJ1051" s="4">
        <f>=ROUNDDOWN({0},0)</f>
      </c>
      <c r="AK1051" s="5"/>
      <c r="AL1051" s="2" t="s">
        <v>231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>
        <v>9</v>
      </c>
      <c r="BK1051" s="8">
        <v>840.44</v>
      </c>
      <c r="BL1051" s="2" t="s">
        <v>5085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5086</v>
      </c>
      <c r="BV1051" s="2" t="s">
        <v>231</v>
      </c>
      <c r="BW1051" s="2" t="s">
        <v>231</v>
      </c>
      <c r="BX1051" s="2" t="s">
        <v>231</v>
      </c>
      <c r="BY1051" s="2" t="s">
        <v>277</v>
      </c>
      <c r="BZ1051" s="2" t="s">
        <v>243</v>
      </c>
      <c r="CA1051" s="2" t="s">
        <v>3857</v>
      </c>
      <c r="CB1051" s="2" t="s">
        <v>5087</v>
      </c>
      <c r="CC1051" s="2" t="s">
        <v>244</v>
      </c>
      <c r="CD1051" s="2" t="s">
        <v>231</v>
      </c>
      <c r="CE1051" s="4"/>
      <c r="CF1051" s="4">
        <v>69</v>
      </c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</row>
    <row r="1052">
      <c r="A1052" s="2" t="s">
        <v>5088</v>
      </c>
      <c r="B1052" s="2" t="s">
        <v>992</v>
      </c>
      <c r="C1052" s="2" t="s">
        <v>288</v>
      </c>
      <c r="D1052" s="2" t="s">
        <v>1525</v>
      </c>
      <c r="E1052" s="2" t="s">
        <v>1526</v>
      </c>
      <c r="F1052" s="2" t="s">
        <v>5089</v>
      </c>
      <c r="G1052" s="2" t="s">
        <v>2862</v>
      </c>
      <c r="H1052" s="2" t="s">
        <v>5090</v>
      </c>
      <c r="I1052" s="2" t="s">
        <v>5091</v>
      </c>
      <c r="J1052" s="2" t="s">
        <v>1528</v>
      </c>
      <c r="K1052" s="2" t="s">
        <v>3049</v>
      </c>
      <c r="L1052" s="3">
        <v>9</v>
      </c>
      <c r="M1052" s="3">
        <v>9.45</v>
      </c>
      <c r="N1052" s="3">
        <v>19.99</v>
      </c>
      <c r="O1052" s="2" t="s">
        <v>250</v>
      </c>
      <c r="P1052" s="2" t="s">
        <v>341</v>
      </c>
      <c r="Q1052" s="2" t="s">
        <v>237</v>
      </c>
      <c r="R1052" s="2" t="s">
        <v>231</v>
      </c>
      <c r="S1052" s="2" t="s">
        <v>5092</v>
      </c>
      <c r="T1052" s="2" t="s">
        <v>231</v>
      </c>
      <c r="U1052" s="2" t="s">
        <v>231</v>
      </c>
      <c r="V1052" s="2" t="s">
        <v>1685</v>
      </c>
      <c r="W1052" s="2" t="s">
        <v>691</v>
      </c>
      <c r="X1052" s="2" t="s">
        <v>231</v>
      </c>
      <c r="Y1052" s="2" t="s">
        <v>274</v>
      </c>
      <c r="Z1052" s="4"/>
      <c r="AA1052" s="4">
        <f>=ROUNDDOWN({0},0)</f>
      </c>
      <c r="AB1052" s="5"/>
      <c r="AC1052" s="2" t="s">
        <v>231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231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/>
      <c r="BK1052" s="8"/>
      <c r="BL1052" s="2" t="s">
        <v>231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5093</v>
      </c>
      <c r="BV1052" s="2" t="s">
        <v>231</v>
      </c>
      <c r="BW1052" s="2" t="s">
        <v>231</v>
      </c>
      <c r="BX1052" s="2" t="s">
        <v>231</v>
      </c>
      <c r="BY1052" s="2" t="s">
        <v>277</v>
      </c>
      <c r="BZ1052" s="2" t="s">
        <v>243</v>
      </c>
      <c r="CA1052" s="2" t="s">
        <v>284</v>
      </c>
      <c r="CB1052" s="2" t="s">
        <v>5094</v>
      </c>
      <c r="CC1052" s="2" t="s">
        <v>244</v>
      </c>
      <c r="CD1052" s="2" t="s">
        <v>231</v>
      </c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</row>
    <row r="1053">
      <c r="A1053" s="2" t="s">
        <v>5095</v>
      </c>
      <c r="B1053" s="2" t="s">
        <v>847</v>
      </c>
      <c r="C1053" s="2" t="s">
        <v>815</v>
      </c>
      <c r="D1053" s="2" t="s">
        <v>882</v>
      </c>
      <c r="E1053" s="2" t="s">
        <v>849</v>
      </c>
      <c r="F1053" s="2" t="s">
        <v>5096</v>
      </c>
      <c r="G1053" s="2" t="s">
        <v>5096</v>
      </c>
      <c r="H1053" s="2" t="s">
        <v>5096</v>
      </c>
      <c r="I1053" s="2" t="s">
        <v>5097</v>
      </c>
      <c r="J1053" s="2" t="s">
        <v>807</v>
      </c>
      <c r="K1053" s="2" t="s">
        <v>269</v>
      </c>
      <c r="L1053" s="3">
        <v>45.71</v>
      </c>
      <c r="M1053" s="3">
        <v>48</v>
      </c>
      <c r="N1053" s="3">
        <v>99.99</v>
      </c>
      <c r="O1053" s="2" t="s">
        <v>243</v>
      </c>
      <c r="P1053" s="2" t="s">
        <v>236</v>
      </c>
      <c r="Q1053" s="2" t="s">
        <v>237</v>
      </c>
      <c r="R1053" s="2" t="s">
        <v>231</v>
      </c>
      <c r="S1053" s="2" t="s">
        <v>231</v>
      </c>
      <c r="T1053" s="2" t="s">
        <v>231</v>
      </c>
      <c r="U1053" s="2" t="s">
        <v>327</v>
      </c>
      <c r="V1053" s="2" t="s">
        <v>662</v>
      </c>
      <c r="W1053" s="2" t="s">
        <v>897</v>
      </c>
      <c r="X1053" s="2" t="s">
        <v>896</v>
      </c>
      <c r="Y1053" s="2" t="s">
        <v>2203</v>
      </c>
      <c r="Z1053" s="4">
        <v>61</v>
      </c>
      <c r="AA1053" s="4">
        <f>=ROUNDDOWN(30.5,0)</f>
      </c>
      <c r="AB1053" s="5">
        <v>2</v>
      </c>
      <c r="AC1053" s="2" t="s">
        <v>231</v>
      </c>
      <c r="AD1053" s="4"/>
      <c r="AE1053" s="4"/>
      <c r="AF1053" s="6">
        <v>63</v>
      </c>
      <c r="AG1053" s="6"/>
      <c r="AH1053" s="7">
        <v>1</v>
      </c>
      <c r="AI1053" s="4"/>
      <c r="AJ1053" s="4">
        <f>=ROUNDDOWN({0},0)</f>
      </c>
      <c r="AK1053" s="5"/>
      <c r="AL1053" s="2" t="s">
        <v>231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>
        <v>5</v>
      </c>
      <c r="BK1053" s="8">
        <v>278.99</v>
      </c>
      <c r="BL1053" s="2" t="s">
        <v>5098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5099</v>
      </c>
      <c r="BV1053" s="2" t="s">
        <v>231</v>
      </c>
      <c r="BW1053" s="2" t="s">
        <v>231</v>
      </c>
      <c r="BX1053" s="2" t="s">
        <v>231</v>
      </c>
      <c r="BY1053" s="2" t="s">
        <v>277</v>
      </c>
      <c r="BZ1053" s="2" t="s">
        <v>243</v>
      </c>
      <c r="CA1053" s="2" t="s">
        <v>2199</v>
      </c>
      <c r="CB1053" s="2" t="s">
        <v>2991</v>
      </c>
      <c r="CC1053" s="2" t="s">
        <v>244</v>
      </c>
      <c r="CD1053" s="2" t="s">
        <v>231</v>
      </c>
      <c r="CE1053" s="4"/>
      <c r="CF1053" s="4">
        <v>61</v>
      </c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</row>
    <row r="1054">
      <c r="A1054" s="2" t="s">
        <v>5100</v>
      </c>
      <c r="B1054" s="2" t="s">
        <v>847</v>
      </c>
      <c r="C1054" s="2" t="s">
        <v>815</v>
      </c>
      <c r="D1054" s="2" t="s">
        <v>882</v>
      </c>
      <c r="E1054" s="2" t="s">
        <v>2191</v>
      </c>
      <c r="F1054" s="2" t="s">
        <v>5101</v>
      </c>
      <c r="G1054" s="2" t="s">
        <v>5101</v>
      </c>
      <c r="H1054" s="2" t="s">
        <v>5101</v>
      </c>
      <c r="I1054" s="2" t="s">
        <v>5102</v>
      </c>
      <c r="J1054" s="2" t="s">
        <v>807</v>
      </c>
      <c r="K1054" s="2" t="s">
        <v>306</v>
      </c>
      <c r="L1054" s="3">
        <v>72.85</v>
      </c>
      <c r="M1054" s="3">
        <v>76.49</v>
      </c>
      <c r="N1054" s="3">
        <v>152.99</v>
      </c>
      <c r="O1054" s="2" t="s">
        <v>243</v>
      </c>
      <c r="P1054" s="2" t="s">
        <v>270</v>
      </c>
      <c r="Q1054" s="2" t="s">
        <v>237</v>
      </c>
      <c r="R1054" s="2" t="s">
        <v>231</v>
      </c>
      <c r="S1054" s="2" t="s">
        <v>5103</v>
      </c>
      <c r="T1054" s="2" t="s">
        <v>231</v>
      </c>
      <c r="U1054" s="2" t="s">
        <v>791</v>
      </c>
      <c r="V1054" s="2" t="s">
        <v>836</v>
      </c>
      <c r="W1054" s="2" t="s">
        <v>691</v>
      </c>
      <c r="X1054" s="2" t="s">
        <v>1829</v>
      </c>
      <c r="Y1054" s="2" t="s">
        <v>1855</v>
      </c>
      <c r="Z1054" s="4">
        <v>111</v>
      </c>
      <c r="AA1054" s="4">
        <f>=ROUNDDOWN(69.375,0)</f>
      </c>
      <c r="AB1054" s="5">
        <v>1.6</v>
      </c>
      <c r="AC1054" s="2" t="s">
        <v>231</v>
      </c>
      <c r="AD1054" s="4"/>
      <c r="AE1054" s="4"/>
      <c r="AF1054" s="6">
        <v>63</v>
      </c>
      <c r="AG1054" s="6"/>
      <c r="AH1054" s="7">
        <v>1</v>
      </c>
      <c r="AI1054" s="4"/>
      <c r="AJ1054" s="4">
        <f>=ROUNDDOWN({0},0)</f>
      </c>
      <c r="AK1054" s="5"/>
      <c r="AL1054" s="2" t="s">
        <v>231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>
        <v>8</v>
      </c>
      <c r="BK1054" s="8">
        <v>749.73</v>
      </c>
      <c r="BL1054" s="2" t="s">
        <v>5104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5105</v>
      </c>
      <c r="BV1054" s="2" t="s">
        <v>231</v>
      </c>
      <c r="BW1054" s="2" t="s">
        <v>231</v>
      </c>
      <c r="BX1054" s="2" t="s">
        <v>231</v>
      </c>
      <c r="BY1054" s="2" t="s">
        <v>277</v>
      </c>
      <c r="BZ1054" s="2" t="s">
        <v>243</v>
      </c>
      <c r="CA1054" s="2" t="s">
        <v>5106</v>
      </c>
      <c r="CB1054" s="2" t="s">
        <v>5107</v>
      </c>
      <c r="CC1054" s="2" t="s">
        <v>244</v>
      </c>
      <c r="CD1054" s="2" t="s">
        <v>231</v>
      </c>
      <c r="CE1054" s="4"/>
      <c r="CF1054" s="4">
        <v>111</v>
      </c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</row>
    <row r="1055">
      <c r="A1055" s="2" t="s">
        <v>5108</v>
      </c>
      <c r="B1055" s="2" t="s">
        <v>801</v>
      </c>
      <c r="C1055" s="2" t="s">
        <v>1105</v>
      </c>
      <c r="D1055" s="2" t="s">
        <v>803</v>
      </c>
      <c r="E1055" s="2" t="s">
        <v>804</v>
      </c>
      <c r="F1055" s="2" t="s">
        <v>5109</v>
      </c>
      <c r="G1055" s="2" t="s">
        <v>5109</v>
      </c>
      <c r="H1055" s="2" t="s">
        <v>5109</v>
      </c>
      <c r="I1055" s="2" t="s">
        <v>5110</v>
      </c>
      <c r="J1055" s="2" t="s">
        <v>807</v>
      </c>
      <c r="K1055" s="2" t="s">
        <v>294</v>
      </c>
      <c r="L1055" s="3">
        <v>117.76</v>
      </c>
      <c r="M1055" s="3">
        <v>123.65</v>
      </c>
      <c r="N1055" s="3">
        <v>279.99</v>
      </c>
      <c r="O1055" s="2" t="s">
        <v>243</v>
      </c>
      <c r="P1055" s="2" t="s">
        <v>341</v>
      </c>
      <c r="Q1055" s="2" t="s">
        <v>237</v>
      </c>
      <c r="R1055" s="2" t="s">
        <v>231</v>
      </c>
      <c r="S1055" s="2" t="s">
        <v>231</v>
      </c>
      <c r="T1055" s="2" t="s">
        <v>231</v>
      </c>
      <c r="U1055" s="2" t="s">
        <v>327</v>
      </c>
      <c r="V1055" s="2" t="s">
        <v>662</v>
      </c>
      <c r="W1055" s="2" t="s">
        <v>691</v>
      </c>
      <c r="X1055" s="2" t="s">
        <v>792</v>
      </c>
      <c r="Y1055" s="2" t="s">
        <v>819</v>
      </c>
      <c r="Z1055" s="4">
        <v>69</v>
      </c>
      <c r="AA1055" s="4">
        <f>=ROUNDDOWN(345,0)</f>
      </c>
      <c r="AB1055" s="5">
        <v>0.2</v>
      </c>
      <c r="AC1055" s="2" t="s">
        <v>231</v>
      </c>
      <c r="AD1055" s="4"/>
      <c r="AE1055" s="4"/>
      <c r="AF1055" s="6">
        <v>63</v>
      </c>
      <c r="AG1055" s="6"/>
      <c r="AH1055" s="7">
        <v>1</v>
      </c>
      <c r="AI1055" s="4"/>
      <c r="AJ1055" s="4">
        <f>=ROUNDDOWN({0},0)</f>
      </c>
      <c r="AK1055" s="5"/>
      <c r="AL1055" s="2" t="s">
        <v>231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>
        <v>2</v>
      </c>
      <c r="BK1055" s="8">
        <v>267.08</v>
      </c>
      <c r="BL1055" s="2" t="s">
        <v>1306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5111</v>
      </c>
      <c r="BV1055" s="2" t="s">
        <v>231</v>
      </c>
      <c r="BW1055" s="2" t="s">
        <v>231</v>
      </c>
      <c r="BX1055" s="2" t="s">
        <v>231</v>
      </c>
      <c r="BY1055" s="2" t="s">
        <v>277</v>
      </c>
      <c r="BZ1055" s="2" t="s">
        <v>243</v>
      </c>
      <c r="CA1055" s="2" t="s">
        <v>821</v>
      </c>
      <c r="CB1055" s="2" t="s">
        <v>231</v>
      </c>
      <c r="CC1055" s="2" t="s">
        <v>244</v>
      </c>
      <c r="CD1055" s="2" t="s">
        <v>231</v>
      </c>
      <c r="CE1055" s="4"/>
      <c r="CF1055" s="4">
        <v>69</v>
      </c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</row>
    <row r="1056">
      <c r="A1056" s="2" t="s">
        <v>5112</v>
      </c>
      <c r="B1056" s="2" t="s">
        <v>1004</v>
      </c>
      <c r="C1056" s="2" t="s">
        <v>288</v>
      </c>
      <c r="D1056" s="2" t="s">
        <v>1689</v>
      </c>
      <c r="E1056" s="2" t="s">
        <v>1690</v>
      </c>
      <c r="F1056" s="2" t="s">
        <v>5113</v>
      </c>
      <c r="G1056" s="2" t="s">
        <v>5114</v>
      </c>
      <c r="H1056" s="2" t="s">
        <v>5115</v>
      </c>
      <c r="I1056" s="2" t="s">
        <v>5116</v>
      </c>
      <c r="J1056" s="2" t="s">
        <v>807</v>
      </c>
      <c r="K1056" s="2" t="s">
        <v>5117</v>
      </c>
      <c r="L1056" s="3">
        <v>560.44</v>
      </c>
      <c r="M1056" s="3">
        <v>588.46</v>
      </c>
      <c r="N1056" s="3">
        <v>1179</v>
      </c>
      <c r="O1056" s="2" t="s">
        <v>243</v>
      </c>
      <c r="P1056" s="2" t="s">
        <v>1037</v>
      </c>
      <c r="Q1056" s="2" t="s">
        <v>237</v>
      </c>
      <c r="R1056" s="2" t="s">
        <v>16</v>
      </c>
      <c r="S1056" s="2" t="s">
        <v>5118</v>
      </c>
      <c r="T1056" s="2" t="s">
        <v>231</v>
      </c>
      <c r="U1056" s="2" t="s">
        <v>791</v>
      </c>
      <c r="V1056" s="2" t="s">
        <v>239</v>
      </c>
      <c r="W1056" s="2" t="s">
        <v>792</v>
      </c>
      <c r="X1056" s="2" t="s">
        <v>691</v>
      </c>
      <c r="Y1056" s="2" t="s">
        <v>1131</v>
      </c>
      <c r="Z1056" s="4">
        <v>53</v>
      </c>
      <c r="AA1056" s="4">
        <f>=ROUNDDOWN({0},0)</f>
      </c>
      <c r="AB1056" s="5"/>
      <c r="AC1056" s="2" t="s">
        <v>1137</v>
      </c>
      <c r="AD1056" s="4">
        <v>60</v>
      </c>
      <c r="AE1056" s="4">
        <v>160</v>
      </c>
      <c r="AF1056" s="6"/>
      <c r="AG1056" s="6"/>
      <c r="AH1056" s="7">
        <v>0.8065</v>
      </c>
      <c r="AI1056" s="4"/>
      <c r="AJ1056" s="4">
        <f>=ROUNDDOWN({0},0)</f>
      </c>
      <c r="AK1056" s="5"/>
      <c r="AL1056" s="2" t="s">
        <v>231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/>
      <c r="BD1056" s="8"/>
      <c r="BE1056" s="4"/>
      <c r="BF1056" s="8"/>
      <c r="BG1056" s="7"/>
      <c r="BH1056" s="7"/>
      <c r="BI1056" s="7"/>
      <c r="BJ1056" s="4"/>
      <c r="BK1056" s="8"/>
      <c r="BL1056" s="2" t="s">
        <v>231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5119</v>
      </c>
      <c r="BV1056" s="2" t="s">
        <v>231</v>
      </c>
      <c r="BW1056" s="2" t="s">
        <v>231</v>
      </c>
      <c r="BX1056" s="2" t="s">
        <v>241</v>
      </c>
      <c r="BY1056" s="2" t="s">
        <v>277</v>
      </c>
      <c r="BZ1056" s="2" t="s">
        <v>243</v>
      </c>
      <c r="CA1056" s="2" t="s">
        <v>1041</v>
      </c>
      <c r="CB1056" s="2" t="s">
        <v>231</v>
      </c>
      <c r="CC1056" s="2" t="s">
        <v>244</v>
      </c>
      <c r="CD1056" s="2" t="s">
        <v>231</v>
      </c>
      <c r="CE1056" s="4"/>
      <c r="CF1056" s="4">
        <v>51</v>
      </c>
      <c r="CG1056" s="4"/>
      <c r="CH1056" s="4"/>
      <c r="CI1056" s="4">
        <v>2</v>
      </c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>
        <v>60</v>
      </c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>
        <v>100</v>
      </c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</row>
    <row r="1057">
      <c r="A1057" s="2" t="s">
        <v>5120</v>
      </c>
      <c r="B1057" s="2" t="s">
        <v>1004</v>
      </c>
      <c r="C1057" s="2" t="s">
        <v>288</v>
      </c>
      <c r="D1057" s="2" t="s">
        <v>1689</v>
      </c>
      <c r="E1057" s="2" t="s">
        <v>1690</v>
      </c>
      <c r="F1057" s="2" t="s">
        <v>5121</v>
      </c>
      <c r="G1057" s="2" t="s">
        <v>5122</v>
      </c>
      <c r="H1057" s="2" t="s">
        <v>5123</v>
      </c>
      <c r="I1057" s="2" t="s">
        <v>5124</v>
      </c>
      <c r="J1057" s="2" t="s">
        <v>807</v>
      </c>
      <c r="K1057" s="2" t="s">
        <v>747</v>
      </c>
      <c r="L1057" s="3">
        <v>492.12</v>
      </c>
      <c r="M1057" s="3">
        <v>516.73</v>
      </c>
      <c r="N1057" s="3">
        <v>1039</v>
      </c>
      <c r="O1057" s="2" t="s">
        <v>243</v>
      </c>
      <c r="P1057" s="2" t="s">
        <v>1037</v>
      </c>
      <c r="Q1057" s="2" t="s">
        <v>237</v>
      </c>
      <c r="R1057" s="2" t="s">
        <v>16</v>
      </c>
      <c r="S1057" s="2" t="s">
        <v>231</v>
      </c>
      <c r="T1057" s="2" t="s">
        <v>231</v>
      </c>
      <c r="U1057" s="2" t="s">
        <v>791</v>
      </c>
      <c r="V1057" s="2" t="s">
        <v>239</v>
      </c>
      <c r="W1057" s="2" t="s">
        <v>691</v>
      </c>
      <c r="X1057" s="2" t="s">
        <v>231</v>
      </c>
      <c r="Y1057" s="2" t="s">
        <v>1127</v>
      </c>
      <c r="Z1057" s="4">
        <v>80</v>
      </c>
      <c r="AA1057" s="4">
        <f>=ROUNDDOWN({0},0)</f>
      </c>
      <c r="AB1057" s="5"/>
      <c r="AC1057" s="2" t="s">
        <v>3693</v>
      </c>
      <c r="AD1057" s="4">
        <v>16</v>
      </c>
      <c r="AE1057" s="4">
        <v>172</v>
      </c>
      <c r="AF1057" s="6"/>
      <c r="AG1057" s="6"/>
      <c r="AH1057" s="7">
        <v>1</v>
      </c>
      <c r="AI1057" s="4"/>
      <c r="AJ1057" s="4">
        <f>=ROUNDDOWN({0},0)</f>
      </c>
      <c r="AK1057" s="5"/>
      <c r="AL1057" s="2" t="s">
        <v>231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231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5125</v>
      </c>
      <c r="BV1057" s="2" t="s">
        <v>231</v>
      </c>
      <c r="BW1057" s="2" t="s">
        <v>231</v>
      </c>
      <c r="BX1057" s="2" t="s">
        <v>312</v>
      </c>
      <c r="BY1057" s="2" t="s">
        <v>277</v>
      </c>
      <c r="BZ1057" s="2" t="s">
        <v>243</v>
      </c>
      <c r="CA1057" s="2" t="s">
        <v>1041</v>
      </c>
      <c r="CB1057" s="2" t="s">
        <v>231</v>
      </c>
      <c r="CC1057" s="2" t="s">
        <v>244</v>
      </c>
      <c r="CD1057" s="2" t="s">
        <v>231</v>
      </c>
      <c r="CE1057" s="4"/>
      <c r="CF1057" s="4">
        <v>80</v>
      </c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>
        <v>16</v>
      </c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>
        <v>81</v>
      </c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>
        <v>75</v>
      </c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</row>
    <row r="1058">
      <c r="A1058" s="2" t="s">
        <v>5126</v>
      </c>
      <c r="B1058" s="2" t="s">
        <v>1186</v>
      </c>
      <c r="C1058" s="2" t="s">
        <v>288</v>
      </c>
      <c r="D1058" s="2" t="s">
        <v>654</v>
      </c>
      <c r="E1058" s="2" t="s">
        <v>655</v>
      </c>
      <c r="F1058" s="2" t="s">
        <v>5127</v>
      </c>
      <c r="G1058" s="2" t="s">
        <v>5114</v>
      </c>
      <c r="H1058" s="2" t="s">
        <v>5128</v>
      </c>
      <c r="I1058" s="2" t="s">
        <v>5129</v>
      </c>
      <c r="J1058" s="2" t="s">
        <v>302</v>
      </c>
      <c r="K1058" s="2" t="s">
        <v>294</v>
      </c>
      <c r="L1058" s="3">
        <v>78.2</v>
      </c>
      <c r="M1058" s="3">
        <v>82.11</v>
      </c>
      <c r="N1058" s="3">
        <v>169.99</v>
      </c>
      <c r="O1058" s="2" t="s">
        <v>243</v>
      </c>
      <c r="P1058" s="2" t="s">
        <v>270</v>
      </c>
      <c r="Q1058" s="2" t="s">
        <v>237</v>
      </c>
      <c r="R1058" s="2" t="s">
        <v>231</v>
      </c>
      <c r="S1058" s="2" t="s">
        <v>5130</v>
      </c>
      <c r="T1058" s="2" t="s">
        <v>231</v>
      </c>
      <c r="U1058" s="2" t="s">
        <v>700</v>
      </c>
      <c r="V1058" s="2" t="s">
        <v>1828</v>
      </c>
      <c r="W1058" s="2" t="s">
        <v>676</v>
      </c>
      <c r="X1058" s="2" t="s">
        <v>792</v>
      </c>
      <c r="Y1058" s="2" t="s">
        <v>1399</v>
      </c>
      <c r="Z1058" s="4">
        <v>467</v>
      </c>
      <c r="AA1058" s="4">
        <f>=ROUNDDOWN(77.8333333333333,0)</f>
      </c>
      <c r="AB1058" s="5">
        <v>6</v>
      </c>
      <c r="AC1058" s="2" t="s">
        <v>231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231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>
        <v>6</v>
      </c>
      <c r="BK1058" s="8">
        <v>451.73</v>
      </c>
      <c r="BL1058" s="2" t="s">
        <v>843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5131</v>
      </c>
      <c r="BV1058" s="2" t="s">
        <v>231</v>
      </c>
      <c r="BW1058" s="2" t="s">
        <v>231</v>
      </c>
      <c r="BX1058" s="2" t="s">
        <v>312</v>
      </c>
      <c r="BY1058" s="2" t="s">
        <v>277</v>
      </c>
      <c r="BZ1058" s="2" t="s">
        <v>243</v>
      </c>
      <c r="CA1058" s="2" t="s">
        <v>3452</v>
      </c>
      <c r="CB1058" s="2" t="s">
        <v>5132</v>
      </c>
      <c r="CC1058" s="2" t="s">
        <v>244</v>
      </c>
      <c r="CD1058" s="2" t="s">
        <v>231</v>
      </c>
      <c r="CE1058" s="4">
        <v>467</v>
      </c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</row>
    <row r="1059">
      <c r="A1059" s="2" t="s">
        <v>5133</v>
      </c>
      <c r="B1059" s="2" t="s">
        <v>801</v>
      </c>
      <c r="C1059" s="2" t="s">
        <v>802</v>
      </c>
      <c r="D1059" s="2" t="s">
        <v>3871</v>
      </c>
      <c r="E1059" s="2" t="s">
        <v>3872</v>
      </c>
      <c r="F1059" s="2" t="s">
        <v>5134</v>
      </c>
      <c r="G1059" s="2" t="s">
        <v>5134</v>
      </c>
      <c r="H1059" s="2" t="s">
        <v>5134</v>
      </c>
      <c r="I1059" s="2" t="s">
        <v>5135</v>
      </c>
      <c r="J1059" s="2" t="s">
        <v>807</v>
      </c>
      <c r="K1059" s="2" t="s">
        <v>5136</v>
      </c>
      <c r="L1059" s="3">
        <v>48</v>
      </c>
      <c r="M1059" s="3">
        <v>50.4</v>
      </c>
      <c r="N1059" s="3">
        <v>99.99</v>
      </c>
      <c r="O1059" s="2" t="s">
        <v>243</v>
      </c>
      <c r="P1059" s="2" t="s">
        <v>270</v>
      </c>
      <c r="Q1059" s="2" t="s">
        <v>237</v>
      </c>
      <c r="R1059" s="2" t="s">
        <v>231</v>
      </c>
      <c r="S1059" s="2" t="s">
        <v>231</v>
      </c>
      <c r="T1059" s="2" t="s">
        <v>231</v>
      </c>
      <c r="U1059" s="2" t="s">
        <v>327</v>
      </c>
      <c r="V1059" s="2" t="s">
        <v>662</v>
      </c>
      <c r="W1059" s="2" t="s">
        <v>299</v>
      </c>
      <c r="X1059" s="2" t="s">
        <v>231</v>
      </c>
      <c r="Y1059" s="2" t="s">
        <v>4002</v>
      </c>
      <c r="Z1059" s="4">
        <v>75</v>
      </c>
      <c r="AA1059" s="4">
        <f>=ROUNDDOWN(37.5,0)</f>
      </c>
      <c r="AB1059" s="5">
        <v>2</v>
      </c>
      <c r="AC1059" s="2" t="s">
        <v>231</v>
      </c>
      <c r="AD1059" s="4"/>
      <c r="AE1059" s="4"/>
      <c r="AF1059" s="6">
        <v>63</v>
      </c>
      <c r="AG1059" s="6"/>
      <c r="AH1059" s="7">
        <v>1</v>
      </c>
      <c r="AI1059" s="4"/>
      <c r="AJ1059" s="4">
        <f>=ROUNDDOWN({0},0)</f>
      </c>
      <c r="AK1059" s="5"/>
      <c r="AL1059" s="2" t="s">
        <v>231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>
        <v>16</v>
      </c>
      <c r="BK1059" s="8">
        <v>935.55</v>
      </c>
      <c r="BL1059" s="2" t="s">
        <v>2343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5137</v>
      </c>
      <c r="BV1059" s="2" t="s">
        <v>231</v>
      </c>
      <c r="BW1059" s="2" t="s">
        <v>231</v>
      </c>
      <c r="BX1059" s="2" t="s">
        <v>241</v>
      </c>
      <c r="BY1059" s="2" t="s">
        <v>277</v>
      </c>
      <c r="BZ1059" s="2" t="s">
        <v>243</v>
      </c>
      <c r="CA1059" s="2" t="s">
        <v>2403</v>
      </c>
      <c r="CB1059" s="2" t="s">
        <v>1579</v>
      </c>
      <c r="CC1059" s="2" t="s">
        <v>244</v>
      </c>
      <c r="CD1059" s="2" t="s">
        <v>231</v>
      </c>
      <c r="CE1059" s="4"/>
      <c r="CF1059" s="4">
        <v>75</v>
      </c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</row>
    <row r="1060">
      <c r="A1060" s="2" t="s">
        <v>5138</v>
      </c>
      <c r="B1060" s="2" t="s">
        <v>801</v>
      </c>
      <c r="C1060" s="2" t="s">
        <v>867</v>
      </c>
      <c r="D1060" s="2" t="s">
        <v>1114</v>
      </c>
      <c r="E1060" s="2" t="s">
        <v>1115</v>
      </c>
      <c r="F1060" s="2" t="s">
        <v>5139</v>
      </c>
      <c r="G1060" s="2" t="s">
        <v>5139</v>
      </c>
      <c r="H1060" s="2" t="s">
        <v>5139</v>
      </c>
      <c r="I1060" s="2" t="s">
        <v>5140</v>
      </c>
      <c r="J1060" s="2" t="s">
        <v>807</v>
      </c>
      <c r="K1060" s="2" t="s">
        <v>5141</v>
      </c>
      <c r="L1060" s="3">
        <v>82.8</v>
      </c>
      <c r="M1060" s="3">
        <v>86.94</v>
      </c>
      <c r="N1060" s="3">
        <v>189.99</v>
      </c>
      <c r="O1060" s="2" t="s">
        <v>243</v>
      </c>
      <c r="P1060" s="2" t="s">
        <v>341</v>
      </c>
      <c r="Q1060" s="2" t="s">
        <v>237</v>
      </c>
      <c r="R1060" s="2" t="s">
        <v>231</v>
      </c>
      <c r="S1060" s="2" t="s">
        <v>231</v>
      </c>
      <c r="T1060" s="2" t="s">
        <v>231</v>
      </c>
      <c r="U1060" s="2" t="s">
        <v>327</v>
      </c>
      <c r="V1060" s="2" t="s">
        <v>662</v>
      </c>
      <c r="W1060" s="2" t="s">
        <v>691</v>
      </c>
      <c r="X1060" s="2" t="s">
        <v>1694</v>
      </c>
      <c r="Y1060" s="2" t="s">
        <v>1422</v>
      </c>
      <c r="Z1060" s="4">
        <v>55</v>
      </c>
      <c r="AA1060" s="4">
        <f>=ROUNDDOWN(55,0)</f>
      </c>
      <c r="AB1060" s="5">
        <v>1</v>
      </c>
      <c r="AC1060" s="2" t="s">
        <v>231</v>
      </c>
      <c r="AD1060" s="4"/>
      <c r="AE1060" s="4"/>
      <c r="AF1060" s="6">
        <v>63</v>
      </c>
      <c r="AG1060" s="6"/>
      <c r="AH1060" s="7">
        <v>1</v>
      </c>
      <c r="AI1060" s="4"/>
      <c r="AJ1060" s="4">
        <f>=ROUNDDOWN({0},0)</f>
      </c>
      <c r="AK1060" s="5"/>
      <c r="AL1060" s="2" t="s">
        <v>231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/>
      <c r="BD1060" s="8"/>
      <c r="BE1060" s="4"/>
      <c r="BF1060" s="8"/>
      <c r="BG1060" s="7"/>
      <c r="BH1060" s="7"/>
      <c r="BI1060" s="7"/>
      <c r="BJ1060" s="4">
        <v>4</v>
      </c>
      <c r="BK1060" s="8">
        <v>165.18</v>
      </c>
      <c r="BL1060" s="2" t="s">
        <v>628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5142</v>
      </c>
      <c r="BV1060" s="2" t="s">
        <v>231</v>
      </c>
      <c r="BW1060" s="2" t="s">
        <v>231</v>
      </c>
      <c r="BX1060" s="2" t="s">
        <v>231</v>
      </c>
      <c r="BY1060" s="2" t="s">
        <v>277</v>
      </c>
      <c r="BZ1060" s="2" t="s">
        <v>243</v>
      </c>
      <c r="CA1060" s="2" t="s">
        <v>1425</v>
      </c>
      <c r="CB1060" s="2" t="s">
        <v>5143</v>
      </c>
      <c r="CC1060" s="2" t="s">
        <v>244</v>
      </c>
      <c r="CD1060" s="2" t="s">
        <v>231</v>
      </c>
      <c r="CE1060" s="4"/>
      <c r="CF1060" s="4">
        <v>55</v>
      </c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</row>
    <row r="1061">
      <c r="A1061" s="2" t="s">
        <v>5144</v>
      </c>
      <c r="B1061" s="2" t="s">
        <v>262</v>
      </c>
      <c r="C1061" s="2" t="s">
        <v>825</v>
      </c>
      <c r="D1061" s="2" t="s">
        <v>654</v>
      </c>
      <c r="E1061" s="2" t="s">
        <v>890</v>
      </c>
      <c r="F1061" s="2" t="s">
        <v>5145</v>
      </c>
      <c r="G1061" s="2" t="s">
        <v>5145</v>
      </c>
      <c r="H1061" s="2" t="s">
        <v>5145</v>
      </c>
      <c r="I1061" s="2" t="s">
        <v>5146</v>
      </c>
      <c r="J1061" s="2" t="s">
        <v>318</v>
      </c>
      <c r="K1061" s="2" t="s">
        <v>253</v>
      </c>
      <c r="L1061" s="3">
        <v>33.33</v>
      </c>
      <c r="M1061" s="3">
        <v>35</v>
      </c>
      <c r="N1061" s="3">
        <v>69.99</v>
      </c>
      <c r="O1061" s="2" t="s">
        <v>243</v>
      </c>
      <c r="P1061" s="2" t="s">
        <v>236</v>
      </c>
      <c r="Q1061" s="2" t="s">
        <v>237</v>
      </c>
      <c r="R1061" s="2" t="s">
        <v>231</v>
      </c>
      <c r="S1061" s="2" t="s">
        <v>5147</v>
      </c>
      <c r="T1061" s="2" t="s">
        <v>472</v>
      </c>
      <c r="U1061" s="2" t="s">
        <v>791</v>
      </c>
      <c r="V1061" s="2" t="s">
        <v>239</v>
      </c>
      <c r="W1061" s="2" t="s">
        <v>273</v>
      </c>
      <c r="X1061" s="2" t="s">
        <v>231</v>
      </c>
      <c r="Y1061" s="2" t="s">
        <v>3693</v>
      </c>
      <c r="Z1061" s="4">
        <v>99</v>
      </c>
      <c r="AA1061" s="4">
        <f>=ROUNDDOWN(5.82352941176471,0)</f>
      </c>
      <c r="AB1061" s="5">
        <v>17</v>
      </c>
      <c r="AC1061" s="2" t="s">
        <v>5148</v>
      </c>
      <c r="AD1061" s="4">
        <v>1</v>
      </c>
      <c r="AE1061" s="4">
        <v>341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231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231</v>
      </c>
      <c r="AW1061" s="8" t="s">
        <v>231</v>
      </c>
      <c r="AX1061" s="4" t="s">
        <v>231</v>
      </c>
      <c r="AY1061" s="8" t="s">
        <v>231</v>
      </c>
      <c r="AZ1061" s="7" t="s">
        <v>231</v>
      </c>
      <c r="BA1061" s="7" t="s">
        <v>231</v>
      </c>
      <c r="BB1061" s="7"/>
      <c r="BC1061" s="4" t="s">
        <v>231</v>
      </c>
      <c r="BD1061" s="8" t="s">
        <v>231</v>
      </c>
      <c r="BE1061" s="4" t="s">
        <v>231</v>
      </c>
      <c r="BF1061" s="8" t="s">
        <v>231</v>
      </c>
      <c r="BG1061" s="7" t="s">
        <v>231</v>
      </c>
      <c r="BH1061" s="7" t="s">
        <v>231</v>
      </c>
      <c r="BI1061" s="7"/>
      <c r="BJ1061" s="4"/>
      <c r="BK1061" s="8"/>
      <c r="BL1061" s="2" t="s">
        <v>231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5149</v>
      </c>
      <c r="BV1061" s="2" t="s">
        <v>231</v>
      </c>
      <c r="BW1061" s="2" t="s">
        <v>231</v>
      </c>
      <c r="BX1061" s="2" t="s">
        <v>241</v>
      </c>
      <c r="BY1061" s="2" t="s">
        <v>277</v>
      </c>
      <c r="BZ1061" s="2" t="s">
        <v>243</v>
      </c>
      <c r="CA1061" s="2" t="s">
        <v>5150</v>
      </c>
      <c r="CB1061" s="2" t="s">
        <v>231</v>
      </c>
      <c r="CC1061" s="2" t="s">
        <v>244</v>
      </c>
      <c r="CD1061" s="2" t="s">
        <v>231</v>
      </c>
      <c r="CE1061" s="4">
        <v>99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>
        <v>1</v>
      </c>
      <c r="CV1061" s="4"/>
      <c r="CW1061" s="4"/>
      <c r="CX1061" s="4"/>
      <c r="CY1061" s="4"/>
      <c r="CZ1061" s="4">
        <v>60</v>
      </c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>
        <v>60</v>
      </c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>
        <v>220</v>
      </c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</row>
    <row r="1062">
      <c r="A1062" s="2" t="s">
        <v>5151</v>
      </c>
      <c r="B1062" s="2" t="s">
        <v>262</v>
      </c>
      <c r="C1062" s="2" t="s">
        <v>825</v>
      </c>
      <c r="D1062" s="2" t="s">
        <v>654</v>
      </c>
      <c r="E1062" s="2" t="s">
        <v>890</v>
      </c>
      <c r="F1062" s="2" t="s">
        <v>5145</v>
      </c>
      <c r="G1062" s="2" t="s">
        <v>5145</v>
      </c>
      <c r="H1062" s="2" t="s">
        <v>5145</v>
      </c>
      <c r="I1062" s="2" t="s">
        <v>5146</v>
      </c>
      <c r="J1062" s="2" t="s">
        <v>658</v>
      </c>
      <c r="K1062" s="2" t="s">
        <v>253</v>
      </c>
      <c r="L1062" s="3">
        <v>38.09</v>
      </c>
      <c r="M1062" s="3">
        <v>39.99</v>
      </c>
      <c r="N1062" s="3">
        <v>79.99</v>
      </c>
      <c r="O1062" s="2" t="s">
        <v>243</v>
      </c>
      <c r="P1062" s="2" t="s">
        <v>236</v>
      </c>
      <c r="Q1062" s="2" t="s">
        <v>237</v>
      </c>
      <c r="R1062" s="2" t="s">
        <v>231</v>
      </c>
      <c r="S1062" s="2" t="s">
        <v>5147</v>
      </c>
      <c r="T1062" s="2" t="s">
        <v>472</v>
      </c>
      <c r="U1062" s="2" t="s">
        <v>835</v>
      </c>
      <c r="V1062" s="2" t="s">
        <v>239</v>
      </c>
      <c r="W1062" s="2" t="s">
        <v>273</v>
      </c>
      <c r="X1062" s="2" t="s">
        <v>231</v>
      </c>
      <c r="Y1062" s="2" t="s">
        <v>5152</v>
      </c>
      <c r="Z1062" s="4">
        <v>100</v>
      </c>
      <c r="AA1062" s="4">
        <f>=ROUNDDOWN(1.85185185185185,0)</f>
      </c>
      <c r="AB1062" s="5">
        <v>54</v>
      </c>
      <c r="AC1062" s="2" t="s">
        <v>3693</v>
      </c>
      <c r="AD1062" s="4">
        <v>50</v>
      </c>
      <c r="AE1062" s="4">
        <v>681</v>
      </c>
      <c r="AF1062" s="6">
        <v>65</v>
      </c>
      <c r="AG1062" s="6"/>
      <c r="AH1062" s="7">
        <v>0.0645</v>
      </c>
      <c r="AI1062" s="4"/>
      <c r="AJ1062" s="4">
        <f>=ROUNDDOWN({0},0)</f>
      </c>
      <c r="AK1062" s="5"/>
      <c r="AL1062" s="2" t="s">
        <v>231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231</v>
      </c>
      <c r="AW1062" s="8" t="s">
        <v>231</v>
      </c>
      <c r="AX1062" s="4" t="s">
        <v>231</v>
      </c>
      <c r="AY1062" s="8" t="s">
        <v>231</v>
      </c>
      <c r="AZ1062" s="7" t="s">
        <v>231</v>
      </c>
      <c r="BA1062" s="7" t="s">
        <v>231</v>
      </c>
      <c r="BB1062" s="7"/>
      <c r="BC1062" s="4" t="s">
        <v>231</v>
      </c>
      <c r="BD1062" s="8" t="s">
        <v>231</v>
      </c>
      <c r="BE1062" s="4" t="s">
        <v>231</v>
      </c>
      <c r="BF1062" s="8" t="s">
        <v>231</v>
      </c>
      <c r="BG1062" s="7" t="s">
        <v>231</v>
      </c>
      <c r="BH1062" s="7" t="s">
        <v>231</v>
      </c>
      <c r="BI1062" s="7"/>
      <c r="BJ1062" s="4"/>
      <c r="BK1062" s="8"/>
      <c r="BL1062" s="2" t="s">
        <v>231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5153</v>
      </c>
      <c r="BV1062" s="2" t="s">
        <v>231</v>
      </c>
      <c r="BW1062" s="2" t="s">
        <v>231</v>
      </c>
      <c r="BX1062" s="2" t="s">
        <v>241</v>
      </c>
      <c r="BY1062" s="2" t="s">
        <v>277</v>
      </c>
      <c r="BZ1062" s="2" t="s">
        <v>243</v>
      </c>
      <c r="CA1062" s="2" t="s">
        <v>5150</v>
      </c>
      <c r="CB1062" s="2" t="s">
        <v>231</v>
      </c>
      <c r="CC1062" s="2" t="s">
        <v>244</v>
      </c>
      <c r="CD1062" s="2" t="s">
        <v>231</v>
      </c>
      <c r="CE1062" s="4">
        <v>100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>
        <v>50</v>
      </c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>
        <v>260</v>
      </c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>
        <v>371</v>
      </c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</row>
    <row r="1063">
      <c r="A1063" s="2" t="s">
        <v>5154</v>
      </c>
      <c r="B1063" s="2" t="s">
        <v>262</v>
      </c>
      <c r="C1063" s="2" t="s">
        <v>825</v>
      </c>
      <c r="D1063" s="2" t="s">
        <v>654</v>
      </c>
      <c r="E1063" s="2" t="s">
        <v>890</v>
      </c>
      <c r="F1063" s="2" t="s">
        <v>5145</v>
      </c>
      <c r="G1063" s="2" t="s">
        <v>5145</v>
      </c>
      <c r="H1063" s="2" t="s">
        <v>5145</v>
      </c>
      <c r="I1063" s="2" t="s">
        <v>5146</v>
      </c>
      <c r="J1063" s="2" t="s">
        <v>669</v>
      </c>
      <c r="K1063" s="2" t="s">
        <v>253</v>
      </c>
      <c r="L1063" s="3">
        <v>42.85</v>
      </c>
      <c r="M1063" s="3">
        <v>44.99</v>
      </c>
      <c r="N1063" s="3">
        <v>89.99</v>
      </c>
      <c r="O1063" s="2" t="s">
        <v>243</v>
      </c>
      <c r="P1063" s="2" t="s">
        <v>236</v>
      </c>
      <c r="Q1063" s="2" t="s">
        <v>237</v>
      </c>
      <c r="R1063" s="2" t="s">
        <v>231</v>
      </c>
      <c r="S1063" s="2" t="s">
        <v>5147</v>
      </c>
      <c r="T1063" s="2" t="s">
        <v>472</v>
      </c>
      <c r="U1063" s="2" t="s">
        <v>835</v>
      </c>
      <c r="V1063" s="2" t="s">
        <v>239</v>
      </c>
      <c r="W1063" s="2" t="s">
        <v>273</v>
      </c>
      <c r="X1063" s="2" t="s">
        <v>231</v>
      </c>
      <c r="Y1063" s="2" t="s">
        <v>3693</v>
      </c>
      <c r="Z1063" s="4">
        <v>100</v>
      </c>
      <c r="AA1063" s="4">
        <f>=ROUNDDOWN(3.44827586206897,0)</f>
      </c>
      <c r="AB1063" s="5">
        <v>29</v>
      </c>
      <c r="AC1063" s="2" t="s">
        <v>3693</v>
      </c>
      <c r="AD1063" s="4">
        <v>55</v>
      </c>
      <c r="AE1063" s="4">
        <v>314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231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231</v>
      </c>
      <c r="AW1063" s="8" t="s">
        <v>231</v>
      </c>
      <c r="AX1063" s="4" t="s">
        <v>231</v>
      </c>
      <c r="AY1063" s="8" t="s">
        <v>231</v>
      </c>
      <c r="AZ1063" s="7" t="s">
        <v>231</v>
      </c>
      <c r="BA1063" s="7" t="s">
        <v>231</v>
      </c>
      <c r="BB1063" s="7"/>
      <c r="BC1063" s="4" t="s">
        <v>231</v>
      </c>
      <c r="BD1063" s="8" t="s">
        <v>231</v>
      </c>
      <c r="BE1063" s="4" t="s">
        <v>231</v>
      </c>
      <c r="BF1063" s="8" t="s">
        <v>231</v>
      </c>
      <c r="BG1063" s="7" t="s">
        <v>231</v>
      </c>
      <c r="BH1063" s="7" t="s">
        <v>231</v>
      </c>
      <c r="BI1063" s="7"/>
      <c r="BJ1063" s="4"/>
      <c r="BK1063" s="8"/>
      <c r="BL1063" s="2" t="s">
        <v>231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5155</v>
      </c>
      <c r="BV1063" s="2" t="s">
        <v>231</v>
      </c>
      <c r="BW1063" s="2" t="s">
        <v>231</v>
      </c>
      <c r="BX1063" s="2" t="s">
        <v>241</v>
      </c>
      <c r="BY1063" s="2" t="s">
        <v>277</v>
      </c>
      <c r="BZ1063" s="2" t="s">
        <v>243</v>
      </c>
      <c r="CA1063" s="2" t="s">
        <v>636</v>
      </c>
      <c r="CB1063" s="2" t="s">
        <v>231</v>
      </c>
      <c r="CC1063" s="2" t="s">
        <v>244</v>
      </c>
      <c r="CD1063" s="2" t="s">
        <v>231</v>
      </c>
      <c r="CE1063" s="4">
        <v>100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>
        <v>55</v>
      </c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>
        <v>55</v>
      </c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>
        <v>204</v>
      </c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</row>
    <row r="1064">
      <c r="A1064" s="2" t="s">
        <v>5156</v>
      </c>
      <c r="B1064" s="2" t="s">
        <v>262</v>
      </c>
      <c r="C1064" s="2" t="s">
        <v>825</v>
      </c>
      <c r="D1064" s="2" t="s">
        <v>654</v>
      </c>
      <c r="E1064" s="2" t="s">
        <v>890</v>
      </c>
      <c r="F1064" s="2" t="s">
        <v>5145</v>
      </c>
      <c r="G1064" s="2" t="s">
        <v>5145</v>
      </c>
      <c r="H1064" s="2" t="s">
        <v>5145</v>
      </c>
      <c r="I1064" s="2" t="s">
        <v>5146</v>
      </c>
      <c r="J1064" s="2" t="s">
        <v>318</v>
      </c>
      <c r="K1064" s="2" t="s">
        <v>255</v>
      </c>
      <c r="L1064" s="3">
        <v>33.33</v>
      </c>
      <c r="M1064" s="3">
        <v>35</v>
      </c>
      <c r="N1064" s="3">
        <v>69.99</v>
      </c>
      <c r="O1064" s="2" t="s">
        <v>243</v>
      </c>
      <c r="P1064" s="2" t="s">
        <v>236</v>
      </c>
      <c r="Q1064" s="2" t="s">
        <v>237</v>
      </c>
      <c r="R1064" s="2" t="s">
        <v>231</v>
      </c>
      <c r="S1064" s="2" t="s">
        <v>5157</v>
      </c>
      <c r="T1064" s="2" t="s">
        <v>472</v>
      </c>
      <c r="U1064" s="2" t="s">
        <v>791</v>
      </c>
      <c r="V1064" s="2" t="s">
        <v>239</v>
      </c>
      <c r="W1064" s="2" t="s">
        <v>273</v>
      </c>
      <c r="X1064" s="2" t="s">
        <v>231</v>
      </c>
      <c r="Y1064" s="2" t="s">
        <v>3693</v>
      </c>
      <c r="Z1064" s="4">
        <v>100</v>
      </c>
      <c r="AA1064" s="4">
        <f>=ROUNDDOWN(6.66666666666667,0)</f>
      </c>
      <c r="AB1064" s="5">
        <v>15</v>
      </c>
      <c r="AC1064" s="2" t="s">
        <v>3693</v>
      </c>
      <c r="AD1064" s="4">
        <v>53</v>
      </c>
      <c r="AE1064" s="4">
        <v>310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231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231</v>
      </c>
      <c r="AW1064" s="8" t="s">
        <v>231</v>
      </c>
      <c r="AX1064" s="4" t="s">
        <v>231</v>
      </c>
      <c r="AY1064" s="8" t="s">
        <v>231</v>
      </c>
      <c r="AZ1064" s="7" t="s">
        <v>231</v>
      </c>
      <c r="BA1064" s="7" t="s">
        <v>231</v>
      </c>
      <c r="BB1064" s="7"/>
      <c r="BC1064" s="4" t="s">
        <v>231</v>
      </c>
      <c r="BD1064" s="8" t="s">
        <v>231</v>
      </c>
      <c r="BE1064" s="4" t="s">
        <v>231</v>
      </c>
      <c r="BF1064" s="8" t="s">
        <v>231</v>
      </c>
      <c r="BG1064" s="7" t="s">
        <v>231</v>
      </c>
      <c r="BH1064" s="7" t="s">
        <v>231</v>
      </c>
      <c r="BI1064" s="7"/>
      <c r="BJ1064" s="4"/>
      <c r="BK1064" s="8"/>
      <c r="BL1064" s="2" t="s">
        <v>231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5158</v>
      </c>
      <c r="BV1064" s="2" t="s">
        <v>231</v>
      </c>
      <c r="BW1064" s="2" t="s">
        <v>231</v>
      </c>
      <c r="BX1064" s="2" t="s">
        <v>241</v>
      </c>
      <c r="BY1064" s="2" t="s">
        <v>277</v>
      </c>
      <c r="BZ1064" s="2" t="s">
        <v>243</v>
      </c>
      <c r="CA1064" s="2" t="s">
        <v>5150</v>
      </c>
      <c r="CB1064" s="2" t="s">
        <v>231</v>
      </c>
      <c r="CC1064" s="2" t="s">
        <v>244</v>
      </c>
      <c r="CD1064" s="2" t="s">
        <v>231</v>
      </c>
      <c r="CE1064" s="4">
        <v>100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>
        <v>53</v>
      </c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>
        <v>52</v>
      </c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>
        <v>205</v>
      </c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</row>
    <row r="1065">
      <c r="A1065" s="2" t="s">
        <v>5159</v>
      </c>
      <c r="B1065" s="2" t="s">
        <v>262</v>
      </c>
      <c r="C1065" s="2" t="s">
        <v>825</v>
      </c>
      <c r="D1065" s="2" t="s">
        <v>654</v>
      </c>
      <c r="E1065" s="2" t="s">
        <v>890</v>
      </c>
      <c r="F1065" s="2" t="s">
        <v>5145</v>
      </c>
      <c r="G1065" s="2" t="s">
        <v>5145</v>
      </c>
      <c r="H1065" s="2" t="s">
        <v>5145</v>
      </c>
      <c r="I1065" s="2" t="s">
        <v>5146</v>
      </c>
      <c r="J1065" s="2" t="s">
        <v>658</v>
      </c>
      <c r="K1065" s="2" t="s">
        <v>255</v>
      </c>
      <c r="L1065" s="3">
        <v>38.09</v>
      </c>
      <c r="M1065" s="3">
        <v>39.99</v>
      </c>
      <c r="N1065" s="3">
        <v>79.99</v>
      </c>
      <c r="O1065" s="2" t="s">
        <v>243</v>
      </c>
      <c r="P1065" s="2" t="s">
        <v>236</v>
      </c>
      <c r="Q1065" s="2" t="s">
        <v>237</v>
      </c>
      <c r="R1065" s="2" t="s">
        <v>231</v>
      </c>
      <c r="S1065" s="2" t="s">
        <v>5157</v>
      </c>
      <c r="T1065" s="2" t="s">
        <v>472</v>
      </c>
      <c r="U1065" s="2" t="s">
        <v>835</v>
      </c>
      <c r="V1065" s="2" t="s">
        <v>239</v>
      </c>
      <c r="W1065" s="2" t="s">
        <v>273</v>
      </c>
      <c r="X1065" s="2" t="s">
        <v>231</v>
      </c>
      <c r="Y1065" s="2" t="s">
        <v>5152</v>
      </c>
      <c r="Z1065" s="4">
        <v>100</v>
      </c>
      <c r="AA1065" s="4">
        <f>=ROUNDDOWN(71.4285714285714,0)</f>
      </c>
      <c r="AB1065" s="5">
        <v>1.4</v>
      </c>
      <c r="AC1065" s="2" t="s">
        <v>3693</v>
      </c>
      <c r="AD1065" s="4">
        <v>50</v>
      </c>
      <c r="AE1065" s="4">
        <v>667</v>
      </c>
      <c r="AF1065" s="6">
        <v>65</v>
      </c>
      <c r="AG1065" s="6"/>
      <c r="AH1065" s="7">
        <v>0.0645</v>
      </c>
      <c r="AI1065" s="4"/>
      <c r="AJ1065" s="4">
        <f>=ROUNDDOWN({0},0)</f>
      </c>
      <c r="AK1065" s="5"/>
      <c r="AL1065" s="2" t="s">
        <v>231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231</v>
      </c>
      <c r="AW1065" s="8" t="s">
        <v>231</v>
      </c>
      <c r="AX1065" s="4" t="s">
        <v>231</v>
      </c>
      <c r="AY1065" s="8" t="s">
        <v>231</v>
      </c>
      <c r="AZ1065" s="7" t="s">
        <v>231</v>
      </c>
      <c r="BA1065" s="7" t="s">
        <v>231</v>
      </c>
      <c r="BB1065" s="7"/>
      <c r="BC1065" s="4" t="s">
        <v>231</v>
      </c>
      <c r="BD1065" s="8" t="s">
        <v>231</v>
      </c>
      <c r="BE1065" s="4" t="s">
        <v>231</v>
      </c>
      <c r="BF1065" s="8" t="s">
        <v>231</v>
      </c>
      <c r="BG1065" s="7" t="s">
        <v>231</v>
      </c>
      <c r="BH1065" s="7" t="s">
        <v>231</v>
      </c>
      <c r="BI1065" s="7"/>
      <c r="BJ1065" s="4"/>
      <c r="BK1065" s="8"/>
      <c r="BL1065" s="2" t="s">
        <v>231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5160</v>
      </c>
      <c r="BV1065" s="2" t="s">
        <v>231</v>
      </c>
      <c r="BW1065" s="2" t="s">
        <v>231</v>
      </c>
      <c r="BX1065" s="2" t="s">
        <v>241</v>
      </c>
      <c r="BY1065" s="2" t="s">
        <v>277</v>
      </c>
      <c r="BZ1065" s="2" t="s">
        <v>243</v>
      </c>
      <c r="CA1065" s="2" t="s">
        <v>5150</v>
      </c>
      <c r="CB1065" s="2" t="s">
        <v>231</v>
      </c>
      <c r="CC1065" s="2" t="s">
        <v>244</v>
      </c>
      <c r="CD1065" s="2" t="s">
        <v>231</v>
      </c>
      <c r="CE1065" s="4">
        <v>100</v>
      </c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>
        <v>50</v>
      </c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>
        <v>235</v>
      </c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>
        <v>382</v>
      </c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</row>
    <row r="1066">
      <c r="A1066" s="2" t="s">
        <v>5161</v>
      </c>
      <c r="B1066" s="2" t="s">
        <v>262</v>
      </c>
      <c r="C1066" s="2" t="s">
        <v>825</v>
      </c>
      <c r="D1066" s="2" t="s">
        <v>654</v>
      </c>
      <c r="E1066" s="2" t="s">
        <v>890</v>
      </c>
      <c r="F1066" s="2" t="s">
        <v>5145</v>
      </c>
      <c r="G1066" s="2" t="s">
        <v>5145</v>
      </c>
      <c r="H1066" s="2" t="s">
        <v>5145</v>
      </c>
      <c r="I1066" s="2" t="s">
        <v>5146</v>
      </c>
      <c r="J1066" s="2" t="s">
        <v>669</v>
      </c>
      <c r="K1066" s="2" t="s">
        <v>255</v>
      </c>
      <c r="L1066" s="3">
        <v>42.85</v>
      </c>
      <c r="M1066" s="3">
        <v>44.99</v>
      </c>
      <c r="N1066" s="3">
        <v>89.99</v>
      </c>
      <c r="O1066" s="2" t="s">
        <v>243</v>
      </c>
      <c r="P1066" s="2" t="s">
        <v>236</v>
      </c>
      <c r="Q1066" s="2" t="s">
        <v>237</v>
      </c>
      <c r="R1066" s="2" t="s">
        <v>231</v>
      </c>
      <c r="S1066" s="2" t="s">
        <v>5157</v>
      </c>
      <c r="T1066" s="2" t="s">
        <v>472</v>
      </c>
      <c r="U1066" s="2" t="s">
        <v>835</v>
      </c>
      <c r="V1066" s="2" t="s">
        <v>239</v>
      </c>
      <c r="W1066" s="2" t="s">
        <v>273</v>
      </c>
      <c r="X1066" s="2" t="s">
        <v>231</v>
      </c>
      <c r="Y1066" s="2" t="s">
        <v>3693</v>
      </c>
      <c r="Z1066" s="4">
        <v>100</v>
      </c>
      <c r="AA1066" s="4">
        <f>=ROUNDDOWN(3.44827586206897,0)</f>
      </c>
      <c r="AB1066" s="5">
        <v>29</v>
      </c>
      <c r="AC1066" s="2" t="s">
        <v>3693</v>
      </c>
      <c r="AD1066" s="4">
        <v>55</v>
      </c>
      <c r="AE1066" s="4">
        <v>312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231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231</v>
      </c>
      <c r="AW1066" s="8" t="s">
        <v>231</v>
      </c>
      <c r="AX1066" s="4" t="s">
        <v>231</v>
      </c>
      <c r="AY1066" s="8" t="s">
        <v>231</v>
      </c>
      <c r="AZ1066" s="7" t="s">
        <v>231</v>
      </c>
      <c r="BA1066" s="7" t="s">
        <v>231</v>
      </c>
      <c r="BB1066" s="7"/>
      <c r="BC1066" s="4" t="s">
        <v>231</v>
      </c>
      <c r="BD1066" s="8" t="s">
        <v>231</v>
      </c>
      <c r="BE1066" s="4" t="s">
        <v>231</v>
      </c>
      <c r="BF1066" s="8" t="s">
        <v>231</v>
      </c>
      <c r="BG1066" s="7" t="s">
        <v>231</v>
      </c>
      <c r="BH1066" s="7" t="s">
        <v>231</v>
      </c>
      <c r="BI1066" s="7"/>
      <c r="BJ1066" s="4"/>
      <c r="BK1066" s="8"/>
      <c r="BL1066" s="2" t="s">
        <v>231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5162</v>
      </c>
      <c r="BV1066" s="2" t="s">
        <v>231</v>
      </c>
      <c r="BW1066" s="2" t="s">
        <v>231</v>
      </c>
      <c r="BX1066" s="2" t="s">
        <v>241</v>
      </c>
      <c r="BY1066" s="2" t="s">
        <v>277</v>
      </c>
      <c r="BZ1066" s="2" t="s">
        <v>243</v>
      </c>
      <c r="CA1066" s="2" t="s">
        <v>636</v>
      </c>
      <c r="CB1066" s="2" t="s">
        <v>231</v>
      </c>
      <c r="CC1066" s="2" t="s">
        <v>244</v>
      </c>
      <c r="CD1066" s="2" t="s">
        <v>231</v>
      </c>
      <c r="CE1066" s="4">
        <v>100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>
        <v>55</v>
      </c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>
        <v>55</v>
      </c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>
        <v>202</v>
      </c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</row>
    <row r="1067">
      <c r="A1067" s="2" t="s">
        <v>5163</v>
      </c>
      <c r="B1067" s="2" t="s">
        <v>262</v>
      </c>
      <c r="C1067" s="2" t="s">
        <v>825</v>
      </c>
      <c r="D1067" s="2" t="s">
        <v>654</v>
      </c>
      <c r="E1067" s="2" t="s">
        <v>890</v>
      </c>
      <c r="F1067" s="2" t="s">
        <v>5145</v>
      </c>
      <c r="G1067" s="2" t="s">
        <v>5145</v>
      </c>
      <c r="H1067" s="2" t="s">
        <v>5145</v>
      </c>
      <c r="I1067" s="2" t="s">
        <v>5146</v>
      </c>
      <c r="J1067" s="2" t="s">
        <v>318</v>
      </c>
      <c r="K1067" s="2" t="s">
        <v>2978</v>
      </c>
      <c r="L1067" s="3">
        <v>33.33</v>
      </c>
      <c r="M1067" s="3">
        <v>35</v>
      </c>
      <c r="N1067" s="3">
        <v>69.99</v>
      </c>
      <c r="O1067" s="2" t="s">
        <v>243</v>
      </c>
      <c r="P1067" s="2" t="s">
        <v>236</v>
      </c>
      <c r="Q1067" s="2" t="s">
        <v>237</v>
      </c>
      <c r="R1067" s="2" t="s">
        <v>231</v>
      </c>
      <c r="S1067" s="2" t="s">
        <v>5164</v>
      </c>
      <c r="T1067" s="2" t="s">
        <v>472</v>
      </c>
      <c r="U1067" s="2" t="s">
        <v>791</v>
      </c>
      <c r="V1067" s="2" t="s">
        <v>239</v>
      </c>
      <c r="W1067" s="2" t="s">
        <v>273</v>
      </c>
      <c r="X1067" s="2" t="s">
        <v>231</v>
      </c>
      <c r="Y1067" s="2" t="s">
        <v>3693</v>
      </c>
      <c r="Z1067" s="4">
        <v>100</v>
      </c>
      <c r="AA1067" s="4">
        <f>=ROUNDDOWN(7.69230769230769,0)</f>
      </c>
      <c r="AB1067" s="5">
        <v>13</v>
      </c>
      <c r="AC1067" s="2" t="s">
        <v>3693</v>
      </c>
      <c r="AD1067" s="4">
        <v>48</v>
      </c>
      <c r="AE1067" s="4">
        <v>290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231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231</v>
      </c>
      <c r="AW1067" s="8" t="s">
        <v>231</v>
      </c>
      <c r="AX1067" s="4" t="s">
        <v>231</v>
      </c>
      <c r="AY1067" s="8" t="s">
        <v>231</v>
      </c>
      <c r="AZ1067" s="7" t="s">
        <v>231</v>
      </c>
      <c r="BA1067" s="7" t="s">
        <v>231</v>
      </c>
      <c r="BB1067" s="7"/>
      <c r="BC1067" s="4" t="s">
        <v>231</v>
      </c>
      <c r="BD1067" s="8" t="s">
        <v>231</v>
      </c>
      <c r="BE1067" s="4" t="s">
        <v>231</v>
      </c>
      <c r="BF1067" s="8" t="s">
        <v>231</v>
      </c>
      <c r="BG1067" s="7" t="s">
        <v>231</v>
      </c>
      <c r="BH1067" s="7" t="s">
        <v>231</v>
      </c>
      <c r="BI1067" s="7"/>
      <c r="BJ1067" s="4"/>
      <c r="BK1067" s="8"/>
      <c r="BL1067" s="2" t="s">
        <v>231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5165</v>
      </c>
      <c r="BV1067" s="2" t="s">
        <v>231</v>
      </c>
      <c r="BW1067" s="2" t="s">
        <v>231</v>
      </c>
      <c r="BX1067" s="2" t="s">
        <v>241</v>
      </c>
      <c r="BY1067" s="2" t="s">
        <v>277</v>
      </c>
      <c r="BZ1067" s="2" t="s">
        <v>243</v>
      </c>
      <c r="CA1067" s="2" t="s">
        <v>3693</v>
      </c>
      <c r="CB1067" s="2" t="s">
        <v>231</v>
      </c>
      <c r="CC1067" s="2" t="s">
        <v>244</v>
      </c>
      <c r="CD1067" s="2" t="s">
        <v>231</v>
      </c>
      <c r="CE1067" s="4">
        <v>100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>
        <v>48</v>
      </c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>
        <v>47</v>
      </c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>
        <v>195</v>
      </c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</row>
    <row r="1068">
      <c r="A1068" s="2" t="s">
        <v>5166</v>
      </c>
      <c r="B1068" s="2" t="s">
        <v>262</v>
      </c>
      <c r="C1068" s="2" t="s">
        <v>825</v>
      </c>
      <c r="D1068" s="2" t="s">
        <v>654</v>
      </c>
      <c r="E1068" s="2" t="s">
        <v>890</v>
      </c>
      <c r="F1068" s="2" t="s">
        <v>5145</v>
      </c>
      <c r="G1068" s="2" t="s">
        <v>5145</v>
      </c>
      <c r="H1068" s="2" t="s">
        <v>5145</v>
      </c>
      <c r="I1068" s="2" t="s">
        <v>5146</v>
      </c>
      <c r="J1068" s="2" t="s">
        <v>658</v>
      </c>
      <c r="K1068" s="2" t="s">
        <v>2978</v>
      </c>
      <c r="L1068" s="3">
        <v>38.09</v>
      </c>
      <c r="M1068" s="3">
        <v>39.99</v>
      </c>
      <c r="N1068" s="3">
        <v>79.99</v>
      </c>
      <c r="O1068" s="2" t="s">
        <v>243</v>
      </c>
      <c r="P1068" s="2" t="s">
        <v>236</v>
      </c>
      <c r="Q1068" s="2" t="s">
        <v>237</v>
      </c>
      <c r="R1068" s="2" t="s">
        <v>231</v>
      </c>
      <c r="S1068" s="2" t="s">
        <v>5164</v>
      </c>
      <c r="T1068" s="2" t="s">
        <v>472</v>
      </c>
      <c r="U1068" s="2" t="s">
        <v>835</v>
      </c>
      <c r="V1068" s="2" t="s">
        <v>239</v>
      </c>
      <c r="W1068" s="2" t="s">
        <v>273</v>
      </c>
      <c r="X1068" s="2" t="s">
        <v>231</v>
      </c>
      <c r="Y1068" s="2" t="s">
        <v>5152</v>
      </c>
      <c r="Z1068" s="4">
        <v>100</v>
      </c>
      <c r="AA1068" s="4">
        <f>=ROUNDDOWN(142.857142857143,0)</f>
      </c>
      <c r="AB1068" s="5">
        <v>0.7</v>
      </c>
      <c r="AC1068" s="2" t="s">
        <v>3693</v>
      </c>
      <c r="AD1068" s="4">
        <v>50</v>
      </c>
      <c r="AE1068" s="4">
        <v>573</v>
      </c>
      <c r="AF1068" s="6">
        <v>65</v>
      </c>
      <c r="AG1068" s="6"/>
      <c r="AH1068" s="7">
        <v>0.0645</v>
      </c>
      <c r="AI1068" s="4"/>
      <c r="AJ1068" s="4">
        <f>=ROUNDDOWN({0},0)</f>
      </c>
      <c r="AK1068" s="5"/>
      <c r="AL1068" s="2" t="s">
        <v>231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231</v>
      </c>
      <c r="AW1068" s="8" t="s">
        <v>231</v>
      </c>
      <c r="AX1068" s="4" t="s">
        <v>231</v>
      </c>
      <c r="AY1068" s="8" t="s">
        <v>231</v>
      </c>
      <c r="AZ1068" s="7" t="s">
        <v>231</v>
      </c>
      <c r="BA1068" s="7" t="s">
        <v>231</v>
      </c>
      <c r="BB1068" s="7"/>
      <c r="BC1068" s="4" t="s">
        <v>231</v>
      </c>
      <c r="BD1068" s="8" t="s">
        <v>231</v>
      </c>
      <c r="BE1068" s="4" t="s">
        <v>231</v>
      </c>
      <c r="BF1068" s="8" t="s">
        <v>231</v>
      </c>
      <c r="BG1068" s="7" t="s">
        <v>231</v>
      </c>
      <c r="BH1068" s="7" t="s">
        <v>231</v>
      </c>
      <c r="BI1068" s="7"/>
      <c r="BJ1068" s="4"/>
      <c r="BK1068" s="8"/>
      <c r="BL1068" s="2" t="s">
        <v>231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5167</v>
      </c>
      <c r="BV1068" s="2" t="s">
        <v>231</v>
      </c>
      <c r="BW1068" s="2" t="s">
        <v>231</v>
      </c>
      <c r="BX1068" s="2" t="s">
        <v>241</v>
      </c>
      <c r="BY1068" s="2" t="s">
        <v>277</v>
      </c>
      <c r="BZ1068" s="2" t="s">
        <v>243</v>
      </c>
      <c r="CA1068" s="2" t="s">
        <v>3693</v>
      </c>
      <c r="CB1068" s="2" t="s">
        <v>231</v>
      </c>
      <c r="CC1068" s="2" t="s">
        <v>244</v>
      </c>
      <c r="CD1068" s="2" t="s">
        <v>231</v>
      </c>
      <c r="CE1068" s="4">
        <v>100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>
        <v>50</v>
      </c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>
        <v>200</v>
      </c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>
        <v>323</v>
      </c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</row>
    <row r="1069">
      <c r="A1069" s="2" t="s">
        <v>5168</v>
      </c>
      <c r="B1069" s="2" t="s">
        <v>262</v>
      </c>
      <c r="C1069" s="2" t="s">
        <v>825</v>
      </c>
      <c r="D1069" s="2" t="s">
        <v>654</v>
      </c>
      <c r="E1069" s="2" t="s">
        <v>890</v>
      </c>
      <c r="F1069" s="2" t="s">
        <v>5145</v>
      </c>
      <c r="G1069" s="2" t="s">
        <v>5145</v>
      </c>
      <c r="H1069" s="2" t="s">
        <v>5145</v>
      </c>
      <c r="I1069" s="2" t="s">
        <v>5146</v>
      </c>
      <c r="J1069" s="2" t="s">
        <v>669</v>
      </c>
      <c r="K1069" s="2" t="s">
        <v>2978</v>
      </c>
      <c r="L1069" s="3">
        <v>42.85</v>
      </c>
      <c r="M1069" s="3">
        <v>44.99</v>
      </c>
      <c r="N1069" s="3">
        <v>89.99</v>
      </c>
      <c r="O1069" s="2" t="s">
        <v>243</v>
      </c>
      <c r="P1069" s="2" t="s">
        <v>236</v>
      </c>
      <c r="Q1069" s="2" t="s">
        <v>237</v>
      </c>
      <c r="R1069" s="2" t="s">
        <v>231</v>
      </c>
      <c r="S1069" s="2" t="s">
        <v>5164</v>
      </c>
      <c r="T1069" s="2" t="s">
        <v>472</v>
      </c>
      <c r="U1069" s="2" t="s">
        <v>835</v>
      </c>
      <c r="V1069" s="2" t="s">
        <v>239</v>
      </c>
      <c r="W1069" s="2" t="s">
        <v>273</v>
      </c>
      <c r="X1069" s="2" t="s">
        <v>231</v>
      </c>
      <c r="Y1069" s="2" t="s">
        <v>3693</v>
      </c>
      <c r="Z1069" s="4">
        <v>100</v>
      </c>
      <c r="AA1069" s="4">
        <f>=ROUNDDOWN(3.84615384615385,0)</f>
      </c>
      <c r="AB1069" s="5">
        <v>26</v>
      </c>
      <c r="AC1069" s="2" t="s">
        <v>3693</v>
      </c>
      <c r="AD1069" s="4">
        <v>50</v>
      </c>
      <c r="AE1069" s="4">
        <v>296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231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231</v>
      </c>
      <c r="AW1069" s="8" t="s">
        <v>231</v>
      </c>
      <c r="AX1069" s="4" t="s">
        <v>231</v>
      </c>
      <c r="AY1069" s="8" t="s">
        <v>231</v>
      </c>
      <c r="AZ1069" s="7" t="s">
        <v>231</v>
      </c>
      <c r="BA1069" s="7" t="s">
        <v>231</v>
      </c>
      <c r="BB1069" s="7"/>
      <c r="BC1069" s="4" t="s">
        <v>231</v>
      </c>
      <c r="BD1069" s="8" t="s">
        <v>231</v>
      </c>
      <c r="BE1069" s="4" t="s">
        <v>231</v>
      </c>
      <c r="BF1069" s="8" t="s">
        <v>231</v>
      </c>
      <c r="BG1069" s="7" t="s">
        <v>231</v>
      </c>
      <c r="BH1069" s="7" t="s">
        <v>231</v>
      </c>
      <c r="BI1069" s="7"/>
      <c r="BJ1069" s="4"/>
      <c r="BK1069" s="8"/>
      <c r="BL1069" s="2" t="s">
        <v>231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5169</v>
      </c>
      <c r="BV1069" s="2" t="s">
        <v>231</v>
      </c>
      <c r="BW1069" s="2" t="s">
        <v>231</v>
      </c>
      <c r="BX1069" s="2" t="s">
        <v>241</v>
      </c>
      <c r="BY1069" s="2" t="s">
        <v>277</v>
      </c>
      <c r="BZ1069" s="2" t="s">
        <v>243</v>
      </c>
      <c r="CA1069" s="2" t="s">
        <v>3693</v>
      </c>
      <c r="CB1069" s="2" t="s">
        <v>231</v>
      </c>
      <c r="CC1069" s="2" t="s">
        <v>244</v>
      </c>
      <c r="CD1069" s="2" t="s">
        <v>231</v>
      </c>
      <c r="CE1069" s="4">
        <v>100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>
        <v>50</v>
      </c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>
        <v>50</v>
      </c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>
        <v>196</v>
      </c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</row>
    <row r="1070">
      <c r="A1070" s="2" t="s">
        <v>5170</v>
      </c>
      <c r="B1070" s="2" t="s">
        <v>262</v>
      </c>
      <c r="C1070" s="2" t="s">
        <v>825</v>
      </c>
      <c r="D1070" s="2" t="s">
        <v>654</v>
      </c>
      <c r="E1070" s="2" t="s">
        <v>890</v>
      </c>
      <c r="F1070" s="2" t="s">
        <v>5145</v>
      </c>
      <c r="G1070" s="2" t="s">
        <v>5145</v>
      </c>
      <c r="H1070" s="2" t="s">
        <v>5145</v>
      </c>
      <c r="I1070" s="2" t="s">
        <v>5146</v>
      </c>
      <c r="J1070" s="2" t="s">
        <v>318</v>
      </c>
      <c r="K1070" s="2" t="s">
        <v>1800</v>
      </c>
      <c r="L1070" s="3">
        <v>33.33</v>
      </c>
      <c r="M1070" s="3">
        <v>35</v>
      </c>
      <c r="N1070" s="3">
        <v>69.99</v>
      </c>
      <c r="O1070" s="2" t="s">
        <v>243</v>
      </c>
      <c r="P1070" s="2" t="s">
        <v>236</v>
      </c>
      <c r="Q1070" s="2" t="s">
        <v>237</v>
      </c>
      <c r="R1070" s="2" t="s">
        <v>231</v>
      </c>
      <c r="S1070" s="2" t="s">
        <v>5171</v>
      </c>
      <c r="T1070" s="2" t="s">
        <v>472</v>
      </c>
      <c r="U1070" s="2" t="s">
        <v>791</v>
      </c>
      <c r="V1070" s="2" t="s">
        <v>239</v>
      </c>
      <c r="W1070" s="2" t="s">
        <v>273</v>
      </c>
      <c r="X1070" s="2" t="s">
        <v>231</v>
      </c>
      <c r="Y1070" s="2" t="s">
        <v>3693</v>
      </c>
      <c r="Z1070" s="4">
        <v>100</v>
      </c>
      <c r="AA1070" s="4">
        <f>=ROUNDDOWN(6.66666666666667,0)</f>
      </c>
      <c r="AB1070" s="5">
        <v>15</v>
      </c>
      <c r="AC1070" s="2" t="s">
        <v>3693</v>
      </c>
      <c r="AD1070" s="4">
        <v>50</v>
      </c>
      <c r="AE1070" s="4">
        <v>266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231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231</v>
      </c>
      <c r="AW1070" s="8" t="s">
        <v>231</v>
      </c>
      <c r="AX1070" s="4" t="s">
        <v>231</v>
      </c>
      <c r="AY1070" s="8" t="s">
        <v>231</v>
      </c>
      <c r="AZ1070" s="7" t="s">
        <v>231</v>
      </c>
      <c r="BA1070" s="7" t="s">
        <v>231</v>
      </c>
      <c r="BB1070" s="7"/>
      <c r="BC1070" s="4" t="s">
        <v>231</v>
      </c>
      <c r="BD1070" s="8" t="s">
        <v>231</v>
      </c>
      <c r="BE1070" s="4" t="s">
        <v>231</v>
      </c>
      <c r="BF1070" s="8" t="s">
        <v>231</v>
      </c>
      <c r="BG1070" s="7" t="s">
        <v>231</v>
      </c>
      <c r="BH1070" s="7" t="s">
        <v>231</v>
      </c>
      <c r="BI1070" s="7"/>
      <c r="BJ1070" s="4"/>
      <c r="BK1070" s="8"/>
      <c r="BL1070" s="2" t="s">
        <v>231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5172</v>
      </c>
      <c r="BV1070" s="2" t="s">
        <v>231</v>
      </c>
      <c r="BW1070" s="2" t="s">
        <v>231</v>
      </c>
      <c r="BX1070" s="2" t="s">
        <v>241</v>
      </c>
      <c r="BY1070" s="2" t="s">
        <v>277</v>
      </c>
      <c r="BZ1070" s="2" t="s">
        <v>243</v>
      </c>
      <c r="CA1070" s="2" t="s">
        <v>5150</v>
      </c>
      <c r="CB1070" s="2" t="s">
        <v>231</v>
      </c>
      <c r="CC1070" s="2" t="s">
        <v>244</v>
      </c>
      <c r="CD1070" s="2" t="s">
        <v>231</v>
      </c>
      <c r="CE1070" s="4">
        <v>100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>
        <v>50</v>
      </c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>
        <v>50</v>
      </c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>
        <v>166</v>
      </c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</row>
    <row r="1071">
      <c r="A1071" s="2" t="s">
        <v>5173</v>
      </c>
      <c r="B1071" s="2" t="s">
        <v>262</v>
      </c>
      <c r="C1071" s="2" t="s">
        <v>825</v>
      </c>
      <c r="D1071" s="2" t="s">
        <v>654</v>
      </c>
      <c r="E1071" s="2" t="s">
        <v>890</v>
      </c>
      <c r="F1071" s="2" t="s">
        <v>5145</v>
      </c>
      <c r="G1071" s="2" t="s">
        <v>5145</v>
      </c>
      <c r="H1071" s="2" t="s">
        <v>5145</v>
      </c>
      <c r="I1071" s="2" t="s">
        <v>5146</v>
      </c>
      <c r="J1071" s="2" t="s">
        <v>658</v>
      </c>
      <c r="K1071" s="2" t="s">
        <v>1800</v>
      </c>
      <c r="L1071" s="3">
        <v>38.09</v>
      </c>
      <c r="M1071" s="3">
        <v>39.99</v>
      </c>
      <c r="N1071" s="3">
        <v>79.99</v>
      </c>
      <c r="O1071" s="2" t="s">
        <v>243</v>
      </c>
      <c r="P1071" s="2" t="s">
        <v>236</v>
      </c>
      <c r="Q1071" s="2" t="s">
        <v>237</v>
      </c>
      <c r="R1071" s="2" t="s">
        <v>231</v>
      </c>
      <c r="S1071" s="2" t="s">
        <v>5171</v>
      </c>
      <c r="T1071" s="2" t="s">
        <v>472</v>
      </c>
      <c r="U1071" s="2" t="s">
        <v>835</v>
      </c>
      <c r="V1071" s="2" t="s">
        <v>239</v>
      </c>
      <c r="W1071" s="2" t="s">
        <v>273</v>
      </c>
      <c r="X1071" s="2" t="s">
        <v>231</v>
      </c>
      <c r="Y1071" s="2" t="s">
        <v>5152</v>
      </c>
      <c r="Z1071" s="4">
        <v>99</v>
      </c>
      <c r="AA1071" s="4">
        <f>=ROUNDDOWN(141.428571428571,0)</f>
      </c>
      <c r="AB1071" s="5">
        <v>0.7</v>
      </c>
      <c r="AC1071" s="2" t="s">
        <v>3693</v>
      </c>
      <c r="AD1071" s="4">
        <v>100</v>
      </c>
      <c r="AE1071" s="4">
        <v>670</v>
      </c>
      <c r="AF1071" s="6">
        <v>65</v>
      </c>
      <c r="AG1071" s="6"/>
      <c r="AH1071" s="7">
        <v>0.0645</v>
      </c>
      <c r="AI1071" s="4"/>
      <c r="AJ1071" s="4">
        <f>=ROUNDDOWN({0},0)</f>
      </c>
      <c r="AK1071" s="5"/>
      <c r="AL1071" s="2" t="s">
        <v>231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231</v>
      </c>
      <c r="AW1071" s="8" t="s">
        <v>231</v>
      </c>
      <c r="AX1071" s="4" t="s">
        <v>231</v>
      </c>
      <c r="AY1071" s="8" t="s">
        <v>231</v>
      </c>
      <c r="AZ1071" s="7" t="s">
        <v>231</v>
      </c>
      <c r="BA1071" s="7" t="s">
        <v>231</v>
      </c>
      <c r="BB1071" s="7"/>
      <c r="BC1071" s="4" t="s">
        <v>231</v>
      </c>
      <c r="BD1071" s="8" t="s">
        <v>231</v>
      </c>
      <c r="BE1071" s="4" t="s">
        <v>231</v>
      </c>
      <c r="BF1071" s="8" t="s">
        <v>231</v>
      </c>
      <c r="BG1071" s="7" t="s">
        <v>231</v>
      </c>
      <c r="BH1071" s="7" t="s">
        <v>231</v>
      </c>
      <c r="BI1071" s="7"/>
      <c r="BJ1071" s="4"/>
      <c r="BK1071" s="8"/>
      <c r="BL1071" s="2" t="s">
        <v>231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5174</v>
      </c>
      <c r="BV1071" s="2" t="s">
        <v>231</v>
      </c>
      <c r="BW1071" s="2" t="s">
        <v>231</v>
      </c>
      <c r="BX1071" s="2" t="s">
        <v>241</v>
      </c>
      <c r="BY1071" s="2" t="s">
        <v>277</v>
      </c>
      <c r="BZ1071" s="2" t="s">
        <v>243</v>
      </c>
      <c r="CA1071" s="2" t="s">
        <v>3693</v>
      </c>
      <c r="CB1071" s="2" t="s">
        <v>231</v>
      </c>
      <c r="CC1071" s="2" t="s">
        <v>244</v>
      </c>
      <c r="CD1071" s="2" t="s">
        <v>231</v>
      </c>
      <c r="CE1071" s="4">
        <v>99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>
        <v>100</v>
      </c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>
        <v>200</v>
      </c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>
        <v>370</v>
      </c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</row>
    <row r="1072">
      <c r="A1072" s="2" t="s">
        <v>5175</v>
      </c>
      <c r="B1072" s="2" t="s">
        <v>262</v>
      </c>
      <c r="C1072" s="2" t="s">
        <v>825</v>
      </c>
      <c r="D1072" s="2" t="s">
        <v>654</v>
      </c>
      <c r="E1072" s="2" t="s">
        <v>890</v>
      </c>
      <c r="F1072" s="2" t="s">
        <v>5145</v>
      </c>
      <c r="G1072" s="2" t="s">
        <v>5145</v>
      </c>
      <c r="H1072" s="2" t="s">
        <v>5145</v>
      </c>
      <c r="I1072" s="2" t="s">
        <v>5146</v>
      </c>
      <c r="J1072" s="2" t="s">
        <v>669</v>
      </c>
      <c r="K1072" s="2" t="s">
        <v>1800</v>
      </c>
      <c r="L1072" s="3">
        <v>42.85</v>
      </c>
      <c r="M1072" s="3">
        <v>44.99</v>
      </c>
      <c r="N1072" s="3">
        <v>89.99</v>
      </c>
      <c r="O1072" s="2" t="s">
        <v>243</v>
      </c>
      <c r="P1072" s="2" t="s">
        <v>236</v>
      </c>
      <c r="Q1072" s="2" t="s">
        <v>237</v>
      </c>
      <c r="R1072" s="2" t="s">
        <v>231</v>
      </c>
      <c r="S1072" s="2" t="s">
        <v>5171</v>
      </c>
      <c r="T1072" s="2" t="s">
        <v>472</v>
      </c>
      <c r="U1072" s="2" t="s">
        <v>835</v>
      </c>
      <c r="V1072" s="2" t="s">
        <v>239</v>
      </c>
      <c r="W1072" s="2" t="s">
        <v>273</v>
      </c>
      <c r="X1072" s="2" t="s">
        <v>231</v>
      </c>
      <c r="Y1072" s="2" t="s">
        <v>3693</v>
      </c>
      <c r="Z1072" s="4">
        <v>100</v>
      </c>
      <c r="AA1072" s="4">
        <f>=ROUNDDOWN(3.7037037037037,0)</f>
      </c>
      <c r="AB1072" s="5">
        <v>27</v>
      </c>
      <c r="AC1072" s="2" t="s">
        <v>3693</v>
      </c>
      <c r="AD1072" s="4">
        <v>48</v>
      </c>
      <c r="AE1072" s="4">
        <v>276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231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231</v>
      </c>
      <c r="AW1072" s="8" t="s">
        <v>231</v>
      </c>
      <c r="AX1072" s="4" t="s">
        <v>231</v>
      </c>
      <c r="AY1072" s="8" t="s">
        <v>231</v>
      </c>
      <c r="AZ1072" s="7" t="s">
        <v>231</v>
      </c>
      <c r="BA1072" s="7" t="s">
        <v>231</v>
      </c>
      <c r="BB1072" s="7"/>
      <c r="BC1072" s="4" t="s">
        <v>231</v>
      </c>
      <c r="BD1072" s="8" t="s">
        <v>231</v>
      </c>
      <c r="BE1072" s="4" t="s">
        <v>231</v>
      </c>
      <c r="BF1072" s="8" t="s">
        <v>231</v>
      </c>
      <c r="BG1072" s="7" t="s">
        <v>231</v>
      </c>
      <c r="BH1072" s="7" t="s">
        <v>231</v>
      </c>
      <c r="BI1072" s="7"/>
      <c r="BJ1072" s="4"/>
      <c r="BK1072" s="8"/>
      <c r="BL1072" s="2" t="s">
        <v>231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5176</v>
      </c>
      <c r="BV1072" s="2" t="s">
        <v>231</v>
      </c>
      <c r="BW1072" s="2" t="s">
        <v>231</v>
      </c>
      <c r="BX1072" s="2" t="s">
        <v>241</v>
      </c>
      <c r="BY1072" s="2" t="s">
        <v>277</v>
      </c>
      <c r="BZ1072" s="2" t="s">
        <v>243</v>
      </c>
      <c r="CA1072" s="2" t="s">
        <v>3693</v>
      </c>
      <c r="CB1072" s="2" t="s">
        <v>231</v>
      </c>
      <c r="CC1072" s="2" t="s">
        <v>244</v>
      </c>
      <c r="CD1072" s="2" t="s">
        <v>231</v>
      </c>
      <c r="CE1072" s="4">
        <v>100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>
        <v>48</v>
      </c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>
        <v>47</v>
      </c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>
        <v>181</v>
      </c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</row>
    <row r="1073">
      <c r="A1073" s="2" t="s">
        <v>5177</v>
      </c>
      <c r="B1073" s="2" t="s">
        <v>262</v>
      </c>
      <c r="C1073" s="2" t="s">
        <v>825</v>
      </c>
      <c r="D1073" s="2" t="s">
        <v>264</v>
      </c>
      <c r="E1073" s="2" t="s">
        <v>3915</v>
      </c>
      <c r="F1073" s="2" t="s">
        <v>5145</v>
      </c>
      <c r="G1073" s="2" t="s">
        <v>5145</v>
      </c>
      <c r="H1073" s="2" t="s">
        <v>5145</v>
      </c>
      <c r="I1073" s="2" t="s">
        <v>5178</v>
      </c>
      <c r="J1073" s="2" t="s">
        <v>318</v>
      </c>
      <c r="K1073" s="2" t="s">
        <v>319</v>
      </c>
      <c r="L1073" s="3">
        <v>20.57</v>
      </c>
      <c r="M1073" s="3">
        <v>21.6</v>
      </c>
      <c r="N1073" s="3">
        <v>44.99</v>
      </c>
      <c r="O1073" s="2" t="s">
        <v>243</v>
      </c>
      <c r="P1073" s="2" t="s">
        <v>236</v>
      </c>
      <c r="Q1073" s="2" t="s">
        <v>237</v>
      </c>
      <c r="R1073" s="2" t="s">
        <v>231</v>
      </c>
      <c r="S1073" s="2" t="s">
        <v>5179</v>
      </c>
      <c r="T1073" s="2" t="s">
        <v>1432</v>
      </c>
      <c r="U1073" s="2" t="s">
        <v>327</v>
      </c>
      <c r="V1073" s="2" t="s">
        <v>239</v>
      </c>
      <c r="W1073" s="2" t="s">
        <v>273</v>
      </c>
      <c r="X1073" s="2" t="s">
        <v>231</v>
      </c>
      <c r="Y1073" s="2" t="s">
        <v>2637</v>
      </c>
      <c r="Z1073" s="4">
        <v>337</v>
      </c>
      <c r="AA1073" s="4">
        <f>=ROUNDDOWN(19.8235294117647,0)</f>
      </c>
      <c r="AB1073" s="5">
        <v>17</v>
      </c>
      <c r="AC1073" s="2" t="s">
        <v>231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231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231</v>
      </c>
      <c r="AW1073" s="8" t="s">
        <v>231</v>
      </c>
      <c r="AX1073" s="4" t="s">
        <v>231</v>
      </c>
      <c r="AY1073" s="8" t="s">
        <v>231</v>
      </c>
      <c r="AZ1073" s="7" t="s">
        <v>231</v>
      </c>
      <c r="BA1073" s="7" t="s">
        <v>231</v>
      </c>
      <c r="BB1073" s="7"/>
      <c r="BC1073" s="4" t="s">
        <v>231</v>
      </c>
      <c r="BD1073" s="8" t="s">
        <v>231</v>
      </c>
      <c r="BE1073" s="4" t="s">
        <v>231</v>
      </c>
      <c r="BF1073" s="8" t="s">
        <v>231</v>
      </c>
      <c r="BG1073" s="7" t="s">
        <v>231</v>
      </c>
      <c r="BH1073" s="7" t="s">
        <v>231</v>
      </c>
      <c r="BI1073" s="7"/>
      <c r="BJ1073" s="4">
        <v>21</v>
      </c>
      <c r="BK1073" s="8">
        <v>767.11</v>
      </c>
      <c r="BL1073" s="2" t="s">
        <v>5180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5181</v>
      </c>
      <c r="BV1073" s="2" t="s">
        <v>231</v>
      </c>
      <c r="BW1073" s="2" t="s">
        <v>231</v>
      </c>
      <c r="BX1073" s="2" t="s">
        <v>241</v>
      </c>
      <c r="BY1073" s="2" t="s">
        <v>277</v>
      </c>
      <c r="BZ1073" s="2" t="s">
        <v>243</v>
      </c>
      <c r="CA1073" s="2" t="s">
        <v>1242</v>
      </c>
      <c r="CB1073" s="2" t="s">
        <v>231</v>
      </c>
      <c r="CC1073" s="2" t="s">
        <v>244</v>
      </c>
      <c r="CD1073" s="2" t="s">
        <v>231</v>
      </c>
      <c r="CE1073" s="4">
        <v>337</v>
      </c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</row>
    <row r="1074">
      <c r="A1074" s="2" t="s">
        <v>5182</v>
      </c>
      <c r="B1074" s="2" t="s">
        <v>262</v>
      </c>
      <c r="C1074" s="2" t="s">
        <v>825</v>
      </c>
      <c r="D1074" s="2" t="s">
        <v>264</v>
      </c>
      <c r="E1074" s="2" t="s">
        <v>3915</v>
      </c>
      <c r="F1074" s="2" t="s">
        <v>5145</v>
      </c>
      <c r="G1074" s="2" t="s">
        <v>5145</v>
      </c>
      <c r="H1074" s="2" t="s">
        <v>5145</v>
      </c>
      <c r="I1074" s="2" t="s">
        <v>5178</v>
      </c>
      <c r="J1074" s="2" t="s">
        <v>281</v>
      </c>
      <c r="K1074" s="2" t="s">
        <v>319</v>
      </c>
      <c r="L1074" s="3">
        <v>23.8</v>
      </c>
      <c r="M1074" s="3">
        <v>24.99</v>
      </c>
      <c r="N1074" s="3">
        <v>49.99</v>
      </c>
      <c r="O1074" s="2" t="s">
        <v>243</v>
      </c>
      <c r="P1074" s="2" t="s">
        <v>236</v>
      </c>
      <c r="Q1074" s="2" t="s">
        <v>237</v>
      </c>
      <c r="R1074" s="2" t="s">
        <v>231</v>
      </c>
      <c r="S1074" s="2" t="s">
        <v>5179</v>
      </c>
      <c r="T1074" s="2" t="s">
        <v>1432</v>
      </c>
      <c r="U1074" s="2" t="s">
        <v>327</v>
      </c>
      <c r="V1074" s="2" t="s">
        <v>239</v>
      </c>
      <c r="W1074" s="2" t="s">
        <v>273</v>
      </c>
      <c r="X1074" s="2" t="s">
        <v>231</v>
      </c>
      <c r="Y1074" s="2" t="s">
        <v>2637</v>
      </c>
      <c r="Z1074" s="4">
        <v>398</v>
      </c>
      <c r="AA1074" s="4">
        <f>=ROUNDDOWN(22.1111111111111,0)</f>
      </c>
      <c r="AB1074" s="5">
        <v>18</v>
      </c>
      <c r="AC1074" s="2" t="s">
        <v>231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231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231</v>
      </c>
      <c r="AW1074" s="8" t="s">
        <v>231</v>
      </c>
      <c r="AX1074" s="4" t="s">
        <v>231</v>
      </c>
      <c r="AY1074" s="8" t="s">
        <v>231</v>
      </c>
      <c r="AZ1074" s="7" t="s">
        <v>231</v>
      </c>
      <c r="BA1074" s="7" t="s">
        <v>231</v>
      </c>
      <c r="BB1074" s="7"/>
      <c r="BC1074" s="4" t="s">
        <v>231</v>
      </c>
      <c r="BD1074" s="8" t="s">
        <v>231</v>
      </c>
      <c r="BE1074" s="4" t="s">
        <v>231</v>
      </c>
      <c r="BF1074" s="8" t="s">
        <v>231</v>
      </c>
      <c r="BG1074" s="7" t="s">
        <v>231</v>
      </c>
      <c r="BH1074" s="7" t="s">
        <v>231</v>
      </c>
      <c r="BI1074" s="7"/>
      <c r="BJ1074" s="4">
        <v>20</v>
      </c>
      <c r="BK1074" s="8">
        <v>919.6</v>
      </c>
      <c r="BL1074" s="2" t="s">
        <v>5183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5184</v>
      </c>
      <c r="BV1074" s="2" t="s">
        <v>231</v>
      </c>
      <c r="BW1074" s="2" t="s">
        <v>231</v>
      </c>
      <c r="BX1074" s="2" t="s">
        <v>241</v>
      </c>
      <c r="BY1074" s="2" t="s">
        <v>277</v>
      </c>
      <c r="BZ1074" s="2" t="s">
        <v>243</v>
      </c>
      <c r="CA1074" s="2" t="s">
        <v>1242</v>
      </c>
      <c r="CB1074" s="2" t="s">
        <v>231</v>
      </c>
      <c r="CC1074" s="2" t="s">
        <v>244</v>
      </c>
      <c r="CD1074" s="2" t="s">
        <v>231</v>
      </c>
      <c r="CE1074" s="4">
        <v>398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</row>
    <row r="1075">
      <c r="A1075" s="2" t="s">
        <v>5185</v>
      </c>
      <c r="B1075" s="2" t="s">
        <v>262</v>
      </c>
      <c r="C1075" s="2" t="s">
        <v>825</v>
      </c>
      <c r="D1075" s="2" t="s">
        <v>264</v>
      </c>
      <c r="E1075" s="2" t="s">
        <v>3915</v>
      </c>
      <c r="F1075" s="2" t="s">
        <v>5145</v>
      </c>
      <c r="G1075" s="2" t="s">
        <v>5145</v>
      </c>
      <c r="H1075" s="2" t="s">
        <v>5145</v>
      </c>
      <c r="I1075" s="2" t="s">
        <v>5178</v>
      </c>
      <c r="J1075" s="2" t="s">
        <v>293</v>
      </c>
      <c r="K1075" s="2" t="s">
        <v>319</v>
      </c>
      <c r="L1075" s="3">
        <v>26.19</v>
      </c>
      <c r="M1075" s="3">
        <v>27.5</v>
      </c>
      <c r="N1075" s="3">
        <v>54.99</v>
      </c>
      <c r="O1075" s="2" t="s">
        <v>243</v>
      </c>
      <c r="P1075" s="2" t="s">
        <v>236</v>
      </c>
      <c r="Q1075" s="2" t="s">
        <v>237</v>
      </c>
      <c r="R1075" s="2" t="s">
        <v>231</v>
      </c>
      <c r="S1075" s="2" t="s">
        <v>5179</v>
      </c>
      <c r="T1075" s="2" t="s">
        <v>1432</v>
      </c>
      <c r="U1075" s="2" t="s">
        <v>327</v>
      </c>
      <c r="V1075" s="2" t="s">
        <v>239</v>
      </c>
      <c r="W1075" s="2" t="s">
        <v>273</v>
      </c>
      <c r="X1075" s="2" t="s">
        <v>231</v>
      </c>
      <c r="Y1075" s="2" t="s">
        <v>2637</v>
      </c>
      <c r="Z1075" s="4">
        <v>728</v>
      </c>
      <c r="AA1075" s="4">
        <f>=ROUNDDOWN(25.1034482758621,0)</f>
      </c>
      <c r="AB1075" s="5">
        <v>29</v>
      </c>
      <c r="AC1075" s="2" t="s">
        <v>231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231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231</v>
      </c>
      <c r="AW1075" s="8" t="s">
        <v>231</v>
      </c>
      <c r="AX1075" s="4" t="s">
        <v>231</v>
      </c>
      <c r="AY1075" s="8" t="s">
        <v>231</v>
      </c>
      <c r="AZ1075" s="7" t="s">
        <v>231</v>
      </c>
      <c r="BA1075" s="7" t="s">
        <v>231</v>
      </c>
      <c r="BB1075" s="7"/>
      <c r="BC1075" s="4" t="s">
        <v>231</v>
      </c>
      <c r="BD1075" s="8" t="s">
        <v>231</v>
      </c>
      <c r="BE1075" s="4" t="s">
        <v>231</v>
      </c>
      <c r="BF1075" s="8" t="s">
        <v>231</v>
      </c>
      <c r="BG1075" s="7" t="s">
        <v>231</v>
      </c>
      <c r="BH1075" s="7" t="s">
        <v>231</v>
      </c>
      <c r="BI1075" s="7"/>
      <c r="BJ1075" s="4">
        <v>23</v>
      </c>
      <c r="BK1075" s="8">
        <v>1220.8</v>
      </c>
      <c r="BL1075" s="2" t="s">
        <v>5183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5186</v>
      </c>
      <c r="BV1075" s="2" t="s">
        <v>231</v>
      </c>
      <c r="BW1075" s="2" t="s">
        <v>231</v>
      </c>
      <c r="BX1075" s="2" t="s">
        <v>241</v>
      </c>
      <c r="BY1075" s="2" t="s">
        <v>277</v>
      </c>
      <c r="BZ1075" s="2" t="s">
        <v>243</v>
      </c>
      <c r="CA1075" s="2" t="s">
        <v>1242</v>
      </c>
      <c r="CB1075" s="2" t="s">
        <v>231</v>
      </c>
      <c r="CC1075" s="2" t="s">
        <v>244</v>
      </c>
      <c r="CD1075" s="2" t="s">
        <v>231</v>
      </c>
      <c r="CE1075" s="4">
        <v>728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</row>
    <row r="1076">
      <c r="A1076" s="2" t="s">
        <v>5187</v>
      </c>
      <c r="B1076" s="2" t="s">
        <v>262</v>
      </c>
      <c r="C1076" s="2" t="s">
        <v>825</v>
      </c>
      <c r="D1076" s="2" t="s">
        <v>264</v>
      </c>
      <c r="E1076" s="2" t="s">
        <v>3915</v>
      </c>
      <c r="F1076" s="2" t="s">
        <v>5145</v>
      </c>
      <c r="G1076" s="2" t="s">
        <v>5145</v>
      </c>
      <c r="H1076" s="2" t="s">
        <v>5145</v>
      </c>
      <c r="I1076" s="2" t="s">
        <v>5178</v>
      </c>
      <c r="J1076" s="2" t="s">
        <v>302</v>
      </c>
      <c r="K1076" s="2" t="s">
        <v>319</v>
      </c>
      <c r="L1076" s="3">
        <v>28.57</v>
      </c>
      <c r="M1076" s="3">
        <v>30</v>
      </c>
      <c r="N1076" s="3">
        <v>59.99</v>
      </c>
      <c r="O1076" s="2" t="s">
        <v>243</v>
      </c>
      <c r="P1076" s="2" t="s">
        <v>236</v>
      </c>
      <c r="Q1076" s="2" t="s">
        <v>237</v>
      </c>
      <c r="R1076" s="2" t="s">
        <v>231</v>
      </c>
      <c r="S1076" s="2" t="s">
        <v>5179</v>
      </c>
      <c r="T1076" s="2" t="s">
        <v>1432</v>
      </c>
      <c r="U1076" s="2" t="s">
        <v>327</v>
      </c>
      <c r="V1076" s="2" t="s">
        <v>239</v>
      </c>
      <c r="W1076" s="2" t="s">
        <v>273</v>
      </c>
      <c r="X1076" s="2" t="s">
        <v>231</v>
      </c>
      <c r="Y1076" s="2" t="s">
        <v>2637</v>
      </c>
      <c r="Z1076" s="4">
        <v>437</v>
      </c>
      <c r="AA1076" s="4">
        <f>=ROUNDDOWN(21.85,0)</f>
      </c>
      <c r="AB1076" s="5">
        <v>20</v>
      </c>
      <c r="AC1076" s="2" t="s">
        <v>231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231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231</v>
      </c>
      <c r="AW1076" s="8" t="s">
        <v>231</v>
      </c>
      <c r="AX1076" s="4" t="s">
        <v>231</v>
      </c>
      <c r="AY1076" s="8" t="s">
        <v>231</v>
      </c>
      <c r="AZ1076" s="7" t="s">
        <v>231</v>
      </c>
      <c r="BA1076" s="7" t="s">
        <v>231</v>
      </c>
      <c r="BB1076" s="7"/>
      <c r="BC1076" s="4" t="s">
        <v>231</v>
      </c>
      <c r="BD1076" s="8" t="s">
        <v>231</v>
      </c>
      <c r="BE1076" s="4" t="s">
        <v>231</v>
      </c>
      <c r="BF1076" s="8" t="s">
        <v>231</v>
      </c>
      <c r="BG1076" s="7" t="s">
        <v>231</v>
      </c>
      <c r="BH1076" s="7" t="s">
        <v>231</v>
      </c>
      <c r="BI1076" s="7"/>
      <c r="BJ1076" s="4">
        <v>13</v>
      </c>
      <c r="BK1076" s="8">
        <v>759.89</v>
      </c>
      <c r="BL1076" s="2" t="s">
        <v>5183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5188</v>
      </c>
      <c r="BV1076" s="2" t="s">
        <v>231</v>
      </c>
      <c r="BW1076" s="2" t="s">
        <v>231</v>
      </c>
      <c r="BX1076" s="2" t="s">
        <v>241</v>
      </c>
      <c r="BY1076" s="2" t="s">
        <v>277</v>
      </c>
      <c r="BZ1076" s="2" t="s">
        <v>243</v>
      </c>
      <c r="CA1076" s="2" t="s">
        <v>1242</v>
      </c>
      <c r="CB1076" s="2" t="s">
        <v>231</v>
      </c>
      <c r="CC1076" s="2" t="s">
        <v>244</v>
      </c>
      <c r="CD1076" s="2" t="s">
        <v>231</v>
      </c>
      <c r="CE1076" s="4">
        <v>437</v>
      </c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</row>
    <row r="1077">
      <c r="A1077" s="2" t="s">
        <v>5189</v>
      </c>
      <c r="B1077" s="2" t="s">
        <v>226</v>
      </c>
      <c r="C1077" s="2" t="s">
        <v>631</v>
      </c>
      <c r="D1077" s="2" t="s">
        <v>228</v>
      </c>
      <c r="E1077" s="2" t="s">
        <v>229</v>
      </c>
      <c r="F1077" s="2" t="s">
        <v>5190</v>
      </c>
      <c r="G1077" s="2" t="s">
        <v>5190</v>
      </c>
      <c r="H1077" s="2" t="s">
        <v>5190</v>
      </c>
      <c r="I1077" s="2" t="s">
        <v>229</v>
      </c>
      <c r="J1077" s="2" t="s">
        <v>318</v>
      </c>
      <c r="K1077" s="2" t="s">
        <v>253</v>
      </c>
      <c r="L1077" s="3">
        <v>16.56</v>
      </c>
      <c r="M1077" s="3">
        <v>17.39</v>
      </c>
      <c r="N1077" s="3">
        <v>36.99</v>
      </c>
      <c r="O1077" s="2" t="s">
        <v>243</v>
      </c>
      <c r="P1077" s="2" t="s">
        <v>236</v>
      </c>
      <c r="Q1077" s="2" t="s">
        <v>237</v>
      </c>
      <c r="R1077" s="2" t="s">
        <v>231</v>
      </c>
      <c r="S1077" s="2" t="s">
        <v>5191</v>
      </c>
      <c r="T1077" s="2" t="s">
        <v>1432</v>
      </c>
      <c r="U1077" s="2" t="s">
        <v>327</v>
      </c>
      <c r="V1077" s="2" t="s">
        <v>239</v>
      </c>
      <c r="W1077" s="2" t="s">
        <v>273</v>
      </c>
      <c r="X1077" s="2" t="s">
        <v>231</v>
      </c>
      <c r="Y1077" s="2" t="s">
        <v>1075</v>
      </c>
      <c r="Z1077" s="4">
        <v>173</v>
      </c>
      <c r="AA1077" s="4">
        <f>=ROUNDDOWN(216.25,0)</f>
      </c>
      <c r="AB1077" s="5">
        <v>0.8</v>
      </c>
      <c r="AC1077" s="2" t="s">
        <v>1664</v>
      </c>
      <c r="AD1077" s="4">
        <v>170</v>
      </c>
      <c r="AE1077" s="4">
        <v>170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231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231</v>
      </c>
      <c r="BD1077" s="8" t="s">
        <v>231</v>
      </c>
      <c r="BE1077" s="4" t="s">
        <v>231</v>
      </c>
      <c r="BF1077" s="8" t="s">
        <v>231</v>
      </c>
      <c r="BG1077" s="7" t="s">
        <v>231</v>
      </c>
      <c r="BH1077" s="7" t="s">
        <v>231</v>
      </c>
      <c r="BI1077" s="7"/>
      <c r="BJ1077" s="4">
        <v>33</v>
      </c>
      <c r="BK1077" s="8">
        <v>626.15</v>
      </c>
      <c r="BL1077" s="2" t="s">
        <v>1581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5192</v>
      </c>
      <c r="BV1077" s="2" t="s">
        <v>231</v>
      </c>
      <c r="BW1077" s="2" t="s">
        <v>231</v>
      </c>
      <c r="BX1077" s="2" t="s">
        <v>241</v>
      </c>
      <c r="BY1077" s="2" t="s">
        <v>277</v>
      </c>
      <c r="BZ1077" s="2" t="s">
        <v>243</v>
      </c>
      <c r="CA1077" s="2" t="s">
        <v>2735</v>
      </c>
      <c r="CB1077" s="2" t="s">
        <v>231</v>
      </c>
      <c r="CC1077" s="2" t="s">
        <v>244</v>
      </c>
      <c r="CD1077" s="2" t="s">
        <v>231</v>
      </c>
      <c r="CE1077" s="4">
        <v>173</v>
      </c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>
        <v>170</v>
      </c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</row>
    <row r="1078">
      <c r="A1078" s="2" t="s">
        <v>5193</v>
      </c>
      <c r="B1078" s="2" t="s">
        <v>226</v>
      </c>
      <c r="C1078" s="2" t="s">
        <v>631</v>
      </c>
      <c r="D1078" s="2" t="s">
        <v>228</v>
      </c>
      <c r="E1078" s="2" t="s">
        <v>229</v>
      </c>
      <c r="F1078" s="2" t="s">
        <v>5190</v>
      </c>
      <c r="G1078" s="2" t="s">
        <v>5190</v>
      </c>
      <c r="H1078" s="2" t="s">
        <v>5190</v>
      </c>
      <c r="I1078" s="2" t="s">
        <v>229</v>
      </c>
      <c r="J1078" s="2" t="s">
        <v>318</v>
      </c>
      <c r="K1078" s="2" t="s">
        <v>5021</v>
      </c>
      <c r="L1078" s="3">
        <v>16.56</v>
      </c>
      <c r="M1078" s="3">
        <v>17.39</v>
      </c>
      <c r="N1078" s="3">
        <v>36.99</v>
      </c>
      <c r="O1078" s="2" t="s">
        <v>243</v>
      </c>
      <c r="P1078" s="2" t="s">
        <v>236</v>
      </c>
      <c r="Q1078" s="2" t="s">
        <v>237</v>
      </c>
      <c r="R1078" s="2" t="s">
        <v>231</v>
      </c>
      <c r="S1078" s="2" t="s">
        <v>5194</v>
      </c>
      <c r="T1078" s="2" t="s">
        <v>1432</v>
      </c>
      <c r="U1078" s="2" t="s">
        <v>327</v>
      </c>
      <c r="V1078" s="2" t="s">
        <v>239</v>
      </c>
      <c r="W1078" s="2" t="s">
        <v>273</v>
      </c>
      <c r="X1078" s="2" t="s">
        <v>231</v>
      </c>
      <c r="Y1078" s="2" t="s">
        <v>1075</v>
      </c>
      <c r="Z1078" s="4">
        <v>238</v>
      </c>
      <c r="AA1078" s="4">
        <f>=ROUNDDOWN(39.6666666666667,0)</f>
      </c>
      <c r="AB1078" s="5">
        <v>6</v>
      </c>
      <c r="AC1078" s="2" t="s">
        <v>1664</v>
      </c>
      <c r="AD1078" s="4">
        <v>80</v>
      </c>
      <c r="AE1078" s="4">
        <v>80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231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231</v>
      </c>
      <c r="AW1078" s="8" t="s">
        <v>231</v>
      </c>
      <c r="AX1078" s="4" t="s">
        <v>231</v>
      </c>
      <c r="AY1078" s="8" t="s">
        <v>231</v>
      </c>
      <c r="AZ1078" s="7" t="s">
        <v>231</v>
      </c>
      <c r="BA1078" s="7" t="s">
        <v>231</v>
      </c>
      <c r="BB1078" s="7"/>
      <c r="BC1078" s="4" t="s">
        <v>231</v>
      </c>
      <c r="BD1078" s="8" t="s">
        <v>231</v>
      </c>
      <c r="BE1078" s="4" t="s">
        <v>231</v>
      </c>
      <c r="BF1078" s="8" t="s">
        <v>231</v>
      </c>
      <c r="BG1078" s="7" t="s">
        <v>231</v>
      </c>
      <c r="BH1078" s="7" t="s">
        <v>231</v>
      </c>
      <c r="BI1078" s="7"/>
      <c r="BJ1078" s="4">
        <v>6</v>
      </c>
      <c r="BK1078" s="8">
        <v>112.94</v>
      </c>
      <c r="BL1078" s="2" t="s">
        <v>5195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5196</v>
      </c>
      <c r="BV1078" s="2" t="s">
        <v>231</v>
      </c>
      <c r="BW1078" s="2" t="s">
        <v>231</v>
      </c>
      <c r="BX1078" s="2" t="s">
        <v>241</v>
      </c>
      <c r="BY1078" s="2" t="s">
        <v>277</v>
      </c>
      <c r="BZ1078" s="2" t="s">
        <v>243</v>
      </c>
      <c r="CA1078" s="2" t="s">
        <v>2735</v>
      </c>
      <c r="CB1078" s="2" t="s">
        <v>231</v>
      </c>
      <c r="CC1078" s="2" t="s">
        <v>244</v>
      </c>
      <c r="CD1078" s="2" t="s">
        <v>231</v>
      </c>
      <c r="CE1078" s="4">
        <v>237</v>
      </c>
      <c r="CF1078" s="4"/>
      <c r="CG1078" s="4"/>
      <c r="CH1078" s="4"/>
      <c r="CI1078" s="4"/>
      <c r="CJ1078" s="4"/>
      <c r="CK1078" s="4"/>
      <c r="CL1078" s="4">
        <v>1</v>
      </c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>
        <v>80</v>
      </c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</row>
    <row r="1079">
      <c r="A1079" s="2" t="s">
        <v>5197</v>
      </c>
      <c r="B1079" s="2" t="s">
        <v>226</v>
      </c>
      <c r="C1079" s="2" t="s">
        <v>631</v>
      </c>
      <c r="D1079" s="2" t="s">
        <v>228</v>
      </c>
      <c r="E1079" s="2" t="s">
        <v>229</v>
      </c>
      <c r="F1079" s="2" t="s">
        <v>5190</v>
      </c>
      <c r="G1079" s="2" t="s">
        <v>5190</v>
      </c>
      <c r="H1079" s="2" t="s">
        <v>5190</v>
      </c>
      <c r="I1079" s="2" t="s">
        <v>229</v>
      </c>
      <c r="J1079" s="2" t="s">
        <v>302</v>
      </c>
      <c r="K1079" s="2" t="s">
        <v>5021</v>
      </c>
      <c r="L1079" s="3">
        <v>22.38</v>
      </c>
      <c r="M1079" s="3">
        <v>23.5</v>
      </c>
      <c r="N1079" s="3">
        <v>46.99</v>
      </c>
      <c r="O1079" s="2" t="s">
        <v>243</v>
      </c>
      <c r="P1079" s="2" t="s">
        <v>236</v>
      </c>
      <c r="Q1079" s="2" t="s">
        <v>237</v>
      </c>
      <c r="R1079" s="2" t="s">
        <v>231</v>
      </c>
      <c r="S1079" s="2" t="s">
        <v>5194</v>
      </c>
      <c r="T1079" s="2" t="s">
        <v>1432</v>
      </c>
      <c r="U1079" s="2" t="s">
        <v>327</v>
      </c>
      <c r="V1079" s="2" t="s">
        <v>239</v>
      </c>
      <c r="W1079" s="2" t="s">
        <v>273</v>
      </c>
      <c r="X1079" s="2" t="s">
        <v>231</v>
      </c>
      <c r="Y1079" s="2" t="s">
        <v>1075</v>
      </c>
      <c r="Z1079" s="4">
        <v>158</v>
      </c>
      <c r="AA1079" s="4">
        <f>=ROUNDDOWN(19.75,0)</f>
      </c>
      <c r="AB1079" s="5">
        <v>8</v>
      </c>
      <c r="AC1079" s="2" t="s">
        <v>1664</v>
      </c>
      <c r="AD1079" s="4">
        <v>150</v>
      </c>
      <c r="AE1079" s="4">
        <v>150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231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231</v>
      </c>
      <c r="AW1079" s="8" t="s">
        <v>231</v>
      </c>
      <c r="AX1079" s="4" t="s">
        <v>231</v>
      </c>
      <c r="AY1079" s="8" t="s">
        <v>231</v>
      </c>
      <c r="AZ1079" s="7" t="s">
        <v>231</v>
      </c>
      <c r="BA1079" s="7" t="s">
        <v>231</v>
      </c>
      <c r="BB1079" s="7"/>
      <c r="BC1079" s="4" t="s">
        <v>231</v>
      </c>
      <c r="BD1079" s="8" t="s">
        <v>231</v>
      </c>
      <c r="BE1079" s="4" t="s">
        <v>231</v>
      </c>
      <c r="BF1079" s="8" t="s">
        <v>231</v>
      </c>
      <c r="BG1079" s="7" t="s">
        <v>231</v>
      </c>
      <c r="BH1079" s="7" t="s">
        <v>231</v>
      </c>
      <c r="BI1079" s="7"/>
      <c r="BJ1079" s="4">
        <v>38</v>
      </c>
      <c r="BK1079" s="8">
        <v>973.83</v>
      </c>
      <c r="BL1079" s="2" t="s">
        <v>3312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5198</v>
      </c>
      <c r="BV1079" s="2" t="s">
        <v>231</v>
      </c>
      <c r="BW1079" s="2" t="s">
        <v>231</v>
      </c>
      <c r="BX1079" s="2" t="s">
        <v>241</v>
      </c>
      <c r="BY1079" s="2" t="s">
        <v>277</v>
      </c>
      <c r="BZ1079" s="2" t="s">
        <v>243</v>
      </c>
      <c r="CA1079" s="2" t="s">
        <v>2735</v>
      </c>
      <c r="CB1079" s="2" t="s">
        <v>3284</v>
      </c>
      <c r="CC1079" s="2" t="s">
        <v>244</v>
      </c>
      <c r="CD1079" s="2" t="s">
        <v>231</v>
      </c>
      <c r="CE1079" s="4">
        <v>158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>
        <v>150</v>
      </c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</row>
    <row r="1080">
      <c r="A1080" s="2" t="s">
        <v>5199</v>
      </c>
      <c r="B1080" s="2" t="s">
        <v>226</v>
      </c>
      <c r="C1080" s="2" t="s">
        <v>631</v>
      </c>
      <c r="D1080" s="2" t="s">
        <v>228</v>
      </c>
      <c r="E1080" s="2" t="s">
        <v>229</v>
      </c>
      <c r="F1080" s="2" t="s">
        <v>5190</v>
      </c>
      <c r="G1080" s="2" t="s">
        <v>5190</v>
      </c>
      <c r="H1080" s="2" t="s">
        <v>5190</v>
      </c>
      <c r="I1080" s="2" t="s">
        <v>229</v>
      </c>
      <c r="J1080" s="2" t="s">
        <v>318</v>
      </c>
      <c r="K1080" s="2" t="s">
        <v>452</v>
      </c>
      <c r="L1080" s="3">
        <v>16.56</v>
      </c>
      <c r="M1080" s="3">
        <v>17.39</v>
      </c>
      <c r="N1080" s="3">
        <v>36.99</v>
      </c>
      <c r="O1080" s="2" t="s">
        <v>243</v>
      </c>
      <c r="P1080" s="2" t="s">
        <v>236</v>
      </c>
      <c r="Q1080" s="2" t="s">
        <v>237</v>
      </c>
      <c r="R1080" s="2" t="s">
        <v>231</v>
      </c>
      <c r="S1080" s="2" t="s">
        <v>5200</v>
      </c>
      <c r="T1080" s="2" t="s">
        <v>1432</v>
      </c>
      <c r="U1080" s="2" t="s">
        <v>327</v>
      </c>
      <c r="V1080" s="2" t="s">
        <v>239</v>
      </c>
      <c r="W1080" s="2" t="s">
        <v>273</v>
      </c>
      <c r="X1080" s="2" t="s">
        <v>231</v>
      </c>
      <c r="Y1080" s="2" t="s">
        <v>2703</v>
      </c>
      <c r="Z1080" s="4">
        <v>191</v>
      </c>
      <c r="AA1080" s="4">
        <f>=ROUNDDOWN(21.2222222222222,0)</f>
      </c>
      <c r="AB1080" s="5">
        <v>9</v>
      </c>
      <c r="AC1080" s="2" t="s">
        <v>1664</v>
      </c>
      <c r="AD1080" s="4">
        <v>160</v>
      </c>
      <c r="AE1080" s="4">
        <v>160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231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231</v>
      </c>
      <c r="BD1080" s="8" t="s">
        <v>231</v>
      </c>
      <c r="BE1080" s="4" t="s">
        <v>231</v>
      </c>
      <c r="BF1080" s="8" t="s">
        <v>231</v>
      </c>
      <c r="BG1080" s="7" t="s">
        <v>231</v>
      </c>
      <c r="BH1080" s="7" t="s">
        <v>231</v>
      </c>
      <c r="BI1080" s="7"/>
      <c r="BJ1080" s="4">
        <v>25</v>
      </c>
      <c r="BK1080" s="8">
        <v>473.66</v>
      </c>
      <c r="BL1080" s="2" t="s">
        <v>3312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5201</v>
      </c>
      <c r="BV1080" s="2" t="s">
        <v>231</v>
      </c>
      <c r="BW1080" s="2" t="s">
        <v>231</v>
      </c>
      <c r="BX1080" s="2" t="s">
        <v>241</v>
      </c>
      <c r="BY1080" s="2" t="s">
        <v>277</v>
      </c>
      <c r="BZ1080" s="2" t="s">
        <v>243</v>
      </c>
      <c r="CA1080" s="2" t="s">
        <v>2735</v>
      </c>
      <c r="CB1080" s="2" t="s">
        <v>231</v>
      </c>
      <c r="CC1080" s="2" t="s">
        <v>244</v>
      </c>
      <c r="CD1080" s="2" t="s">
        <v>231</v>
      </c>
      <c r="CE1080" s="4">
        <v>191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>
        <v>160</v>
      </c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</row>
    <row r="1081">
      <c r="A1081" s="2" t="s">
        <v>5202</v>
      </c>
      <c r="B1081" s="2" t="s">
        <v>226</v>
      </c>
      <c r="C1081" s="2" t="s">
        <v>631</v>
      </c>
      <c r="D1081" s="2" t="s">
        <v>228</v>
      </c>
      <c r="E1081" s="2" t="s">
        <v>229</v>
      </c>
      <c r="F1081" s="2" t="s">
        <v>5190</v>
      </c>
      <c r="G1081" s="2" t="s">
        <v>5190</v>
      </c>
      <c r="H1081" s="2" t="s">
        <v>5190</v>
      </c>
      <c r="I1081" s="2" t="s">
        <v>229</v>
      </c>
      <c r="J1081" s="2" t="s">
        <v>318</v>
      </c>
      <c r="K1081" s="2" t="s">
        <v>319</v>
      </c>
      <c r="L1081" s="3">
        <v>16.56</v>
      </c>
      <c r="M1081" s="3">
        <v>17.39</v>
      </c>
      <c r="N1081" s="3">
        <v>36.99</v>
      </c>
      <c r="O1081" s="2" t="s">
        <v>243</v>
      </c>
      <c r="P1081" s="2" t="s">
        <v>236</v>
      </c>
      <c r="Q1081" s="2" t="s">
        <v>237</v>
      </c>
      <c r="R1081" s="2" t="s">
        <v>231</v>
      </c>
      <c r="S1081" s="2" t="s">
        <v>5203</v>
      </c>
      <c r="T1081" s="2" t="s">
        <v>1432</v>
      </c>
      <c r="U1081" s="2" t="s">
        <v>327</v>
      </c>
      <c r="V1081" s="2" t="s">
        <v>239</v>
      </c>
      <c r="W1081" s="2" t="s">
        <v>273</v>
      </c>
      <c r="X1081" s="2" t="s">
        <v>231</v>
      </c>
      <c r="Y1081" s="2" t="s">
        <v>2703</v>
      </c>
      <c r="Z1081" s="4">
        <v>209</v>
      </c>
      <c r="AA1081" s="4">
        <f>=ROUNDDOWN(190,0)</f>
      </c>
      <c r="AB1081" s="5">
        <v>1.1</v>
      </c>
      <c r="AC1081" s="2" t="s">
        <v>231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231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231</v>
      </c>
      <c r="AW1081" s="8" t="s">
        <v>231</v>
      </c>
      <c r="AX1081" s="4" t="s">
        <v>231</v>
      </c>
      <c r="AY1081" s="8" t="s">
        <v>231</v>
      </c>
      <c r="AZ1081" s="7" t="s">
        <v>231</v>
      </c>
      <c r="BA1081" s="7" t="s">
        <v>231</v>
      </c>
      <c r="BB1081" s="7"/>
      <c r="BC1081" s="4" t="s">
        <v>231</v>
      </c>
      <c r="BD1081" s="8" t="s">
        <v>231</v>
      </c>
      <c r="BE1081" s="4" t="s">
        <v>231</v>
      </c>
      <c r="BF1081" s="8" t="s">
        <v>231</v>
      </c>
      <c r="BG1081" s="7" t="s">
        <v>231</v>
      </c>
      <c r="BH1081" s="7" t="s">
        <v>231</v>
      </c>
      <c r="BI1081" s="7"/>
      <c r="BJ1081" s="4">
        <v>10</v>
      </c>
      <c r="BK1081" s="8">
        <v>176.94</v>
      </c>
      <c r="BL1081" s="2" t="s">
        <v>5204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5205</v>
      </c>
      <c r="BV1081" s="2" t="s">
        <v>231</v>
      </c>
      <c r="BW1081" s="2" t="s">
        <v>231</v>
      </c>
      <c r="BX1081" s="2" t="s">
        <v>241</v>
      </c>
      <c r="BY1081" s="2" t="s">
        <v>277</v>
      </c>
      <c r="BZ1081" s="2" t="s">
        <v>243</v>
      </c>
      <c r="CA1081" s="2" t="s">
        <v>2735</v>
      </c>
      <c r="CB1081" s="2" t="s">
        <v>231</v>
      </c>
      <c r="CC1081" s="2" t="s">
        <v>244</v>
      </c>
      <c r="CD1081" s="2" t="s">
        <v>231</v>
      </c>
      <c r="CE1081" s="4">
        <v>209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</row>
    <row r="1082">
      <c r="A1082" s="2" t="s">
        <v>5206</v>
      </c>
      <c r="B1082" s="2" t="s">
        <v>226</v>
      </c>
      <c r="C1082" s="2" t="s">
        <v>631</v>
      </c>
      <c r="D1082" s="2" t="s">
        <v>228</v>
      </c>
      <c r="E1082" s="2" t="s">
        <v>229</v>
      </c>
      <c r="F1082" s="2" t="s">
        <v>5190</v>
      </c>
      <c r="G1082" s="2" t="s">
        <v>5190</v>
      </c>
      <c r="H1082" s="2" t="s">
        <v>5190</v>
      </c>
      <c r="I1082" s="2" t="s">
        <v>229</v>
      </c>
      <c r="J1082" s="2" t="s">
        <v>658</v>
      </c>
      <c r="K1082" s="2" t="s">
        <v>319</v>
      </c>
      <c r="L1082" s="3">
        <v>19.6</v>
      </c>
      <c r="M1082" s="3">
        <v>20.58</v>
      </c>
      <c r="N1082" s="3">
        <v>41.99</v>
      </c>
      <c r="O1082" s="2" t="s">
        <v>243</v>
      </c>
      <c r="P1082" s="2" t="s">
        <v>236</v>
      </c>
      <c r="Q1082" s="2" t="s">
        <v>237</v>
      </c>
      <c r="R1082" s="2" t="s">
        <v>231</v>
      </c>
      <c r="S1082" s="2" t="s">
        <v>5203</v>
      </c>
      <c r="T1082" s="2" t="s">
        <v>1432</v>
      </c>
      <c r="U1082" s="2" t="s">
        <v>327</v>
      </c>
      <c r="V1082" s="2" t="s">
        <v>239</v>
      </c>
      <c r="W1082" s="2" t="s">
        <v>273</v>
      </c>
      <c r="X1082" s="2" t="s">
        <v>231</v>
      </c>
      <c r="Y1082" s="2" t="s">
        <v>2703</v>
      </c>
      <c r="Z1082" s="4">
        <v>339</v>
      </c>
      <c r="AA1082" s="4">
        <f>=ROUNDDOWN(48.4285714285714,0)</f>
      </c>
      <c r="AB1082" s="5">
        <v>7</v>
      </c>
      <c r="AC1082" s="2" t="s">
        <v>231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231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231</v>
      </c>
      <c r="AW1082" s="8" t="s">
        <v>231</v>
      </c>
      <c r="AX1082" s="4" t="s">
        <v>231</v>
      </c>
      <c r="AY1082" s="8" t="s">
        <v>231</v>
      </c>
      <c r="AZ1082" s="7" t="s">
        <v>231</v>
      </c>
      <c r="BA1082" s="7" t="s">
        <v>231</v>
      </c>
      <c r="BB1082" s="7"/>
      <c r="BC1082" s="4" t="s">
        <v>231</v>
      </c>
      <c r="BD1082" s="8" t="s">
        <v>231</v>
      </c>
      <c r="BE1082" s="4" t="s">
        <v>231</v>
      </c>
      <c r="BF1082" s="8" t="s">
        <v>231</v>
      </c>
      <c r="BG1082" s="7" t="s">
        <v>231</v>
      </c>
      <c r="BH1082" s="7" t="s">
        <v>231</v>
      </c>
      <c r="BI1082" s="7"/>
      <c r="BJ1082" s="4">
        <v>13</v>
      </c>
      <c r="BK1082" s="8">
        <v>288.06</v>
      </c>
      <c r="BL1082" s="2" t="s">
        <v>3312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5207</v>
      </c>
      <c r="BV1082" s="2" t="s">
        <v>231</v>
      </c>
      <c r="BW1082" s="2" t="s">
        <v>231</v>
      </c>
      <c r="BX1082" s="2" t="s">
        <v>241</v>
      </c>
      <c r="BY1082" s="2" t="s">
        <v>277</v>
      </c>
      <c r="BZ1082" s="2" t="s">
        <v>243</v>
      </c>
      <c r="CA1082" s="2" t="s">
        <v>2735</v>
      </c>
      <c r="CB1082" s="2" t="s">
        <v>231</v>
      </c>
      <c r="CC1082" s="2" t="s">
        <v>244</v>
      </c>
      <c r="CD1082" s="2" t="s">
        <v>231</v>
      </c>
      <c r="CE1082" s="4">
        <v>339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</row>
    <row r="1083">
      <c r="A1083" s="2" t="s">
        <v>5208</v>
      </c>
      <c r="B1083" s="2" t="s">
        <v>226</v>
      </c>
      <c r="C1083" s="2" t="s">
        <v>3948</v>
      </c>
      <c r="D1083" s="2" t="s">
        <v>1549</v>
      </c>
      <c r="E1083" s="2" t="s">
        <v>3949</v>
      </c>
      <c r="F1083" s="2" t="s">
        <v>5209</v>
      </c>
      <c r="G1083" s="2" t="s">
        <v>5209</v>
      </c>
      <c r="H1083" s="2" t="s">
        <v>5209</v>
      </c>
      <c r="I1083" s="2" t="s">
        <v>229</v>
      </c>
      <c r="J1083" s="2" t="s">
        <v>318</v>
      </c>
      <c r="K1083" s="2" t="s">
        <v>253</v>
      </c>
      <c r="L1083" s="3">
        <v>42.85</v>
      </c>
      <c r="M1083" s="3">
        <v>44.99</v>
      </c>
      <c r="N1083" s="3">
        <v>89.99</v>
      </c>
      <c r="O1083" s="2" t="s">
        <v>243</v>
      </c>
      <c r="P1083" s="2" t="s">
        <v>295</v>
      </c>
      <c r="Q1083" s="2" t="s">
        <v>237</v>
      </c>
      <c r="R1083" s="2" t="s">
        <v>231</v>
      </c>
      <c r="S1083" s="2" t="s">
        <v>5210</v>
      </c>
      <c r="T1083" s="2" t="s">
        <v>1432</v>
      </c>
      <c r="U1083" s="2" t="s">
        <v>327</v>
      </c>
      <c r="V1083" s="2" t="s">
        <v>239</v>
      </c>
      <c r="W1083" s="2" t="s">
        <v>273</v>
      </c>
      <c r="X1083" s="2" t="s">
        <v>231</v>
      </c>
      <c r="Y1083" s="2" t="s">
        <v>231</v>
      </c>
      <c r="Z1083" s="4"/>
      <c r="AA1083" s="4">
        <f>=ROUNDDOWN({0},0)</f>
      </c>
      <c r="AB1083" s="5"/>
      <c r="AC1083" s="2" t="s">
        <v>5211</v>
      </c>
      <c r="AD1083" s="4">
        <v>88</v>
      </c>
      <c r="AE1083" s="4">
        <v>88</v>
      </c>
      <c r="AF1083" s="6">
        <v>66</v>
      </c>
      <c r="AG1083" s="6"/>
      <c r="AH1083" s="7">
        <v>0</v>
      </c>
      <c r="AI1083" s="4"/>
      <c r="AJ1083" s="4">
        <f>=ROUNDDOWN({0},0)</f>
      </c>
      <c r="AK1083" s="5"/>
      <c r="AL1083" s="2" t="s">
        <v>231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231</v>
      </c>
      <c r="AW1083" s="8" t="s">
        <v>231</v>
      </c>
      <c r="AX1083" s="4" t="s">
        <v>231</v>
      </c>
      <c r="AY1083" s="8" t="s">
        <v>231</v>
      </c>
      <c r="AZ1083" s="7" t="s">
        <v>231</v>
      </c>
      <c r="BA1083" s="7" t="s">
        <v>231</v>
      </c>
      <c r="BB1083" s="7"/>
      <c r="BC1083" s="4" t="s">
        <v>231</v>
      </c>
      <c r="BD1083" s="8" t="s">
        <v>231</v>
      </c>
      <c r="BE1083" s="4" t="s">
        <v>231</v>
      </c>
      <c r="BF1083" s="8" t="s">
        <v>231</v>
      </c>
      <c r="BG1083" s="7" t="s">
        <v>231</v>
      </c>
      <c r="BH1083" s="7" t="s">
        <v>231</v>
      </c>
      <c r="BI1083" s="7"/>
      <c r="BJ1083" s="4"/>
      <c r="BK1083" s="8"/>
      <c r="BL1083" s="2" t="s">
        <v>231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241</v>
      </c>
      <c r="BV1083" s="2" t="s">
        <v>231</v>
      </c>
      <c r="BW1083" s="2" t="s">
        <v>231</v>
      </c>
      <c r="BX1083" s="2" t="s">
        <v>241</v>
      </c>
      <c r="BY1083" s="2" t="s">
        <v>242</v>
      </c>
      <c r="BZ1083" s="2" t="s">
        <v>243</v>
      </c>
      <c r="CA1083" s="2" t="s">
        <v>231</v>
      </c>
      <c r="CB1083" s="2" t="s">
        <v>231</v>
      </c>
      <c r="CC1083" s="2" t="s">
        <v>244</v>
      </c>
      <c r="CD1083" s="2" t="s">
        <v>231</v>
      </c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>
        <v>88</v>
      </c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</row>
    <row r="1084">
      <c r="A1084" s="2" t="s">
        <v>5212</v>
      </c>
      <c r="B1084" s="2" t="s">
        <v>226</v>
      </c>
      <c r="C1084" s="2" t="s">
        <v>3948</v>
      </c>
      <c r="D1084" s="2" t="s">
        <v>1549</v>
      </c>
      <c r="E1084" s="2" t="s">
        <v>3949</v>
      </c>
      <c r="F1084" s="2" t="s">
        <v>5209</v>
      </c>
      <c r="G1084" s="2" t="s">
        <v>5209</v>
      </c>
      <c r="H1084" s="2" t="s">
        <v>5209</v>
      </c>
      <c r="I1084" s="2" t="s">
        <v>229</v>
      </c>
      <c r="J1084" s="2" t="s">
        <v>281</v>
      </c>
      <c r="K1084" s="2" t="s">
        <v>253</v>
      </c>
      <c r="L1084" s="3">
        <v>47.61</v>
      </c>
      <c r="M1084" s="3">
        <v>49.99</v>
      </c>
      <c r="N1084" s="3">
        <v>99.99</v>
      </c>
      <c r="O1084" s="2" t="s">
        <v>243</v>
      </c>
      <c r="P1084" s="2" t="s">
        <v>295</v>
      </c>
      <c r="Q1084" s="2" t="s">
        <v>237</v>
      </c>
      <c r="R1084" s="2" t="s">
        <v>231</v>
      </c>
      <c r="S1084" s="2" t="s">
        <v>5210</v>
      </c>
      <c r="T1084" s="2" t="s">
        <v>1432</v>
      </c>
      <c r="U1084" s="2" t="s">
        <v>327</v>
      </c>
      <c r="V1084" s="2" t="s">
        <v>239</v>
      </c>
      <c r="W1084" s="2" t="s">
        <v>273</v>
      </c>
      <c r="X1084" s="2" t="s">
        <v>231</v>
      </c>
      <c r="Y1084" s="2" t="s">
        <v>231</v>
      </c>
      <c r="Z1084" s="4"/>
      <c r="AA1084" s="4">
        <f>=ROUNDDOWN({0},0)</f>
      </c>
      <c r="AB1084" s="5"/>
      <c r="AC1084" s="2" t="s">
        <v>5211</v>
      </c>
      <c r="AD1084" s="4">
        <v>96</v>
      </c>
      <c r="AE1084" s="4">
        <v>96</v>
      </c>
      <c r="AF1084" s="6">
        <v>66</v>
      </c>
      <c r="AG1084" s="6"/>
      <c r="AH1084" s="7">
        <v>0</v>
      </c>
      <c r="AI1084" s="4"/>
      <c r="AJ1084" s="4">
        <f>=ROUNDDOWN({0},0)</f>
      </c>
      <c r="AK1084" s="5"/>
      <c r="AL1084" s="2" t="s">
        <v>231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231</v>
      </c>
      <c r="AW1084" s="8" t="s">
        <v>231</v>
      </c>
      <c r="AX1084" s="4" t="s">
        <v>231</v>
      </c>
      <c r="AY1084" s="8" t="s">
        <v>231</v>
      </c>
      <c r="AZ1084" s="7" t="s">
        <v>231</v>
      </c>
      <c r="BA1084" s="7" t="s">
        <v>231</v>
      </c>
      <c r="BB1084" s="7"/>
      <c r="BC1084" s="4" t="s">
        <v>231</v>
      </c>
      <c r="BD1084" s="8" t="s">
        <v>231</v>
      </c>
      <c r="BE1084" s="4" t="s">
        <v>231</v>
      </c>
      <c r="BF1084" s="8" t="s">
        <v>231</v>
      </c>
      <c r="BG1084" s="7" t="s">
        <v>231</v>
      </c>
      <c r="BH1084" s="7" t="s">
        <v>231</v>
      </c>
      <c r="BI1084" s="7"/>
      <c r="BJ1084" s="4"/>
      <c r="BK1084" s="8"/>
      <c r="BL1084" s="2" t="s">
        <v>231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241</v>
      </c>
      <c r="BV1084" s="2" t="s">
        <v>231</v>
      </c>
      <c r="BW1084" s="2" t="s">
        <v>231</v>
      </c>
      <c r="BX1084" s="2" t="s">
        <v>241</v>
      </c>
      <c r="BY1084" s="2" t="s">
        <v>242</v>
      </c>
      <c r="BZ1084" s="2" t="s">
        <v>243</v>
      </c>
      <c r="CA1084" s="2" t="s">
        <v>231</v>
      </c>
      <c r="CB1084" s="2" t="s">
        <v>231</v>
      </c>
      <c r="CC1084" s="2" t="s">
        <v>244</v>
      </c>
      <c r="CD1084" s="2" t="s">
        <v>231</v>
      </c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>
        <v>96</v>
      </c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</row>
    <row r="1085">
      <c r="A1085" s="2" t="s">
        <v>5213</v>
      </c>
      <c r="B1085" s="2" t="s">
        <v>226</v>
      </c>
      <c r="C1085" s="2" t="s">
        <v>3948</v>
      </c>
      <c r="D1085" s="2" t="s">
        <v>1549</v>
      </c>
      <c r="E1085" s="2" t="s">
        <v>3949</v>
      </c>
      <c r="F1085" s="2" t="s">
        <v>5209</v>
      </c>
      <c r="G1085" s="2" t="s">
        <v>5209</v>
      </c>
      <c r="H1085" s="2" t="s">
        <v>5209</v>
      </c>
      <c r="I1085" s="2" t="s">
        <v>229</v>
      </c>
      <c r="J1085" s="2" t="s">
        <v>293</v>
      </c>
      <c r="K1085" s="2" t="s">
        <v>253</v>
      </c>
      <c r="L1085" s="3">
        <v>66.66</v>
      </c>
      <c r="M1085" s="3">
        <v>69.99</v>
      </c>
      <c r="N1085" s="3">
        <v>139.99</v>
      </c>
      <c r="O1085" s="2" t="s">
        <v>243</v>
      </c>
      <c r="P1085" s="2" t="s">
        <v>295</v>
      </c>
      <c r="Q1085" s="2" t="s">
        <v>237</v>
      </c>
      <c r="R1085" s="2" t="s">
        <v>231</v>
      </c>
      <c r="S1085" s="2" t="s">
        <v>5210</v>
      </c>
      <c r="T1085" s="2" t="s">
        <v>1432</v>
      </c>
      <c r="U1085" s="2" t="s">
        <v>327</v>
      </c>
      <c r="V1085" s="2" t="s">
        <v>239</v>
      </c>
      <c r="W1085" s="2" t="s">
        <v>273</v>
      </c>
      <c r="X1085" s="2" t="s">
        <v>231</v>
      </c>
      <c r="Y1085" s="2" t="s">
        <v>231</v>
      </c>
      <c r="Z1085" s="4"/>
      <c r="AA1085" s="4">
        <f>=ROUNDDOWN({0},0)</f>
      </c>
      <c r="AB1085" s="5"/>
      <c r="AC1085" s="2" t="s">
        <v>5211</v>
      </c>
      <c r="AD1085" s="4">
        <v>140</v>
      </c>
      <c r="AE1085" s="4">
        <v>140</v>
      </c>
      <c r="AF1085" s="6">
        <v>66</v>
      </c>
      <c r="AG1085" s="6"/>
      <c r="AH1085" s="7">
        <v>0</v>
      </c>
      <c r="AI1085" s="4"/>
      <c r="AJ1085" s="4">
        <f>=ROUNDDOWN({0},0)</f>
      </c>
      <c r="AK1085" s="5"/>
      <c r="AL1085" s="2" t="s">
        <v>231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231</v>
      </c>
      <c r="AW1085" s="8" t="s">
        <v>231</v>
      </c>
      <c r="AX1085" s="4" t="s">
        <v>231</v>
      </c>
      <c r="AY1085" s="8" t="s">
        <v>231</v>
      </c>
      <c r="AZ1085" s="7" t="s">
        <v>231</v>
      </c>
      <c r="BA1085" s="7" t="s">
        <v>231</v>
      </c>
      <c r="BB1085" s="7"/>
      <c r="BC1085" s="4" t="s">
        <v>231</v>
      </c>
      <c r="BD1085" s="8" t="s">
        <v>231</v>
      </c>
      <c r="BE1085" s="4" t="s">
        <v>231</v>
      </c>
      <c r="BF1085" s="8" t="s">
        <v>231</v>
      </c>
      <c r="BG1085" s="7" t="s">
        <v>231</v>
      </c>
      <c r="BH1085" s="7" t="s">
        <v>231</v>
      </c>
      <c r="BI1085" s="7"/>
      <c r="BJ1085" s="4"/>
      <c r="BK1085" s="8"/>
      <c r="BL1085" s="2" t="s">
        <v>231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241</v>
      </c>
      <c r="BV1085" s="2" t="s">
        <v>231</v>
      </c>
      <c r="BW1085" s="2" t="s">
        <v>231</v>
      </c>
      <c r="BX1085" s="2" t="s">
        <v>241</v>
      </c>
      <c r="BY1085" s="2" t="s">
        <v>242</v>
      </c>
      <c r="BZ1085" s="2" t="s">
        <v>243</v>
      </c>
      <c r="CA1085" s="2" t="s">
        <v>231</v>
      </c>
      <c r="CB1085" s="2" t="s">
        <v>231</v>
      </c>
      <c r="CC1085" s="2" t="s">
        <v>244</v>
      </c>
      <c r="CD1085" s="2" t="s">
        <v>231</v>
      </c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>
        <v>140</v>
      </c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</row>
    <row r="1086">
      <c r="A1086" s="2" t="s">
        <v>5214</v>
      </c>
      <c r="B1086" s="2" t="s">
        <v>226</v>
      </c>
      <c r="C1086" s="2" t="s">
        <v>3948</v>
      </c>
      <c r="D1086" s="2" t="s">
        <v>1549</v>
      </c>
      <c r="E1086" s="2" t="s">
        <v>3949</v>
      </c>
      <c r="F1086" s="2" t="s">
        <v>5209</v>
      </c>
      <c r="G1086" s="2" t="s">
        <v>5209</v>
      </c>
      <c r="H1086" s="2" t="s">
        <v>5209</v>
      </c>
      <c r="I1086" s="2" t="s">
        <v>229</v>
      </c>
      <c r="J1086" s="2" t="s">
        <v>302</v>
      </c>
      <c r="K1086" s="2" t="s">
        <v>253</v>
      </c>
      <c r="L1086" s="3">
        <v>76.19</v>
      </c>
      <c r="M1086" s="3">
        <v>80</v>
      </c>
      <c r="N1086" s="3">
        <v>159.99</v>
      </c>
      <c r="O1086" s="2" t="s">
        <v>243</v>
      </c>
      <c r="P1086" s="2" t="s">
        <v>295</v>
      </c>
      <c r="Q1086" s="2" t="s">
        <v>237</v>
      </c>
      <c r="R1086" s="2" t="s">
        <v>231</v>
      </c>
      <c r="S1086" s="2" t="s">
        <v>5210</v>
      </c>
      <c r="T1086" s="2" t="s">
        <v>1432</v>
      </c>
      <c r="U1086" s="2" t="s">
        <v>327</v>
      </c>
      <c r="V1086" s="2" t="s">
        <v>239</v>
      </c>
      <c r="W1086" s="2" t="s">
        <v>273</v>
      </c>
      <c r="X1086" s="2" t="s">
        <v>231</v>
      </c>
      <c r="Y1086" s="2" t="s">
        <v>231</v>
      </c>
      <c r="Z1086" s="4"/>
      <c r="AA1086" s="4">
        <f>=ROUNDDOWN({0},0)</f>
      </c>
      <c r="AB1086" s="5"/>
      <c r="AC1086" s="2" t="s">
        <v>5211</v>
      </c>
      <c r="AD1086" s="4">
        <v>140</v>
      </c>
      <c r="AE1086" s="4">
        <v>140</v>
      </c>
      <c r="AF1086" s="6">
        <v>66</v>
      </c>
      <c r="AG1086" s="6"/>
      <c r="AH1086" s="7">
        <v>0</v>
      </c>
      <c r="AI1086" s="4"/>
      <c r="AJ1086" s="4">
        <f>=ROUNDDOWN({0},0)</f>
      </c>
      <c r="AK1086" s="5"/>
      <c r="AL1086" s="2" t="s">
        <v>231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231</v>
      </c>
      <c r="AW1086" s="8" t="s">
        <v>231</v>
      </c>
      <c r="AX1086" s="4" t="s">
        <v>231</v>
      </c>
      <c r="AY1086" s="8" t="s">
        <v>231</v>
      </c>
      <c r="AZ1086" s="7" t="s">
        <v>231</v>
      </c>
      <c r="BA1086" s="7" t="s">
        <v>231</v>
      </c>
      <c r="BB1086" s="7"/>
      <c r="BC1086" s="4" t="s">
        <v>231</v>
      </c>
      <c r="BD1086" s="8" t="s">
        <v>231</v>
      </c>
      <c r="BE1086" s="4" t="s">
        <v>231</v>
      </c>
      <c r="BF1086" s="8" t="s">
        <v>231</v>
      </c>
      <c r="BG1086" s="7" t="s">
        <v>231</v>
      </c>
      <c r="BH1086" s="7" t="s">
        <v>231</v>
      </c>
      <c r="BI1086" s="7"/>
      <c r="BJ1086" s="4"/>
      <c r="BK1086" s="8"/>
      <c r="BL1086" s="2" t="s">
        <v>231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241</v>
      </c>
      <c r="BV1086" s="2" t="s">
        <v>231</v>
      </c>
      <c r="BW1086" s="2" t="s">
        <v>231</v>
      </c>
      <c r="BX1086" s="2" t="s">
        <v>241</v>
      </c>
      <c r="BY1086" s="2" t="s">
        <v>242</v>
      </c>
      <c r="BZ1086" s="2" t="s">
        <v>243</v>
      </c>
      <c r="CA1086" s="2" t="s">
        <v>231</v>
      </c>
      <c r="CB1086" s="2" t="s">
        <v>231</v>
      </c>
      <c r="CC1086" s="2" t="s">
        <v>244</v>
      </c>
      <c r="CD1086" s="2" t="s">
        <v>231</v>
      </c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>
        <v>140</v>
      </c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</row>
    <row r="1087">
      <c r="A1087" s="2" t="s">
        <v>5215</v>
      </c>
      <c r="B1087" s="2" t="s">
        <v>226</v>
      </c>
      <c r="C1087" s="2" t="s">
        <v>3948</v>
      </c>
      <c r="D1087" s="2" t="s">
        <v>1549</v>
      </c>
      <c r="E1087" s="2" t="s">
        <v>3949</v>
      </c>
      <c r="F1087" s="2" t="s">
        <v>5209</v>
      </c>
      <c r="G1087" s="2" t="s">
        <v>5209</v>
      </c>
      <c r="H1087" s="2" t="s">
        <v>5209</v>
      </c>
      <c r="I1087" s="2" t="s">
        <v>229</v>
      </c>
      <c r="J1087" s="2" t="s">
        <v>318</v>
      </c>
      <c r="K1087" s="2" t="s">
        <v>306</v>
      </c>
      <c r="L1087" s="3">
        <v>42.85</v>
      </c>
      <c r="M1087" s="3">
        <v>44.99</v>
      </c>
      <c r="N1087" s="3">
        <v>89.99</v>
      </c>
      <c r="O1087" s="2" t="s">
        <v>243</v>
      </c>
      <c r="P1087" s="2" t="s">
        <v>295</v>
      </c>
      <c r="Q1087" s="2" t="s">
        <v>237</v>
      </c>
      <c r="R1087" s="2" t="s">
        <v>231</v>
      </c>
      <c r="S1087" s="2" t="s">
        <v>5216</v>
      </c>
      <c r="T1087" s="2" t="s">
        <v>1432</v>
      </c>
      <c r="U1087" s="2" t="s">
        <v>327</v>
      </c>
      <c r="V1087" s="2" t="s">
        <v>239</v>
      </c>
      <c r="W1087" s="2" t="s">
        <v>273</v>
      </c>
      <c r="X1087" s="2" t="s">
        <v>231</v>
      </c>
      <c r="Y1087" s="2" t="s">
        <v>231</v>
      </c>
      <c r="Z1087" s="4"/>
      <c r="AA1087" s="4">
        <f>=ROUNDDOWN({0},0)</f>
      </c>
      <c r="AB1087" s="5"/>
      <c r="AC1087" s="2" t="s">
        <v>5211</v>
      </c>
      <c r="AD1087" s="4">
        <v>76</v>
      </c>
      <c r="AE1087" s="4">
        <v>76</v>
      </c>
      <c r="AF1087" s="6">
        <v>66</v>
      </c>
      <c r="AG1087" s="6"/>
      <c r="AH1087" s="7">
        <v>0</v>
      </c>
      <c r="AI1087" s="4"/>
      <c r="AJ1087" s="4">
        <f>=ROUNDDOWN({0},0)</f>
      </c>
      <c r="AK1087" s="5"/>
      <c r="AL1087" s="2" t="s">
        <v>231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231</v>
      </c>
      <c r="AW1087" s="8" t="s">
        <v>231</v>
      </c>
      <c r="AX1087" s="4" t="s">
        <v>231</v>
      </c>
      <c r="AY1087" s="8" t="s">
        <v>231</v>
      </c>
      <c r="AZ1087" s="7" t="s">
        <v>231</v>
      </c>
      <c r="BA1087" s="7" t="s">
        <v>231</v>
      </c>
      <c r="BB1087" s="7"/>
      <c r="BC1087" s="4" t="s">
        <v>231</v>
      </c>
      <c r="BD1087" s="8" t="s">
        <v>231</v>
      </c>
      <c r="BE1087" s="4" t="s">
        <v>231</v>
      </c>
      <c r="BF1087" s="8" t="s">
        <v>231</v>
      </c>
      <c r="BG1087" s="7" t="s">
        <v>231</v>
      </c>
      <c r="BH1087" s="7" t="s">
        <v>231</v>
      </c>
      <c r="BI1087" s="7"/>
      <c r="BJ1087" s="4"/>
      <c r="BK1087" s="8"/>
      <c r="BL1087" s="2" t="s">
        <v>231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241</v>
      </c>
      <c r="BV1087" s="2" t="s">
        <v>231</v>
      </c>
      <c r="BW1087" s="2" t="s">
        <v>231</v>
      </c>
      <c r="BX1087" s="2" t="s">
        <v>241</v>
      </c>
      <c r="BY1087" s="2" t="s">
        <v>242</v>
      </c>
      <c r="BZ1087" s="2" t="s">
        <v>243</v>
      </c>
      <c r="CA1087" s="2" t="s">
        <v>231</v>
      </c>
      <c r="CB1087" s="2" t="s">
        <v>231</v>
      </c>
      <c r="CC1087" s="2" t="s">
        <v>244</v>
      </c>
      <c r="CD1087" s="2" t="s">
        <v>231</v>
      </c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>
        <v>76</v>
      </c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</row>
    <row r="1088">
      <c r="A1088" s="2" t="s">
        <v>5217</v>
      </c>
      <c r="B1088" s="2" t="s">
        <v>226</v>
      </c>
      <c r="C1088" s="2" t="s">
        <v>3948</v>
      </c>
      <c r="D1088" s="2" t="s">
        <v>1549</v>
      </c>
      <c r="E1088" s="2" t="s">
        <v>3949</v>
      </c>
      <c r="F1088" s="2" t="s">
        <v>5209</v>
      </c>
      <c r="G1088" s="2" t="s">
        <v>5209</v>
      </c>
      <c r="H1088" s="2" t="s">
        <v>5209</v>
      </c>
      <c r="I1088" s="2" t="s">
        <v>229</v>
      </c>
      <c r="J1088" s="2" t="s">
        <v>281</v>
      </c>
      <c r="K1088" s="2" t="s">
        <v>306</v>
      </c>
      <c r="L1088" s="3">
        <v>47.61</v>
      </c>
      <c r="M1088" s="3">
        <v>49.99</v>
      </c>
      <c r="N1088" s="3">
        <v>99.99</v>
      </c>
      <c r="O1088" s="2" t="s">
        <v>243</v>
      </c>
      <c r="P1088" s="2" t="s">
        <v>295</v>
      </c>
      <c r="Q1088" s="2" t="s">
        <v>237</v>
      </c>
      <c r="R1088" s="2" t="s">
        <v>231</v>
      </c>
      <c r="S1088" s="2" t="s">
        <v>5216</v>
      </c>
      <c r="T1088" s="2" t="s">
        <v>1432</v>
      </c>
      <c r="U1088" s="2" t="s">
        <v>327</v>
      </c>
      <c r="V1088" s="2" t="s">
        <v>239</v>
      </c>
      <c r="W1088" s="2" t="s">
        <v>273</v>
      </c>
      <c r="X1088" s="2" t="s">
        <v>231</v>
      </c>
      <c r="Y1088" s="2" t="s">
        <v>231</v>
      </c>
      <c r="Z1088" s="4"/>
      <c r="AA1088" s="4">
        <f>=ROUNDDOWN({0},0)</f>
      </c>
      <c r="AB1088" s="5"/>
      <c r="AC1088" s="2" t="s">
        <v>5211</v>
      </c>
      <c r="AD1088" s="4">
        <v>104</v>
      </c>
      <c r="AE1088" s="4">
        <v>104</v>
      </c>
      <c r="AF1088" s="6">
        <v>66</v>
      </c>
      <c r="AG1088" s="6"/>
      <c r="AH1088" s="7">
        <v>0</v>
      </c>
      <c r="AI1088" s="4"/>
      <c r="AJ1088" s="4">
        <f>=ROUNDDOWN({0},0)</f>
      </c>
      <c r="AK1088" s="5"/>
      <c r="AL1088" s="2" t="s">
        <v>231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231</v>
      </c>
      <c r="AW1088" s="8" t="s">
        <v>231</v>
      </c>
      <c r="AX1088" s="4" t="s">
        <v>231</v>
      </c>
      <c r="AY1088" s="8" t="s">
        <v>231</v>
      </c>
      <c r="AZ1088" s="7" t="s">
        <v>231</v>
      </c>
      <c r="BA1088" s="7" t="s">
        <v>231</v>
      </c>
      <c r="BB1088" s="7"/>
      <c r="BC1088" s="4" t="s">
        <v>231</v>
      </c>
      <c r="BD1088" s="8" t="s">
        <v>231</v>
      </c>
      <c r="BE1088" s="4" t="s">
        <v>231</v>
      </c>
      <c r="BF1088" s="8" t="s">
        <v>231</v>
      </c>
      <c r="BG1088" s="7" t="s">
        <v>231</v>
      </c>
      <c r="BH1088" s="7" t="s">
        <v>231</v>
      </c>
      <c r="BI1088" s="7"/>
      <c r="BJ1088" s="4"/>
      <c r="BK1088" s="8"/>
      <c r="BL1088" s="2" t="s">
        <v>231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241</v>
      </c>
      <c r="BV1088" s="2" t="s">
        <v>231</v>
      </c>
      <c r="BW1088" s="2" t="s">
        <v>231</v>
      </c>
      <c r="BX1088" s="2" t="s">
        <v>241</v>
      </c>
      <c r="BY1088" s="2" t="s">
        <v>242</v>
      </c>
      <c r="BZ1088" s="2" t="s">
        <v>243</v>
      </c>
      <c r="CA1088" s="2" t="s">
        <v>231</v>
      </c>
      <c r="CB1088" s="2" t="s">
        <v>231</v>
      </c>
      <c r="CC1088" s="2" t="s">
        <v>244</v>
      </c>
      <c r="CD1088" s="2" t="s">
        <v>231</v>
      </c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>
        <v>104</v>
      </c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</row>
    <row r="1089">
      <c r="A1089" s="2" t="s">
        <v>5218</v>
      </c>
      <c r="B1089" s="2" t="s">
        <v>226</v>
      </c>
      <c r="C1089" s="2" t="s">
        <v>3948</v>
      </c>
      <c r="D1089" s="2" t="s">
        <v>1549</v>
      </c>
      <c r="E1089" s="2" t="s">
        <v>3949</v>
      </c>
      <c r="F1089" s="2" t="s">
        <v>5209</v>
      </c>
      <c r="G1089" s="2" t="s">
        <v>5209</v>
      </c>
      <c r="H1089" s="2" t="s">
        <v>5209</v>
      </c>
      <c r="I1089" s="2" t="s">
        <v>229</v>
      </c>
      <c r="J1089" s="2" t="s">
        <v>293</v>
      </c>
      <c r="K1089" s="2" t="s">
        <v>306</v>
      </c>
      <c r="L1089" s="3">
        <v>66.66</v>
      </c>
      <c r="M1089" s="3">
        <v>69.99</v>
      </c>
      <c r="N1089" s="3">
        <v>139.99</v>
      </c>
      <c r="O1089" s="2" t="s">
        <v>243</v>
      </c>
      <c r="P1089" s="2" t="s">
        <v>295</v>
      </c>
      <c r="Q1089" s="2" t="s">
        <v>237</v>
      </c>
      <c r="R1089" s="2" t="s">
        <v>231</v>
      </c>
      <c r="S1089" s="2" t="s">
        <v>5216</v>
      </c>
      <c r="T1089" s="2" t="s">
        <v>1432</v>
      </c>
      <c r="U1089" s="2" t="s">
        <v>327</v>
      </c>
      <c r="V1089" s="2" t="s">
        <v>239</v>
      </c>
      <c r="W1089" s="2" t="s">
        <v>273</v>
      </c>
      <c r="X1089" s="2" t="s">
        <v>231</v>
      </c>
      <c r="Y1089" s="2" t="s">
        <v>231</v>
      </c>
      <c r="Z1089" s="4"/>
      <c r="AA1089" s="4">
        <f>=ROUNDDOWN({0},0)</f>
      </c>
      <c r="AB1089" s="5"/>
      <c r="AC1089" s="2" t="s">
        <v>5211</v>
      </c>
      <c r="AD1089" s="4">
        <v>148</v>
      </c>
      <c r="AE1089" s="4">
        <v>148</v>
      </c>
      <c r="AF1089" s="6">
        <v>66</v>
      </c>
      <c r="AG1089" s="6"/>
      <c r="AH1089" s="7">
        <v>0</v>
      </c>
      <c r="AI1089" s="4"/>
      <c r="AJ1089" s="4">
        <f>=ROUNDDOWN({0},0)</f>
      </c>
      <c r="AK1089" s="5"/>
      <c r="AL1089" s="2" t="s">
        <v>231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231</v>
      </c>
      <c r="AW1089" s="8" t="s">
        <v>231</v>
      </c>
      <c r="AX1089" s="4" t="s">
        <v>231</v>
      </c>
      <c r="AY1089" s="8" t="s">
        <v>231</v>
      </c>
      <c r="AZ1089" s="7" t="s">
        <v>231</v>
      </c>
      <c r="BA1089" s="7" t="s">
        <v>231</v>
      </c>
      <c r="BB1089" s="7"/>
      <c r="BC1089" s="4" t="s">
        <v>231</v>
      </c>
      <c r="BD1089" s="8" t="s">
        <v>231</v>
      </c>
      <c r="BE1089" s="4" t="s">
        <v>231</v>
      </c>
      <c r="BF1089" s="8" t="s">
        <v>231</v>
      </c>
      <c r="BG1089" s="7" t="s">
        <v>231</v>
      </c>
      <c r="BH1089" s="7" t="s">
        <v>231</v>
      </c>
      <c r="BI1089" s="7"/>
      <c r="BJ1089" s="4"/>
      <c r="BK1089" s="8"/>
      <c r="BL1089" s="2" t="s">
        <v>231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241</v>
      </c>
      <c r="BV1089" s="2" t="s">
        <v>231</v>
      </c>
      <c r="BW1089" s="2" t="s">
        <v>231</v>
      </c>
      <c r="BX1089" s="2" t="s">
        <v>241</v>
      </c>
      <c r="BY1089" s="2" t="s">
        <v>242</v>
      </c>
      <c r="BZ1089" s="2" t="s">
        <v>243</v>
      </c>
      <c r="CA1089" s="2" t="s">
        <v>231</v>
      </c>
      <c r="CB1089" s="2" t="s">
        <v>231</v>
      </c>
      <c r="CC1089" s="2" t="s">
        <v>244</v>
      </c>
      <c r="CD1089" s="2" t="s">
        <v>231</v>
      </c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>
        <v>148</v>
      </c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</row>
    <row r="1090">
      <c r="A1090" s="2" t="s">
        <v>5219</v>
      </c>
      <c r="B1090" s="2" t="s">
        <v>226</v>
      </c>
      <c r="C1090" s="2" t="s">
        <v>3948</v>
      </c>
      <c r="D1090" s="2" t="s">
        <v>1549</v>
      </c>
      <c r="E1090" s="2" t="s">
        <v>3949</v>
      </c>
      <c r="F1090" s="2" t="s">
        <v>5209</v>
      </c>
      <c r="G1090" s="2" t="s">
        <v>5209</v>
      </c>
      <c r="H1090" s="2" t="s">
        <v>5209</v>
      </c>
      <c r="I1090" s="2" t="s">
        <v>229</v>
      </c>
      <c r="J1090" s="2" t="s">
        <v>302</v>
      </c>
      <c r="K1090" s="2" t="s">
        <v>306</v>
      </c>
      <c r="L1090" s="3">
        <v>76.19</v>
      </c>
      <c r="M1090" s="3">
        <v>80</v>
      </c>
      <c r="N1090" s="3">
        <v>159.99</v>
      </c>
      <c r="O1090" s="2" t="s">
        <v>243</v>
      </c>
      <c r="P1090" s="2" t="s">
        <v>295</v>
      </c>
      <c r="Q1090" s="2" t="s">
        <v>237</v>
      </c>
      <c r="R1090" s="2" t="s">
        <v>231</v>
      </c>
      <c r="S1090" s="2" t="s">
        <v>5216</v>
      </c>
      <c r="T1090" s="2" t="s">
        <v>1432</v>
      </c>
      <c r="U1090" s="2" t="s">
        <v>327</v>
      </c>
      <c r="V1090" s="2" t="s">
        <v>239</v>
      </c>
      <c r="W1090" s="2" t="s">
        <v>273</v>
      </c>
      <c r="X1090" s="2" t="s">
        <v>231</v>
      </c>
      <c r="Y1090" s="2" t="s">
        <v>231</v>
      </c>
      <c r="Z1090" s="4"/>
      <c r="AA1090" s="4">
        <f>=ROUNDDOWN({0},0)</f>
      </c>
      <c r="AB1090" s="5"/>
      <c r="AC1090" s="2" t="s">
        <v>5211</v>
      </c>
      <c r="AD1090" s="4">
        <v>152</v>
      </c>
      <c r="AE1090" s="4">
        <v>152</v>
      </c>
      <c r="AF1090" s="6">
        <v>66</v>
      </c>
      <c r="AG1090" s="6"/>
      <c r="AH1090" s="7">
        <v>0</v>
      </c>
      <c r="AI1090" s="4"/>
      <c r="AJ1090" s="4">
        <f>=ROUNDDOWN({0},0)</f>
      </c>
      <c r="AK1090" s="5"/>
      <c r="AL1090" s="2" t="s">
        <v>231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231</v>
      </c>
      <c r="AW1090" s="8" t="s">
        <v>231</v>
      </c>
      <c r="AX1090" s="4" t="s">
        <v>231</v>
      </c>
      <c r="AY1090" s="8" t="s">
        <v>231</v>
      </c>
      <c r="AZ1090" s="7" t="s">
        <v>231</v>
      </c>
      <c r="BA1090" s="7" t="s">
        <v>231</v>
      </c>
      <c r="BB1090" s="7"/>
      <c r="BC1090" s="4" t="s">
        <v>231</v>
      </c>
      <c r="BD1090" s="8" t="s">
        <v>231</v>
      </c>
      <c r="BE1090" s="4" t="s">
        <v>231</v>
      </c>
      <c r="BF1090" s="8" t="s">
        <v>231</v>
      </c>
      <c r="BG1090" s="7" t="s">
        <v>231</v>
      </c>
      <c r="BH1090" s="7" t="s">
        <v>231</v>
      </c>
      <c r="BI1090" s="7"/>
      <c r="BJ1090" s="4"/>
      <c r="BK1090" s="8"/>
      <c r="BL1090" s="2" t="s">
        <v>231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241</v>
      </c>
      <c r="BV1090" s="2" t="s">
        <v>231</v>
      </c>
      <c r="BW1090" s="2" t="s">
        <v>231</v>
      </c>
      <c r="BX1090" s="2" t="s">
        <v>241</v>
      </c>
      <c r="BY1090" s="2" t="s">
        <v>242</v>
      </c>
      <c r="BZ1090" s="2" t="s">
        <v>243</v>
      </c>
      <c r="CA1090" s="2" t="s">
        <v>231</v>
      </c>
      <c r="CB1090" s="2" t="s">
        <v>231</v>
      </c>
      <c r="CC1090" s="2" t="s">
        <v>244</v>
      </c>
      <c r="CD1090" s="2" t="s">
        <v>231</v>
      </c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>
        <v>152</v>
      </c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</row>
    <row r="1091">
      <c r="A1091" s="2" t="s">
        <v>5220</v>
      </c>
      <c r="B1091" s="2" t="s">
        <v>226</v>
      </c>
      <c r="C1091" s="2" t="s">
        <v>3948</v>
      </c>
      <c r="D1091" s="2" t="s">
        <v>1549</v>
      </c>
      <c r="E1091" s="2" t="s">
        <v>3949</v>
      </c>
      <c r="F1091" s="2" t="s">
        <v>5209</v>
      </c>
      <c r="G1091" s="2" t="s">
        <v>5209</v>
      </c>
      <c r="H1091" s="2" t="s">
        <v>5209</v>
      </c>
      <c r="I1091" s="2" t="s">
        <v>229</v>
      </c>
      <c r="J1091" s="2" t="s">
        <v>318</v>
      </c>
      <c r="K1091" s="2" t="s">
        <v>255</v>
      </c>
      <c r="L1091" s="3">
        <v>42.85</v>
      </c>
      <c r="M1091" s="3">
        <v>44.99</v>
      </c>
      <c r="N1091" s="3">
        <v>89.99</v>
      </c>
      <c r="O1091" s="2" t="s">
        <v>243</v>
      </c>
      <c r="P1091" s="2" t="s">
        <v>295</v>
      </c>
      <c r="Q1091" s="2" t="s">
        <v>237</v>
      </c>
      <c r="R1091" s="2" t="s">
        <v>231</v>
      </c>
      <c r="S1091" s="2" t="s">
        <v>5221</v>
      </c>
      <c r="T1091" s="2" t="s">
        <v>1432</v>
      </c>
      <c r="U1091" s="2" t="s">
        <v>327</v>
      </c>
      <c r="V1091" s="2" t="s">
        <v>239</v>
      </c>
      <c r="W1091" s="2" t="s">
        <v>273</v>
      </c>
      <c r="X1091" s="2" t="s">
        <v>231</v>
      </c>
      <c r="Y1091" s="2" t="s">
        <v>231</v>
      </c>
      <c r="Z1091" s="4"/>
      <c r="AA1091" s="4">
        <f>=ROUNDDOWN({0},0)</f>
      </c>
      <c r="AB1091" s="5"/>
      <c r="AC1091" s="2" t="s">
        <v>5211</v>
      </c>
      <c r="AD1091" s="4">
        <v>124</v>
      </c>
      <c r="AE1091" s="4">
        <v>124</v>
      </c>
      <c r="AF1091" s="6">
        <v>66</v>
      </c>
      <c r="AG1091" s="6"/>
      <c r="AH1091" s="7">
        <v>0</v>
      </c>
      <c r="AI1091" s="4"/>
      <c r="AJ1091" s="4">
        <f>=ROUNDDOWN({0},0)</f>
      </c>
      <c r="AK1091" s="5"/>
      <c r="AL1091" s="2" t="s">
        <v>231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231</v>
      </c>
      <c r="AW1091" s="8" t="s">
        <v>231</v>
      </c>
      <c r="AX1091" s="4" t="s">
        <v>231</v>
      </c>
      <c r="AY1091" s="8" t="s">
        <v>231</v>
      </c>
      <c r="AZ1091" s="7" t="s">
        <v>231</v>
      </c>
      <c r="BA1091" s="7" t="s">
        <v>231</v>
      </c>
      <c r="BB1091" s="7"/>
      <c r="BC1091" s="4" t="s">
        <v>231</v>
      </c>
      <c r="BD1091" s="8" t="s">
        <v>231</v>
      </c>
      <c r="BE1091" s="4" t="s">
        <v>231</v>
      </c>
      <c r="BF1091" s="8" t="s">
        <v>231</v>
      </c>
      <c r="BG1091" s="7" t="s">
        <v>231</v>
      </c>
      <c r="BH1091" s="7" t="s">
        <v>231</v>
      </c>
      <c r="BI1091" s="7"/>
      <c r="BJ1091" s="4"/>
      <c r="BK1091" s="8"/>
      <c r="BL1091" s="2" t="s">
        <v>231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241</v>
      </c>
      <c r="BV1091" s="2" t="s">
        <v>231</v>
      </c>
      <c r="BW1091" s="2" t="s">
        <v>231</v>
      </c>
      <c r="BX1091" s="2" t="s">
        <v>241</v>
      </c>
      <c r="BY1091" s="2" t="s">
        <v>242</v>
      </c>
      <c r="BZ1091" s="2" t="s">
        <v>243</v>
      </c>
      <c r="CA1091" s="2" t="s">
        <v>231</v>
      </c>
      <c r="CB1091" s="2" t="s">
        <v>231</v>
      </c>
      <c r="CC1091" s="2" t="s">
        <v>244</v>
      </c>
      <c r="CD1091" s="2" t="s">
        <v>231</v>
      </c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>
        <v>124</v>
      </c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</row>
    <row r="1092">
      <c r="A1092" s="2" t="s">
        <v>5222</v>
      </c>
      <c r="B1092" s="2" t="s">
        <v>226</v>
      </c>
      <c r="C1092" s="2" t="s">
        <v>3948</v>
      </c>
      <c r="D1092" s="2" t="s">
        <v>1549</v>
      </c>
      <c r="E1092" s="2" t="s">
        <v>3949</v>
      </c>
      <c r="F1092" s="2" t="s">
        <v>5209</v>
      </c>
      <c r="G1092" s="2" t="s">
        <v>5209</v>
      </c>
      <c r="H1092" s="2" t="s">
        <v>5209</v>
      </c>
      <c r="I1092" s="2" t="s">
        <v>229</v>
      </c>
      <c r="J1092" s="2" t="s">
        <v>281</v>
      </c>
      <c r="K1092" s="2" t="s">
        <v>255</v>
      </c>
      <c r="L1092" s="3">
        <v>47.61</v>
      </c>
      <c r="M1092" s="3">
        <v>49.99</v>
      </c>
      <c r="N1092" s="3">
        <v>99.99</v>
      </c>
      <c r="O1092" s="2" t="s">
        <v>243</v>
      </c>
      <c r="P1092" s="2" t="s">
        <v>295</v>
      </c>
      <c r="Q1092" s="2" t="s">
        <v>237</v>
      </c>
      <c r="R1092" s="2" t="s">
        <v>231</v>
      </c>
      <c r="S1092" s="2" t="s">
        <v>5221</v>
      </c>
      <c r="T1092" s="2" t="s">
        <v>1432</v>
      </c>
      <c r="U1092" s="2" t="s">
        <v>327</v>
      </c>
      <c r="V1092" s="2" t="s">
        <v>239</v>
      </c>
      <c r="W1092" s="2" t="s">
        <v>273</v>
      </c>
      <c r="X1092" s="2" t="s">
        <v>231</v>
      </c>
      <c r="Y1092" s="2" t="s">
        <v>231</v>
      </c>
      <c r="Z1092" s="4"/>
      <c r="AA1092" s="4">
        <f>=ROUNDDOWN({0},0)</f>
      </c>
      <c r="AB1092" s="5"/>
      <c r="AC1092" s="2" t="s">
        <v>5211</v>
      </c>
      <c r="AD1092" s="4">
        <v>112</v>
      </c>
      <c r="AE1092" s="4">
        <v>112</v>
      </c>
      <c r="AF1092" s="6">
        <v>66</v>
      </c>
      <c r="AG1092" s="6"/>
      <c r="AH1092" s="7">
        <v>0</v>
      </c>
      <c r="AI1092" s="4"/>
      <c r="AJ1092" s="4">
        <f>=ROUNDDOWN({0},0)</f>
      </c>
      <c r="AK1092" s="5"/>
      <c r="AL1092" s="2" t="s">
        <v>231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231</v>
      </c>
      <c r="AW1092" s="8" t="s">
        <v>231</v>
      </c>
      <c r="AX1092" s="4" t="s">
        <v>231</v>
      </c>
      <c r="AY1092" s="8" t="s">
        <v>231</v>
      </c>
      <c r="AZ1092" s="7" t="s">
        <v>231</v>
      </c>
      <c r="BA1092" s="7" t="s">
        <v>231</v>
      </c>
      <c r="BB1092" s="7"/>
      <c r="BC1092" s="4" t="s">
        <v>231</v>
      </c>
      <c r="BD1092" s="8" t="s">
        <v>231</v>
      </c>
      <c r="BE1092" s="4" t="s">
        <v>231</v>
      </c>
      <c r="BF1092" s="8" t="s">
        <v>231</v>
      </c>
      <c r="BG1092" s="7" t="s">
        <v>231</v>
      </c>
      <c r="BH1092" s="7" t="s">
        <v>231</v>
      </c>
      <c r="BI1092" s="7"/>
      <c r="BJ1092" s="4"/>
      <c r="BK1092" s="8"/>
      <c r="BL1092" s="2" t="s">
        <v>231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241</v>
      </c>
      <c r="BV1092" s="2" t="s">
        <v>231</v>
      </c>
      <c r="BW1092" s="2" t="s">
        <v>231</v>
      </c>
      <c r="BX1092" s="2" t="s">
        <v>241</v>
      </c>
      <c r="BY1092" s="2" t="s">
        <v>242</v>
      </c>
      <c r="BZ1092" s="2" t="s">
        <v>243</v>
      </c>
      <c r="CA1092" s="2" t="s">
        <v>231</v>
      </c>
      <c r="CB1092" s="2" t="s">
        <v>231</v>
      </c>
      <c r="CC1092" s="2" t="s">
        <v>244</v>
      </c>
      <c r="CD1092" s="2" t="s">
        <v>231</v>
      </c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>
        <v>112</v>
      </c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</row>
    <row r="1093">
      <c r="A1093" s="2" t="s">
        <v>5223</v>
      </c>
      <c r="B1093" s="2" t="s">
        <v>226</v>
      </c>
      <c r="C1093" s="2" t="s">
        <v>3948</v>
      </c>
      <c r="D1093" s="2" t="s">
        <v>1549</v>
      </c>
      <c r="E1093" s="2" t="s">
        <v>3949</v>
      </c>
      <c r="F1093" s="2" t="s">
        <v>5209</v>
      </c>
      <c r="G1093" s="2" t="s">
        <v>5209</v>
      </c>
      <c r="H1093" s="2" t="s">
        <v>5209</v>
      </c>
      <c r="I1093" s="2" t="s">
        <v>229</v>
      </c>
      <c r="J1093" s="2" t="s">
        <v>293</v>
      </c>
      <c r="K1093" s="2" t="s">
        <v>255</v>
      </c>
      <c r="L1093" s="3">
        <v>66.66</v>
      </c>
      <c r="M1093" s="3">
        <v>69.99</v>
      </c>
      <c r="N1093" s="3">
        <v>139.99</v>
      </c>
      <c r="O1093" s="2" t="s">
        <v>243</v>
      </c>
      <c r="P1093" s="2" t="s">
        <v>295</v>
      </c>
      <c r="Q1093" s="2" t="s">
        <v>237</v>
      </c>
      <c r="R1093" s="2" t="s">
        <v>231</v>
      </c>
      <c r="S1093" s="2" t="s">
        <v>5221</v>
      </c>
      <c r="T1093" s="2" t="s">
        <v>1432</v>
      </c>
      <c r="U1093" s="2" t="s">
        <v>327</v>
      </c>
      <c r="V1093" s="2" t="s">
        <v>239</v>
      </c>
      <c r="W1093" s="2" t="s">
        <v>273</v>
      </c>
      <c r="X1093" s="2" t="s">
        <v>231</v>
      </c>
      <c r="Y1093" s="2" t="s">
        <v>231</v>
      </c>
      <c r="Z1093" s="4"/>
      <c r="AA1093" s="4">
        <f>=ROUNDDOWN({0},0)</f>
      </c>
      <c r="AB1093" s="5"/>
      <c r="AC1093" s="2" t="s">
        <v>5211</v>
      </c>
      <c r="AD1093" s="4">
        <v>128</v>
      </c>
      <c r="AE1093" s="4">
        <v>128</v>
      </c>
      <c r="AF1093" s="6">
        <v>66</v>
      </c>
      <c r="AG1093" s="6"/>
      <c r="AH1093" s="7">
        <v>0</v>
      </c>
      <c r="AI1093" s="4"/>
      <c r="AJ1093" s="4">
        <f>=ROUNDDOWN({0},0)</f>
      </c>
      <c r="AK1093" s="5"/>
      <c r="AL1093" s="2" t="s">
        <v>231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231</v>
      </c>
      <c r="AW1093" s="8" t="s">
        <v>231</v>
      </c>
      <c r="AX1093" s="4" t="s">
        <v>231</v>
      </c>
      <c r="AY1093" s="8" t="s">
        <v>231</v>
      </c>
      <c r="AZ1093" s="7" t="s">
        <v>231</v>
      </c>
      <c r="BA1093" s="7" t="s">
        <v>231</v>
      </c>
      <c r="BB1093" s="7"/>
      <c r="BC1093" s="4" t="s">
        <v>231</v>
      </c>
      <c r="BD1093" s="8" t="s">
        <v>231</v>
      </c>
      <c r="BE1093" s="4" t="s">
        <v>231</v>
      </c>
      <c r="BF1093" s="8" t="s">
        <v>231</v>
      </c>
      <c r="BG1093" s="7" t="s">
        <v>231</v>
      </c>
      <c r="BH1093" s="7" t="s">
        <v>231</v>
      </c>
      <c r="BI1093" s="7"/>
      <c r="BJ1093" s="4"/>
      <c r="BK1093" s="8"/>
      <c r="BL1093" s="2" t="s">
        <v>231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241</v>
      </c>
      <c r="BV1093" s="2" t="s">
        <v>231</v>
      </c>
      <c r="BW1093" s="2" t="s">
        <v>231</v>
      </c>
      <c r="BX1093" s="2" t="s">
        <v>241</v>
      </c>
      <c r="BY1093" s="2" t="s">
        <v>242</v>
      </c>
      <c r="BZ1093" s="2" t="s">
        <v>243</v>
      </c>
      <c r="CA1093" s="2" t="s">
        <v>231</v>
      </c>
      <c r="CB1093" s="2" t="s">
        <v>231</v>
      </c>
      <c r="CC1093" s="2" t="s">
        <v>244</v>
      </c>
      <c r="CD1093" s="2" t="s">
        <v>231</v>
      </c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>
        <v>128</v>
      </c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</row>
    <row r="1094">
      <c r="A1094" s="2" t="s">
        <v>5224</v>
      </c>
      <c r="B1094" s="2" t="s">
        <v>226</v>
      </c>
      <c r="C1094" s="2" t="s">
        <v>3948</v>
      </c>
      <c r="D1094" s="2" t="s">
        <v>1549</v>
      </c>
      <c r="E1094" s="2" t="s">
        <v>3949</v>
      </c>
      <c r="F1094" s="2" t="s">
        <v>5209</v>
      </c>
      <c r="G1094" s="2" t="s">
        <v>5209</v>
      </c>
      <c r="H1094" s="2" t="s">
        <v>5209</v>
      </c>
      <c r="I1094" s="2" t="s">
        <v>229</v>
      </c>
      <c r="J1094" s="2" t="s">
        <v>302</v>
      </c>
      <c r="K1094" s="2" t="s">
        <v>255</v>
      </c>
      <c r="L1094" s="3">
        <v>76.19</v>
      </c>
      <c r="M1094" s="3">
        <v>80</v>
      </c>
      <c r="N1094" s="3">
        <v>159.99</v>
      </c>
      <c r="O1094" s="2" t="s">
        <v>243</v>
      </c>
      <c r="P1094" s="2" t="s">
        <v>295</v>
      </c>
      <c r="Q1094" s="2" t="s">
        <v>237</v>
      </c>
      <c r="R1094" s="2" t="s">
        <v>231</v>
      </c>
      <c r="S1094" s="2" t="s">
        <v>5221</v>
      </c>
      <c r="T1094" s="2" t="s">
        <v>1432</v>
      </c>
      <c r="U1094" s="2" t="s">
        <v>327</v>
      </c>
      <c r="V1094" s="2" t="s">
        <v>239</v>
      </c>
      <c r="W1094" s="2" t="s">
        <v>273</v>
      </c>
      <c r="X1094" s="2" t="s">
        <v>231</v>
      </c>
      <c r="Y1094" s="2" t="s">
        <v>231</v>
      </c>
      <c r="Z1094" s="4"/>
      <c r="AA1094" s="4">
        <f>=ROUNDDOWN({0},0)</f>
      </c>
      <c r="AB1094" s="5"/>
      <c r="AC1094" s="2" t="s">
        <v>5211</v>
      </c>
      <c r="AD1094" s="4">
        <v>116</v>
      </c>
      <c r="AE1094" s="4">
        <v>116</v>
      </c>
      <c r="AF1094" s="6">
        <v>66</v>
      </c>
      <c r="AG1094" s="6"/>
      <c r="AH1094" s="7">
        <v>0</v>
      </c>
      <c r="AI1094" s="4"/>
      <c r="AJ1094" s="4">
        <f>=ROUNDDOWN({0},0)</f>
      </c>
      <c r="AK1094" s="5"/>
      <c r="AL1094" s="2" t="s">
        <v>231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231</v>
      </c>
      <c r="AW1094" s="8" t="s">
        <v>231</v>
      </c>
      <c r="AX1094" s="4" t="s">
        <v>231</v>
      </c>
      <c r="AY1094" s="8" t="s">
        <v>231</v>
      </c>
      <c r="AZ1094" s="7" t="s">
        <v>231</v>
      </c>
      <c r="BA1094" s="7" t="s">
        <v>231</v>
      </c>
      <c r="BB1094" s="7"/>
      <c r="BC1094" s="4" t="s">
        <v>231</v>
      </c>
      <c r="BD1094" s="8" t="s">
        <v>231</v>
      </c>
      <c r="BE1094" s="4" t="s">
        <v>231</v>
      </c>
      <c r="BF1094" s="8" t="s">
        <v>231</v>
      </c>
      <c r="BG1094" s="7" t="s">
        <v>231</v>
      </c>
      <c r="BH1094" s="7" t="s">
        <v>231</v>
      </c>
      <c r="BI1094" s="7"/>
      <c r="BJ1094" s="4"/>
      <c r="BK1094" s="8"/>
      <c r="BL1094" s="2" t="s">
        <v>231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241</v>
      </c>
      <c r="BV1094" s="2" t="s">
        <v>231</v>
      </c>
      <c r="BW1094" s="2" t="s">
        <v>231</v>
      </c>
      <c r="BX1094" s="2" t="s">
        <v>241</v>
      </c>
      <c r="BY1094" s="2" t="s">
        <v>242</v>
      </c>
      <c r="BZ1094" s="2" t="s">
        <v>243</v>
      </c>
      <c r="CA1094" s="2" t="s">
        <v>231</v>
      </c>
      <c r="CB1094" s="2" t="s">
        <v>231</v>
      </c>
      <c r="CC1094" s="2" t="s">
        <v>244</v>
      </c>
      <c r="CD1094" s="2" t="s">
        <v>231</v>
      </c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>
        <v>116</v>
      </c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</row>
    <row r="1095">
      <c r="A1095" s="2" t="s">
        <v>5225</v>
      </c>
      <c r="B1095" s="2" t="s">
        <v>226</v>
      </c>
      <c r="C1095" s="2" t="s">
        <v>3948</v>
      </c>
      <c r="D1095" s="2" t="s">
        <v>1549</v>
      </c>
      <c r="E1095" s="2" t="s">
        <v>3949</v>
      </c>
      <c r="F1095" s="2" t="s">
        <v>5209</v>
      </c>
      <c r="G1095" s="2" t="s">
        <v>5209</v>
      </c>
      <c r="H1095" s="2" t="s">
        <v>5209</v>
      </c>
      <c r="I1095" s="2" t="s">
        <v>229</v>
      </c>
      <c r="J1095" s="2" t="s">
        <v>318</v>
      </c>
      <c r="K1095" s="2" t="s">
        <v>2978</v>
      </c>
      <c r="L1095" s="3">
        <v>42.85</v>
      </c>
      <c r="M1095" s="3">
        <v>44.99</v>
      </c>
      <c r="N1095" s="3">
        <v>89.99</v>
      </c>
      <c r="O1095" s="2" t="s">
        <v>243</v>
      </c>
      <c r="P1095" s="2" t="s">
        <v>295</v>
      </c>
      <c r="Q1095" s="2" t="s">
        <v>237</v>
      </c>
      <c r="R1095" s="2" t="s">
        <v>231</v>
      </c>
      <c r="S1095" s="2" t="s">
        <v>5226</v>
      </c>
      <c r="T1095" s="2" t="s">
        <v>1432</v>
      </c>
      <c r="U1095" s="2" t="s">
        <v>327</v>
      </c>
      <c r="V1095" s="2" t="s">
        <v>239</v>
      </c>
      <c r="W1095" s="2" t="s">
        <v>273</v>
      </c>
      <c r="X1095" s="2" t="s">
        <v>231</v>
      </c>
      <c r="Y1095" s="2" t="s">
        <v>231</v>
      </c>
      <c r="Z1095" s="4"/>
      <c r="AA1095" s="4">
        <f>=ROUNDDOWN({0},0)</f>
      </c>
      <c r="AB1095" s="5"/>
      <c r="AC1095" s="2" t="s">
        <v>5211</v>
      </c>
      <c r="AD1095" s="4">
        <v>96</v>
      </c>
      <c r="AE1095" s="4">
        <v>96</v>
      </c>
      <c r="AF1095" s="6">
        <v>66</v>
      </c>
      <c r="AG1095" s="6"/>
      <c r="AH1095" s="7">
        <v>0</v>
      </c>
      <c r="AI1095" s="4"/>
      <c r="AJ1095" s="4">
        <f>=ROUNDDOWN({0},0)</f>
      </c>
      <c r="AK1095" s="5"/>
      <c r="AL1095" s="2" t="s">
        <v>231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231</v>
      </c>
      <c r="AW1095" s="8" t="s">
        <v>231</v>
      </c>
      <c r="AX1095" s="4" t="s">
        <v>231</v>
      </c>
      <c r="AY1095" s="8" t="s">
        <v>231</v>
      </c>
      <c r="AZ1095" s="7" t="s">
        <v>231</v>
      </c>
      <c r="BA1095" s="7" t="s">
        <v>231</v>
      </c>
      <c r="BB1095" s="7"/>
      <c r="BC1095" s="4" t="s">
        <v>231</v>
      </c>
      <c r="BD1095" s="8" t="s">
        <v>231</v>
      </c>
      <c r="BE1095" s="4" t="s">
        <v>231</v>
      </c>
      <c r="BF1095" s="8" t="s">
        <v>231</v>
      </c>
      <c r="BG1095" s="7" t="s">
        <v>231</v>
      </c>
      <c r="BH1095" s="7" t="s">
        <v>231</v>
      </c>
      <c r="BI1095" s="7"/>
      <c r="BJ1095" s="4"/>
      <c r="BK1095" s="8"/>
      <c r="BL1095" s="2" t="s">
        <v>231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241</v>
      </c>
      <c r="BV1095" s="2" t="s">
        <v>231</v>
      </c>
      <c r="BW1095" s="2" t="s">
        <v>231</v>
      </c>
      <c r="BX1095" s="2" t="s">
        <v>241</v>
      </c>
      <c r="BY1095" s="2" t="s">
        <v>242</v>
      </c>
      <c r="BZ1095" s="2" t="s">
        <v>243</v>
      </c>
      <c r="CA1095" s="2" t="s">
        <v>231</v>
      </c>
      <c r="CB1095" s="2" t="s">
        <v>231</v>
      </c>
      <c r="CC1095" s="2" t="s">
        <v>244</v>
      </c>
      <c r="CD1095" s="2" t="s">
        <v>231</v>
      </c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>
        <v>96</v>
      </c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</row>
    <row r="1096">
      <c r="A1096" s="2" t="s">
        <v>5227</v>
      </c>
      <c r="B1096" s="2" t="s">
        <v>226</v>
      </c>
      <c r="C1096" s="2" t="s">
        <v>3948</v>
      </c>
      <c r="D1096" s="2" t="s">
        <v>1549</v>
      </c>
      <c r="E1096" s="2" t="s">
        <v>3949</v>
      </c>
      <c r="F1096" s="2" t="s">
        <v>5209</v>
      </c>
      <c r="G1096" s="2" t="s">
        <v>5209</v>
      </c>
      <c r="H1096" s="2" t="s">
        <v>5209</v>
      </c>
      <c r="I1096" s="2" t="s">
        <v>229</v>
      </c>
      <c r="J1096" s="2" t="s">
        <v>281</v>
      </c>
      <c r="K1096" s="2" t="s">
        <v>2978</v>
      </c>
      <c r="L1096" s="3">
        <v>47.61</v>
      </c>
      <c r="M1096" s="3">
        <v>49.99</v>
      </c>
      <c r="N1096" s="3">
        <v>99.99</v>
      </c>
      <c r="O1096" s="2" t="s">
        <v>243</v>
      </c>
      <c r="P1096" s="2" t="s">
        <v>295</v>
      </c>
      <c r="Q1096" s="2" t="s">
        <v>237</v>
      </c>
      <c r="R1096" s="2" t="s">
        <v>231</v>
      </c>
      <c r="S1096" s="2" t="s">
        <v>5226</v>
      </c>
      <c r="T1096" s="2" t="s">
        <v>1432</v>
      </c>
      <c r="U1096" s="2" t="s">
        <v>327</v>
      </c>
      <c r="V1096" s="2" t="s">
        <v>239</v>
      </c>
      <c r="W1096" s="2" t="s">
        <v>273</v>
      </c>
      <c r="X1096" s="2" t="s">
        <v>231</v>
      </c>
      <c r="Y1096" s="2" t="s">
        <v>231</v>
      </c>
      <c r="Z1096" s="4"/>
      <c r="AA1096" s="4">
        <f>=ROUNDDOWN({0},0)</f>
      </c>
      <c r="AB1096" s="5"/>
      <c r="AC1096" s="2" t="s">
        <v>5211</v>
      </c>
      <c r="AD1096" s="4">
        <v>68</v>
      </c>
      <c r="AE1096" s="4">
        <v>68</v>
      </c>
      <c r="AF1096" s="6">
        <v>66</v>
      </c>
      <c r="AG1096" s="6"/>
      <c r="AH1096" s="7">
        <v>0</v>
      </c>
      <c r="AI1096" s="4"/>
      <c r="AJ1096" s="4">
        <f>=ROUNDDOWN({0},0)</f>
      </c>
      <c r="AK1096" s="5"/>
      <c r="AL1096" s="2" t="s">
        <v>231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231</v>
      </c>
      <c r="AW1096" s="8" t="s">
        <v>231</v>
      </c>
      <c r="AX1096" s="4" t="s">
        <v>231</v>
      </c>
      <c r="AY1096" s="8" t="s">
        <v>231</v>
      </c>
      <c r="AZ1096" s="7" t="s">
        <v>231</v>
      </c>
      <c r="BA1096" s="7" t="s">
        <v>231</v>
      </c>
      <c r="BB1096" s="7"/>
      <c r="BC1096" s="4" t="s">
        <v>231</v>
      </c>
      <c r="BD1096" s="8" t="s">
        <v>231</v>
      </c>
      <c r="BE1096" s="4" t="s">
        <v>231</v>
      </c>
      <c r="BF1096" s="8" t="s">
        <v>231</v>
      </c>
      <c r="BG1096" s="7" t="s">
        <v>231</v>
      </c>
      <c r="BH1096" s="7" t="s">
        <v>231</v>
      </c>
      <c r="BI1096" s="7"/>
      <c r="BJ1096" s="4"/>
      <c r="BK1096" s="8"/>
      <c r="BL1096" s="2" t="s">
        <v>231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241</v>
      </c>
      <c r="BV1096" s="2" t="s">
        <v>231</v>
      </c>
      <c r="BW1096" s="2" t="s">
        <v>231</v>
      </c>
      <c r="BX1096" s="2" t="s">
        <v>241</v>
      </c>
      <c r="BY1096" s="2" t="s">
        <v>242</v>
      </c>
      <c r="BZ1096" s="2" t="s">
        <v>243</v>
      </c>
      <c r="CA1096" s="2" t="s">
        <v>231</v>
      </c>
      <c r="CB1096" s="2" t="s">
        <v>231</v>
      </c>
      <c r="CC1096" s="2" t="s">
        <v>244</v>
      </c>
      <c r="CD1096" s="2" t="s">
        <v>231</v>
      </c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>
        <v>68</v>
      </c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</row>
    <row r="1097">
      <c r="A1097" s="2" t="s">
        <v>5228</v>
      </c>
      <c r="B1097" s="2" t="s">
        <v>226</v>
      </c>
      <c r="C1097" s="2" t="s">
        <v>3948</v>
      </c>
      <c r="D1097" s="2" t="s">
        <v>1549</v>
      </c>
      <c r="E1097" s="2" t="s">
        <v>3949</v>
      </c>
      <c r="F1097" s="2" t="s">
        <v>5209</v>
      </c>
      <c r="G1097" s="2" t="s">
        <v>5209</v>
      </c>
      <c r="H1097" s="2" t="s">
        <v>5209</v>
      </c>
      <c r="I1097" s="2" t="s">
        <v>229</v>
      </c>
      <c r="J1097" s="2" t="s">
        <v>293</v>
      </c>
      <c r="K1097" s="2" t="s">
        <v>2978</v>
      </c>
      <c r="L1097" s="3">
        <v>66.66</v>
      </c>
      <c r="M1097" s="3">
        <v>69.99</v>
      </c>
      <c r="N1097" s="3">
        <v>139.99</v>
      </c>
      <c r="O1097" s="2" t="s">
        <v>243</v>
      </c>
      <c r="P1097" s="2" t="s">
        <v>295</v>
      </c>
      <c r="Q1097" s="2" t="s">
        <v>237</v>
      </c>
      <c r="R1097" s="2" t="s">
        <v>231</v>
      </c>
      <c r="S1097" s="2" t="s">
        <v>5226</v>
      </c>
      <c r="T1097" s="2" t="s">
        <v>1432</v>
      </c>
      <c r="U1097" s="2" t="s">
        <v>327</v>
      </c>
      <c r="V1097" s="2" t="s">
        <v>239</v>
      </c>
      <c r="W1097" s="2" t="s">
        <v>273</v>
      </c>
      <c r="X1097" s="2" t="s">
        <v>231</v>
      </c>
      <c r="Y1097" s="2" t="s">
        <v>231</v>
      </c>
      <c r="Z1097" s="4"/>
      <c r="AA1097" s="4">
        <f>=ROUNDDOWN({0},0)</f>
      </c>
      <c r="AB1097" s="5"/>
      <c r="AC1097" s="2" t="s">
        <v>5211</v>
      </c>
      <c r="AD1097" s="4">
        <v>100</v>
      </c>
      <c r="AE1097" s="4">
        <v>100</v>
      </c>
      <c r="AF1097" s="6">
        <v>66</v>
      </c>
      <c r="AG1097" s="6"/>
      <c r="AH1097" s="7">
        <v>0</v>
      </c>
      <c r="AI1097" s="4"/>
      <c r="AJ1097" s="4">
        <f>=ROUNDDOWN({0},0)</f>
      </c>
      <c r="AK1097" s="5"/>
      <c r="AL1097" s="2" t="s">
        <v>231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231</v>
      </c>
      <c r="AW1097" s="8" t="s">
        <v>231</v>
      </c>
      <c r="AX1097" s="4" t="s">
        <v>231</v>
      </c>
      <c r="AY1097" s="8" t="s">
        <v>231</v>
      </c>
      <c r="AZ1097" s="7" t="s">
        <v>231</v>
      </c>
      <c r="BA1097" s="7" t="s">
        <v>231</v>
      </c>
      <c r="BB1097" s="7"/>
      <c r="BC1097" s="4" t="s">
        <v>231</v>
      </c>
      <c r="BD1097" s="8" t="s">
        <v>231</v>
      </c>
      <c r="BE1097" s="4" t="s">
        <v>231</v>
      </c>
      <c r="BF1097" s="8" t="s">
        <v>231</v>
      </c>
      <c r="BG1097" s="7" t="s">
        <v>231</v>
      </c>
      <c r="BH1097" s="7" t="s">
        <v>231</v>
      </c>
      <c r="BI1097" s="7"/>
      <c r="BJ1097" s="4"/>
      <c r="BK1097" s="8"/>
      <c r="BL1097" s="2" t="s">
        <v>231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241</v>
      </c>
      <c r="BV1097" s="2" t="s">
        <v>231</v>
      </c>
      <c r="BW1097" s="2" t="s">
        <v>231</v>
      </c>
      <c r="BX1097" s="2" t="s">
        <v>241</v>
      </c>
      <c r="BY1097" s="2" t="s">
        <v>242</v>
      </c>
      <c r="BZ1097" s="2" t="s">
        <v>243</v>
      </c>
      <c r="CA1097" s="2" t="s">
        <v>231</v>
      </c>
      <c r="CB1097" s="2" t="s">
        <v>231</v>
      </c>
      <c r="CC1097" s="2" t="s">
        <v>244</v>
      </c>
      <c r="CD1097" s="2" t="s">
        <v>231</v>
      </c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>
        <v>100</v>
      </c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</row>
    <row r="1098">
      <c r="A1098" s="2" t="s">
        <v>5229</v>
      </c>
      <c r="B1098" s="2" t="s">
        <v>226</v>
      </c>
      <c r="C1098" s="2" t="s">
        <v>3948</v>
      </c>
      <c r="D1098" s="2" t="s">
        <v>1549</v>
      </c>
      <c r="E1098" s="2" t="s">
        <v>3949</v>
      </c>
      <c r="F1098" s="2" t="s">
        <v>5209</v>
      </c>
      <c r="G1098" s="2" t="s">
        <v>5209</v>
      </c>
      <c r="H1098" s="2" t="s">
        <v>5209</v>
      </c>
      <c r="I1098" s="2" t="s">
        <v>229</v>
      </c>
      <c r="J1098" s="2" t="s">
        <v>302</v>
      </c>
      <c r="K1098" s="2" t="s">
        <v>2978</v>
      </c>
      <c r="L1098" s="3">
        <v>76.19</v>
      </c>
      <c r="M1098" s="3">
        <v>80</v>
      </c>
      <c r="N1098" s="3">
        <v>159.99</v>
      </c>
      <c r="O1098" s="2" t="s">
        <v>243</v>
      </c>
      <c r="P1098" s="2" t="s">
        <v>295</v>
      </c>
      <c r="Q1098" s="2" t="s">
        <v>237</v>
      </c>
      <c r="R1098" s="2" t="s">
        <v>231</v>
      </c>
      <c r="S1098" s="2" t="s">
        <v>5226</v>
      </c>
      <c r="T1098" s="2" t="s">
        <v>1432</v>
      </c>
      <c r="U1098" s="2" t="s">
        <v>327</v>
      </c>
      <c r="V1098" s="2" t="s">
        <v>239</v>
      </c>
      <c r="W1098" s="2" t="s">
        <v>273</v>
      </c>
      <c r="X1098" s="2" t="s">
        <v>231</v>
      </c>
      <c r="Y1098" s="2" t="s">
        <v>231</v>
      </c>
      <c r="Z1098" s="4"/>
      <c r="AA1098" s="4">
        <f>=ROUNDDOWN({0},0)</f>
      </c>
      <c r="AB1098" s="5"/>
      <c r="AC1098" s="2" t="s">
        <v>5211</v>
      </c>
      <c r="AD1098" s="4">
        <v>132</v>
      </c>
      <c r="AE1098" s="4">
        <v>132</v>
      </c>
      <c r="AF1098" s="6">
        <v>66</v>
      </c>
      <c r="AG1098" s="6"/>
      <c r="AH1098" s="7">
        <v>0</v>
      </c>
      <c r="AI1098" s="4"/>
      <c r="AJ1098" s="4">
        <f>=ROUNDDOWN({0},0)</f>
      </c>
      <c r="AK1098" s="5"/>
      <c r="AL1098" s="2" t="s">
        <v>231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231</v>
      </c>
      <c r="AW1098" s="8" t="s">
        <v>231</v>
      </c>
      <c r="AX1098" s="4" t="s">
        <v>231</v>
      </c>
      <c r="AY1098" s="8" t="s">
        <v>231</v>
      </c>
      <c r="AZ1098" s="7" t="s">
        <v>231</v>
      </c>
      <c r="BA1098" s="7" t="s">
        <v>231</v>
      </c>
      <c r="BB1098" s="7"/>
      <c r="BC1098" s="4" t="s">
        <v>231</v>
      </c>
      <c r="BD1098" s="8" t="s">
        <v>231</v>
      </c>
      <c r="BE1098" s="4" t="s">
        <v>231</v>
      </c>
      <c r="BF1098" s="8" t="s">
        <v>231</v>
      </c>
      <c r="BG1098" s="7" t="s">
        <v>231</v>
      </c>
      <c r="BH1098" s="7" t="s">
        <v>231</v>
      </c>
      <c r="BI1098" s="7"/>
      <c r="BJ1098" s="4"/>
      <c r="BK1098" s="8"/>
      <c r="BL1098" s="2" t="s">
        <v>231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241</v>
      </c>
      <c r="BV1098" s="2" t="s">
        <v>231</v>
      </c>
      <c r="BW1098" s="2" t="s">
        <v>231</v>
      </c>
      <c r="BX1098" s="2" t="s">
        <v>241</v>
      </c>
      <c r="BY1098" s="2" t="s">
        <v>242</v>
      </c>
      <c r="BZ1098" s="2" t="s">
        <v>243</v>
      </c>
      <c r="CA1098" s="2" t="s">
        <v>231</v>
      </c>
      <c r="CB1098" s="2" t="s">
        <v>231</v>
      </c>
      <c r="CC1098" s="2" t="s">
        <v>244</v>
      </c>
      <c r="CD1098" s="2" t="s">
        <v>231</v>
      </c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>
        <v>132</v>
      </c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</row>
    <row r="1099">
      <c r="A1099" s="2" t="s">
        <v>5230</v>
      </c>
      <c r="B1099" s="2" t="s">
        <v>226</v>
      </c>
      <c r="C1099" s="2" t="s">
        <v>3948</v>
      </c>
      <c r="D1099" s="2" t="s">
        <v>1549</v>
      </c>
      <c r="E1099" s="2" t="s">
        <v>3949</v>
      </c>
      <c r="F1099" s="2" t="s">
        <v>5209</v>
      </c>
      <c r="G1099" s="2" t="s">
        <v>5209</v>
      </c>
      <c r="H1099" s="2" t="s">
        <v>5209</v>
      </c>
      <c r="I1099" s="2" t="s">
        <v>229</v>
      </c>
      <c r="J1099" s="2" t="s">
        <v>318</v>
      </c>
      <c r="K1099" s="2" t="s">
        <v>1800</v>
      </c>
      <c r="L1099" s="3">
        <v>42.85</v>
      </c>
      <c r="M1099" s="3">
        <v>44.99</v>
      </c>
      <c r="N1099" s="3">
        <v>89.99</v>
      </c>
      <c r="O1099" s="2" t="s">
        <v>243</v>
      </c>
      <c r="P1099" s="2" t="s">
        <v>295</v>
      </c>
      <c r="Q1099" s="2" t="s">
        <v>237</v>
      </c>
      <c r="R1099" s="2" t="s">
        <v>231</v>
      </c>
      <c r="S1099" s="2" t="s">
        <v>5231</v>
      </c>
      <c r="T1099" s="2" t="s">
        <v>1432</v>
      </c>
      <c r="U1099" s="2" t="s">
        <v>327</v>
      </c>
      <c r="V1099" s="2" t="s">
        <v>239</v>
      </c>
      <c r="W1099" s="2" t="s">
        <v>273</v>
      </c>
      <c r="X1099" s="2" t="s">
        <v>231</v>
      </c>
      <c r="Y1099" s="2" t="s">
        <v>231</v>
      </c>
      <c r="Z1099" s="4"/>
      <c r="AA1099" s="4">
        <f>=ROUNDDOWN({0},0)</f>
      </c>
      <c r="AB1099" s="5"/>
      <c r="AC1099" s="2" t="s">
        <v>5211</v>
      </c>
      <c r="AD1099" s="4">
        <v>80</v>
      </c>
      <c r="AE1099" s="4">
        <v>80</v>
      </c>
      <c r="AF1099" s="6">
        <v>66</v>
      </c>
      <c r="AG1099" s="6"/>
      <c r="AH1099" s="7">
        <v>0</v>
      </c>
      <c r="AI1099" s="4"/>
      <c r="AJ1099" s="4">
        <f>=ROUNDDOWN({0},0)</f>
      </c>
      <c r="AK1099" s="5"/>
      <c r="AL1099" s="2" t="s">
        <v>231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231</v>
      </c>
      <c r="AW1099" s="8" t="s">
        <v>231</v>
      </c>
      <c r="AX1099" s="4" t="s">
        <v>231</v>
      </c>
      <c r="AY1099" s="8" t="s">
        <v>231</v>
      </c>
      <c r="AZ1099" s="7" t="s">
        <v>231</v>
      </c>
      <c r="BA1099" s="7" t="s">
        <v>231</v>
      </c>
      <c r="BB1099" s="7"/>
      <c r="BC1099" s="4" t="s">
        <v>231</v>
      </c>
      <c r="BD1099" s="8" t="s">
        <v>231</v>
      </c>
      <c r="BE1099" s="4" t="s">
        <v>231</v>
      </c>
      <c r="BF1099" s="8" t="s">
        <v>231</v>
      </c>
      <c r="BG1099" s="7" t="s">
        <v>231</v>
      </c>
      <c r="BH1099" s="7" t="s">
        <v>231</v>
      </c>
      <c r="BI1099" s="7"/>
      <c r="BJ1099" s="4"/>
      <c r="BK1099" s="8"/>
      <c r="BL1099" s="2" t="s">
        <v>231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241</v>
      </c>
      <c r="BV1099" s="2" t="s">
        <v>231</v>
      </c>
      <c r="BW1099" s="2" t="s">
        <v>231</v>
      </c>
      <c r="BX1099" s="2" t="s">
        <v>241</v>
      </c>
      <c r="BY1099" s="2" t="s">
        <v>242</v>
      </c>
      <c r="BZ1099" s="2" t="s">
        <v>243</v>
      </c>
      <c r="CA1099" s="2" t="s">
        <v>231</v>
      </c>
      <c r="CB1099" s="2" t="s">
        <v>231</v>
      </c>
      <c r="CC1099" s="2" t="s">
        <v>244</v>
      </c>
      <c r="CD1099" s="2" t="s">
        <v>231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>
        <v>80</v>
      </c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</row>
    <row r="1100">
      <c r="A1100" s="2" t="s">
        <v>5232</v>
      </c>
      <c r="B1100" s="2" t="s">
        <v>226</v>
      </c>
      <c r="C1100" s="2" t="s">
        <v>3948</v>
      </c>
      <c r="D1100" s="2" t="s">
        <v>1549</v>
      </c>
      <c r="E1100" s="2" t="s">
        <v>3949</v>
      </c>
      <c r="F1100" s="2" t="s">
        <v>5209</v>
      </c>
      <c r="G1100" s="2" t="s">
        <v>5209</v>
      </c>
      <c r="H1100" s="2" t="s">
        <v>5209</v>
      </c>
      <c r="I1100" s="2" t="s">
        <v>229</v>
      </c>
      <c r="J1100" s="2" t="s">
        <v>281</v>
      </c>
      <c r="K1100" s="2" t="s">
        <v>1800</v>
      </c>
      <c r="L1100" s="3">
        <v>47.61</v>
      </c>
      <c r="M1100" s="3">
        <v>49.99</v>
      </c>
      <c r="N1100" s="3">
        <v>99.99</v>
      </c>
      <c r="O1100" s="2" t="s">
        <v>243</v>
      </c>
      <c r="P1100" s="2" t="s">
        <v>295</v>
      </c>
      <c r="Q1100" s="2" t="s">
        <v>237</v>
      </c>
      <c r="R1100" s="2" t="s">
        <v>231</v>
      </c>
      <c r="S1100" s="2" t="s">
        <v>5231</v>
      </c>
      <c r="T1100" s="2" t="s">
        <v>1432</v>
      </c>
      <c r="U1100" s="2" t="s">
        <v>327</v>
      </c>
      <c r="V1100" s="2" t="s">
        <v>239</v>
      </c>
      <c r="W1100" s="2" t="s">
        <v>273</v>
      </c>
      <c r="X1100" s="2" t="s">
        <v>231</v>
      </c>
      <c r="Y1100" s="2" t="s">
        <v>231</v>
      </c>
      <c r="Z1100" s="4"/>
      <c r="AA1100" s="4">
        <f>=ROUNDDOWN({0},0)</f>
      </c>
      <c r="AB1100" s="5"/>
      <c r="AC1100" s="2" t="s">
        <v>5211</v>
      </c>
      <c r="AD1100" s="4">
        <v>76</v>
      </c>
      <c r="AE1100" s="4">
        <v>76</v>
      </c>
      <c r="AF1100" s="6">
        <v>66</v>
      </c>
      <c r="AG1100" s="6"/>
      <c r="AH1100" s="7">
        <v>0</v>
      </c>
      <c r="AI1100" s="4"/>
      <c r="AJ1100" s="4">
        <f>=ROUNDDOWN({0},0)</f>
      </c>
      <c r="AK1100" s="5"/>
      <c r="AL1100" s="2" t="s">
        <v>231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231</v>
      </c>
      <c r="AW1100" s="8" t="s">
        <v>231</v>
      </c>
      <c r="AX1100" s="4" t="s">
        <v>231</v>
      </c>
      <c r="AY1100" s="8" t="s">
        <v>231</v>
      </c>
      <c r="AZ1100" s="7" t="s">
        <v>231</v>
      </c>
      <c r="BA1100" s="7" t="s">
        <v>231</v>
      </c>
      <c r="BB1100" s="7"/>
      <c r="BC1100" s="4" t="s">
        <v>231</v>
      </c>
      <c r="BD1100" s="8" t="s">
        <v>231</v>
      </c>
      <c r="BE1100" s="4" t="s">
        <v>231</v>
      </c>
      <c r="BF1100" s="8" t="s">
        <v>231</v>
      </c>
      <c r="BG1100" s="7" t="s">
        <v>231</v>
      </c>
      <c r="BH1100" s="7" t="s">
        <v>231</v>
      </c>
      <c r="BI1100" s="7"/>
      <c r="BJ1100" s="4"/>
      <c r="BK1100" s="8"/>
      <c r="BL1100" s="2" t="s">
        <v>231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241</v>
      </c>
      <c r="BV1100" s="2" t="s">
        <v>231</v>
      </c>
      <c r="BW1100" s="2" t="s">
        <v>231</v>
      </c>
      <c r="BX1100" s="2" t="s">
        <v>241</v>
      </c>
      <c r="BY1100" s="2" t="s">
        <v>242</v>
      </c>
      <c r="BZ1100" s="2" t="s">
        <v>243</v>
      </c>
      <c r="CA1100" s="2" t="s">
        <v>231</v>
      </c>
      <c r="CB1100" s="2" t="s">
        <v>231</v>
      </c>
      <c r="CC1100" s="2" t="s">
        <v>244</v>
      </c>
      <c r="CD1100" s="2" t="s">
        <v>231</v>
      </c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>
        <v>76</v>
      </c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</row>
    <row r="1101">
      <c r="A1101" s="2" t="s">
        <v>5233</v>
      </c>
      <c r="B1101" s="2" t="s">
        <v>226</v>
      </c>
      <c r="C1101" s="2" t="s">
        <v>3948</v>
      </c>
      <c r="D1101" s="2" t="s">
        <v>1549</v>
      </c>
      <c r="E1101" s="2" t="s">
        <v>3949</v>
      </c>
      <c r="F1101" s="2" t="s">
        <v>5209</v>
      </c>
      <c r="G1101" s="2" t="s">
        <v>5209</v>
      </c>
      <c r="H1101" s="2" t="s">
        <v>5209</v>
      </c>
      <c r="I1101" s="2" t="s">
        <v>229</v>
      </c>
      <c r="J1101" s="2" t="s">
        <v>293</v>
      </c>
      <c r="K1101" s="2" t="s">
        <v>1800</v>
      </c>
      <c r="L1101" s="3">
        <v>66.66</v>
      </c>
      <c r="M1101" s="3">
        <v>69.99</v>
      </c>
      <c r="N1101" s="3">
        <v>139.99</v>
      </c>
      <c r="O1101" s="2" t="s">
        <v>243</v>
      </c>
      <c r="P1101" s="2" t="s">
        <v>295</v>
      </c>
      <c r="Q1101" s="2" t="s">
        <v>237</v>
      </c>
      <c r="R1101" s="2" t="s">
        <v>231</v>
      </c>
      <c r="S1101" s="2" t="s">
        <v>5231</v>
      </c>
      <c r="T1101" s="2" t="s">
        <v>1432</v>
      </c>
      <c r="U1101" s="2" t="s">
        <v>327</v>
      </c>
      <c r="V1101" s="2" t="s">
        <v>239</v>
      </c>
      <c r="W1101" s="2" t="s">
        <v>273</v>
      </c>
      <c r="X1101" s="2" t="s">
        <v>231</v>
      </c>
      <c r="Y1101" s="2" t="s">
        <v>231</v>
      </c>
      <c r="Z1101" s="4"/>
      <c r="AA1101" s="4">
        <f>=ROUNDDOWN({0},0)</f>
      </c>
      <c r="AB1101" s="5"/>
      <c r="AC1101" s="2" t="s">
        <v>5211</v>
      </c>
      <c r="AD1101" s="4">
        <v>100</v>
      </c>
      <c r="AE1101" s="4">
        <v>100</v>
      </c>
      <c r="AF1101" s="6">
        <v>66</v>
      </c>
      <c r="AG1101" s="6"/>
      <c r="AH1101" s="7">
        <v>0</v>
      </c>
      <c r="AI1101" s="4"/>
      <c r="AJ1101" s="4">
        <f>=ROUNDDOWN({0},0)</f>
      </c>
      <c r="AK1101" s="5"/>
      <c r="AL1101" s="2" t="s">
        <v>231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231</v>
      </c>
      <c r="AW1101" s="8" t="s">
        <v>231</v>
      </c>
      <c r="AX1101" s="4" t="s">
        <v>231</v>
      </c>
      <c r="AY1101" s="8" t="s">
        <v>231</v>
      </c>
      <c r="AZ1101" s="7" t="s">
        <v>231</v>
      </c>
      <c r="BA1101" s="7" t="s">
        <v>231</v>
      </c>
      <c r="BB1101" s="7"/>
      <c r="BC1101" s="4" t="s">
        <v>231</v>
      </c>
      <c r="BD1101" s="8" t="s">
        <v>231</v>
      </c>
      <c r="BE1101" s="4" t="s">
        <v>231</v>
      </c>
      <c r="BF1101" s="8" t="s">
        <v>231</v>
      </c>
      <c r="BG1101" s="7" t="s">
        <v>231</v>
      </c>
      <c r="BH1101" s="7" t="s">
        <v>231</v>
      </c>
      <c r="BI1101" s="7"/>
      <c r="BJ1101" s="4"/>
      <c r="BK1101" s="8"/>
      <c r="BL1101" s="2" t="s">
        <v>231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241</v>
      </c>
      <c r="BV1101" s="2" t="s">
        <v>231</v>
      </c>
      <c r="BW1101" s="2" t="s">
        <v>231</v>
      </c>
      <c r="BX1101" s="2" t="s">
        <v>241</v>
      </c>
      <c r="BY1101" s="2" t="s">
        <v>242</v>
      </c>
      <c r="BZ1101" s="2" t="s">
        <v>243</v>
      </c>
      <c r="CA1101" s="2" t="s">
        <v>231</v>
      </c>
      <c r="CB1101" s="2" t="s">
        <v>231</v>
      </c>
      <c r="CC1101" s="2" t="s">
        <v>244</v>
      </c>
      <c r="CD1101" s="2" t="s">
        <v>231</v>
      </c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>
        <v>100</v>
      </c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</row>
    <row r="1102">
      <c r="A1102" s="2" t="s">
        <v>5234</v>
      </c>
      <c r="B1102" s="2" t="s">
        <v>226</v>
      </c>
      <c r="C1102" s="2" t="s">
        <v>3948</v>
      </c>
      <c r="D1102" s="2" t="s">
        <v>1549</v>
      </c>
      <c r="E1102" s="2" t="s">
        <v>3949</v>
      </c>
      <c r="F1102" s="2" t="s">
        <v>5209</v>
      </c>
      <c r="G1102" s="2" t="s">
        <v>5209</v>
      </c>
      <c r="H1102" s="2" t="s">
        <v>5209</v>
      </c>
      <c r="I1102" s="2" t="s">
        <v>229</v>
      </c>
      <c r="J1102" s="2" t="s">
        <v>302</v>
      </c>
      <c r="K1102" s="2" t="s">
        <v>1800</v>
      </c>
      <c r="L1102" s="3">
        <v>76.19</v>
      </c>
      <c r="M1102" s="3">
        <v>80</v>
      </c>
      <c r="N1102" s="3">
        <v>159.99</v>
      </c>
      <c r="O1102" s="2" t="s">
        <v>243</v>
      </c>
      <c r="P1102" s="2" t="s">
        <v>295</v>
      </c>
      <c r="Q1102" s="2" t="s">
        <v>237</v>
      </c>
      <c r="R1102" s="2" t="s">
        <v>231</v>
      </c>
      <c r="S1102" s="2" t="s">
        <v>5231</v>
      </c>
      <c r="T1102" s="2" t="s">
        <v>1432</v>
      </c>
      <c r="U1102" s="2" t="s">
        <v>327</v>
      </c>
      <c r="V1102" s="2" t="s">
        <v>239</v>
      </c>
      <c r="W1102" s="2" t="s">
        <v>273</v>
      </c>
      <c r="X1102" s="2" t="s">
        <v>231</v>
      </c>
      <c r="Y1102" s="2" t="s">
        <v>231</v>
      </c>
      <c r="Z1102" s="4"/>
      <c r="AA1102" s="4">
        <f>=ROUNDDOWN({0},0)</f>
      </c>
      <c r="AB1102" s="5"/>
      <c r="AC1102" s="2" t="s">
        <v>5211</v>
      </c>
      <c r="AD1102" s="4">
        <v>68</v>
      </c>
      <c r="AE1102" s="4">
        <v>68</v>
      </c>
      <c r="AF1102" s="6">
        <v>66</v>
      </c>
      <c r="AG1102" s="6"/>
      <c r="AH1102" s="7">
        <v>0</v>
      </c>
      <c r="AI1102" s="4"/>
      <c r="AJ1102" s="4">
        <f>=ROUNDDOWN({0},0)</f>
      </c>
      <c r="AK1102" s="5"/>
      <c r="AL1102" s="2" t="s">
        <v>231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231</v>
      </c>
      <c r="AW1102" s="8" t="s">
        <v>231</v>
      </c>
      <c r="AX1102" s="4" t="s">
        <v>231</v>
      </c>
      <c r="AY1102" s="8" t="s">
        <v>231</v>
      </c>
      <c r="AZ1102" s="7" t="s">
        <v>231</v>
      </c>
      <c r="BA1102" s="7" t="s">
        <v>231</v>
      </c>
      <c r="BB1102" s="7"/>
      <c r="BC1102" s="4" t="s">
        <v>231</v>
      </c>
      <c r="BD1102" s="8" t="s">
        <v>231</v>
      </c>
      <c r="BE1102" s="4" t="s">
        <v>231</v>
      </c>
      <c r="BF1102" s="8" t="s">
        <v>231</v>
      </c>
      <c r="BG1102" s="7" t="s">
        <v>231</v>
      </c>
      <c r="BH1102" s="7" t="s">
        <v>231</v>
      </c>
      <c r="BI1102" s="7"/>
      <c r="BJ1102" s="4"/>
      <c r="BK1102" s="8"/>
      <c r="BL1102" s="2" t="s">
        <v>231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241</v>
      </c>
      <c r="BV1102" s="2" t="s">
        <v>231</v>
      </c>
      <c r="BW1102" s="2" t="s">
        <v>231</v>
      </c>
      <c r="BX1102" s="2" t="s">
        <v>241</v>
      </c>
      <c r="BY1102" s="2" t="s">
        <v>242</v>
      </c>
      <c r="BZ1102" s="2" t="s">
        <v>243</v>
      </c>
      <c r="CA1102" s="2" t="s">
        <v>231</v>
      </c>
      <c r="CB1102" s="2" t="s">
        <v>231</v>
      </c>
      <c r="CC1102" s="2" t="s">
        <v>244</v>
      </c>
      <c r="CD1102" s="2" t="s">
        <v>231</v>
      </c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>
        <v>68</v>
      </c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</row>
    <row r="1103">
      <c r="A1103" s="2" t="s">
        <v>5235</v>
      </c>
      <c r="B1103" s="2" t="s">
        <v>847</v>
      </c>
      <c r="C1103" s="2" t="s">
        <v>815</v>
      </c>
      <c r="D1103" s="2" t="s">
        <v>848</v>
      </c>
      <c r="E1103" s="2" t="s">
        <v>849</v>
      </c>
      <c r="F1103" s="2" t="s">
        <v>5236</v>
      </c>
      <c r="G1103" s="2" t="s">
        <v>5236</v>
      </c>
      <c r="H1103" s="2" t="s">
        <v>5236</v>
      </c>
      <c r="I1103" s="2" t="s">
        <v>5237</v>
      </c>
      <c r="J1103" s="2" t="s">
        <v>807</v>
      </c>
      <c r="K1103" s="2" t="s">
        <v>5238</v>
      </c>
      <c r="L1103" s="3">
        <v>50</v>
      </c>
      <c r="M1103" s="3">
        <v>52.5</v>
      </c>
      <c r="N1103" s="3">
        <v>104.99</v>
      </c>
      <c r="O1103" s="2" t="s">
        <v>243</v>
      </c>
      <c r="P1103" s="2" t="s">
        <v>236</v>
      </c>
      <c r="Q1103" s="2" t="s">
        <v>237</v>
      </c>
      <c r="R1103" s="2" t="s">
        <v>231</v>
      </c>
      <c r="S1103" s="2" t="s">
        <v>231</v>
      </c>
      <c r="T1103" s="2" t="s">
        <v>231</v>
      </c>
      <c r="U1103" s="2" t="s">
        <v>791</v>
      </c>
      <c r="V1103" s="2" t="s">
        <v>662</v>
      </c>
      <c r="W1103" s="2" t="s">
        <v>5239</v>
      </c>
      <c r="X1103" s="2" t="s">
        <v>231</v>
      </c>
      <c r="Y1103" s="2" t="s">
        <v>2203</v>
      </c>
      <c r="Z1103" s="4">
        <v>18</v>
      </c>
      <c r="AA1103" s="4">
        <f>=ROUNDDOWN(6,0)</f>
      </c>
      <c r="AB1103" s="5">
        <v>3</v>
      </c>
      <c r="AC1103" s="2" t="s">
        <v>392</v>
      </c>
      <c r="AD1103" s="4">
        <v>60</v>
      </c>
      <c r="AE1103" s="4">
        <v>60</v>
      </c>
      <c r="AF1103" s="6">
        <v>63</v>
      </c>
      <c r="AG1103" s="6"/>
      <c r="AH1103" s="7">
        <v>1</v>
      </c>
      <c r="AI1103" s="4"/>
      <c r="AJ1103" s="4">
        <f>=ROUNDDOWN({0},0)</f>
      </c>
      <c r="AK1103" s="5"/>
      <c r="AL1103" s="2" t="s">
        <v>231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>
        <v>8</v>
      </c>
      <c r="BK1103" s="8">
        <v>463.48</v>
      </c>
      <c r="BL1103" s="2" t="s">
        <v>5240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5241</v>
      </c>
      <c r="BV1103" s="2" t="s">
        <v>231</v>
      </c>
      <c r="BW1103" s="2" t="s">
        <v>231</v>
      </c>
      <c r="BX1103" s="2" t="s">
        <v>231</v>
      </c>
      <c r="BY1103" s="2" t="s">
        <v>277</v>
      </c>
      <c r="BZ1103" s="2" t="s">
        <v>243</v>
      </c>
      <c r="CA1103" s="2" t="s">
        <v>2199</v>
      </c>
      <c r="CB1103" s="2" t="s">
        <v>3776</v>
      </c>
      <c r="CC1103" s="2" t="s">
        <v>244</v>
      </c>
      <c r="CD1103" s="2" t="s">
        <v>231</v>
      </c>
      <c r="CE1103" s="4"/>
      <c r="CF1103" s="4">
        <v>18</v>
      </c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>
        <v>60</v>
      </c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</row>
    <row r="1104">
      <c r="A1104" s="2" t="s">
        <v>5242</v>
      </c>
      <c r="B1104" s="2" t="s">
        <v>1186</v>
      </c>
      <c r="C1104" s="2" t="s">
        <v>288</v>
      </c>
      <c r="D1104" s="2" t="s">
        <v>826</v>
      </c>
      <c r="E1104" s="2" t="s">
        <v>1060</v>
      </c>
      <c r="F1104" s="2" t="s">
        <v>5243</v>
      </c>
      <c r="G1104" s="2" t="s">
        <v>5244</v>
      </c>
      <c r="H1104" s="2" t="s">
        <v>5245</v>
      </c>
      <c r="I1104" s="2" t="s">
        <v>5246</v>
      </c>
      <c r="J1104" s="2" t="s">
        <v>658</v>
      </c>
      <c r="K1104" s="2" t="s">
        <v>234</v>
      </c>
      <c r="L1104" s="3">
        <v>33.33</v>
      </c>
      <c r="M1104" s="3">
        <v>35</v>
      </c>
      <c r="N1104" s="3">
        <v>69.99</v>
      </c>
      <c r="O1104" s="2" t="s">
        <v>243</v>
      </c>
      <c r="P1104" s="2" t="s">
        <v>341</v>
      </c>
      <c r="Q1104" s="2" t="s">
        <v>237</v>
      </c>
      <c r="R1104" s="2" t="s">
        <v>231</v>
      </c>
      <c r="S1104" s="2" t="s">
        <v>5247</v>
      </c>
      <c r="T1104" s="2" t="s">
        <v>472</v>
      </c>
      <c r="U1104" s="2" t="s">
        <v>835</v>
      </c>
      <c r="V1104" s="2" t="s">
        <v>391</v>
      </c>
      <c r="W1104" s="2" t="s">
        <v>1745</v>
      </c>
      <c r="X1104" s="2" t="s">
        <v>273</v>
      </c>
      <c r="Y1104" s="2" t="s">
        <v>5248</v>
      </c>
      <c r="Z1104" s="4">
        <v>153</v>
      </c>
      <c r="AA1104" s="4">
        <f>=ROUNDDOWN(51,0)</f>
      </c>
      <c r="AB1104" s="5">
        <v>3</v>
      </c>
      <c r="AC1104" s="2" t="s">
        <v>231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231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231</v>
      </c>
      <c r="AW1104" s="8" t="s">
        <v>231</v>
      </c>
      <c r="AX1104" s="4" t="s">
        <v>231</v>
      </c>
      <c r="AY1104" s="8" t="s">
        <v>231</v>
      </c>
      <c r="AZ1104" s="7" t="s">
        <v>231</v>
      </c>
      <c r="BA1104" s="7" t="s">
        <v>231</v>
      </c>
      <c r="BB1104" s="7"/>
      <c r="BC1104" s="4" t="s">
        <v>231</v>
      </c>
      <c r="BD1104" s="8" t="s">
        <v>231</v>
      </c>
      <c r="BE1104" s="4" t="s">
        <v>231</v>
      </c>
      <c r="BF1104" s="8" t="s">
        <v>231</v>
      </c>
      <c r="BG1104" s="7" t="s">
        <v>231</v>
      </c>
      <c r="BH1104" s="7" t="s">
        <v>231</v>
      </c>
      <c r="BI1104" s="7"/>
      <c r="BJ1104" s="4">
        <v>15</v>
      </c>
      <c r="BK1104" s="8">
        <v>346.5</v>
      </c>
      <c r="BL1104" s="2" t="s">
        <v>399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5249</v>
      </c>
      <c r="BV1104" s="2" t="s">
        <v>231</v>
      </c>
      <c r="BW1104" s="2" t="s">
        <v>231</v>
      </c>
      <c r="BX1104" s="2" t="s">
        <v>231</v>
      </c>
      <c r="BY1104" s="2" t="s">
        <v>277</v>
      </c>
      <c r="BZ1104" s="2" t="s">
        <v>243</v>
      </c>
      <c r="CA1104" s="2" t="s">
        <v>1697</v>
      </c>
      <c r="CB1104" s="2" t="s">
        <v>1583</v>
      </c>
      <c r="CC1104" s="2" t="s">
        <v>244</v>
      </c>
      <c r="CD1104" s="2" t="s">
        <v>231</v>
      </c>
      <c r="CE1104" s="4">
        <v>153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</row>
    <row r="1105">
      <c r="A1105" s="2" t="s">
        <v>5250</v>
      </c>
      <c r="B1105" s="2" t="s">
        <v>1186</v>
      </c>
      <c r="C1105" s="2" t="s">
        <v>288</v>
      </c>
      <c r="D1105" s="2" t="s">
        <v>654</v>
      </c>
      <c r="E1105" s="2" t="s">
        <v>655</v>
      </c>
      <c r="F1105" s="2" t="s">
        <v>5243</v>
      </c>
      <c r="G1105" s="2" t="s">
        <v>5244</v>
      </c>
      <c r="H1105" s="2" t="s">
        <v>5245</v>
      </c>
      <c r="I1105" s="2" t="s">
        <v>5251</v>
      </c>
      <c r="J1105" s="2" t="s">
        <v>669</v>
      </c>
      <c r="K1105" s="2" t="s">
        <v>234</v>
      </c>
      <c r="L1105" s="3">
        <v>66.66</v>
      </c>
      <c r="M1105" s="3">
        <v>69.99</v>
      </c>
      <c r="N1105" s="3">
        <v>139.99</v>
      </c>
      <c r="O1105" s="2" t="s">
        <v>243</v>
      </c>
      <c r="P1105" s="2" t="s">
        <v>341</v>
      </c>
      <c r="Q1105" s="2" t="s">
        <v>237</v>
      </c>
      <c r="R1105" s="2" t="s">
        <v>231</v>
      </c>
      <c r="S1105" s="2" t="s">
        <v>5252</v>
      </c>
      <c r="T1105" s="2" t="s">
        <v>472</v>
      </c>
      <c r="U1105" s="2" t="s">
        <v>661</v>
      </c>
      <c r="V1105" s="2" t="s">
        <v>391</v>
      </c>
      <c r="W1105" s="2" t="s">
        <v>1745</v>
      </c>
      <c r="X1105" s="2" t="s">
        <v>273</v>
      </c>
      <c r="Y1105" s="2" t="s">
        <v>5248</v>
      </c>
      <c r="Z1105" s="4">
        <v>357</v>
      </c>
      <c r="AA1105" s="4">
        <f>=ROUNDDOWN(119,0)</f>
      </c>
      <c r="AB1105" s="5">
        <v>3</v>
      </c>
      <c r="AC1105" s="2" t="s">
        <v>231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231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231</v>
      </c>
      <c r="AW1105" s="8" t="s">
        <v>231</v>
      </c>
      <c r="AX1105" s="4" t="s">
        <v>231</v>
      </c>
      <c r="AY1105" s="8" t="s">
        <v>231</v>
      </c>
      <c r="AZ1105" s="7" t="s">
        <v>231</v>
      </c>
      <c r="BA1105" s="7" t="s">
        <v>231</v>
      </c>
      <c r="BB1105" s="7" t="s">
        <v>231</v>
      </c>
      <c r="BC1105" s="4" t="s">
        <v>231</v>
      </c>
      <c r="BD1105" s="8" t="s">
        <v>231</v>
      </c>
      <c r="BE1105" s="4" t="s">
        <v>231</v>
      </c>
      <c r="BF1105" s="8" t="s">
        <v>231</v>
      </c>
      <c r="BG1105" s="7" t="s">
        <v>231</v>
      </c>
      <c r="BH1105" s="7" t="s">
        <v>231</v>
      </c>
      <c r="BI1105" s="7"/>
      <c r="BJ1105" s="4">
        <v>11</v>
      </c>
      <c r="BK1105" s="8">
        <v>610.18</v>
      </c>
      <c r="BL1105" s="2" t="s">
        <v>5253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5254</v>
      </c>
      <c r="BV1105" s="2" t="s">
        <v>231</v>
      </c>
      <c r="BW1105" s="2" t="s">
        <v>231</v>
      </c>
      <c r="BX1105" s="2" t="s">
        <v>231</v>
      </c>
      <c r="BY1105" s="2" t="s">
        <v>277</v>
      </c>
      <c r="BZ1105" s="2" t="s">
        <v>243</v>
      </c>
      <c r="CA1105" s="2" t="s">
        <v>1697</v>
      </c>
      <c r="CB1105" s="2" t="s">
        <v>5255</v>
      </c>
      <c r="CC1105" s="2" t="s">
        <v>244</v>
      </c>
      <c r="CD1105" s="2" t="s">
        <v>231</v>
      </c>
      <c r="CE1105" s="4">
        <v>357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</row>
    <row r="1106">
      <c r="A1106" s="2" t="s">
        <v>5256</v>
      </c>
      <c r="B1106" s="2" t="s">
        <v>1186</v>
      </c>
      <c r="C1106" s="2" t="s">
        <v>288</v>
      </c>
      <c r="D1106" s="2" t="s">
        <v>826</v>
      </c>
      <c r="E1106" s="2" t="s">
        <v>1060</v>
      </c>
      <c r="F1106" s="2" t="s">
        <v>5243</v>
      </c>
      <c r="G1106" s="2" t="s">
        <v>5244</v>
      </c>
      <c r="H1106" s="2" t="s">
        <v>5245</v>
      </c>
      <c r="I1106" s="2" t="s">
        <v>5246</v>
      </c>
      <c r="J1106" s="2" t="s">
        <v>669</v>
      </c>
      <c r="K1106" s="2" t="s">
        <v>234</v>
      </c>
      <c r="L1106" s="3">
        <v>38.09</v>
      </c>
      <c r="M1106" s="3">
        <v>39.99</v>
      </c>
      <c r="N1106" s="3">
        <v>79.99</v>
      </c>
      <c r="O1106" s="2" t="s">
        <v>243</v>
      </c>
      <c r="P1106" s="2" t="s">
        <v>341</v>
      </c>
      <c r="Q1106" s="2" t="s">
        <v>237</v>
      </c>
      <c r="R1106" s="2" t="s">
        <v>231</v>
      </c>
      <c r="S1106" s="2" t="s">
        <v>5247</v>
      </c>
      <c r="T1106" s="2" t="s">
        <v>472</v>
      </c>
      <c r="U1106" s="2" t="s">
        <v>835</v>
      </c>
      <c r="V1106" s="2" t="s">
        <v>391</v>
      </c>
      <c r="W1106" s="2" t="s">
        <v>1745</v>
      </c>
      <c r="X1106" s="2" t="s">
        <v>273</v>
      </c>
      <c r="Y1106" s="2" t="s">
        <v>5248</v>
      </c>
      <c r="Z1106" s="4">
        <v>132</v>
      </c>
      <c r="AA1106" s="4">
        <f>=ROUNDDOWN(33,0)</f>
      </c>
      <c r="AB1106" s="5">
        <v>4</v>
      </c>
      <c r="AC1106" s="2" t="s">
        <v>231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231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231</v>
      </c>
      <c r="AW1106" s="8" t="s">
        <v>231</v>
      </c>
      <c r="AX1106" s="4" t="s">
        <v>231</v>
      </c>
      <c r="AY1106" s="8" t="s">
        <v>231</v>
      </c>
      <c r="AZ1106" s="7" t="s">
        <v>231</v>
      </c>
      <c r="BA1106" s="7" t="s">
        <v>231</v>
      </c>
      <c r="BB1106" s="7" t="s">
        <v>231</v>
      </c>
      <c r="BC1106" s="4" t="s">
        <v>231</v>
      </c>
      <c r="BD1106" s="8" t="s">
        <v>231</v>
      </c>
      <c r="BE1106" s="4" t="s">
        <v>231</v>
      </c>
      <c r="BF1106" s="8" t="s">
        <v>231</v>
      </c>
      <c r="BG1106" s="7" t="s">
        <v>231</v>
      </c>
      <c r="BH1106" s="7" t="s">
        <v>231</v>
      </c>
      <c r="BI1106" s="7"/>
      <c r="BJ1106" s="4">
        <v>9</v>
      </c>
      <c r="BK1106" s="8">
        <v>217.59</v>
      </c>
      <c r="BL1106" s="2" t="s">
        <v>399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5257</v>
      </c>
      <c r="BV1106" s="2" t="s">
        <v>231</v>
      </c>
      <c r="BW1106" s="2" t="s">
        <v>231</v>
      </c>
      <c r="BX1106" s="2" t="s">
        <v>231</v>
      </c>
      <c r="BY1106" s="2" t="s">
        <v>277</v>
      </c>
      <c r="BZ1106" s="2" t="s">
        <v>243</v>
      </c>
      <c r="CA1106" s="2" t="s">
        <v>1697</v>
      </c>
      <c r="CB1106" s="2" t="s">
        <v>2664</v>
      </c>
      <c r="CC1106" s="2" t="s">
        <v>244</v>
      </c>
      <c r="CD1106" s="2" t="s">
        <v>231</v>
      </c>
      <c r="CE1106" s="4">
        <v>132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</row>
    <row r="1107">
      <c r="A1107" s="2" t="s">
        <v>5258</v>
      </c>
      <c r="B1107" s="2" t="s">
        <v>801</v>
      </c>
      <c r="C1107" s="2" t="s">
        <v>1105</v>
      </c>
      <c r="D1107" s="2" t="s">
        <v>1114</v>
      </c>
      <c r="E1107" s="2" t="s">
        <v>1115</v>
      </c>
      <c r="F1107" s="2" t="s">
        <v>5259</v>
      </c>
      <c r="G1107" s="2" t="s">
        <v>5259</v>
      </c>
      <c r="H1107" s="2" t="s">
        <v>5259</v>
      </c>
      <c r="I1107" s="2" t="s">
        <v>5260</v>
      </c>
      <c r="J1107" s="2" t="s">
        <v>807</v>
      </c>
      <c r="K1107" s="2" t="s">
        <v>5261</v>
      </c>
      <c r="L1107" s="3">
        <v>28.87</v>
      </c>
      <c r="M1107" s="3">
        <v>30.31</v>
      </c>
      <c r="N1107" s="3">
        <v>64.99</v>
      </c>
      <c r="O1107" s="2" t="s">
        <v>243</v>
      </c>
      <c r="P1107" s="2" t="s">
        <v>871</v>
      </c>
      <c r="Q1107" s="2" t="s">
        <v>237</v>
      </c>
      <c r="R1107" s="2" t="s">
        <v>231</v>
      </c>
      <c r="S1107" s="2" t="s">
        <v>231</v>
      </c>
      <c r="T1107" s="2" t="s">
        <v>231</v>
      </c>
      <c r="U1107" s="2" t="s">
        <v>327</v>
      </c>
      <c r="V1107" s="2" t="s">
        <v>239</v>
      </c>
      <c r="W1107" s="2" t="s">
        <v>273</v>
      </c>
      <c r="X1107" s="2" t="s">
        <v>231</v>
      </c>
      <c r="Y1107" s="2" t="s">
        <v>1346</v>
      </c>
      <c r="Z1107" s="4">
        <v>180</v>
      </c>
      <c r="AA1107" s="4">
        <f>=ROUNDDOWN(25.7142857142857,0)</f>
      </c>
      <c r="AB1107" s="5">
        <v>7</v>
      </c>
      <c r="AC1107" s="2" t="s">
        <v>1537</v>
      </c>
      <c r="AD1107" s="4">
        <v>100</v>
      </c>
      <c r="AE1107" s="4">
        <v>100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231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>
        <v>22</v>
      </c>
      <c r="BK1107" s="8">
        <v>688.71</v>
      </c>
      <c r="BL1107" s="2" t="s">
        <v>5262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5263</v>
      </c>
      <c r="BV1107" s="2" t="s">
        <v>231</v>
      </c>
      <c r="BW1107" s="2" t="s">
        <v>231</v>
      </c>
      <c r="BX1107" s="2" t="s">
        <v>231</v>
      </c>
      <c r="BY1107" s="2" t="s">
        <v>277</v>
      </c>
      <c r="BZ1107" s="2" t="s">
        <v>243</v>
      </c>
      <c r="CA1107" s="2" t="s">
        <v>5264</v>
      </c>
      <c r="CB1107" s="2" t="s">
        <v>5265</v>
      </c>
      <c r="CC1107" s="2" t="s">
        <v>244</v>
      </c>
      <c r="CD1107" s="2" t="s">
        <v>231</v>
      </c>
      <c r="CE1107" s="4">
        <v>1</v>
      </c>
      <c r="CF1107" s="4">
        <v>179</v>
      </c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>
        <v>100</v>
      </c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</row>
    <row r="1108">
      <c r="A1108" s="2" t="s">
        <v>5266</v>
      </c>
      <c r="B1108" s="2" t="s">
        <v>1004</v>
      </c>
      <c r="C1108" s="2" t="s">
        <v>288</v>
      </c>
      <c r="D1108" s="2" t="s">
        <v>2130</v>
      </c>
      <c r="E1108" s="2" t="s">
        <v>4355</v>
      </c>
      <c r="F1108" s="2" t="s">
        <v>5267</v>
      </c>
      <c r="G1108" s="2" t="s">
        <v>5268</v>
      </c>
      <c r="H1108" s="2" t="s">
        <v>5269</v>
      </c>
      <c r="I1108" s="2" t="s">
        <v>5270</v>
      </c>
      <c r="J1108" s="2" t="s">
        <v>807</v>
      </c>
      <c r="K1108" s="2" t="s">
        <v>2269</v>
      </c>
      <c r="L1108" s="3">
        <v>234</v>
      </c>
      <c r="M1108" s="3">
        <v>245.7</v>
      </c>
      <c r="N1108" s="3">
        <v>499</v>
      </c>
      <c r="O1108" s="2" t="s">
        <v>243</v>
      </c>
      <c r="P1108" s="2" t="s">
        <v>871</v>
      </c>
      <c r="Q1108" s="2" t="s">
        <v>237</v>
      </c>
      <c r="R1108" s="2" t="s">
        <v>231</v>
      </c>
      <c r="S1108" s="2" t="s">
        <v>5271</v>
      </c>
      <c r="T1108" s="2" t="s">
        <v>231</v>
      </c>
      <c r="U1108" s="2" t="s">
        <v>327</v>
      </c>
      <c r="V1108" s="2" t="s">
        <v>239</v>
      </c>
      <c r="W1108" s="2" t="s">
        <v>808</v>
      </c>
      <c r="X1108" s="2" t="s">
        <v>231</v>
      </c>
      <c r="Y1108" s="2" t="s">
        <v>274</v>
      </c>
      <c r="Z1108" s="4">
        <v>67</v>
      </c>
      <c r="AA1108" s="4">
        <f>=ROUNDDOWN(4.92647058823529,0)</f>
      </c>
      <c r="AB1108" s="5">
        <v>13.6</v>
      </c>
      <c r="AC1108" s="2" t="s">
        <v>1754</v>
      </c>
      <c r="AD1108" s="4">
        <v>144</v>
      </c>
      <c r="AE1108" s="4">
        <v>144</v>
      </c>
      <c r="AF1108" s="6">
        <v>66</v>
      </c>
      <c r="AG1108" s="6">
        <v>49</v>
      </c>
      <c r="AH1108" s="7">
        <v>1</v>
      </c>
      <c r="AI1108" s="4"/>
      <c r="AJ1108" s="4">
        <f>=ROUNDDOWN({0},0)</f>
      </c>
      <c r="AK1108" s="5"/>
      <c r="AL1108" s="2" t="s">
        <v>231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/>
      <c r="BD1108" s="8"/>
      <c r="BE1108" s="4"/>
      <c r="BF1108" s="8"/>
      <c r="BG1108" s="7"/>
      <c r="BH1108" s="7"/>
      <c r="BI1108" s="7"/>
      <c r="BJ1108" s="4">
        <v>65</v>
      </c>
      <c r="BK1108" s="8">
        <v>14428.95</v>
      </c>
      <c r="BL1108" s="2" t="s">
        <v>5272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5273</v>
      </c>
      <c r="BV1108" s="2" t="s">
        <v>231</v>
      </c>
      <c r="BW1108" s="2" t="s">
        <v>231</v>
      </c>
      <c r="BX1108" s="2" t="s">
        <v>231</v>
      </c>
      <c r="BY1108" s="2" t="s">
        <v>277</v>
      </c>
      <c r="BZ1108" s="2" t="s">
        <v>243</v>
      </c>
      <c r="CA1108" s="2" t="s">
        <v>5274</v>
      </c>
      <c r="CB1108" s="2" t="s">
        <v>2180</v>
      </c>
      <c r="CC1108" s="2" t="s">
        <v>244</v>
      </c>
      <c r="CD1108" s="2" t="s">
        <v>231</v>
      </c>
      <c r="CE1108" s="4"/>
      <c r="CF1108" s="4">
        <v>67</v>
      </c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>
        <v>144</v>
      </c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</row>
    <row r="1109">
      <c r="A1109" s="2" t="s">
        <v>5275</v>
      </c>
      <c r="B1109" s="2" t="s">
        <v>226</v>
      </c>
      <c r="C1109" s="2" t="s">
        <v>288</v>
      </c>
      <c r="D1109" s="2" t="s">
        <v>654</v>
      </c>
      <c r="E1109" s="2" t="s">
        <v>890</v>
      </c>
      <c r="F1109" s="2" t="s">
        <v>5276</v>
      </c>
      <c r="G1109" s="2" t="s">
        <v>5277</v>
      </c>
      <c r="H1109" s="2" t="s">
        <v>5277</v>
      </c>
      <c r="I1109" s="2" t="s">
        <v>5278</v>
      </c>
      <c r="J1109" s="2" t="s">
        <v>658</v>
      </c>
      <c r="K1109" s="2" t="s">
        <v>985</v>
      </c>
      <c r="L1109" s="3">
        <v>39.1</v>
      </c>
      <c r="M1109" s="3">
        <v>41.06</v>
      </c>
      <c r="N1109" s="3">
        <v>84.99</v>
      </c>
      <c r="O1109" s="2" t="s">
        <v>243</v>
      </c>
      <c r="P1109" s="2" t="s">
        <v>270</v>
      </c>
      <c r="Q1109" s="2" t="s">
        <v>237</v>
      </c>
      <c r="R1109" s="2" t="s">
        <v>231</v>
      </c>
      <c r="S1109" s="2" t="s">
        <v>5279</v>
      </c>
      <c r="T1109" s="2" t="s">
        <v>895</v>
      </c>
      <c r="U1109" s="2" t="s">
        <v>835</v>
      </c>
      <c r="V1109" s="2" t="s">
        <v>239</v>
      </c>
      <c r="W1109" s="2" t="s">
        <v>299</v>
      </c>
      <c r="X1109" s="2" t="s">
        <v>691</v>
      </c>
      <c r="Y1109" s="2" t="s">
        <v>5280</v>
      </c>
      <c r="Z1109" s="4">
        <v>185</v>
      </c>
      <c r="AA1109" s="4">
        <f>=ROUNDDOWN(16.8181818181818,0)</f>
      </c>
      <c r="AB1109" s="5">
        <v>11</v>
      </c>
      <c r="AC1109" s="2" t="s">
        <v>582</v>
      </c>
      <c r="AD1109" s="4">
        <v>150</v>
      </c>
      <c r="AE1109" s="4">
        <v>310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231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 t="s">
        <v>231</v>
      </c>
      <c r="BD1109" s="8" t="s">
        <v>231</v>
      </c>
      <c r="BE1109" s="4" t="s">
        <v>231</v>
      </c>
      <c r="BF1109" s="8" t="s">
        <v>231</v>
      </c>
      <c r="BG1109" s="7" t="s">
        <v>231</v>
      </c>
      <c r="BH1109" s="7" t="s">
        <v>231</v>
      </c>
      <c r="BI1109" s="7"/>
      <c r="BJ1109" s="4">
        <v>19</v>
      </c>
      <c r="BK1109" s="8">
        <v>778.11</v>
      </c>
      <c r="BL1109" s="2" t="s">
        <v>5281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5282</v>
      </c>
      <c r="BV1109" s="2" t="s">
        <v>231</v>
      </c>
      <c r="BW1109" s="2" t="s">
        <v>231</v>
      </c>
      <c r="BX1109" s="2" t="s">
        <v>231</v>
      </c>
      <c r="BY1109" s="2" t="s">
        <v>277</v>
      </c>
      <c r="BZ1109" s="2" t="s">
        <v>243</v>
      </c>
      <c r="CA1109" s="2" t="s">
        <v>5283</v>
      </c>
      <c r="CB1109" s="2" t="s">
        <v>5284</v>
      </c>
      <c r="CC1109" s="2" t="s">
        <v>244</v>
      </c>
      <c r="CD1109" s="2" t="s">
        <v>231</v>
      </c>
      <c r="CE1109" s="4">
        <v>185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>
        <v>150</v>
      </c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>
        <v>110</v>
      </c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>
        <v>50</v>
      </c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</row>
    <row r="1110">
      <c r="A1110" s="2" t="s">
        <v>5285</v>
      </c>
      <c r="B1110" s="2" t="s">
        <v>226</v>
      </c>
      <c r="C1110" s="2" t="s">
        <v>288</v>
      </c>
      <c r="D1110" s="2" t="s">
        <v>1624</v>
      </c>
      <c r="E1110" s="2" t="s">
        <v>2589</v>
      </c>
      <c r="F1110" s="2" t="s">
        <v>5276</v>
      </c>
      <c r="G1110" s="2" t="s">
        <v>5277</v>
      </c>
      <c r="H1110" s="2" t="s">
        <v>5277</v>
      </c>
      <c r="I1110" s="2" t="s">
        <v>5286</v>
      </c>
      <c r="J1110" s="2" t="s">
        <v>1554</v>
      </c>
      <c r="K1110" s="2" t="s">
        <v>294</v>
      </c>
      <c r="L1110" s="3">
        <v>14.72</v>
      </c>
      <c r="M1110" s="3">
        <v>15.46</v>
      </c>
      <c r="N1110" s="3">
        <v>31.99</v>
      </c>
      <c r="O1110" s="2" t="s">
        <v>243</v>
      </c>
      <c r="P1110" s="2" t="s">
        <v>1281</v>
      </c>
      <c r="Q1110" s="2" t="s">
        <v>237</v>
      </c>
      <c r="R1110" s="2" t="s">
        <v>231</v>
      </c>
      <c r="S1110" s="2" t="s">
        <v>5287</v>
      </c>
      <c r="T1110" s="2" t="s">
        <v>895</v>
      </c>
      <c r="U1110" s="2" t="s">
        <v>327</v>
      </c>
      <c r="V1110" s="2" t="s">
        <v>239</v>
      </c>
      <c r="W1110" s="2" t="s">
        <v>299</v>
      </c>
      <c r="X1110" s="2" t="s">
        <v>231</v>
      </c>
      <c r="Y1110" s="2" t="s">
        <v>274</v>
      </c>
      <c r="Z1110" s="4">
        <v>1270</v>
      </c>
      <c r="AA1110" s="4">
        <f>=ROUNDDOWN(37.3529411764706,0)</f>
      </c>
      <c r="AB1110" s="5">
        <v>34</v>
      </c>
      <c r="AC1110" s="2" t="s">
        <v>1664</v>
      </c>
      <c r="AD1110" s="4">
        <v>1000</v>
      </c>
      <c r="AE1110" s="4">
        <v>1000</v>
      </c>
      <c r="AF1110" s="6">
        <v>64</v>
      </c>
      <c r="AG1110" s="6"/>
      <c r="AH1110" s="7">
        <v>1</v>
      </c>
      <c r="AI1110" s="4"/>
      <c r="AJ1110" s="4">
        <f>=ROUNDDOWN({0},0)</f>
      </c>
      <c r="AK1110" s="5"/>
      <c r="AL1110" s="2" t="s">
        <v>231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231</v>
      </c>
      <c r="BD1110" s="8" t="s">
        <v>231</v>
      </c>
      <c r="BE1110" s="4" t="s">
        <v>231</v>
      </c>
      <c r="BF1110" s="8" t="s">
        <v>231</v>
      </c>
      <c r="BG1110" s="7" t="s">
        <v>231</v>
      </c>
      <c r="BH1110" s="7" t="s">
        <v>231</v>
      </c>
      <c r="BI1110" s="7"/>
      <c r="BJ1110" s="4">
        <v>127</v>
      </c>
      <c r="BK1110" s="8">
        <v>1903.08</v>
      </c>
      <c r="BL1110" s="2" t="s">
        <v>5288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5289</v>
      </c>
      <c r="BV1110" s="2" t="s">
        <v>231</v>
      </c>
      <c r="BW1110" s="2" t="s">
        <v>231</v>
      </c>
      <c r="BX1110" s="2" t="s">
        <v>231</v>
      </c>
      <c r="BY1110" s="2" t="s">
        <v>277</v>
      </c>
      <c r="BZ1110" s="2" t="s">
        <v>243</v>
      </c>
      <c r="CA1110" s="2" t="s">
        <v>284</v>
      </c>
      <c r="CB1110" s="2" t="s">
        <v>467</v>
      </c>
      <c r="CC1110" s="2" t="s">
        <v>244</v>
      </c>
      <c r="CD1110" s="2" t="s">
        <v>231</v>
      </c>
      <c r="CE1110" s="4">
        <v>1270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>
        <v>1000</v>
      </c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</row>
    <row r="1111">
      <c r="A1111" s="2" t="s">
        <v>5290</v>
      </c>
      <c r="B1111" s="2" t="s">
        <v>226</v>
      </c>
      <c r="C1111" s="2" t="s">
        <v>288</v>
      </c>
      <c r="D1111" s="2" t="s">
        <v>1624</v>
      </c>
      <c r="E1111" s="2" t="s">
        <v>2589</v>
      </c>
      <c r="F1111" s="2" t="s">
        <v>5276</v>
      </c>
      <c r="G1111" s="2" t="s">
        <v>5277</v>
      </c>
      <c r="H1111" s="2" t="s">
        <v>5277</v>
      </c>
      <c r="I1111" s="2" t="s">
        <v>5286</v>
      </c>
      <c r="J1111" s="2" t="s">
        <v>1554</v>
      </c>
      <c r="K1111" s="2" t="s">
        <v>269</v>
      </c>
      <c r="L1111" s="3">
        <v>14.72</v>
      </c>
      <c r="M1111" s="3">
        <v>15.46</v>
      </c>
      <c r="N1111" s="3">
        <v>31.99</v>
      </c>
      <c r="O1111" s="2" t="s">
        <v>243</v>
      </c>
      <c r="P1111" s="2" t="s">
        <v>270</v>
      </c>
      <c r="Q1111" s="2" t="s">
        <v>237</v>
      </c>
      <c r="R1111" s="2" t="s">
        <v>231</v>
      </c>
      <c r="S1111" s="2" t="s">
        <v>5279</v>
      </c>
      <c r="T1111" s="2" t="s">
        <v>895</v>
      </c>
      <c r="U1111" s="2" t="s">
        <v>327</v>
      </c>
      <c r="V1111" s="2" t="s">
        <v>239</v>
      </c>
      <c r="W1111" s="2" t="s">
        <v>299</v>
      </c>
      <c r="X1111" s="2" t="s">
        <v>231</v>
      </c>
      <c r="Y1111" s="2" t="s">
        <v>5291</v>
      </c>
      <c r="Z1111" s="4">
        <v>907</v>
      </c>
      <c r="AA1111" s="4">
        <f>=ROUNDDOWN(30.2333333333333,0)</f>
      </c>
      <c r="AB1111" s="5">
        <v>30</v>
      </c>
      <c r="AC1111" s="2" t="s">
        <v>1664</v>
      </c>
      <c r="AD1111" s="4">
        <v>1000</v>
      </c>
      <c r="AE1111" s="4">
        <v>1000</v>
      </c>
      <c r="AF1111" s="6">
        <v>64</v>
      </c>
      <c r="AG1111" s="6"/>
      <c r="AH1111" s="7">
        <v>1</v>
      </c>
      <c r="AI1111" s="4"/>
      <c r="AJ1111" s="4">
        <f>=ROUNDDOWN({0},0)</f>
      </c>
      <c r="AK1111" s="5"/>
      <c r="AL1111" s="2" t="s">
        <v>231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231</v>
      </c>
      <c r="BD1111" s="8" t="s">
        <v>231</v>
      </c>
      <c r="BE1111" s="4" t="s">
        <v>231</v>
      </c>
      <c r="BF1111" s="8" t="s">
        <v>231</v>
      </c>
      <c r="BG1111" s="7" t="s">
        <v>231</v>
      </c>
      <c r="BH1111" s="7" t="s">
        <v>231</v>
      </c>
      <c r="BI1111" s="7"/>
      <c r="BJ1111" s="4">
        <v>129</v>
      </c>
      <c r="BK1111" s="8">
        <v>1936.89</v>
      </c>
      <c r="BL1111" s="2" t="s">
        <v>5292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5293</v>
      </c>
      <c r="BV1111" s="2" t="s">
        <v>231</v>
      </c>
      <c r="BW1111" s="2" t="s">
        <v>231</v>
      </c>
      <c r="BX1111" s="2" t="s">
        <v>231</v>
      </c>
      <c r="BY1111" s="2" t="s">
        <v>277</v>
      </c>
      <c r="BZ1111" s="2" t="s">
        <v>243</v>
      </c>
      <c r="CA1111" s="2" t="s">
        <v>5294</v>
      </c>
      <c r="CB1111" s="2" t="s">
        <v>3578</v>
      </c>
      <c r="CC1111" s="2" t="s">
        <v>244</v>
      </c>
      <c r="CD1111" s="2" t="s">
        <v>231</v>
      </c>
      <c r="CE1111" s="4">
        <v>907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>
        <v>1000</v>
      </c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</row>
    <row r="1112">
      <c r="A1112" s="2" t="s">
        <v>5295</v>
      </c>
      <c r="B1112" s="2" t="s">
        <v>226</v>
      </c>
      <c r="C1112" s="2" t="s">
        <v>288</v>
      </c>
      <c r="D1112" s="2" t="s">
        <v>1624</v>
      </c>
      <c r="E1112" s="2" t="s">
        <v>2589</v>
      </c>
      <c r="F1112" s="2" t="s">
        <v>5276</v>
      </c>
      <c r="G1112" s="2" t="s">
        <v>5277</v>
      </c>
      <c r="H1112" s="2" t="s">
        <v>5277</v>
      </c>
      <c r="I1112" s="2" t="s">
        <v>5286</v>
      </c>
      <c r="J1112" s="2" t="s">
        <v>1554</v>
      </c>
      <c r="K1112" s="2" t="s">
        <v>486</v>
      </c>
      <c r="L1112" s="3">
        <v>14.72</v>
      </c>
      <c r="M1112" s="3">
        <v>15.46</v>
      </c>
      <c r="N1112" s="3">
        <v>31.99</v>
      </c>
      <c r="O1112" s="2" t="s">
        <v>243</v>
      </c>
      <c r="P1112" s="2" t="s">
        <v>270</v>
      </c>
      <c r="Q1112" s="2" t="s">
        <v>237</v>
      </c>
      <c r="R1112" s="2" t="s">
        <v>231</v>
      </c>
      <c r="S1112" s="2" t="s">
        <v>5296</v>
      </c>
      <c r="T1112" s="2" t="s">
        <v>895</v>
      </c>
      <c r="U1112" s="2" t="s">
        <v>327</v>
      </c>
      <c r="V1112" s="2" t="s">
        <v>239</v>
      </c>
      <c r="W1112" s="2" t="s">
        <v>299</v>
      </c>
      <c r="X1112" s="2" t="s">
        <v>231</v>
      </c>
      <c r="Y1112" s="2" t="s">
        <v>5297</v>
      </c>
      <c r="Z1112" s="4">
        <v>558</v>
      </c>
      <c r="AA1112" s="4">
        <f>=ROUNDDOWN(16.4117647058824,0)</f>
      </c>
      <c r="AB1112" s="5">
        <v>34</v>
      </c>
      <c r="AC1112" s="2" t="s">
        <v>406</v>
      </c>
      <c r="AD1112" s="4">
        <v>800</v>
      </c>
      <c r="AE1112" s="4">
        <v>1800</v>
      </c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231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231</v>
      </c>
      <c r="BD1112" s="8" t="s">
        <v>231</v>
      </c>
      <c r="BE1112" s="4" t="s">
        <v>231</v>
      </c>
      <c r="BF1112" s="8" t="s">
        <v>231</v>
      </c>
      <c r="BG1112" s="7" t="s">
        <v>231</v>
      </c>
      <c r="BH1112" s="7" t="s">
        <v>231</v>
      </c>
      <c r="BI1112" s="7"/>
      <c r="BJ1112" s="4">
        <v>134</v>
      </c>
      <c r="BK1112" s="8">
        <v>2001.56</v>
      </c>
      <c r="BL1112" s="2" t="s">
        <v>5298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5299</v>
      </c>
      <c r="BV1112" s="2" t="s">
        <v>231</v>
      </c>
      <c r="BW1112" s="2" t="s">
        <v>231</v>
      </c>
      <c r="BX1112" s="2" t="s">
        <v>231</v>
      </c>
      <c r="BY1112" s="2" t="s">
        <v>277</v>
      </c>
      <c r="BZ1112" s="2" t="s">
        <v>243</v>
      </c>
      <c r="CA1112" s="2" t="s">
        <v>1361</v>
      </c>
      <c r="CB1112" s="2" t="s">
        <v>5300</v>
      </c>
      <c r="CC1112" s="2" t="s">
        <v>244</v>
      </c>
      <c r="CD1112" s="2" t="s">
        <v>231</v>
      </c>
      <c r="CE1112" s="4">
        <v>558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>
        <v>800</v>
      </c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>
        <v>1000</v>
      </c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</row>
    <row r="1113">
      <c r="A1113" s="2" t="s">
        <v>5301</v>
      </c>
      <c r="B1113" s="2" t="s">
        <v>226</v>
      </c>
      <c r="C1113" s="2" t="s">
        <v>288</v>
      </c>
      <c r="D1113" s="2" t="s">
        <v>1139</v>
      </c>
      <c r="E1113" s="2" t="s">
        <v>1140</v>
      </c>
      <c r="F1113" s="2" t="s">
        <v>5276</v>
      </c>
      <c r="G1113" s="2" t="s">
        <v>5277</v>
      </c>
      <c r="H1113" s="2" t="s">
        <v>5277</v>
      </c>
      <c r="I1113" s="2" t="s">
        <v>5302</v>
      </c>
      <c r="J1113" s="2" t="s">
        <v>1145</v>
      </c>
      <c r="K1113" s="2" t="s">
        <v>901</v>
      </c>
      <c r="L1113" s="3">
        <v>14.86</v>
      </c>
      <c r="M1113" s="3">
        <v>15.6</v>
      </c>
      <c r="N1113" s="3">
        <v>34.99</v>
      </c>
      <c r="O1113" s="2" t="s">
        <v>243</v>
      </c>
      <c r="P1113" s="2" t="s">
        <v>1281</v>
      </c>
      <c r="Q1113" s="2" t="s">
        <v>237</v>
      </c>
      <c r="R1113" s="2" t="s">
        <v>231</v>
      </c>
      <c r="S1113" s="2" t="s">
        <v>5303</v>
      </c>
      <c r="T1113" s="2" t="s">
        <v>895</v>
      </c>
      <c r="U1113" s="2" t="s">
        <v>231</v>
      </c>
      <c r="V1113" s="2" t="s">
        <v>239</v>
      </c>
      <c r="W1113" s="2" t="s">
        <v>299</v>
      </c>
      <c r="X1113" s="2" t="s">
        <v>231</v>
      </c>
      <c r="Y1113" s="2" t="s">
        <v>274</v>
      </c>
      <c r="Z1113" s="4">
        <v>789</v>
      </c>
      <c r="AA1113" s="4">
        <f>=ROUNDDOWN(18.7857142857143,0)</f>
      </c>
      <c r="AB1113" s="5">
        <v>42</v>
      </c>
      <c r="AC1113" s="2" t="s">
        <v>2140</v>
      </c>
      <c r="AD1113" s="4">
        <v>1200</v>
      </c>
      <c r="AE1113" s="4">
        <v>1200</v>
      </c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231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231</v>
      </c>
      <c r="AW1113" s="8" t="s">
        <v>231</v>
      </c>
      <c r="AX1113" s="4" t="s">
        <v>231</v>
      </c>
      <c r="AY1113" s="8" t="s">
        <v>231</v>
      </c>
      <c r="AZ1113" s="7" t="s">
        <v>231</v>
      </c>
      <c r="BA1113" s="7" t="s">
        <v>231</v>
      </c>
      <c r="BB1113" s="7"/>
      <c r="BC1113" s="4" t="s">
        <v>231</v>
      </c>
      <c r="BD1113" s="8" t="s">
        <v>231</v>
      </c>
      <c r="BE1113" s="4" t="s">
        <v>231</v>
      </c>
      <c r="BF1113" s="8" t="s">
        <v>231</v>
      </c>
      <c r="BG1113" s="7" t="s">
        <v>231</v>
      </c>
      <c r="BH1113" s="7" t="s">
        <v>231</v>
      </c>
      <c r="BI1113" s="7"/>
      <c r="BJ1113" s="4">
        <v>128</v>
      </c>
      <c r="BK1113" s="8">
        <v>1932.14</v>
      </c>
      <c r="BL1113" s="2" t="s">
        <v>5304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5305</v>
      </c>
      <c r="BV1113" s="2" t="s">
        <v>231</v>
      </c>
      <c r="BW1113" s="2" t="s">
        <v>231</v>
      </c>
      <c r="BX1113" s="2" t="s">
        <v>231</v>
      </c>
      <c r="BY1113" s="2" t="s">
        <v>277</v>
      </c>
      <c r="BZ1113" s="2" t="s">
        <v>243</v>
      </c>
      <c r="CA1113" s="2" t="s">
        <v>284</v>
      </c>
      <c r="CB1113" s="2" t="s">
        <v>5306</v>
      </c>
      <c r="CC1113" s="2" t="s">
        <v>244</v>
      </c>
      <c r="CD1113" s="2" t="s">
        <v>231</v>
      </c>
      <c r="CE1113" s="4">
        <v>629</v>
      </c>
      <c r="CF1113" s="4"/>
      <c r="CG1113" s="4"/>
      <c r="CH1113" s="4"/>
      <c r="CI1113" s="4"/>
      <c r="CJ1113" s="4"/>
      <c r="CK1113" s="4"/>
      <c r="CL1113" s="4">
        <v>160</v>
      </c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>
        <v>1200</v>
      </c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</row>
    <row r="1114">
      <c r="A1114" s="2" t="s">
        <v>5307</v>
      </c>
      <c r="B1114" s="2" t="s">
        <v>226</v>
      </c>
      <c r="C1114" s="2" t="s">
        <v>288</v>
      </c>
      <c r="D1114" s="2" t="s">
        <v>1624</v>
      </c>
      <c r="E1114" s="2" t="s">
        <v>2589</v>
      </c>
      <c r="F1114" s="2" t="s">
        <v>5276</v>
      </c>
      <c r="G1114" s="2" t="s">
        <v>5277</v>
      </c>
      <c r="H1114" s="2" t="s">
        <v>5277</v>
      </c>
      <c r="I1114" s="2" t="s">
        <v>5286</v>
      </c>
      <c r="J1114" s="2" t="s">
        <v>1554</v>
      </c>
      <c r="K1114" s="2" t="s">
        <v>901</v>
      </c>
      <c r="L1114" s="3">
        <v>14.72</v>
      </c>
      <c r="M1114" s="3">
        <v>15.46</v>
      </c>
      <c r="N1114" s="3">
        <v>31.99</v>
      </c>
      <c r="O1114" s="2" t="s">
        <v>243</v>
      </c>
      <c r="P1114" s="2" t="s">
        <v>270</v>
      </c>
      <c r="Q1114" s="2" t="s">
        <v>237</v>
      </c>
      <c r="R1114" s="2" t="s">
        <v>231</v>
      </c>
      <c r="S1114" s="2" t="s">
        <v>5303</v>
      </c>
      <c r="T1114" s="2" t="s">
        <v>895</v>
      </c>
      <c r="U1114" s="2" t="s">
        <v>327</v>
      </c>
      <c r="V1114" s="2" t="s">
        <v>239</v>
      </c>
      <c r="W1114" s="2" t="s">
        <v>299</v>
      </c>
      <c r="X1114" s="2" t="s">
        <v>231</v>
      </c>
      <c r="Y1114" s="2" t="s">
        <v>274</v>
      </c>
      <c r="Z1114" s="4">
        <v>1120</v>
      </c>
      <c r="AA1114" s="4">
        <f>=ROUNDDOWN(48.695652173913,0)</f>
      </c>
      <c r="AB1114" s="5">
        <v>23</v>
      </c>
      <c r="AC1114" s="2" t="s">
        <v>5148</v>
      </c>
      <c r="AD1114" s="4">
        <v>1</v>
      </c>
      <c r="AE1114" s="4">
        <v>401</v>
      </c>
      <c r="AF1114" s="6">
        <v>64</v>
      </c>
      <c r="AG1114" s="6"/>
      <c r="AH1114" s="7">
        <v>1</v>
      </c>
      <c r="AI1114" s="4"/>
      <c r="AJ1114" s="4">
        <f>=ROUNDDOWN({0},0)</f>
      </c>
      <c r="AK1114" s="5"/>
      <c r="AL1114" s="2" t="s">
        <v>231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231</v>
      </c>
      <c r="AW1114" s="8" t="s">
        <v>231</v>
      </c>
      <c r="AX1114" s="4" t="s">
        <v>231</v>
      </c>
      <c r="AY1114" s="8" t="s">
        <v>231</v>
      </c>
      <c r="AZ1114" s="7" t="s">
        <v>231</v>
      </c>
      <c r="BA1114" s="7" t="s">
        <v>231</v>
      </c>
      <c r="BB1114" s="7"/>
      <c r="BC1114" s="4" t="s">
        <v>231</v>
      </c>
      <c r="BD1114" s="8" t="s">
        <v>231</v>
      </c>
      <c r="BE1114" s="4" t="s">
        <v>231</v>
      </c>
      <c r="BF1114" s="8" t="s">
        <v>231</v>
      </c>
      <c r="BG1114" s="7" t="s">
        <v>231</v>
      </c>
      <c r="BH1114" s="7" t="s">
        <v>231</v>
      </c>
      <c r="BI1114" s="7"/>
      <c r="BJ1114" s="4">
        <v>96</v>
      </c>
      <c r="BK1114" s="8">
        <v>1481.12</v>
      </c>
      <c r="BL1114" s="2" t="s">
        <v>5308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5309</v>
      </c>
      <c r="BV1114" s="2" t="s">
        <v>231</v>
      </c>
      <c r="BW1114" s="2" t="s">
        <v>231</v>
      </c>
      <c r="BX1114" s="2" t="s">
        <v>231</v>
      </c>
      <c r="BY1114" s="2" t="s">
        <v>277</v>
      </c>
      <c r="BZ1114" s="2" t="s">
        <v>243</v>
      </c>
      <c r="CA1114" s="2" t="s">
        <v>284</v>
      </c>
      <c r="CB1114" s="2" t="s">
        <v>5310</v>
      </c>
      <c r="CC1114" s="2" t="s">
        <v>244</v>
      </c>
      <c r="CD1114" s="2" t="s">
        <v>231</v>
      </c>
      <c r="CE1114" s="4">
        <v>771</v>
      </c>
      <c r="CF1114" s="4"/>
      <c r="CG1114" s="4"/>
      <c r="CH1114" s="4"/>
      <c r="CI1114" s="4"/>
      <c r="CJ1114" s="4"/>
      <c r="CK1114" s="4"/>
      <c r="CL1114" s="4">
        <v>349</v>
      </c>
      <c r="CM1114" s="4"/>
      <c r="CN1114" s="4"/>
      <c r="CO1114" s="4"/>
      <c r="CP1114" s="4"/>
      <c r="CQ1114" s="4"/>
      <c r="CR1114" s="4"/>
      <c r="CS1114" s="4"/>
      <c r="CT1114" s="4"/>
      <c r="CU1114" s="4">
        <v>1</v>
      </c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>
        <v>400</v>
      </c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</row>
    <row r="1115">
      <c r="A1115" s="2" t="s">
        <v>5311</v>
      </c>
      <c r="B1115" s="2" t="s">
        <v>226</v>
      </c>
      <c r="C1115" s="2" t="s">
        <v>288</v>
      </c>
      <c r="D1115" s="2" t="s">
        <v>1139</v>
      </c>
      <c r="E1115" s="2" t="s">
        <v>1140</v>
      </c>
      <c r="F1115" s="2" t="s">
        <v>5276</v>
      </c>
      <c r="G1115" s="2" t="s">
        <v>5277</v>
      </c>
      <c r="H1115" s="2" t="s">
        <v>5277</v>
      </c>
      <c r="I1115" s="2" t="s">
        <v>5302</v>
      </c>
      <c r="J1115" s="2" t="s">
        <v>1145</v>
      </c>
      <c r="K1115" s="2" t="s">
        <v>253</v>
      </c>
      <c r="L1115" s="3">
        <v>14.86</v>
      </c>
      <c r="M1115" s="3">
        <v>15.6</v>
      </c>
      <c r="N1115" s="3">
        <v>34.99</v>
      </c>
      <c r="O1115" s="2" t="s">
        <v>243</v>
      </c>
      <c r="P1115" s="2" t="s">
        <v>1281</v>
      </c>
      <c r="Q1115" s="2" t="s">
        <v>237</v>
      </c>
      <c r="R1115" s="2" t="s">
        <v>231</v>
      </c>
      <c r="S1115" s="2" t="s">
        <v>5312</v>
      </c>
      <c r="T1115" s="2" t="s">
        <v>895</v>
      </c>
      <c r="U1115" s="2" t="s">
        <v>231</v>
      </c>
      <c r="V1115" s="2" t="s">
        <v>239</v>
      </c>
      <c r="W1115" s="2" t="s">
        <v>299</v>
      </c>
      <c r="X1115" s="2" t="s">
        <v>231</v>
      </c>
      <c r="Y1115" s="2" t="s">
        <v>274</v>
      </c>
      <c r="Z1115" s="4">
        <v>1012</v>
      </c>
      <c r="AA1115" s="4">
        <f>=ROUNDDOWN(44.1921397379913,0)</f>
      </c>
      <c r="AB1115" s="5">
        <v>22.9</v>
      </c>
      <c r="AC1115" s="2" t="s">
        <v>2140</v>
      </c>
      <c r="AD1115" s="4">
        <v>1220</v>
      </c>
      <c r="AE1115" s="4">
        <v>1220</v>
      </c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231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231</v>
      </c>
      <c r="AW1115" s="8" t="s">
        <v>231</v>
      </c>
      <c r="AX1115" s="4" t="s">
        <v>231</v>
      </c>
      <c r="AY1115" s="8" t="s">
        <v>231</v>
      </c>
      <c r="AZ1115" s="7" t="s">
        <v>231</v>
      </c>
      <c r="BA1115" s="7" t="s">
        <v>231</v>
      </c>
      <c r="BB1115" s="7"/>
      <c r="BC1115" s="4" t="s">
        <v>231</v>
      </c>
      <c r="BD1115" s="8" t="s">
        <v>231</v>
      </c>
      <c r="BE1115" s="4" t="s">
        <v>231</v>
      </c>
      <c r="BF1115" s="8" t="s">
        <v>231</v>
      </c>
      <c r="BG1115" s="7" t="s">
        <v>231</v>
      </c>
      <c r="BH1115" s="7" t="s">
        <v>231</v>
      </c>
      <c r="BI1115" s="7"/>
      <c r="BJ1115" s="4">
        <v>175</v>
      </c>
      <c r="BK1115" s="8">
        <v>2631.04</v>
      </c>
      <c r="BL1115" s="2" t="s">
        <v>1474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5313</v>
      </c>
      <c r="BV1115" s="2" t="s">
        <v>231</v>
      </c>
      <c r="BW1115" s="2" t="s">
        <v>231</v>
      </c>
      <c r="BX1115" s="2" t="s">
        <v>231</v>
      </c>
      <c r="BY1115" s="2" t="s">
        <v>277</v>
      </c>
      <c r="BZ1115" s="2" t="s">
        <v>243</v>
      </c>
      <c r="CA1115" s="2" t="s">
        <v>284</v>
      </c>
      <c r="CB1115" s="2" t="s">
        <v>5314</v>
      </c>
      <c r="CC1115" s="2" t="s">
        <v>244</v>
      </c>
      <c r="CD1115" s="2" t="s">
        <v>231</v>
      </c>
      <c r="CE1115" s="4">
        <v>956</v>
      </c>
      <c r="CF1115" s="4"/>
      <c r="CG1115" s="4"/>
      <c r="CH1115" s="4"/>
      <c r="CI1115" s="4"/>
      <c r="CJ1115" s="4"/>
      <c r="CK1115" s="4"/>
      <c r="CL1115" s="4">
        <v>56</v>
      </c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>
        <v>1220</v>
      </c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</row>
    <row r="1116">
      <c r="A1116" s="2" t="s">
        <v>5315</v>
      </c>
      <c r="B1116" s="2" t="s">
        <v>226</v>
      </c>
      <c r="C1116" s="2" t="s">
        <v>288</v>
      </c>
      <c r="D1116" s="2" t="s">
        <v>1624</v>
      </c>
      <c r="E1116" s="2" t="s">
        <v>2589</v>
      </c>
      <c r="F1116" s="2" t="s">
        <v>5276</v>
      </c>
      <c r="G1116" s="2" t="s">
        <v>5277</v>
      </c>
      <c r="H1116" s="2" t="s">
        <v>5277</v>
      </c>
      <c r="I1116" s="2" t="s">
        <v>5286</v>
      </c>
      <c r="J1116" s="2" t="s">
        <v>1554</v>
      </c>
      <c r="K1116" s="2" t="s">
        <v>253</v>
      </c>
      <c r="L1116" s="3">
        <v>14.72</v>
      </c>
      <c r="M1116" s="3">
        <v>15.46</v>
      </c>
      <c r="N1116" s="3">
        <v>31.99</v>
      </c>
      <c r="O1116" s="2" t="s">
        <v>243</v>
      </c>
      <c r="P1116" s="2" t="s">
        <v>270</v>
      </c>
      <c r="Q1116" s="2" t="s">
        <v>237</v>
      </c>
      <c r="R1116" s="2" t="s">
        <v>231</v>
      </c>
      <c r="S1116" s="2" t="s">
        <v>5312</v>
      </c>
      <c r="T1116" s="2" t="s">
        <v>895</v>
      </c>
      <c r="U1116" s="2" t="s">
        <v>327</v>
      </c>
      <c r="V1116" s="2" t="s">
        <v>239</v>
      </c>
      <c r="W1116" s="2" t="s">
        <v>299</v>
      </c>
      <c r="X1116" s="2" t="s">
        <v>231</v>
      </c>
      <c r="Y1116" s="2" t="s">
        <v>274</v>
      </c>
      <c r="Z1116" s="4">
        <v>712</v>
      </c>
      <c r="AA1116" s="4">
        <f>=ROUNDDOWN(22.9677419354839,0)</f>
      </c>
      <c r="AB1116" s="5">
        <v>31</v>
      </c>
      <c r="AC1116" s="2" t="s">
        <v>2140</v>
      </c>
      <c r="AD1116" s="4">
        <v>430</v>
      </c>
      <c r="AE1116" s="4">
        <v>430</v>
      </c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231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231</v>
      </c>
      <c r="AW1116" s="8" t="s">
        <v>231</v>
      </c>
      <c r="AX1116" s="4" t="s">
        <v>231</v>
      </c>
      <c r="AY1116" s="8" t="s">
        <v>231</v>
      </c>
      <c r="AZ1116" s="7" t="s">
        <v>231</v>
      </c>
      <c r="BA1116" s="7" t="s">
        <v>231</v>
      </c>
      <c r="BB1116" s="7"/>
      <c r="BC1116" s="4" t="s">
        <v>231</v>
      </c>
      <c r="BD1116" s="8" t="s">
        <v>231</v>
      </c>
      <c r="BE1116" s="4" t="s">
        <v>231</v>
      </c>
      <c r="BF1116" s="8" t="s">
        <v>231</v>
      </c>
      <c r="BG1116" s="7" t="s">
        <v>231</v>
      </c>
      <c r="BH1116" s="7" t="s">
        <v>231</v>
      </c>
      <c r="BI1116" s="7"/>
      <c r="BJ1116" s="4">
        <v>80</v>
      </c>
      <c r="BK1116" s="8">
        <v>1163.95</v>
      </c>
      <c r="BL1116" s="2" t="s">
        <v>5316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5317</v>
      </c>
      <c r="BV1116" s="2" t="s">
        <v>231</v>
      </c>
      <c r="BW1116" s="2" t="s">
        <v>231</v>
      </c>
      <c r="BX1116" s="2" t="s">
        <v>231</v>
      </c>
      <c r="BY1116" s="2" t="s">
        <v>277</v>
      </c>
      <c r="BZ1116" s="2" t="s">
        <v>243</v>
      </c>
      <c r="CA1116" s="2" t="s">
        <v>284</v>
      </c>
      <c r="CB1116" s="2" t="s">
        <v>5318</v>
      </c>
      <c r="CC1116" s="2" t="s">
        <v>244</v>
      </c>
      <c r="CD1116" s="2" t="s">
        <v>231</v>
      </c>
      <c r="CE1116" s="4">
        <v>412</v>
      </c>
      <c r="CF1116" s="4"/>
      <c r="CG1116" s="4"/>
      <c r="CH1116" s="4"/>
      <c r="CI1116" s="4"/>
      <c r="CJ1116" s="4"/>
      <c r="CK1116" s="4"/>
      <c r="CL1116" s="4">
        <v>300</v>
      </c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>
        <v>430</v>
      </c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</row>
    <row r="1117">
      <c r="A1117" s="2" t="s">
        <v>5319</v>
      </c>
      <c r="B1117" s="2" t="s">
        <v>824</v>
      </c>
      <c r="C1117" s="2" t="s">
        <v>1051</v>
      </c>
      <c r="D1117" s="2" t="s">
        <v>1462</v>
      </c>
      <c r="E1117" s="2" t="s">
        <v>1463</v>
      </c>
      <c r="F1117" s="2" t="s">
        <v>5320</v>
      </c>
      <c r="G1117" s="2" t="s">
        <v>5321</v>
      </c>
      <c r="H1117" s="2" t="s">
        <v>5322</v>
      </c>
      <c r="I1117" s="2" t="s">
        <v>5323</v>
      </c>
      <c r="J1117" s="2" t="s">
        <v>669</v>
      </c>
      <c r="K1117" s="2" t="s">
        <v>234</v>
      </c>
      <c r="L1117" s="3">
        <v>38.09</v>
      </c>
      <c r="M1117" s="3">
        <v>39.99</v>
      </c>
      <c r="N1117" s="3">
        <v>79.99</v>
      </c>
      <c r="O1117" s="2" t="s">
        <v>243</v>
      </c>
      <c r="P1117" s="2" t="s">
        <v>236</v>
      </c>
      <c r="Q1117" s="2" t="s">
        <v>237</v>
      </c>
      <c r="R1117" s="2" t="s">
        <v>231</v>
      </c>
      <c r="S1117" s="2" t="s">
        <v>5324</v>
      </c>
      <c r="T1117" s="2" t="s">
        <v>1432</v>
      </c>
      <c r="U1117" s="2" t="s">
        <v>835</v>
      </c>
      <c r="V1117" s="2" t="s">
        <v>239</v>
      </c>
      <c r="W1117" s="2" t="s">
        <v>273</v>
      </c>
      <c r="X1117" s="2" t="s">
        <v>792</v>
      </c>
      <c r="Y1117" s="2" t="s">
        <v>2637</v>
      </c>
      <c r="Z1117" s="4">
        <v>427</v>
      </c>
      <c r="AA1117" s="4">
        <f>=ROUNDDOWN(610,0)</f>
      </c>
      <c r="AB1117" s="5">
        <v>0.7</v>
      </c>
      <c r="AC1117" s="2" t="s">
        <v>231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231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231</v>
      </c>
      <c r="BD1117" s="8" t="s">
        <v>231</v>
      </c>
      <c r="BE1117" s="4" t="s">
        <v>231</v>
      </c>
      <c r="BF1117" s="8" t="s">
        <v>231</v>
      </c>
      <c r="BG1117" s="7" t="s">
        <v>231</v>
      </c>
      <c r="BH1117" s="7" t="s">
        <v>231</v>
      </c>
      <c r="BI1117" s="7"/>
      <c r="BJ1117" s="4">
        <v>1</v>
      </c>
      <c r="BK1117" s="8">
        <v>43.19</v>
      </c>
      <c r="BL1117" s="2" t="s">
        <v>465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5325</v>
      </c>
      <c r="BV1117" s="2" t="s">
        <v>231</v>
      </c>
      <c r="BW1117" s="2" t="s">
        <v>231</v>
      </c>
      <c r="BX1117" s="2" t="s">
        <v>241</v>
      </c>
      <c r="BY1117" s="2" t="s">
        <v>277</v>
      </c>
      <c r="BZ1117" s="2" t="s">
        <v>243</v>
      </c>
      <c r="CA1117" s="2" t="s">
        <v>3201</v>
      </c>
      <c r="CB1117" s="2" t="s">
        <v>231</v>
      </c>
      <c r="CC1117" s="2" t="s">
        <v>244</v>
      </c>
      <c r="CD1117" s="2" t="s">
        <v>231</v>
      </c>
      <c r="CE1117" s="4">
        <v>427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</row>
    <row r="1118">
      <c r="A1118" s="2" t="s">
        <v>5326</v>
      </c>
      <c r="B1118" s="2" t="s">
        <v>824</v>
      </c>
      <c r="C1118" s="2" t="s">
        <v>1051</v>
      </c>
      <c r="D1118" s="2" t="s">
        <v>1462</v>
      </c>
      <c r="E1118" s="2" t="s">
        <v>1463</v>
      </c>
      <c r="F1118" s="2" t="s">
        <v>5320</v>
      </c>
      <c r="G1118" s="2" t="s">
        <v>5321</v>
      </c>
      <c r="H1118" s="2" t="s">
        <v>5322</v>
      </c>
      <c r="I1118" s="2" t="s">
        <v>5323</v>
      </c>
      <c r="J1118" s="2" t="s">
        <v>658</v>
      </c>
      <c r="K1118" s="2" t="s">
        <v>1496</v>
      </c>
      <c r="L1118" s="3">
        <v>33.33</v>
      </c>
      <c r="M1118" s="3">
        <v>35</v>
      </c>
      <c r="N1118" s="3">
        <v>69.99</v>
      </c>
      <c r="O1118" s="2" t="s">
        <v>243</v>
      </c>
      <c r="P1118" s="2" t="s">
        <v>236</v>
      </c>
      <c r="Q1118" s="2" t="s">
        <v>237</v>
      </c>
      <c r="R1118" s="2" t="s">
        <v>231</v>
      </c>
      <c r="S1118" s="2" t="s">
        <v>5327</v>
      </c>
      <c r="T1118" s="2" t="s">
        <v>1432</v>
      </c>
      <c r="U1118" s="2" t="s">
        <v>835</v>
      </c>
      <c r="V1118" s="2" t="s">
        <v>239</v>
      </c>
      <c r="W1118" s="2" t="s">
        <v>273</v>
      </c>
      <c r="X1118" s="2" t="s">
        <v>792</v>
      </c>
      <c r="Y1118" s="2" t="s">
        <v>2637</v>
      </c>
      <c r="Z1118" s="4">
        <v>329</v>
      </c>
      <c r="AA1118" s="4">
        <f>=ROUNDDOWN(548.333333333333,0)</f>
      </c>
      <c r="AB1118" s="5">
        <v>0.6</v>
      </c>
      <c r="AC1118" s="2" t="s">
        <v>231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231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231</v>
      </c>
      <c r="AW1118" s="8" t="s">
        <v>231</v>
      </c>
      <c r="AX1118" s="4" t="s">
        <v>231</v>
      </c>
      <c r="AY1118" s="8" t="s">
        <v>231</v>
      </c>
      <c r="AZ1118" s="7" t="s">
        <v>231</v>
      </c>
      <c r="BA1118" s="7" t="s">
        <v>231</v>
      </c>
      <c r="BB1118" s="7"/>
      <c r="BC1118" s="4" t="s">
        <v>231</v>
      </c>
      <c r="BD1118" s="8" t="s">
        <v>231</v>
      </c>
      <c r="BE1118" s="4" t="s">
        <v>231</v>
      </c>
      <c r="BF1118" s="8" t="s">
        <v>231</v>
      </c>
      <c r="BG1118" s="7" t="s">
        <v>231</v>
      </c>
      <c r="BH1118" s="7" t="s">
        <v>231</v>
      </c>
      <c r="BI1118" s="7"/>
      <c r="BJ1118" s="4">
        <v>2</v>
      </c>
      <c r="BK1118" s="8">
        <v>75.6</v>
      </c>
      <c r="BL1118" s="2" t="s">
        <v>465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5328</v>
      </c>
      <c r="BV1118" s="2" t="s">
        <v>231</v>
      </c>
      <c r="BW1118" s="2" t="s">
        <v>231</v>
      </c>
      <c r="BX1118" s="2" t="s">
        <v>241</v>
      </c>
      <c r="BY1118" s="2" t="s">
        <v>277</v>
      </c>
      <c r="BZ1118" s="2" t="s">
        <v>243</v>
      </c>
      <c r="CA1118" s="2" t="s">
        <v>3201</v>
      </c>
      <c r="CB1118" s="2" t="s">
        <v>231</v>
      </c>
      <c r="CC1118" s="2" t="s">
        <v>244</v>
      </c>
      <c r="CD1118" s="2" t="s">
        <v>231</v>
      </c>
      <c r="CE1118" s="4">
        <v>329</v>
      </c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</row>
    <row r="1119">
      <c r="A1119" s="2" t="s">
        <v>5329</v>
      </c>
      <c r="B1119" s="2" t="s">
        <v>824</v>
      </c>
      <c r="C1119" s="2" t="s">
        <v>1051</v>
      </c>
      <c r="D1119" s="2" t="s">
        <v>1462</v>
      </c>
      <c r="E1119" s="2" t="s">
        <v>1463</v>
      </c>
      <c r="F1119" s="2" t="s">
        <v>5320</v>
      </c>
      <c r="G1119" s="2" t="s">
        <v>5321</v>
      </c>
      <c r="H1119" s="2" t="s">
        <v>5322</v>
      </c>
      <c r="I1119" s="2" t="s">
        <v>5323</v>
      </c>
      <c r="J1119" s="2" t="s">
        <v>669</v>
      </c>
      <c r="K1119" s="2" t="s">
        <v>1496</v>
      </c>
      <c r="L1119" s="3">
        <v>38.09</v>
      </c>
      <c r="M1119" s="3">
        <v>39.99</v>
      </c>
      <c r="N1119" s="3">
        <v>79.99</v>
      </c>
      <c r="O1119" s="2" t="s">
        <v>243</v>
      </c>
      <c r="P1119" s="2" t="s">
        <v>236</v>
      </c>
      <c r="Q1119" s="2" t="s">
        <v>237</v>
      </c>
      <c r="R1119" s="2" t="s">
        <v>231</v>
      </c>
      <c r="S1119" s="2" t="s">
        <v>5327</v>
      </c>
      <c r="T1119" s="2" t="s">
        <v>1432</v>
      </c>
      <c r="U1119" s="2" t="s">
        <v>835</v>
      </c>
      <c r="V1119" s="2" t="s">
        <v>239</v>
      </c>
      <c r="W1119" s="2" t="s">
        <v>273</v>
      </c>
      <c r="X1119" s="2" t="s">
        <v>792</v>
      </c>
      <c r="Y1119" s="2" t="s">
        <v>2637</v>
      </c>
      <c r="Z1119" s="4">
        <v>420</v>
      </c>
      <c r="AA1119" s="4">
        <f>=ROUNDDOWN(175,0)</f>
      </c>
      <c r="AB1119" s="5">
        <v>2.4</v>
      </c>
      <c r="AC1119" s="2" t="s">
        <v>231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231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231</v>
      </c>
      <c r="AW1119" s="8" t="s">
        <v>231</v>
      </c>
      <c r="AX1119" s="4" t="s">
        <v>231</v>
      </c>
      <c r="AY1119" s="8" t="s">
        <v>231</v>
      </c>
      <c r="AZ1119" s="7" t="s">
        <v>231</v>
      </c>
      <c r="BA1119" s="7" t="s">
        <v>231</v>
      </c>
      <c r="BB1119" s="7"/>
      <c r="BC1119" s="4" t="s">
        <v>231</v>
      </c>
      <c r="BD1119" s="8" t="s">
        <v>231</v>
      </c>
      <c r="BE1119" s="4" t="s">
        <v>231</v>
      </c>
      <c r="BF1119" s="8" t="s">
        <v>231</v>
      </c>
      <c r="BG1119" s="7" t="s">
        <v>231</v>
      </c>
      <c r="BH1119" s="7" t="s">
        <v>231</v>
      </c>
      <c r="BI1119" s="7"/>
      <c r="BJ1119" s="4">
        <v>7</v>
      </c>
      <c r="BK1119" s="8">
        <v>299.13</v>
      </c>
      <c r="BL1119" s="2" t="s">
        <v>322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5330</v>
      </c>
      <c r="BV1119" s="2" t="s">
        <v>231</v>
      </c>
      <c r="BW1119" s="2" t="s">
        <v>231</v>
      </c>
      <c r="BX1119" s="2" t="s">
        <v>241</v>
      </c>
      <c r="BY1119" s="2" t="s">
        <v>277</v>
      </c>
      <c r="BZ1119" s="2" t="s">
        <v>243</v>
      </c>
      <c r="CA1119" s="2" t="s">
        <v>3201</v>
      </c>
      <c r="CB1119" s="2" t="s">
        <v>231</v>
      </c>
      <c r="CC1119" s="2" t="s">
        <v>244</v>
      </c>
      <c r="CD1119" s="2" t="s">
        <v>231</v>
      </c>
      <c r="CE1119" s="4">
        <v>420</v>
      </c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</row>
    <row r="1120">
      <c r="A1120" s="2" t="s">
        <v>5331</v>
      </c>
      <c r="B1120" s="2" t="s">
        <v>3036</v>
      </c>
      <c r="C1120" s="2" t="s">
        <v>1233</v>
      </c>
      <c r="D1120" s="2" t="s">
        <v>3037</v>
      </c>
      <c r="E1120" s="2" t="s">
        <v>3038</v>
      </c>
      <c r="F1120" s="2" t="s">
        <v>5332</v>
      </c>
      <c r="G1120" s="2" t="s">
        <v>5332</v>
      </c>
      <c r="H1120" s="2" t="s">
        <v>5332</v>
      </c>
      <c r="I1120" s="2" t="s">
        <v>5333</v>
      </c>
      <c r="J1120" s="2" t="s">
        <v>5334</v>
      </c>
      <c r="K1120" s="2" t="s">
        <v>294</v>
      </c>
      <c r="L1120" s="3">
        <v>6</v>
      </c>
      <c r="M1120" s="3">
        <v>6.3</v>
      </c>
      <c r="N1120" s="3">
        <v>7.49</v>
      </c>
      <c r="O1120" s="2" t="s">
        <v>250</v>
      </c>
      <c r="P1120" s="2" t="s">
        <v>1019</v>
      </c>
      <c r="Q1120" s="2" t="s">
        <v>237</v>
      </c>
      <c r="R1120" s="2" t="s">
        <v>1020</v>
      </c>
      <c r="S1120" s="2" t="s">
        <v>231</v>
      </c>
      <c r="T1120" s="2" t="s">
        <v>231</v>
      </c>
      <c r="U1120" s="2" t="s">
        <v>231</v>
      </c>
      <c r="V1120" s="2" t="s">
        <v>662</v>
      </c>
      <c r="W1120" s="2" t="s">
        <v>231</v>
      </c>
      <c r="X1120" s="2" t="s">
        <v>231</v>
      </c>
      <c r="Y1120" s="2" t="s">
        <v>5335</v>
      </c>
      <c r="Z1120" s="4">
        <v>108</v>
      </c>
      <c r="AA1120" s="4">
        <f>=ROUNDDOWN(41.5384615384615,0)</f>
      </c>
      <c r="AB1120" s="5">
        <v>2.6</v>
      </c>
      <c r="AC1120" s="2" t="s">
        <v>231</v>
      </c>
      <c r="AD1120" s="4"/>
      <c r="AE1120" s="4"/>
      <c r="AF1120" s="6"/>
      <c r="AG1120" s="6">
        <v>47</v>
      </c>
      <c r="AH1120" s="7">
        <v>1</v>
      </c>
      <c r="AI1120" s="4"/>
      <c r="AJ1120" s="4">
        <f>=ROUNDDOWN({0},0)</f>
      </c>
      <c r="AK1120" s="5"/>
      <c r="AL1120" s="2" t="s">
        <v>231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>
        <v>10</v>
      </c>
      <c r="BK1120" s="8">
        <v>56.6</v>
      </c>
      <c r="BL1120" s="2" t="s">
        <v>2565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5336</v>
      </c>
      <c r="BV1120" s="2" t="s">
        <v>231</v>
      </c>
      <c r="BW1120" s="2" t="s">
        <v>231</v>
      </c>
      <c r="BX1120" s="2" t="s">
        <v>241</v>
      </c>
      <c r="BY1120" s="2" t="s">
        <v>277</v>
      </c>
      <c r="BZ1120" s="2" t="s">
        <v>243</v>
      </c>
      <c r="CA1120" s="2" t="s">
        <v>231</v>
      </c>
      <c r="CB1120" s="2" t="s">
        <v>231</v>
      </c>
      <c r="CC1120" s="2" t="s">
        <v>244</v>
      </c>
      <c r="CD1120" s="2" t="s">
        <v>231</v>
      </c>
      <c r="CE1120" s="4"/>
      <c r="CF1120" s="4">
        <v>108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</row>
    <row r="1121">
      <c r="A1121" s="2" t="s">
        <v>5337</v>
      </c>
      <c r="B1121" s="2" t="s">
        <v>847</v>
      </c>
      <c r="C1121" s="2" t="s">
        <v>653</v>
      </c>
      <c r="D1121" s="2" t="s">
        <v>906</v>
      </c>
      <c r="E1121" s="2" t="s">
        <v>5338</v>
      </c>
      <c r="F1121" s="2" t="s">
        <v>5339</v>
      </c>
      <c r="G1121" s="2" t="s">
        <v>5339</v>
      </c>
      <c r="H1121" s="2" t="s">
        <v>5339</v>
      </c>
      <c r="I1121" s="2" t="s">
        <v>5340</v>
      </c>
      <c r="J1121" s="2" t="s">
        <v>807</v>
      </c>
      <c r="K1121" s="2" t="s">
        <v>698</v>
      </c>
      <c r="L1121" s="3">
        <v>112.71</v>
      </c>
      <c r="M1121" s="3">
        <v>118.35</v>
      </c>
      <c r="N1121" s="3">
        <v>199.74</v>
      </c>
      <c r="O1121" s="2" t="s">
        <v>243</v>
      </c>
      <c r="P1121" s="2" t="s">
        <v>1985</v>
      </c>
      <c r="Q1121" s="2" t="s">
        <v>237</v>
      </c>
      <c r="R1121" s="2" t="s">
        <v>231</v>
      </c>
      <c r="S1121" s="2" t="s">
        <v>5341</v>
      </c>
      <c r="T1121" s="2" t="s">
        <v>231</v>
      </c>
      <c r="U1121" s="2" t="s">
        <v>327</v>
      </c>
      <c r="V1121" s="2" t="s">
        <v>239</v>
      </c>
      <c r="W1121" s="2" t="s">
        <v>691</v>
      </c>
      <c r="X1121" s="2" t="s">
        <v>299</v>
      </c>
      <c r="Y1121" s="2" t="s">
        <v>5342</v>
      </c>
      <c r="Z1121" s="4">
        <v>17</v>
      </c>
      <c r="AA1121" s="4">
        <f>=ROUNDDOWN(7.08333333333333,0)</f>
      </c>
      <c r="AB1121" s="5">
        <v>2.4</v>
      </c>
      <c r="AC1121" s="2" t="s">
        <v>2427</v>
      </c>
      <c r="AD1121" s="4">
        <v>100</v>
      </c>
      <c r="AE1121" s="4">
        <v>100</v>
      </c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231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>
        <v>11</v>
      </c>
      <c r="BK1121" s="8">
        <v>1452.12</v>
      </c>
      <c r="BL1121" s="2" t="s">
        <v>5343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5344</v>
      </c>
      <c r="BV1121" s="2" t="s">
        <v>231</v>
      </c>
      <c r="BW1121" s="2" t="s">
        <v>231</v>
      </c>
      <c r="BX1121" s="2" t="s">
        <v>231</v>
      </c>
      <c r="BY1121" s="2" t="s">
        <v>277</v>
      </c>
      <c r="BZ1121" s="2" t="s">
        <v>243</v>
      </c>
      <c r="CA1121" s="2" t="s">
        <v>5345</v>
      </c>
      <c r="CB1121" s="2" t="s">
        <v>5346</v>
      </c>
      <c r="CC1121" s="2" t="s">
        <v>244</v>
      </c>
      <c r="CD1121" s="2" t="s">
        <v>231</v>
      </c>
      <c r="CE1121" s="4"/>
      <c r="CF1121" s="4">
        <v>17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>
        <v>100</v>
      </c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</row>
    <row r="1122">
      <c r="A1122" s="2" t="s">
        <v>5347</v>
      </c>
      <c r="B1122" s="2" t="s">
        <v>992</v>
      </c>
      <c r="C1122" s="2" t="s">
        <v>288</v>
      </c>
      <c r="D1122" s="2" t="s">
        <v>993</v>
      </c>
      <c r="E1122" s="2" t="s">
        <v>2042</v>
      </c>
      <c r="F1122" s="2" t="s">
        <v>5348</v>
      </c>
      <c r="G1122" s="2" t="s">
        <v>5349</v>
      </c>
      <c r="H1122" s="2" t="s">
        <v>3218</v>
      </c>
      <c r="I1122" s="2" t="s">
        <v>5350</v>
      </c>
      <c r="J1122" s="2" t="s">
        <v>1703</v>
      </c>
      <c r="K1122" s="2" t="s">
        <v>253</v>
      </c>
      <c r="L1122" s="3">
        <v>10.5</v>
      </c>
      <c r="M1122" s="3">
        <v>11.02</v>
      </c>
      <c r="N1122" s="3">
        <v>24.99</v>
      </c>
      <c r="O1122" s="2" t="s">
        <v>243</v>
      </c>
      <c r="P1122" s="2" t="s">
        <v>341</v>
      </c>
      <c r="Q1122" s="2" t="s">
        <v>237</v>
      </c>
      <c r="R1122" s="2" t="s">
        <v>231</v>
      </c>
      <c r="S1122" s="2" t="s">
        <v>5351</v>
      </c>
      <c r="T1122" s="2" t="s">
        <v>231</v>
      </c>
      <c r="U1122" s="2" t="s">
        <v>231</v>
      </c>
      <c r="V1122" s="2" t="s">
        <v>987</v>
      </c>
      <c r="W1122" s="2" t="s">
        <v>691</v>
      </c>
      <c r="X1122" s="2" t="s">
        <v>2042</v>
      </c>
      <c r="Y1122" s="2" t="s">
        <v>274</v>
      </c>
      <c r="Z1122" s="4">
        <v>77</v>
      </c>
      <c r="AA1122" s="4">
        <f>=ROUNDDOWN(19.7435897435897,0)</f>
      </c>
      <c r="AB1122" s="5">
        <v>3.9</v>
      </c>
      <c r="AC1122" s="2" t="s">
        <v>231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231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>
        <v>14</v>
      </c>
      <c r="BK1122" s="8">
        <v>131.05</v>
      </c>
      <c r="BL1122" s="2" t="s">
        <v>5352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5353</v>
      </c>
      <c r="BV1122" s="2" t="s">
        <v>231</v>
      </c>
      <c r="BW1122" s="2" t="s">
        <v>231</v>
      </c>
      <c r="BX1122" s="2" t="s">
        <v>241</v>
      </c>
      <c r="BY1122" s="2" t="s">
        <v>277</v>
      </c>
      <c r="BZ1122" s="2" t="s">
        <v>243</v>
      </c>
      <c r="CA1122" s="2" t="s">
        <v>5354</v>
      </c>
      <c r="CB1122" s="2" t="s">
        <v>5355</v>
      </c>
      <c r="CC1122" s="2" t="s">
        <v>244</v>
      </c>
      <c r="CD1122" s="2" t="s">
        <v>231</v>
      </c>
      <c r="CE1122" s="4">
        <v>77</v>
      </c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</row>
    <row r="1123">
      <c r="A1123" s="2" t="s">
        <v>5356</v>
      </c>
      <c r="B1123" s="2" t="s">
        <v>226</v>
      </c>
      <c r="C1123" s="2" t="s">
        <v>825</v>
      </c>
      <c r="D1123" s="2" t="s">
        <v>654</v>
      </c>
      <c r="E1123" s="2" t="s">
        <v>655</v>
      </c>
      <c r="F1123" s="2" t="s">
        <v>5357</v>
      </c>
      <c r="G1123" s="2" t="s">
        <v>5357</v>
      </c>
      <c r="H1123" s="2" t="s">
        <v>5357</v>
      </c>
      <c r="I1123" s="2" t="s">
        <v>5358</v>
      </c>
      <c r="J1123" s="2" t="s">
        <v>832</v>
      </c>
      <c r="K1123" s="2" t="s">
        <v>486</v>
      </c>
      <c r="L1123" s="3">
        <v>28.99</v>
      </c>
      <c r="M1123" s="3">
        <v>30.44</v>
      </c>
      <c r="N1123" s="3">
        <v>49.99</v>
      </c>
      <c r="O1123" s="2" t="s">
        <v>243</v>
      </c>
      <c r="P1123" s="2" t="s">
        <v>1019</v>
      </c>
      <c r="Q1123" s="2" t="s">
        <v>237</v>
      </c>
      <c r="R1123" s="2" t="s">
        <v>1020</v>
      </c>
      <c r="S1123" s="2" t="s">
        <v>231</v>
      </c>
      <c r="T1123" s="2" t="s">
        <v>1432</v>
      </c>
      <c r="U1123" s="2" t="s">
        <v>791</v>
      </c>
      <c r="V1123" s="2" t="s">
        <v>239</v>
      </c>
      <c r="W1123" s="2" t="s">
        <v>231</v>
      </c>
      <c r="X1123" s="2" t="s">
        <v>231</v>
      </c>
      <c r="Y1123" s="2" t="s">
        <v>5359</v>
      </c>
      <c r="Z1123" s="4">
        <v>284</v>
      </c>
      <c r="AA1123" s="4">
        <f>=ROUNDDOWN({0},0)</f>
      </c>
      <c r="AB1123" s="5"/>
      <c r="AC1123" s="2" t="s">
        <v>231</v>
      </c>
      <c r="AD1123" s="4"/>
      <c r="AE1123" s="4"/>
      <c r="AF1123" s="6">
        <v>64</v>
      </c>
      <c r="AG1123" s="6"/>
      <c r="AH1123" s="7">
        <v>1</v>
      </c>
      <c r="AI1123" s="4"/>
      <c r="AJ1123" s="4">
        <f>=ROUNDDOWN({0},0)</f>
      </c>
      <c r="AK1123" s="5"/>
      <c r="AL1123" s="2" t="s">
        <v>231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231</v>
      </c>
      <c r="AW1123" s="8" t="s">
        <v>231</v>
      </c>
      <c r="AX1123" s="4" t="s">
        <v>231</v>
      </c>
      <c r="AY1123" s="8" t="s">
        <v>231</v>
      </c>
      <c r="AZ1123" s="7" t="s">
        <v>231</v>
      </c>
      <c r="BA1123" s="7" t="s">
        <v>231</v>
      </c>
      <c r="BB1123" s="7"/>
      <c r="BC1123" s="4" t="s">
        <v>231</v>
      </c>
      <c r="BD1123" s="8" t="s">
        <v>231</v>
      </c>
      <c r="BE1123" s="4" t="s">
        <v>231</v>
      </c>
      <c r="BF1123" s="8" t="s">
        <v>231</v>
      </c>
      <c r="BG1123" s="7" t="s">
        <v>231</v>
      </c>
      <c r="BH1123" s="7" t="s">
        <v>231</v>
      </c>
      <c r="BI1123" s="7"/>
      <c r="BJ1123" s="4"/>
      <c r="BK1123" s="8"/>
      <c r="BL1123" s="2" t="s">
        <v>231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5360</v>
      </c>
      <c r="BV1123" s="2" t="s">
        <v>231</v>
      </c>
      <c r="BW1123" s="2" t="s">
        <v>231</v>
      </c>
      <c r="BX1123" s="2" t="s">
        <v>241</v>
      </c>
      <c r="BY1123" s="2" t="s">
        <v>277</v>
      </c>
      <c r="BZ1123" s="2" t="s">
        <v>243</v>
      </c>
      <c r="CA1123" s="2" t="s">
        <v>793</v>
      </c>
      <c r="CB1123" s="2" t="s">
        <v>231</v>
      </c>
      <c r="CC1123" s="2" t="s">
        <v>244</v>
      </c>
      <c r="CD1123" s="2" t="s">
        <v>231</v>
      </c>
      <c r="CE1123" s="4">
        <v>284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</row>
    <row r="1124">
      <c r="A1124" s="2" t="s">
        <v>5361</v>
      </c>
      <c r="B1124" s="2" t="s">
        <v>226</v>
      </c>
      <c r="C1124" s="2" t="s">
        <v>825</v>
      </c>
      <c r="D1124" s="2" t="s">
        <v>654</v>
      </c>
      <c r="E1124" s="2" t="s">
        <v>655</v>
      </c>
      <c r="F1124" s="2" t="s">
        <v>5357</v>
      </c>
      <c r="G1124" s="2" t="s">
        <v>5357</v>
      </c>
      <c r="H1124" s="2" t="s">
        <v>5357</v>
      </c>
      <c r="I1124" s="2" t="s">
        <v>5358</v>
      </c>
      <c r="J1124" s="2" t="s">
        <v>658</v>
      </c>
      <c r="K1124" s="2" t="s">
        <v>486</v>
      </c>
      <c r="L1124" s="3">
        <v>37.69</v>
      </c>
      <c r="M1124" s="3">
        <v>39.57</v>
      </c>
      <c r="N1124" s="3">
        <v>64.99</v>
      </c>
      <c r="O1124" s="2" t="s">
        <v>243</v>
      </c>
      <c r="P1124" s="2" t="s">
        <v>1019</v>
      </c>
      <c r="Q1124" s="2" t="s">
        <v>237</v>
      </c>
      <c r="R1124" s="2" t="s">
        <v>1020</v>
      </c>
      <c r="S1124" s="2" t="s">
        <v>231</v>
      </c>
      <c r="T1124" s="2" t="s">
        <v>1432</v>
      </c>
      <c r="U1124" s="2" t="s">
        <v>835</v>
      </c>
      <c r="V1124" s="2" t="s">
        <v>239</v>
      </c>
      <c r="W1124" s="2" t="s">
        <v>231</v>
      </c>
      <c r="X1124" s="2" t="s">
        <v>231</v>
      </c>
      <c r="Y1124" s="2" t="s">
        <v>5359</v>
      </c>
      <c r="Z1124" s="4">
        <v>142</v>
      </c>
      <c r="AA1124" s="4">
        <f>=ROUNDDOWN(177.5,0)</f>
      </c>
      <c r="AB1124" s="5">
        <v>0.8</v>
      </c>
      <c r="AC1124" s="2" t="s">
        <v>231</v>
      </c>
      <c r="AD1124" s="4"/>
      <c r="AE1124" s="4"/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231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231</v>
      </c>
      <c r="AW1124" s="8" t="s">
        <v>231</v>
      </c>
      <c r="AX1124" s="4" t="s">
        <v>231</v>
      </c>
      <c r="AY1124" s="8" t="s">
        <v>231</v>
      </c>
      <c r="AZ1124" s="7" t="s">
        <v>231</v>
      </c>
      <c r="BA1124" s="7" t="s">
        <v>231</v>
      </c>
      <c r="BB1124" s="7"/>
      <c r="BC1124" s="4" t="s">
        <v>231</v>
      </c>
      <c r="BD1124" s="8" t="s">
        <v>231</v>
      </c>
      <c r="BE1124" s="4" t="s">
        <v>231</v>
      </c>
      <c r="BF1124" s="8" t="s">
        <v>231</v>
      </c>
      <c r="BG1124" s="7" t="s">
        <v>231</v>
      </c>
      <c r="BH1124" s="7" t="s">
        <v>231</v>
      </c>
      <c r="BI1124" s="7"/>
      <c r="BJ1124" s="4">
        <v>1</v>
      </c>
      <c r="BK1124" s="8">
        <v>24.13</v>
      </c>
      <c r="BL1124" s="2" t="s">
        <v>2565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5362</v>
      </c>
      <c r="BV1124" s="2" t="s">
        <v>231</v>
      </c>
      <c r="BW1124" s="2" t="s">
        <v>231</v>
      </c>
      <c r="BX1124" s="2" t="s">
        <v>241</v>
      </c>
      <c r="BY1124" s="2" t="s">
        <v>277</v>
      </c>
      <c r="BZ1124" s="2" t="s">
        <v>243</v>
      </c>
      <c r="CA1124" s="2" t="s">
        <v>793</v>
      </c>
      <c r="CB1124" s="2" t="s">
        <v>231</v>
      </c>
      <c r="CC1124" s="2" t="s">
        <v>244</v>
      </c>
      <c r="CD1124" s="2" t="s">
        <v>231</v>
      </c>
      <c r="CE1124" s="4">
        <v>142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</row>
    <row r="1125">
      <c r="A1125" s="2" t="s">
        <v>5363</v>
      </c>
      <c r="B1125" s="2" t="s">
        <v>226</v>
      </c>
      <c r="C1125" s="2" t="s">
        <v>825</v>
      </c>
      <c r="D1125" s="2" t="s">
        <v>654</v>
      </c>
      <c r="E1125" s="2" t="s">
        <v>655</v>
      </c>
      <c r="F1125" s="2" t="s">
        <v>5357</v>
      </c>
      <c r="G1125" s="2" t="s">
        <v>5357</v>
      </c>
      <c r="H1125" s="2" t="s">
        <v>5357</v>
      </c>
      <c r="I1125" s="2" t="s">
        <v>5358</v>
      </c>
      <c r="J1125" s="2" t="s">
        <v>669</v>
      </c>
      <c r="K1125" s="2" t="s">
        <v>486</v>
      </c>
      <c r="L1125" s="3">
        <v>43.49</v>
      </c>
      <c r="M1125" s="3">
        <v>45.66</v>
      </c>
      <c r="N1125" s="3">
        <v>74.99</v>
      </c>
      <c r="O1125" s="2" t="s">
        <v>243</v>
      </c>
      <c r="P1125" s="2" t="s">
        <v>1019</v>
      </c>
      <c r="Q1125" s="2" t="s">
        <v>237</v>
      </c>
      <c r="R1125" s="2" t="s">
        <v>1020</v>
      </c>
      <c r="S1125" s="2" t="s">
        <v>231</v>
      </c>
      <c r="T1125" s="2" t="s">
        <v>1432</v>
      </c>
      <c r="U1125" s="2" t="s">
        <v>835</v>
      </c>
      <c r="V1125" s="2" t="s">
        <v>239</v>
      </c>
      <c r="W1125" s="2" t="s">
        <v>231</v>
      </c>
      <c r="X1125" s="2" t="s">
        <v>231</v>
      </c>
      <c r="Y1125" s="2" t="s">
        <v>5359</v>
      </c>
      <c r="Z1125" s="4">
        <v>76</v>
      </c>
      <c r="AA1125" s="4">
        <f>=ROUNDDOWN(95,0)</f>
      </c>
      <c r="AB1125" s="5">
        <v>0.8</v>
      </c>
      <c r="AC1125" s="2" t="s">
        <v>231</v>
      </c>
      <c r="AD1125" s="4"/>
      <c r="AE1125" s="4"/>
      <c r="AF1125" s="6">
        <v>64</v>
      </c>
      <c r="AG1125" s="6"/>
      <c r="AH1125" s="7">
        <v>1</v>
      </c>
      <c r="AI1125" s="4"/>
      <c r="AJ1125" s="4">
        <f>=ROUNDDOWN({0},0)</f>
      </c>
      <c r="AK1125" s="5"/>
      <c r="AL1125" s="2" t="s">
        <v>231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231</v>
      </c>
      <c r="AW1125" s="8" t="s">
        <v>231</v>
      </c>
      <c r="AX1125" s="4" t="s">
        <v>231</v>
      </c>
      <c r="AY1125" s="8" t="s">
        <v>231</v>
      </c>
      <c r="AZ1125" s="7" t="s">
        <v>231</v>
      </c>
      <c r="BA1125" s="7" t="s">
        <v>231</v>
      </c>
      <c r="BB1125" s="7"/>
      <c r="BC1125" s="4" t="s">
        <v>231</v>
      </c>
      <c r="BD1125" s="8" t="s">
        <v>231</v>
      </c>
      <c r="BE1125" s="4" t="s">
        <v>231</v>
      </c>
      <c r="BF1125" s="8" t="s">
        <v>231</v>
      </c>
      <c r="BG1125" s="7" t="s">
        <v>231</v>
      </c>
      <c r="BH1125" s="7" t="s">
        <v>231</v>
      </c>
      <c r="BI1125" s="7"/>
      <c r="BJ1125" s="4">
        <v>1</v>
      </c>
      <c r="BK1125" s="8">
        <v>29.65</v>
      </c>
      <c r="BL1125" s="2" t="s">
        <v>2565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5364</v>
      </c>
      <c r="BV1125" s="2" t="s">
        <v>231</v>
      </c>
      <c r="BW1125" s="2" t="s">
        <v>231</v>
      </c>
      <c r="BX1125" s="2" t="s">
        <v>241</v>
      </c>
      <c r="BY1125" s="2" t="s">
        <v>277</v>
      </c>
      <c r="BZ1125" s="2" t="s">
        <v>243</v>
      </c>
      <c r="CA1125" s="2" t="s">
        <v>793</v>
      </c>
      <c r="CB1125" s="2" t="s">
        <v>231</v>
      </c>
      <c r="CC1125" s="2" t="s">
        <v>244</v>
      </c>
      <c r="CD1125" s="2" t="s">
        <v>231</v>
      </c>
      <c r="CE1125" s="4">
        <v>76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</row>
    <row r="1126">
      <c r="A1126" s="2" t="s">
        <v>5365</v>
      </c>
      <c r="B1126" s="2" t="s">
        <v>226</v>
      </c>
      <c r="C1126" s="2" t="s">
        <v>825</v>
      </c>
      <c r="D1126" s="2" t="s">
        <v>654</v>
      </c>
      <c r="E1126" s="2" t="s">
        <v>655</v>
      </c>
      <c r="F1126" s="2" t="s">
        <v>5357</v>
      </c>
      <c r="G1126" s="2" t="s">
        <v>5357</v>
      </c>
      <c r="H1126" s="2" t="s">
        <v>5357</v>
      </c>
      <c r="I1126" s="2" t="s">
        <v>5358</v>
      </c>
      <c r="J1126" s="2" t="s">
        <v>832</v>
      </c>
      <c r="K1126" s="2" t="s">
        <v>253</v>
      </c>
      <c r="L1126" s="3">
        <v>28.99</v>
      </c>
      <c r="M1126" s="3">
        <v>30.44</v>
      </c>
      <c r="N1126" s="3">
        <v>49.99</v>
      </c>
      <c r="O1126" s="2" t="s">
        <v>243</v>
      </c>
      <c r="P1126" s="2" t="s">
        <v>1019</v>
      </c>
      <c r="Q1126" s="2" t="s">
        <v>237</v>
      </c>
      <c r="R1126" s="2" t="s">
        <v>1020</v>
      </c>
      <c r="S1126" s="2" t="s">
        <v>231</v>
      </c>
      <c r="T1126" s="2" t="s">
        <v>1432</v>
      </c>
      <c r="U1126" s="2" t="s">
        <v>791</v>
      </c>
      <c r="V1126" s="2" t="s">
        <v>239</v>
      </c>
      <c r="W1126" s="2" t="s">
        <v>231</v>
      </c>
      <c r="X1126" s="2" t="s">
        <v>231</v>
      </c>
      <c r="Y1126" s="2" t="s">
        <v>5359</v>
      </c>
      <c r="Z1126" s="4">
        <v>225</v>
      </c>
      <c r="AA1126" s="4">
        <f>=ROUNDDOWN(281.25,0)</f>
      </c>
      <c r="AB1126" s="5">
        <v>0.8</v>
      </c>
      <c r="AC1126" s="2" t="s">
        <v>231</v>
      </c>
      <c r="AD1126" s="4"/>
      <c r="AE1126" s="4"/>
      <c r="AF1126" s="6">
        <v>64</v>
      </c>
      <c r="AG1126" s="6"/>
      <c r="AH1126" s="7">
        <v>1</v>
      </c>
      <c r="AI1126" s="4"/>
      <c r="AJ1126" s="4">
        <f>=ROUNDDOWN({0},0)</f>
      </c>
      <c r="AK1126" s="5"/>
      <c r="AL1126" s="2" t="s">
        <v>231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231</v>
      </c>
      <c r="AW1126" s="8" t="s">
        <v>231</v>
      </c>
      <c r="AX1126" s="4" t="s">
        <v>231</v>
      </c>
      <c r="AY1126" s="8" t="s">
        <v>231</v>
      </c>
      <c r="AZ1126" s="7" t="s">
        <v>231</v>
      </c>
      <c r="BA1126" s="7" t="s">
        <v>231</v>
      </c>
      <c r="BB1126" s="7"/>
      <c r="BC1126" s="4" t="s">
        <v>231</v>
      </c>
      <c r="BD1126" s="8" t="s">
        <v>231</v>
      </c>
      <c r="BE1126" s="4" t="s">
        <v>231</v>
      </c>
      <c r="BF1126" s="8" t="s">
        <v>231</v>
      </c>
      <c r="BG1126" s="7" t="s">
        <v>231</v>
      </c>
      <c r="BH1126" s="7" t="s">
        <v>231</v>
      </c>
      <c r="BI1126" s="7"/>
      <c r="BJ1126" s="4"/>
      <c r="BK1126" s="8"/>
      <c r="BL1126" s="2" t="s">
        <v>231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5366</v>
      </c>
      <c r="BV1126" s="2" t="s">
        <v>231</v>
      </c>
      <c r="BW1126" s="2" t="s">
        <v>231</v>
      </c>
      <c r="BX1126" s="2" t="s">
        <v>241</v>
      </c>
      <c r="BY1126" s="2" t="s">
        <v>277</v>
      </c>
      <c r="BZ1126" s="2" t="s">
        <v>243</v>
      </c>
      <c r="CA1126" s="2" t="s">
        <v>793</v>
      </c>
      <c r="CB1126" s="2" t="s">
        <v>231</v>
      </c>
      <c r="CC1126" s="2" t="s">
        <v>244</v>
      </c>
      <c r="CD1126" s="2" t="s">
        <v>231</v>
      </c>
      <c r="CE1126" s="4">
        <v>225</v>
      </c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</row>
    <row r="1127">
      <c r="A1127" s="2" t="s">
        <v>5367</v>
      </c>
      <c r="B1127" s="2" t="s">
        <v>226</v>
      </c>
      <c r="C1127" s="2" t="s">
        <v>825</v>
      </c>
      <c r="D1127" s="2" t="s">
        <v>654</v>
      </c>
      <c r="E1127" s="2" t="s">
        <v>655</v>
      </c>
      <c r="F1127" s="2" t="s">
        <v>5357</v>
      </c>
      <c r="G1127" s="2" t="s">
        <v>5357</v>
      </c>
      <c r="H1127" s="2" t="s">
        <v>5357</v>
      </c>
      <c r="I1127" s="2" t="s">
        <v>5358</v>
      </c>
      <c r="J1127" s="2" t="s">
        <v>658</v>
      </c>
      <c r="K1127" s="2" t="s">
        <v>253</v>
      </c>
      <c r="L1127" s="3">
        <v>37.69</v>
      </c>
      <c r="M1127" s="3">
        <v>39.57</v>
      </c>
      <c r="N1127" s="3">
        <v>64.99</v>
      </c>
      <c r="O1127" s="2" t="s">
        <v>243</v>
      </c>
      <c r="P1127" s="2" t="s">
        <v>1019</v>
      </c>
      <c r="Q1127" s="2" t="s">
        <v>237</v>
      </c>
      <c r="R1127" s="2" t="s">
        <v>1020</v>
      </c>
      <c r="S1127" s="2" t="s">
        <v>231</v>
      </c>
      <c r="T1127" s="2" t="s">
        <v>1432</v>
      </c>
      <c r="U1127" s="2" t="s">
        <v>835</v>
      </c>
      <c r="V1127" s="2" t="s">
        <v>239</v>
      </c>
      <c r="W1127" s="2" t="s">
        <v>231</v>
      </c>
      <c r="X1127" s="2" t="s">
        <v>231</v>
      </c>
      <c r="Y1127" s="2" t="s">
        <v>5359</v>
      </c>
      <c r="Z1127" s="4">
        <v>158</v>
      </c>
      <c r="AA1127" s="4">
        <f>=ROUNDDOWN({0},0)</f>
      </c>
      <c r="AB1127" s="5"/>
      <c r="AC1127" s="2" t="s">
        <v>231</v>
      </c>
      <c r="AD1127" s="4"/>
      <c r="AE1127" s="4"/>
      <c r="AF1127" s="6">
        <v>64</v>
      </c>
      <c r="AG1127" s="6"/>
      <c r="AH1127" s="7">
        <v>1</v>
      </c>
      <c r="AI1127" s="4"/>
      <c r="AJ1127" s="4">
        <f>=ROUNDDOWN({0},0)</f>
      </c>
      <c r="AK1127" s="5"/>
      <c r="AL1127" s="2" t="s">
        <v>231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231</v>
      </c>
      <c r="AW1127" s="8" t="s">
        <v>231</v>
      </c>
      <c r="AX1127" s="4" t="s">
        <v>231</v>
      </c>
      <c r="AY1127" s="8" t="s">
        <v>231</v>
      </c>
      <c r="AZ1127" s="7" t="s">
        <v>231</v>
      </c>
      <c r="BA1127" s="7" t="s">
        <v>231</v>
      </c>
      <c r="BB1127" s="7"/>
      <c r="BC1127" s="4" t="s">
        <v>231</v>
      </c>
      <c r="BD1127" s="8" t="s">
        <v>231</v>
      </c>
      <c r="BE1127" s="4" t="s">
        <v>231</v>
      </c>
      <c r="BF1127" s="8" t="s">
        <v>231</v>
      </c>
      <c r="BG1127" s="7" t="s">
        <v>231</v>
      </c>
      <c r="BH1127" s="7" t="s">
        <v>231</v>
      </c>
      <c r="BI1127" s="7"/>
      <c r="BJ1127" s="4"/>
      <c r="BK1127" s="8"/>
      <c r="BL1127" s="2" t="s">
        <v>1020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5368</v>
      </c>
      <c r="BV1127" s="2" t="s">
        <v>231</v>
      </c>
      <c r="BW1127" s="2" t="s">
        <v>231</v>
      </c>
      <c r="BX1127" s="2" t="s">
        <v>241</v>
      </c>
      <c r="BY1127" s="2" t="s">
        <v>277</v>
      </c>
      <c r="BZ1127" s="2" t="s">
        <v>243</v>
      </c>
      <c r="CA1127" s="2" t="s">
        <v>793</v>
      </c>
      <c r="CB1127" s="2" t="s">
        <v>231</v>
      </c>
      <c r="CC1127" s="2" t="s">
        <v>244</v>
      </c>
      <c r="CD1127" s="2" t="s">
        <v>231</v>
      </c>
      <c r="CE1127" s="4">
        <v>158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</row>
    <row r="1128">
      <c r="A1128" s="2" t="s">
        <v>5369</v>
      </c>
      <c r="B1128" s="2" t="s">
        <v>226</v>
      </c>
      <c r="C1128" s="2" t="s">
        <v>825</v>
      </c>
      <c r="D1128" s="2" t="s">
        <v>654</v>
      </c>
      <c r="E1128" s="2" t="s">
        <v>655</v>
      </c>
      <c r="F1128" s="2" t="s">
        <v>5357</v>
      </c>
      <c r="G1128" s="2" t="s">
        <v>5357</v>
      </c>
      <c r="H1128" s="2" t="s">
        <v>5357</v>
      </c>
      <c r="I1128" s="2" t="s">
        <v>5358</v>
      </c>
      <c r="J1128" s="2" t="s">
        <v>669</v>
      </c>
      <c r="K1128" s="2" t="s">
        <v>253</v>
      </c>
      <c r="L1128" s="3">
        <v>43.49</v>
      </c>
      <c r="M1128" s="3">
        <v>45.66</v>
      </c>
      <c r="N1128" s="3">
        <v>74.99</v>
      </c>
      <c r="O1128" s="2" t="s">
        <v>243</v>
      </c>
      <c r="P1128" s="2" t="s">
        <v>1019</v>
      </c>
      <c r="Q1128" s="2" t="s">
        <v>237</v>
      </c>
      <c r="R1128" s="2" t="s">
        <v>1020</v>
      </c>
      <c r="S1128" s="2" t="s">
        <v>231</v>
      </c>
      <c r="T1128" s="2" t="s">
        <v>1432</v>
      </c>
      <c r="U1128" s="2" t="s">
        <v>835</v>
      </c>
      <c r="V1128" s="2" t="s">
        <v>239</v>
      </c>
      <c r="W1128" s="2" t="s">
        <v>231</v>
      </c>
      <c r="X1128" s="2" t="s">
        <v>231</v>
      </c>
      <c r="Y1128" s="2" t="s">
        <v>5359</v>
      </c>
      <c r="Z1128" s="4">
        <v>179</v>
      </c>
      <c r="AA1128" s="4">
        <f>=ROUNDDOWN(223.75,0)</f>
      </c>
      <c r="AB1128" s="5">
        <v>0.8</v>
      </c>
      <c r="AC1128" s="2" t="s">
        <v>231</v>
      </c>
      <c r="AD1128" s="4"/>
      <c r="AE1128" s="4"/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231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231</v>
      </c>
      <c r="AW1128" s="8" t="s">
        <v>231</v>
      </c>
      <c r="AX1128" s="4" t="s">
        <v>231</v>
      </c>
      <c r="AY1128" s="8" t="s">
        <v>231</v>
      </c>
      <c r="AZ1128" s="7" t="s">
        <v>231</v>
      </c>
      <c r="BA1128" s="7" t="s">
        <v>231</v>
      </c>
      <c r="BB1128" s="7"/>
      <c r="BC1128" s="4" t="s">
        <v>231</v>
      </c>
      <c r="BD1128" s="8" t="s">
        <v>231</v>
      </c>
      <c r="BE1128" s="4" t="s">
        <v>231</v>
      </c>
      <c r="BF1128" s="8" t="s">
        <v>231</v>
      </c>
      <c r="BG1128" s="7" t="s">
        <v>231</v>
      </c>
      <c r="BH1128" s="7" t="s">
        <v>231</v>
      </c>
      <c r="BI1128" s="7"/>
      <c r="BJ1128" s="4">
        <v>1</v>
      </c>
      <c r="BK1128" s="8">
        <v>65.99</v>
      </c>
      <c r="BL1128" s="2" t="s">
        <v>1028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5370</v>
      </c>
      <c r="BV1128" s="2" t="s">
        <v>231</v>
      </c>
      <c r="BW1128" s="2" t="s">
        <v>231</v>
      </c>
      <c r="BX1128" s="2" t="s">
        <v>241</v>
      </c>
      <c r="BY1128" s="2" t="s">
        <v>277</v>
      </c>
      <c r="BZ1128" s="2" t="s">
        <v>243</v>
      </c>
      <c r="CA1128" s="2" t="s">
        <v>793</v>
      </c>
      <c r="CB1128" s="2" t="s">
        <v>231</v>
      </c>
      <c r="CC1128" s="2" t="s">
        <v>244</v>
      </c>
      <c r="CD1128" s="2" t="s">
        <v>231</v>
      </c>
      <c r="CE1128" s="4">
        <v>179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</row>
    <row r="1129">
      <c r="A1129" s="2" t="s">
        <v>5371</v>
      </c>
      <c r="B1129" s="2" t="s">
        <v>226</v>
      </c>
      <c r="C1129" s="2" t="s">
        <v>825</v>
      </c>
      <c r="D1129" s="2" t="s">
        <v>654</v>
      </c>
      <c r="E1129" s="2" t="s">
        <v>655</v>
      </c>
      <c r="F1129" s="2" t="s">
        <v>5357</v>
      </c>
      <c r="G1129" s="2" t="s">
        <v>5357</v>
      </c>
      <c r="H1129" s="2" t="s">
        <v>5357</v>
      </c>
      <c r="I1129" s="2" t="s">
        <v>5358</v>
      </c>
      <c r="J1129" s="2" t="s">
        <v>669</v>
      </c>
      <c r="K1129" s="2" t="s">
        <v>306</v>
      </c>
      <c r="L1129" s="3">
        <v>43.49</v>
      </c>
      <c r="M1129" s="3">
        <v>45.66</v>
      </c>
      <c r="N1129" s="3">
        <v>74.99</v>
      </c>
      <c r="O1129" s="2" t="s">
        <v>243</v>
      </c>
      <c r="P1129" s="2" t="s">
        <v>1019</v>
      </c>
      <c r="Q1129" s="2" t="s">
        <v>237</v>
      </c>
      <c r="R1129" s="2" t="s">
        <v>1020</v>
      </c>
      <c r="S1129" s="2" t="s">
        <v>231</v>
      </c>
      <c r="T1129" s="2" t="s">
        <v>1432</v>
      </c>
      <c r="U1129" s="2" t="s">
        <v>835</v>
      </c>
      <c r="V1129" s="2" t="s">
        <v>239</v>
      </c>
      <c r="W1129" s="2" t="s">
        <v>231</v>
      </c>
      <c r="X1129" s="2" t="s">
        <v>231</v>
      </c>
      <c r="Y1129" s="2" t="s">
        <v>5372</v>
      </c>
      <c r="Z1129" s="4">
        <v>22</v>
      </c>
      <c r="AA1129" s="4">
        <f>=ROUNDDOWN({0},0)</f>
      </c>
      <c r="AB1129" s="5"/>
      <c r="AC1129" s="2" t="s">
        <v>231</v>
      </c>
      <c r="AD1129" s="4"/>
      <c r="AE1129" s="4"/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231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231</v>
      </c>
      <c r="BD1129" s="8" t="s">
        <v>231</v>
      </c>
      <c r="BE1129" s="4" t="s">
        <v>231</v>
      </c>
      <c r="BF1129" s="8" t="s">
        <v>231</v>
      </c>
      <c r="BG1129" s="7" t="s">
        <v>231</v>
      </c>
      <c r="BH1129" s="7" t="s">
        <v>231</v>
      </c>
      <c r="BI1129" s="7"/>
      <c r="BJ1129" s="4"/>
      <c r="BK1129" s="8"/>
      <c r="BL1129" s="2" t="s">
        <v>1028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5373</v>
      </c>
      <c r="BV1129" s="2" t="s">
        <v>231</v>
      </c>
      <c r="BW1129" s="2" t="s">
        <v>231</v>
      </c>
      <c r="BX1129" s="2" t="s">
        <v>241</v>
      </c>
      <c r="BY1129" s="2" t="s">
        <v>277</v>
      </c>
      <c r="BZ1129" s="2" t="s">
        <v>243</v>
      </c>
      <c r="CA1129" s="2" t="s">
        <v>793</v>
      </c>
      <c r="CB1129" s="2" t="s">
        <v>231</v>
      </c>
      <c r="CC1129" s="2" t="s">
        <v>244</v>
      </c>
      <c r="CD1129" s="2" t="s">
        <v>231</v>
      </c>
      <c r="CE1129" s="4">
        <v>22</v>
      </c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</row>
    <row r="1130">
      <c r="A1130" s="2" t="s">
        <v>5374</v>
      </c>
      <c r="B1130" s="2" t="s">
        <v>226</v>
      </c>
      <c r="C1130" s="2" t="s">
        <v>825</v>
      </c>
      <c r="D1130" s="2" t="s">
        <v>654</v>
      </c>
      <c r="E1130" s="2" t="s">
        <v>655</v>
      </c>
      <c r="F1130" s="2" t="s">
        <v>5357</v>
      </c>
      <c r="G1130" s="2" t="s">
        <v>5357</v>
      </c>
      <c r="H1130" s="2" t="s">
        <v>5357</v>
      </c>
      <c r="I1130" s="2" t="s">
        <v>5358</v>
      </c>
      <c r="J1130" s="2" t="s">
        <v>832</v>
      </c>
      <c r="K1130" s="2" t="s">
        <v>1939</v>
      </c>
      <c r="L1130" s="3">
        <v>28.99</v>
      </c>
      <c r="M1130" s="3">
        <v>30.44</v>
      </c>
      <c r="N1130" s="3">
        <v>49.99</v>
      </c>
      <c r="O1130" s="2" t="s">
        <v>243</v>
      </c>
      <c r="P1130" s="2" t="s">
        <v>1019</v>
      </c>
      <c r="Q1130" s="2" t="s">
        <v>237</v>
      </c>
      <c r="R1130" s="2" t="s">
        <v>1020</v>
      </c>
      <c r="S1130" s="2" t="s">
        <v>231</v>
      </c>
      <c r="T1130" s="2" t="s">
        <v>231</v>
      </c>
      <c r="U1130" s="2" t="s">
        <v>791</v>
      </c>
      <c r="V1130" s="2" t="s">
        <v>239</v>
      </c>
      <c r="W1130" s="2" t="s">
        <v>231</v>
      </c>
      <c r="X1130" s="2" t="s">
        <v>231</v>
      </c>
      <c r="Y1130" s="2" t="s">
        <v>5375</v>
      </c>
      <c r="Z1130" s="4">
        <v>48</v>
      </c>
      <c r="AA1130" s="4">
        <f>=ROUNDDOWN(60,0)</f>
      </c>
      <c r="AB1130" s="5">
        <v>0.8</v>
      </c>
      <c r="AC1130" s="2" t="s">
        <v>231</v>
      </c>
      <c r="AD1130" s="4"/>
      <c r="AE1130" s="4"/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231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231</v>
      </c>
      <c r="AW1130" s="8" t="s">
        <v>231</v>
      </c>
      <c r="AX1130" s="4" t="s">
        <v>231</v>
      </c>
      <c r="AY1130" s="8" t="s">
        <v>231</v>
      </c>
      <c r="AZ1130" s="7" t="s">
        <v>231</v>
      </c>
      <c r="BA1130" s="7" t="s">
        <v>231</v>
      </c>
      <c r="BB1130" s="7"/>
      <c r="BC1130" s="4" t="s">
        <v>231</v>
      </c>
      <c r="BD1130" s="8" t="s">
        <v>231</v>
      </c>
      <c r="BE1130" s="4" t="s">
        <v>231</v>
      </c>
      <c r="BF1130" s="8" t="s">
        <v>231</v>
      </c>
      <c r="BG1130" s="7" t="s">
        <v>231</v>
      </c>
      <c r="BH1130" s="7" t="s">
        <v>231</v>
      </c>
      <c r="BI1130" s="7"/>
      <c r="BJ1130" s="4">
        <v>1</v>
      </c>
      <c r="BK1130" s="8">
        <v>17.23</v>
      </c>
      <c r="BL1130" s="2" t="s">
        <v>2565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5376</v>
      </c>
      <c r="BV1130" s="2" t="s">
        <v>231</v>
      </c>
      <c r="BW1130" s="2" t="s">
        <v>231</v>
      </c>
      <c r="BX1130" s="2" t="s">
        <v>241</v>
      </c>
      <c r="BY1130" s="2" t="s">
        <v>277</v>
      </c>
      <c r="BZ1130" s="2" t="s">
        <v>243</v>
      </c>
      <c r="CA1130" s="2" t="s">
        <v>793</v>
      </c>
      <c r="CB1130" s="2" t="s">
        <v>231</v>
      </c>
      <c r="CC1130" s="2" t="s">
        <v>244</v>
      </c>
      <c r="CD1130" s="2" t="s">
        <v>231</v>
      </c>
      <c r="CE1130" s="4"/>
      <c r="CF1130" s="4"/>
      <c r="CG1130" s="4"/>
      <c r="CH1130" s="4"/>
      <c r="CI1130" s="4">
        <v>48</v>
      </c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</row>
    <row r="1131">
      <c r="A1131" s="2" t="s">
        <v>5377</v>
      </c>
      <c r="B1131" s="2" t="s">
        <v>226</v>
      </c>
      <c r="C1131" s="2" t="s">
        <v>825</v>
      </c>
      <c r="D1131" s="2" t="s">
        <v>654</v>
      </c>
      <c r="E1131" s="2" t="s">
        <v>655</v>
      </c>
      <c r="F1131" s="2" t="s">
        <v>5357</v>
      </c>
      <c r="G1131" s="2" t="s">
        <v>5357</v>
      </c>
      <c r="H1131" s="2" t="s">
        <v>5357</v>
      </c>
      <c r="I1131" s="2" t="s">
        <v>5358</v>
      </c>
      <c r="J1131" s="2" t="s">
        <v>658</v>
      </c>
      <c r="K1131" s="2" t="s">
        <v>1939</v>
      </c>
      <c r="L1131" s="3">
        <v>37.69</v>
      </c>
      <c r="M1131" s="3">
        <v>39.57</v>
      </c>
      <c r="N1131" s="3">
        <v>64.99</v>
      </c>
      <c r="O1131" s="2" t="s">
        <v>243</v>
      </c>
      <c r="P1131" s="2" t="s">
        <v>1019</v>
      </c>
      <c r="Q1131" s="2" t="s">
        <v>237</v>
      </c>
      <c r="R1131" s="2" t="s">
        <v>1020</v>
      </c>
      <c r="S1131" s="2" t="s">
        <v>231</v>
      </c>
      <c r="T1131" s="2" t="s">
        <v>231</v>
      </c>
      <c r="U1131" s="2" t="s">
        <v>835</v>
      </c>
      <c r="V1131" s="2" t="s">
        <v>239</v>
      </c>
      <c r="W1131" s="2" t="s">
        <v>231</v>
      </c>
      <c r="X1131" s="2" t="s">
        <v>231</v>
      </c>
      <c r="Y1131" s="2" t="s">
        <v>5375</v>
      </c>
      <c r="Z1131" s="4">
        <v>102</v>
      </c>
      <c r="AA1131" s="4">
        <f>=ROUNDDOWN(60,0)</f>
      </c>
      <c r="AB1131" s="5">
        <v>1.7</v>
      </c>
      <c r="AC1131" s="2" t="s">
        <v>231</v>
      </c>
      <c r="AD1131" s="4"/>
      <c r="AE1131" s="4"/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231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231</v>
      </c>
      <c r="AW1131" s="8" t="s">
        <v>231</v>
      </c>
      <c r="AX1131" s="4" t="s">
        <v>231</v>
      </c>
      <c r="AY1131" s="8" t="s">
        <v>231</v>
      </c>
      <c r="AZ1131" s="7" t="s">
        <v>231</v>
      </c>
      <c r="BA1131" s="7" t="s">
        <v>231</v>
      </c>
      <c r="BB1131" s="7"/>
      <c r="BC1131" s="4" t="s">
        <v>231</v>
      </c>
      <c r="BD1131" s="8" t="s">
        <v>231</v>
      </c>
      <c r="BE1131" s="4" t="s">
        <v>231</v>
      </c>
      <c r="BF1131" s="8" t="s">
        <v>231</v>
      </c>
      <c r="BG1131" s="7" t="s">
        <v>231</v>
      </c>
      <c r="BH1131" s="7" t="s">
        <v>231</v>
      </c>
      <c r="BI1131" s="7"/>
      <c r="BJ1131" s="4">
        <v>1</v>
      </c>
      <c r="BK1131" s="8">
        <v>24.13</v>
      </c>
      <c r="BL1131" s="2" t="s">
        <v>2565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5378</v>
      </c>
      <c r="BV1131" s="2" t="s">
        <v>231</v>
      </c>
      <c r="BW1131" s="2" t="s">
        <v>231</v>
      </c>
      <c r="BX1131" s="2" t="s">
        <v>241</v>
      </c>
      <c r="BY1131" s="2" t="s">
        <v>277</v>
      </c>
      <c r="BZ1131" s="2" t="s">
        <v>243</v>
      </c>
      <c r="CA1131" s="2" t="s">
        <v>793</v>
      </c>
      <c r="CB1131" s="2" t="s">
        <v>231</v>
      </c>
      <c r="CC1131" s="2" t="s">
        <v>244</v>
      </c>
      <c r="CD1131" s="2" t="s">
        <v>231</v>
      </c>
      <c r="CE1131" s="4"/>
      <c r="CF1131" s="4"/>
      <c r="CG1131" s="4"/>
      <c r="CH1131" s="4"/>
      <c r="CI1131" s="4">
        <v>102</v>
      </c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</row>
    <row r="1132">
      <c r="A1132" s="2" t="s">
        <v>5379</v>
      </c>
      <c r="B1132" s="2" t="s">
        <v>226</v>
      </c>
      <c r="C1132" s="2" t="s">
        <v>825</v>
      </c>
      <c r="D1132" s="2" t="s">
        <v>654</v>
      </c>
      <c r="E1132" s="2" t="s">
        <v>655</v>
      </c>
      <c r="F1132" s="2" t="s">
        <v>5357</v>
      </c>
      <c r="G1132" s="2" t="s">
        <v>5357</v>
      </c>
      <c r="H1132" s="2" t="s">
        <v>5357</v>
      </c>
      <c r="I1132" s="2" t="s">
        <v>5358</v>
      </c>
      <c r="J1132" s="2" t="s">
        <v>669</v>
      </c>
      <c r="K1132" s="2" t="s">
        <v>1939</v>
      </c>
      <c r="L1132" s="3">
        <v>43.49</v>
      </c>
      <c r="M1132" s="3">
        <v>45.66</v>
      </c>
      <c r="N1132" s="3">
        <v>74.99</v>
      </c>
      <c r="O1132" s="2" t="s">
        <v>243</v>
      </c>
      <c r="P1132" s="2" t="s">
        <v>1019</v>
      </c>
      <c r="Q1132" s="2" t="s">
        <v>237</v>
      </c>
      <c r="R1132" s="2" t="s">
        <v>1020</v>
      </c>
      <c r="S1132" s="2" t="s">
        <v>231</v>
      </c>
      <c r="T1132" s="2" t="s">
        <v>231</v>
      </c>
      <c r="U1132" s="2" t="s">
        <v>835</v>
      </c>
      <c r="V1132" s="2" t="s">
        <v>239</v>
      </c>
      <c r="W1132" s="2" t="s">
        <v>231</v>
      </c>
      <c r="X1132" s="2" t="s">
        <v>231</v>
      </c>
      <c r="Y1132" s="2" t="s">
        <v>5375</v>
      </c>
      <c r="Z1132" s="4">
        <v>60</v>
      </c>
      <c r="AA1132" s="4">
        <f>=ROUNDDOWN(35.2941176470588,0)</f>
      </c>
      <c r="AB1132" s="5">
        <v>1.7</v>
      </c>
      <c r="AC1132" s="2" t="s">
        <v>231</v>
      </c>
      <c r="AD1132" s="4"/>
      <c r="AE1132" s="4"/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231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231</v>
      </c>
      <c r="AW1132" s="8" t="s">
        <v>231</v>
      </c>
      <c r="AX1132" s="4" t="s">
        <v>231</v>
      </c>
      <c r="AY1132" s="8" t="s">
        <v>231</v>
      </c>
      <c r="AZ1132" s="7" t="s">
        <v>231</v>
      </c>
      <c r="BA1132" s="7" t="s">
        <v>231</v>
      </c>
      <c r="BB1132" s="7"/>
      <c r="BC1132" s="4" t="s">
        <v>231</v>
      </c>
      <c r="BD1132" s="8" t="s">
        <v>231</v>
      </c>
      <c r="BE1132" s="4" t="s">
        <v>231</v>
      </c>
      <c r="BF1132" s="8" t="s">
        <v>231</v>
      </c>
      <c r="BG1132" s="7" t="s">
        <v>231</v>
      </c>
      <c r="BH1132" s="7" t="s">
        <v>231</v>
      </c>
      <c r="BI1132" s="7"/>
      <c r="BJ1132" s="4">
        <v>1</v>
      </c>
      <c r="BK1132" s="8">
        <v>29.65</v>
      </c>
      <c r="BL1132" s="2" t="s">
        <v>2565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5380</v>
      </c>
      <c r="BV1132" s="2" t="s">
        <v>231</v>
      </c>
      <c r="BW1132" s="2" t="s">
        <v>231</v>
      </c>
      <c r="BX1132" s="2" t="s">
        <v>241</v>
      </c>
      <c r="BY1132" s="2" t="s">
        <v>277</v>
      </c>
      <c r="BZ1132" s="2" t="s">
        <v>243</v>
      </c>
      <c r="CA1132" s="2" t="s">
        <v>793</v>
      </c>
      <c r="CB1132" s="2" t="s">
        <v>231</v>
      </c>
      <c r="CC1132" s="2" t="s">
        <v>244</v>
      </c>
      <c r="CD1132" s="2" t="s">
        <v>231</v>
      </c>
      <c r="CE1132" s="4"/>
      <c r="CF1132" s="4"/>
      <c r="CG1132" s="4"/>
      <c r="CH1132" s="4"/>
      <c r="CI1132" s="4">
        <v>60</v>
      </c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</row>
    <row r="1133">
      <c r="A1133" s="2" t="s">
        <v>5381</v>
      </c>
      <c r="B1133" s="2" t="s">
        <v>226</v>
      </c>
      <c r="C1133" s="2" t="s">
        <v>631</v>
      </c>
      <c r="D1133" s="2" t="s">
        <v>1549</v>
      </c>
      <c r="E1133" s="2" t="s">
        <v>3949</v>
      </c>
      <c r="F1133" s="2" t="s">
        <v>5382</v>
      </c>
      <c r="G1133" s="2" t="s">
        <v>5382</v>
      </c>
      <c r="H1133" s="2" t="s">
        <v>5382</v>
      </c>
      <c r="I1133" s="2" t="s">
        <v>3951</v>
      </c>
      <c r="J1133" s="2" t="s">
        <v>281</v>
      </c>
      <c r="K1133" s="2" t="s">
        <v>2321</v>
      </c>
      <c r="L1133" s="3">
        <v>54.72</v>
      </c>
      <c r="M1133" s="3">
        <v>57.46</v>
      </c>
      <c r="N1133" s="3">
        <v>114.99</v>
      </c>
      <c r="O1133" s="2" t="s">
        <v>243</v>
      </c>
      <c r="P1133" s="2" t="s">
        <v>1281</v>
      </c>
      <c r="Q1133" s="2" t="s">
        <v>237</v>
      </c>
      <c r="R1133" s="2" t="s">
        <v>231</v>
      </c>
      <c r="S1133" s="2" t="s">
        <v>5383</v>
      </c>
      <c r="T1133" s="2" t="s">
        <v>595</v>
      </c>
      <c r="U1133" s="2" t="s">
        <v>327</v>
      </c>
      <c r="V1133" s="2" t="s">
        <v>239</v>
      </c>
      <c r="W1133" s="2" t="s">
        <v>273</v>
      </c>
      <c r="X1133" s="2" t="s">
        <v>971</v>
      </c>
      <c r="Y1133" s="2" t="s">
        <v>274</v>
      </c>
      <c r="Z1133" s="4">
        <v>262</v>
      </c>
      <c r="AA1133" s="4">
        <f>=ROUNDDOWN(13.1,0)</f>
      </c>
      <c r="AB1133" s="5">
        <v>20</v>
      </c>
      <c r="AC1133" s="2" t="s">
        <v>2049</v>
      </c>
      <c r="AD1133" s="4">
        <v>150</v>
      </c>
      <c r="AE1133" s="4">
        <v>360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231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231</v>
      </c>
      <c r="BD1133" s="8" t="s">
        <v>231</v>
      </c>
      <c r="BE1133" s="4" t="s">
        <v>231</v>
      </c>
      <c r="BF1133" s="8" t="s">
        <v>231</v>
      </c>
      <c r="BG1133" s="7" t="s">
        <v>231</v>
      </c>
      <c r="BH1133" s="7" t="s">
        <v>231</v>
      </c>
      <c r="BI1133" s="7"/>
      <c r="BJ1133" s="4">
        <v>9</v>
      </c>
      <c r="BK1133" s="8">
        <v>495.06</v>
      </c>
      <c r="BL1133" s="2" t="s">
        <v>365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5384</v>
      </c>
      <c r="BV1133" s="2" t="s">
        <v>231</v>
      </c>
      <c r="BW1133" s="2" t="s">
        <v>231</v>
      </c>
      <c r="BX1133" s="2" t="s">
        <v>4138</v>
      </c>
      <c r="BY1133" s="2" t="s">
        <v>277</v>
      </c>
      <c r="BZ1133" s="2" t="s">
        <v>243</v>
      </c>
      <c r="CA1133" s="2" t="s">
        <v>1633</v>
      </c>
      <c r="CB1133" s="2" t="s">
        <v>607</v>
      </c>
      <c r="CC1133" s="2" t="s">
        <v>244</v>
      </c>
      <c r="CD1133" s="2" t="s">
        <v>231</v>
      </c>
      <c r="CE1133" s="4">
        <v>262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>
        <v>150</v>
      </c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>
        <v>210</v>
      </c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</row>
    <row r="1134">
      <c r="A1134" s="2" t="s">
        <v>5385</v>
      </c>
      <c r="B1134" s="2" t="s">
        <v>226</v>
      </c>
      <c r="C1134" s="2" t="s">
        <v>631</v>
      </c>
      <c r="D1134" s="2" t="s">
        <v>1549</v>
      </c>
      <c r="E1134" s="2" t="s">
        <v>3949</v>
      </c>
      <c r="F1134" s="2" t="s">
        <v>5382</v>
      </c>
      <c r="G1134" s="2" t="s">
        <v>5382</v>
      </c>
      <c r="H1134" s="2" t="s">
        <v>5382</v>
      </c>
      <c r="I1134" s="2" t="s">
        <v>3951</v>
      </c>
      <c r="J1134" s="2" t="s">
        <v>293</v>
      </c>
      <c r="K1134" s="2" t="s">
        <v>269</v>
      </c>
      <c r="L1134" s="3">
        <v>74.29</v>
      </c>
      <c r="M1134" s="3">
        <v>78</v>
      </c>
      <c r="N1134" s="3">
        <v>154.99</v>
      </c>
      <c r="O1134" s="2" t="s">
        <v>243</v>
      </c>
      <c r="P1134" s="2" t="s">
        <v>270</v>
      </c>
      <c r="Q1134" s="2" t="s">
        <v>237</v>
      </c>
      <c r="R1134" s="2" t="s">
        <v>231</v>
      </c>
      <c r="S1134" s="2" t="s">
        <v>5386</v>
      </c>
      <c r="T1134" s="2" t="s">
        <v>595</v>
      </c>
      <c r="U1134" s="2" t="s">
        <v>327</v>
      </c>
      <c r="V1134" s="2" t="s">
        <v>239</v>
      </c>
      <c r="W1134" s="2" t="s">
        <v>273</v>
      </c>
      <c r="X1134" s="2" t="s">
        <v>971</v>
      </c>
      <c r="Y1134" s="2" t="s">
        <v>274</v>
      </c>
      <c r="Z1134" s="4"/>
      <c r="AA1134" s="4">
        <f>=ROUNDDOWN({0},0)</f>
      </c>
      <c r="AB1134" s="5">
        <v>44</v>
      </c>
      <c r="AC1134" s="2" t="s">
        <v>3723</v>
      </c>
      <c r="AD1134" s="4">
        <v>280</v>
      </c>
      <c r="AE1134" s="4">
        <v>970</v>
      </c>
      <c r="AF1134" s="6">
        <v>65</v>
      </c>
      <c r="AG1134" s="6"/>
      <c r="AH1134" s="7">
        <v>0</v>
      </c>
      <c r="AI1134" s="4"/>
      <c r="AJ1134" s="4">
        <f>=ROUNDDOWN({0},0)</f>
      </c>
      <c r="AK1134" s="5"/>
      <c r="AL1134" s="2" t="s">
        <v>231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231</v>
      </c>
      <c r="BD1134" s="8" t="s">
        <v>231</v>
      </c>
      <c r="BE1134" s="4" t="s">
        <v>231</v>
      </c>
      <c r="BF1134" s="8" t="s">
        <v>231</v>
      </c>
      <c r="BG1134" s="7" t="s">
        <v>231</v>
      </c>
      <c r="BH1134" s="7" t="s">
        <v>231</v>
      </c>
      <c r="BI1134" s="7"/>
      <c r="BJ1134" s="4"/>
      <c r="BK1134" s="8"/>
      <c r="BL1134" s="2" t="s">
        <v>231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5387</v>
      </c>
      <c r="BV1134" s="2" t="s">
        <v>231</v>
      </c>
      <c r="BW1134" s="2" t="s">
        <v>231</v>
      </c>
      <c r="BX1134" s="2" t="s">
        <v>4138</v>
      </c>
      <c r="BY1134" s="2" t="s">
        <v>277</v>
      </c>
      <c r="BZ1134" s="2" t="s">
        <v>243</v>
      </c>
      <c r="CA1134" s="2" t="s">
        <v>1633</v>
      </c>
      <c r="CB1134" s="2" t="s">
        <v>467</v>
      </c>
      <c r="CC1134" s="2" t="s">
        <v>244</v>
      </c>
      <c r="CD1134" s="2" t="s">
        <v>231</v>
      </c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>
        <v>280</v>
      </c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>
        <v>390</v>
      </c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>
        <v>300</v>
      </c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</row>
    <row r="1135">
      <c r="A1135" s="2" t="s">
        <v>5388</v>
      </c>
      <c r="B1135" s="2" t="s">
        <v>226</v>
      </c>
      <c r="C1135" s="2" t="s">
        <v>631</v>
      </c>
      <c r="D1135" s="2" t="s">
        <v>1549</v>
      </c>
      <c r="E1135" s="2" t="s">
        <v>3949</v>
      </c>
      <c r="F1135" s="2" t="s">
        <v>5382</v>
      </c>
      <c r="G1135" s="2" t="s">
        <v>5382</v>
      </c>
      <c r="H1135" s="2" t="s">
        <v>5382</v>
      </c>
      <c r="I1135" s="2" t="s">
        <v>3951</v>
      </c>
      <c r="J1135" s="2" t="s">
        <v>302</v>
      </c>
      <c r="K1135" s="2" t="s">
        <v>901</v>
      </c>
      <c r="L1135" s="3">
        <v>84.84</v>
      </c>
      <c r="M1135" s="3">
        <v>89.08</v>
      </c>
      <c r="N1135" s="3">
        <v>174.99</v>
      </c>
      <c r="O1135" s="2" t="s">
        <v>243</v>
      </c>
      <c r="P1135" s="2" t="s">
        <v>270</v>
      </c>
      <c r="Q1135" s="2" t="s">
        <v>237</v>
      </c>
      <c r="R1135" s="2" t="s">
        <v>231</v>
      </c>
      <c r="S1135" s="2" t="s">
        <v>5389</v>
      </c>
      <c r="T1135" s="2" t="s">
        <v>595</v>
      </c>
      <c r="U1135" s="2" t="s">
        <v>327</v>
      </c>
      <c r="V1135" s="2" t="s">
        <v>239</v>
      </c>
      <c r="W1135" s="2" t="s">
        <v>273</v>
      </c>
      <c r="X1135" s="2" t="s">
        <v>971</v>
      </c>
      <c r="Y1135" s="2" t="s">
        <v>274</v>
      </c>
      <c r="Z1135" s="4">
        <v>270</v>
      </c>
      <c r="AA1135" s="4">
        <f>=ROUNDDOWN(8.70967741935484,0)</f>
      </c>
      <c r="AB1135" s="5">
        <v>31</v>
      </c>
      <c r="AC1135" s="2" t="s">
        <v>2049</v>
      </c>
      <c r="AD1135" s="4">
        <v>150</v>
      </c>
      <c r="AE1135" s="4">
        <v>300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231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231</v>
      </c>
      <c r="BD1135" s="8" t="s">
        <v>231</v>
      </c>
      <c r="BE1135" s="4" t="s">
        <v>231</v>
      </c>
      <c r="BF1135" s="8" t="s">
        <v>231</v>
      </c>
      <c r="BG1135" s="7" t="s">
        <v>231</v>
      </c>
      <c r="BH1135" s="7" t="s">
        <v>231</v>
      </c>
      <c r="BI1135" s="7"/>
      <c r="BJ1135" s="4">
        <v>18</v>
      </c>
      <c r="BK1135" s="8">
        <v>1695.52</v>
      </c>
      <c r="BL1135" s="2" t="s">
        <v>5390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5391</v>
      </c>
      <c r="BV1135" s="2" t="s">
        <v>231</v>
      </c>
      <c r="BW1135" s="2" t="s">
        <v>231</v>
      </c>
      <c r="BX1135" s="2" t="s">
        <v>4138</v>
      </c>
      <c r="BY1135" s="2" t="s">
        <v>277</v>
      </c>
      <c r="BZ1135" s="2" t="s">
        <v>243</v>
      </c>
      <c r="CA1135" s="2" t="s">
        <v>1633</v>
      </c>
      <c r="CB1135" s="2" t="s">
        <v>467</v>
      </c>
      <c r="CC1135" s="2" t="s">
        <v>244</v>
      </c>
      <c r="CD1135" s="2" t="s">
        <v>231</v>
      </c>
      <c r="CE1135" s="4">
        <v>270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>
        <v>150</v>
      </c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>
        <v>150</v>
      </c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</row>
    <row r="1136">
      <c r="A1136" s="2" t="s">
        <v>5392</v>
      </c>
      <c r="B1136" s="2" t="s">
        <v>226</v>
      </c>
      <c r="C1136" s="2" t="s">
        <v>631</v>
      </c>
      <c r="D1136" s="2" t="s">
        <v>1549</v>
      </c>
      <c r="E1136" s="2" t="s">
        <v>3949</v>
      </c>
      <c r="F1136" s="2" t="s">
        <v>5382</v>
      </c>
      <c r="G1136" s="2" t="s">
        <v>5382</v>
      </c>
      <c r="H1136" s="2" t="s">
        <v>5382</v>
      </c>
      <c r="I1136" s="2" t="s">
        <v>3951</v>
      </c>
      <c r="J1136" s="2" t="s">
        <v>302</v>
      </c>
      <c r="K1136" s="2" t="s">
        <v>1491</v>
      </c>
      <c r="L1136" s="3">
        <v>84.84</v>
      </c>
      <c r="M1136" s="3">
        <v>89.08</v>
      </c>
      <c r="N1136" s="3">
        <v>174.99</v>
      </c>
      <c r="O1136" s="2" t="s">
        <v>243</v>
      </c>
      <c r="P1136" s="2" t="s">
        <v>270</v>
      </c>
      <c r="Q1136" s="2" t="s">
        <v>237</v>
      </c>
      <c r="R1136" s="2" t="s">
        <v>231</v>
      </c>
      <c r="S1136" s="2" t="s">
        <v>5393</v>
      </c>
      <c r="T1136" s="2" t="s">
        <v>595</v>
      </c>
      <c r="U1136" s="2" t="s">
        <v>327</v>
      </c>
      <c r="V1136" s="2" t="s">
        <v>239</v>
      </c>
      <c r="W1136" s="2" t="s">
        <v>273</v>
      </c>
      <c r="X1136" s="2" t="s">
        <v>971</v>
      </c>
      <c r="Y1136" s="2" t="s">
        <v>2489</v>
      </c>
      <c r="Z1136" s="4">
        <v>220</v>
      </c>
      <c r="AA1136" s="4">
        <f>=ROUNDDOWN(12.2222222222222,0)</f>
      </c>
      <c r="AB1136" s="5">
        <v>18</v>
      </c>
      <c r="AC1136" s="2" t="s">
        <v>2049</v>
      </c>
      <c r="AD1136" s="4">
        <v>170</v>
      </c>
      <c r="AE1136" s="4">
        <v>170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231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231</v>
      </c>
      <c r="BD1136" s="8" t="s">
        <v>231</v>
      </c>
      <c r="BE1136" s="4" t="s">
        <v>231</v>
      </c>
      <c r="BF1136" s="8" t="s">
        <v>231</v>
      </c>
      <c r="BG1136" s="7" t="s">
        <v>231</v>
      </c>
      <c r="BH1136" s="7" t="s">
        <v>231</v>
      </c>
      <c r="BI1136" s="7"/>
      <c r="BJ1136" s="4">
        <v>8</v>
      </c>
      <c r="BK1136" s="8">
        <v>769.95</v>
      </c>
      <c r="BL1136" s="2" t="s">
        <v>5394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5395</v>
      </c>
      <c r="BV1136" s="2" t="s">
        <v>231</v>
      </c>
      <c r="BW1136" s="2" t="s">
        <v>231</v>
      </c>
      <c r="BX1136" s="2" t="s">
        <v>4138</v>
      </c>
      <c r="BY1136" s="2" t="s">
        <v>277</v>
      </c>
      <c r="BZ1136" s="2" t="s">
        <v>243</v>
      </c>
      <c r="CA1136" s="2" t="s">
        <v>1633</v>
      </c>
      <c r="CB1136" s="2" t="s">
        <v>467</v>
      </c>
      <c r="CC1136" s="2" t="s">
        <v>244</v>
      </c>
      <c r="CD1136" s="2" t="s">
        <v>231</v>
      </c>
      <c r="CE1136" s="4">
        <v>220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>
        <v>170</v>
      </c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</row>
    <row r="1137">
      <c r="A1137" s="2" t="s">
        <v>5396</v>
      </c>
      <c r="B1137" s="2" t="s">
        <v>226</v>
      </c>
      <c r="C1137" s="2" t="s">
        <v>631</v>
      </c>
      <c r="D1137" s="2" t="s">
        <v>1549</v>
      </c>
      <c r="E1137" s="2" t="s">
        <v>3949</v>
      </c>
      <c r="F1137" s="2" t="s">
        <v>5382</v>
      </c>
      <c r="G1137" s="2" t="s">
        <v>5382</v>
      </c>
      <c r="H1137" s="2" t="s">
        <v>5382</v>
      </c>
      <c r="I1137" s="2" t="s">
        <v>3951</v>
      </c>
      <c r="J1137" s="2" t="s">
        <v>281</v>
      </c>
      <c r="K1137" s="2" t="s">
        <v>255</v>
      </c>
      <c r="L1137" s="3">
        <v>54.72</v>
      </c>
      <c r="M1137" s="3">
        <v>57.46</v>
      </c>
      <c r="N1137" s="3">
        <v>114.99</v>
      </c>
      <c r="O1137" s="2" t="s">
        <v>243</v>
      </c>
      <c r="P1137" s="2" t="s">
        <v>270</v>
      </c>
      <c r="Q1137" s="2" t="s">
        <v>237</v>
      </c>
      <c r="R1137" s="2" t="s">
        <v>231</v>
      </c>
      <c r="S1137" s="2" t="s">
        <v>231</v>
      </c>
      <c r="T1137" s="2" t="s">
        <v>595</v>
      </c>
      <c r="U1137" s="2" t="s">
        <v>327</v>
      </c>
      <c r="V1137" s="2" t="s">
        <v>239</v>
      </c>
      <c r="W1137" s="2" t="s">
        <v>273</v>
      </c>
      <c r="X1137" s="2" t="s">
        <v>971</v>
      </c>
      <c r="Y1137" s="2" t="s">
        <v>5397</v>
      </c>
      <c r="Z1137" s="4">
        <v>78</v>
      </c>
      <c r="AA1137" s="4">
        <f>=ROUNDDOWN(5.2,0)</f>
      </c>
      <c r="AB1137" s="5">
        <v>15</v>
      </c>
      <c r="AC1137" s="2" t="s">
        <v>3723</v>
      </c>
      <c r="AD1137" s="4">
        <v>190</v>
      </c>
      <c r="AE1137" s="4">
        <v>420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231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231</v>
      </c>
      <c r="BD1137" s="8" t="s">
        <v>231</v>
      </c>
      <c r="BE1137" s="4" t="s">
        <v>231</v>
      </c>
      <c r="BF1137" s="8" t="s">
        <v>231</v>
      </c>
      <c r="BG1137" s="7" t="s">
        <v>231</v>
      </c>
      <c r="BH1137" s="7" t="s">
        <v>231</v>
      </c>
      <c r="BI1137" s="7"/>
      <c r="BJ1137" s="4">
        <v>11</v>
      </c>
      <c r="BK1137" s="8">
        <v>658.82</v>
      </c>
      <c r="BL1137" s="2" t="s">
        <v>5398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5399</v>
      </c>
      <c r="BV1137" s="2" t="s">
        <v>231</v>
      </c>
      <c r="BW1137" s="2" t="s">
        <v>231</v>
      </c>
      <c r="BX1137" s="2" t="s">
        <v>4138</v>
      </c>
      <c r="BY1137" s="2" t="s">
        <v>277</v>
      </c>
      <c r="BZ1137" s="2" t="s">
        <v>243</v>
      </c>
      <c r="CA1137" s="2" t="s">
        <v>5400</v>
      </c>
      <c r="CB1137" s="2" t="s">
        <v>5401</v>
      </c>
      <c r="CC1137" s="2" t="s">
        <v>244</v>
      </c>
      <c r="CD1137" s="2" t="s">
        <v>231</v>
      </c>
      <c r="CE1137" s="4">
        <v>78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>
        <v>190</v>
      </c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>
        <v>230</v>
      </c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</row>
    <row r="1138">
      <c r="A1138" s="2" t="s">
        <v>5402</v>
      </c>
      <c r="B1138" s="2" t="s">
        <v>801</v>
      </c>
      <c r="C1138" s="2" t="s">
        <v>867</v>
      </c>
      <c r="D1138" s="2" t="s">
        <v>803</v>
      </c>
      <c r="E1138" s="2" t="s">
        <v>804</v>
      </c>
      <c r="F1138" s="2" t="s">
        <v>5403</v>
      </c>
      <c r="G1138" s="2" t="s">
        <v>5403</v>
      </c>
      <c r="H1138" s="2" t="s">
        <v>5403</v>
      </c>
      <c r="I1138" s="2" t="s">
        <v>5404</v>
      </c>
      <c r="J1138" s="2" t="s">
        <v>807</v>
      </c>
      <c r="K1138" s="2" t="s">
        <v>5405</v>
      </c>
      <c r="L1138" s="3">
        <v>182</v>
      </c>
      <c r="M1138" s="3">
        <v>191.1</v>
      </c>
      <c r="N1138" s="3">
        <v>369.99</v>
      </c>
      <c r="O1138" s="2" t="s">
        <v>243</v>
      </c>
      <c r="P1138" s="2" t="s">
        <v>1915</v>
      </c>
      <c r="Q1138" s="2" t="s">
        <v>237</v>
      </c>
      <c r="R1138" s="2" t="s">
        <v>231</v>
      </c>
      <c r="S1138" s="2" t="s">
        <v>231</v>
      </c>
      <c r="T1138" s="2" t="s">
        <v>231</v>
      </c>
      <c r="U1138" s="2" t="s">
        <v>327</v>
      </c>
      <c r="V1138" s="2" t="s">
        <v>2048</v>
      </c>
      <c r="W1138" s="2" t="s">
        <v>792</v>
      </c>
      <c r="X1138" s="2" t="s">
        <v>874</v>
      </c>
      <c r="Y1138" s="2" t="s">
        <v>231</v>
      </c>
      <c r="Z1138" s="4"/>
      <c r="AA1138" s="4">
        <f>=ROUNDDOWN({0},0)</f>
      </c>
      <c r="AB1138" s="5"/>
      <c r="AC1138" s="2" t="s">
        <v>223</v>
      </c>
      <c r="AD1138" s="4">
        <v>200</v>
      </c>
      <c r="AE1138" s="4">
        <v>200</v>
      </c>
      <c r="AF1138" s="6">
        <v>72</v>
      </c>
      <c r="AG1138" s="6"/>
      <c r="AH1138" s="7">
        <v>0</v>
      </c>
      <c r="AI1138" s="4"/>
      <c r="AJ1138" s="4">
        <f>=ROUNDDOWN({0},0)</f>
      </c>
      <c r="AK1138" s="5"/>
      <c r="AL1138" s="2" t="s">
        <v>231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231</v>
      </c>
      <c r="BD1138" s="8" t="s">
        <v>231</v>
      </c>
      <c r="BE1138" s="4" t="s">
        <v>231</v>
      </c>
      <c r="BF1138" s="8" t="s">
        <v>231</v>
      </c>
      <c r="BG1138" s="7" t="s">
        <v>231</v>
      </c>
      <c r="BH1138" s="7" t="s">
        <v>231</v>
      </c>
      <c r="BI1138" s="7"/>
      <c r="BJ1138" s="4"/>
      <c r="BK1138" s="8"/>
      <c r="BL1138" s="2" t="s">
        <v>231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241</v>
      </c>
      <c r="BV1138" s="2" t="s">
        <v>231</v>
      </c>
      <c r="BW1138" s="2" t="s">
        <v>231</v>
      </c>
      <c r="BX1138" s="2" t="s">
        <v>241</v>
      </c>
      <c r="BY1138" s="2" t="s">
        <v>242</v>
      </c>
      <c r="BZ1138" s="2" t="s">
        <v>243</v>
      </c>
      <c r="CA1138" s="2" t="s">
        <v>231</v>
      </c>
      <c r="CB1138" s="2" t="s">
        <v>231</v>
      </c>
      <c r="CC1138" s="2" t="s">
        <v>244</v>
      </c>
      <c r="CD1138" s="2" t="s">
        <v>231</v>
      </c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>
        <v>200</v>
      </c>
      <c r="HG1138" s="4"/>
      <c r="HH1138" s="4"/>
      <c r="HI1138" s="4"/>
      <c r="HJ1138" s="4"/>
      <c r="HK1138" s="4"/>
      <c r="HL1138" s="4"/>
    </row>
    <row r="1139">
      <c r="A1139" s="2" t="s">
        <v>5406</v>
      </c>
      <c r="B1139" s="2" t="s">
        <v>801</v>
      </c>
      <c r="C1139" s="2" t="s">
        <v>867</v>
      </c>
      <c r="D1139" s="2" t="s">
        <v>803</v>
      </c>
      <c r="E1139" s="2" t="s">
        <v>804</v>
      </c>
      <c r="F1139" s="2" t="s">
        <v>5403</v>
      </c>
      <c r="G1139" s="2" t="s">
        <v>5403</v>
      </c>
      <c r="H1139" s="2" t="s">
        <v>5403</v>
      </c>
      <c r="I1139" s="2" t="s">
        <v>5404</v>
      </c>
      <c r="J1139" s="2" t="s">
        <v>807</v>
      </c>
      <c r="K1139" s="2" t="s">
        <v>5407</v>
      </c>
      <c r="L1139" s="3">
        <v>182</v>
      </c>
      <c r="M1139" s="3">
        <v>191.1</v>
      </c>
      <c r="N1139" s="3">
        <v>369.99</v>
      </c>
      <c r="O1139" s="2" t="s">
        <v>243</v>
      </c>
      <c r="P1139" s="2" t="s">
        <v>1915</v>
      </c>
      <c r="Q1139" s="2" t="s">
        <v>237</v>
      </c>
      <c r="R1139" s="2" t="s">
        <v>231</v>
      </c>
      <c r="S1139" s="2" t="s">
        <v>231</v>
      </c>
      <c r="T1139" s="2" t="s">
        <v>231</v>
      </c>
      <c r="U1139" s="2" t="s">
        <v>327</v>
      </c>
      <c r="V1139" s="2" t="s">
        <v>2048</v>
      </c>
      <c r="W1139" s="2" t="s">
        <v>792</v>
      </c>
      <c r="X1139" s="2" t="s">
        <v>874</v>
      </c>
      <c r="Y1139" s="2" t="s">
        <v>231</v>
      </c>
      <c r="Z1139" s="4"/>
      <c r="AA1139" s="4">
        <f>=ROUNDDOWN({0},0)</f>
      </c>
      <c r="AB1139" s="5"/>
      <c r="AC1139" s="2" t="s">
        <v>223</v>
      </c>
      <c r="AD1139" s="4">
        <v>100</v>
      </c>
      <c r="AE1139" s="4">
        <v>100</v>
      </c>
      <c r="AF1139" s="6">
        <v>72</v>
      </c>
      <c r="AG1139" s="6"/>
      <c r="AH1139" s="7">
        <v>0</v>
      </c>
      <c r="AI1139" s="4"/>
      <c r="AJ1139" s="4">
        <f>=ROUNDDOWN({0},0)</f>
      </c>
      <c r="AK1139" s="5"/>
      <c r="AL1139" s="2" t="s">
        <v>231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231</v>
      </c>
      <c r="BD1139" s="8" t="s">
        <v>231</v>
      </c>
      <c r="BE1139" s="4" t="s">
        <v>231</v>
      </c>
      <c r="BF1139" s="8" t="s">
        <v>231</v>
      </c>
      <c r="BG1139" s="7" t="s">
        <v>231</v>
      </c>
      <c r="BH1139" s="7" t="s">
        <v>231</v>
      </c>
      <c r="BI1139" s="7"/>
      <c r="BJ1139" s="4"/>
      <c r="BK1139" s="8"/>
      <c r="BL1139" s="2" t="s">
        <v>231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241</v>
      </c>
      <c r="BV1139" s="2" t="s">
        <v>231</v>
      </c>
      <c r="BW1139" s="2" t="s">
        <v>231</v>
      </c>
      <c r="BX1139" s="2" t="s">
        <v>241</v>
      </c>
      <c r="BY1139" s="2" t="s">
        <v>242</v>
      </c>
      <c r="BZ1139" s="2" t="s">
        <v>243</v>
      </c>
      <c r="CA1139" s="2" t="s">
        <v>231</v>
      </c>
      <c r="CB1139" s="2" t="s">
        <v>231</v>
      </c>
      <c r="CC1139" s="2" t="s">
        <v>244</v>
      </c>
      <c r="CD1139" s="2" t="s">
        <v>231</v>
      </c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>
        <v>100</v>
      </c>
      <c r="HG1139" s="4"/>
      <c r="HH1139" s="4"/>
      <c r="HI1139" s="4"/>
      <c r="HJ1139" s="4"/>
      <c r="HK1139" s="4"/>
      <c r="HL1139" s="4"/>
    </row>
    <row r="1140">
      <c r="A1140" s="2" t="s">
        <v>5408</v>
      </c>
      <c r="B1140" s="2" t="s">
        <v>992</v>
      </c>
      <c r="C1140" s="2" t="s">
        <v>288</v>
      </c>
      <c r="D1140" s="2" t="s">
        <v>1525</v>
      </c>
      <c r="E1140" s="2" t="s">
        <v>1526</v>
      </c>
      <c r="F1140" s="2" t="s">
        <v>5409</v>
      </c>
      <c r="G1140" s="2" t="s">
        <v>5410</v>
      </c>
      <c r="H1140" s="2" t="s">
        <v>5411</v>
      </c>
      <c r="I1140" s="2" t="s">
        <v>5412</v>
      </c>
      <c r="J1140" s="2" t="s">
        <v>2077</v>
      </c>
      <c r="K1140" s="2" t="s">
        <v>255</v>
      </c>
      <c r="L1140" s="3">
        <v>12.42</v>
      </c>
      <c r="M1140" s="3">
        <v>13.04</v>
      </c>
      <c r="N1140" s="3">
        <v>26.99</v>
      </c>
      <c r="O1140" s="2" t="s">
        <v>243</v>
      </c>
      <c r="P1140" s="2" t="s">
        <v>270</v>
      </c>
      <c r="Q1140" s="2" t="s">
        <v>237</v>
      </c>
      <c r="R1140" s="2" t="s">
        <v>231</v>
      </c>
      <c r="S1140" s="2" t="s">
        <v>5413</v>
      </c>
      <c r="T1140" s="2" t="s">
        <v>1432</v>
      </c>
      <c r="U1140" s="2" t="s">
        <v>327</v>
      </c>
      <c r="V1140" s="2" t="s">
        <v>239</v>
      </c>
      <c r="W1140" s="2" t="s">
        <v>676</v>
      </c>
      <c r="X1140" s="2" t="s">
        <v>231</v>
      </c>
      <c r="Y1140" s="2" t="s">
        <v>5414</v>
      </c>
      <c r="Z1140" s="4">
        <v>428</v>
      </c>
      <c r="AA1140" s="4">
        <f>=ROUNDDOWN(27.6129032258065,0)</f>
      </c>
      <c r="AB1140" s="5">
        <v>15.5</v>
      </c>
      <c r="AC1140" s="2" t="s">
        <v>231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231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>
        <v>69</v>
      </c>
      <c r="BK1140" s="8">
        <v>987.88</v>
      </c>
      <c r="BL1140" s="2" t="s">
        <v>5415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5416</v>
      </c>
      <c r="BV1140" s="2" t="s">
        <v>231</v>
      </c>
      <c r="BW1140" s="2" t="s">
        <v>231</v>
      </c>
      <c r="BX1140" s="2" t="s">
        <v>231</v>
      </c>
      <c r="BY1140" s="2" t="s">
        <v>277</v>
      </c>
      <c r="BZ1140" s="2" t="s">
        <v>243</v>
      </c>
      <c r="CA1140" s="2" t="s">
        <v>1454</v>
      </c>
      <c r="CB1140" s="2" t="s">
        <v>5417</v>
      </c>
      <c r="CC1140" s="2" t="s">
        <v>244</v>
      </c>
      <c r="CD1140" s="2" t="s">
        <v>231</v>
      </c>
      <c r="CE1140" s="4">
        <v>428</v>
      </c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</row>
    <row r="1141">
      <c r="A1141" s="2" t="s">
        <v>5418</v>
      </c>
      <c r="B1141" s="2" t="s">
        <v>801</v>
      </c>
      <c r="C1141" s="2" t="s">
        <v>815</v>
      </c>
      <c r="D1141" s="2" t="s">
        <v>1114</v>
      </c>
      <c r="E1141" s="2" t="s">
        <v>1115</v>
      </c>
      <c r="F1141" s="2" t="s">
        <v>5419</v>
      </c>
      <c r="G1141" s="2" t="s">
        <v>5419</v>
      </c>
      <c r="H1141" s="2" t="s">
        <v>5419</v>
      </c>
      <c r="I1141" s="2" t="s">
        <v>5420</v>
      </c>
      <c r="J1141" s="2" t="s">
        <v>807</v>
      </c>
      <c r="K1141" s="2" t="s">
        <v>698</v>
      </c>
      <c r="L1141" s="3">
        <v>52</v>
      </c>
      <c r="M1141" s="3">
        <v>54.6</v>
      </c>
      <c r="N1141" s="3">
        <v>109.99</v>
      </c>
      <c r="O1141" s="2" t="s">
        <v>243</v>
      </c>
      <c r="P1141" s="2" t="s">
        <v>236</v>
      </c>
      <c r="Q1141" s="2" t="s">
        <v>237</v>
      </c>
      <c r="R1141" s="2" t="s">
        <v>231</v>
      </c>
      <c r="S1141" s="2" t="s">
        <v>231</v>
      </c>
      <c r="T1141" s="2" t="s">
        <v>231</v>
      </c>
      <c r="U1141" s="2" t="s">
        <v>327</v>
      </c>
      <c r="V1141" s="2" t="s">
        <v>662</v>
      </c>
      <c r="W1141" s="2" t="s">
        <v>691</v>
      </c>
      <c r="X1141" s="2" t="s">
        <v>273</v>
      </c>
      <c r="Y1141" s="2" t="s">
        <v>3308</v>
      </c>
      <c r="Z1141" s="4">
        <v>98</v>
      </c>
      <c r="AA1141" s="4">
        <f>=ROUNDDOWN(49,0)</f>
      </c>
      <c r="AB1141" s="5">
        <v>2</v>
      </c>
      <c r="AC1141" s="2" t="s">
        <v>231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231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>
        <v>1</v>
      </c>
      <c r="BK1141" s="8">
        <v>61.15</v>
      </c>
      <c r="BL1141" s="2" t="s">
        <v>1120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5421</v>
      </c>
      <c r="BV1141" s="2" t="s">
        <v>231</v>
      </c>
      <c r="BW1141" s="2" t="s">
        <v>231</v>
      </c>
      <c r="BX1141" s="2" t="s">
        <v>241</v>
      </c>
      <c r="BY1141" s="2" t="s">
        <v>277</v>
      </c>
      <c r="BZ1141" s="2" t="s">
        <v>243</v>
      </c>
      <c r="CA1141" s="2" t="s">
        <v>5422</v>
      </c>
      <c r="CB1141" s="2" t="s">
        <v>231</v>
      </c>
      <c r="CC1141" s="2" t="s">
        <v>244</v>
      </c>
      <c r="CD1141" s="2" t="s">
        <v>231</v>
      </c>
      <c r="CE1141" s="4"/>
      <c r="CF1141" s="4">
        <v>98</v>
      </c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</row>
    <row r="1142">
      <c r="A1142" s="2" t="s">
        <v>5423</v>
      </c>
      <c r="B1142" s="2" t="s">
        <v>847</v>
      </c>
      <c r="C1142" s="2" t="s">
        <v>288</v>
      </c>
      <c r="D1142" s="2" t="s">
        <v>2003</v>
      </c>
      <c r="E1142" s="2" t="s">
        <v>2623</v>
      </c>
      <c r="F1142" s="2" t="s">
        <v>2862</v>
      </c>
      <c r="G1142" s="2" t="s">
        <v>2862</v>
      </c>
      <c r="H1142" s="2" t="s">
        <v>2862</v>
      </c>
      <c r="I1142" s="2" t="s">
        <v>5424</v>
      </c>
      <c r="J1142" s="2" t="s">
        <v>807</v>
      </c>
      <c r="K1142" s="2" t="s">
        <v>852</v>
      </c>
      <c r="L1142" s="3">
        <v>58.83</v>
      </c>
      <c r="M1142" s="3">
        <v>61.77</v>
      </c>
      <c r="N1142" s="3">
        <v>118.74</v>
      </c>
      <c r="O1142" s="2" t="s">
        <v>243</v>
      </c>
      <c r="P1142" s="2" t="s">
        <v>1332</v>
      </c>
      <c r="Q1142" s="2" t="s">
        <v>237</v>
      </c>
      <c r="R1142" s="2" t="s">
        <v>231</v>
      </c>
      <c r="S1142" s="2" t="s">
        <v>5425</v>
      </c>
      <c r="T1142" s="2" t="s">
        <v>231</v>
      </c>
      <c r="U1142" s="2" t="s">
        <v>835</v>
      </c>
      <c r="V1142" s="2" t="s">
        <v>987</v>
      </c>
      <c r="W1142" s="2" t="s">
        <v>792</v>
      </c>
      <c r="X1142" s="2" t="s">
        <v>896</v>
      </c>
      <c r="Y1142" s="2" t="s">
        <v>1320</v>
      </c>
      <c r="Z1142" s="4">
        <v>180</v>
      </c>
      <c r="AA1142" s="4">
        <f>=ROUNDDOWN(8.57142857142857,0)</f>
      </c>
      <c r="AB1142" s="5">
        <v>21</v>
      </c>
      <c r="AC1142" s="2" t="s">
        <v>3898</v>
      </c>
      <c r="AD1142" s="4">
        <v>200</v>
      </c>
      <c r="AE1142" s="4">
        <v>450</v>
      </c>
      <c r="AF1142" s="6">
        <v>65</v>
      </c>
      <c r="AG1142" s="6"/>
      <c r="AH1142" s="7">
        <v>0.2258</v>
      </c>
      <c r="AI1142" s="4"/>
      <c r="AJ1142" s="4">
        <f>=ROUNDDOWN({0},0)</f>
      </c>
      <c r="AK1142" s="5"/>
      <c r="AL1142" s="2" t="s">
        <v>231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/>
      <c r="BD1142" s="8"/>
      <c r="BE1142" s="4"/>
      <c r="BF1142" s="8"/>
      <c r="BG1142" s="7"/>
      <c r="BH1142" s="7"/>
      <c r="BI1142" s="7"/>
      <c r="BJ1142" s="4">
        <v>11</v>
      </c>
      <c r="BK1142" s="8">
        <v>627.7</v>
      </c>
      <c r="BL1142" s="2" t="s">
        <v>5426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5427</v>
      </c>
      <c r="BV1142" s="2" t="s">
        <v>231</v>
      </c>
      <c r="BW1142" s="2" t="s">
        <v>231</v>
      </c>
      <c r="BX1142" s="2" t="s">
        <v>231</v>
      </c>
      <c r="BY1142" s="2" t="s">
        <v>277</v>
      </c>
      <c r="BZ1142" s="2" t="s">
        <v>243</v>
      </c>
      <c r="CA1142" s="2" t="s">
        <v>1604</v>
      </c>
      <c r="CB1142" s="2" t="s">
        <v>5428</v>
      </c>
      <c r="CC1142" s="2" t="s">
        <v>244</v>
      </c>
      <c r="CD1142" s="2" t="s">
        <v>231</v>
      </c>
      <c r="CE1142" s="4"/>
      <c r="CF1142" s="4">
        <v>180</v>
      </c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>
        <v>200</v>
      </c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>
        <v>250</v>
      </c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</row>
    <row r="1143">
      <c r="A1143" s="2" t="s">
        <v>5429</v>
      </c>
      <c r="B1143" s="2" t="s">
        <v>1004</v>
      </c>
      <c r="C1143" s="2" t="s">
        <v>867</v>
      </c>
      <c r="D1143" s="2" t="s">
        <v>2411</v>
      </c>
      <c r="E1143" s="2" t="s">
        <v>2412</v>
      </c>
      <c r="F1143" s="2" t="s">
        <v>5430</v>
      </c>
      <c r="G1143" s="2" t="s">
        <v>5430</v>
      </c>
      <c r="H1143" s="2" t="s">
        <v>5430</v>
      </c>
      <c r="I1143" s="2" t="s">
        <v>5431</v>
      </c>
      <c r="J1143" s="2" t="s">
        <v>807</v>
      </c>
      <c r="K1143" s="2" t="s">
        <v>1496</v>
      </c>
      <c r="L1143" s="3">
        <v>144</v>
      </c>
      <c r="M1143" s="3">
        <v>151.2</v>
      </c>
      <c r="N1143" s="3">
        <v>299</v>
      </c>
      <c r="O1143" s="2" t="s">
        <v>243</v>
      </c>
      <c r="P1143" s="2" t="s">
        <v>1985</v>
      </c>
      <c r="Q1143" s="2" t="s">
        <v>237</v>
      </c>
      <c r="R1143" s="2" t="s">
        <v>231</v>
      </c>
      <c r="S1143" s="2" t="s">
        <v>5432</v>
      </c>
      <c r="T1143" s="2" t="s">
        <v>231</v>
      </c>
      <c r="U1143" s="2" t="s">
        <v>327</v>
      </c>
      <c r="V1143" s="2" t="s">
        <v>239</v>
      </c>
      <c r="W1143" s="2" t="s">
        <v>896</v>
      </c>
      <c r="X1143" s="2" t="s">
        <v>874</v>
      </c>
      <c r="Y1143" s="2" t="s">
        <v>2953</v>
      </c>
      <c r="Z1143" s="4">
        <v>66</v>
      </c>
      <c r="AA1143" s="4">
        <f>=ROUNDDOWN(22,0)</f>
      </c>
      <c r="AB1143" s="5">
        <v>3</v>
      </c>
      <c r="AC1143" s="2" t="s">
        <v>3693</v>
      </c>
      <c r="AD1143" s="4">
        <v>78</v>
      </c>
      <c r="AE1143" s="4">
        <v>99</v>
      </c>
      <c r="AF1143" s="6">
        <v>66</v>
      </c>
      <c r="AG1143" s="6">
        <v>49</v>
      </c>
      <c r="AH1143" s="7">
        <v>1</v>
      </c>
      <c r="AI1143" s="4"/>
      <c r="AJ1143" s="4">
        <f>=ROUNDDOWN({0},0)</f>
      </c>
      <c r="AK1143" s="5"/>
      <c r="AL1143" s="2" t="s">
        <v>231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/>
      <c r="BD1143" s="8"/>
      <c r="BE1143" s="4"/>
      <c r="BF1143" s="8"/>
      <c r="BG1143" s="7"/>
      <c r="BH1143" s="7"/>
      <c r="BI1143" s="7"/>
      <c r="BJ1143" s="4">
        <v>4</v>
      </c>
      <c r="BK1143" s="8">
        <v>506.8</v>
      </c>
      <c r="BL1143" s="2" t="s">
        <v>5433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5434</v>
      </c>
      <c r="BV1143" s="2" t="s">
        <v>231</v>
      </c>
      <c r="BW1143" s="2" t="s">
        <v>231</v>
      </c>
      <c r="BX1143" s="2" t="s">
        <v>231</v>
      </c>
      <c r="BY1143" s="2" t="s">
        <v>277</v>
      </c>
      <c r="BZ1143" s="2" t="s">
        <v>243</v>
      </c>
      <c r="CA1143" s="2" t="s">
        <v>5435</v>
      </c>
      <c r="CB1143" s="2" t="s">
        <v>5436</v>
      </c>
      <c r="CC1143" s="2" t="s">
        <v>244</v>
      </c>
      <c r="CD1143" s="2" t="s">
        <v>231</v>
      </c>
      <c r="CE1143" s="4"/>
      <c r="CF1143" s="4">
        <v>59</v>
      </c>
      <c r="CG1143" s="4"/>
      <c r="CH1143" s="4"/>
      <c r="CI1143" s="4">
        <v>7</v>
      </c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>
        <v>78</v>
      </c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>
        <v>21</v>
      </c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</row>
    <row r="1144">
      <c r="A1144" s="2" t="s">
        <v>5437</v>
      </c>
      <c r="B1144" s="2" t="s">
        <v>801</v>
      </c>
      <c r="C1144" s="2" t="s">
        <v>1105</v>
      </c>
      <c r="D1144" s="2" t="s">
        <v>803</v>
      </c>
      <c r="E1144" s="2" t="s">
        <v>804</v>
      </c>
      <c r="F1144" s="2" t="s">
        <v>3195</v>
      </c>
      <c r="G1144" s="2" t="s">
        <v>3195</v>
      </c>
      <c r="H1144" s="2" t="s">
        <v>3195</v>
      </c>
      <c r="I1144" s="2" t="s">
        <v>1180</v>
      </c>
      <c r="J1144" s="2" t="s">
        <v>807</v>
      </c>
      <c r="K1144" s="2" t="s">
        <v>319</v>
      </c>
      <c r="L1144" s="3">
        <v>63.75</v>
      </c>
      <c r="M1144" s="3">
        <v>66.94</v>
      </c>
      <c r="N1144" s="3">
        <v>139.99</v>
      </c>
      <c r="O1144" s="2" t="s">
        <v>243</v>
      </c>
      <c r="P1144" s="2" t="s">
        <v>341</v>
      </c>
      <c r="Q1144" s="2" t="s">
        <v>237</v>
      </c>
      <c r="R1144" s="2" t="s">
        <v>231</v>
      </c>
      <c r="S1144" s="2" t="s">
        <v>231</v>
      </c>
      <c r="T1144" s="2" t="s">
        <v>231</v>
      </c>
      <c r="U1144" s="2" t="s">
        <v>327</v>
      </c>
      <c r="V1144" s="2" t="s">
        <v>662</v>
      </c>
      <c r="W1144" s="2" t="s">
        <v>792</v>
      </c>
      <c r="X1144" s="2" t="s">
        <v>896</v>
      </c>
      <c r="Y1144" s="2" t="s">
        <v>1182</v>
      </c>
      <c r="Z1144" s="4">
        <v>89</v>
      </c>
      <c r="AA1144" s="4">
        <f>=ROUNDDOWN(89,0)</f>
      </c>
      <c r="AB1144" s="5">
        <v>1</v>
      </c>
      <c r="AC1144" s="2" t="s">
        <v>231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231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/>
      <c r="BD1144" s="8"/>
      <c r="BE1144" s="4"/>
      <c r="BF1144" s="8"/>
      <c r="BG1144" s="7"/>
      <c r="BH1144" s="7"/>
      <c r="BI1144" s="7"/>
      <c r="BJ1144" s="4">
        <v>4</v>
      </c>
      <c r="BK1144" s="8">
        <v>76.52</v>
      </c>
      <c r="BL1144" s="2" t="s">
        <v>5438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5439</v>
      </c>
      <c r="BV1144" s="2" t="s">
        <v>231</v>
      </c>
      <c r="BW1144" s="2" t="s">
        <v>231</v>
      </c>
      <c r="BX1144" s="2" t="s">
        <v>231</v>
      </c>
      <c r="BY1144" s="2" t="s">
        <v>277</v>
      </c>
      <c r="BZ1144" s="2" t="s">
        <v>243</v>
      </c>
      <c r="CA1144" s="2" t="s">
        <v>5440</v>
      </c>
      <c r="CB1144" s="2" t="s">
        <v>721</v>
      </c>
      <c r="CC1144" s="2" t="s">
        <v>244</v>
      </c>
      <c r="CD1144" s="2" t="s">
        <v>231</v>
      </c>
      <c r="CE1144" s="4"/>
      <c r="CF1144" s="4">
        <v>89</v>
      </c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</row>
    <row r="1145">
      <c r="A1145" s="2" t="s">
        <v>5441</v>
      </c>
      <c r="B1145" s="2" t="s">
        <v>1186</v>
      </c>
      <c r="C1145" s="2" t="s">
        <v>815</v>
      </c>
      <c r="D1145" s="2" t="s">
        <v>826</v>
      </c>
      <c r="E1145" s="2" t="s">
        <v>1060</v>
      </c>
      <c r="F1145" s="2" t="s">
        <v>5442</v>
      </c>
      <c r="G1145" s="2" t="s">
        <v>5442</v>
      </c>
      <c r="H1145" s="2" t="s">
        <v>5442</v>
      </c>
      <c r="I1145" s="2" t="s">
        <v>3152</v>
      </c>
      <c r="J1145" s="2" t="s">
        <v>658</v>
      </c>
      <c r="K1145" s="2" t="s">
        <v>255</v>
      </c>
      <c r="L1145" s="3">
        <v>50.4</v>
      </c>
      <c r="M1145" s="3">
        <v>52.91</v>
      </c>
      <c r="N1145" s="3">
        <v>104.99</v>
      </c>
      <c r="O1145" s="2" t="s">
        <v>243</v>
      </c>
      <c r="P1145" s="2" t="s">
        <v>270</v>
      </c>
      <c r="Q1145" s="2" t="s">
        <v>237</v>
      </c>
      <c r="R1145" s="2" t="s">
        <v>231</v>
      </c>
      <c r="S1145" s="2" t="s">
        <v>5443</v>
      </c>
      <c r="T1145" s="2" t="s">
        <v>362</v>
      </c>
      <c r="U1145" s="2" t="s">
        <v>835</v>
      </c>
      <c r="V1145" s="2" t="s">
        <v>987</v>
      </c>
      <c r="W1145" s="2" t="s">
        <v>691</v>
      </c>
      <c r="X1145" s="2" t="s">
        <v>273</v>
      </c>
      <c r="Y1145" s="2" t="s">
        <v>5444</v>
      </c>
      <c r="Z1145" s="4">
        <v>49</v>
      </c>
      <c r="AA1145" s="4">
        <f>=ROUNDDOWN(12.25,0)</f>
      </c>
      <c r="AB1145" s="5">
        <v>4</v>
      </c>
      <c r="AC1145" s="2" t="s">
        <v>3415</v>
      </c>
      <c r="AD1145" s="4">
        <v>100</v>
      </c>
      <c r="AE1145" s="4">
        <v>100</v>
      </c>
      <c r="AF1145" s="6">
        <v>67</v>
      </c>
      <c r="AG1145" s="6"/>
      <c r="AH1145" s="7">
        <v>1</v>
      </c>
      <c r="AI1145" s="4"/>
      <c r="AJ1145" s="4">
        <f>=ROUNDDOWN({0},0)</f>
      </c>
      <c r="AK1145" s="5"/>
      <c r="AL1145" s="2" t="s">
        <v>231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>
        <v>13</v>
      </c>
      <c r="BK1145" s="8">
        <v>677.47</v>
      </c>
      <c r="BL1145" s="2" t="s">
        <v>5445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5446</v>
      </c>
      <c r="BV1145" s="2" t="s">
        <v>231</v>
      </c>
      <c r="BW1145" s="2" t="s">
        <v>231</v>
      </c>
      <c r="BX1145" s="2" t="s">
        <v>231</v>
      </c>
      <c r="BY1145" s="2" t="s">
        <v>277</v>
      </c>
      <c r="BZ1145" s="2" t="s">
        <v>243</v>
      </c>
      <c r="CA1145" s="2" t="s">
        <v>3146</v>
      </c>
      <c r="CB1145" s="2" t="s">
        <v>768</v>
      </c>
      <c r="CC1145" s="2" t="s">
        <v>244</v>
      </c>
      <c r="CD1145" s="2" t="s">
        <v>231</v>
      </c>
      <c r="CE1145" s="4">
        <v>49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>
        <v>100</v>
      </c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</row>
    <row r="1146">
      <c r="A1146" s="2" t="s">
        <v>5447</v>
      </c>
      <c r="B1146" s="2" t="s">
        <v>1186</v>
      </c>
      <c r="C1146" s="2" t="s">
        <v>1614</v>
      </c>
      <c r="D1146" s="2" t="s">
        <v>826</v>
      </c>
      <c r="E1146" s="2" t="s">
        <v>827</v>
      </c>
      <c r="F1146" s="2" t="s">
        <v>5448</v>
      </c>
      <c r="G1146" s="2" t="s">
        <v>5448</v>
      </c>
      <c r="H1146" s="2" t="s">
        <v>5448</v>
      </c>
      <c r="I1146" s="2" t="s">
        <v>1616</v>
      </c>
      <c r="J1146" s="2" t="s">
        <v>669</v>
      </c>
      <c r="K1146" s="2" t="s">
        <v>5449</v>
      </c>
      <c r="L1146" s="3">
        <v>85.12</v>
      </c>
      <c r="M1146" s="3">
        <v>89.38</v>
      </c>
      <c r="N1146" s="3">
        <v>249.99</v>
      </c>
      <c r="O1146" s="2" t="s">
        <v>243</v>
      </c>
      <c r="P1146" s="2" t="s">
        <v>341</v>
      </c>
      <c r="Q1146" s="2" t="s">
        <v>237</v>
      </c>
      <c r="R1146" s="2" t="s">
        <v>231</v>
      </c>
      <c r="S1146" s="2" t="s">
        <v>231</v>
      </c>
      <c r="T1146" s="2" t="s">
        <v>362</v>
      </c>
      <c r="U1146" s="2" t="s">
        <v>231</v>
      </c>
      <c r="V1146" s="2" t="s">
        <v>239</v>
      </c>
      <c r="W1146" s="2" t="s">
        <v>273</v>
      </c>
      <c r="X1146" s="2" t="s">
        <v>231</v>
      </c>
      <c r="Y1146" s="2" t="s">
        <v>5450</v>
      </c>
      <c r="Z1146" s="4">
        <v>155</v>
      </c>
      <c r="AA1146" s="4">
        <f>=ROUNDDOWN(155,0)</f>
      </c>
      <c r="AB1146" s="5">
        <v>1</v>
      </c>
      <c r="AC1146" s="2" t="s">
        <v>231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231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>
        <v>12</v>
      </c>
      <c r="BK1146" s="8">
        <v>648.31</v>
      </c>
      <c r="BL1146" s="2" t="s">
        <v>3584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5451</v>
      </c>
      <c r="BV1146" s="2" t="s">
        <v>231</v>
      </c>
      <c r="BW1146" s="2" t="s">
        <v>231</v>
      </c>
      <c r="BX1146" s="2" t="s">
        <v>231</v>
      </c>
      <c r="BY1146" s="2" t="s">
        <v>277</v>
      </c>
      <c r="BZ1146" s="2" t="s">
        <v>243</v>
      </c>
      <c r="CA1146" s="2" t="s">
        <v>1620</v>
      </c>
      <c r="CB1146" s="2" t="s">
        <v>5452</v>
      </c>
      <c r="CC1146" s="2" t="s">
        <v>244</v>
      </c>
      <c r="CD1146" s="2" t="s">
        <v>231</v>
      </c>
      <c r="CE1146" s="4">
        <v>155</v>
      </c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</row>
    <row r="1147">
      <c r="A1147" s="2" t="s">
        <v>5453</v>
      </c>
      <c r="B1147" s="2" t="s">
        <v>801</v>
      </c>
      <c r="C1147" s="2" t="s">
        <v>802</v>
      </c>
      <c r="D1147" s="2" t="s">
        <v>2228</v>
      </c>
      <c r="E1147" s="2" t="s">
        <v>2229</v>
      </c>
      <c r="F1147" s="2" t="s">
        <v>5454</v>
      </c>
      <c r="G1147" s="2" t="s">
        <v>5454</v>
      </c>
      <c r="H1147" s="2" t="s">
        <v>5454</v>
      </c>
      <c r="I1147" s="2" t="s">
        <v>5455</v>
      </c>
      <c r="J1147" s="2" t="s">
        <v>807</v>
      </c>
      <c r="K1147" s="2" t="s">
        <v>818</v>
      </c>
      <c r="L1147" s="3">
        <v>70.3</v>
      </c>
      <c r="M1147" s="3">
        <v>73.82</v>
      </c>
      <c r="N1147" s="3">
        <v>159.99</v>
      </c>
      <c r="O1147" s="2" t="s">
        <v>243</v>
      </c>
      <c r="P1147" s="2" t="s">
        <v>341</v>
      </c>
      <c r="Q1147" s="2" t="s">
        <v>237</v>
      </c>
      <c r="R1147" s="2" t="s">
        <v>231</v>
      </c>
      <c r="S1147" s="2" t="s">
        <v>231</v>
      </c>
      <c r="T1147" s="2" t="s">
        <v>231</v>
      </c>
      <c r="U1147" s="2" t="s">
        <v>327</v>
      </c>
      <c r="V1147" s="2" t="s">
        <v>662</v>
      </c>
      <c r="W1147" s="2" t="s">
        <v>691</v>
      </c>
      <c r="X1147" s="2" t="s">
        <v>231</v>
      </c>
      <c r="Y1147" s="2" t="s">
        <v>2233</v>
      </c>
      <c r="Z1147" s="4">
        <v>19</v>
      </c>
      <c r="AA1147" s="4">
        <f>=ROUNDDOWN(6.33333333333333,0)</f>
      </c>
      <c r="AB1147" s="5">
        <v>3</v>
      </c>
      <c r="AC1147" s="2" t="s">
        <v>231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231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>
        <v>5</v>
      </c>
      <c r="BK1147" s="8">
        <v>284.36</v>
      </c>
      <c r="BL1147" s="2" t="s">
        <v>5456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5457</v>
      </c>
      <c r="BV1147" s="2" t="s">
        <v>231</v>
      </c>
      <c r="BW1147" s="2" t="s">
        <v>231</v>
      </c>
      <c r="BX1147" s="2" t="s">
        <v>231</v>
      </c>
      <c r="BY1147" s="2" t="s">
        <v>277</v>
      </c>
      <c r="BZ1147" s="2" t="s">
        <v>243</v>
      </c>
      <c r="CA1147" s="2" t="s">
        <v>5458</v>
      </c>
      <c r="CB1147" s="2" t="s">
        <v>3799</v>
      </c>
      <c r="CC1147" s="2" t="s">
        <v>244</v>
      </c>
      <c r="CD1147" s="2" t="s">
        <v>231</v>
      </c>
      <c r="CE1147" s="4"/>
      <c r="CF1147" s="4">
        <v>19</v>
      </c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</row>
    <row r="1148">
      <c r="A1148" s="2" t="s">
        <v>5459</v>
      </c>
      <c r="B1148" s="2" t="s">
        <v>226</v>
      </c>
      <c r="C1148" s="2" t="s">
        <v>288</v>
      </c>
      <c r="D1148" s="2" t="s">
        <v>1624</v>
      </c>
      <c r="E1148" s="2" t="s">
        <v>2589</v>
      </c>
      <c r="F1148" s="2" t="s">
        <v>5460</v>
      </c>
      <c r="G1148" s="2" t="s">
        <v>5461</v>
      </c>
      <c r="H1148" s="2" t="s">
        <v>231</v>
      </c>
      <c r="I1148" s="2" t="s">
        <v>5462</v>
      </c>
      <c r="J1148" s="2" t="s">
        <v>2845</v>
      </c>
      <c r="K1148" s="2" t="s">
        <v>269</v>
      </c>
      <c r="L1148" s="3">
        <v>15.87</v>
      </c>
      <c r="M1148" s="3">
        <v>16.66</v>
      </c>
      <c r="N1148" s="3">
        <v>34.99</v>
      </c>
      <c r="O1148" s="2" t="s">
        <v>243</v>
      </c>
      <c r="P1148" s="2" t="s">
        <v>270</v>
      </c>
      <c r="Q1148" s="2" t="s">
        <v>237</v>
      </c>
      <c r="R1148" s="2" t="s">
        <v>231</v>
      </c>
      <c r="S1148" s="2" t="s">
        <v>5463</v>
      </c>
      <c r="T1148" s="2" t="s">
        <v>1630</v>
      </c>
      <c r="U1148" s="2" t="s">
        <v>231</v>
      </c>
      <c r="V1148" s="2" t="s">
        <v>987</v>
      </c>
      <c r="W1148" s="2" t="s">
        <v>676</v>
      </c>
      <c r="X1148" s="2" t="s">
        <v>231</v>
      </c>
      <c r="Y1148" s="2" t="s">
        <v>5464</v>
      </c>
      <c r="Z1148" s="4">
        <v>948</v>
      </c>
      <c r="AA1148" s="4">
        <f>=ROUNDDOWN(43.0909090909091,0)</f>
      </c>
      <c r="AB1148" s="5">
        <v>22</v>
      </c>
      <c r="AC1148" s="2" t="s">
        <v>3693</v>
      </c>
      <c r="AD1148" s="4">
        <v>500</v>
      </c>
      <c r="AE1148" s="4">
        <v>2500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231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231</v>
      </c>
      <c r="BD1148" s="8" t="s">
        <v>231</v>
      </c>
      <c r="BE1148" s="4" t="s">
        <v>231</v>
      </c>
      <c r="BF1148" s="8" t="s">
        <v>231</v>
      </c>
      <c r="BG1148" s="7" t="s">
        <v>231</v>
      </c>
      <c r="BH1148" s="7" t="s">
        <v>231</v>
      </c>
      <c r="BI1148" s="7"/>
      <c r="BJ1148" s="4">
        <v>41</v>
      </c>
      <c r="BK1148" s="8">
        <v>666.08</v>
      </c>
      <c r="BL1148" s="2" t="s">
        <v>684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5465</v>
      </c>
      <c r="BV1148" s="2" t="s">
        <v>231</v>
      </c>
      <c r="BW1148" s="2" t="s">
        <v>231</v>
      </c>
      <c r="BX1148" s="2" t="s">
        <v>231</v>
      </c>
      <c r="BY1148" s="2" t="s">
        <v>277</v>
      </c>
      <c r="BZ1148" s="2" t="s">
        <v>243</v>
      </c>
      <c r="CA1148" s="2" t="s">
        <v>5466</v>
      </c>
      <c r="CB1148" s="2" t="s">
        <v>414</v>
      </c>
      <c r="CC1148" s="2" t="s">
        <v>244</v>
      </c>
      <c r="CD1148" s="2" t="s">
        <v>231</v>
      </c>
      <c r="CE1148" s="4">
        <v>948</v>
      </c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>
        <v>500</v>
      </c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>
        <v>2000</v>
      </c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</row>
    <row r="1149">
      <c r="A1149" s="2" t="s">
        <v>5467</v>
      </c>
      <c r="B1149" s="2" t="s">
        <v>226</v>
      </c>
      <c r="C1149" s="2" t="s">
        <v>288</v>
      </c>
      <c r="D1149" s="2" t="s">
        <v>1624</v>
      </c>
      <c r="E1149" s="2" t="s">
        <v>2589</v>
      </c>
      <c r="F1149" s="2" t="s">
        <v>5460</v>
      </c>
      <c r="G1149" s="2" t="s">
        <v>5461</v>
      </c>
      <c r="H1149" s="2" t="s">
        <v>231</v>
      </c>
      <c r="I1149" s="2" t="s">
        <v>5462</v>
      </c>
      <c r="J1149" s="2" t="s">
        <v>2845</v>
      </c>
      <c r="K1149" s="2" t="s">
        <v>1932</v>
      </c>
      <c r="L1149" s="3">
        <v>15.87</v>
      </c>
      <c r="M1149" s="3">
        <v>16.66</v>
      </c>
      <c r="N1149" s="3">
        <v>34.99</v>
      </c>
      <c r="O1149" s="2" t="s">
        <v>243</v>
      </c>
      <c r="P1149" s="2" t="s">
        <v>270</v>
      </c>
      <c r="Q1149" s="2" t="s">
        <v>237</v>
      </c>
      <c r="R1149" s="2" t="s">
        <v>231</v>
      </c>
      <c r="S1149" s="2" t="s">
        <v>5468</v>
      </c>
      <c r="T1149" s="2" t="s">
        <v>1630</v>
      </c>
      <c r="U1149" s="2" t="s">
        <v>231</v>
      </c>
      <c r="V1149" s="2" t="s">
        <v>1901</v>
      </c>
      <c r="W1149" s="2" t="s">
        <v>676</v>
      </c>
      <c r="X1149" s="2" t="s">
        <v>231</v>
      </c>
      <c r="Y1149" s="2" t="s">
        <v>5469</v>
      </c>
      <c r="Z1149" s="4">
        <v>1329</v>
      </c>
      <c r="AA1149" s="4">
        <f>=ROUNDDOWN(60.4090909090909,0)</f>
      </c>
      <c r="AB1149" s="5">
        <v>22</v>
      </c>
      <c r="AC1149" s="2" t="s">
        <v>383</v>
      </c>
      <c r="AD1149" s="4">
        <v>1800</v>
      </c>
      <c r="AE1149" s="4">
        <v>1800</v>
      </c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231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231</v>
      </c>
      <c r="BD1149" s="8" t="s">
        <v>231</v>
      </c>
      <c r="BE1149" s="4" t="s">
        <v>231</v>
      </c>
      <c r="BF1149" s="8" t="s">
        <v>231</v>
      </c>
      <c r="BG1149" s="7" t="s">
        <v>231</v>
      </c>
      <c r="BH1149" s="7" t="s">
        <v>231</v>
      </c>
      <c r="BI1149" s="7"/>
      <c r="BJ1149" s="4">
        <v>50</v>
      </c>
      <c r="BK1149" s="8">
        <v>785.95</v>
      </c>
      <c r="BL1149" s="2" t="s">
        <v>643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5470</v>
      </c>
      <c r="BV1149" s="2" t="s">
        <v>231</v>
      </c>
      <c r="BW1149" s="2" t="s">
        <v>231</v>
      </c>
      <c r="BX1149" s="2" t="s">
        <v>231</v>
      </c>
      <c r="BY1149" s="2" t="s">
        <v>277</v>
      </c>
      <c r="BZ1149" s="2" t="s">
        <v>243</v>
      </c>
      <c r="CA1149" s="2" t="s">
        <v>5466</v>
      </c>
      <c r="CB1149" s="2" t="s">
        <v>5471</v>
      </c>
      <c r="CC1149" s="2" t="s">
        <v>244</v>
      </c>
      <c r="CD1149" s="2" t="s">
        <v>231</v>
      </c>
      <c r="CE1149" s="4">
        <v>1328</v>
      </c>
      <c r="CF1149" s="4"/>
      <c r="CG1149" s="4"/>
      <c r="CH1149" s="4"/>
      <c r="CI1149" s="4"/>
      <c r="CJ1149" s="4"/>
      <c r="CK1149" s="4"/>
      <c r="CL1149" s="4">
        <v>1</v>
      </c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>
        <v>1800</v>
      </c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</row>
    <row r="1150">
      <c r="A1150" s="2" t="s">
        <v>5472</v>
      </c>
      <c r="B1150" s="2" t="s">
        <v>1004</v>
      </c>
      <c r="C1150" s="2" t="s">
        <v>867</v>
      </c>
      <c r="D1150" s="2" t="s">
        <v>1922</v>
      </c>
      <c r="E1150" s="2" t="s">
        <v>1923</v>
      </c>
      <c r="F1150" s="2" t="s">
        <v>5473</v>
      </c>
      <c r="G1150" s="2" t="s">
        <v>5473</v>
      </c>
      <c r="H1150" s="2" t="s">
        <v>5473</v>
      </c>
      <c r="I1150" s="2" t="s">
        <v>5474</v>
      </c>
      <c r="J1150" s="2" t="s">
        <v>807</v>
      </c>
      <c r="K1150" s="2" t="s">
        <v>5475</v>
      </c>
      <c r="L1150" s="3">
        <v>184.5</v>
      </c>
      <c r="M1150" s="3">
        <v>193.72</v>
      </c>
      <c r="N1150" s="3">
        <v>389</v>
      </c>
      <c r="O1150" s="2" t="s">
        <v>243</v>
      </c>
      <c r="P1150" s="2" t="s">
        <v>236</v>
      </c>
      <c r="Q1150" s="2" t="s">
        <v>237</v>
      </c>
      <c r="R1150" s="2" t="s">
        <v>231</v>
      </c>
      <c r="S1150" s="2" t="s">
        <v>231</v>
      </c>
      <c r="T1150" s="2" t="s">
        <v>231</v>
      </c>
      <c r="U1150" s="2" t="s">
        <v>327</v>
      </c>
      <c r="V1150" s="2" t="s">
        <v>662</v>
      </c>
      <c r="W1150" s="2" t="s">
        <v>896</v>
      </c>
      <c r="X1150" s="2" t="s">
        <v>5476</v>
      </c>
      <c r="Y1150" s="2" t="s">
        <v>5477</v>
      </c>
      <c r="Z1150" s="4">
        <v>35</v>
      </c>
      <c r="AA1150" s="4">
        <f>=ROUNDDOWN(2.91666666666667,0)</f>
      </c>
      <c r="AB1150" s="5">
        <v>12</v>
      </c>
      <c r="AC1150" s="2" t="s">
        <v>2322</v>
      </c>
      <c r="AD1150" s="4">
        <v>100</v>
      </c>
      <c r="AE1150" s="4">
        <v>100</v>
      </c>
      <c r="AF1150" s="6">
        <v>74</v>
      </c>
      <c r="AG1150" s="6"/>
      <c r="AH1150" s="7">
        <v>1</v>
      </c>
      <c r="AI1150" s="4"/>
      <c r="AJ1150" s="4">
        <f>=ROUNDDOWN({0},0)</f>
      </c>
      <c r="AK1150" s="5"/>
      <c r="AL1150" s="2" t="s">
        <v>231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/>
      <c r="BD1150" s="8"/>
      <c r="BE1150" s="4"/>
      <c r="BF1150" s="8"/>
      <c r="BG1150" s="7"/>
      <c r="BH1150" s="7"/>
      <c r="BI1150" s="7"/>
      <c r="BJ1150" s="4">
        <v>50</v>
      </c>
      <c r="BK1150" s="8">
        <v>9970.4</v>
      </c>
      <c r="BL1150" s="2" t="s">
        <v>3191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5478</v>
      </c>
      <c r="BV1150" s="2" t="s">
        <v>231</v>
      </c>
      <c r="BW1150" s="2" t="s">
        <v>231</v>
      </c>
      <c r="BX1150" s="2" t="s">
        <v>312</v>
      </c>
      <c r="BY1150" s="2" t="s">
        <v>277</v>
      </c>
      <c r="BZ1150" s="2" t="s">
        <v>243</v>
      </c>
      <c r="CA1150" s="2" t="s">
        <v>5479</v>
      </c>
      <c r="CB1150" s="2" t="s">
        <v>5480</v>
      </c>
      <c r="CC1150" s="2" t="s">
        <v>244</v>
      </c>
      <c r="CD1150" s="2" t="s">
        <v>231</v>
      </c>
      <c r="CE1150" s="4"/>
      <c r="CF1150" s="4">
        <v>35</v>
      </c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>
        <v>100</v>
      </c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</row>
    <row r="1151">
      <c r="A1151" s="2" t="s">
        <v>5481</v>
      </c>
      <c r="B1151" s="2" t="s">
        <v>1004</v>
      </c>
      <c r="C1151" s="2" t="s">
        <v>288</v>
      </c>
      <c r="D1151" s="2" t="s">
        <v>1922</v>
      </c>
      <c r="E1151" s="2" t="s">
        <v>1923</v>
      </c>
      <c r="F1151" s="2" t="s">
        <v>5482</v>
      </c>
      <c r="G1151" s="2" t="s">
        <v>5483</v>
      </c>
      <c r="H1151" s="2" t="s">
        <v>5484</v>
      </c>
      <c r="I1151" s="2" t="s">
        <v>5485</v>
      </c>
      <c r="J1151" s="2" t="s">
        <v>807</v>
      </c>
      <c r="K1151" s="2" t="s">
        <v>1136</v>
      </c>
      <c r="L1151" s="3">
        <v>232.97</v>
      </c>
      <c r="M1151" s="3">
        <v>244.62</v>
      </c>
      <c r="N1151" s="3">
        <v>499</v>
      </c>
      <c r="O1151" s="2" t="s">
        <v>243</v>
      </c>
      <c r="P1151" s="2" t="s">
        <v>1985</v>
      </c>
      <c r="Q1151" s="2" t="s">
        <v>237</v>
      </c>
      <c r="R1151" s="2" t="s">
        <v>231</v>
      </c>
      <c r="S1151" s="2" t="s">
        <v>231</v>
      </c>
      <c r="T1151" s="2" t="s">
        <v>231</v>
      </c>
      <c r="U1151" s="2" t="s">
        <v>791</v>
      </c>
      <c r="V1151" s="2" t="s">
        <v>239</v>
      </c>
      <c r="W1151" s="2" t="s">
        <v>691</v>
      </c>
      <c r="X1151" s="2" t="s">
        <v>231</v>
      </c>
      <c r="Y1151" s="2" t="s">
        <v>1012</v>
      </c>
      <c r="Z1151" s="4">
        <v>145</v>
      </c>
      <c r="AA1151" s="4">
        <f>=ROUNDDOWN(48.3333333333333,0)</f>
      </c>
      <c r="AB1151" s="5">
        <v>3</v>
      </c>
      <c r="AC1151" s="2" t="s">
        <v>231</v>
      </c>
      <c r="AD1151" s="4"/>
      <c r="AE1151" s="4"/>
      <c r="AF1151" s="6">
        <v>66</v>
      </c>
      <c r="AG1151" s="6"/>
      <c r="AH1151" s="7">
        <v>1</v>
      </c>
      <c r="AI1151" s="4"/>
      <c r="AJ1151" s="4">
        <f>=ROUNDDOWN({0},0)</f>
      </c>
      <c r="AK1151" s="5"/>
      <c r="AL1151" s="2" t="s">
        <v>231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>
        <v>12</v>
      </c>
      <c r="BK1151" s="8">
        <v>2783.87</v>
      </c>
      <c r="BL1151" s="2" t="s">
        <v>5486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5487</v>
      </c>
      <c r="BV1151" s="2" t="s">
        <v>231</v>
      </c>
      <c r="BW1151" s="2" t="s">
        <v>231</v>
      </c>
      <c r="BX1151" s="2" t="s">
        <v>231</v>
      </c>
      <c r="BY1151" s="2" t="s">
        <v>277</v>
      </c>
      <c r="BZ1151" s="2" t="s">
        <v>243</v>
      </c>
      <c r="CA1151" s="2" t="s">
        <v>1012</v>
      </c>
      <c r="CB1151" s="2" t="s">
        <v>5488</v>
      </c>
      <c r="CC1151" s="2" t="s">
        <v>244</v>
      </c>
      <c r="CD1151" s="2" t="s">
        <v>231</v>
      </c>
      <c r="CE1151" s="4"/>
      <c r="CF1151" s="4">
        <v>145</v>
      </c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</row>
    <row r="1152">
      <c r="A1152" s="2" t="s">
        <v>5489</v>
      </c>
      <c r="B1152" s="2" t="s">
        <v>801</v>
      </c>
      <c r="C1152" s="2" t="s">
        <v>815</v>
      </c>
      <c r="D1152" s="2" t="s">
        <v>803</v>
      </c>
      <c r="E1152" s="2" t="s">
        <v>804</v>
      </c>
      <c r="F1152" s="2" t="s">
        <v>5490</v>
      </c>
      <c r="G1152" s="2" t="s">
        <v>5490</v>
      </c>
      <c r="H1152" s="2" t="s">
        <v>5490</v>
      </c>
      <c r="I1152" s="2" t="s">
        <v>5491</v>
      </c>
      <c r="J1152" s="2" t="s">
        <v>807</v>
      </c>
      <c r="K1152" s="2" t="s">
        <v>5492</v>
      </c>
      <c r="L1152" s="3">
        <v>88.78</v>
      </c>
      <c r="M1152" s="3">
        <v>93.22</v>
      </c>
      <c r="N1152" s="3">
        <v>199</v>
      </c>
      <c r="O1152" s="2" t="s">
        <v>243</v>
      </c>
      <c r="P1152" s="2" t="s">
        <v>341</v>
      </c>
      <c r="Q1152" s="2" t="s">
        <v>237</v>
      </c>
      <c r="R1152" s="2" t="s">
        <v>231</v>
      </c>
      <c r="S1152" s="2" t="s">
        <v>231</v>
      </c>
      <c r="T1152" s="2" t="s">
        <v>231</v>
      </c>
      <c r="U1152" s="2" t="s">
        <v>327</v>
      </c>
      <c r="V1152" s="2" t="s">
        <v>662</v>
      </c>
      <c r="W1152" s="2" t="s">
        <v>691</v>
      </c>
      <c r="X1152" s="2" t="s">
        <v>5493</v>
      </c>
      <c r="Y1152" s="2" t="s">
        <v>1422</v>
      </c>
      <c r="Z1152" s="4">
        <v>87</v>
      </c>
      <c r="AA1152" s="4">
        <f>=ROUNDDOWN({0},0)</f>
      </c>
      <c r="AB1152" s="5"/>
      <c r="AC1152" s="2" t="s">
        <v>231</v>
      </c>
      <c r="AD1152" s="4"/>
      <c r="AE1152" s="4"/>
      <c r="AF1152" s="6">
        <v>63</v>
      </c>
      <c r="AG1152" s="6"/>
      <c r="AH1152" s="7">
        <v>1</v>
      </c>
      <c r="AI1152" s="4"/>
      <c r="AJ1152" s="4">
        <f>=ROUNDDOWN({0},0)</f>
      </c>
      <c r="AK1152" s="5"/>
      <c r="AL1152" s="2" t="s">
        <v>231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/>
      <c r="BK1152" s="8"/>
      <c r="BL1152" s="2" t="s">
        <v>231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5494</v>
      </c>
      <c r="BV1152" s="2" t="s">
        <v>231</v>
      </c>
      <c r="BW1152" s="2" t="s">
        <v>231</v>
      </c>
      <c r="BX1152" s="2" t="s">
        <v>231</v>
      </c>
      <c r="BY1152" s="2" t="s">
        <v>277</v>
      </c>
      <c r="BZ1152" s="2" t="s">
        <v>243</v>
      </c>
      <c r="CA1152" s="2" t="s">
        <v>3445</v>
      </c>
      <c r="CB1152" s="2" t="s">
        <v>1970</v>
      </c>
      <c r="CC1152" s="2" t="s">
        <v>244</v>
      </c>
      <c r="CD1152" s="2" t="s">
        <v>231</v>
      </c>
      <c r="CE1152" s="4"/>
      <c r="CF1152" s="4">
        <v>87</v>
      </c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</row>
    <row r="1153">
      <c r="A1153" s="2" t="s">
        <v>5495</v>
      </c>
      <c r="B1153" s="2" t="s">
        <v>824</v>
      </c>
      <c r="C1153" s="2" t="s">
        <v>1017</v>
      </c>
      <c r="D1153" s="2" t="s">
        <v>654</v>
      </c>
      <c r="E1153" s="2" t="s">
        <v>890</v>
      </c>
      <c r="F1153" s="2" t="s">
        <v>5496</v>
      </c>
      <c r="G1153" s="2" t="s">
        <v>5496</v>
      </c>
      <c r="H1153" s="2" t="s">
        <v>5496</v>
      </c>
      <c r="I1153" s="2" t="s">
        <v>5497</v>
      </c>
      <c r="J1153" s="2" t="s">
        <v>832</v>
      </c>
      <c r="K1153" s="2" t="s">
        <v>269</v>
      </c>
      <c r="L1153" s="3">
        <v>17.39</v>
      </c>
      <c r="M1153" s="3">
        <v>18.26</v>
      </c>
      <c r="N1153" s="3">
        <v>29.99</v>
      </c>
      <c r="O1153" s="2" t="s">
        <v>243</v>
      </c>
      <c r="P1153" s="2" t="s">
        <v>1019</v>
      </c>
      <c r="Q1153" s="2" t="s">
        <v>237</v>
      </c>
      <c r="R1153" s="2" t="s">
        <v>1020</v>
      </c>
      <c r="S1153" s="2" t="s">
        <v>231</v>
      </c>
      <c r="T1153" s="2" t="s">
        <v>472</v>
      </c>
      <c r="U1153" s="2" t="s">
        <v>791</v>
      </c>
      <c r="V1153" s="2" t="s">
        <v>662</v>
      </c>
      <c r="W1153" s="2" t="s">
        <v>273</v>
      </c>
      <c r="X1153" s="2" t="s">
        <v>231</v>
      </c>
      <c r="Y1153" s="2" t="s">
        <v>5498</v>
      </c>
      <c r="Z1153" s="4">
        <v>8</v>
      </c>
      <c r="AA1153" s="4">
        <f>=ROUNDDOWN(8.88888888888889,0)</f>
      </c>
      <c r="AB1153" s="5">
        <v>0.9</v>
      </c>
      <c r="AC1153" s="2" t="s">
        <v>231</v>
      </c>
      <c r="AD1153" s="4"/>
      <c r="AE1153" s="4"/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231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231</v>
      </c>
      <c r="AW1153" s="8" t="s">
        <v>231</v>
      </c>
      <c r="AX1153" s="4" t="s">
        <v>231</v>
      </c>
      <c r="AY1153" s="8" t="s">
        <v>231</v>
      </c>
      <c r="AZ1153" s="7" t="s">
        <v>231</v>
      </c>
      <c r="BA1153" s="7" t="s">
        <v>231</v>
      </c>
      <c r="BB1153" s="7"/>
      <c r="BC1153" s="4" t="s">
        <v>231</v>
      </c>
      <c r="BD1153" s="8" t="s">
        <v>231</v>
      </c>
      <c r="BE1153" s="4" t="s">
        <v>231</v>
      </c>
      <c r="BF1153" s="8" t="s">
        <v>231</v>
      </c>
      <c r="BG1153" s="7" t="s">
        <v>231</v>
      </c>
      <c r="BH1153" s="7" t="s">
        <v>231</v>
      </c>
      <c r="BI1153" s="7"/>
      <c r="BJ1153" s="4">
        <v>4</v>
      </c>
      <c r="BK1153" s="8">
        <v>159.96</v>
      </c>
      <c r="BL1153" s="2" t="s">
        <v>1022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5499</v>
      </c>
      <c r="BV1153" s="2" t="s">
        <v>231</v>
      </c>
      <c r="BW1153" s="2" t="s">
        <v>231</v>
      </c>
      <c r="BX1153" s="2" t="s">
        <v>241</v>
      </c>
      <c r="BY1153" s="2" t="s">
        <v>277</v>
      </c>
      <c r="BZ1153" s="2" t="s">
        <v>243</v>
      </c>
      <c r="CA1153" s="2" t="s">
        <v>1155</v>
      </c>
      <c r="CB1153" s="2" t="s">
        <v>231</v>
      </c>
      <c r="CC1153" s="2" t="s">
        <v>244</v>
      </c>
      <c r="CD1153" s="2" t="s">
        <v>231</v>
      </c>
      <c r="CE1153" s="4">
        <v>8</v>
      </c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</row>
    <row r="1154">
      <c r="A1154" s="2" t="s">
        <v>5500</v>
      </c>
      <c r="B1154" s="2" t="s">
        <v>824</v>
      </c>
      <c r="C1154" s="2" t="s">
        <v>1017</v>
      </c>
      <c r="D1154" s="2" t="s">
        <v>654</v>
      </c>
      <c r="E1154" s="2" t="s">
        <v>890</v>
      </c>
      <c r="F1154" s="2" t="s">
        <v>5496</v>
      </c>
      <c r="G1154" s="2" t="s">
        <v>5496</v>
      </c>
      <c r="H1154" s="2" t="s">
        <v>5496</v>
      </c>
      <c r="I1154" s="2" t="s">
        <v>5501</v>
      </c>
      <c r="J1154" s="2" t="s">
        <v>658</v>
      </c>
      <c r="K1154" s="2" t="s">
        <v>269</v>
      </c>
      <c r="L1154" s="3">
        <v>20.29</v>
      </c>
      <c r="M1154" s="3">
        <v>21.3</v>
      </c>
      <c r="N1154" s="3">
        <v>34.99</v>
      </c>
      <c r="O1154" s="2" t="s">
        <v>243</v>
      </c>
      <c r="P1154" s="2" t="s">
        <v>1019</v>
      </c>
      <c r="Q1154" s="2" t="s">
        <v>237</v>
      </c>
      <c r="R1154" s="2" t="s">
        <v>1020</v>
      </c>
      <c r="S1154" s="2" t="s">
        <v>231</v>
      </c>
      <c r="T1154" s="2" t="s">
        <v>472</v>
      </c>
      <c r="U1154" s="2" t="s">
        <v>835</v>
      </c>
      <c r="V1154" s="2" t="s">
        <v>662</v>
      </c>
      <c r="W1154" s="2" t="s">
        <v>273</v>
      </c>
      <c r="X1154" s="2" t="s">
        <v>231</v>
      </c>
      <c r="Y1154" s="2" t="s">
        <v>5502</v>
      </c>
      <c r="Z1154" s="4">
        <v>276</v>
      </c>
      <c r="AA1154" s="4">
        <f>=ROUNDDOWN(125.454545454545,0)</f>
      </c>
      <c r="AB1154" s="5">
        <v>2.2</v>
      </c>
      <c r="AC1154" s="2" t="s">
        <v>231</v>
      </c>
      <c r="AD1154" s="4"/>
      <c r="AE1154" s="4"/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231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231</v>
      </c>
      <c r="AW1154" s="8" t="s">
        <v>231</v>
      </c>
      <c r="AX1154" s="4" t="s">
        <v>231</v>
      </c>
      <c r="AY1154" s="8" t="s">
        <v>231</v>
      </c>
      <c r="AZ1154" s="7" t="s">
        <v>231</v>
      </c>
      <c r="BA1154" s="7" t="s">
        <v>231</v>
      </c>
      <c r="BB1154" s="7"/>
      <c r="BC1154" s="4" t="s">
        <v>231</v>
      </c>
      <c r="BD1154" s="8" t="s">
        <v>231</v>
      </c>
      <c r="BE1154" s="4" t="s">
        <v>231</v>
      </c>
      <c r="BF1154" s="8" t="s">
        <v>231</v>
      </c>
      <c r="BG1154" s="7" t="s">
        <v>231</v>
      </c>
      <c r="BH1154" s="7" t="s">
        <v>231</v>
      </c>
      <c r="BI1154" s="7"/>
      <c r="BJ1154" s="4">
        <v>7</v>
      </c>
      <c r="BK1154" s="8">
        <v>314.93</v>
      </c>
      <c r="BL1154" s="2" t="s">
        <v>1028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5503</v>
      </c>
      <c r="BV1154" s="2" t="s">
        <v>231</v>
      </c>
      <c r="BW1154" s="2" t="s">
        <v>231</v>
      </c>
      <c r="BX1154" s="2" t="s">
        <v>241</v>
      </c>
      <c r="BY1154" s="2" t="s">
        <v>277</v>
      </c>
      <c r="BZ1154" s="2" t="s">
        <v>243</v>
      </c>
      <c r="CA1154" s="2" t="s">
        <v>1155</v>
      </c>
      <c r="CB1154" s="2" t="s">
        <v>231</v>
      </c>
      <c r="CC1154" s="2" t="s">
        <v>244</v>
      </c>
      <c r="CD1154" s="2" t="s">
        <v>231</v>
      </c>
      <c r="CE1154" s="4">
        <v>276</v>
      </c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</row>
    <row r="1155">
      <c r="A1155" s="2" t="s">
        <v>5504</v>
      </c>
      <c r="B1155" s="2" t="s">
        <v>824</v>
      </c>
      <c r="C1155" s="2" t="s">
        <v>1017</v>
      </c>
      <c r="D1155" s="2" t="s">
        <v>654</v>
      </c>
      <c r="E1155" s="2" t="s">
        <v>890</v>
      </c>
      <c r="F1155" s="2" t="s">
        <v>5496</v>
      </c>
      <c r="G1155" s="2" t="s">
        <v>5496</v>
      </c>
      <c r="H1155" s="2" t="s">
        <v>5496</v>
      </c>
      <c r="I1155" s="2" t="s">
        <v>5501</v>
      </c>
      <c r="J1155" s="2" t="s">
        <v>302</v>
      </c>
      <c r="K1155" s="2" t="s">
        <v>269</v>
      </c>
      <c r="L1155" s="3">
        <v>23.19</v>
      </c>
      <c r="M1155" s="3">
        <v>24.35</v>
      </c>
      <c r="N1155" s="3">
        <v>39.99</v>
      </c>
      <c r="O1155" s="2" t="s">
        <v>243</v>
      </c>
      <c r="P1155" s="2" t="s">
        <v>1019</v>
      </c>
      <c r="Q1155" s="2" t="s">
        <v>237</v>
      </c>
      <c r="R1155" s="2" t="s">
        <v>1020</v>
      </c>
      <c r="S1155" s="2" t="s">
        <v>231</v>
      </c>
      <c r="T1155" s="2" t="s">
        <v>472</v>
      </c>
      <c r="U1155" s="2" t="s">
        <v>835</v>
      </c>
      <c r="V1155" s="2" t="s">
        <v>662</v>
      </c>
      <c r="W1155" s="2" t="s">
        <v>273</v>
      </c>
      <c r="X1155" s="2" t="s">
        <v>231</v>
      </c>
      <c r="Y1155" s="2" t="s">
        <v>5502</v>
      </c>
      <c r="Z1155" s="4">
        <v>22</v>
      </c>
      <c r="AA1155" s="4">
        <f>=ROUNDDOWN({0},0)</f>
      </c>
      <c r="AB1155" s="5"/>
      <c r="AC1155" s="2" t="s">
        <v>231</v>
      </c>
      <c r="AD1155" s="4"/>
      <c r="AE1155" s="4"/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231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231</v>
      </c>
      <c r="AW1155" s="8" t="s">
        <v>231</v>
      </c>
      <c r="AX1155" s="4" t="s">
        <v>231</v>
      </c>
      <c r="AY1155" s="8" t="s">
        <v>231</v>
      </c>
      <c r="AZ1155" s="7" t="s">
        <v>231</v>
      </c>
      <c r="BA1155" s="7" t="s">
        <v>231</v>
      </c>
      <c r="BB1155" s="7"/>
      <c r="BC1155" s="4" t="s">
        <v>231</v>
      </c>
      <c r="BD1155" s="8" t="s">
        <v>231</v>
      </c>
      <c r="BE1155" s="4" t="s">
        <v>231</v>
      </c>
      <c r="BF1155" s="8" t="s">
        <v>231</v>
      </c>
      <c r="BG1155" s="7" t="s">
        <v>231</v>
      </c>
      <c r="BH1155" s="7" t="s">
        <v>231</v>
      </c>
      <c r="BI1155" s="7"/>
      <c r="BJ1155" s="4"/>
      <c r="BK1155" s="8"/>
      <c r="BL1155" s="2" t="s">
        <v>1028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5505</v>
      </c>
      <c r="BV1155" s="2" t="s">
        <v>231</v>
      </c>
      <c r="BW1155" s="2" t="s">
        <v>231</v>
      </c>
      <c r="BX1155" s="2" t="s">
        <v>241</v>
      </c>
      <c r="BY1155" s="2" t="s">
        <v>277</v>
      </c>
      <c r="BZ1155" s="2" t="s">
        <v>243</v>
      </c>
      <c r="CA1155" s="2" t="s">
        <v>1155</v>
      </c>
      <c r="CB1155" s="2" t="s">
        <v>231</v>
      </c>
      <c r="CC1155" s="2" t="s">
        <v>244</v>
      </c>
      <c r="CD1155" s="2" t="s">
        <v>231</v>
      </c>
      <c r="CE1155" s="4">
        <v>22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</row>
    <row r="1156">
      <c r="A1156" s="2" t="s">
        <v>5506</v>
      </c>
      <c r="B1156" s="2" t="s">
        <v>824</v>
      </c>
      <c r="C1156" s="2" t="s">
        <v>1017</v>
      </c>
      <c r="D1156" s="2" t="s">
        <v>654</v>
      </c>
      <c r="E1156" s="2" t="s">
        <v>890</v>
      </c>
      <c r="F1156" s="2" t="s">
        <v>5496</v>
      </c>
      <c r="G1156" s="2" t="s">
        <v>5496</v>
      </c>
      <c r="H1156" s="2" t="s">
        <v>5496</v>
      </c>
      <c r="I1156" s="2" t="s">
        <v>5497</v>
      </c>
      <c r="J1156" s="2" t="s">
        <v>832</v>
      </c>
      <c r="K1156" s="2" t="s">
        <v>319</v>
      </c>
      <c r="L1156" s="3">
        <v>17.39</v>
      </c>
      <c r="M1156" s="3">
        <v>18.26</v>
      </c>
      <c r="N1156" s="3">
        <v>29.99</v>
      </c>
      <c r="O1156" s="2" t="s">
        <v>243</v>
      </c>
      <c r="P1156" s="2" t="s">
        <v>1019</v>
      </c>
      <c r="Q1156" s="2" t="s">
        <v>237</v>
      </c>
      <c r="R1156" s="2" t="s">
        <v>1020</v>
      </c>
      <c r="S1156" s="2" t="s">
        <v>231</v>
      </c>
      <c r="T1156" s="2" t="s">
        <v>472</v>
      </c>
      <c r="U1156" s="2" t="s">
        <v>791</v>
      </c>
      <c r="V1156" s="2" t="s">
        <v>662</v>
      </c>
      <c r="W1156" s="2" t="s">
        <v>273</v>
      </c>
      <c r="X1156" s="2" t="s">
        <v>231</v>
      </c>
      <c r="Y1156" s="2" t="s">
        <v>5507</v>
      </c>
      <c r="Z1156" s="4">
        <v>168</v>
      </c>
      <c r="AA1156" s="4">
        <f>=ROUNDDOWN(240,0)</f>
      </c>
      <c r="AB1156" s="5">
        <v>0.7</v>
      </c>
      <c r="AC1156" s="2" t="s">
        <v>231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231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231</v>
      </c>
      <c r="AW1156" s="8" t="s">
        <v>231</v>
      </c>
      <c r="AX1156" s="4" t="s">
        <v>231</v>
      </c>
      <c r="AY1156" s="8" t="s">
        <v>231</v>
      </c>
      <c r="AZ1156" s="7" t="s">
        <v>231</v>
      </c>
      <c r="BA1156" s="7" t="s">
        <v>231</v>
      </c>
      <c r="BB1156" s="7"/>
      <c r="BC1156" s="4" t="s">
        <v>231</v>
      </c>
      <c r="BD1156" s="8" t="s">
        <v>231</v>
      </c>
      <c r="BE1156" s="4" t="s">
        <v>231</v>
      </c>
      <c r="BF1156" s="8" t="s">
        <v>231</v>
      </c>
      <c r="BG1156" s="7" t="s">
        <v>231</v>
      </c>
      <c r="BH1156" s="7" t="s">
        <v>231</v>
      </c>
      <c r="BI1156" s="7"/>
      <c r="BJ1156" s="4">
        <v>1</v>
      </c>
      <c r="BK1156" s="8">
        <v>39.99</v>
      </c>
      <c r="BL1156" s="2" t="s">
        <v>1028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5508</v>
      </c>
      <c r="BV1156" s="2" t="s">
        <v>231</v>
      </c>
      <c r="BW1156" s="2" t="s">
        <v>231</v>
      </c>
      <c r="BX1156" s="2" t="s">
        <v>241</v>
      </c>
      <c r="BY1156" s="2" t="s">
        <v>277</v>
      </c>
      <c r="BZ1156" s="2" t="s">
        <v>243</v>
      </c>
      <c r="CA1156" s="2" t="s">
        <v>1155</v>
      </c>
      <c r="CB1156" s="2" t="s">
        <v>231</v>
      </c>
      <c r="CC1156" s="2" t="s">
        <v>244</v>
      </c>
      <c r="CD1156" s="2" t="s">
        <v>231</v>
      </c>
      <c r="CE1156" s="4">
        <v>168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</row>
    <row r="1157">
      <c r="A1157" s="2" t="s">
        <v>5509</v>
      </c>
      <c r="B1157" s="2" t="s">
        <v>824</v>
      </c>
      <c r="C1157" s="2" t="s">
        <v>1017</v>
      </c>
      <c r="D1157" s="2" t="s">
        <v>654</v>
      </c>
      <c r="E1157" s="2" t="s">
        <v>890</v>
      </c>
      <c r="F1157" s="2" t="s">
        <v>5496</v>
      </c>
      <c r="G1157" s="2" t="s">
        <v>5496</v>
      </c>
      <c r="H1157" s="2" t="s">
        <v>5496</v>
      </c>
      <c r="I1157" s="2" t="s">
        <v>5501</v>
      </c>
      <c r="J1157" s="2" t="s">
        <v>658</v>
      </c>
      <c r="K1157" s="2" t="s">
        <v>319</v>
      </c>
      <c r="L1157" s="3">
        <v>20.29</v>
      </c>
      <c r="M1157" s="3">
        <v>21.3</v>
      </c>
      <c r="N1157" s="3">
        <v>34.99</v>
      </c>
      <c r="O1157" s="2" t="s">
        <v>243</v>
      </c>
      <c r="P1157" s="2" t="s">
        <v>1019</v>
      </c>
      <c r="Q1157" s="2" t="s">
        <v>237</v>
      </c>
      <c r="R1157" s="2" t="s">
        <v>1020</v>
      </c>
      <c r="S1157" s="2" t="s">
        <v>231</v>
      </c>
      <c r="T1157" s="2" t="s">
        <v>472</v>
      </c>
      <c r="U1157" s="2" t="s">
        <v>835</v>
      </c>
      <c r="V1157" s="2" t="s">
        <v>662</v>
      </c>
      <c r="W1157" s="2" t="s">
        <v>273</v>
      </c>
      <c r="X1157" s="2" t="s">
        <v>231</v>
      </c>
      <c r="Y1157" s="2" t="s">
        <v>5507</v>
      </c>
      <c r="Z1157" s="4">
        <v>532</v>
      </c>
      <c r="AA1157" s="4">
        <f>=ROUNDDOWN(53.2,0)</f>
      </c>
      <c r="AB1157" s="5">
        <v>10</v>
      </c>
      <c r="AC1157" s="2" t="s">
        <v>231</v>
      </c>
      <c r="AD1157" s="4"/>
      <c r="AE1157" s="4"/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231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231</v>
      </c>
      <c r="AW1157" s="8" t="s">
        <v>231</v>
      </c>
      <c r="AX1157" s="4" t="s">
        <v>231</v>
      </c>
      <c r="AY1157" s="8" t="s">
        <v>231</v>
      </c>
      <c r="AZ1157" s="7" t="s">
        <v>231</v>
      </c>
      <c r="BA1157" s="7" t="s">
        <v>231</v>
      </c>
      <c r="BB1157" s="7"/>
      <c r="BC1157" s="4" t="s">
        <v>231</v>
      </c>
      <c r="BD1157" s="8" t="s">
        <v>231</v>
      </c>
      <c r="BE1157" s="4" t="s">
        <v>231</v>
      </c>
      <c r="BF1157" s="8" t="s">
        <v>231</v>
      </c>
      <c r="BG1157" s="7" t="s">
        <v>231</v>
      </c>
      <c r="BH1157" s="7" t="s">
        <v>231</v>
      </c>
      <c r="BI1157" s="7"/>
      <c r="BJ1157" s="4">
        <v>8</v>
      </c>
      <c r="BK1157" s="8">
        <v>353.92</v>
      </c>
      <c r="BL1157" s="2" t="s">
        <v>1028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5510</v>
      </c>
      <c r="BV1157" s="2" t="s">
        <v>231</v>
      </c>
      <c r="BW1157" s="2" t="s">
        <v>231</v>
      </c>
      <c r="BX1157" s="2" t="s">
        <v>241</v>
      </c>
      <c r="BY1157" s="2" t="s">
        <v>277</v>
      </c>
      <c r="BZ1157" s="2" t="s">
        <v>243</v>
      </c>
      <c r="CA1157" s="2" t="s">
        <v>1155</v>
      </c>
      <c r="CB1157" s="2" t="s">
        <v>231</v>
      </c>
      <c r="CC1157" s="2" t="s">
        <v>244</v>
      </c>
      <c r="CD1157" s="2" t="s">
        <v>231</v>
      </c>
      <c r="CE1157" s="4">
        <v>532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</row>
    <row r="1158">
      <c r="A1158" s="2" t="s">
        <v>5511</v>
      </c>
      <c r="B1158" s="2" t="s">
        <v>226</v>
      </c>
      <c r="C1158" s="2" t="s">
        <v>1548</v>
      </c>
      <c r="D1158" s="2" t="s">
        <v>3885</v>
      </c>
      <c r="E1158" s="2" t="s">
        <v>3915</v>
      </c>
      <c r="F1158" s="2" t="s">
        <v>5512</v>
      </c>
      <c r="G1158" s="2" t="s">
        <v>5512</v>
      </c>
      <c r="H1158" s="2" t="s">
        <v>5512</v>
      </c>
      <c r="I1158" s="2" t="s">
        <v>3888</v>
      </c>
      <c r="J1158" s="2" t="s">
        <v>318</v>
      </c>
      <c r="K1158" s="2" t="s">
        <v>319</v>
      </c>
      <c r="L1158" s="3">
        <v>35.71</v>
      </c>
      <c r="M1158" s="3">
        <v>37.5</v>
      </c>
      <c r="N1158" s="3">
        <v>74.99</v>
      </c>
      <c r="O1158" s="2" t="s">
        <v>243</v>
      </c>
      <c r="P1158" s="2" t="s">
        <v>295</v>
      </c>
      <c r="Q1158" s="2" t="s">
        <v>237</v>
      </c>
      <c r="R1158" s="2" t="s">
        <v>231</v>
      </c>
      <c r="S1158" s="2" t="s">
        <v>5513</v>
      </c>
      <c r="T1158" s="2" t="s">
        <v>472</v>
      </c>
      <c r="U1158" s="2" t="s">
        <v>327</v>
      </c>
      <c r="V1158" s="2" t="s">
        <v>987</v>
      </c>
      <c r="W1158" s="2" t="s">
        <v>273</v>
      </c>
      <c r="X1158" s="2" t="s">
        <v>231</v>
      </c>
      <c r="Y1158" s="2" t="s">
        <v>231</v>
      </c>
      <c r="Z1158" s="4"/>
      <c r="AA1158" s="4">
        <f>=ROUNDDOWN({0},0)</f>
      </c>
      <c r="AB1158" s="5"/>
      <c r="AC1158" s="2" t="s">
        <v>1556</v>
      </c>
      <c r="AD1158" s="4">
        <v>200</v>
      </c>
      <c r="AE1158" s="4">
        <v>500</v>
      </c>
      <c r="AF1158" s="6">
        <v>66</v>
      </c>
      <c r="AG1158" s="6"/>
      <c r="AH1158" s="7">
        <v>0</v>
      </c>
      <c r="AI1158" s="4"/>
      <c r="AJ1158" s="4">
        <f>=ROUNDDOWN({0},0)</f>
      </c>
      <c r="AK1158" s="5"/>
      <c r="AL1158" s="2" t="s">
        <v>231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231</v>
      </c>
      <c r="AW1158" s="8" t="s">
        <v>231</v>
      </c>
      <c r="AX1158" s="4" t="s">
        <v>231</v>
      </c>
      <c r="AY1158" s="8" t="s">
        <v>231</v>
      </c>
      <c r="AZ1158" s="7" t="s">
        <v>231</v>
      </c>
      <c r="BA1158" s="7" t="s">
        <v>231</v>
      </c>
      <c r="BB1158" s="7"/>
      <c r="BC1158" s="4" t="s">
        <v>231</v>
      </c>
      <c r="BD1158" s="8" t="s">
        <v>231</v>
      </c>
      <c r="BE1158" s="4" t="s">
        <v>231</v>
      </c>
      <c r="BF1158" s="8" t="s">
        <v>231</v>
      </c>
      <c r="BG1158" s="7" t="s">
        <v>231</v>
      </c>
      <c r="BH1158" s="7" t="s">
        <v>231</v>
      </c>
      <c r="BI1158" s="7"/>
      <c r="BJ1158" s="4"/>
      <c r="BK1158" s="8"/>
      <c r="BL1158" s="2" t="s">
        <v>231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241</v>
      </c>
      <c r="BV1158" s="2" t="s">
        <v>231</v>
      </c>
      <c r="BW1158" s="2" t="s">
        <v>231</v>
      </c>
      <c r="BX1158" s="2" t="s">
        <v>241</v>
      </c>
      <c r="BY1158" s="2" t="s">
        <v>242</v>
      </c>
      <c r="BZ1158" s="2" t="s">
        <v>243</v>
      </c>
      <c r="CA1158" s="2" t="s">
        <v>231</v>
      </c>
      <c r="CB1158" s="2" t="s">
        <v>231</v>
      </c>
      <c r="CC1158" s="2" t="s">
        <v>244</v>
      </c>
      <c r="CD1158" s="2" t="s">
        <v>231</v>
      </c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>
        <v>200</v>
      </c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>
        <v>300</v>
      </c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</row>
    <row r="1159">
      <c r="A1159" s="2" t="s">
        <v>5514</v>
      </c>
      <c r="B1159" s="2" t="s">
        <v>226</v>
      </c>
      <c r="C1159" s="2" t="s">
        <v>1548</v>
      </c>
      <c r="D1159" s="2" t="s">
        <v>3885</v>
      </c>
      <c r="E1159" s="2" t="s">
        <v>3915</v>
      </c>
      <c r="F1159" s="2" t="s">
        <v>5512</v>
      </c>
      <c r="G1159" s="2" t="s">
        <v>5512</v>
      </c>
      <c r="H1159" s="2" t="s">
        <v>5512</v>
      </c>
      <c r="I1159" s="2" t="s">
        <v>3888</v>
      </c>
      <c r="J1159" s="2" t="s">
        <v>268</v>
      </c>
      <c r="K1159" s="2" t="s">
        <v>319</v>
      </c>
      <c r="L1159" s="3">
        <v>35.71</v>
      </c>
      <c r="M1159" s="3">
        <v>37.5</v>
      </c>
      <c r="N1159" s="3">
        <v>74.99</v>
      </c>
      <c r="O1159" s="2" t="s">
        <v>243</v>
      </c>
      <c r="P1159" s="2" t="s">
        <v>295</v>
      </c>
      <c r="Q1159" s="2" t="s">
        <v>237</v>
      </c>
      <c r="R1159" s="2" t="s">
        <v>231</v>
      </c>
      <c r="S1159" s="2" t="s">
        <v>5513</v>
      </c>
      <c r="T1159" s="2" t="s">
        <v>472</v>
      </c>
      <c r="U1159" s="2" t="s">
        <v>327</v>
      </c>
      <c r="V1159" s="2" t="s">
        <v>987</v>
      </c>
      <c r="W1159" s="2" t="s">
        <v>273</v>
      </c>
      <c r="X1159" s="2" t="s">
        <v>231</v>
      </c>
      <c r="Y1159" s="2" t="s">
        <v>231</v>
      </c>
      <c r="Z1159" s="4"/>
      <c r="AA1159" s="4">
        <f>=ROUNDDOWN({0},0)</f>
      </c>
      <c r="AB1159" s="5"/>
      <c r="AC1159" s="2" t="s">
        <v>1556</v>
      </c>
      <c r="AD1159" s="4">
        <v>250</v>
      </c>
      <c r="AE1159" s="4">
        <v>630</v>
      </c>
      <c r="AF1159" s="6">
        <v>66</v>
      </c>
      <c r="AG1159" s="6"/>
      <c r="AH1159" s="7">
        <v>0</v>
      </c>
      <c r="AI1159" s="4"/>
      <c r="AJ1159" s="4">
        <f>=ROUNDDOWN({0},0)</f>
      </c>
      <c r="AK1159" s="5"/>
      <c r="AL1159" s="2" t="s">
        <v>231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231</v>
      </c>
      <c r="AW1159" s="8" t="s">
        <v>231</v>
      </c>
      <c r="AX1159" s="4" t="s">
        <v>231</v>
      </c>
      <c r="AY1159" s="8" t="s">
        <v>231</v>
      </c>
      <c r="AZ1159" s="7" t="s">
        <v>231</v>
      </c>
      <c r="BA1159" s="7" t="s">
        <v>231</v>
      </c>
      <c r="BB1159" s="7"/>
      <c r="BC1159" s="4" t="s">
        <v>231</v>
      </c>
      <c r="BD1159" s="8" t="s">
        <v>231</v>
      </c>
      <c r="BE1159" s="4" t="s">
        <v>231</v>
      </c>
      <c r="BF1159" s="8" t="s">
        <v>231</v>
      </c>
      <c r="BG1159" s="7" t="s">
        <v>231</v>
      </c>
      <c r="BH1159" s="7" t="s">
        <v>231</v>
      </c>
      <c r="BI1159" s="7"/>
      <c r="BJ1159" s="4"/>
      <c r="BK1159" s="8"/>
      <c r="BL1159" s="2" t="s">
        <v>231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241</v>
      </c>
      <c r="BV1159" s="2" t="s">
        <v>231</v>
      </c>
      <c r="BW1159" s="2" t="s">
        <v>231</v>
      </c>
      <c r="BX1159" s="2" t="s">
        <v>241</v>
      </c>
      <c r="BY1159" s="2" t="s">
        <v>242</v>
      </c>
      <c r="BZ1159" s="2" t="s">
        <v>243</v>
      </c>
      <c r="CA1159" s="2" t="s">
        <v>231</v>
      </c>
      <c r="CB1159" s="2" t="s">
        <v>231</v>
      </c>
      <c r="CC1159" s="2" t="s">
        <v>244</v>
      </c>
      <c r="CD1159" s="2" t="s">
        <v>231</v>
      </c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>
        <v>250</v>
      </c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>
        <v>380</v>
      </c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</row>
    <row r="1160">
      <c r="A1160" s="2" t="s">
        <v>5515</v>
      </c>
      <c r="B1160" s="2" t="s">
        <v>226</v>
      </c>
      <c r="C1160" s="2" t="s">
        <v>1548</v>
      </c>
      <c r="D1160" s="2" t="s">
        <v>3885</v>
      </c>
      <c r="E1160" s="2" t="s">
        <v>3915</v>
      </c>
      <c r="F1160" s="2" t="s">
        <v>5512</v>
      </c>
      <c r="G1160" s="2" t="s">
        <v>5512</v>
      </c>
      <c r="H1160" s="2" t="s">
        <v>5512</v>
      </c>
      <c r="I1160" s="2" t="s">
        <v>3888</v>
      </c>
      <c r="J1160" s="2" t="s">
        <v>281</v>
      </c>
      <c r="K1160" s="2" t="s">
        <v>319</v>
      </c>
      <c r="L1160" s="3">
        <v>40.47</v>
      </c>
      <c r="M1160" s="3">
        <v>42.49</v>
      </c>
      <c r="N1160" s="3">
        <v>84.99</v>
      </c>
      <c r="O1160" s="2" t="s">
        <v>243</v>
      </c>
      <c r="P1160" s="2" t="s">
        <v>295</v>
      </c>
      <c r="Q1160" s="2" t="s">
        <v>237</v>
      </c>
      <c r="R1160" s="2" t="s">
        <v>231</v>
      </c>
      <c r="S1160" s="2" t="s">
        <v>5513</v>
      </c>
      <c r="T1160" s="2" t="s">
        <v>472</v>
      </c>
      <c r="U1160" s="2" t="s">
        <v>327</v>
      </c>
      <c r="V1160" s="2" t="s">
        <v>987</v>
      </c>
      <c r="W1160" s="2" t="s">
        <v>273</v>
      </c>
      <c r="X1160" s="2" t="s">
        <v>231</v>
      </c>
      <c r="Y1160" s="2" t="s">
        <v>231</v>
      </c>
      <c r="Z1160" s="4"/>
      <c r="AA1160" s="4">
        <f>=ROUNDDOWN({0},0)</f>
      </c>
      <c r="AB1160" s="5"/>
      <c r="AC1160" s="2" t="s">
        <v>1556</v>
      </c>
      <c r="AD1160" s="4">
        <v>340</v>
      </c>
      <c r="AE1160" s="4">
        <v>840</v>
      </c>
      <c r="AF1160" s="6">
        <v>66</v>
      </c>
      <c r="AG1160" s="6"/>
      <c r="AH1160" s="7">
        <v>0</v>
      </c>
      <c r="AI1160" s="4"/>
      <c r="AJ1160" s="4">
        <f>=ROUNDDOWN({0},0)</f>
      </c>
      <c r="AK1160" s="5"/>
      <c r="AL1160" s="2" t="s">
        <v>231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231</v>
      </c>
      <c r="AW1160" s="8" t="s">
        <v>231</v>
      </c>
      <c r="AX1160" s="4" t="s">
        <v>231</v>
      </c>
      <c r="AY1160" s="8" t="s">
        <v>231</v>
      </c>
      <c r="AZ1160" s="7" t="s">
        <v>231</v>
      </c>
      <c r="BA1160" s="7" t="s">
        <v>231</v>
      </c>
      <c r="BB1160" s="7"/>
      <c r="BC1160" s="4" t="s">
        <v>231</v>
      </c>
      <c r="BD1160" s="8" t="s">
        <v>231</v>
      </c>
      <c r="BE1160" s="4" t="s">
        <v>231</v>
      </c>
      <c r="BF1160" s="8" t="s">
        <v>231</v>
      </c>
      <c r="BG1160" s="7" t="s">
        <v>231</v>
      </c>
      <c r="BH1160" s="7" t="s">
        <v>231</v>
      </c>
      <c r="BI1160" s="7"/>
      <c r="BJ1160" s="4"/>
      <c r="BK1160" s="8"/>
      <c r="BL1160" s="2" t="s">
        <v>231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241</v>
      </c>
      <c r="BV1160" s="2" t="s">
        <v>231</v>
      </c>
      <c r="BW1160" s="2" t="s">
        <v>231</v>
      </c>
      <c r="BX1160" s="2" t="s">
        <v>241</v>
      </c>
      <c r="BY1160" s="2" t="s">
        <v>242</v>
      </c>
      <c r="BZ1160" s="2" t="s">
        <v>243</v>
      </c>
      <c r="CA1160" s="2" t="s">
        <v>231</v>
      </c>
      <c r="CB1160" s="2" t="s">
        <v>231</v>
      </c>
      <c r="CC1160" s="2" t="s">
        <v>244</v>
      </c>
      <c r="CD1160" s="2" t="s">
        <v>231</v>
      </c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>
        <v>340</v>
      </c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>
        <v>500</v>
      </c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</row>
    <row r="1161">
      <c r="A1161" s="2" t="s">
        <v>5516</v>
      </c>
      <c r="B1161" s="2" t="s">
        <v>226</v>
      </c>
      <c r="C1161" s="2" t="s">
        <v>1548</v>
      </c>
      <c r="D1161" s="2" t="s">
        <v>3885</v>
      </c>
      <c r="E1161" s="2" t="s">
        <v>3915</v>
      </c>
      <c r="F1161" s="2" t="s">
        <v>5512</v>
      </c>
      <c r="G1161" s="2" t="s">
        <v>5512</v>
      </c>
      <c r="H1161" s="2" t="s">
        <v>5512</v>
      </c>
      <c r="I1161" s="2" t="s">
        <v>3888</v>
      </c>
      <c r="J1161" s="2" t="s">
        <v>293</v>
      </c>
      <c r="K1161" s="2" t="s">
        <v>319</v>
      </c>
      <c r="L1161" s="3">
        <v>54.76</v>
      </c>
      <c r="M1161" s="3">
        <v>57.5</v>
      </c>
      <c r="N1161" s="3">
        <v>114.99</v>
      </c>
      <c r="O1161" s="2" t="s">
        <v>243</v>
      </c>
      <c r="P1161" s="2" t="s">
        <v>295</v>
      </c>
      <c r="Q1161" s="2" t="s">
        <v>237</v>
      </c>
      <c r="R1161" s="2" t="s">
        <v>231</v>
      </c>
      <c r="S1161" s="2" t="s">
        <v>5513</v>
      </c>
      <c r="T1161" s="2" t="s">
        <v>472</v>
      </c>
      <c r="U1161" s="2" t="s">
        <v>327</v>
      </c>
      <c r="V1161" s="2" t="s">
        <v>987</v>
      </c>
      <c r="W1161" s="2" t="s">
        <v>273</v>
      </c>
      <c r="X1161" s="2" t="s">
        <v>231</v>
      </c>
      <c r="Y1161" s="2" t="s">
        <v>231</v>
      </c>
      <c r="Z1161" s="4"/>
      <c r="AA1161" s="4">
        <f>=ROUNDDOWN({0},0)</f>
      </c>
      <c r="AB1161" s="5"/>
      <c r="AC1161" s="2" t="s">
        <v>1556</v>
      </c>
      <c r="AD1161" s="4">
        <v>700</v>
      </c>
      <c r="AE1161" s="4">
        <v>1760</v>
      </c>
      <c r="AF1161" s="6">
        <v>66</v>
      </c>
      <c r="AG1161" s="6"/>
      <c r="AH1161" s="7">
        <v>0</v>
      </c>
      <c r="AI1161" s="4"/>
      <c r="AJ1161" s="4">
        <f>=ROUNDDOWN({0},0)</f>
      </c>
      <c r="AK1161" s="5"/>
      <c r="AL1161" s="2" t="s">
        <v>231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231</v>
      </c>
      <c r="AW1161" s="8" t="s">
        <v>231</v>
      </c>
      <c r="AX1161" s="4" t="s">
        <v>231</v>
      </c>
      <c r="AY1161" s="8" t="s">
        <v>231</v>
      </c>
      <c r="AZ1161" s="7" t="s">
        <v>231</v>
      </c>
      <c r="BA1161" s="7" t="s">
        <v>231</v>
      </c>
      <c r="BB1161" s="7"/>
      <c r="BC1161" s="4" t="s">
        <v>231</v>
      </c>
      <c r="BD1161" s="8" t="s">
        <v>231</v>
      </c>
      <c r="BE1161" s="4" t="s">
        <v>231</v>
      </c>
      <c r="BF1161" s="8" t="s">
        <v>231</v>
      </c>
      <c r="BG1161" s="7" t="s">
        <v>231</v>
      </c>
      <c r="BH1161" s="7" t="s">
        <v>231</v>
      </c>
      <c r="BI1161" s="7"/>
      <c r="BJ1161" s="4"/>
      <c r="BK1161" s="8"/>
      <c r="BL1161" s="2" t="s">
        <v>231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241</v>
      </c>
      <c r="BV1161" s="2" t="s">
        <v>231</v>
      </c>
      <c r="BW1161" s="2" t="s">
        <v>231</v>
      </c>
      <c r="BX1161" s="2" t="s">
        <v>241</v>
      </c>
      <c r="BY1161" s="2" t="s">
        <v>242</v>
      </c>
      <c r="BZ1161" s="2" t="s">
        <v>243</v>
      </c>
      <c r="CA1161" s="2" t="s">
        <v>231</v>
      </c>
      <c r="CB1161" s="2" t="s">
        <v>231</v>
      </c>
      <c r="CC1161" s="2" t="s">
        <v>244</v>
      </c>
      <c r="CD1161" s="2" t="s">
        <v>231</v>
      </c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>
        <v>700</v>
      </c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>
        <v>1060</v>
      </c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</row>
    <row r="1162">
      <c r="A1162" s="2" t="s">
        <v>5517</v>
      </c>
      <c r="B1162" s="2" t="s">
        <v>226</v>
      </c>
      <c r="C1162" s="2" t="s">
        <v>1548</v>
      </c>
      <c r="D1162" s="2" t="s">
        <v>3885</v>
      </c>
      <c r="E1162" s="2" t="s">
        <v>3915</v>
      </c>
      <c r="F1162" s="2" t="s">
        <v>5512</v>
      </c>
      <c r="G1162" s="2" t="s">
        <v>5512</v>
      </c>
      <c r="H1162" s="2" t="s">
        <v>5512</v>
      </c>
      <c r="I1162" s="2" t="s">
        <v>3888</v>
      </c>
      <c r="J1162" s="2" t="s">
        <v>302</v>
      </c>
      <c r="K1162" s="2" t="s">
        <v>319</v>
      </c>
      <c r="L1162" s="3">
        <v>59.52</v>
      </c>
      <c r="M1162" s="3">
        <v>62.5</v>
      </c>
      <c r="N1162" s="3">
        <v>124.99</v>
      </c>
      <c r="O1162" s="2" t="s">
        <v>243</v>
      </c>
      <c r="P1162" s="2" t="s">
        <v>295</v>
      </c>
      <c r="Q1162" s="2" t="s">
        <v>237</v>
      </c>
      <c r="R1162" s="2" t="s">
        <v>231</v>
      </c>
      <c r="S1162" s="2" t="s">
        <v>5513</v>
      </c>
      <c r="T1162" s="2" t="s">
        <v>472</v>
      </c>
      <c r="U1162" s="2" t="s">
        <v>327</v>
      </c>
      <c r="V1162" s="2" t="s">
        <v>987</v>
      </c>
      <c r="W1162" s="2" t="s">
        <v>273</v>
      </c>
      <c r="X1162" s="2" t="s">
        <v>231</v>
      </c>
      <c r="Y1162" s="2" t="s">
        <v>231</v>
      </c>
      <c r="Z1162" s="4"/>
      <c r="AA1162" s="4">
        <f>=ROUNDDOWN({0},0)</f>
      </c>
      <c r="AB1162" s="5"/>
      <c r="AC1162" s="2" t="s">
        <v>1556</v>
      </c>
      <c r="AD1162" s="4">
        <v>420</v>
      </c>
      <c r="AE1162" s="4">
        <v>1060</v>
      </c>
      <c r="AF1162" s="6">
        <v>66</v>
      </c>
      <c r="AG1162" s="6"/>
      <c r="AH1162" s="7">
        <v>0</v>
      </c>
      <c r="AI1162" s="4"/>
      <c r="AJ1162" s="4">
        <f>=ROUNDDOWN({0},0)</f>
      </c>
      <c r="AK1162" s="5"/>
      <c r="AL1162" s="2" t="s">
        <v>231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231</v>
      </c>
      <c r="AW1162" s="8" t="s">
        <v>231</v>
      </c>
      <c r="AX1162" s="4" t="s">
        <v>231</v>
      </c>
      <c r="AY1162" s="8" t="s">
        <v>231</v>
      </c>
      <c r="AZ1162" s="7" t="s">
        <v>231</v>
      </c>
      <c r="BA1162" s="7" t="s">
        <v>231</v>
      </c>
      <c r="BB1162" s="7"/>
      <c r="BC1162" s="4" t="s">
        <v>231</v>
      </c>
      <c r="BD1162" s="8" t="s">
        <v>231</v>
      </c>
      <c r="BE1162" s="4" t="s">
        <v>231</v>
      </c>
      <c r="BF1162" s="8" t="s">
        <v>231</v>
      </c>
      <c r="BG1162" s="7" t="s">
        <v>231</v>
      </c>
      <c r="BH1162" s="7" t="s">
        <v>231</v>
      </c>
      <c r="BI1162" s="7"/>
      <c r="BJ1162" s="4"/>
      <c r="BK1162" s="8"/>
      <c r="BL1162" s="2" t="s">
        <v>231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241</v>
      </c>
      <c r="BV1162" s="2" t="s">
        <v>231</v>
      </c>
      <c r="BW1162" s="2" t="s">
        <v>231</v>
      </c>
      <c r="BX1162" s="2" t="s">
        <v>241</v>
      </c>
      <c r="BY1162" s="2" t="s">
        <v>242</v>
      </c>
      <c r="BZ1162" s="2" t="s">
        <v>243</v>
      </c>
      <c r="CA1162" s="2" t="s">
        <v>231</v>
      </c>
      <c r="CB1162" s="2" t="s">
        <v>231</v>
      </c>
      <c r="CC1162" s="2" t="s">
        <v>244</v>
      </c>
      <c r="CD1162" s="2" t="s">
        <v>231</v>
      </c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>
        <v>420</v>
      </c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>
        <v>640</v>
      </c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</row>
    <row r="1163">
      <c r="A1163" s="2" t="s">
        <v>5518</v>
      </c>
      <c r="B1163" s="2" t="s">
        <v>226</v>
      </c>
      <c r="C1163" s="2" t="s">
        <v>1548</v>
      </c>
      <c r="D1163" s="2" t="s">
        <v>3885</v>
      </c>
      <c r="E1163" s="2" t="s">
        <v>3915</v>
      </c>
      <c r="F1163" s="2" t="s">
        <v>5512</v>
      </c>
      <c r="G1163" s="2" t="s">
        <v>5512</v>
      </c>
      <c r="H1163" s="2" t="s">
        <v>5512</v>
      </c>
      <c r="I1163" s="2" t="s">
        <v>3888</v>
      </c>
      <c r="J1163" s="2" t="s">
        <v>304</v>
      </c>
      <c r="K1163" s="2" t="s">
        <v>319</v>
      </c>
      <c r="L1163" s="3">
        <v>59.52</v>
      </c>
      <c r="M1163" s="3">
        <v>62.5</v>
      </c>
      <c r="N1163" s="3">
        <v>124.99</v>
      </c>
      <c r="O1163" s="2" t="s">
        <v>243</v>
      </c>
      <c r="P1163" s="2" t="s">
        <v>295</v>
      </c>
      <c r="Q1163" s="2" t="s">
        <v>237</v>
      </c>
      <c r="R1163" s="2" t="s">
        <v>231</v>
      </c>
      <c r="S1163" s="2" t="s">
        <v>5513</v>
      </c>
      <c r="T1163" s="2" t="s">
        <v>472</v>
      </c>
      <c r="U1163" s="2" t="s">
        <v>327</v>
      </c>
      <c r="V1163" s="2" t="s">
        <v>987</v>
      </c>
      <c r="W1163" s="2" t="s">
        <v>273</v>
      </c>
      <c r="X1163" s="2" t="s">
        <v>231</v>
      </c>
      <c r="Y1163" s="2" t="s">
        <v>231</v>
      </c>
      <c r="Z1163" s="4"/>
      <c r="AA1163" s="4">
        <f>=ROUNDDOWN({0},0)</f>
      </c>
      <c r="AB1163" s="5"/>
      <c r="AC1163" s="2" t="s">
        <v>1556</v>
      </c>
      <c r="AD1163" s="4">
        <v>200</v>
      </c>
      <c r="AE1163" s="4">
        <v>500</v>
      </c>
      <c r="AF1163" s="6">
        <v>66</v>
      </c>
      <c r="AG1163" s="6"/>
      <c r="AH1163" s="7">
        <v>0</v>
      </c>
      <c r="AI1163" s="4"/>
      <c r="AJ1163" s="4">
        <f>=ROUNDDOWN({0},0)</f>
      </c>
      <c r="AK1163" s="5"/>
      <c r="AL1163" s="2" t="s">
        <v>231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231</v>
      </c>
      <c r="AW1163" s="8" t="s">
        <v>231</v>
      </c>
      <c r="AX1163" s="4" t="s">
        <v>231</v>
      </c>
      <c r="AY1163" s="8" t="s">
        <v>231</v>
      </c>
      <c r="AZ1163" s="7" t="s">
        <v>231</v>
      </c>
      <c r="BA1163" s="7" t="s">
        <v>231</v>
      </c>
      <c r="BB1163" s="7"/>
      <c r="BC1163" s="4" t="s">
        <v>231</v>
      </c>
      <c r="BD1163" s="8" t="s">
        <v>231</v>
      </c>
      <c r="BE1163" s="4" t="s">
        <v>231</v>
      </c>
      <c r="BF1163" s="8" t="s">
        <v>231</v>
      </c>
      <c r="BG1163" s="7" t="s">
        <v>231</v>
      </c>
      <c r="BH1163" s="7" t="s">
        <v>231</v>
      </c>
      <c r="BI1163" s="7"/>
      <c r="BJ1163" s="4"/>
      <c r="BK1163" s="8"/>
      <c r="BL1163" s="2" t="s">
        <v>231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241</v>
      </c>
      <c r="BV1163" s="2" t="s">
        <v>231</v>
      </c>
      <c r="BW1163" s="2" t="s">
        <v>231</v>
      </c>
      <c r="BX1163" s="2" t="s">
        <v>241</v>
      </c>
      <c r="BY1163" s="2" t="s">
        <v>242</v>
      </c>
      <c r="BZ1163" s="2" t="s">
        <v>243</v>
      </c>
      <c r="CA1163" s="2" t="s">
        <v>231</v>
      </c>
      <c r="CB1163" s="2" t="s">
        <v>231</v>
      </c>
      <c r="CC1163" s="2" t="s">
        <v>244</v>
      </c>
      <c r="CD1163" s="2" t="s">
        <v>231</v>
      </c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>
        <v>200</v>
      </c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>
        <v>300</v>
      </c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</row>
    <row r="1164">
      <c r="A1164" s="2" t="s">
        <v>5519</v>
      </c>
      <c r="B1164" s="2" t="s">
        <v>287</v>
      </c>
      <c r="C1164" s="2" t="s">
        <v>288</v>
      </c>
      <c r="D1164" s="2" t="s">
        <v>289</v>
      </c>
      <c r="E1164" s="2" t="s">
        <v>290</v>
      </c>
      <c r="F1164" s="2" t="s">
        <v>5520</v>
      </c>
      <c r="G1164" s="2" t="s">
        <v>5520</v>
      </c>
      <c r="H1164" s="2" t="s">
        <v>5520</v>
      </c>
      <c r="I1164" s="2" t="s">
        <v>5521</v>
      </c>
      <c r="J1164" s="2" t="s">
        <v>302</v>
      </c>
      <c r="K1164" s="2" t="s">
        <v>5522</v>
      </c>
      <c r="L1164" s="3">
        <v>17.58</v>
      </c>
      <c r="M1164" s="3">
        <v>18.46</v>
      </c>
      <c r="N1164" s="3">
        <v>39.99</v>
      </c>
      <c r="O1164" s="2" t="s">
        <v>243</v>
      </c>
      <c r="P1164" s="2" t="s">
        <v>341</v>
      </c>
      <c r="Q1164" s="2" t="s">
        <v>237</v>
      </c>
      <c r="R1164" s="2" t="s">
        <v>231</v>
      </c>
      <c r="S1164" s="2" t="s">
        <v>5523</v>
      </c>
      <c r="T1164" s="2" t="s">
        <v>472</v>
      </c>
      <c r="U1164" s="2" t="s">
        <v>298</v>
      </c>
      <c r="V1164" s="2" t="s">
        <v>1890</v>
      </c>
      <c r="W1164" s="2" t="s">
        <v>273</v>
      </c>
      <c r="X1164" s="2" t="s">
        <v>231</v>
      </c>
      <c r="Y1164" s="2" t="s">
        <v>5524</v>
      </c>
      <c r="Z1164" s="4">
        <v>74</v>
      </c>
      <c r="AA1164" s="4">
        <f>=ROUNDDOWN(37,0)</f>
      </c>
      <c r="AB1164" s="5">
        <v>2</v>
      </c>
      <c r="AC1164" s="2" t="s">
        <v>231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231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231</v>
      </c>
      <c r="BD1164" s="8" t="s">
        <v>231</v>
      </c>
      <c r="BE1164" s="4" t="s">
        <v>231</v>
      </c>
      <c r="BF1164" s="8" t="s">
        <v>231</v>
      </c>
      <c r="BG1164" s="7" t="s">
        <v>231</v>
      </c>
      <c r="BH1164" s="7" t="s">
        <v>231</v>
      </c>
      <c r="BI1164" s="7"/>
      <c r="BJ1164" s="4">
        <v>13</v>
      </c>
      <c r="BK1164" s="8">
        <v>252.5</v>
      </c>
      <c r="BL1164" s="2" t="s">
        <v>1731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5525</v>
      </c>
      <c r="BV1164" s="2" t="s">
        <v>231</v>
      </c>
      <c r="BW1164" s="2" t="s">
        <v>231</v>
      </c>
      <c r="BX1164" s="2" t="s">
        <v>231</v>
      </c>
      <c r="BY1164" s="2" t="s">
        <v>277</v>
      </c>
      <c r="BZ1164" s="2" t="s">
        <v>243</v>
      </c>
      <c r="CA1164" s="2" t="s">
        <v>2744</v>
      </c>
      <c r="CB1164" s="2" t="s">
        <v>3896</v>
      </c>
      <c r="CC1164" s="2" t="s">
        <v>244</v>
      </c>
      <c r="CD1164" s="2" t="s">
        <v>231</v>
      </c>
      <c r="CE1164" s="4">
        <v>74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</row>
    <row r="1165">
      <c r="A1165" s="2" t="s">
        <v>5526</v>
      </c>
      <c r="B1165" s="2" t="s">
        <v>287</v>
      </c>
      <c r="C1165" s="2" t="s">
        <v>288</v>
      </c>
      <c r="D1165" s="2" t="s">
        <v>289</v>
      </c>
      <c r="E1165" s="2" t="s">
        <v>290</v>
      </c>
      <c r="F1165" s="2" t="s">
        <v>5520</v>
      </c>
      <c r="G1165" s="2" t="s">
        <v>5520</v>
      </c>
      <c r="H1165" s="2" t="s">
        <v>5520</v>
      </c>
      <c r="I1165" s="2" t="s">
        <v>5521</v>
      </c>
      <c r="J1165" s="2" t="s">
        <v>281</v>
      </c>
      <c r="K1165" s="2" t="s">
        <v>5527</v>
      </c>
      <c r="L1165" s="3">
        <v>13.56</v>
      </c>
      <c r="M1165" s="3">
        <v>14.24</v>
      </c>
      <c r="N1165" s="3">
        <v>32.99</v>
      </c>
      <c r="O1165" s="2" t="s">
        <v>243</v>
      </c>
      <c r="P1165" s="2" t="s">
        <v>341</v>
      </c>
      <c r="Q1165" s="2" t="s">
        <v>237</v>
      </c>
      <c r="R1165" s="2" t="s">
        <v>231</v>
      </c>
      <c r="S1165" s="2" t="s">
        <v>5528</v>
      </c>
      <c r="T1165" s="2" t="s">
        <v>472</v>
      </c>
      <c r="U1165" s="2" t="s">
        <v>298</v>
      </c>
      <c r="V1165" s="2" t="s">
        <v>1890</v>
      </c>
      <c r="W1165" s="2" t="s">
        <v>273</v>
      </c>
      <c r="X1165" s="2" t="s">
        <v>231</v>
      </c>
      <c r="Y1165" s="2" t="s">
        <v>5524</v>
      </c>
      <c r="Z1165" s="4">
        <v>119</v>
      </c>
      <c r="AA1165" s="4">
        <f>=ROUNDDOWN(59.5,0)</f>
      </c>
      <c r="AB1165" s="5">
        <v>2</v>
      </c>
      <c r="AC1165" s="2" t="s">
        <v>231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231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231</v>
      </c>
      <c r="BD1165" s="8" t="s">
        <v>231</v>
      </c>
      <c r="BE1165" s="4" t="s">
        <v>231</v>
      </c>
      <c r="BF1165" s="8" t="s">
        <v>231</v>
      </c>
      <c r="BG1165" s="7" t="s">
        <v>231</v>
      </c>
      <c r="BH1165" s="7" t="s">
        <v>231</v>
      </c>
      <c r="BI1165" s="7"/>
      <c r="BJ1165" s="4">
        <v>5</v>
      </c>
      <c r="BK1165" s="8">
        <v>71.14</v>
      </c>
      <c r="BL1165" s="2" t="s">
        <v>3767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5529</v>
      </c>
      <c r="BV1165" s="2" t="s">
        <v>231</v>
      </c>
      <c r="BW1165" s="2" t="s">
        <v>231</v>
      </c>
      <c r="BX1165" s="2" t="s">
        <v>231</v>
      </c>
      <c r="BY1165" s="2" t="s">
        <v>277</v>
      </c>
      <c r="BZ1165" s="2" t="s">
        <v>243</v>
      </c>
      <c r="CA1165" s="2" t="s">
        <v>2744</v>
      </c>
      <c r="CB1165" s="2" t="s">
        <v>1720</v>
      </c>
      <c r="CC1165" s="2" t="s">
        <v>244</v>
      </c>
      <c r="CD1165" s="2" t="s">
        <v>231</v>
      </c>
      <c r="CE1165" s="4">
        <v>119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</row>
    <row r="1166">
      <c r="A1166" s="2" t="s">
        <v>5530</v>
      </c>
      <c r="B1166" s="2" t="s">
        <v>992</v>
      </c>
      <c r="C1166" s="2" t="s">
        <v>288</v>
      </c>
      <c r="D1166" s="2" t="s">
        <v>993</v>
      </c>
      <c r="E1166" s="2" t="s">
        <v>994</v>
      </c>
      <c r="F1166" s="2" t="s">
        <v>5531</v>
      </c>
      <c r="G1166" s="2" t="s">
        <v>5090</v>
      </c>
      <c r="H1166" s="2" t="s">
        <v>5532</v>
      </c>
      <c r="I1166" s="2" t="s">
        <v>5533</v>
      </c>
      <c r="J1166" s="2" t="s">
        <v>996</v>
      </c>
      <c r="K1166" s="2" t="s">
        <v>294</v>
      </c>
      <c r="L1166" s="3">
        <v>16</v>
      </c>
      <c r="M1166" s="3">
        <v>16.8</v>
      </c>
      <c r="N1166" s="3">
        <v>39.99</v>
      </c>
      <c r="O1166" s="2" t="s">
        <v>243</v>
      </c>
      <c r="P1166" s="2" t="s">
        <v>236</v>
      </c>
      <c r="Q1166" s="2" t="s">
        <v>237</v>
      </c>
      <c r="R1166" s="2" t="s">
        <v>231</v>
      </c>
      <c r="S1166" s="2" t="s">
        <v>5534</v>
      </c>
      <c r="T1166" s="2" t="s">
        <v>231</v>
      </c>
      <c r="U1166" s="2" t="s">
        <v>327</v>
      </c>
      <c r="V1166" s="2" t="s">
        <v>239</v>
      </c>
      <c r="W1166" s="2" t="s">
        <v>792</v>
      </c>
      <c r="X1166" s="2" t="s">
        <v>3672</v>
      </c>
      <c r="Y1166" s="2" t="s">
        <v>5535</v>
      </c>
      <c r="Z1166" s="4">
        <v>320</v>
      </c>
      <c r="AA1166" s="4">
        <f>=ROUNDDOWN(35.5555555555556,0)</f>
      </c>
      <c r="AB1166" s="5">
        <v>9</v>
      </c>
      <c r="AC1166" s="2" t="s">
        <v>231</v>
      </c>
      <c r="AD1166" s="4"/>
      <c r="AE1166" s="4"/>
      <c r="AF1166" s="6">
        <v>64</v>
      </c>
      <c r="AG1166" s="6"/>
      <c r="AH1166" s="7">
        <v>1</v>
      </c>
      <c r="AI1166" s="4"/>
      <c r="AJ1166" s="4">
        <f>=ROUNDDOWN({0},0)</f>
      </c>
      <c r="AK1166" s="5"/>
      <c r="AL1166" s="2" t="s">
        <v>231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231</v>
      </c>
      <c r="AW1166" s="8" t="s">
        <v>231</v>
      </c>
      <c r="AX1166" s="4" t="s">
        <v>231</v>
      </c>
      <c r="AY1166" s="8" t="s">
        <v>231</v>
      </c>
      <c r="AZ1166" s="7" t="s">
        <v>231</v>
      </c>
      <c r="BA1166" s="7" t="s">
        <v>231</v>
      </c>
      <c r="BB1166" s="7"/>
      <c r="BC1166" s="4" t="s">
        <v>231</v>
      </c>
      <c r="BD1166" s="8" t="s">
        <v>231</v>
      </c>
      <c r="BE1166" s="4" t="s">
        <v>231</v>
      </c>
      <c r="BF1166" s="8" t="s">
        <v>231</v>
      </c>
      <c r="BG1166" s="7" t="s">
        <v>231</v>
      </c>
      <c r="BH1166" s="7" t="s">
        <v>231</v>
      </c>
      <c r="BI1166" s="7"/>
      <c r="BJ1166" s="4">
        <v>15</v>
      </c>
      <c r="BK1166" s="8">
        <v>224.17</v>
      </c>
      <c r="BL1166" s="2" t="s">
        <v>5536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5537</v>
      </c>
      <c r="BV1166" s="2" t="s">
        <v>231</v>
      </c>
      <c r="BW1166" s="2" t="s">
        <v>231</v>
      </c>
      <c r="BX1166" s="2" t="s">
        <v>5538</v>
      </c>
      <c r="BY1166" s="2" t="s">
        <v>277</v>
      </c>
      <c r="BZ1166" s="2" t="s">
        <v>243</v>
      </c>
      <c r="CA1166" s="2" t="s">
        <v>5539</v>
      </c>
      <c r="CB1166" s="2" t="s">
        <v>5540</v>
      </c>
      <c r="CC1166" s="2" t="s">
        <v>244</v>
      </c>
      <c r="CD1166" s="2" t="s">
        <v>231</v>
      </c>
      <c r="CE1166" s="4">
        <v>320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</row>
    <row r="1167">
      <c r="A1167" s="2" t="s">
        <v>5541</v>
      </c>
      <c r="B1167" s="2" t="s">
        <v>992</v>
      </c>
      <c r="C1167" s="2" t="s">
        <v>288</v>
      </c>
      <c r="D1167" s="2" t="s">
        <v>993</v>
      </c>
      <c r="E1167" s="2" t="s">
        <v>994</v>
      </c>
      <c r="F1167" s="2" t="s">
        <v>5531</v>
      </c>
      <c r="G1167" s="2" t="s">
        <v>5090</v>
      </c>
      <c r="H1167" s="2" t="s">
        <v>5532</v>
      </c>
      <c r="I1167" s="2" t="s">
        <v>5533</v>
      </c>
      <c r="J1167" s="2" t="s">
        <v>1450</v>
      </c>
      <c r="K1167" s="2" t="s">
        <v>294</v>
      </c>
      <c r="L1167" s="3">
        <v>21</v>
      </c>
      <c r="M1167" s="3">
        <v>22.05</v>
      </c>
      <c r="N1167" s="3">
        <v>49.99</v>
      </c>
      <c r="O1167" s="2" t="s">
        <v>243</v>
      </c>
      <c r="P1167" s="2" t="s">
        <v>236</v>
      </c>
      <c r="Q1167" s="2" t="s">
        <v>237</v>
      </c>
      <c r="R1167" s="2" t="s">
        <v>231</v>
      </c>
      <c r="S1167" s="2" t="s">
        <v>5534</v>
      </c>
      <c r="T1167" s="2" t="s">
        <v>231</v>
      </c>
      <c r="U1167" s="2" t="s">
        <v>327</v>
      </c>
      <c r="V1167" s="2" t="s">
        <v>239</v>
      </c>
      <c r="W1167" s="2" t="s">
        <v>792</v>
      </c>
      <c r="X1167" s="2" t="s">
        <v>3672</v>
      </c>
      <c r="Y1167" s="2" t="s">
        <v>5535</v>
      </c>
      <c r="Z1167" s="4">
        <v>59</v>
      </c>
      <c r="AA1167" s="4">
        <f>=ROUNDDOWN(19.6666666666667,0)</f>
      </c>
      <c r="AB1167" s="5">
        <v>3</v>
      </c>
      <c r="AC1167" s="2" t="s">
        <v>231</v>
      </c>
      <c r="AD1167" s="4"/>
      <c r="AE1167" s="4"/>
      <c r="AF1167" s="6">
        <v>64</v>
      </c>
      <c r="AG1167" s="6"/>
      <c r="AH1167" s="7">
        <v>1</v>
      </c>
      <c r="AI1167" s="4"/>
      <c r="AJ1167" s="4">
        <f>=ROUNDDOWN({0},0)</f>
      </c>
      <c r="AK1167" s="5"/>
      <c r="AL1167" s="2" t="s">
        <v>231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231</v>
      </c>
      <c r="AW1167" s="8" t="s">
        <v>231</v>
      </c>
      <c r="AX1167" s="4" t="s">
        <v>231</v>
      </c>
      <c r="AY1167" s="8" t="s">
        <v>231</v>
      </c>
      <c r="AZ1167" s="7" t="s">
        <v>231</v>
      </c>
      <c r="BA1167" s="7" t="s">
        <v>231</v>
      </c>
      <c r="BB1167" s="7"/>
      <c r="BC1167" s="4" t="s">
        <v>231</v>
      </c>
      <c r="BD1167" s="8" t="s">
        <v>231</v>
      </c>
      <c r="BE1167" s="4" t="s">
        <v>231</v>
      </c>
      <c r="BF1167" s="8" t="s">
        <v>231</v>
      </c>
      <c r="BG1167" s="7" t="s">
        <v>231</v>
      </c>
      <c r="BH1167" s="7" t="s">
        <v>231</v>
      </c>
      <c r="BI1167" s="7"/>
      <c r="BJ1167" s="4">
        <v>8</v>
      </c>
      <c r="BK1167" s="8">
        <v>149.94</v>
      </c>
      <c r="BL1167" s="2" t="s">
        <v>5542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5543</v>
      </c>
      <c r="BV1167" s="2" t="s">
        <v>231</v>
      </c>
      <c r="BW1167" s="2" t="s">
        <v>231</v>
      </c>
      <c r="BX1167" s="2" t="s">
        <v>5538</v>
      </c>
      <c r="BY1167" s="2" t="s">
        <v>277</v>
      </c>
      <c r="BZ1167" s="2" t="s">
        <v>243</v>
      </c>
      <c r="CA1167" s="2" t="s">
        <v>5539</v>
      </c>
      <c r="CB1167" s="2" t="s">
        <v>231</v>
      </c>
      <c r="CC1167" s="2" t="s">
        <v>244</v>
      </c>
      <c r="CD1167" s="2" t="s">
        <v>231</v>
      </c>
      <c r="CE1167" s="4">
        <v>59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</row>
    <row r="1168">
      <c r="A1168" s="2" t="s">
        <v>5544</v>
      </c>
      <c r="B1168" s="2" t="s">
        <v>992</v>
      </c>
      <c r="C1168" s="2" t="s">
        <v>288</v>
      </c>
      <c r="D1168" s="2" t="s">
        <v>993</v>
      </c>
      <c r="E1168" s="2" t="s">
        <v>994</v>
      </c>
      <c r="F1168" s="2" t="s">
        <v>5531</v>
      </c>
      <c r="G1168" s="2" t="s">
        <v>5090</v>
      </c>
      <c r="H1168" s="2" t="s">
        <v>5532</v>
      </c>
      <c r="I1168" s="2" t="s">
        <v>5533</v>
      </c>
      <c r="J1168" s="2" t="s">
        <v>5545</v>
      </c>
      <c r="K1168" s="2" t="s">
        <v>294</v>
      </c>
      <c r="L1168" s="3">
        <v>23.1</v>
      </c>
      <c r="M1168" s="3">
        <v>24.26</v>
      </c>
      <c r="N1168" s="3">
        <v>54.99</v>
      </c>
      <c r="O1168" s="2" t="s">
        <v>243</v>
      </c>
      <c r="P1168" s="2" t="s">
        <v>236</v>
      </c>
      <c r="Q1168" s="2" t="s">
        <v>237</v>
      </c>
      <c r="R1168" s="2" t="s">
        <v>231</v>
      </c>
      <c r="S1168" s="2" t="s">
        <v>5534</v>
      </c>
      <c r="T1168" s="2" t="s">
        <v>231</v>
      </c>
      <c r="U1168" s="2" t="s">
        <v>327</v>
      </c>
      <c r="V1168" s="2" t="s">
        <v>239</v>
      </c>
      <c r="W1168" s="2" t="s">
        <v>792</v>
      </c>
      <c r="X1168" s="2" t="s">
        <v>3672</v>
      </c>
      <c r="Y1168" s="2" t="s">
        <v>5535</v>
      </c>
      <c r="Z1168" s="4">
        <v>27</v>
      </c>
      <c r="AA1168" s="4">
        <f>=ROUNDDOWN(13.5,0)</f>
      </c>
      <c r="AB1168" s="5">
        <v>2</v>
      </c>
      <c r="AC1168" s="2" t="s">
        <v>231</v>
      </c>
      <c r="AD1168" s="4"/>
      <c r="AE1168" s="4"/>
      <c r="AF1168" s="6">
        <v>64</v>
      </c>
      <c r="AG1168" s="6"/>
      <c r="AH1168" s="7">
        <v>1</v>
      </c>
      <c r="AI1168" s="4"/>
      <c r="AJ1168" s="4">
        <f>=ROUNDDOWN({0},0)</f>
      </c>
      <c r="AK1168" s="5"/>
      <c r="AL1168" s="2" t="s">
        <v>231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231</v>
      </c>
      <c r="AW1168" s="8" t="s">
        <v>231</v>
      </c>
      <c r="AX1168" s="4" t="s">
        <v>231</v>
      </c>
      <c r="AY1168" s="8" t="s">
        <v>231</v>
      </c>
      <c r="AZ1168" s="7" t="s">
        <v>231</v>
      </c>
      <c r="BA1168" s="7" t="s">
        <v>231</v>
      </c>
      <c r="BB1168" s="7"/>
      <c r="BC1168" s="4" t="s">
        <v>231</v>
      </c>
      <c r="BD1168" s="8" t="s">
        <v>231</v>
      </c>
      <c r="BE1168" s="4" t="s">
        <v>231</v>
      </c>
      <c r="BF1168" s="8" t="s">
        <v>231</v>
      </c>
      <c r="BG1168" s="7" t="s">
        <v>231</v>
      </c>
      <c r="BH1168" s="7" t="s">
        <v>231</v>
      </c>
      <c r="BI1168" s="7"/>
      <c r="BJ1168" s="4">
        <v>8</v>
      </c>
      <c r="BK1168" s="8">
        <v>202.88</v>
      </c>
      <c r="BL1168" s="2" t="s">
        <v>1976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5546</v>
      </c>
      <c r="BV1168" s="2" t="s">
        <v>231</v>
      </c>
      <c r="BW1168" s="2" t="s">
        <v>231</v>
      </c>
      <c r="BX1168" s="2" t="s">
        <v>5538</v>
      </c>
      <c r="BY1168" s="2" t="s">
        <v>277</v>
      </c>
      <c r="BZ1168" s="2" t="s">
        <v>243</v>
      </c>
      <c r="CA1168" s="2" t="s">
        <v>5539</v>
      </c>
      <c r="CB1168" s="2" t="s">
        <v>5479</v>
      </c>
      <c r="CC1168" s="2" t="s">
        <v>244</v>
      </c>
      <c r="CD1168" s="2" t="s">
        <v>231</v>
      </c>
      <c r="CE1168" s="4">
        <v>27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</row>
    <row r="1169">
      <c r="A1169" s="2" t="s">
        <v>5547</v>
      </c>
      <c r="B1169" s="2" t="s">
        <v>992</v>
      </c>
      <c r="C1169" s="2" t="s">
        <v>288</v>
      </c>
      <c r="D1169" s="2" t="s">
        <v>993</v>
      </c>
      <c r="E1169" s="2" t="s">
        <v>994</v>
      </c>
      <c r="F1169" s="2" t="s">
        <v>5531</v>
      </c>
      <c r="G1169" s="2" t="s">
        <v>5090</v>
      </c>
      <c r="H1169" s="2" t="s">
        <v>5532</v>
      </c>
      <c r="I1169" s="2" t="s">
        <v>5548</v>
      </c>
      <c r="J1169" s="2" t="s">
        <v>5549</v>
      </c>
      <c r="K1169" s="2" t="s">
        <v>294</v>
      </c>
      <c r="L1169" s="3">
        <v>18.4</v>
      </c>
      <c r="M1169" s="3">
        <v>19.32</v>
      </c>
      <c r="N1169" s="3">
        <v>39.99</v>
      </c>
      <c r="O1169" s="2" t="s">
        <v>243</v>
      </c>
      <c r="P1169" s="2" t="s">
        <v>236</v>
      </c>
      <c r="Q1169" s="2" t="s">
        <v>237</v>
      </c>
      <c r="R1169" s="2" t="s">
        <v>231</v>
      </c>
      <c r="S1169" s="2" t="s">
        <v>5534</v>
      </c>
      <c r="T1169" s="2" t="s">
        <v>231</v>
      </c>
      <c r="U1169" s="2" t="s">
        <v>327</v>
      </c>
      <c r="V1169" s="2" t="s">
        <v>239</v>
      </c>
      <c r="W1169" s="2" t="s">
        <v>792</v>
      </c>
      <c r="X1169" s="2" t="s">
        <v>998</v>
      </c>
      <c r="Y1169" s="2" t="s">
        <v>5535</v>
      </c>
      <c r="Z1169" s="4">
        <v>99</v>
      </c>
      <c r="AA1169" s="4">
        <f>=ROUNDDOWN(33,0)</f>
      </c>
      <c r="AB1169" s="5">
        <v>3</v>
      </c>
      <c r="AC1169" s="2" t="s">
        <v>231</v>
      </c>
      <c r="AD1169" s="4"/>
      <c r="AE1169" s="4"/>
      <c r="AF1169" s="6">
        <v>64</v>
      </c>
      <c r="AG1169" s="6"/>
      <c r="AH1169" s="7">
        <v>1</v>
      </c>
      <c r="AI1169" s="4"/>
      <c r="AJ1169" s="4">
        <f>=ROUNDDOWN({0},0)</f>
      </c>
      <c r="AK1169" s="5"/>
      <c r="AL1169" s="2" t="s">
        <v>231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231</v>
      </c>
      <c r="AW1169" s="8" t="s">
        <v>231</v>
      </c>
      <c r="AX1169" s="4" t="s">
        <v>231</v>
      </c>
      <c r="AY1169" s="8" t="s">
        <v>231</v>
      </c>
      <c r="AZ1169" s="7" t="s">
        <v>231</v>
      </c>
      <c r="BA1169" s="7" t="s">
        <v>231</v>
      </c>
      <c r="BB1169" s="7"/>
      <c r="BC1169" s="4" t="s">
        <v>231</v>
      </c>
      <c r="BD1169" s="8" t="s">
        <v>231</v>
      </c>
      <c r="BE1169" s="4" t="s">
        <v>231</v>
      </c>
      <c r="BF1169" s="8" t="s">
        <v>231</v>
      </c>
      <c r="BG1169" s="7" t="s">
        <v>231</v>
      </c>
      <c r="BH1169" s="7" t="s">
        <v>231</v>
      </c>
      <c r="BI1169" s="7"/>
      <c r="BJ1169" s="4">
        <v>6</v>
      </c>
      <c r="BK1169" s="8">
        <v>100.82</v>
      </c>
      <c r="BL1169" s="2" t="s">
        <v>628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5550</v>
      </c>
      <c r="BV1169" s="2" t="s">
        <v>231</v>
      </c>
      <c r="BW1169" s="2" t="s">
        <v>231</v>
      </c>
      <c r="BX1169" s="2" t="s">
        <v>312</v>
      </c>
      <c r="BY1169" s="2" t="s">
        <v>277</v>
      </c>
      <c r="BZ1169" s="2" t="s">
        <v>243</v>
      </c>
      <c r="CA1169" s="2" t="s">
        <v>5539</v>
      </c>
      <c r="CB1169" s="2" t="s">
        <v>5551</v>
      </c>
      <c r="CC1169" s="2" t="s">
        <v>244</v>
      </c>
      <c r="CD1169" s="2" t="s">
        <v>231</v>
      </c>
      <c r="CE1169" s="4">
        <v>99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</row>
    <row r="1170">
      <c r="A1170" s="2" t="s">
        <v>5552</v>
      </c>
      <c r="B1170" s="2" t="s">
        <v>992</v>
      </c>
      <c r="C1170" s="2" t="s">
        <v>288</v>
      </c>
      <c r="D1170" s="2" t="s">
        <v>993</v>
      </c>
      <c r="E1170" s="2" t="s">
        <v>994</v>
      </c>
      <c r="F1170" s="2" t="s">
        <v>5531</v>
      </c>
      <c r="G1170" s="2" t="s">
        <v>5090</v>
      </c>
      <c r="H1170" s="2" t="s">
        <v>5532</v>
      </c>
      <c r="I1170" s="2" t="s">
        <v>5548</v>
      </c>
      <c r="J1170" s="2" t="s">
        <v>5553</v>
      </c>
      <c r="K1170" s="2" t="s">
        <v>294</v>
      </c>
      <c r="L1170" s="3">
        <v>20.25</v>
      </c>
      <c r="M1170" s="3">
        <v>21.26</v>
      </c>
      <c r="N1170" s="3">
        <v>44.99</v>
      </c>
      <c r="O1170" s="2" t="s">
        <v>243</v>
      </c>
      <c r="P1170" s="2" t="s">
        <v>236</v>
      </c>
      <c r="Q1170" s="2" t="s">
        <v>237</v>
      </c>
      <c r="R1170" s="2" t="s">
        <v>231</v>
      </c>
      <c r="S1170" s="2" t="s">
        <v>5534</v>
      </c>
      <c r="T1170" s="2" t="s">
        <v>231</v>
      </c>
      <c r="U1170" s="2" t="s">
        <v>327</v>
      </c>
      <c r="V1170" s="2" t="s">
        <v>239</v>
      </c>
      <c r="W1170" s="2" t="s">
        <v>792</v>
      </c>
      <c r="X1170" s="2" t="s">
        <v>998</v>
      </c>
      <c r="Y1170" s="2" t="s">
        <v>5535</v>
      </c>
      <c r="Z1170" s="4">
        <v>59</v>
      </c>
      <c r="AA1170" s="4">
        <f>=ROUNDDOWN(14.75,0)</f>
      </c>
      <c r="AB1170" s="5">
        <v>4</v>
      </c>
      <c r="AC1170" s="2" t="s">
        <v>231</v>
      </c>
      <c r="AD1170" s="4"/>
      <c r="AE1170" s="4"/>
      <c r="AF1170" s="6">
        <v>64</v>
      </c>
      <c r="AG1170" s="6"/>
      <c r="AH1170" s="7">
        <v>1</v>
      </c>
      <c r="AI1170" s="4"/>
      <c r="AJ1170" s="4">
        <f>=ROUNDDOWN({0},0)</f>
      </c>
      <c r="AK1170" s="5"/>
      <c r="AL1170" s="2" t="s">
        <v>231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231</v>
      </c>
      <c r="AW1170" s="8" t="s">
        <v>231</v>
      </c>
      <c r="AX1170" s="4" t="s">
        <v>231</v>
      </c>
      <c r="AY1170" s="8" t="s">
        <v>231</v>
      </c>
      <c r="AZ1170" s="7" t="s">
        <v>231</v>
      </c>
      <c r="BA1170" s="7" t="s">
        <v>231</v>
      </c>
      <c r="BB1170" s="7"/>
      <c r="BC1170" s="4" t="s">
        <v>231</v>
      </c>
      <c r="BD1170" s="8" t="s">
        <v>231</v>
      </c>
      <c r="BE1170" s="4" t="s">
        <v>231</v>
      </c>
      <c r="BF1170" s="8" t="s">
        <v>231</v>
      </c>
      <c r="BG1170" s="7" t="s">
        <v>231</v>
      </c>
      <c r="BH1170" s="7" t="s">
        <v>231</v>
      </c>
      <c r="BI1170" s="7"/>
      <c r="BJ1170" s="4">
        <v>25</v>
      </c>
      <c r="BK1170" s="8">
        <v>570.09</v>
      </c>
      <c r="BL1170" s="2" t="s">
        <v>5536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5554</v>
      </c>
      <c r="BV1170" s="2" t="s">
        <v>231</v>
      </c>
      <c r="BW1170" s="2" t="s">
        <v>231</v>
      </c>
      <c r="BX1170" s="2" t="s">
        <v>312</v>
      </c>
      <c r="BY1170" s="2" t="s">
        <v>277</v>
      </c>
      <c r="BZ1170" s="2" t="s">
        <v>243</v>
      </c>
      <c r="CA1170" s="2" t="s">
        <v>5539</v>
      </c>
      <c r="CB1170" s="2" t="s">
        <v>231</v>
      </c>
      <c r="CC1170" s="2" t="s">
        <v>244</v>
      </c>
      <c r="CD1170" s="2" t="s">
        <v>231</v>
      </c>
      <c r="CE1170" s="4">
        <v>59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</row>
    <row r="1171">
      <c r="A1171" s="2" t="s">
        <v>5555</v>
      </c>
      <c r="B1171" s="2" t="s">
        <v>992</v>
      </c>
      <c r="C1171" s="2" t="s">
        <v>288</v>
      </c>
      <c r="D1171" s="2" t="s">
        <v>993</v>
      </c>
      <c r="E1171" s="2" t="s">
        <v>994</v>
      </c>
      <c r="F1171" s="2" t="s">
        <v>5531</v>
      </c>
      <c r="G1171" s="2" t="s">
        <v>5090</v>
      </c>
      <c r="H1171" s="2" t="s">
        <v>5532</v>
      </c>
      <c r="I1171" s="2" t="s">
        <v>5533</v>
      </c>
      <c r="J1171" s="2" t="s">
        <v>1450</v>
      </c>
      <c r="K1171" s="2" t="s">
        <v>486</v>
      </c>
      <c r="L1171" s="3">
        <v>21</v>
      </c>
      <c r="M1171" s="3">
        <v>22.05</v>
      </c>
      <c r="N1171" s="3">
        <v>49.99</v>
      </c>
      <c r="O1171" s="2" t="s">
        <v>243</v>
      </c>
      <c r="P1171" s="2" t="s">
        <v>270</v>
      </c>
      <c r="Q1171" s="2" t="s">
        <v>237</v>
      </c>
      <c r="R1171" s="2" t="s">
        <v>231</v>
      </c>
      <c r="S1171" s="2" t="s">
        <v>5556</v>
      </c>
      <c r="T1171" s="2" t="s">
        <v>231</v>
      </c>
      <c r="U1171" s="2" t="s">
        <v>327</v>
      </c>
      <c r="V1171" s="2" t="s">
        <v>239</v>
      </c>
      <c r="W1171" s="2" t="s">
        <v>792</v>
      </c>
      <c r="X1171" s="2" t="s">
        <v>3672</v>
      </c>
      <c r="Y1171" s="2" t="s">
        <v>5557</v>
      </c>
      <c r="Z1171" s="4">
        <v>234</v>
      </c>
      <c r="AA1171" s="4">
        <f>=ROUNDDOWN(39,0)</f>
      </c>
      <c r="AB1171" s="5">
        <v>6</v>
      </c>
      <c r="AC1171" s="2" t="s">
        <v>231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231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231</v>
      </c>
      <c r="AW1171" s="8" t="s">
        <v>231</v>
      </c>
      <c r="AX1171" s="4" t="s">
        <v>231</v>
      </c>
      <c r="AY1171" s="8" t="s">
        <v>231</v>
      </c>
      <c r="AZ1171" s="7" t="s">
        <v>231</v>
      </c>
      <c r="BA1171" s="7" t="s">
        <v>231</v>
      </c>
      <c r="BB1171" s="7"/>
      <c r="BC1171" s="4" t="s">
        <v>231</v>
      </c>
      <c r="BD1171" s="8" t="s">
        <v>231</v>
      </c>
      <c r="BE1171" s="4" t="s">
        <v>231</v>
      </c>
      <c r="BF1171" s="8" t="s">
        <v>231</v>
      </c>
      <c r="BG1171" s="7" t="s">
        <v>231</v>
      </c>
      <c r="BH1171" s="7" t="s">
        <v>231</v>
      </c>
      <c r="BI1171" s="7"/>
      <c r="BJ1171" s="4">
        <v>11</v>
      </c>
      <c r="BK1171" s="8">
        <v>346.59</v>
      </c>
      <c r="BL1171" s="2" t="s">
        <v>5558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5559</v>
      </c>
      <c r="BV1171" s="2" t="s">
        <v>231</v>
      </c>
      <c r="BW1171" s="2" t="s">
        <v>231</v>
      </c>
      <c r="BX1171" s="2" t="s">
        <v>5538</v>
      </c>
      <c r="BY1171" s="2" t="s">
        <v>277</v>
      </c>
      <c r="BZ1171" s="2" t="s">
        <v>243</v>
      </c>
      <c r="CA1171" s="2" t="s">
        <v>2926</v>
      </c>
      <c r="CB1171" s="2" t="s">
        <v>5560</v>
      </c>
      <c r="CC1171" s="2" t="s">
        <v>244</v>
      </c>
      <c r="CD1171" s="2" t="s">
        <v>231</v>
      </c>
      <c r="CE1171" s="4">
        <v>234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</row>
    <row r="1172">
      <c r="A1172" s="2" t="s">
        <v>5561</v>
      </c>
      <c r="B1172" s="2" t="s">
        <v>992</v>
      </c>
      <c r="C1172" s="2" t="s">
        <v>288</v>
      </c>
      <c r="D1172" s="2" t="s">
        <v>993</v>
      </c>
      <c r="E1172" s="2" t="s">
        <v>994</v>
      </c>
      <c r="F1172" s="2" t="s">
        <v>5531</v>
      </c>
      <c r="G1172" s="2" t="s">
        <v>5090</v>
      </c>
      <c r="H1172" s="2" t="s">
        <v>5532</v>
      </c>
      <c r="I1172" s="2" t="s">
        <v>5533</v>
      </c>
      <c r="J1172" s="2" t="s">
        <v>5545</v>
      </c>
      <c r="K1172" s="2" t="s">
        <v>486</v>
      </c>
      <c r="L1172" s="3">
        <v>23.1</v>
      </c>
      <c r="M1172" s="3">
        <v>24.26</v>
      </c>
      <c r="N1172" s="3">
        <v>54.99</v>
      </c>
      <c r="O1172" s="2" t="s">
        <v>243</v>
      </c>
      <c r="P1172" s="2" t="s">
        <v>270</v>
      </c>
      <c r="Q1172" s="2" t="s">
        <v>237</v>
      </c>
      <c r="R1172" s="2" t="s">
        <v>231</v>
      </c>
      <c r="S1172" s="2" t="s">
        <v>5556</v>
      </c>
      <c r="T1172" s="2" t="s">
        <v>231</v>
      </c>
      <c r="U1172" s="2" t="s">
        <v>327</v>
      </c>
      <c r="V1172" s="2" t="s">
        <v>239</v>
      </c>
      <c r="W1172" s="2" t="s">
        <v>792</v>
      </c>
      <c r="X1172" s="2" t="s">
        <v>3672</v>
      </c>
      <c r="Y1172" s="2" t="s">
        <v>5557</v>
      </c>
      <c r="Z1172" s="4">
        <v>145</v>
      </c>
      <c r="AA1172" s="4">
        <f>=ROUNDDOWN(48.3333333333333,0)</f>
      </c>
      <c r="AB1172" s="5">
        <v>3</v>
      </c>
      <c r="AC1172" s="2" t="s">
        <v>231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231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231</v>
      </c>
      <c r="AW1172" s="8" t="s">
        <v>231</v>
      </c>
      <c r="AX1172" s="4" t="s">
        <v>231</v>
      </c>
      <c r="AY1172" s="8" t="s">
        <v>231</v>
      </c>
      <c r="AZ1172" s="7" t="s">
        <v>231</v>
      </c>
      <c r="BA1172" s="7" t="s">
        <v>231</v>
      </c>
      <c r="BB1172" s="7"/>
      <c r="BC1172" s="4" t="s">
        <v>231</v>
      </c>
      <c r="BD1172" s="8" t="s">
        <v>231</v>
      </c>
      <c r="BE1172" s="4" t="s">
        <v>231</v>
      </c>
      <c r="BF1172" s="8" t="s">
        <v>231</v>
      </c>
      <c r="BG1172" s="7" t="s">
        <v>231</v>
      </c>
      <c r="BH1172" s="7" t="s">
        <v>231</v>
      </c>
      <c r="BI1172" s="7"/>
      <c r="BJ1172" s="4">
        <v>6</v>
      </c>
      <c r="BK1172" s="8">
        <v>123.24</v>
      </c>
      <c r="BL1172" s="2" t="s">
        <v>628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5562</v>
      </c>
      <c r="BV1172" s="2" t="s">
        <v>231</v>
      </c>
      <c r="BW1172" s="2" t="s">
        <v>231</v>
      </c>
      <c r="BX1172" s="2" t="s">
        <v>5538</v>
      </c>
      <c r="BY1172" s="2" t="s">
        <v>277</v>
      </c>
      <c r="BZ1172" s="2" t="s">
        <v>243</v>
      </c>
      <c r="CA1172" s="2" t="s">
        <v>645</v>
      </c>
      <c r="CB1172" s="2" t="s">
        <v>2474</v>
      </c>
      <c r="CC1172" s="2" t="s">
        <v>244</v>
      </c>
      <c r="CD1172" s="2" t="s">
        <v>231</v>
      </c>
      <c r="CE1172" s="4">
        <v>145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</row>
    <row r="1173">
      <c r="A1173" s="2" t="s">
        <v>5563</v>
      </c>
      <c r="B1173" s="2" t="s">
        <v>992</v>
      </c>
      <c r="C1173" s="2" t="s">
        <v>288</v>
      </c>
      <c r="D1173" s="2" t="s">
        <v>1525</v>
      </c>
      <c r="E1173" s="2" t="s">
        <v>1526</v>
      </c>
      <c r="F1173" s="2" t="s">
        <v>5531</v>
      </c>
      <c r="G1173" s="2" t="s">
        <v>5090</v>
      </c>
      <c r="H1173" s="2" t="s">
        <v>5532</v>
      </c>
      <c r="I1173" s="2" t="s">
        <v>5564</v>
      </c>
      <c r="J1173" s="2" t="s">
        <v>5565</v>
      </c>
      <c r="K1173" s="2" t="s">
        <v>486</v>
      </c>
      <c r="L1173" s="3">
        <v>12.6</v>
      </c>
      <c r="M1173" s="3">
        <v>13.23</v>
      </c>
      <c r="N1173" s="3">
        <v>29.99</v>
      </c>
      <c r="O1173" s="2" t="s">
        <v>243</v>
      </c>
      <c r="P1173" s="2" t="s">
        <v>270</v>
      </c>
      <c r="Q1173" s="2" t="s">
        <v>237</v>
      </c>
      <c r="R1173" s="2" t="s">
        <v>231</v>
      </c>
      <c r="S1173" s="2" t="s">
        <v>5556</v>
      </c>
      <c r="T1173" s="2" t="s">
        <v>231</v>
      </c>
      <c r="U1173" s="2" t="s">
        <v>327</v>
      </c>
      <c r="V1173" s="2" t="s">
        <v>239</v>
      </c>
      <c r="W1173" s="2" t="s">
        <v>792</v>
      </c>
      <c r="X1173" s="2" t="s">
        <v>231</v>
      </c>
      <c r="Y1173" s="2" t="s">
        <v>5557</v>
      </c>
      <c r="Z1173" s="4">
        <v>178</v>
      </c>
      <c r="AA1173" s="4">
        <f>=ROUNDDOWN(29.6666666666667,0)</f>
      </c>
      <c r="AB1173" s="5">
        <v>6</v>
      </c>
      <c r="AC1173" s="2" t="s">
        <v>231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231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231</v>
      </c>
      <c r="AW1173" s="8" t="s">
        <v>231</v>
      </c>
      <c r="AX1173" s="4" t="s">
        <v>231</v>
      </c>
      <c r="AY1173" s="8" t="s">
        <v>231</v>
      </c>
      <c r="AZ1173" s="7" t="s">
        <v>231</v>
      </c>
      <c r="BA1173" s="7" t="s">
        <v>231</v>
      </c>
      <c r="BB1173" s="7"/>
      <c r="BC1173" s="4" t="s">
        <v>231</v>
      </c>
      <c r="BD1173" s="8" t="s">
        <v>231</v>
      </c>
      <c r="BE1173" s="4" t="s">
        <v>231</v>
      </c>
      <c r="BF1173" s="8" t="s">
        <v>231</v>
      </c>
      <c r="BG1173" s="7" t="s">
        <v>231</v>
      </c>
      <c r="BH1173" s="7" t="s">
        <v>231</v>
      </c>
      <c r="BI1173" s="7"/>
      <c r="BJ1173" s="4">
        <v>35</v>
      </c>
      <c r="BK1173" s="8">
        <v>436.78</v>
      </c>
      <c r="BL1173" s="2" t="s">
        <v>587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5566</v>
      </c>
      <c r="BV1173" s="2" t="s">
        <v>231</v>
      </c>
      <c r="BW1173" s="2" t="s">
        <v>231</v>
      </c>
      <c r="BX1173" s="2" t="s">
        <v>231</v>
      </c>
      <c r="BY1173" s="2" t="s">
        <v>277</v>
      </c>
      <c r="BZ1173" s="2" t="s">
        <v>243</v>
      </c>
      <c r="CA1173" s="2" t="s">
        <v>2355</v>
      </c>
      <c r="CB1173" s="2" t="s">
        <v>5567</v>
      </c>
      <c r="CC1173" s="2" t="s">
        <v>244</v>
      </c>
      <c r="CD1173" s="2" t="s">
        <v>231</v>
      </c>
      <c r="CE1173" s="4">
        <v>178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</row>
    <row r="1174">
      <c r="A1174" s="2" t="s">
        <v>5568</v>
      </c>
      <c r="B1174" s="2" t="s">
        <v>992</v>
      </c>
      <c r="C1174" s="2" t="s">
        <v>288</v>
      </c>
      <c r="D1174" s="2" t="s">
        <v>993</v>
      </c>
      <c r="E1174" s="2" t="s">
        <v>994</v>
      </c>
      <c r="F1174" s="2" t="s">
        <v>5531</v>
      </c>
      <c r="G1174" s="2" t="s">
        <v>5090</v>
      </c>
      <c r="H1174" s="2" t="s">
        <v>5532</v>
      </c>
      <c r="I1174" s="2" t="s">
        <v>5533</v>
      </c>
      <c r="J1174" s="2" t="s">
        <v>1450</v>
      </c>
      <c r="K1174" s="2" t="s">
        <v>5084</v>
      </c>
      <c r="L1174" s="3">
        <v>21</v>
      </c>
      <c r="M1174" s="3">
        <v>22.05</v>
      </c>
      <c r="N1174" s="3">
        <v>49.99</v>
      </c>
      <c r="O1174" s="2" t="s">
        <v>243</v>
      </c>
      <c r="P1174" s="2" t="s">
        <v>270</v>
      </c>
      <c r="Q1174" s="2" t="s">
        <v>237</v>
      </c>
      <c r="R1174" s="2" t="s">
        <v>231</v>
      </c>
      <c r="S1174" s="2" t="s">
        <v>5569</v>
      </c>
      <c r="T1174" s="2" t="s">
        <v>231</v>
      </c>
      <c r="U1174" s="2" t="s">
        <v>327</v>
      </c>
      <c r="V1174" s="2" t="s">
        <v>239</v>
      </c>
      <c r="W1174" s="2" t="s">
        <v>792</v>
      </c>
      <c r="X1174" s="2" t="s">
        <v>3672</v>
      </c>
      <c r="Y1174" s="2" t="s">
        <v>274</v>
      </c>
      <c r="Z1174" s="4">
        <v>222</v>
      </c>
      <c r="AA1174" s="4">
        <f>=ROUNDDOWN(27.75,0)</f>
      </c>
      <c r="AB1174" s="5">
        <v>8</v>
      </c>
      <c r="AC1174" s="2" t="s">
        <v>1651</v>
      </c>
      <c r="AD1174" s="4">
        <v>54</v>
      </c>
      <c r="AE1174" s="4">
        <v>54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231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231</v>
      </c>
      <c r="AW1174" s="8" t="s">
        <v>231</v>
      </c>
      <c r="AX1174" s="4" t="s">
        <v>231</v>
      </c>
      <c r="AY1174" s="8" t="s">
        <v>231</v>
      </c>
      <c r="AZ1174" s="7" t="s">
        <v>231</v>
      </c>
      <c r="BA1174" s="7" t="s">
        <v>231</v>
      </c>
      <c r="BB1174" s="7"/>
      <c r="BC1174" s="4" t="s">
        <v>231</v>
      </c>
      <c r="BD1174" s="8" t="s">
        <v>231</v>
      </c>
      <c r="BE1174" s="4" t="s">
        <v>231</v>
      </c>
      <c r="BF1174" s="8" t="s">
        <v>231</v>
      </c>
      <c r="BG1174" s="7" t="s">
        <v>231</v>
      </c>
      <c r="BH1174" s="7" t="s">
        <v>231</v>
      </c>
      <c r="BI1174" s="7"/>
      <c r="BJ1174" s="4">
        <v>31</v>
      </c>
      <c r="BK1174" s="8">
        <v>802.04</v>
      </c>
      <c r="BL1174" s="2" t="s">
        <v>5570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5571</v>
      </c>
      <c r="BV1174" s="2" t="s">
        <v>231</v>
      </c>
      <c r="BW1174" s="2" t="s">
        <v>231</v>
      </c>
      <c r="BX1174" s="2" t="s">
        <v>5538</v>
      </c>
      <c r="BY1174" s="2" t="s">
        <v>277</v>
      </c>
      <c r="BZ1174" s="2" t="s">
        <v>243</v>
      </c>
      <c r="CA1174" s="2" t="s">
        <v>284</v>
      </c>
      <c r="CB1174" s="2" t="s">
        <v>5572</v>
      </c>
      <c r="CC1174" s="2" t="s">
        <v>244</v>
      </c>
      <c r="CD1174" s="2" t="s">
        <v>231</v>
      </c>
      <c r="CE1174" s="4">
        <v>222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>
        <v>54</v>
      </c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</row>
    <row r="1175">
      <c r="A1175" s="2" t="s">
        <v>5573</v>
      </c>
      <c r="B1175" s="2" t="s">
        <v>992</v>
      </c>
      <c r="C1175" s="2" t="s">
        <v>288</v>
      </c>
      <c r="D1175" s="2" t="s">
        <v>993</v>
      </c>
      <c r="E1175" s="2" t="s">
        <v>994</v>
      </c>
      <c r="F1175" s="2" t="s">
        <v>5531</v>
      </c>
      <c r="G1175" s="2" t="s">
        <v>5090</v>
      </c>
      <c r="H1175" s="2" t="s">
        <v>5532</v>
      </c>
      <c r="I1175" s="2" t="s">
        <v>5533</v>
      </c>
      <c r="J1175" s="2" t="s">
        <v>5545</v>
      </c>
      <c r="K1175" s="2" t="s">
        <v>5084</v>
      </c>
      <c r="L1175" s="3">
        <v>23.1</v>
      </c>
      <c r="M1175" s="3">
        <v>24.26</v>
      </c>
      <c r="N1175" s="3">
        <v>54.99</v>
      </c>
      <c r="O1175" s="2" t="s">
        <v>243</v>
      </c>
      <c r="P1175" s="2" t="s">
        <v>270</v>
      </c>
      <c r="Q1175" s="2" t="s">
        <v>237</v>
      </c>
      <c r="R1175" s="2" t="s">
        <v>231</v>
      </c>
      <c r="S1175" s="2" t="s">
        <v>5569</v>
      </c>
      <c r="T1175" s="2" t="s">
        <v>231</v>
      </c>
      <c r="U1175" s="2" t="s">
        <v>327</v>
      </c>
      <c r="V1175" s="2" t="s">
        <v>239</v>
      </c>
      <c r="W1175" s="2" t="s">
        <v>792</v>
      </c>
      <c r="X1175" s="2" t="s">
        <v>3672</v>
      </c>
      <c r="Y1175" s="2" t="s">
        <v>274</v>
      </c>
      <c r="Z1175" s="4">
        <v>107</v>
      </c>
      <c r="AA1175" s="4">
        <f>=ROUNDDOWN(21.4,0)</f>
      </c>
      <c r="AB1175" s="5">
        <v>5</v>
      </c>
      <c r="AC1175" s="2" t="s">
        <v>1315</v>
      </c>
      <c r="AD1175" s="4">
        <v>104</v>
      </c>
      <c r="AE1175" s="4">
        <v>104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231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231</v>
      </c>
      <c r="AW1175" s="8" t="s">
        <v>231</v>
      </c>
      <c r="AX1175" s="4" t="s">
        <v>231</v>
      </c>
      <c r="AY1175" s="8" t="s">
        <v>231</v>
      </c>
      <c r="AZ1175" s="7" t="s">
        <v>231</v>
      </c>
      <c r="BA1175" s="7" t="s">
        <v>231</v>
      </c>
      <c r="BB1175" s="7"/>
      <c r="BC1175" s="4" t="s">
        <v>231</v>
      </c>
      <c r="BD1175" s="8" t="s">
        <v>231</v>
      </c>
      <c r="BE1175" s="4" t="s">
        <v>231</v>
      </c>
      <c r="BF1175" s="8" t="s">
        <v>231</v>
      </c>
      <c r="BG1175" s="7" t="s">
        <v>231</v>
      </c>
      <c r="BH1175" s="7" t="s">
        <v>231</v>
      </c>
      <c r="BI1175" s="7"/>
      <c r="BJ1175" s="4"/>
      <c r="BK1175" s="8"/>
      <c r="BL1175" s="2" t="s">
        <v>5542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5574</v>
      </c>
      <c r="BV1175" s="2" t="s">
        <v>231</v>
      </c>
      <c r="BW1175" s="2" t="s">
        <v>231</v>
      </c>
      <c r="BX1175" s="2" t="s">
        <v>5538</v>
      </c>
      <c r="BY1175" s="2" t="s">
        <v>277</v>
      </c>
      <c r="BZ1175" s="2" t="s">
        <v>243</v>
      </c>
      <c r="CA1175" s="2" t="s">
        <v>2052</v>
      </c>
      <c r="CB1175" s="2" t="s">
        <v>4963</v>
      </c>
      <c r="CC1175" s="2" t="s">
        <v>244</v>
      </c>
      <c r="CD1175" s="2" t="s">
        <v>231</v>
      </c>
      <c r="CE1175" s="4">
        <v>107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>
        <v>104</v>
      </c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</row>
    <row r="1176">
      <c r="A1176" s="2" t="s">
        <v>5575</v>
      </c>
      <c r="B1176" s="2" t="s">
        <v>992</v>
      </c>
      <c r="C1176" s="2" t="s">
        <v>288</v>
      </c>
      <c r="D1176" s="2" t="s">
        <v>993</v>
      </c>
      <c r="E1176" s="2" t="s">
        <v>994</v>
      </c>
      <c r="F1176" s="2" t="s">
        <v>5531</v>
      </c>
      <c r="G1176" s="2" t="s">
        <v>5090</v>
      </c>
      <c r="H1176" s="2" t="s">
        <v>5532</v>
      </c>
      <c r="I1176" s="2" t="s">
        <v>5548</v>
      </c>
      <c r="J1176" s="2" t="s">
        <v>5549</v>
      </c>
      <c r="K1176" s="2" t="s">
        <v>5084</v>
      </c>
      <c r="L1176" s="3">
        <v>18.4</v>
      </c>
      <c r="M1176" s="3">
        <v>19.32</v>
      </c>
      <c r="N1176" s="3">
        <v>39.99</v>
      </c>
      <c r="O1176" s="2" t="s">
        <v>243</v>
      </c>
      <c r="P1176" s="2" t="s">
        <v>270</v>
      </c>
      <c r="Q1176" s="2" t="s">
        <v>237</v>
      </c>
      <c r="R1176" s="2" t="s">
        <v>231</v>
      </c>
      <c r="S1176" s="2" t="s">
        <v>5576</v>
      </c>
      <c r="T1176" s="2" t="s">
        <v>231</v>
      </c>
      <c r="U1176" s="2" t="s">
        <v>327</v>
      </c>
      <c r="V1176" s="2" t="s">
        <v>239</v>
      </c>
      <c r="W1176" s="2" t="s">
        <v>792</v>
      </c>
      <c r="X1176" s="2" t="s">
        <v>998</v>
      </c>
      <c r="Y1176" s="2" t="s">
        <v>5577</v>
      </c>
      <c r="Z1176" s="4">
        <v>164</v>
      </c>
      <c r="AA1176" s="4">
        <f>=ROUNDDOWN(18.2222222222222,0)</f>
      </c>
      <c r="AB1176" s="5">
        <v>9</v>
      </c>
      <c r="AC1176" s="2" t="s">
        <v>1315</v>
      </c>
      <c r="AD1176" s="4">
        <v>140</v>
      </c>
      <c r="AE1176" s="4">
        <v>140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231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231</v>
      </c>
      <c r="AW1176" s="8" t="s">
        <v>231</v>
      </c>
      <c r="AX1176" s="4" t="s">
        <v>231</v>
      </c>
      <c r="AY1176" s="8" t="s">
        <v>231</v>
      </c>
      <c r="AZ1176" s="7" t="s">
        <v>231</v>
      </c>
      <c r="BA1176" s="7" t="s">
        <v>231</v>
      </c>
      <c r="BB1176" s="7"/>
      <c r="BC1176" s="4" t="s">
        <v>231</v>
      </c>
      <c r="BD1176" s="8" t="s">
        <v>231</v>
      </c>
      <c r="BE1176" s="4" t="s">
        <v>231</v>
      </c>
      <c r="BF1176" s="8" t="s">
        <v>231</v>
      </c>
      <c r="BG1176" s="7" t="s">
        <v>231</v>
      </c>
      <c r="BH1176" s="7" t="s">
        <v>231</v>
      </c>
      <c r="BI1176" s="7"/>
      <c r="BJ1176" s="4">
        <v>43</v>
      </c>
      <c r="BK1176" s="8">
        <v>761.5</v>
      </c>
      <c r="BL1176" s="2" t="s">
        <v>1652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5578</v>
      </c>
      <c r="BV1176" s="2" t="s">
        <v>231</v>
      </c>
      <c r="BW1176" s="2" t="s">
        <v>231</v>
      </c>
      <c r="BX1176" s="2" t="s">
        <v>312</v>
      </c>
      <c r="BY1176" s="2" t="s">
        <v>277</v>
      </c>
      <c r="BZ1176" s="2" t="s">
        <v>243</v>
      </c>
      <c r="CA1176" s="2" t="s">
        <v>5579</v>
      </c>
      <c r="CB1176" s="2" t="s">
        <v>5417</v>
      </c>
      <c r="CC1176" s="2" t="s">
        <v>244</v>
      </c>
      <c r="CD1176" s="2" t="s">
        <v>231</v>
      </c>
      <c r="CE1176" s="4">
        <v>164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>
        <v>140</v>
      </c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</row>
    <row r="1177">
      <c r="A1177" s="2" t="s">
        <v>5580</v>
      </c>
      <c r="B1177" s="2" t="s">
        <v>992</v>
      </c>
      <c r="C1177" s="2" t="s">
        <v>288</v>
      </c>
      <c r="D1177" s="2" t="s">
        <v>1525</v>
      </c>
      <c r="E1177" s="2" t="s">
        <v>1526</v>
      </c>
      <c r="F1177" s="2" t="s">
        <v>5531</v>
      </c>
      <c r="G1177" s="2" t="s">
        <v>5090</v>
      </c>
      <c r="H1177" s="2" t="s">
        <v>5532</v>
      </c>
      <c r="I1177" s="2" t="s">
        <v>5564</v>
      </c>
      <c r="J1177" s="2" t="s">
        <v>5565</v>
      </c>
      <c r="K1177" s="2" t="s">
        <v>2081</v>
      </c>
      <c r="L1177" s="3">
        <v>12.6</v>
      </c>
      <c r="M1177" s="3">
        <v>13.23</v>
      </c>
      <c r="N1177" s="3">
        <v>29.99</v>
      </c>
      <c r="O1177" s="2" t="s">
        <v>243</v>
      </c>
      <c r="P1177" s="2" t="s">
        <v>270</v>
      </c>
      <c r="Q1177" s="2" t="s">
        <v>237</v>
      </c>
      <c r="R1177" s="2" t="s">
        <v>231</v>
      </c>
      <c r="S1177" s="2" t="s">
        <v>5581</v>
      </c>
      <c r="T1177" s="2" t="s">
        <v>231</v>
      </c>
      <c r="U1177" s="2" t="s">
        <v>231</v>
      </c>
      <c r="V1177" s="2" t="s">
        <v>239</v>
      </c>
      <c r="W1177" s="2" t="s">
        <v>792</v>
      </c>
      <c r="X1177" s="2" t="s">
        <v>231</v>
      </c>
      <c r="Y1177" s="2" t="s">
        <v>5582</v>
      </c>
      <c r="Z1177" s="4">
        <v>447</v>
      </c>
      <c r="AA1177" s="4">
        <f>=ROUNDDOWN(20.3181818181818,0)</f>
      </c>
      <c r="AB1177" s="5">
        <v>22</v>
      </c>
      <c r="AC1177" s="2" t="s">
        <v>1664</v>
      </c>
      <c r="AD1177" s="4">
        <v>244</v>
      </c>
      <c r="AE1177" s="4">
        <v>244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231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 t="s">
        <v>231</v>
      </c>
      <c r="BD1177" s="8" t="s">
        <v>231</v>
      </c>
      <c r="BE1177" s="4" t="s">
        <v>231</v>
      </c>
      <c r="BF1177" s="8" t="s">
        <v>231</v>
      </c>
      <c r="BG1177" s="7" t="s">
        <v>231</v>
      </c>
      <c r="BH1177" s="7" t="s">
        <v>231</v>
      </c>
      <c r="BI1177" s="7"/>
      <c r="BJ1177" s="4">
        <v>61</v>
      </c>
      <c r="BK1177" s="8">
        <v>899.19</v>
      </c>
      <c r="BL1177" s="2" t="s">
        <v>5583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5584</v>
      </c>
      <c r="BV1177" s="2" t="s">
        <v>231</v>
      </c>
      <c r="BW1177" s="2" t="s">
        <v>231</v>
      </c>
      <c r="BX1177" s="2" t="s">
        <v>231</v>
      </c>
      <c r="BY1177" s="2" t="s">
        <v>277</v>
      </c>
      <c r="BZ1177" s="2" t="s">
        <v>243</v>
      </c>
      <c r="CA1177" s="2" t="s">
        <v>1027</v>
      </c>
      <c r="CB1177" s="2" t="s">
        <v>1337</v>
      </c>
      <c r="CC1177" s="2" t="s">
        <v>244</v>
      </c>
      <c r="CD1177" s="2" t="s">
        <v>231</v>
      </c>
      <c r="CE1177" s="4">
        <v>447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>
        <v>244</v>
      </c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</row>
    <row r="1178">
      <c r="A1178" s="2" t="s">
        <v>5585</v>
      </c>
      <c r="B1178" s="2" t="s">
        <v>992</v>
      </c>
      <c r="C1178" s="2" t="s">
        <v>288</v>
      </c>
      <c r="D1178" s="2" t="s">
        <v>993</v>
      </c>
      <c r="E1178" s="2" t="s">
        <v>994</v>
      </c>
      <c r="F1178" s="2" t="s">
        <v>5531</v>
      </c>
      <c r="G1178" s="2" t="s">
        <v>5090</v>
      </c>
      <c r="H1178" s="2" t="s">
        <v>5532</v>
      </c>
      <c r="I1178" s="2" t="s">
        <v>5533</v>
      </c>
      <c r="J1178" s="2" t="s">
        <v>5545</v>
      </c>
      <c r="K1178" s="2" t="s">
        <v>682</v>
      </c>
      <c r="L1178" s="3">
        <v>23.1</v>
      </c>
      <c r="M1178" s="3">
        <v>24.26</v>
      </c>
      <c r="N1178" s="3">
        <v>54.99</v>
      </c>
      <c r="O1178" s="2" t="s">
        <v>243</v>
      </c>
      <c r="P1178" s="2" t="s">
        <v>270</v>
      </c>
      <c r="Q1178" s="2" t="s">
        <v>237</v>
      </c>
      <c r="R1178" s="2" t="s">
        <v>231</v>
      </c>
      <c r="S1178" s="2" t="s">
        <v>5586</v>
      </c>
      <c r="T1178" s="2" t="s">
        <v>231</v>
      </c>
      <c r="U1178" s="2" t="s">
        <v>327</v>
      </c>
      <c r="V1178" s="2" t="s">
        <v>239</v>
      </c>
      <c r="W1178" s="2" t="s">
        <v>792</v>
      </c>
      <c r="X1178" s="2" t="s">
        <v>3672</v>
      </c>
      <c r="Y1178" s="2" t="s">
        <v>5587</v>
      </c>
      <c r="Z1178" s="4">
        <v>129</v>
      </c>
      <c r="AA1178" s="4">
        <f>=ROUNDDOWN(43,0)</f>
      </c>
      <c r="AB1178" s="5">
        <v>3</v>
      </c>
      <c r="AC1178" s="2" t="s">
        <v>231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231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231</v>
      </c>
      <c r="BD1178" s="8" t="s">
        <v>231</v>
      </c>
      <c r="BE1178" s="4" t="s">
        <v>231</v>
      </c>
      <c r="BF1178" s="8" t="s">
        <v>231</v>
      </c>
      <c r="BG1178" s="7" t="s">
        <v>231</v>
      </c>
      <c r="BH1178" s="7" t="s">
        <v>231</v>
      </c>
      <c r="BI1178" s="7"/>
      <c r="BJ1178" s="4">
        <v>8</v>
      </c>
      <c r="BK1178" s="8">
        <v>188.1</v>
      </c>
      <c r="BL1178" s="2" t="s">
        <v>5588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5589</v>
      </c>
      <c r="BV1178" s="2" t="s">
        <v>231</v>
      </c>
      <c r="BW1178" s="2" t="s">
        <v>231</v>
      </c>
      <c r="BX1178" s="2" t="s">
        <v>5538</v>
      </c>
      <c r="BY1178" s="2" t="s">
        <v>277</v>
      </c>
      <c r="BZ1178" s="2" t="s">
        <v>243</v>
      </c>
      <c r="CA1178" s="2" t="s">
        <v>5590</v>
      </c>
      <c r="CB1178" s="2" t="s">
        <v>4995</v>
      </c>
      <c r="CC1178" s="2" t="s">
        <v>244</v>
      </c>
      <c r="CD1178" s="2" t="s">
        <v>231</v>
      </c>
      <c r="CE1178" s="4">
        <v>129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</row>
    <row r="1179">
      <c r="A1179" s="2" t="s">
        <v>5591</v>
      </c>
      <c r="B1179" s="2" t="s">
        <v>992</v>
      </c>
      <c r="C1179" s="2" t="s">
        <v>288</v>
      </c>
      <c r="D1179" s="2" t="s">
        <v>993</v>
      </c>
      <c r="E1179" s="2" t="s">
        <v>994</v>
      </c>
      <c r="F1179" s="2" t="s">
        <v>5531</v>
      </c>
      <c r="G1179" s="2" t="s">
        <v>5090</v>
      </c>
      <c r="H1179" s="2" t="s">
        <v>5532</v>
      </c>
      <c r="I1179" s="2" t="s">
        <v>5533</v>
      </c>
      <c r="J1179" s="2" t="s">
        <v>996</v>
      </c>
      <c r="K1179" s="2" t="s">
        <v>5592</v>
      </c>
      <c r="L1179" s="3">
        <v>16</v>
      </c>
      <c r="M1179" s="3">
        <v>16.8</v>
      </c>
      <c r="N1179" s="3">
        <v>39.99</v>
      </c>
      <c r="O1179" s="2" t="s">
        <v>243</v>
      </c>
      <c r="P1179" s="2" t="s">
        <v>270</v>
      </c>
      <c r="Q1179" s="2" t="s">
        <v>237</v>
      </c>
      <c r="R1179" s="2" t="s">
        <v>231</v>
      </c>
      <c r="S1179" s="2" t="s">
        <v>5593</v>
      </c>
      <c r="T1179" s="2" t="s">
        <v>231</v>
      </c>
      <c r="U1179" s="2" t="s">
        <v>327</v>
      </c>
      <c r="V1179" s="2" t="s">
        <v>239</v>
      </c>
      <c r="W1179" s="2" t="s">
        <v>792</v>
      </c>
      <c r="X1179" s="2" t="s">
        <v>3672</v>
      </c>
      <c r="Y1179" s="2" t="s">
        <v>274</v>
      </c>
      <c r="Z1179" s="4">
        <v>435</v>
      </c>
      <c r="AA1179" s="4">
        <f>=ROUNDDOWN(16.1111111111111,0)</f>
      </c>
      <c r="AB1179" s="5">
        <v>27</v>
      </c>
      <c r="AC1179" s="2" t="s">
        <v>2049</v>
      </c>
      <c r="AD1179" s="4">
        <v>500</v>
      </c>
      <c r="AE1179" s="4">
        <v>500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231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231</v>
      </c>
      <c r="AW1179" s="8" t="s">
        <v>231</v>
      </c>
      <c r="AX1179" s="4" t="s">
        <v>231</v>
      </c>
      <c r="AY1179" s="8" t="s">
        <v>231</v>
      </c>
      <c r="AZ1179" s="7" t="s">
        <v>231</v>
      </c>
      <c r="BA1179" s="7" t="s">
        <v>231</v>
      </c>
      <c r="BB1179" s="7"/>
      <c r="BC1179" s="4" t="s">
        <v>231</v>
      </c>
      <c r="BD1179" s="8" t="s">
        <v>231</v>
      </c>
      <c r="BE1179" s="4" t="s">
        <v>231</v>
      </c>
      <c r="BF1179" s="8" t="s">
        <v>231</v>
      </c>
      <c r="BG1179" s="7" t="s">
        <v>231</v>
      </c>
      <c r="BH1179" s="7" t="s">
        <v>231</v>
      </c>
      <c r="BI1179" s="7"/>
      <c r="BJ1179" s="4">
        <v>106</v>
      </c>
      <c r="BK1179" s="8">
        <v>1444.15</v>
      </c>
      <c r="BL1179" s="2" t="s">
        <v>5594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5595</v>
      </c>
      <c r="BV1179" s="2" t="s">
        <v>231</v>
      </c>
      <c r="BW1179" s="2" t="s">
        <v>231</v>
      </c>
      <c r="BX1179" s="2" t="s">
        <v>5538</v>
      </c>
      <c r="BY1179" s="2" t="s">
        <v>277</v>
      </c>
      <c r="BZ1179" s="2" t="s">
        <v>243</v>
      </c>
      <c r="CA1179" s="2" t="s">
        <v>284</v>
      </c>
      <c r="CB1179" s="2" t="s">
        <v>617</v>
      </c>
      <c r="CC1179" s="2" t="s">
        <v>244</v>
      </c>
      <c r="CD1179" s="2" t="s">
        <v>231</v>
      </c>
      <c r="CE1179" s="4">
        <v>435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>
        <v>500</v>
      </c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</row>
    <row r="1180">
      <c r="A1180" s="2" t="s">
        <v>5596</v>
      </c>
      <c r="B1180" s="2" t="s">
        <v>992</v>
      </c>
      <c r="C1180" s="2" t="s">
        <v>288</v>
      </c>
      <c r="D1180" s="2" t="s">
        <v>993</v>
      </c>
      <c r="E1180" s="2" t="s">
        <v>994</v>
      </c>
      <c r="F1180" s="2" t="s">
        <v>5531</v>
      </c>
      <c r="G1180" s="2" t="s">
        <v>5090</v>
      </c>
      <c r="H1180" s="2" t="s">
        <v>5532</v>
      </c>
      <c r="I1180" s="2" t="s">
        <v>5533</v>
      </c>
      <c r="J1180" s="2" t="s">
        <v>1586</v>
      </c>
      <c r="K1180" s="2" t="s">
        <v>5592</v>
      </c>
      <c r="L1180" s="3">
        <v>17.1</v>
      </c>
      <c r="M1180" s="3">
        <v>17.96</v>
      </c>
      <c r="N1180" s="3">
        <v>44.99</v>
      </c>
      <c r="O1180" s="2" t="s">
        <v>243</v>
      </c>
      <c r="P1180" s="2" t="s">
        <v>270</v>
      </c>
      <c r="Q1180" s="2" t="s">
        <v>237</v>
      </c>
      <c r="R1180" s="2" t="s">
        <v>231</v>
      </c>
      <c r="S1180" s="2" t="s">
        <v>5593</v>
      </c>
      <c r="T1180" s="2" t="s">
        <v>231</v>
      </c>
      <c r="U1180" s="2" t="s">
        <v>327</v>
      </c>
      <c r="V1180" s="2" t="s">
        <v>239</v>
      </c>
      <c r="W1180" s="2" t="s">
        <v>792</v>
      </c>
      <c r="X1180" s="2" t="s">
        <v>3672</v>
      </c>
      <c r="Y1180" s="2" t="s">
        <v>274</v>
      </c>
      <c r="Z1180" s="4">
        <v>406</v>
      </c>
      <c r="AA1180" s="4">
        <f>=ROUNDDOWN(22.5555555555556,0)</f>
      </c>
      <c r="AB1180" s="5">
        <v>18</v>
      </c>
      <c r="AC1180" s="2" t="s">
        <v>2049</v>
      </c>
      <c r="AD1180" s="4">
        <v>240</v>
      </c>
      <c r="AE1180" s="4">
        <v>240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231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231</v>
      </c>
      <c r="AW1180" s="8" t="s">
        <v>231</v>
      </c>
      <c r="AX1180" s="4" t="s">
        <v>231</v>
      </c>
      <c r="AY1180" s="8" t="s">
        <v>231</v>
      </c>
      <c r="AZ1180" s="7" t="s">
        <v>231</v>
      </c>
      <c r="BA1180" s="7" t="s">
        <v>231</v>
      </c>
      <c r="BB1180" s="7"/>
      <c r="BC1180" s="4" t="s">
        <v>231</v>
      </c>
      <c r="BD1180" s="8" t="s">
        <v>231</v>
      </c>
      <c r="BE1180" s="4" t="s">
        <v>231</v>
      </c>
      <c r="BF1180" s="8" t="s">
        <v>231</v>
      </c>
      <c r="BG1180" s="7" t="s">
        <v>231</v>
      </c>
      <c r="BH1180" s="7" t="s">
        <v>231</v>
      </c>
      <c r="BI1180" s="7"/>
      <c r="BJ1180" s="4">
        <v>27</v>
      </c>
      <c r="BK1180" s="8">
        <v>430.19</v>
      </c>
      <c r="BL1180" s="2" t="s">
        <v>5597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5598</v>
      </c>
      <c r="BV1180" s="2" t="s">
        <v>231</v>
      </c>
      <c r="BW1180" s="2" t="s">
        <v>231</v>
      </c>
      <c r="BX1180" s="2" t="s">
        <v>5538</v>
      </c>
      <c r="BY1180" s="2" t="s">
        <v>277</v>
      </c>
      <c r="BZ1180" s="2" t="s">
        <v>243</v>
      </c>
      <c r="CA1180" s="2" t="s">
        <v>284</v>
      </c>
      <c r="CB1180" s="2" t="s">
        <v>541</v>
      </c>
      <c r="CC1180" s="2" t="s">
        <v>244</v>
      </c>
      <c r="CD1180" s="2" t="s">
        <v>231</v>
      </c>
      <c r="CE1180" s="4">
        <v>406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>
        <v>240</v>
      </c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</row>
    <row r="1181">
      <c r="A1181" s="2" t="s">
        <v>5599</v>
      </c>
      <c r="B1181" s="2" t="s">
        <v>992</v>
      </c>
      <c r="C1181" s="2" t="s">
        <v>288</v>
      </c>
      <c r="D1181" s="2" t="s">
        <v>1525</v>
      </c>
      <c r="E1181" s="2" t="s">
        <v>1526</v>
      </c>
      <c r="F1181" s="2" t="s">
        <v>5531</v>
      </c>
      <c r="G1181" s="2" t="s">
        <v>5090</v>
      </c>
      <c r="H1181" s="2" t="s">
        <v>5532</v>
      </c>
      <c r="I1181" s="2" t="s">
        <v>5564</v>
      </c>
      <c r="J1181" s="2" t="s">
        <v>5565</v>
      </c>
      <c r="K1181" s="2" t="s">
        <v>5592</v>
      </c>
      <c r="L1181" s="3">
        <v>12.6</v>
      </c>
      <c r="M1181" s="3">
        <v>13.23</v>
      </c>
      <c r="N1181" s="3">
        <v>29.99</v>
      </c>
      <c r="O1181" s="2" t="s">
        <v>243</v>
      </c>
      <c r="P1181" s="2" t="s">
        <v>270</v>
      </c>
      <c r="Q1181" s="2" t="s">
        <v>237</v>
      </c>
      <c r="R1181" s="2" t="s">
        <v>231</v>
      </c>
      <c r="S1181" s="2" t="s">
        <v>5593</v>
      </c>
      <c r="T1181" s="2" t="s">
        <v>231</v>
      </c>
      <c r="U1181" s="2" t="s">
        <v>231</v>
      </c>
      <c r="V1181" s="2" t="s">
        <v>239</v>
      </c>
      <c r="W1181" s="2" t="s">
        <v>792</v>
      </c>
      <c r="X1181" s="2" t="s">
        <v>231</v>
      </c>
      <c r="Y1181" s="2" t="s">
        <v>5582</v>
      </c>
      <c r="Z1181" s="4">
        <v>178</v>
      </c>
      <c r="AA1181" s="4">
        <f>=ROUNDDOWN(22.25,0)</f>
      </c>
      <c r="AB1181" s="5">
        <v>8</v>
      </c>
      <c r="AC1181" s="2" t="s">
        <v>2049</v>
      </c>
      <c r="AD1181" s="4">
        <v>78</v>
      </c>
      <c r="AE1181" s="4">
        <v>78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231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231</v>
      </c>
      <c r="AW1181" s="8" t="s">
        <v>231</v>
      </c>
      <c r="AX1181" s="4" t="s">
        <v>231</v>
      </c>
      <c r="AY1181" s="8" t="s">
        <v>231</v>
      </c>
      <c r="AZ1181" s="7" t="s">
        <v>231</v>
      </c>
      <c r="BA1181" s="7" t="s">
        <v>231</v>
      </c>
      <c r="BB1181" s="7"/>
      <c r="BC1181" s="4" t="s">
        <v>231</v>
      </c>
      <c r="BD1181" s="8" t="s">
        <v>231</v>
      </c>
      <c r="BE1181" s="4" t="s">
        <v>231</v>
      </c>
      <c r="BF1181" s="8" t="s">
        <v>231</v>
      </c>
      <c r="BG1181" s="7" t="s">
        <v>231</v>
      </c>
      <c r="BH1181" s="7" t="s">
        <v>231</v>
      </c>
      <c r="BI1181" s="7"/>
      <c r="BJ1181" s="4">
        <v>29</v>
      </c>
      <c r="BK1181" s="8">
        <v>364.65</v>
      </c>
      <c r="BL1181" s="2" t="s">
        <v>5600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5601</v>
      </c>
      <c r="BV1181" s="2" t="s">
        <v>231</v>
      </c>
      <c r="BW1181" s="2" t="s">
        <v>231</v>
      </c>
      <c r="BX1181" s="2" t="s">
        <v>231</v>
      </c>
      <c r="BY1181" s="2" t="s">
        <v>277</v>
      </c>
      <c r="BZ1181" s="2" t="s">
        <v>243</v>
      </c>
      <c r="CA1181" s="2" t="s">
        <v>1027</v>
      </c>
      <c r="CB1181" s="2" t="s">
        <v>5602</v>
      </c>
      <c r="CC1181" s="2" t="s">
        <v>244</v>
      </c>
      <c r="CD1181" s="2" t="s">
        <v>231</v>
      </c>
      <c r="CE1181" s="4">
        <v>178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>
        <v>78</v>
      </c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</row>
    <row r="1182">
      <c r="A1182" s="2" t="s">
        <v>5603</v>
      </c>
      <c r="B1182" s="2" t="s">
        <v>992</v>
      </c>
      <c r="C1182" s="2" t="s">
        <v>288</v>
      </c>
      <c r="D1182" s="2" t="s">
        <v>993</v>
      </c>
      <c r="E1182" s="2" t="s">
        <v>994</v>
      </c>
      <c r="F1182" s="2" t="s">
        <v>5531</v>
      </c>
      <c r="G1182" s="2" t="s">
        <v>5090</v>
      </c>
      <c r="H1182" s="2" t="s">
        <v>5532</v>
      </c>
      <c r="I1182" s="2" t="s">
        <v>5533</v>
      </c>
      <c r="J1182" s="2" t="s">
        <v>1586</v>
      </c>
      <c r="K1182" s="2" t="s">
        <v>1491</v>
      </c>
      <c r="L1182" s="3">
        <v>17.1</v>
      </c>
      <c r="M1182" s="3">
        <v>17.96</v>
      </c>
      <c r="N1182" s="3">
        <v>44.99</v>
      </c>
      <c r="O1182" s="2" t="s">
        <v>243</v>
      </c>
      <c r="P1182" s="2" t="s">
        <v>236</v>
      </c>
      <c r="Q1182" s="2" t="s">
        <v>237</v>
      </c>
      <c r="R1182" s="2" t="s">
        <v>231</v>
      </c>
      <c r="S1182" s="2" t="s">
        <v>5604</v>
      </c>
      <c r="T1182" s="2" t="s">
        <v>231</v>
      </c>
      <c r="U1182" s="2" t="s">
        <v>327</v>
      </c>
      <c r="V1182" s="2" t="s">
        <v>239</v>
      </c>
      <c r="W1182" s="2" t="s">
        <v>792</v>
      </c>
      <c r="X1182" s="2" t="s">
        <v>3672</v>
      </c>
      <c r="Y1182" s="2" t="s">
        <v>5535</v>
      </c>
      <c r="Z1182" s="4">
        <v>73</v>
      </c>
      <c r="AA1182" s="4">
        <f>=ROUNDDOWN(18.25,0)</f>
      </c>
      <c r="AB1182" s="5">
        <v>4</v>
      </c>
      <c r="AC1182" s="2" t="s">
        <v>701</v>
      </c>
      <c r="AD1182" s="4">
        <v>152</v>
      </c>
      <c r="AE1182" s="4">
        <v>152</v>
      </c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231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231</v>
      </c>
      <c r="BD1182" s="8" t="s">
        <v>231</v>
      </c>
      <c r="BE1182" s="4" t="s">
        <v>231</v>
      </c>
      <c r="BF1182" s="8" t="s">
        <v>231</v>
      </c>
      <c r="BG1182" s="7" t="s">
        <v>231</v>
      </c>
      <c r="BH1182" s="7" t="s">
        <v>231</v>
      </c>
      <c r="BI1182" s="7"/>
      <c r="BJ1182" s="4">
        <v>8</v>
      </c>
      <c r="BK1182" s="8">
        <v>111</v>
      </c>
      <c r="BL1182" s="2" t="s">
        <v>628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5605</v>
      </c>
      <c r="BV1182" s="2" t="s">
        <v>231</v>
      </c>
      <c r="BW1182" s="2" t="s">
        <v>231</v>
      </c>
      <c r="BX1182" s="2" t="s">
        <v>5538</v>
      </c>
      <c r="BY1182" s="2" t="s">
        <v>277</v>
      </c>
      <c r="BZ1182" s="2" t="s">
        <v>243</v>
      </c>
      <c r="CA1182" s="2" t="s">
        <v>5539</v>
      </c>
      <c r="CB1182" s="2" t="s">
        <v>231</v>
      </c>
      <c r="CC1182" s="2" t="s">
        <v>244</v>
      </c>
      <c r="CD1182" s="2" t="s">
        <v>231</v>
      </c>
      <c r="CE1182" s="4">
        <v>73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>
        <v>152</v>
      </c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</row>
    <row r="1183">
      <c r="A1183" s="2" t="s">
        <v>5606</v>
      </c>
      <c r="B1183" s="2" t="s">
        <v>992</v>
      </c>
      <c r="C1183" s="2" t="s">
        <v>288</v>
      </c>
      <c r="D1183" s="2" t="s">
        <v>993</v>
      </c>
      <c r="E1183" s="2" t="s">
        <v>994</v>
      </c>
      <c r="F1183" s="2" t="s">
        <v>5531</v>
      </c>
      <c r="G1183" s="2" t="s">
        <v>5090</v>
      </c>
      <c r="H1183" s="2" t="s">
        <v>5532</v>
      </c>
      <c r="I1183" s="2" t="s">
        <v>5533</v>
      </c>
      <c r="J1183" s="2" t="s">
        <v>996</v>
      </c>
      <c r="K1183" s="2" t="s">
        <v>255</v>
      </c>
      <c r="L1183" s="3">
        <v>16</v>
      </c>
      <c r="M1183" s="3">
        <v>16.8</v>
      </c>
      <c r="N1183" s="3">
        <v>39.99</v>
      </c>
      <c r="O1183" s="2" t="s">
        <v>243</v>
      </c>
      <c r="P1183" s="2" t="s">
        <v>270</v>
      </c>
      <c r="Q1183" s="2" t="s">
        <v>237</v>
      </c>
      <c r="R1183" s="2" t="s">
        <v>231</v>
      </c>
      <c r="S1183" s="2" t="s">
        <v>5413</v>
      </c>
      <c r="T1183" s="2" t="s">
        <v>231</v>
      </c>
      <c r="U1183" s="2" t="s">
        <v>327</v>
      </c>
      <c r="V1183" s="2" t="s">
        <v>239</v>
      </c>
      <c r="W1183" s="2" t="s">
        <v>792</v>
      </c>
      <c r="X1183" s="2" t="s">
        <v>3672</v>
      </c>
      <c r="Y1183" s="2" t="s">
        <v>5557</v>
      </c>
      <c r="Z1183" s="4">
        <v>1424</v>
      </c>
      <c r="AA1183" s="4">
        <f>=ROUNDDOWN(90.126582278481,0)</f>
      </c>
      <c r="AB1183" s="5">
        <v>15.8</v>
      </c>
      <c r="AC1183" s="2" t="s">
        <v>231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231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231</v>
      </c>
      <c r="AW1183" s="8" t="s">
        <v>231</v>
      </c>
      <c r="AX1183" s="4" t="s">
        <v>231</v>
      </c>
      <c r="AY1183" s="8" t="s">
        <v>231</v>
      </c>
      <c r="AZ1183" s="7" t="s">
        <v>231</v>
      </c>
      <c r="BA1183" s="7" t="s">
        <v>231</v>
      </c>
      <c r="BB1183" s="7"/>
      <c r="BC1183" s="4" t="s">
        <v>231</v>
      </c>
      <c r="BD1183" s="8" t="s">
        <v>231</v>
      </c>
      <c r="BE1183" s="4" t="s">
        <v>231</v>
      </c>
      <c r="BF1183" s="8" t="s">
        <v>231</v>
      </c>
      <c r="BG1183" s="7" t="s">
        <v>231</v>
      </c>
      <c r="BH1183" s="7" t="s">
        <v>231</v>
      </c>
      <c r="BI1183" s="7"/>
      <c r="BJ1183" s="4">
        <v>70</v>
      </c>
      <c r="BK1183" s="8">
        <v>996.58</v>
      </c>
      <c r="BL1183" s="2" t="s">
        <v>5607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5608</v>
      </c>
      <c r="BV1183" s="2" t="s">
        <v>231</v>
      </c>
      <c r="BW1183" s="2" t="s">
        <v>231</v>
      </c>
      <c r="BX1183" s="2" t="s">
        <v>5538</v>
      </c>
      <c r="BY1183" s="2" t="s">
        <v>277</v>
      </c>
      <c r="BZ1183" s="2" t="s">
        <v>243</v>
      </c>
      <c r="CA1183" s="2" t="s">
        <v>5609</v>
      </c>
      <c r="CB1183" s="2" t="s">
        <v>5610</v>
      </c>
      <c r="CC1183" s="2" t="s">
        <v>244</v>
      </c>
      <c r="CD1183" s="2" t="s">
        <v>231</v>
      </c>
      <c r="CE1183" s="4">
        <v>1424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</row>
    <row r="1184">
      <c r="A1184" s="2" t="s">
        <v>5611</v>
      </c>
      <c r="B1184" s="2" t="s">
        <v>992</v>
      </c>
      <c r="C1184" s="2" t="s">
        <v>288</v>
      </c>
      <c r="D1184" s="2" t="s">
        <v>993</v>
      </c>
      <c r="E1184" s="2" t="s">
        <v>994</v>
      </c>
      <c r="F1184" s="2" t="s">
        <v>5531</v>
      </c>
      <c r="G1184" s="2" t="s">
        <v>5090</v>
      </c>
      <c r="H1184" s="2" t="s">
        <v>5532</v>
      </c>
      <c r="I1184" s="2" t="s">
        <v>5533</v>
      </c>
      <c r="J1184" s="2" t="s">
        <v>1450</v>
      </c>
      <c r="K1184" s="2" t="s">
        <v>255</v>
      </c>
      <c r="L1184" s="3">
        <v>21</v>
      </c>
      <c r="M1184" s="3">
        <v>22.05</v>
      </c>
      <c r="N1184" s="3">
        <v>49.99</v>
      </c>
      <c r="O1184" s="2" t="s">
        <v>243</v>
      </c>
      <c r="P1184" s="2" t="s">
        <v>270</v>
      </c>
      <c r="Q1184" s="2" t="s">
        <v>237</v>
      </c>
      <c r="R1184" s="2" t="s">
        <v>231</v>
      </c>
      <c r="S1184" s="2" t="s">
        <v>5413</v>
      </c>
      <c r="T1184" s="2" t="s">
        <v>231</v>
      </c>
      <c r="U1184" s="2" t="s">
        <v>327</v>
      </c>
      <c r="V1184" s="2" t="s">
        <v>239</v>
      </c>
      <c r="W1184" s="2" t="s">
        <v>792</v>
      </c>
      <c r="X1184" s="2" t="s">
        <v>3672</v>
      </c>
      <c r="Y1184" s="2" t="s">
        <v>5557</v>
      </c>
      <c r="Z1184" s="4">
        <v>389</v>
      </c>
      <c r="AA1184" s="4">
        <f>=ROUNDDOWN(41.8279569892473,0)</f>
      </c>
      <c r="AB1184" s="5">
        <v>9.3</v>
      </c>
      <c r="AC1184" s="2" t="s">
        <v>231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231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231</v>
      </c>
      <c r="AW1184" s="8" t="s">
        <v>231</v>
      </c>
      <c r="AX1184" s="4" t="s">
        <v>231</v>
      </c>
      <c r="AY1184" s="8" t="s">
        <v>231</v>
      </c>
      <c r="AZ1184" s="7" t="s">
        <v>231</v>
      </c>
      <c r="BA1184" s="7" t="s">
        <v>231</v>
      </c>
      <c r="BB1184" s="7"/>
      <c r="BC1184" s="4" t="s">
        <v>231</v>
      </c>
      <c r="BD1184" s="8" t="s">
        <v>231</v>
      </c>
      <c r="BE1184" s="4" t="s">
        <v>231</v>
      </c>
      <c r="BF1184" s="8" t="s">
        <v>231</v>
      </c>
      <c r="BG1184" s="7" t="s">
        <v>231</v>
      </c>
      <c r="BH1184" s="7" t="s">
        <v>231</v>
      </c>
      <c r="BI1184" s="7"/>
      <c r="BJ1184" s="4">
        <v>34</v>
      </c>
      <c r="BK1184" s="8">
        <v>710.12</v>
      </c>
      <c r="BL1184" s="2" t="s">
        <v>1452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5612</v>
      </c>
      <c r="BV1184" s="2" t="s">
        <v>231</v>
      </c>
      <c r="BW1184" s="2" t="s">
        <v>231</v>
      </c>
      <c r="BX1184" s="2" t="s">
        <v>5538</v>
      </c>
      <c r="BY1184" s="2" t="s">
        <v>277</v>
      </c>
      <c r="BZ1184" s="2" t="s">
        <v>243</v>
      </c>
      <c r="CA1184" s="2" t="s">
        <v>5609</v>
      </c>
      <c r="CB1184" s="2" t="s">
        <v>3634</v>
      </c>
      <c r="CC1184" s="2" t="s">
        <v>244</v>
      </c>
      <c r="CD1184" s="2" t="s">
        <v>231</v>
      </c>
      <c r="CE1184" s="4">
        <v>389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</row>
    <row r="1185">
      <c r="A1185" s="2" t="s">
        <v>5613</v>
      </c>
      <c r="B1185" s="2" t="s">
        <v>992</v>
      </c>
      <c r="C1185" s="2" t="s">
        <v>288</v>
      </c>
      <c r="D1185" s="2" t="s">
        <v>993</v>
      </c>
      <c r="E1185" s="2" t="s">
        <v>994</v>
      </c>
      <c r="F1185" s="2" t="s">
        <v>5531</v>
      </c>
      <c r="G1185" s="2" t="s">
        <v>5090</v>
      </c>
      <c r="H1185" s="2" t="s">
        <v>5532</v>
      </c>
      <c r="I1185" s="2" t="s">
        <v>5533</v>
      </c>
      <c r="J1185" s="2" t="s">
        <v>5545</v>
      </c>
      <c r="K1185" s="2" t="s">
        <v>255</v>
      </c>
      <c r="L1185" s="3">
        <v>23.1</v>
      </c>
      <c r="M1185" s="3">
        <v>24.26</v>
      </c>
      <c r="N1185" s="3">
        <v>54.99</v>
      </c>
      <c r="O1185" s="2" t="s">
        <v>243</v>
      </c>
      <c r="P1185" s="2" t="s">
        <v>270</v>
      </c>
      <c r="Q1185" s="2" t="s">
        <v>237</v>
      </c>
      <c r="R1185" s="2" t="s">
        <v>231</v>
      </c>
      <c r="S1185" s="2" t="s">
        <v>5413</v>
      </c>
      <c r="T1185" s="2" t="s">
        <v>231</v>
      </c>
      <c r="U1185" s="2" t="s">
        <v>327</v>
      </c>
      <c r="V1185" s="2" t="s">
        <v>239</v>
      </c>
      <c r="W1185" s="2" t="s">
        <v>792</v>
      </c>
      <c r="X1185" s="2" t="s">
        <v>3672</v>
      </c>
      <c r="Y1185" s="2" t="s">
        <v>5557</v>
      </c>
      <c r="Z1185" s="4">
        <v>178</v>
      </c>
      <c r="AA1185" s="4">
        <f>=ROUNDDOWN(118.666666666667,0)</f>
      </c>
      <c r="AB1185" s="5">
        <v>1.5</v>
      </c>
      <c r="AC1185" s="2" t="s">
        <v>231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231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231</v>
      </c>
      <c r="AW1185" s="8" t="s">
        <v>231</v>
      </c>
      <c r="AX1185" s="4" t="s">
        <v>231</v>
      </c>
      <c r="AY1185" s="8" t="s">
        <v>231</v>
      </c>
      <c r="AZ1185" s="7" t="s">
        <v>231</v>
      </c>
      <c r="BA1185" s="7" t="s">
        <v>231</v>
      </c>
      <c r="BB1185" s="7"/>
      <c r="BC1185" s="4" t="s">
        <v>231</v>
      </c>
      <c r="BD1185" s="8" t="s">
        <v>231</v>
      </c>
      <c r="BE1185" s="4" t="s">
        <v>231</v>
      </c>
      <c r="BF1185" s="8" t="s">
        <v>231</v>
      </c>
      <c r="BG1185" s="7" t="s">
        <v>231</v>
      </c>
      <c r="BH1185" s="7" t="s">
        <v>231</v>
      </c>
      <c r="BI1185" s="7"/>
      <c r="BJ1185" s="4">
        <v>4</v>
      </c>
      <c r="BK1185" s="8">
        <v>87.18</v>
      </c>
      <c r="BL1185" s="2" t="s">
        <v>5614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5615</v>
      </c>
      <c r="BV1185" s="2" t="s">
        <v>231</v>
      </c>
      <c r="BW1185" s="2" t="s">
        <v>231</v>
      </c>
      <c r="BX1185" s="2" t="s">
        <v>5538</v>
      </c>
      <c r="BY1185" s="2" t="s">
        <v>277</v>
      </c>
      <c r="BZ1185" s="2" t="s">
        <v>243</v>
      </c>
      <c r="CA1185" s="2" t="s">
        <v>2583</v>
      </c>
      <c r="CB1185" s="2" t="s">
        <v>5616</v>
      </c>
      <c r="CC1185" s="2" t="s">
        <v>244</v>
      </c>
      <c r="CD1185" s="2" t="s">
        <v>231</v>
      </c>
      <c r="CE1185" s="4">
        <v>178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</row>
    <row r="1186">
      <c r="A1186" s="2" t="s">
        <v>5617</v>
      </c>
      <c r="B1186" s="2" t="s">
        <v>992</v>
      </c>
      <c r="C1186" s="2" t="s">
        <v>288</v>
      </c>
      <c r="D1186" s="2" t="s">
        <v>993</v>
      </c>
      <c r="E1186" s="2" t="s">
        <v>994</v>
      </c>
      <c r="F1186" s="2" t="s">
        <v>5531</v>
      </c>
      <c r="G1186" s="2" t="s">
        <v>5090</v>
      </c>
      <c r="H1186" s="2" t="s">
        <v>5532</v>
      </c>
      <c r="I1186" s="2" t="s">
        <v>5533</v>
      </c>
      <c r="J1186" s="2" t="s">
        <v>1586</v>
      </c>
      <c r="K1186" s="2" t="s">
        <v>5618</v>
      </c>
      <c r="L1186" s="3">
        <v>17.1</v>
      </c>
      <c r="M1186" s="3">
        <v>17.96</v>
      </c>
      <c r="N1186" s="3">
        <v>44.99</v>
      </c>
      <c r="O1186" s="2" t="s">
        <v>243</v>
      </c>
      <c r="P1186" s="2" t="s">
        <v>270</v>
      </c>
      <c r="Q1186" s="2" t="s">
        <v>237</v>
      </c>
      <c r="R1186" s="2" t="s">
        <v>231</v>
      </c>
      <c r="S1186" s="2" t="s">
        <v>5619</v>
      </c>
      <c r="T1186" s="2" t="s">
        <v>231</v>
      </c>
      <c r="U1186" s="2" t="s">
        <v>327</v>
      </c>
      <c r="V1186" s="2" t="s">
        <v>239</v>
      </c>
      <c r="W1186" s="2" t="s">
        <v>792</v>
      </c>
      <c r="X1186" s="2" t="s">
        <v>3672</v>
      </c>
      <c r="Y1186" s="2" t="s">
        <v>274</v>
      </c>
      <c r="Z1186" s="4">
        <v>624</v>
      </c>
      <c r="AA1186" s="4">
        <f>=ROUNDDOWN(36.9230769230769,0)</f>
      </c>
      <c r="AB1186" s="5">
        <v>16.9</v>
      </c>
      <c r="AC1186" s="2" t="s">
        <v>2510</v>
      </c>
      <c r="AD1186" s="4">
        <v>52</v>
      </c>
      <c r="AE1186" s="4">
        <v>52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231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231</v>
      </c>
      <c r="AW1186" s="8" t="s">
        <v>231</v>
      </c>
      <c r="AX1186" s="4" t="s">
        <v>231</v>
      </c>
      <c r="AY1186" s="8" t="s">
        <v>231</v>
      </c>
      <c r="AZ1186" s="7" t="s">
        <v>231</v>
      </c>
      <c r="BA1186" s="7" t="s">
        <v>231</v>
      </c>
      <c r="BB1186" s="7"/>
      <c r="BC1186" s="4" t="s">
        <v>231</v>
      </c>
      <c r="BD1186" s="8" t="s">
        <v>231</v>
      </c>
      <c r="BE1186" s="4" t="s">
        <v>231</v>
      </c>
      <c r="BF1186" s="8" t="s">
        <v>231</v>
      </c>
      <c r="BG1186" s="7" t="s">
        <v>231</v>
      </c>
      <c r="BH1186" s="7" t="s">
        <v>231</v>
      </c>
      <c r="BI1186" s="7"/>
      <c r="BJ1186" s="4">
        <v>93</v>
      </c>
      <c r="BK1186" s="8">
        <v>1438.83</v>
      </c>
      <c r="BL1186" s="2" t="s">
        <v>5620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5621</v>
      </c>
      <c r="BV1186" s="2" t="s">
        <v>231</v>
      </c>
      <c r="BW1186" s="2" t="s">
        <v>231</v>
      </c>
      <c r="BX1186" s="2" t="s">
        <v>5538</v>
      </c>
      <c r="BY1186" s="2" t="s">
        <v>277</v>
      </c>
      <c r="BZ1186" s="2" t="s">
        <v>243</v>
      </c>
      <c r="CA1186" s="2" t="s">
        <v>284</v>
      </c>
      <c r="CB1186" s="2" t="s">
        <v>541</v>
      </c>
      <c r="CC1186" s="2" t="s">
        <v>244</v>
      </c>
      <c r="CD1186" s="2" t="s">
        <v>231</v>
      </c>
      <c r="CE1186" s="4">
        <v>624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>
        <v>52</v>
      </c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</row>
    <row r="1187">
      <c r="A1187" s="2" t="s">
        <v>5622</v>
      </c>
      <c r="B1187" s="2" t="s">
        <v>992</v>
      </c>
      <c r="C1187" s="2" t="s">
        <v>288</v>
      </c>
      <c r="D1187" s="2" t="s">
        <v>993</v>
      </c>
      <c r="E1187" s="2" t="s">
        <v>994</v>
      </c>
      <c r="F1187" s="2" t="s">
        <v>5531</v>
      </c>
      <c r="G1187" s="2" t="s">
        <v>5090</v>
      </c>
      <c r="H1187" s="2" t="s">
        <v>5532</v>
      </c>
      <c r="I1187" s="2" t="s">
        <v>5533</v>
      </c>
      <c r="J1187" s="2" t="s">
        <v>1450</v>
      </c>
      <c r="K1187" s="2" t="s">
        <v>5618</v>
      </c>
      <c r="L1187" s="3">
        <v>21</v>
      </c>
      <c r="M1187" s="3">
        <v>22.05</v>
      </c>
      <c r="N1187" s="3">
        <v>49.99</v>
      </c>
      <c r="O1187" s="2" t="s">
        <v>243</v>
      </c>
      <c r="P1187" s="2" t="s">
        <v>270</v>
      </c>
      <c r="Q1187" s="2" t="s">
        <v>237</v>
      </c>
      <c r="R1187" s="2" t="s">
        <v>231</v>
      </c>
      <c r="S1187" s="2" t="s">
        <v>5619</v>
      </c>
      <c r="T1187" s="2" t="s">
        <v>231</v>
      </c>
      <c r="U1187" s="2" t="s">
        <v>327</v>
      </c>
      <c r="V1187" s="2" t="s">
        <v>239</v>
      </c>
      <c r="W1187" s="2" t="s">
        <v>792</v>
      </c>
      <c r="X1187" s="2" t="s">
        <v>3672</v>
      </c>
      <c r="Y1187" s="2" t="s">
        <v>274</v>
      </c>
      <c r="Z1187" s="4">
        <v>389</v>
      </c>
      <c r="AA1187" s="4">
        <f>=ROUNDDOWN(29.9230769230769,0)</f>
      </c>
      <c r="AB1187" s="5">
        <v>13</v>
      </c>
      <c r="AC1187" s="2" t="s">
        <v>2510</v>
      </c>
      <c r="AD1187" s="4">
        <v>100</v>
      </c>
      <c r="AE1187" s="4">
        <v>100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231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231</v>
      </c>
      <c r="AW1187" s="8" t="s">
        <v>231</v>
      </c>
      <c r="AX1187" s="4" t="s">
        <v>231</v>
      </c>
      <c r="AY1187" s="8" t="s">
        <v>231</v>
      </c>
      <c r="AZ1187" s="7" t="s">
        <v>231</v>
      </c>
      <c r="BA1187" s="7" t="s">
        <v>231</v>
      </c>
      <c r="BB1187" s="7"/>
      <c r="BC1187" s="4" t="s">
        <v>231</v>
      </c>
      <c r="BD1187" s="8" t="s">
        <v>231</v>
      </c>
      <c r="BE1187" s="4" t="s">
        <v>231</v>
      </c>
      <c r="BF1187" s="8" t="s">
        <v>231</v>
      </c>
      <c r="BG1187" s="7" t="s">
        <v>231</v>
      </c>
      <c r="BH1187" s="7" t="s">
        <v>231</v>
      </c>
      <c r="BI1187" s="7"/>
      <c r="BJ1187" s="4">
        <v>33</v>
      </c>
      <c r="BK1187" s="8">
        <v>640.87</v>
      </c>
      <c r="BL1187" s="2" t="s">
        <v>5623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5624</v>
      </c>
      <c r="BV1187" s="2" t="s">
        <v>231</v>
      </c>
      <c r="BW1187" s="2" t="s">
        <v>231</v>
      </c>
      <c r="BX1187" s="2" t="s">
        <v>5538</v>
      </c>
      <c r="BY1187" s="2" t="s">
        <v>277</v>
      </c>
      <c r="BZ1187" s="2" t="s">
        <v>243</v>
      </c>
      <c r="CA1187" s="2" t="s">
        <v>284</v>
      </c>
      <c r="CB1187" s="2" t="s">
        <v>5625</v>
      </c>
      <c r="CC1187" s="2" t="s">
        <v>244</v>
      </c>
      <c r="CD1187" s="2" t="s">
        <v>231</v>
      </c>
      <c r="CE1187" s="4">
        <v>389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>
        <v>100</v>
      </c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</row>
    <row r="1188">
      <c r="A1188" s="2" t="s">
        <v>5626</v>
      </c>
      <c r="B1188" s="2" t="s">
        <v>992</v>
      </c>
      <c r="C1188" s="2" t="s">
        <v>288</v>
      </c>
      <c r="D1188" s="2" t="s">
        <v>1525</v>
      </c>
      <c r="E1188" s="2" t="s">
        <v>1526</v>
      </c>
      <c r="F1188" s="2" t="s">
        <v>5531</v>
      </c>
      <c r="G1188" s="2" t="s">
        <v>5090</v>
      </c>
      <c r="H1188" s="2" t="s">
        <v>5532</v>
      </c>
      <c r="I1188" s="2" t="s">
        <v>5564</v>
      </c>
      <c r="J1188" s="2" t="s">
        <v>5565</v>
      </c>
      <c r="K1188" s="2" t="s">
        <v>5618</v>
      </c>
      <c r="L1188" s="3">
        <v>12.6</v>
      </c>
      <c r="M1188" s="3">
        <v>13.23</v>
      </c>
      <c r="N1188" s="3">
        <v>29.99</v>
      </c>
      <c r="O1188" s="2" t="s">
        <v>243</v>
      </c>
      <c r="P1188" s="2" t="s">
        <v>270</v>
      </c>
      <c r="Q1188" s="2" t="s">
        <v>237</v>
      </c>
      <c r="R1188" s="2" t="s">
        <v>231</v>
      </c>
      <c r="S1188" s="2" t="s">
        <v>5619</v>
      </c>
      <c r="T1188" s="2" t="s">
        <v>231</v>
      </c>
      <c r="U1188" s="2" t="s">
        <v>231</v>
      </c>
      <c r="V1188" s="2" t="s">
        <v>239</v>
      </c>
      <c r="W1188" s="2" t="s">
        <v>792</v>
      </c>
      <c r="X1188" s="2" t="s">
        <v>231</v>
      </c>
      <c r="Y1188" s="2" t="s">
        <v>5582</v>
      </c>
      <c r="Z1188" s="4">
        <v>311</v>
      </c>
      <c r="AA1188" s="4">
        <f>=ROUNDDOWN(31.1,0)</f>
      </c>
      <c r="AB1188" s="5">
        <v>10</v>
      </c>
      <c r="AC1188" s="2" t="s">
        <v>231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231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231</v>
      </c>
      <c r="AW1188" s="8" t="s">
        <v>231</v>
      </c>
      <c r="AX1188" s="4" t="s">
        <v>231</v>
      </c>
      <c r="AY1188" s="8" t="s">
        <v>231</v>
      </c>
      <c r="AZ1188" s="7" t="s">
        <v>231</v>
      </c>
      <c r="BA1188" s="7" t="s">
        <v>231</v>
      </c>
      <c r="BB1188" s="7"/>
      <c r="BC1188" s="4" t="s">
        <v>231</v>
      </c>
      <c r="BD1188" s="8" t="s">
        <v>231</v>
      </c>
      <c r="BE1188" s="4" t="s">
        <v>231</v>
      </c>
      <c r="BF1188" s="8" t="s">
        <v>231</v>
      </c>
      <c r="BG1188" s="7" t="s">
        <v>231</v>
      </c>
      <c r="BH1188" s="7" t="s">
        <v>231</v>
      </c>
      <c r="BI1188" s="7"/>
      <c r="BJ1188" s="4">
        <v>28</v>
      </c>
      <c r="BK1188" s="8">
        <v>351.7</v>
      </c>
      <c r="BL1188" s="2" t="s">
        <v>5627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5628</v>
      </c>
      <c r="BV1188" s="2" t="s">
        <v>231</v>
      </c>
      <c r="BW1188" s="2" t="s">
        <v>231</v>
      </c>
      <c r="BX1188" s="2" t="s">
        <v>231</v>
      </c>
      <c r="BY1188" s="2" t="s">
        <v>277</v>
      </c>
      <c r="BZ1188" s="2" t="s">
        <v>243</v>
      </c>
      <c r="CA1188" s="2" t="s">
        <v>1027</v>
      </c>
      <c r="CB1188" s="2" t="s">
        <v>1361</v>
      </c>
      <c r="CC1188" s="2" t="s">
        <v>244</v>
      </c>
      <c r="CD1188" s="2" t="s">
        <v>231</v>
      </c>
      <c r="CE1188" s="4">
        <v>311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</row>
    <row r="1189">
      <c r="A1189" s="2" t="s">
        <v>5629</v>
      </c>
      <c r="B1189" s="2" t="s">
        <v>992</v>
      </c>
      <c r="C1189" s="2" t="s">
        <v>288</v>
      </c>
      <c r="D1189" s="2" t="s">
        <v>993</v>
      </c>
      <c r="E1189" s="2" t="s">
        <v>994</v>
      </c>
      <c r="F1189" s="2" t="s">
        <v>5531</v>
      </c>
      <c r="G1189" s="2" t="s">
        <v>5090</v>
      </c>
      <c r="H1189" s="2" t="s">
        <v>5532</v>
      </c>
      <c r="I1189" s="2" t="s">
        <v>5533</v>
      </c>
      <c r="J1189" s="2" t="s">
        <v>1450</v>
      </c>
      <c r="K1189" s="2" t="s">
        <v>778</v>
      </c>
      <c r="L1189" s="3">
        <v>21</v>
      </c>
      <c r="M1189" s="3">
        <v>22.05</v>
      </c>
      <c r="N1189" s="3">
        <v>49.99</v>
      </c>
      <c r="O1189" s="2" t="s">
        <v>243</v>
      </c>
      <c r="P1189" s="2" t="s">
        <v>341</v>
      </c>
      <c r="Q1189" s="2" t="s">
        <v>237</v>
      </c>
      <c r="R1189" s="2" t="s">
        <v>231</v>
      </c>
      <c r="S1189" s="2" t="s">
        <v>5630</v>
      </c>
      <c r="T1189" s="2" t="s">
        <v>231</v>
      </c>
      <c r="U1189" s="2" t="s">
        <v>327</v>
      </c>
      <c r="V1189" s="2" t="s">
        <v>239</v>
      </c>
      <c r="W1189" s="2" t="s">
        <v>792</v>
      </c>
      <c r="X1189" s="2" t="s">
        <v>3672</v>
      </c>
      <c r="Y1189" s="2" t="s">
        <v>274</v>
      </c>
      <c r="Z1189" s="4">
        <v>196</v>
      </c>
      <c r="AA1189" s="4">
        <f>=ROUNDDOWN(35.6363636363636,0)</f>
      </c>
      <c r="AB1189" s="5">
        <v>5.5</v>
      </c>
      <c r="AC1189" s="2" t="s">
        <v>231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231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231</v>
      </c>
      <c r="AW1189" s="8" t="s">
        <v>231</v>
      </c>
      <c r="AX1189" s="4" t="s">
        <v>231</v>
      </c>
      <c r="AY1189" s="8" t="s">
        <v>231</v>
      </c>
      <c r="AZ1189" s="7" t="s">
        <v>231</v>
      </c>
      <c r="BA1189" s="7" t="s">
        <v>231</v>
      </c>
      <c r="BB1189" s="7"/>
      <c r="BC1189" s="4" t="s">
        <v>231</v>
      </c>
      <c r="BD1189" s="8" t="s">
        <v>231</v>
      </c>
      <c r="BE1189" s="4" t="s">
        <v>231</v>
      </c>
      <c r="BF1189" s="8" t="s">
        <v>231</v>
      </c>
      <c r="BG1189" s="7" t="s">
        <v>231</v>
      </c>
      <c r="BH1189" s="7" t="s">
        <v>231</v>
      </c>
      <c r="BI1189" s="7"/>
      <c r="BJ1189" s="4">
        <v>8</v>
      </c>
      <c r="BK1189" s="8">
        <v>125.78</v>
      </c>
      <c r="BL1189" s="2" t="s">
        <v>5631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5632</v>
      </c>
      <c r="BV1189" s="2" t="s">
        <v>231</v>
      </c>
      <c r="BW1189" s="2" t="s">
        <v>231</v>
      </c>
      <c r="BX1189" s="2" t="s">
        <v>1360</v>
      </c>
      <c r="BY1189" s="2" t="s">
        <v>277</v>
      </c>
      <c r="BZ1189" s="2" t="s">
        <v>243</v>
      </c>
      <c r="CA1189" s="2" t="s">
        <v>2052</v>
      </c>
      <c r="CB1189" s="2" t="s">
        <v>4248</v>
      </c>
      <c r="CC1189" s="2" t="s">
        <v>244</v>
      </c>
      <c r="CD1189" s="2" t="s">
        <v>231</v>
      </c>
      <c r="CE1189" s="4">
        <v>196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</row>
    <row r="1190">
      <c r="A1190" s="2" t="s">
        <v>5633</v>
      </c>
      <c r="B1190" s="2" t="s">
        <v>992</v>
      </c>
      <c r="C1190" s="2" t="s">
        <v>288</v>
      </c>
      <c r="D1190" s="2" t="s">
        <v>993</v>
      </c>
      <c r="E1190" s="2" t="s">
        <v>994</v>
      </c>
      <c r="F1190" s="2" t="s">
        <v>5531</v>
      </c>
      <c r="G1190" s="2" t="s">
        <v>5090</v>
      </c>
      <c r="H1190" s="2" t="s">
        <v>5532</v>
      </c>
      <c r="I1190" s="2" t="s">
        <v>5533</v>
      </c>
      <c r="J1190" s="2" t="s">
        <v>5545</v>
      </c>
      <c r="K1190" s="2" t="s">
        <v>778</v>
      </c>
      <c r="L1190" s="3">
        <v>23.1</v>
      </c>
      <c r="M1190" s="3">
        <v>24.26</v>
      </c>
      <c r="N1190" s="3">
        <v>54.99</v>
      </c>
      <c r="O1190" s="2" t="s">
        <v>243</v>
      </c>
      <c r="P1190" s="2" t="s">
        <v>341</v>
      </c>
      <c r="Q1190" s="2" t="s">
        <v>237</v>
      </c>
      <c r="R1190" s="2" t="s">
        <v>231</v>
      </c>
      <c r="S1190" s="2" t="s">
        <v>5630</v>
      </c>
      <c r="T1190" s="2" t="s">
        <v>231</v>
      </c>
      <c r="U1190" s="2" t="s">
        <v>327</v>
      </c>
      <c r="V1190" s="2" t="s">
        <v>239</v>
      </c>
      <c r="W1190" s="2" t="s">
        <v>792</v>
      </c>
      <c r="X1190" s="2" t="s">
        <v>3672</v>
      </c>
      <c r="Y1190" s="2" t="s">
        <v>274</v>
      </c>
      <c r="Z1190" s="4">
        <v>89</v>
      </c>
      <c r="AA1190" s="4">
        <f>=ROUNDDOWN(127.142857142857,0)</f>
      </c>
      <c r="AB1190" s="5">
        <v>0.7</v>
      </c>
      <c r="AC1190" s="2" t="s">
        <v>231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231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231</v>
      </c>
      <c r="AW1190" s="8" t="s">
        <v>231</v>
      </c>
      <c r="AX1190" s="4" t="s">
        <v>231</v>
      </c>
      <c r="AY1190" s="8" t="s">
        <v>231</v>
      </c>
      <c r="AZ1190" s="7" t="s">
        <v>231</v>
      </c>
      <c r="BA1190" s="7" t="s">
        <v>231</v>
      </c>
      <c r="BB1190" s="7"/>
      <c r="BC1190" s="4" t="s">
        <v>231</v>
      </c>
      <c r="BD1190" s="8" t="s">
        <v>231</v>
      </c>
      <c r="BE1190" s="4" t="s">
        <v>231</v>
      </c>
      <c r="BF1190" s="8" t="s">
        <v>231</v>
      </c>
      <c r="BG1190" s="7" t="s">
        <v>231</v>
      </c>
      <c r="BH1190" s="7" t="s">
        <v>231</v>
      </c>
      <c r="BI1190" s="7"/>
      <c r="BJ1190" s="4">
        <v>2</v>
      </c>
      <c r="BK1190" s="8">
        <v>24.16</v>
      </c>
      <c r="BL1190" s="2" t="s">
        <v>2996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5634</v>
      </c>
      <c r="BV1190" s="2" t="s">
        <v>231</v>
      </c>
      <c r="BW1190" s="2" t="s">
        <v>231</v>
      </c>
      <c r="BX1190" s="2" t="s">
        <v>1360</v>
      </c>
      <c r="BY1190" s="2" t="s">
        <v>277</v>
      </c>
      <c r="BZ1190" s="2" t="s">
        <v>243</v>
      </c>
      <c r="CA1190" s="2" t="s">
        <v>2052</v>
      </c>
      <c r="CB1190" s="2" t="s">
        <v>5635</v>
      </c>
      <c r="CC1190" s="2" t="s">
        <v>244</v>
      </c>
      <c r="CD1190" s="2" t="s">
        <v>231</v>
      </c>
      <c r="CE1190" s="4">
        <v>89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</row>
    <row r="1191">
      <c r="A1191" s="2" t="s">
        <v>5636</v>
      </c>
      <c r="B1191" s="2" t="s">
        <v>992</v>
      </c>
      <c r="C1191" s="2" t="s">
        <v>288</v>
      </c>
      <c r="D1191" s="2" t="s">
        <v>1525</v>
      </c>
      <c r="E1191" s="2" t="s">
        <v>1526</v>
      </c>
      <c r="F1191" s="2" t="s">
        <v>5531</v>
      </c>
      <c r="G1191" s="2" t="s">
        <v>5090</v>
      </c>
      <c r="H1191" s="2" t="s">
        <v>5532</v>
      </c>
      <c r="I1191" s="2" t="s">
        <v>5564</v>
      </c>
      <c r="J1191" s="2" t="s">
        <v>5565</v>
      </c>
      <c r="K1191" s="2" t="s">
        <v>778</v>
      </c>
      <c r="L1191" s="3">
        <v>12.6</v>
      </c>
      <c r="M1191" s="3">
        <v>13.23</v>
      </c>
      <c r="N1191" s="3">
        <v>29.99</v>
      </c>
      <c r="O1191" s="2" t="s">
        <v>243</v>
      </c>
      <c r="P1191" s="2" t="s">
        <v>341</v>
      </c>
      <c r="Q1191" s="2" t="s">
        <v>237</v>
      </c>
      <c r="R1191" s="2" t="s">
        <v>231</v>
      </c>
      <c r="S1191" s="2" t="s">
        <v>5630</v>
      </c>
      <c r="T1191" s="2" t="s">
        <v>231</v>
      </c>
      <c r="U1191" s="2" t="s">
        <v>231</v>
      </c>
      <c r="V1191" s="2" t="s">
        <v>239</v>
      </c>
      <c r="W1191" s="2" t="s">
        <v>792</v>
      </c>
      <c r="X1191" s="2" t="s">
        <v>231</v>
      </c>
      <c r="Y1191" s="2" t="s">
        <v>5582</v>
      </c>
      <c r="Z1191" s="4">
        <v>26</v>
      </c>
      <c r="AA1191" s="4">
        <f>=ROUNDDOWN(8.96551724137931,0)</f>
      </c>
      <c r="AB1191" s="5">
        <v>2.9</v>
      </c>
      <c r="AC1191" s="2" t="s">
        <v>231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231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231</v>
      </c>
      <c r="AW1191" s="8" t="s">
        <v>231</v>
      </c>
      <c r="AX1191" s="4" t="s">
        <v>231</v>
      </c>
      <c r="AY1191" s="8" t="s">
        <v>231</v>
      </c>
      <c r="AZ1191" s="7" t="s">
        <v>231</v>
      </c>
      <c r="BA1191" s="7" t="s">
        <v>231</v>
      </c>
      <c r="BB1191" s="7"/>
      <c r="BC1191" s="4" t="s">
        <v>231</v>
      </c>
      <c r="BD1191" s="8" t="s">
        <v>231</v>
      </c>
      <c r="BE1191" s="4" t="s">
        <v>231</v>
      </c>
      <c r="BF1191" s="8" t="s">
        <v>231</v>
      </c>
      <c r="BG1191" s="7" t="s">
        <v>231</v>
      </c>
      <c r="BH1191" s="7" t="s">
        <v>231</v>
      </c>
      <c r="BI1191" s="7"/>
      <c r="BJ1191" s="4">
        <v>18</v>
      </c>
      <c r="BK1191" s="8">
        <v>241.71</v>
      </c>
      <c r="BL1191" s="2" t="s">
        <v>5637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5638</v>
      </c>
      <c r="BV1191" s="2" t="s">
        <v>231</v>
      </c>
      <c r="BW1191" s="2" t="s">
        <v>231</v>
      </c>
      <c r="BX1191" s="2" t="s">
        <v>231</v>
      </c>
      <c r="BY1191" s="2" t="s">
        <v>277</v>
      </c>
      <c r="BZ1191" s="2" t="s">
        <v>243</v>
      </c>
      <c r="CA1191" s="2" t="s">
        <v>1027</v>
      </c>
      <c r="CB1191" s="2" t="s">
        <v>5639</v>
      </c>
      <c r="CC1191" s="2" t="s">
        <v>244</v>
      </c>
      <c r="CD1191" s="2" t="s">
        <v>231</v>
      </c>
      <c r="CE1191" s="4">
        <v>26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</row>
    <row r="1192">
      <c r="A1192" s="2" t="s">
        <v>5640</v>
      </c>
      <c r="B1192" s="2" t="s">
        <v>1186</v>
      </c>
      <c r="C1192" s="2" t="s">
        <v>288</v>
      </c>
      <c r="D1192" s="2" t="s">
        <v>654</v>
      </c>
      <c r="E1192" s="2" t="s">
        <v>1187</v>
      </c>
      <c r="F1192" s="2" t="s">
        <v>5531</v>
      </c>
      <c r="G1192" s="2" t="s">
        <v>5641</v>
      </c>
      <c r="H1192" s="2" t="s">
        <v>5642</v>
      </c>
      <c r="I1192" s="2" t="s">
        <v>5643</v>
      </c>
      <c r="J1192" s="2" t="s">
        <v>293</v>
      </c>
      <c r="K1192" s="2" t="s">
        <v>463</v>
      </c>
      <c r="L1192" s="3">
        <v>70.5</v>
      </c>
      <c r="M1192" s="3">
        <v>74.02</v>
      </c>
      <c r="N1192" s="3">
        <v>149.99</v>
      </c>
      <c r="O1192" s="2" t="s">
        <v>243</v>
      </c>
      <c r="P1192" s="2" t="s">
        <v>236</v>
      </c>
      <c r="Q1192" s="2" t="s">
        <v>237</v>
      </c>
      <c r="R1192" s="2" t="s">
        <v>231</v>
      </c>
      <c r="S1192" s="2" t="s">
        <v>5644</v>
      </c>
      <c r="T1192" s="2" t="s">
        <v>1432</v>
      </c>
      <c r="U1192" s="2" t="s">
        <v>1961</v>
      </c>
      <c r="V1192" s="2" t="s">
        <v>1444</v>
      </c>
      <c r="W1192" s="2" t="s">
        <v>676</v>
      </c>
      <c r="X1192" s="2" t="s">
        <v>2302</v>
      </c>
      <c r="Y1192" s="2" t="s">
        <v>636</v>
      </c>
      <c r="Z1192" s="4">
        <v>140</v>
      </c>
      <c r="AA1192" s="4">
        <f>=ROUNDDOWN({0},0)</f>
      </c>
      <c r="AB1192" s="5"/>
      <c r="AC1192" s="2" t="s">
        <v>2530</v>
      </c>
      <c r="AD1192" s="4">
        <v>140</v>
      </c>
      <c r="AE1192" s="4">
        <v>140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231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231</v>
      </c>
      <c r="AW1192" s="8" t="s">
        <v>231</v>
      </c>
      <c r="AX1192" s="4" t="s">
        <v>231</v>
      </c>
      <c r="AY1192" s="8" t="s">
        <v>231</v>
      </c>
      <c r="AZ1192" s="7" t="s">
        <v>231</v>
      </c>
      <c r="BA1192" s="7" t="s">
        <v>231</v>
      </c>
      <c r="BB1192" s="7"/>
      <c r="BC1192" s="4" t="s">
        <v>231</v>
      </c>
      <c r="BD1192" s="8" t="s">
        <v>231</v>
      </c>
      <c r="BE1192" s="4" t="s">
        <v>231</v>
      </c>
      <c r="BF1192" s="8" t="s">
        <v>231</v>
      </c>
      <c r="BG1192" s="7" t="s">
        <v>231</v>
      </c>
      <c r="BH1192" s="7" t="s">
        <v>231</v>
      </c>
      <c r="BI1192" s="7"/>
      <c r="BJ1192" s="4"/>
      <c r="BK1192" s="8"/>
      <c r="BL1192" s="2" t="s">
        <v>231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241</v>
      </c>
      <c r="BV1192" s="2" t="s">
        <v>231</v>
      </c>
      <c r="BW1192" s="2" t="s">
        <v>231</v>
      </c>
      <c r="BX1192" s="2" t="s">
        <v>241</v>
      </c>
      <c r="BY1192" s="2" t="s">
        <v>242</v>
      </c>
      <c r="BZ1192" s="2" t="s">
        <v>243</v>
      </c>
      <c r="CA1192" s="2" t="s">
        <v>231</v>
      </c>
      <c r="CB1192" s="2" t="s">
        <v>231</v>
      </c>
      <c r="CC1192" s="2" t="s">
        <v>244</v>
      </c>
      <c r="CD1192" s="2" t="s">
        <v>231</v>
      </c>
      <c r="CE1192" s="4"/>
      <c r="CF1192" s="4"/>
      <c r="CG1192" s="4"/>
      <c r="CH1192" s="4"/>
      <c r="CI1192" s="4"/>
      <c r="CJ1192" s="4"/>
      <c r="CK1192" s="4"/>
      <c r="CL1192" s="4">
        <v>140</v>
      </c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>
        <v>140</v>
      </c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</row>
    <row r="1193">
      <c r="A1193" s="2" t="s">
        <v>5645</v>
      </c>
      <c r="B1193" s="2" t="s">
        <v>1186</v>
      </c>
      <c r="C1193" s="2" t="s">
        <v>288</v>
      </c>
      <c r="D1193" s="2" t="s">
        <v>654</v>
      </c>
      <c r="E1193" s="2" t="s">
        <v>1187</v>
      </c>
      <c r="F1193" s="2" t="s">
        <v>5531</v>
      </c>
      <c r="G1193" s="2" t="s">
        <v>5641</v>
      </c>
      <c r="H1193" s="2" t="s">
        <v>5642</v>
      </c>
      <c r="I1193" s="2" t="s">
        <v>5643</v>
      </c>
      <c r="J1193" s="2" t="s">
        <v>302</v>
      </c>
      <c r="K1193" s="2" t="s">
        <v>463</v>
      </c>
      <c r="L1193" s="3">
        <v>79.85</v>
      </c>
      <c r="M1193" s="3">
        <v>83.85</v>
      </c>
      <c r="N1193" s="3">
        <v>169.99</v>
      </c>
      <c r="O1193" s="2" t="s">
        <v>243</v>
      </c>
      <c r="P1193" s="2" t="s">
        <v>236</v>
      </c>
      <c r="Q1193" s="2" t="s">
        <v>237</v>
      </c>
      <c r="R1193" s="2" t="s">
        <v>231</v>
      </c>
      <c r="S1193" s="2" t="s">
        <v>5644</v>
      </c>
      <c r="T1193" s="2" t="s">
        <v>1432</v>
      </c>
      <c r="U1193" s="2" t="s">
        <v>1961</v>
      </c>
      <c r="V1193" s="2" t="s">
        <v>1444</v>
      </c>
      <c r="W1193" s="2" t="s">
        <v>676</v>
      </c>
      <c r="X1193" s="2" t="s">
        <v>2302</v>
      </c>
      <c r="Y1193" s="2" t="s">
        <v>636</v>
      </c>
      <c r="Z1193" s="4">
        <v>160</v>
      </c>
      <c r="AA1193" s="4">
        <f>=ROUNDDOWN({0},0)</f>
      </c>
      <c r="AB1193" s="5"/>
      <c r="AC1193" s="2" t="s">
        <v>2530</v>
      </c>
      <c r="AD1193" s="4">
        <v>160</v>
      </c>
      <c r="AE1193" s="4">
        <v>160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231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231</v>
      </c>
      <c r="AW1193" s="8" t="s">
        <v>231</v>
      </c>
      <c r="AX1193" s="4" t="s">
        <v>231</v>
      </c>
      <c r="AY1193" s="8" t="s">
        <v>231</v>
      </c>
      <c r="AZ1193" s="7" t="s">
        <v>231</v>
      </c>
      <c r="BA1193" s="7" t="s">
        <v>231</v>
      </c>
      <c r="BB1193" s="7"/>
      <c r="BC1193" s="4" t="s">
        <v>231</v>
      </c>
      <c r="BD1193" s="8" t="s">
        <v>231</v>
      </c>
      <c r="BE1193" s="4" t="s">
        <v>231</v>
      </c>
      <c r="BF1193" s="8" t="s">
        <v>231</v>
      </c>
      <c r="BG1193" s="7" t="s">
        <v>231</v>
      </c>
      <c r="BH1193" s="7" t="s">
        <v>231</v>
      </c>
      <c r="BI1193" s="7"/>
      <c r="BJ1193" s="4"/>
      <c r="BK1193" s="8"/>
      <c r="BL1193" s="2" t="s">
        <v>231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241</v>
      </c>
      <c r="BV1193" s="2" t="s">
        <v>231</v>
      </c>
      <c r="BW1193" s="2" t="s">
        <v>231</v>
      </c>
      <c r="BX1193" s="2" t="s">
        <v>241</v>
      </c>
      <c r="BY1193" s="2" t="s">
        <v>242</v>
      </c>
      <c r="BZ1193" s="2" t="s">
        <v>243</v>
      </c>
      <c r="CA1193" s="2" t="s">
        <v>231</v>
      </c>
      <c r="CB1193" s="2" t="s">
        <v>231</v>
      </c>
      <c r="CC1193" s="2" t="s">
        <v>244</v>
      </c>
      <c r="CD1193" s="2" t="s">
        <v>231</v>
      </c>
      <c r="CE1193" s="4"/>
      <c r="CF1193" s="4"/>
      <c r="CG1193" s="4"/>
      <c r="CH1193" s="4"/>
      <c r="CI1193" s="4"/>
      <c r="CJ1193" s="4"/>
      <c r="CK1193" s="4"/>
      <c r="CL1193" s="4">
        <v>160</v>
      </c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>
        <v>160</v>
      </c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</row>
    <row r="1194">
      <c r="A1194" s="2" t="s">
        <v>5646</v>
      </c>
      <c r="B1194" s="2" t="s">
        <v>1186</v>
      </c>
      <c r="C1194" s="2" t="s">
        <v>288</v>
      </c>
      <c r="D1194" s="2" t="s">
        <v>654</v>
      </c>
      <c r="E1194" s="2" t="s">
        <v>1187</v>
      </c>
      <c r="F1194" s="2" t="s">
        <v>5531</v>
      </c>
      <c r="G1194" s="2" t="s">
        <v>5641</v>
      </c>
      <c r="H1194" s="2" t="s">
        <v>5642</v>
      </c>
      <c r="I1194" s="2" t="s">
        <v>5643</v>
      </c>
      <c r="J1194" s="2" t="s">
        <v>304</v>
      </c>
      <c r="K1194" s="2" t="s">
        <v>463</v>
      </c>
      <c r="L1194" s="3">
        <v>79.9</v>
      </c>
      <c r="M1194" s="3">
        <v>83.89</v>
      </c>
      <c r="N1194" s="3">
        <v>169.99</v>
      </c>
      <c r="O1194" s="2" t="s">
        <v>243</v>
      </c>
      <c r="P1194" s="2" t="s">
        <v>236</v>
      </c>
      <c r="Q1194" s="2" t="s">
        <v>237</v>
      </c>
      <c r="R1194" s="2" t="s">
        <v>231</v>
      </c>
      <c r="S1194" s="2" t="s">
        <v>5644</v>
      </c>
      <c r="T1194" s="2" t="s">
        <v>1432</v>
      </c>
      <c r="U1194" s="2" t="s">
        <v>1961</v>
      </c>
      <c r="V1194" s="2" t="s">
        <v>1444</v>
      </c>
      <c r="W1194" s="2" t="s">
        <v>676</v>
      </c>
      <c r="X1194" s="2" t="s">
        <v>2302</v>
      </c>
      <c r="Y1194" s="2" t="s">
        <v>636</v>
      </c>
      <c r="Z1194" s="4">
        <v>100</v>
      </c>
      <c r="AA1194" s="4">
        <f>=ROUNDDOWN({0},0)</f>
      </c>
      <c r="AB1194" s="5"/>
      <c r="AC1194" s="2" t="s">
        <v>2530</v>
      </c>
      <c r="AD1194" s="4">
        <v>100</v>
      </c>
      <c r="AE1194" s="4">
        <v>100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231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231</v>
      </c>
      <c r="AW1194" s="8" t="s">
        <v>231</v>
      </c>
      <c r="AX1194" s="4" t="s">
        <v>231</v>
      </c>
      <c r="AY1194" s="8" t="s">
        <v>231</v>
      </c>
      <c r="AZ1194" s="7" t="s">
        <v>231</v>
      </c>
      <c r="BA1194" s="7" t="s">
        <v>231</v>
      </c>
      <c r="BB1194" s="7"/>
      <c r="BC1194" s="4" t="s">
        <v>231</v>
      </c>
      <c r="BD1194" s="8" t="s">
        <v>231</v>
      </c>
      <c r="BE1194" s="4" t="s">
        <v>231</v>
      </c>
      <c r="BF1194" s="8" t="s">
        <v>231</v>
      </c>
      <c r="BG1194" s="7" t="s">
        <v>231</v>
      </c>
      <c r="BH1194" s="7" t="s">
        <v>231</v>
      </c>
      <c r="BI1194" s="7"/>
      <c r="BJ1194" s="4"/>
      <c r="BK1194" s="8"/>
      <c r="BL1194" s="2" t="s">
        <v>231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241</v>
      </c>
      <c r="BV1194" s="2" t="s">
        <v>231</v>
      </c>
      <c r="BW1194" s="2" t="s">
        <v>231</v>
      </c>
      <c r="BX1194" s="2" t="s">
        <v>241</v>
      </c>
      <c r="BY1194" s="2" t="s">
        <v>242</v>
      </c>
      <c r="BZ1194" s="2" t="s">
        <v>243</v>
      </c>
      <c r="CA1194" s="2" t="s">
        <v>231</v>
      </c>
      <c r="CB1194" s="2" t="s">
        <v>231</v>
      </c>
      <c r="CC1194" s="2" t="s">
        <v>244</v>
      </c>
      <c r="CD1194" s="2" t="s">
        <v>231</v>
      </c>
      <c r="CE1194" s="4"/>
      <c r="CF1194" s="4"/>
      <c r="CG1194" s="4"/>
      <c r="CH1194" s="4"/>
      <c r="CI1194" s="4"/>
      <c r="CJ1194" s="4"/>
      <c r="CK1194" s="4"/>
      <c r="CL1194" s="4">
        <v>100</v>
      </c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>
        <v>100</v>
      </c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</row>
    <row r="1195">
      <c r="A1195" s="2" t="s">
        <v>5647</v>
      </c>
      <c r="B1195" s="2" t="s">
        <v>992</v>
      </c>
      <c r="C1195" s="2" t="s">
        <v>288</v>
      </c>
      <c r="D1195" s="2" t="s">
        <v>993</v>
      </c>
      <c r="E1195" s="2" t="s">
        <v>994</v>
      </c>
      <c r="F1195" s="2" t="s">
        <v>5531</v>
      </c>
      <c r="G1195" s="2" t="s">
        <v>5090</v>
      </c>
      <c r="H1195" s="2" t="s">
        <v>5532</v>
      </c>
      <c r="I1195" s="2" t="s">
        <v>5533</v>
      </c>
      <c r="J1195" s="2" t="s">
        <v>5545</v>
      </c>
      <c r="K1195" s="2" t="s">
        <v>463</v>
      </c>
      <c r="L1195" s="3">
        <v>23.1</v>
      </c>
      <c r="M1195" s="3">
        <v>24.26</v>
      </c>
      <c r="N1195" s="3">
        <v>54.99</v>
      </c>
      <c r="O1195" s="2" t="s">
        <v>243</v>
      </c>
      <c r="P1195" s="2" t="s">
        <v>270</v>
      </c>
      <c r="Q1195" s="2" t="s">
        <v>237</v>
      </c>
      <c r="R1195" s="2" t="s">
        <v>231</v>
      </c>
      <c r="S1195" s="2" t="s">
        <v>5648</v>
      </c>
      <c r="T1195" s="2" t="s">
        <v>231</v>
      </c>
      <c r="U1195" s="2" t="s">
        <v>327</v>
      </c>
      <c r="V1195" s="2" t="s">
        <v>239</v>
      </c>
      <c r="W1195" s="2" t="s">
        <v>792</v>
      </c>
      <c r="X1195" s="2" t="s">
        <v>3672</v>
      </c>
      <c r="Y1195" s="2" t="s">
        <v>5557</v>
      </c>
      <c r="Z1195" s="4">
        <v>212</v>
      </c>
      <c r="AA1195" s="4">
        <f>=ROUNDDOWN(53,0)</f>
      </c>
      <c r="AB1195" s="5">
        <v>4</v>
      </c>
      <c r="AC1195" s="2" t="s">
        <v>231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231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231</v>
      </c>
      <c r="AW1195" s="8" t="s">
        <v>231</v>
      </c>
      <c r="AX1195" s="4" t="s">
        <v>231</v>
      </c>
      <c r="AY1195" s="8" t="s">
        <v>231</v>
      </c>
      <c r="AZ1195" s="7" t="s">
        <v>231</v>
      </c>
      <c r="BA1195" s="7" t="s">
        <v>231</v>
      </c>
      <c r="BB1195" s="7"/>
      <c r="BC1195" s="4" t="s">
        <v>231</v>
      </c>
      <c r="BD1195" s="8" t="s">
        <v>231</v>
      </c>
      <c r="BE1195" s="4" t="s">
        <v>231</v>
      </c>
      <c r="BF1195" s="8" t="s">
        <v>231</v>
      </c>
      <c r="BG1195" s="7" t="s">
        <v>231</v>
      </c>
      <c r="BH1195" s="7" t="s">
        <v>231</v>
      </c>
      <c r="BI1195" s="7"/>
      <c r="BJ1195" s="4">
        <v>18</v>
      </c>
      <c r="BK1195" s="8">
        <v>412.38</v>
      </c>
      <c r="BL1195" s="2" t="s">
        <v>1452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5649</v>
      </c>
      <c r="BV1195" s="2" t="s">
        <v>231</v>
      </c>
      <c r="BW1195" s="2" t="s">
        <v>231</v>
      </c>
      <c r="BX1195" s="2" t="s">
        <v>5538</v>
      </c>
      <c r="BY1195" s="2" t="s">
        <v>277</v>
      </c>
      <c r="BZ1195" s="2" t="s">
        <v>243</v>
      </c>
      <c r="CA1195" s="2" t="s">
        <v>5609</v>
      </c>
      <c r="CB1195" s="2" t="s">
        <v>4513</v>
      </c>
      <c r="CC1195" s="2" t="s">
        <v>244</v>
      </c>
      <c r="CD1195" s="2" t="s">
        <v>231</v>
      </c>
      <c r="CE1195" s="4">
        <v>212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</row>
    <row r="1196">
      <c r="A1196" s="2" t="s">
        <v>5650</v>
      </c>
      <c r="B1196" s="2" t="s">
        <v>992</v>
      </c>
      <c r="C1196" s="2" t="s">
        <v>288</v>
      </c>
      <c r="D1196" s="2" t="s">
        <v>993</v>
      </c>
      <c r="E1196" s="2" t="s">
        <v>994</v>
      </c>
      <c r="F1196" s="2" t="s">
        <v>5531</v>
      </c>
      <c r="G1196" s="2" t="s">
        <v>5090</v>
      </c>
      <c r="H1196" s="2" t="s">
        <v>5532</v>
      </c>
      <c r="I1196" s="2" t="s">
        <v>5533</v>
      </c>
      <c r="J1196" s="2" t="s">
        <v>5545</v>
      </c>
      <c r="K1196" s="2" t="s">
        <v>723</v>
      </c>
      <c r="L1196" s="3">
        <v>23.1</v>
      </c>
      <c r="M1196" s="3">
        <v>24.26</v>
      </c>
      <c r="N1196" s="3">
        <v>54.99</v>
      </c>
      <c r="O1196" s="2" t="s">
        <v>250</v>
      </c>
      <c r="P1196" s="2" t="s">
        <v>341</v>
      </c>
      <c r="Q1196" s="2" t="s">
        <v>237</v>
      </c>
      <c r="R1196" s="2" t="s">
        <v>231</v>
      </c>
      <c r="S1196" s="2" t="s">
        <v>5651</v>
      </c>
      <c r="T1196" s="2" t="s">
        <v>231</v>
      </c>
      <c r="U1196" s="2" t="s">
        <v>327</v>
      </c>
      <c r="V1196" s="2" t="s">
        <v>239</v>
      </c>
      <c r="W1196" s="2" t="s">
        <v>792</v>
      </c>
      <c r="X1196" s="2" t="s">
        <v>231</v>
      </c>
      <c r="Y1196" s="2" t="s">
        <v>2491</v>
      </c>
      <c r="Z1196" s="4">
        <v>26</v>
      </c>
      <c r="AA1196" s="4">
        <f>=ROUNDDOWN(52,0)</f>
      </c>
      <c r="AB1196" s="5">
        <v>0.5</v>
      </c>
      <c r="AC1196" s="2" t="s">
        <v>231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231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231</v>
      </c>
      <c r="BD1196" s="8" t="s">
        <v>231</v>
      </c>
      <c r="BE1196" s="4" t="s">
        <v>231</v>
      </c>
      <c r="BF1196" s="8" t="s">
        <v>231</v>
      </c>
      <c r="BG1196" s="7" t="s">
        <v>231</v>
      </c>
      <c r="BH1196" s="7" t="s">
        <v>231</v>
      </c>
      <c r="BI1196" s="7"/>
      <c r="BJ1196" s="4">
        <v>6</v>
      </c>
      <c r="BK1196" s="8">
        <v>137.82</v>
      </c>
      <c r="BL1196" s="2" t="s">
        <v>5652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5653</v>
      </c>
      <c r="BV1196" s="2" t="s">
        <v>231</v>
      </c>
      <c r="BW1196" s="2" t="s">
        <v>231</v>
      </c>
      <c r="BX1196" s="2" t="s">
        <v>1360</v>
      </c>
      <c r="BY1196" s="2" t="s">
        <v>277</v>
      </c>
      <c r="BZ1196" s="2" t="s">
        <v>243</v>
      </c>
      <c r="CA1196" s="2" t="s">
        <v>782</v>
      </c>
      <c r="CB1196" s="2" t="s">
        <v>5654</v>
      </c>
      <c r="CC1196" s="2" t="s">
        <v>244</v>
      </c>
      <c r="CD1196" s="2" t="s">
        <v>231</v>
      </c>
      <c r="CE1196" s="4">
        <v>26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</row>
    <row r="1197">
      <c r="A1197" s="2" t="s">
        <v>5655</v>
      </c>
      <c r="B1197" s="2" t="s">
        <v>992</v>
      </c>
      <c r="C1197" s="2" t="s">
        <v>288</v>
      </c>
      <c r="D1197" s="2" t="s">
        <v>993</v>
      </c>
      <c r="E1197" s="2" t="s">
        <v>994</v>
      </c>
      <c r="F1197" s="2" t="s">
        <v>5531</v>
      </c>
      <c r="G1197" s="2" t="s">
        <v>5090</v>
      </c>
      <c r="H1197" s="2" t="s">
        <v>5532</v>
      </c>
      <c r="I1197" s="2" t="s">
        <v>5533</v>
      </c>
      <c r="J1197" s="2" t="s">
        <v>5545</v>
      </c>
      <c r="K1197" s="2" t="s">
        <v>319</v>
      </c>
      <c r="L1197" s="3">
        <v>23.1</v>
      </c>
      <c r="M1197" s="3">
        <v>24.26</v>
      </c>
      <c r="N1197" s="3">
        <v>54.99</v>
      </c>
      <c r="O1197" s="2" t="s">
        <v>243</v>
      </c>
      <c r="P1197" s="2" t="s">
        <v>1281</v>
      </c>
      <c r="Q1197" s="2" t="s">
        <v>237</v>
      </c>
      <c r="R1197" s="2" t="s">
        <v>231</v>
      </c>
      <c r="S1197" s="2" t="s">
        <v>5656</v>
      </c>
      <c r="T1197" s="2" t="s">
        <v>231</v>
      </c>
      <c r="U1197" s="2" t="s">
        <v>327</v>
      </c>
      <c r="V1197" s="2" t="s">
        <v>239</v>
      </c>
      <c r="W1197" s="2" t="s">
        <v>792</v>
      </c>
      <c r="X1197" s="2" t="s">
        <v>3672</v>
      </c>
      <c r="Y1197" s="2" t="s">
        <v>274</v>
      </c>
      <c r="Z1197" s="4">
        <v>328</v>
      </c>
      <c r="AA1197" s="4">
        <f>=ROUNDDOWN(18.2222222222222,0)</f>
      </c>
      <c r="AB1197" s="5">
        <v>18</v>
      </c>
      <c r="AC1197" s="2" t="s">
        <v>5150</v>
      </c>
      <c r="AD1197" s="4">
        <v>84</v>
      </c>
      <c r="AE1197" s="4">
        <v>408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231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231</v>
      </c>
      <c r="BD1197" s="8" t="s">
        <v>231</v>
      </c>
      <c r="BE1197" s="4" t="s">
        <v>231</v>
      </c>
      <c r="BF1197" s="8" t="s">
        <v>231</v>
      </c>
      <c r="BG1197" s="7" t="s">
        <v>231</v>
      </c>
      <c r="BH1197" s="7" t="s">
        <v>231</v>
      </c>
      <c r="BI1197" s="7"/>
      <c r="BJ1197" s="4">
        <v>65</v>
      </c>
      <c r="BK1197" s="8">
        <v>1624.95</v>
      </c>
      <c r="BL1197" s="2" t="s">
        <v>5657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5658</v>
      </c>
      <c r="BV1197" s="2" t="s">
        <v>231</v>
      </c>
      <c r="BW1197" s="2" t="s">
        <v>231</v>
      </c>
      <c r="BX1197" s="2" t="s">
        <v>5538</v>
      </c>
      <c r="BY1197" s="2" t="s">
        <v>277</v>
      </c>
      <c r="BZ1197" s="2" t="s">
        <v>243</v>
      </c>
      <c r="CA1197" s="2" t="s">
        <v>2052</v>
      </c>
      <c r="CB1197" s="2" t="s">
        <v>2053</v>
      </c>
      <c r="CC1197" s="2" t="s">
        <v>244</v>
      </c>
      <c r="CD1197" s="2" t="s">
        <v>231</v>
      </c>
      <c r="CE1197" s="4">
        <v>328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>
        <v>84</v>
      </c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>
        <v>204</v>
      </c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>
        <v>120</v>
      </c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</row>
    <row r="1198">
      <c r="A1198" s="2" t="s">
        <v>5659</v>
      </c>
      <c r="B1198" s="2" t="s">
        <v>226</v>
      </c>
      <c r="C1198" s="2" t="s">
        <v>825</v>
      </c>
      <c r="D1198" s="2" t="s">
        <v>1624</v>
      </c>
      <c r="E1198" s="2" t="s">
        <v>2589</v>
      </c>
      <c r="F1198" s="2" t="s">
        <v>5660</v>
      </c>
      <c r="G1198" s="2" t="s">
        <v>5661</v>
      </c>
      <c r="H1198" s="2" t="s">
        <v>5661</v>
      </c>
      <c r="I1198" s="2" t="s">
        <v>5662</v>
      </c>
      <c r="J1198" s="2" t="s">
        <v>1554</v>
      </c>
      <c r="K1198" s="2" t="s">
        <v>723</v>
      </c>
      <c r="L1198" s="3">
        <v>12.42</v>
      </c>
      <c r="M1198" s="3">
        <v>13.04</v>
      </c>
      <c r="N1198" s="3">
        <v>26.99</v>
      </c>
      <c r="O1198" s="2" t="s">
        <v>243</v>
      </c>
      <c r="P1198" s="2" t="s">
        <v>341</v>
      </c>
      <c r="Q1198" s="2" t="s">
        <v>237</v>
      </c>
      <c r="R1198" s="2" t="s">
        <v>231</v>
      </c>
      <c r="S1198" s="2" t="s">
        <v>5663</v>
      </c>
      <c r="T1198" s="2" t="s">
        <v>895</v>
      </c>
      <c r="U1198" s="2" t="s">
        <v>327</v>
      </c>
      <c r="V1198" s="2" t="s">
        <v>239</v>
      </c>
      <c r="W1198" s="2" t="s">
        <v>273</v>
      </c>
      <c r="X1198" s="2" t="s">
        <v>691</v>
      </c>
      <c r="Y1198" s="2" t="s">
        <v>5664</v>
      </c>
      <c r="Z1198" s="4">
        <v>391</v>
      </c>
      <c r="AA1198" s="4">
        <f>=ROUNDDOWN(21.7222222222222,0)</f>
      </c>
      <c r="AB1198" s="5">
        <v>18</v>
      </c>
      <c r="AC1198" s="2" t="s">
        <v>231</v>
      </c>
      <c r="AD1198" s="4"/>
      <c r="AE1198" s="4"/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231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>
        <v>25</v>
      </c>
      <c r="BK1198" s="8">
        <v>318.62</v>
      </c>
      <c r="BL1198" s="2" t="s">
        <v>5665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5666</v>
      </c>
      <c r="BV1198" s="2" t="s">
        <v>231</v>
      </c>
      <c r="BW1198" s="2" t="s">
        <v>231</v>
      </c>
      <c r="BX1198" s="2" t="s">
        <v>231</v>
      </c>
      <c r="BY1198" s="2" t="s">
        <v>277</v>
      </c>
      <c r="BZ1198" s="2" t="s">
        <v>243</v>
      </c>
      <c r="CA1198" s="2" t="s">
        <v>331</v>
      </c>
      <c r="CB1198" s="2" t="s">
        <v>5667</v>
      </c>
      <c r="CC1198" s="2" t="s">
        <v>244</v>
      </c>
      <c r="CD1198" s="2" t="s">
        <v>231</v>
      </c>
      <c r="CE1198" s="4">
        <v>391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</row>
    <row r="1199">
      <c r="A1199" s="2" t="s">
        <v>5668</v>
      </c>
      <c r="B1199" s="2" t="s">
        <v>226</v>
      </c>
      <c r="C1199" s="2" t="s">
        <v>1299</v>
      </c>
      <c r="D1199" s="2" t="s">
        <v>654</v>
      </c>
      <c r="E1199" s="2" t="s">
        <v>655</v>
      </c>
      <c r="F1199" s="2" t="s">
        <v>5669</v>
      </c>
      <c r="G1199" s="2" t="s">
        <v>5669</v>
      </c>
      <c r="H1199" s="2" t="s">
        <v>5669</v>
      </c>
      <c r="I1199" s="2" t="s">
        <v>5670</v>
      </c>
      <c r="J1199" s="2" t="s">
        <v>658</v>
      </c>
      <c r="K1199" s="2" t="s">
        <v>1513</v>
      </c>
      <c r="L1199" s="3">
        <v>28.57</v>
      </c>
      <c r="M1199" s="3">
        <v>30</v>
      </c>
      <c r="N1199" s="3">
        <v>59.99</v>
      </c>
      <c r="O1199" s="2" t="s">
        <v>243</v>
      </c>
      <c r="P1199" s="2" t="s">
        <v>341</v>
      </c>
      <c r="Q1199" s="2" t="s">
        <v>237</v>
      </c>
      <c r="R1199" s="2" t="s">
        <v>231</v>
      </c>
      <c r="S1199" s="2" t="s">
        <v>231</v>
      </c>
      <c r="T1199" s="2" t="s">
        <v>5671</v>
      </c>
      <c r="U1199" s="2" t="s">
        <v>298</v>
      </c>
      <c r="V1199" s="2" t="s">
        <v>5672</v>
      </c>
      <c r="W1199" s="2" t="s">
        <v>5673</v>
      </c>
      <c r="X1199" s="2" t="s">
        <v>897</v>
      </c>
      <c r="Y1199" s="2" t="s">
        <v>918</v>
      </c>
      <c r="Z1199" s="4">
        <v>272</v>
      </c>
      <c r="AA1199" s="4">
        <f>=ROUNDDOWN(34,0)</f>
      </c>
      <c r="AB1199" s="5">
        <v>8</v>
      </c>
      <c r="AC1199" s="2" t="s">
        <v>231</v>
      </c>
      <c r="AD1199" s="4"/>
      <c r="AE1199" s="4"/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231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231</v>
      </c>
      <c r="AW1199" s="8" t="s">
        <v>231</v>
      </c>
      <c r="AX1199" s="4" t="s">
        <v>231</v>
      </c>
      <c r="AY1199" s="8" t="s">
        <v>231</v>
      </c>
      <c r="AZ1199" s="7" t="s">
        <v>231</v>
      </c>
      <c r="BA1199" s="7" t="s">
        <v>231</v>
      </c>
      <c r="BB1199" s="7"/>
      <c r="BC1199" s="4" t="s">
        <v>231</v>
      </c>
      <c r="BD1199" s="8" t="s">
        <v>231</v>
      </c>
      <c r="BE1199" s="4" t="s">
        <v>231</v>
      </c>
      <c r="BF1199" s="8" t="s">
        <v>231</v>
      </c>
      <c r="BG1199" s="7" t="s">
        <v>231</v>
      </c>
      <c r="BH1199" s="7" t="s">
        <v>231</v>
      </c>
      <c r="BI1199" s="7"/>
      <c r="BJ1199" s="4">
        <v>9</v>
      </c>
      <c r="BK1199" s="8">
        <v>284.24</v>
      </c>
      <c r="BL1199" s="2" t="s">
        <v>5674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5675</v>
      </c>
      <c r="BV1199" s="2" t="s">
        <v>231</v>
      </c>
      <c r="BW1199" s="2" t="s">
        <v>231</v>
      </c>
      <c r="BX1199" s="2" t="s">
        <v>241</v>
      </c>
      <c r="BY1199" s="2" t="s">
        <v>277</v>
      </c>
      <c r="BZ1199" s="2" t="s">
        <v>243</v>
      </c>
      <c r="CA1199" s="2" t="s">
        <v>2821</v>
      </c>
      <c r="CB1199" s="2" t="s">
        <v>5676</v>
      </c>
      <c r="CC1199" s="2" t="s">
        <v>244</v>
      </c>
      <c r="CD1199" s="2" t="s">
        <v>231</v>
      </c>
      <c r="CE1199" s="4">
        <v>272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</row>
    <row r="1200">
      <c r="A1200" s="2" t="s">
        <v>5677</v>
      </c>
      <c r="B1200" s="2" t="s">
        <v>226</v>
      </c>
      <c r="C1200" s="2" t="s">
        <v>1299</v>
      </c>
      <c r="D1200" s="2" t="s">
        <v>654</v>
      </c>
      <c r="E1200" s="2" t="s">
        <v>655</v>
      </c>
      <c r="F1200" s="2" t="s">
        <v>5669</v>
      </c>
      <c r="G1200" s="2" t="s">
        <v>5669</v>
      </c>
      <c r="H1200" s="2" t="s">
        <v>5669</v>
      </c>
      <c r="I1200" s="2" t="s">
        <v>5670</v>
      </c>
      <c r="J1200" s="2" t="s">
        <v>302</v>
      </c>
      <c r="K1200" s="2" t="s">
        <v>1513</v>
      </c>
      <c r="L1200" s="3">
        <v>33.33</v>
      </c>
      <c r="M1200" s="3">
        <v>35</v>
      </c>
      <c r="N1200" s="3">
        <v>69.99</v>
      </c>
      <c r="O1200" s="2" t="s">
        <v>243</v>
      </c>
      <c r="P1200" s="2" t="s">
        <v>341</v>
      </c>
      <c r="Q1200" s="2" t="s">
        <v>237</v>
      </c>
      <c r="R1200" s="2" t="s">
        <v>231</v>
      </c>
      <c r="S1200" s="2" t="s">
        <v>231</v>
      </c>
      <c r="T1200" s="2" t="s">
        <v>5671</v>
      </c>
      <c r="U1200" s="2" t="s">
        <v>298</v>
      </c>
      <c r="V1200" s="2" t="s">
        <v>5672</v>
      </c>
      <c r="W1200" s="2" t="s">
        <v>5673</v>
      </c>
      <c r="X1200" s="2" t="s">
        <v>897</v>
      </c>
      <c r="Y1200" s="2" t="s">
        <v>918</v>
      </c>
      <c r="Z1200" s="4">
        <v>724</v>
      </c>
      <c r="AA1200" s="4">
        <f>=ROUNDDOWN(362,0)</f>
      </c>
      <c r="AB1200" s="5">
        <v>2</v>
      </c>
      <c r="AC1200" s="2" t="s">
        <v>231</v>
      </c>
      <c r="AD1200" s="4"/>
      <c r="AE1200" s="4"/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231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231</v>
      </c>
      <c r="AW1200" s="8" t="s">
        <v>231</v>
      </c>
      <c r="AX1200" s="4" t="s">
        <v>231</v>
      </c>
      <c r="AY1200" s="8" t="s">
        <v>231</v>
      </c>
      <c r="AZ1200" s="7" t="s">
        <v>231</v>
      </c>
      <c r="BA1200" s="7" t="s">
        <v>231</v>
      </c>
      <c r="BB1200" s="7"/>
      <c r="BC1200" s="4" t="s">
        <v>231</v>
      </c>
      <c r="BD1200" s="8" t="s">
        <v>231</v>
      </c>
      <c r="BE1200" s="4" t="s">
        <v>231</v>
      </c>
      <c r="BF1200" s="8" t="s">
        <v>231</v>
      </c>
      <c r="BG1200" s="7" t="s">
        <v>231</v>
      </c>
      <c r="BH1200" s="7" t="s">
        <v>231</v>
      </c>
      <c r="BI1200" s="7"/>
      <c r="BJ1200" s="4"/>
      <c r="BK1200" s="8"/>
      <c r="BL1200" s="2" t="s">
        <v>2565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5678</v>
      </c>
      <c r="BV1200" s="2" t="s">
        <v>231</v>
      </c>
      <c r="BW1200" s="2" t="s">
        <v>231</v>
      </c>
      <c r="BX1200" s="2" t="s">
        <v>241</v>
      </c>
      <c r="BY1200" s="2" t="s">
        <v>277</v>
      </c>
      <c r="BZ1200" s="2" t="s">
        <v>243</v>
      </c>
      <c r="CA1200" s="2" t="s">
        <v>2821</v>
      </c>
      <c r="CB1200" s="2" t="s">
        <v>822</v>
      </c>
      <c r="CC1200" s="2" t="s">
        <v>244</v>
      </c>
      <c r="CD1200" s="2" t="s">
        <v>231</v>
      </c>
      <c r="CE1200" s="4">
        <v>724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</row>
    <row r="1201">
      <c r="A1201" s="2" t="s">
        <v>5679</v>
      </c>
      <c r="B1201" s="2" t="s">
        <v>262</v>
      </c>
      <c r="C1201" s="2" t="s">
        <v>263</v>
      </c>
      <c r="D1201" s="2" t="s">
        <v>654</v>
      </c>
      <c r="E1201" s="2" t="s">
        <v>1212</v>
      </c>
      <c r="F1201" s="2" t="s">
        <v>5680</v>
      </c>
      <c r="G1201" s="2" t="s">
        <v>5680</v>
      </c>
      <c r="H1201" s="2" t="s">
        <v>5680</v>
      </c>
      <c r="I1201" s="2" t="s">
        <v>5681</v>
      </c>
      <c r="J1201" s="2" t="s">
        <v>832</v>
      </c>
      <c r="K1201" s="2" t="s">
        <v>319</v>
      </c>
      <c r="L1201" s="3">
        <v>28.57</v>
      </c>
      <c r="M1201" s="3">
        <v>30</v>
      </c>
      <c r="N1201" s="3">
        <v>59.99</v>
      </c>
      <c r="O1201" s="2" t="s">
        <v>243</v>
      </c>
      <c r="P1201" s="2" t="s">
        <v>270</v>
      </c>
      <c r="Q1201" s="2" t="s">
        <v>237</v>
      </c>
      <c r="R1201" s="2" t="s">
        <v>231</v>
      </c>
      <c r="S1201" s="2" t="s">
        <v>5682</v>
      </c>
      <c r="T1201" s="2" t="s">
        <v>231</v>
      </c>
      <c r="U1201" s="2" t="s">
        <v>327</v>
      </c>
      <c r="V1201" s="2" t="s">
        <v>239</v>
      </c>
      <c r="W1201" s="2" t="s">
        <v>691</v>
      </c>
      <c r="X1201" s="2" t="s">
        <v>231</v>
      </c>
      <c r="Y1201" s="2" t="s">
        <v>5683</v>
      </c>
      <c r="Z1201" s="4">
        <v>176</v>
      </c>
      <c r="AA1201" s="4">
        <f>=ROUNDDOWN(44,0)</f>
      </c>
      <c r="AB1201" s="5">
        <v>4</v>
      </c>
      <c r="AC1201" s="2" t="s">
        <v>231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231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231</v>
      </c>
      <c r="AW1201" s="8" t="s">
        <v>231</v>
      </c>
      <c r="AX1201" s="4" t="s">
        <v>231</v>
      </c>
      <c r="AY1201" s="8" t="s">
        <v>231</v>
      </c>
      <c r="AZ1201" s="7" t="s">
        <v>231</v>
      </c>
      <c r="BA1201" s="7" t="s">
        <v>231</v>
      </c>
      <c r="BB1201" s="7"/>
      <c r="BC1201" s="4" t="s">
        <v>231</v>
      </c>
      <c r="BD1201" s="8" t="s">
        <v>231</v>
      </c>
      <c r="BE1201" s="4" t="s">
        <v>231</v>
      </c>
      <c r="BF1201" s="8" t="s">
        <v>231</v>
      </c>
      <c r="BG1201" s="7" t="s">
        <v>231</v>
      </c>
      <c r="BH1201" s="7" t="s">
        <v>231</v>
      </c>
      <c r="BI1201" s="7"/>
      <c r="BJ1201" s="4">
        <v>12</v>
      </c>
      <c r="BK1201" s="8">
        <v>390.9</v>
      </c>
      <c r="BL1201" s="2" t="s">
        <v>3541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5684</v>
      </c>
      <c r="BV1201" s="2" t="s">
        <v>231</v>
      </c>
      <c r="BW1201" s="2" t="s">
        <v>231</v>
      </c>
      <c r="BX1201" s="2" t="s">
        <v>231</v>
      </c>
      <c r="BY1201" s="2" t="s">
        <v>277</v>
      </c>
      <c r="BZ1201" s="2" t="s">
        <v>243</v>
      </c>
      <c r="CA1201" s="2" t="s">
        <v>3113</v>
      </c>
      <c r="CB1201" s="2" t="s">
        <v>5685</v>
      </c>
      <c r="CC1201" s="2" t="s">
        <v>244</v>
      </c>
      <c r="CD1201" s="2" t="s">
        <v>231</v>
      </c>
      <c r="CE1201" s="4">
        <v>176</v>
      </c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</row>
    <row r="1202">
      <c r="A1202" s="2" t="s">
        <v>5686</v>
      </c>
      <c r="B1202" s="2" t="s">
        <v>262</v>
      </c>
      <c r="C1202" s="2" t="s">
        <v>263</v>
      </c>
      <c r="D1202" s="2" t="s">
        <v>654</v>
      </c>
      <c r="E1202" s="2" t="s">
        <v>1212</v>
      </c>
      <c r="F1202" s="2" t="s">
        <v>5680</v>
      </c>
      <c r="G1202" s="2" t="s">
        <v>5680</v>
      </c>
      <c r="H1202" s="2" t="s">
        <v>5680</v>
      </c>
      <c r="I1202" s="2" t="s">
        <v>5681</v>
      </c>
      <c r="J1202" s="2" t="s">
        <v>658</v>
      </c>
      <c r="K1202" s="2" t="s">
        <v>319</v>
      </c>
      <c r="L1202" s="3">
        <v>33.33</v>
      </c>
      <c r="M1202" s="3">
        <v>35</v>
      </c>
      <c r="N1202" s="3">
        <v>69.99</v>
      </c>
      <c r="O1202" s="2" t="s">
        <v>243</v>
      </c>
      <c r="P1202" s="2" t="s">
        <v>270</v>
      </c>
      <c r="Q1202" s="2" t="s">
        <v>237</v>
      </c>
      <c r="R1202" s="2" t="s">
        <v>231</v>
      </c>
      <c r="S1202" s="2" t="s">
        <v>5682</v>
      </c>
      <c r="T1202" s="2" t="s">
        <v>231</v>
      </c>
      <c r="U1202" s="2" t="s">
        <v>327</v>
      </c>
      <c r="V1202" s="2" t="s">
        <v>239</v>
      </c>
      <c r="W1202" s="2" t="s">
        <v>691</v>
      </c>
      <c r="X1202" s="2" t="s">
        <v>231</v>
      </c>
      <c r="Y1202" s="2" t="s">
        <v>5683</v>
      </c>
      <c r="Z1202" s="4">
        <v>213</v>
      </c>
      <c r="AA1202" s="4">
        <f>=ROUNDDOWN(35.5,0)</f>
      </c>
      <c r="AB1202" s="5">
        <v>6</v>
      </c>
      <c r="AC1202" s="2" t="s">
        <v>231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231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231</v>
      </c>
      <c r="AW1202" s="8" t="s">
        <v>231</v>
      </c>
      <c r="AX1202" s="4" t="s">
        <v>231</v>
      </c>
      <c r="AY1202" s="8" t="s">
        <v>231</v>
      </c>
      <c r="AZ1202" s="7" t="s">
        <v>231</v>
      </c>
      <c r="BA1202" s="7" t="s">
        <v>231</v>
      </c>
      <c r="BB1202" s="7"/>
      <c r="BC1202" s="4" t="s">
        <v>231</v>
      </c>
      <c r="BD1202" s="8" t="s">
        <v>231</v>
      </c>
      <c r="BE1202" s="4" t="s">
        <v>231</v>
      </c>
      <c r="BF1202" s="8" t="s">
        <v>231</v>
      </c>
      <c r="BG1202" s="7" t="s">
        <v>231</v>
      </c>
      <c r="BH1202" s="7" t="s">
        <v>231</v>
      </c>
      <c r="BI1202" s="7"/>
      <c r="BJ1202" s="4">
        <v>14</v>
      </c>
      <c r="BK1202" s="8">
        <v>484.4</v>
      </c>
      <c r="BL1202" s="2" t="s">
        <v>5687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5688</v>
      </c>
      <c r="BV1202" s="2" t="s">
        <v>231</v>
      </c>
      <c r="BW1202" s="2" t="s">
        <v>231</v>
      </c>
      <c r="BX1202" s="2" t="s">
        <v>231</v>
      </c>
      <c r="BY1202" s="2" t="s">
        <v>277</v>
      </c>
      <c r="BZ1202" s="2" t="s">
        <v>243</v>
      </c>
      <c r="CA1202" s="2" t="s">
        <v>3113</v>
      </c>
      <c r="CB1202" s="2" t="s">
        <v>5689</v>
      </c>
      <c r="CC1202" s="2" t="s">
        <v>244</v>
      </c>
      <c r="CD1202" s="2" t="s">
        <v>231</v>
      </c>
      <c r="CE1202" s="4">
        <v>213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</row>
    <row r="1203">
      <c r="A1203" s="2" t="s">
        <v>5690</v>
      </c>
      <c r="B1203" s="2" t="s">
        <v>262</v>
      </c>
      <c r="C1203" s="2" t="s">
        <v>263</v>
      </c>
      <c r="D1203" s="2" t="s">
        <v>654</v>
      </c>
      <c r="E1203" s="2" t="s">
        <v>1212</v>
      </c>
      <c r="F1203" s="2" t="s">
        <v>5680</v>
      </c>
      <c r="G1203" s="2" t="s">
        <v>5680</v>
      </c>
      <c r="H1203" s="2" t="s">
        <v>5680</v>
      </c>
      <c r="I1203" s="2" t="s">
        <v>5681</v>
      </c>
      <c r="J1203" s="2" t="s">
        <v>669</v>
      </c>
      <c r="K1203" s="2" t="s">
        <v>319</v>
      </c>
      <c r="L1203" s="3">
        <v>38.09</v>
      </c>
      <c r="M1203" s="3">
        <v>39.99</v>
      </c>
      <c r="N1203" s="3">
        <v>79.99</v>
      </c>
      <c r="O1203" s="2" t="s">
        <v>243</v>
      </c>
      <c r="P1203" s="2" t="s">
        <v>270</v>
      </c>
      <c r="Q1203" s="2" t="s">
        <v>237</v>
      </c>
      <c r="R1203" s="2" t="s">
        <v>231</v>
      </c>
      <c r="S1203" s="2" t="s">
        <v>5682</v>
      </c>
      <c r="T1203" s="2" t="s">
        <v>231</v>
      </c>
      <c r="U1203" s="2" t="s">
        <v>327</v>
      </c>
      <c r="V1203" s="2" t="s">
        <v>239</v>
      </c>
      <c r="W1203" s="2" t="s">
        <v>691</v>
      </c>
      <c r="X1203" s="2" t="s">
        <v>231</v>
      </c>
      <c r="Y1203" s="2" t="s">
        <v>5683</v>
      </c>
      <c r="Z1203" s="4">
        <v>265</v>
      </c>
      <c r="AA1203" s="4">
        <f>=ROUNDDOWN(29.4444444444444,0)</f>
      </c>
      <c r="AB1203" s="5">
        <v>9</v>
      </c>
      <c r="AC1203" s="2" t="s">
        <v>231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231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231</v>
      </c>
      <c r="AW1203" s="8" t="s">
        <v>231</v>
      </c>
      <c r="AX1203" s="4" t="s">
        <v>231</v>
      </c>
      <c r="AY1203" s="8" t="s">
        <v>231</v>
      </c>
      <c r="AZ1203" s="7" t="s">
        <v>231</v>
      </c>
      <c r="BA1203" s="7" t="s">
        <v>231</v>
      </c>
      <c r="BB1203" s="7"/>
      <c r="BC1203" s="4" t="s">
        <v>231</v>
      </c>
      <c r="BD1203" s="8" t="s">
        <v>231</v>
      </c>
      <c r="BE1203" s="4" t="s">
        <v>231</v>
      </c>
      <c r="BF1203" s="8" t="s">
        <v>231</v>
      </c>
      <c r="BG1203" s="7" t="s">
        <v>231</v>
      </c>
      <c r="BH1203" s="7" t="s">
        <v>231</v>
      </c>
      <c r="BI1203" s="7"/>
      <c r="BJ1203" s="4">
        <v>29</v>
      </c>
      <c r="BK1203" s="8">
        <v>1259.03</v>
      </c>
      <c r="BL1203" s="2" t="s">
        <v>5691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5692</v>
      </c>
      <c r="BV1203" s="2" t="s">
        <v>231</v>
      </c>
      <c r="BW1203" s="2" t="s">
        <v>231</v>
      </c>
      <c r="BX1203" s="2" t="s">
        <v>231</v>
      </c>
      <c r="BY1203" s="2" t="s">
        <v>277</v>
      </c>
      <c r="BZ1203" s="2" t="s">
        <v>243</v>
      </c>
      <c r="CA1203" s="2" t="s">
        <v>3113</v>
      </c>
      <c r="CB1203" s="2" t="s">
        <v>5693</v>
      </c>
      <c r="CC1203" s="2" t="s">
        <v>244</v>
      </c>
      <c r="CD1203" s="2" t="s">
        <v>231</v>
      </c>
      <c r="CE1203" s="4">
        <v>265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</row>
    <row r="1204">
      <c r="A1204" s="2" t="s">
        <v>5694</v>
      </c>
      <c r="B1204" s="2" t="s">
        <v>992</v>
      </c>
      <c r="C1204" s="2" t="s">
        <v>288</v>
      </c>
      <c r="D1204" s="2" t="s">
        <v>993</v>
      </c>
      <c r="E1204" s="2" t="s">
        <v>994</v>
      </c>
      <c r="F1204" s="2" t="s">
        <v>5695</v>
      </c>
      <c r="G1204" s="2" t="s">
        <v>5696</v>
      </c>
      <c r="H1204" s="2" t="s">
        <v>5697</v>
      </c>
      <c r="I1204" s="2" t="s">
        <v>5698</v>
      </c>
      <c r="J1204" s="2" t="s">
        <v>1703</v>
      </c>
      <c r="K1204" s="2" t="s">
        <v>1496</v>
      </c>
      <c r="L1204" s="3">
        <v>13.5</v>
      </c>
      <c r="M1204" s="3">
        <v>14.18</v>
      </c>
      <c r="N1204" s="3">
        <v>29.99</v>
      </c>
      <c r="O1204" s="2" t="s">
        <v>243</v>
      </c>
      <c r="P1204" s="2" t="s">
        <v>270</v>
      </c>
      <c r="Q1204" s="2" t="s">
        <v>237</v>
      </c>
      <c r="R1204" s="2" t="s">
        <v>231</v>
      </c>
      <c r="S1204" s="2" t="s">
        <v>5699</v>
      </c>
      <c r="T1204" s="2" t="s">
        <v>231</v>
      </c>
      <c r="U1204" s="2" t="s">
        <v>327</v>
      </c>
      <c r="V1204" s="2" t="s">
        <v>239</v>
      </c>
      <c r="W1204" s="2" t="s">
        <v>691</v>
      </c>
      <c r="X1204" s="2" t="s">
        <v>1520</v>
      </c>
      <c r="Y1204" s="2" t="s">
        <v>4748</v>
      </c>
      <c r="Z1204" s="4">
        <v>327</v>
      </c>
      <c r="AA1204" s="4">
        <f>=ROUNDDOWN(54.5,0)</f>
      </c>
      <c r="AB1204" s="5">
        <v>6</v>
      </c>
      <c r="AC1204" s="2" t="s">
        <v>222</v>
      </c>
      <c r="AD1204" s="4">
        <v>108</v>
      </c>
      <c r="AE1204" s="4">
        <v>108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231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231</v>
      </c>
      <c r="AW1204" s="8" t="s">
        <v>231</v>
      </c>
      <c r="AX1204" s="4" t="s">
        <v>231</v>
      </c>
      <c r="AY1204" s="8" t="s">
        <v>231</v>
      </c>
      <c r="AZ1204" s="7" t="s">
        <v>231</v>
      </c>
      <c r="BA1204" s="7" t="s">
        <v>231</v>
      </c>
      <c r="BB1204" s="7"/>
      <c r="BC1204" s="4" t="s">
        <v>231</v>
      </c>
      <c r="BD1204" s="8" t="s">
        <v>231</v>
      </c>
      <c r="BE1204" s="4" t="s">
        <v>231</v>
      </c>
      <c r="BF1204" s="8" t="s">
        <v>231</v>
      </c>
      <c r="BG1204" s="7" t="s">
        <v>231</v>
      </c>
      <c r="BH1204" s="7" t="s">
        <v>231</v>
      </c>
      <c r="BI1204" s="7"/>
      <c r="BJ1204" s="4">
        <v>22</v>
      </c>
      <c r="BK1204" s="8">
        <v>283.78</v>
      </c>
      <c r="BL1204" s="2" t="s">
        <v>587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5700</v>
      </c>
      <c r="BV1204" s="2" t="s">
        <v>231</v>
      </c>
      <c r="BW1204" s="2" t="s">
        <v>231</v>
      </c>
      <c r="BX1204" s="2" t="s">
        <v>231</v>
      </c>
      <c r="BY1204" s="2" t="s">
        <v>277</v>
      </c>
      <c r="BZ1204" s="2" t="s">
        <v>243</v>
      </c>
      <c r="CA1204" s="2" t="s">
        <v>5701</v>
      </c>
      <c r="CB1204" s="2" t="s">
        <v>1015</v>
      </c>
      <c r="CC1204" s="2" t="s">
        <v>244</v>
      </c>
      <c r="CD1204" s="2" t="s">
        <v>231</v>
      </c>
      <c r="CE1204" s="4">
        <v>327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>
        <v>108</v>
      </c>
      <c r="HF1204" s="4"/>
      <c r="HG1204" s="4"/>
      <c r="HH1204" s="4"/>
      <c r="HI1204" s="4"/>
      <c r="HJ1204" s="4"/>
      <c r="HK1204" s="4"/>
      <c r="HL1204" s="4"/>
    </row>
    <row r="1205">
      <c r="A1205" s="2" t="s">
        <v>5702</v>
      </c>
      <c r="B1205" s="2" t="s">
        <v>992</v>
      </c>
      <c r="C1205" s="2" t="s">
        <v>288</v>
      </c>
      <c r="D1205" s="2" t="s">
        <v>993</v>
      </c>
      <c r="E1205" s="2" t="s">
        <v>994</v>
      </c>
      <c r="F1205" s="2" t="s">
        <v>5695</v>
      </c>
      <c r="G1205" s="2" t="s">
        <v>5696</v>
      </c>
      <c r="H1205" s="2" t="s">
        <v>5697</v>
      </c>
      <c r="I1205" s="2" t="s">
        <v>5698</v>
      </c>
      <c r="J1205" s="2" t="s">
        <v>996</v>
      </c>
      <c r="K1205" s="2" t="s">
        <v>1496</v>
      </c>
      <c r="L1205" s="3">
        <v>15.75</v>
      </c>
      <c r="M1205" s="3">
        <v>16.54</v>
      </c>
      <c r="N1205" s="3">
        <v>34.99</v>
      </c>
      <c r="O1205" s="2" t="s">
        <v>243</v>
      </c>
      <c r="P1205" s="2" t="s">
        <v>270</v>
      </c>
      <c r="Q1205" s="2" t="s">
        <v>237</v>
      </c>
      <c r="R1205" s="2" t="s">
        <v>231</v>
      </c>
      <c r="S1205" s="2" t="s">
        <v>5699</v>
      </c>
      <c r="T1205" s="2" t="s">
        <v>231</v>
      </c>
      <c r="U1205" s="2" t="s">
        <v>327</v>
      </c>
      <c r="V1205" s="2" t="s">
        <v>239</v>
      </c>
      <c r="W1205" s="2" t="s">
        <v>691</v>
      </c>
      <c r="X1205" s="2" t="s">
        <v>1520</v>
      </c>
      <c r="Y1205" s="2" t="s">
        <v>4748</v>
      </c>
      <c r="Z1205" s="4">
        <v>303</v>
      </c>
      <c r="AA1205" s="4">
        <f>=ROUNDDOWN(21.6428571428571,0)</f>
      </c>
      <c r="AB1205" s="5">
        <v>14</v>
      </c>
      <c r="AC1205" s="2" t="s">
        <v>1705</v>
      </c>
      <c r="AD1205" s="4">
        <v>120</v>
      </c>
      <c r="AE1205" s="4">
        <v>356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231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231</v>
      </c>
      <c r="AW1205" s="8" t="s">
        <v>231</v>
      </c>
      <c r="AX1205" s="4" t="s">
        <v>231</v>
      </c>
      <c r="AY1205" s="8" t="s">
        <v>231</v>
      </c>
      <c r="AZ1205" s="7" t="s">
        <v>231</v>
      </c>
      <c r="BA1205" s="7" t="s">
        <v>231</v>
      </c>
      <c r="BB1205" s="7"/>
      <c r="BC1205" s="4" t="s">
        <v>231</v>
      </c>
      <c r="BD1205" s="8" t="s">
        <v>231</v>
      </c>
      <c r="BE1205" s="4" t="s">
        <v>231</v>
      </c>
      <c r="BF1205" s="8" t="s">
        <v>231</v>
      </c>
      <c r="BG1205" s="7" t="s">
        <v>231</v>
      </c>
      <c r="BH1205" s="7" t="s">
        <v>231</v>
      </c>
      <c r="BI1205" s="7"/>
      <c r="BJ1205" s="4">
        <v>34</v>
      </c>
      <c r="BK1205" s="8">
        <v>520.75</v>
      </c>
      <c r="BL1205" s="2" t="s">
        <v>349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5703</v>
      </c>
      <c r="BV1205" s="2" t="s">
        <v>231</v>
      </c>
      <c r="BW1205" s="2" t="s">
        <v>231</v>
      </c>
      <c r="BX1205" s="2" t="s">
        <v>231</v>
      </c>
      <c r="BY1205" s="2" t="s">
        <v>277</v>
      </c>
      <c r="BZ1205" s="2" t="s">
        <v>243</v>
      </c>
      <c r="CA1205" s="2" t="s">
        <v>5701</v>
      </c>
      <c r="CB1205" s="2" t="s">
        <v>5704</v>
      </c>
      <c r="CC1205" s="2" t="s">
        <v>244</v>
      </c>
      <c r="CD1205" s="2" t="s">
        <v>231</v>
      </c>
      <c r="CE1205" s="4">
        <v>303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>
        <v>120</v>
      </c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>
        <v>236</v>
      </c>
      <c r="HF1205" s="4"/>
      <c r="HG1205" s="4"/>
      <c r="HH1205" s="4"/>
      <c r="HI1205" s="4"/>
      <c r="HJ1205" s="4"/>
      <c r="HK1205" s="4"/>
      <c r="HL1205" s="4"/>
    </row>
    <row r="1206">
      <c r="A1206" s="2" t="s">
        <v>5705</v>
      </c>
      <c r="B1206" s="2" t="s">
        <v>2695</v>
      </c>
      <c r="C1206" s="2" t="s">
        <v>5706</v>
      </c>
      <c r="D1206" s="2" t="s">
        <v>2696</v>
      </c>
      <c r="E1206" s="2" t="s">
        <v>2697</v>
      </c>
      <c r="F1206" s="2" t="s">
        <v>5707</v>
      </c>
      <c r="G1206" s="2" t="s">
        <v>5707</v>
      </c>
      <c r="H1206" s="2" t="s">
        <v>5707</v>
      </c>
      <c r="I1206" s="2" t="s">
        <v>2697</v>
      </c>
      <c r="J1206" s="2" t="s">
        <v>2699</v>
      </c>
      <c r="K1206" s="2" t="s">
        <v>5708</v>
      </c>
      <c r="L1206" s="3">
        <v>22.03</v>
      </c>
      <c r="M1206" s="3">
        <v>23.13</v>
      </c>
      <c r="N1206" s="3"/>
      <c r="O1206" s="2" t="s">
        <v>235</v>
      </c>
      <c r="P1206" s="2" t="s">
        <v>341</v>
      </c>
      <c r="Q1206" s="2" t="s">
        <v>237</v>
      </c>
      <c r="R1206" s="2" t="s">
        <v>231</v>
      </c>
      <c r="S1206" s="2" t="s">
        <v>231</v>
      </c>
      <c r="T1206" s="2" t="s">
        <v>231</v>
      </c>
      <c r="U1206" s="2" t="s">
        <v>327</v>
      </c>
      <c r="V1206" s="2" t="s">
        <v>662</v>
      </c>
      <c r="W1206" s="2" t="s">
        <v>231</v>
      </c>
      <c r="X1206" s="2" t="s">
        <v>231</v>
      </c>
      <c r="Y1206" s="2" t="s">
        <v>2701</v>
      </c>
      <c r="Z1206" s="4">
        <v>116</v>
      </c>
      <c r="AA1206" s="4">
        <f>=ROUNDDOWN(64.4444444444444,0)</f>
      </c>
      <c r="AB1206" s="5">
        <v>1.8</v>
      </c>
      <c r="AC1206" s="2" t="s">
        <v>231</v>
      </c>
      <c r="AD1206" s="4"/>
      <c r="AE1206" s="4"/>
      <c r="AF1206" s="6"/>
      <c r="AG1206" s="6"/>
      <c r="AH1206" s="7">
        <v>1</v>
      </c>
      <c r="AI1206" s="4"/>
      <c r="AJ1206" s="4">
        <f>=ROUNDDOWN({0},0)</f>
      </c>
      <c r="AK1206" s="5"/>
      <c r="AL1206" s="2" t="s">
        <v>231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231</v>
      </c>
      <c r="AW1206" s="8" t="s">
        <v>231</v>
      </c>
      <c r="AX1206" s="4" t="s">
        <v>231</v>
      </c>
      <c r="AY1206" s="8" t="s">
        <v>231</v>
      </c>
      <c r="AZ1206" s="7" t="s">
        <v>231</v>
      </c>
      <c r="BA1206" s="7" t="s">
        <v>231</v>
      </c>
      <c r="BB1206" s="7"/>
      <c r="BC1206" s="4" t="s">
        <v>231</v>
      </c>
      <c r="BD1206" s="8" t="s">
        <v>231</v>
      </c>
      <c r="BE1206" s="4" t="s">
        <v>231</v>
      </c>
      <c r="BF1206" s="8" t="s">
        <v>231</v>
      </c>
      <c r="BG1206" s="7" t="s">
        <v>231</v>
      </c>
      <c r="BH1206" s="7" t="s">
        <v>231</v>
      </c>
      <c r="BI1206" s="7"/>
      <c r="BJ1206" s="4">
        <v>7</v>
      </c>
      <c r="BK1206" s="8">
        <v>91.7</v>
      </c>
      <c r="BL1206" s="2" t="s">
        <v>1423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5709</v>
      </c>
      <c r="BV1206" s="2" t="s">
        <v>231</v>
      </c>
      <c r="BW1206" s="2" t="s">
        <v>231</v>
      </c>
      <c r="BX1206" s="2" t="s">
        <v>241</v>
      </c>
      <c r="BY1206" s="2" t="s">
        <v>277</v>
      </c>
      <c r="BZ1206" s="2" t="s">
        <v>243</v>
      </c>
      <c r="CA1206" s="2" t="s">
        <v>2703</v>
      </c>
      <c r="CB1206" s="2" t="s">
        <v>231</v>
      </c>
      <c r="CC1206" s="2" t="s">
        <v>244</v>
      </c>
      <c r="CD1206" s="2" t="s">
        <v>231</v>
      </c>
      <c r="CE1206" s="4"/>
      <c r="CF1206" s="4"/>
      <c r="CG1206" s="4"/>
      <c r="CH1206" s="4"/>
      <c r="CI1206" s="4">
        <v>116</v>
      </c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</row>
    <row r="1207">
      <c r="A1207" s="2" t="s">
        <v>5710</v>
      </c>
      <c r="B1207" s="2" t="s">
        <v>2695</v>
      </c>
      <c r="C1207" s="2" t="s">
        <v>5706</v>
      </c>
      <c r="D1207" s="2" t="s">
        <v>2696</v>
      </c>
      <c r="E1207" s="2" t="s">
        <v>2697</v>
      </c>
      <c r="F1207" s="2" t="s">
        <v>5707</v>
      </c>
      <c r="G1207" s="2" t="s">
        <v>5707</v>
      </c>
      <c r="H1207" s="2" t="s">
        <v>5707</v>
      </c>
      <c r="I1207" s="2" t="s">
        <v>2697</v>
      </c>
      <c r="J1207" s="2" t="s">
        <v>1238</v>
      </c>
      <c r="K1207" s="2" t="s">
        <v>5708</v>
      </c>
      <c r="L1207" s="3">
        <v>22.03</v>
      </c>
      <c r="M1207" s="3">
        <v>23.13</v>
      </c>
      <c r="N1207" s="3"/>
      <c r="O1207" s="2" t="s">
        <v>235</v>
      </c>
      <c r="P1207" s="2" t="s">
        <v>341</v>
      </c>
      <c r="Q1207" s="2" t="s">
        <v>237</v>
      </c>
      <c r="R1207" s="2" t="s">
        <v>231</v>
      </c>
      <c r="S1207" s="2" t="s">
        <v>231</v>
      </c>
      <c r="T1207" s="2" t="s">
        <v>231</v>
      </c>
      <c r="U1207" s="2" t="s">
        <v>327</v>
      </c>
      <c r="V1207" s="2" t="s">
        <v>662</v>
      </c>
      <c r="W1207" s="2" t="s">
        <v>231</v>
      </c>
      <c r="X1207" s="2" t="s">
        <v>231</v>
      </c>
      <c r="Y1207" s="2" t="s">
        <v>2701</v>
      </c>
      <c r="Z1207" s="4">
        <v>365</v>
      </c>
      <c r="AA1207" s="4">
        <f>=ROUNDDOWN(182.5,0)</f>
      </c>
      <c r="AB1207" s="5">
        <v>2</v>
      </c>
      <c r="AC1207" s="2" t="s">
        <v>231</v>
      </c>
      <c r="AD1207" s="4"/>
      <c r="AE1207" s="4"/>
      <c r="AF1207" s="6"/>
      <c r="AG1207" s="6"/>
      <c r="AH1207" s="7">
        <v>1</v>
      </c>
      <c r="AI1207" s="4"/>
      <c r="AJ1207" s="4">
        <f>=ROUNDDOWN({0},0)</f>
      </c>
      <c r="AK1207" s="5"/>
      <c r="AL1207" s="2" t="s">
        <v>231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231</v>
      </c>
      <c r="AW1207" s="8" t="s">
        <v>231</v>
      </c>
      <c r="AX1207" s="4" t="s">
        <v>231</v>
      </c>
      <c r="AY1207" s="8" t="s">
        <v>231</v>
      </c>
      <c r="AZ1207" s="7" t="s">
        <v>231</v>
      </c>
      <c r="BA1207" s="7" t="s">
        <v>231</v>
      </c>
      <c r="BB1207" s="7"/>
      <c r="BC1207" s="4" t="s">
        <v>231</v>
      </c>
      <c r="BD1207" s="8" t="s">
        <v>231</v>
      </c>
      <c r="BE1207" s="4" t="s">
        <v>231</v>
      </c>
      <c r="BF1207" s="8" t="s">
        <v>231</v>
      </c>
      <c r="BG1207" s="7" t="s">
        <v>231</v>
      </c>
      <c r="BH1207" s="7" t="s">
        <v>231</v>
      </c>
      <c r="BI1207" s="7"/>
      <c r="BJ1207" s="4">
        <v>10</v>
      </c>
      <c r="BK1207" s="8">
        <v>131</v>
      </c>
      <c r="BL1207" s="2" t="s">
        <v>1423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5711</v>
      </c>
      <c r="BV1207" s="2" t="s">
        <v>231</v>
      </c>
      <c r="BW1207" s="2" t="s">
        <v>231</v>
      </c>
      <c r="BX1207" s="2" t="s">
        <v>241</v>
      </c>
      <c r="BY1207" s="2" t="s">
        <v>277</v>
      </c>
      <c r="BZ1207" s="2" t="s">
        <v>243</v>
      </c>
      <c r="CA1207" s="2" t="s">
        <v>2703</v>
      </c>
      <c r="CB1207" s="2" t="s">
        <v>231</v>
      </c>
      <c r="CC1207" s="2" t="s">
        <v>244</v>
      </c>
      <c r="CD1207" s="2" t="s">
        <v>231</v>
      </c>
      <c r="CE1207" s="4"/>
      <c r="CF1207" s="4"/>
      <c r="CG1207" s="4"/>
      <c r="CH1207" s="4"/>
      <c r="CI1207" s="4">
        <v>365</v>
      </c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</row>
    <row r="1208">
      <c r="A1208" s="2" t="s">
        <v>5712</v>
      </c>
      <c r="B1208" s="2" t="s">
        <v>2695</v>
      </c>
      <c r="C1208" s="2" t="s">
        <v>5706</v>
      </c>
      <c r="D1208" s="2" t="s">
        <v>2696</v>
      </c>
      <c r="E1208" s="2" t="s">
        <v>2697</v>
      </c>
      <c r="F1208" s="2" t="s">
        <v>5707</v>
      </c>
      <c r="G1208" s="2" t="s">
        <v>5707</v>
      </c>
      <c r="H1208" s="2" t="s">
        <v>5707</v>
      </c>
      <c r="I1208" s="2" t="s">
        <v>2697</v>
      </c>
      <c r="J1208" s="2" t="s">
        <v>1245</v>
      </c>
      <c r="K1208" s="2" t="s">
        <v>5708</v>
      </c>
      <c r="L1208" s="3">
        <v>22.03</v>
      </c>
      <c r="M1208" s="3">
        <v>23.13</v>
      </c>
      <c r="N1208" s="3"/>
      <c r="O1208" s="2" t="s">
        <v>235</v>
      </c>
      <c r="P1208" s="2" t="s">
        <v>341</v>
      </c>
      <c r="Q1208" s="2" t="s">
        <v>237</v>
      </c>
      <c r="R1208" s="2" t="s">
        <v>231</v>
      </c>
      <c r="S1208" s="2" t="s">
        <v>231</v>
      </c>
      <c r="T1208" s="2" t="s">
        <v>231</v>
      </c>
      <c r="U1208" s="2" t="s">
        <v>327</v>
      </c>
      <c r="V1208" s="2" t="s">
        <v>662</v>
      </c>
      <c r="W1208" s="2" t="s">
        <v>231</v>
      </c>
      <c r="X1208" s="2" t="s">
        <v>231</v>
      </c>
      <c r="Y1208" s="2" t="s">
        <v>2701</v>
      </c>
      <c r="Z1208" s="4">
        <v>403</v>
      </c>
      <c r="AA1208" s="4">
        <f>=ROUNDDOWN(143.928571428571,0)</f>
      </c>
      <c r="AB1208" s="5">
        <v>2.8</v>
      </c>
      <c r="AC1208" s="2" t="s">
        <v>231</v>
      </c>
      <c r="AD1208" s="4"/>
      <c r="AE1208" s="4"/>
      <c r="AF1208" s="6"/>
      <c r="AG1208" s="6"/>
      <c r="AH1208" s="7">
        <v>1</v>
      </c>
      <c r="AI1208" s="4"/>
      <c r="AJ1208" s="4">
        <f>=ROUNDDOWN({0},0)</f>
      </c>
      <c r="AK1208" s="5"/>
      <c r="AL1208" s="2" t="s">
        <v>231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231</v>
      </c>
      <c r="AW1208" s="8" t="s">
        <v>231</v>
      </c>
      <c r="AX1208" s="4" t="s">
        <v>231</v>
      </c>
      <c r="AY1208" s="8" t="s">
        <v>231</v>
      </c>
      <c r="AZ1208" s="7" t="s">
        <v>231</v>
      </c>
      <c r="BA1208" s="7" t="s">
        <v>231</v>
      </c>
      <c r="BB1208" s="7"/>
      <c r="BC1208" s="4" t="s">
        <v>231</v>
      </c>
      <c r="BD1208" s="8" t="s">
        <v>231</v>
      </c>
      <c r="BE1208" s="4" t="s">
        <v>231</v>
      </c>
      <c r="BF1208" s="8" t="s">
        <v>231</v>
      </c>
      <c r="BG1208" s="7" t="s">
        <v>231</v>
      </c>
      <c r="BH1208" s="7" t="s">
        <v>231</v>
      </c>
      <c r="BI1208" s="7"/>
      <c r="BJ1208" s="4">
        <v>11</v>
      </c>
      <c r="BK1208" s="8">
        <v>144.1</v>
      </c>
      <c r="BL1208" s="2" t="s">
        <v>1423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5713</v>
      </c>
      <c r="BV1208" s="2" t="s">
        <v>231</v>
      </c>
      <c r="BW1208" s="2" t="s">
        <v>231</v>
      </c>
      <c r="BX1208" s="2" t="s">
        <v>241</v>
      </c>
      <c r="BY1208" s="2" t="s">
        <v>277</v>
      </c>
      <c r="BZ1208" s="2" t="s">
        <v>243</v>
      </c>
      <c r="CA1208" s="2" t="s">
        <v>2703</v>
      </c>
      <c r="CB1208" s="2" t="s">
        <v>231</v>
      </c>
      <c r="CC1208" s="2" t="s">
        <v>244</v>
      </c>
      <c r="CD1208" s="2" t="s">
        <v>231</v>
      </c>
      <c r="CE1208" s="4"/>
      <c r="CF1208" s="4"/>
      <c r="CG1208" s="4"/>
      <c r="CH1208" s="4"/>
      <c r="CI1208" s="4">
        <v>403</v>
      </c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</row>
    <row r="1209">
      <c r="A1209" s="2" t="s">
        <v>5714</v>
      </c>
      <c r="B1209" s="2" t="s">
        <v>2695</v>
      </c>
      <c r="C1209" s="2" t="s">
        <v>5706</v>
      </c>
      <c r="D1209" s="2" t="s">
        <v>2696</v>
      </c>
      <c r="E1209" s="2" t="s">
        <v>2697</v>
      </c>
      <c r="F1209" s="2" t="s">
        <v>5707</v>
      </c>
      <c r="G1209" s="2" t="s">
        <v>5707</v>
      </c>
      <c r="H1209" s="2" t="s">
        <v>5707</v>
      </c>
      <c r="I1209" s="2" t="s">
        <v>2697</v>
      </c>
      <c r="J1209" s="2" t="s">
        <v>1249</v>
      </c>
      <c r="K1209" s="2" t="s">
        <v>5708</v>
      </c>
      <c r="L1209" s="3">
        <v>22.03</v>
      </c>
      <c r="M1209" s="3">
        <v>23.13</v>
      </c>
      <c r="N1209" s="3"/>
      <c r="O1209" s="2" t="s">
        <v>235</v>
      </c>
      <c r="P1209" s="2" t="s">
        <v>341</v>
      </c>
      <c r="Q1209" s="2" t="s">
        <v>237</v>
      </c>
      <c r="R1209" s="2" t="s">
        <v>231</v>
      </c>
      <c r="S1209" s="2" t="s">
        <v>231</v>
      </c>
      <c r="T1209" s="2" t="s">
        <v>231</v>
      </c>
      <c r="U1209" s="2" t="s">
        <v>327</v>
      </c>
      <c r="V1209" s="2" t="s">
        <v>662</v>
      </c>
      <c r="W1209" s="2" t="s">
        <v>231</v>
      </c>
      <c r="X1209" s="2" t="s">
        <v>231</v>
      </c>
      <c r="Y1209" s="2" t="s">
        <v>2701</v>
      </c>
      <c r="Z1209" s="4">
        <v>120</v>
      </c>
      <c r="AA1209" s="4">
        <f>=ROUNDDOWN(50,0)</f>
      </c>
      <c r="AB1209" s="5">
        <v>2.4</v>
      </c>
      <c r="AC1209" s="2" t="s">
        <v>231</v>
      </c>
      <c r="AD1209" s="4"/>
      <c r="AE1209" s="4"/>
      <c r="AF1209" s="6"/>
      <c r="AG1209" s="6"/>
      <c r="AH1209" s="7">
        <v>1</v>
      </c>
      <c r="AI1209" s="4"/>
      <c r="AJ1209" s="4">
        <f>=ROUNDDOWN({0},0)</f>
      </c>
      <c r="AK1209" s="5"/>
      <c r="AL1209" s="2" t="s">
        <v>231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231</v>
      </c>
      <c r="AW1209" s="8" t="s">
        <v>231</v>
      </c>
      <c r="AX1209" s="4" t="s">
        <v>231</v>
      </c>
      <c r="AY1209" s="8" t="s">
        <v>231</v>
      </c>
      <c r="AZ1209" s="7" t="s">
        <v>231</v>
      </c>
      <c r="BA1209" s="7" t="s">
        <v>231</v>
      </c>
      <c r="BB1209" s="7"/>
      <c r="BC1209" s="4" t="s">
        <v>231</v>
      </c>
      <c r="BD1209" s="8" t="s">
        <v>231</v>
      </c>
      <c r="BE1209" s="4" t="s">
        <v>231</v>
      </c>
      <c r="BF1209" s="8" t="s">
        <v>231</v>
      </c>
      <c r="BG1209" s="7" t="s">
        <v>231</v>
      </c>
      <c r="BH1209" s="7" t="s">
        <v>231</v>
      </c>
      <c r="BI1209" s="7"/>
      <c r="BJ1209" s="4">
        <v>9</v>
      </c>
      <c r="BK1209" s="8">
        <v>117.9</v>
      </c>
      <c r="BL1209" s="2" t="s">
        <v>1423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5715</v>
      </c>
      <c r="BV1209" s="2" t="s">
        <v>231</v>
      </c>
      <c r="BW1209" s="2" t="s">
        <v>231</v>
      </c>
      <c r="BX1209" s="2" t="s">
        <v>241</v>
      </c>
      <c r="BY1209" s="2" t="s">
        <v>277</v>
      </c>
      <c r="BZ1209" s="2" t="s">
        <v>243</v>
      </c>
      <c r="CA1209" s="2" t="s">
        <v>2703</v>
      </c>
      <c r="CB1209" s="2" t="s">
        <v>231</v>
      </c>
      <c r="CC1209" s="2" t="s">
        <v>244</v>
      </c>
      <c r="CD1209" s="2" t="s">
        <v>231</v>
      </c>
      <c r="CE1209" s="4"/>
      <c r="CF1209" s="4"/>
      <c r="CG1209" s="4"/>
      <c r="CH1209" s="4"/>
      <c r="CI1209" s="4">
        <v>120</v>
      </c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</row>
    <row r="1210">
      <c r="A1210" s="2" t="s">
        <v>5716</v>
      </c>
      <c r="B1210" s="2" t="s">
        <v>2695</v>
      </c>
      <c r="C1210" s="2" t="s">
        <v>5706</v>
      </c>
      <c r="D1210" s="2" t="s">
        <v>2696</v>
      </c>
      <c r="E1210" s="2" t="s">
        <v>2697</v>
      </c>
      <c r="F1210" s="2" t="s">
        <v>5707</v>
      </c>
      <c r="G1210" s="2" t="s">
        <v>5707</v>
      </c>
      <c r="H1210" s="2" t="s">
        <v>5707</v>
      </c>
      <c r="I1210" s="2" t="s">
        <v>2697</v>
      </c>
      <c r="J1210" s="2" t="s">
        <v>2699</v>
      </c>
      <c r="K1210" s="2" t="s">
        <v>5717</v>
      </c>
      <c r="L1210" s="3">
        <v>22.03</v>
      </c>
      <c r="M1210" s="3">
        <v>23.13</v>
      </c>
      <c r="N1210" s="3"/>
      <c r="O1210" s="2" t="s">
        <v>235</v>
      </c>
      <c r="P1210" s="2" t="s">
        <v>341</v>
      </c>
      <c r="Q1210" s="2" t="s">
        <v>237</v>
      </c>
      <c r="R1210" s="2" t="s">
        <v>231</v>
      </c>
      <c r="S1210" s="2" t="s">
        <v>231</v>
      </c>
      <c r="T1210" s="2" t="s">
        <v>231</v>
      </c>
      <c r="U1210" s="2" t="s">
        <v>327</v>
      </c>
      <c r="V1210" s="2" t="s">
        <v>662</v>
      </c>
      <c r="W1210" s="2" t="s">
        <v>231</v>
      </c>
      <c r="X1210" s="2" t="s">
        <v>231</v>
      </c>
      <c r="Y1210" s="2" t="s">
        <v>2701</v>
      </c>
      <c r="Z1210" s="4">
        <v>206</v>
      </c>
      <c r="AA1210" s="4">
        <f>=ROUNDDOWN({0},0)</f>
      </c>
      <c r="AB1210" s="5"/>
      <c r="AC1210" s="2" t="s">
        <v>231</v>
      </c>
      <c r="AD1210" s="4"/>
      <c r="AE1210" s="4"/>
      <c r="AF1210" s="6"/>
      <c r="AG1210" s="6"/>
      <c r="AH1210" s="7">
        <v>1</v>
      </c>
      <c r="AI1210" s="4"/>
      <c r="AJ1210" s="4">
        <f>=ROUNDDOWN({0},0)</f>
      </c>
      <c r="AK1210" s="5"/>
      <c r="AL1210" s="2" t="s">
        <v>231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231</v>
      </c>
      <c r="AW1210" s="8" t="s">
        <v>231</v>
      </c>
      <c r="AX1210" s="4" t="s">
        <v>231</v>
      </c>
      <c r="AY1210" s="8" t="s">
        <v>231</v>
      </c>
      <c r="AZ1210" s="7" t="s">
        <v>231</v>
      </c>
      <c r="BA1210" s="7" t="s">
        <v>231</v>
      </c>
      <c r="BB1210" s="7"/>
      <c r="BC1210" s="4" t="s">
        <v>231</v>
      </c>
      <c r="BD1210" s="8" t="s">
        <v>231</v>
      </c>
      <c r="BE1210" s="4" t="s">
        <v>231</v>
      </c>
      <c r="BF1210" s="8" t="s">
        <v>231</v>
      </c>
      <c r="BG1210" s="7" t="s">
        <v>231</v>
      </c>
      <c r="BH1210" s="7" t="s">
        <v>231</v>
      </c>
      <c r="BI1210" s="7"/>
      <c r="BJ1210" s="4"/>
      <c r="BK1210" s="8"/>
      <c r="BL1210" s="2" t="s">
        <v>231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5718</v>
      </c>
      <c r="BV1210" s="2" t="s">
        <v>231</v>
      </c>
      <c r="BW1210" s="2" t="s">
        <v>231</v>
      </c>
      <c r="BX1210" s="2" t="s">
        <v>241</v>
      </c>
      <c r="BY1210" s="2" t="s">
        <v>277</v>
      </c>
      <c r="BZ1210" s="2" t="s">
        <v>243</v>
      </c>
      <c r="CA1210" s="2" t="s">
        <v>2703</v>
      </c>
      <c r="CB1210" s="2" t="s">
        <v>231</v>
      </c>
      <c r="CC1210" s="2" t="s">
        <v>244</v>
      </c>
      <c r="CD1210" s="2" t="s">
        <v>231</v>
      </c>
      <c r="CE1210" s="4"/>
      <c r="CF1210" s="4"/>
      <c r="CG1210" s="4"/>
      <c r="CH1210" s="4"/>
      <c r="CI1210" s="4">
        <v>206</v>
      </c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</row>
    <row r="1211">
      <c r="A1211" s="2" t="s">
        <v>5719</v>
      </c>
      <c r="B1211" s="2" t="s">
        <v>2695</v>
      </c>
      <c r="C1211" s="2" t="s">
        <v>5706</v>
      </c>
      <c r="D1211" s="2" t="s">
        <v>2696</v>
      </c>
      <c r="E1211" s="2" t="s">
        <v>2697</v>
      </c>
      <c r="F1211" s="2" t="s">
        <v>5707</v>
      </c>
      <c r="G1211" s="2" t="s">
        <v>5707</v>
      </c>
      <c r="H1211" s="2" t="s">
        <v>5707</v>
      </c>
      <c r="I1211" s="2" t="s">
        <v>2697</v>
      </c>
      <c r="J1211" s="2" t="s">
        <v>1238</v>
      </c>
      <c r="K1211" s="2" t="s">
        <v>5717</v>
      </c>
      <c r="L1211" s="3">
        <v>22.03</v>
      </c>
      <c r="M1211" s="3">
        <v>23.13</v>
      </c>
      <c r="N1211" s="3"/>
      <c r="O1211" s="2" t="s">
        <v>235</v>
      </c>
      <c r="P1211" s="2" t="s">
        <v>341</v>
      </c>
      <c r="Q1211" s="2" t="s">
        <v>237</v>
      </c>
      <c r="R1211" s="2" t="s">
        <v>231</v>
      </c>
      <c r="S1211" s="2" t="s">
        <v>231</v>
      </c>
      <c r="T1211" s="2" t="s">
        <v>231</v>
      </c>
      <c r="U1211" s="2" t="s">
        <v>327</v>
      </c>
      <c r="V1211" s="2" t="s">
        <v>662</v>
      </c>
      <c r="W1211" s="2" t="s">
        <v>231</v>
      </c>
      <c r="X1211" s="2" t="s">
        <v>231</v>
      </c>
      <c r="Y1211" s="2" t="s">
        <v>2701</v>
      </c>
      <c r="Z1211" s="4">
        <v>433</v>
      </c>
      <c r="AA1211" s="4">
        <f>=ROUNDDOWN({0},0)</f>
      </c>
      <c r="AB1211" s="5"/>
      <c r="AC1211" s="2" t="s">
        <v>231</v>
      </c>
      <c r="AD1211" s="4"/>
      <c r="AE1211" s="4"/>
      <c r="AF1211" s="6"/>
      <c r="AG1211" s="6"/>
      <c r="AH1211" s="7">
        <v>1</v>
      </c>
      <c r="AI1211" s="4"/>
      <c r="AJ1211" s="4">
        <f>=ROUNDDOWN({0},0)</f>
      </c>
      <c r="AK1211" s="5"/>
      <c r="AL1211" s="2" t="s">
        <v>231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231</v>
      </c>
      <c r="AW1211" s="8" t="s">
        <v>231</v>
      </c>
      <c r="AX1211" s="4" t="s">
        <v>231</v>
      </c>
      <c r="AY1211" s="8" t="s">
        <v>231</v>
      </c>
      <c r="AZ1211" s="7" t="s">
        <v>231</v>
      </c>
      <c r="BA1211" s="7" t="s">
        <v>231</v>
      </c>
      <c r="BB1211" s="7"/>
      <c r="BC1211" s="4" t="s">
        <v>231</v>
      </c>
      <c r="BD1211" s="8" t="s">
        <v>231</v>
      </c>
      <c r="BE1211" s="4" t="s">
        <v>231</v>
      </c>
      <c r="BF1211" s="8" t="s">
        <v>231</v>
      </c>
      <c r="BG1211" s="7" t="s">
        <v>231</v>
      </c>
      <c r="BH1211" s="7" t="s">
        <v>231</v>
      </c>
      <c r="BI1211" s="7"/>
      <c r="BJ1211" s="4"/>
      <c r="BK1211" s="8"/>
      <c r="BL1211" s="2" t="s">
        <v>231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5720</v>
      </c>
      <c r="BV1211" s="2" t="s">
        <v>231</v>
      </c>
      <c r="BW1211" s="2" t="s">
        <v>231</v>
      </c>
      <c r="BX1211" s="2" t="s">
        <v>241</v>
      </c>
      <c r="BY1211" s="2" t="s">
        <v>277</v>
      </c>
      <c r="BZ1211" s="2" t="s">
        <v>243</v>
      </c>
      <c r="CA1211" s="2" t="s">
        <v>2703</v>
      </c>
      <c r="CB1211" s="2" t="s">
        <v>231</v>
      </c>
      <c r="CC1211" s="2" t="s">
        <v>244</v>
      </c>
      <c r="CD1211" s="2" t="s">
        <v>231</v>
      </c>
      <c r="CE1211" s="4"/>
      <c r="CF1211" s="4"/>
      <c r="CG1211" s="4"/>
      <c r="CH1211" s="4"/>
      <c r="CI1211" s="4">
        <v>433</v>
      </c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</row>
    <row r="1212">
      <c r="A1212" s="2" t="s">
        <v>5721</v>
      </c>
      <c r="B1212" s="2" t="s">
        <v>2695</v>
      </c>
      <c r="C1212" s="2" t="s">
        <v>5706</v>
      </c>
      <c r="D1212" s="2" t="s">
        <v>2696</v>
      </c>
      <c r="E1212" s="2" t="s">
        <v>2697</v>
      </c>
      <c r="F1212" s="2" t="s">
        <v>5707</v>
      </c>
      <c r="G1212" s="2" t="s">
        <v>5707</v>
      </c>
      <c r="H1212" s="2" t="s">
        <v>5707</v>
      </c>
      <c r="I1212" s="2" t="s">
        <v>2697</v>
      </c>
      <c r="J1212" s="2" t="s">
        <v>1245</v>
      </c>
      <c r="K1212" s="2" t="s">
        <v>5717</v>
      </c>
      <c r="L1212" s="3">
        <v>22.03</v>
      </c>
      <c r="M1212" s="3">
        <v>23.13</v>
      </c>
      <c r="N1212" s="3"/>
      <c r="O1212" s="2" t="s">
        <v>235</v>
      </c>
      <c r="P1212" s="2" t="s">
        <v>341</v>
      </c>
      <c r="Q1212" s="2" t="s">
        <v>237</v>
      </c>
      <c r="R1212" s="2" t="s">
        <v>231</v>
      </c>
      <c r="S1212" s="2" t="s">
        <v>231</v>
      </c>
      <c r="T1212" s="2" t="s">
        <v>231</v>
      </c>
      <c r="U1212" s="2" t="s">
        <v>327</v>
      </c>
      <c r="V1212" s="2" t="s">
        <v>662</v>
      </c>
      <c r="W1212" s="2" t="s">
        <v>231</v>
      </c>
      <c r="X1212" s="2" t="s">
        <v>231</v>
      </c>
      <c r="Y1212" s="2" t="s">
        <v>2701</v>
      </c>
      <c r="Z1212" s="4">
        <v>419</v>
      </c>
      <c r="AA1212" s="4">
        <f>=ROUNDDOWN(2095,0)</f>
      </c>
      <c r="AB1212" s="5">
        <v>0.2</v>
      </c>
      <c r="AC1212" s="2" t="s">
        <v>231</v>
      </c>
      <c r="AD1212" s="4"/>
      <c r="AE1212" s="4"/>
      <c r="AF1212" s="6"/>
      <c r="AG1212" s="6"/>
      <c r="AH1212" s="7">
        <v>1</v>
      </c>
      <c r="AI1212" s="4"/>
      <c r="AJ1212" s="4">
        <f>=ROUNDDOWN({0},0)</f>
      </c>
      <c r="AK1212" s="5"/>
      <c r="AL1212" s="2" t="s">
        <v>231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231</v>
      </c>
      <c r="AW1212" s="8" t="s">
        <v>231</v>
      </c>
      <c r="AX1212" s="4" t="s">
        <v>231</v>
      </c>
      <c r="AY1212" s="8" t="s">
        <v>231</v>
      </c>
      <c r="AZ1212" s="7" t="s">
        <v>231</v>
      </c>
      <c r="BA1212" s="7" t="s">
        <v>231</v>
      </c>
      <c r="BB1212" s="7"/>
      <c r="BC1212" s="4" t="s">
        <v>231</v>
      </c>
      <c r="BD1212" s="8" t="s">
        <v>231</v>
      </c>
      <c r="BE1212" s="4" t="s">
        <v>231</v>
      </c>
      <c r="BF1212" s="8" t="s">
        <v>231</v>
      </c>
      <c r="BG1212" s="7" t="s">
        <v>231</v>
      </c>
      <c r="BH1212" s="7" t="s">
        <v>231</v>
      </c>
      <c r="BI1212" s="7"/>
      <c r="BJ1212" s="4">
        <v>1</v>
      </c>
      <c r="BK1212" s="8">
        <v>13.1</v>
      </c>
      <c r="BL1212" s="2" t="s">
        <v>1423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5722</v>
      </c>
      <c r="BV1212" s="2" t="s">
        <v>231</v>
      </c>
      <c r="BW1212" s="2" t="s">
        <v>231</v>
      </c>
      <c r="BX1212" s="2" t="s">
        <v>241</v>
      </c>
      <c r="BY1212" s="2" t="s">
        <v>277</v>
      </c>
      <c r="BZ1212" s="2" t="s">
        <v>243</v>
      </c>
      <c r="CA1212" s="2" t="s">
        <v>2703</v>
      </c>
      <c r="CB1212" s="2" t="s">
        <v>231</v>
      </c>
      <c r="CC1212" s="2" t="s">
        <v>244</v>
      </c>
      <c r="CD1212" s="2" t="s">
        <v>231</v>
      </c>
      <c r="CE1212" s="4"/>
      <c r="CF1212" s="4"/>
      <c r="CG1212" s="4"/>
      <c r="CH1212" s="4"/>
      <c r="CI1212" s="4">
        <v>419</v>
      </c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</row>
    <row r="1213">
      <c r="A1213" s="2" t="s">
        <v>5723</v>
      </c>
      <c r="B1213" s="2" t="s">
        <v>2695</v>
      </c>
      <c r="C1213" s="2" t="s">
        <v>5706</v>
      </c>
      <c r="D1213" s="2" t="s">
        <v>2696</v>
      </c>
      <c r="E1213" s="2" t="s">
        <v>2697</v>
      </c>
      <c r="F1213" s="2" t="s">
        <v>5707</v>
      </c>
      <c r="G1213" s="2" t="s">
        <v>5707</v>
      </c>
      <c r="H1213" s="2" t="s">
        <v>5707</v>
      </c>
      <c r="I1213" s="2" t="s">
        <v>2697</v>
      </c>
      <c r="J1213" s="2" t="s">
        <v>1249</v>
      </c>
      <c r="K1213" s="2" t="s">
        <v>5717</v>
      </c>
      <c r="L1213" s="3">
        <v>22.03</v>
      </c>
      <c r="M1213" s="3">
        <v>23.13</v>
      </c>
      <c r="N1213" s="3"/>
      <c r="O1213" s="2" t="s">
        <v>235</v>
      </c>
      <c r="P1213" s="2" t="s">
        <v>341</v>
      </c>
      <c r="Q1213" s="2" t="s">
        <v>237</v>
      </c>
      <c r="R1213" s="2" t="s">
        <v>231</v>
      </c>
      <c r="S1213" s="2" t="s">
        <v>231</v>
      </c>
      <c r="T1213" s="2" t="s">
        <v>231</v>
      </c>
      <c r="U1213" s="2" t="s">
        <v>327</v>
      </c>
      <c r="V1213" s="2" t="s">
        <v>662</v>
      </c>
      <c r="W1213" s="2" t="s">
        <v>231</v>
      </c>
      <c r="X1213" s="2" t="s">
        <v>231</v>
      </c>
      <c r="Y1213" s="2" t="s">
        <v>2701</v>
      </c>
      <c r="Z1213" s="4">
        <v>168</v>
      </c>
      <c r="AA1213" s="4">
        <f>=ROUNDDOWN(840,0)</f>
      </c>
      <c r="AB1213" s="5">
        <v>0.2</v>
      </c>
      <c r="AC1213" s="2" t="s">
        <v>231</v>
      </c>
      <c r="AD1213" s="4"/>
      <c r="AE1213" s="4"/>
      <c r="AF1213" s="6"/>
      <c r="AG1213" s="6"/>
      <c r="AH1213" s="7">
        <v>1</v>
      </c>
      <c r="AI1213" s="4"/>
      <c r="AJ1213" s="4">
        <f>=ROUNDDOWN({0},0)</f>
      </c>
      <c r="AK1213" s="5"/>
      <c r="AL1213" s="2" t="s">
        <v>231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231</v>
      </c>
      <c r="AW1213" s="8" t="s">
        <v>231</v>
      </c>
      <c r="AX1213" s="4" t="s">
        <v>231</v>
      </c>
      <c r="AY1213" s="8" t="s">
        <v>231</v>
      </c>
      <c r="AZ1213" s="7" t="s">
        <v>231</v>
      </c>
      <c r="BA1213" s="7" t="s">
        <v>231</v>
      </c>
      <c r="BB1213" s="7"/>
      <c r="BC1213" s="4" t="s">
        <v>231</v>
      </c>
      <c r="BD1213" s="8" t="s">
        <v>231</v>
      </c>
      <c r="BE1213" s="4" t="s">
        <v>231</v>
      </c>
      <c r="BF1213" s="8" t="s">
        <v>231</v>
      </c>
      <c r="BG1213" s="7" t="s">
        <v>231</v>
      </c>
      <c r="BH1213" s="7" t="s">
        <v>231</v>
      </c>
      <c r="BI1213" s="7"/>
      <c r="BJ1213" s="4">
        <v>1</v>
      </c>
      <c r="BK1213" s="8">
        <v>13.1</v>
      </c>
      <c r="BL1213" s="2" t="s">
        <v>1423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5724</v>
      </c>
      <c r="BV1213" s="2" t="s">
        <v>231</v>
      </c>
      <c r="BW1213" s="2" t="s">
        <v>231</v>
      </c>
      <c r="BX1213" s="2" t="s">
        <v>241</v>
      </c>
      <c r="BY1213" s="2" t="s">
        <v>277</v>
      </c>
      <c r="BZ1213" s="2" t="s">
        <v>243</v>
      </c>
      <c r="CA1213" s="2" t="s">
        <v>2703</v>
      </c>
      <c r="CB1213" s="2" t="s">
        <v>231</v>
      </c>
      <c r="CC1213" s="2" t="s">
        <v>244</v>
      </c>
      <c r="CD1213" s="2" t="s">
        <v>231</v>
      </c>
      <c r="CE1213" s="4"/>
      <c r="CF1213" s="4"/>
      <c r="CG1213" s="4"/>
      <c r="CH1213" s="4"/>
      <c r="CI1213" s="4">
        <v>168</v>
      </c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</row>
    <row r="1214">
      <c r="A1214" s="2" t="s">
        <v>5725</v>
      </c>
      <c r="B1214" s="2" t="s">
        <v>1186</v>
      </c>
      <c r="C1214" s="2" t="s">
        <v>653</v>
      </c>
      <c r="D1214" s="2" t="s">
        <v>654</v>
      </c>
      <c r="E1214" s="2" t="s">
        <v>655</v>
      </c>
      <c r="F1214" s="2" t="s">
        <v>5726</v>
      </c>
      <c r="G1214" s="2" t="s">
        <v>5726</v>
      </c>
      <c r="H1214" s="2" t="s">
        <v>5726</v>
      </c>
      <c r="I1214" s="2" t="s">
        <v>5727</v>
      </c>
      <c r="J1214" s="2" t="s">
        <v>293</v>
      </c>
      <c r="K1214" s="2" t="s">
        <v>269</v>
      </c>
      <c r="L1214" s="3">
        <v>165</v>
      </c>
      <c r="M1214" s="3">
        <v>173.24</v>
      </c>
      <c r="N1214" s="3">
        <v>329.99</v>
      </c>
      <c r="O1214" s="2" t="s">
        <v>243</v>
      </c>
      <c r="P1214" s="2" t="s">
        <v>236</v>
      </c>
      <c r="Q1214" s="2" t="s">
        <v>237</v>
      </c>
      <c r="R1214" s="2" t="s">
        <v>231</v>
      </c>
      <c r="S1214" s="2" t="s">
        <v>5728</v>
      </c>
      <c r="T1214" s="2" t="s">
        <v>362</v>
      </c>
      <c r="U1214" s="2" t="s">
        <v>5729</v>
      </c>
      <c r="V1214" s="2" t="s">
        <v>391</v>
      </c>
      <c r="W1214" s="2" t="s">
        <v>896</v>
      </c>
      <c r="X1214" s="2" t="s">
        <v>273</v>
      </c>
      <c r="Y1214" s="2" t="s">
        <v>231</v>
      </c>
      <c r="Z1214" s="4"/>
      <c r="AA1214" s="4">
        <f>=ROUNDDOWN({0},0)</f>
      </c>
      <c r="AB1214" s="5"/>
      <c r="AC1214" s="2" t="s">
        <v>5730</v>
      </c>
      <c r="AD1214" s="4">
        <v>200</v>
      </c>
      <c r="AE1214" s="4">
        <v>360</v>
      </c>
      <c r="AF1214" s="6">
        <v>67</v>
      </c>
      <c r="AG1214" s="6"/>
      <c r="AH1214" s="7">
        <v>0</v>
      </c>
      <c r="AI1214" s="4"/>
      <c r="AJ1214" s="4">
        <f>=ROUNDDOWN({0},0)</f>
      </c>
      <c r="AK1214" s="5"/>
      <c r="AL1214" s="2" t="s">
        <v>231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231</v>
      </c>
      <c r="AW1214" s="8" t="s">
        <v>231</v>
      </c>
      <c r="AX1214" s="4" t="s">
        <v>231</v>
      </c>
      <c r="AY1214" s="8" t="s">
        <v>231</v>
      </c>
      <c r="AZ1214" s="7" t="s">
        <v>231</v>
      </c>
      <c r="BA1214" s="7" t="s">
        <v>231</v>
      </c>
      <c r="BB1214" s="7"/>
      <c r="BC1214" s="4" t="s">
        <v>231</v>
      </c>
      <c r="BD1214" s="8" t="s">
        <v>231</v>
      </c>
      <c r="BE1214" s="4" t="s">
        <v>231</v>
      </c>
      <c r="BF1214" s="8" t="s">
        <v>231</v>
      </c>
      <c r="BG1214" s="7" t="s">
        <v>231</v>
      </c>
      <c r="BH1214" s="7" t="s">
        <v>231</v>
      </c>
      <c r="BI1214" s="7"/>
      <c r="BJ1214" s="4"/>
      <c r="BK1214" s="8"/>
      <c r="BL1214" s="2" t="s">
        <v>231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241</v>
      </c>
      <c r="BV1214" s="2" t="s">
        <v>231</v>
      </c>
      <c r="BW1214" s="2" t="s">
        <v>231</v>
      </c>
      <c r="BX1214" s="2" t="s">
        <v>312</v>
      </c>
      <c r="BY1214" s="2" t="s">
        <v>242</v>
      </c>
      <c r="BZ1214" s="2" t="s">
        <v>243</v>
      </c>
      <c r="CA1214" s="2" t="s">
        <v>231</v>
      </c>
      <c r="CB1214" s="2" t="s">
        <v>231</v>
      </c>
      <c r="CC1214" s="2" t="s">
        <v>244</v>
      </c>
      <c r="CD1214" s="2" t="s">
        <v>231</v>
      </c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>
        <v>200</v>
      </c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>
        <v>160</v>
      </c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</row>
    <row r="1215">
      <c r="A1215" s="2" t="s">
        <v>5731</v>
      </c>
      <c r="B1215" s="2" t="s">
        <v>1186</v>
      </c>
      <c r="C1215" s="2" t="s">
        <v>653</v>
      </c>
      <c r="D1215" s="2" t="s">
        <v>654</v>
      </c>
      <c r="E1215" s="2" t="s">
        <v>655</v>
      </c>
      <c r="F1215" s="2" t="s">
        <v>5726</v>
      </c>
      <c r="G1215" s="2" t="s">
        <v>5726</v>
      </c>
      <c r="H1215" s="2" t="s">
        <v>5726</v>
      </c>
      <c r="I1215" s="2" t="s">
        <v>5727</v>
      </c>
      <c r="J1215" s="2" t="s">
        <v>302</v>
      </c>
      <c r="K1215" s="2" t="s">
        <v>269</v>
      </c>
      <c r="L1215" s="3">
        <v>190</v>
      </c>
      <c r="M1215" s="3">
        <v>199.49</v>
      </c>
      <c r="N1215" s="3">
        <v>379.99</v>
      </c>
      <c r="O1215" s="2" t="s">
        <v>243</v>
      </c>
      <c r="P1215" s="2" t="s">
        <v>236</v>
      </c>
      <c r="Q1215" s="2" t="s">
        <v>237</v>
      </c>
      <c r="R1215" s="2" t="s">
        <v>231</v>
      </c>
      <c r="S1215" s="2" t="s">
        <v>5728</v>
      </c>
      <c r="T1215" s="2" t="s">
        <v>362</v>
      </c>
      <c r="U1215" s="2" t="s">
        <v>1196</v>
      </c>
      <c r="V1215" s="2" t="s">
        <v>391</v>
      </c>
      <c r="W1215" s="2" t="s">
        <v>896</v>
      </c>
      <c r="X1215" s="2" t="s">
        <v>273</v>
      </c>
      <c r="Y1215" s="2" t="s">
        <v>231</v>
      </c>
      <c r="Z1215" s="4"/>
      <c r="AA1215" s="4">
        <f>=ROUNDDOWN({0},0)</f>
      </c>
      <c r="AB1215" s="5"/>
      <c r="AC1215" s="2" t="s">
        <v>5730</v>
      </c>
      <c r="AD1215" s="4">
        <v>300</v>
      </c>
      <c r="AE1215" s="4">
        <v>540</v>
      </c>
      <c r="AF1215" s="6">
        <v>67</v>
      </c>
      <c r="AG1215" s="6"/>
      <c r="AH1215" s="7">
        <v>0</v>
      </c>
      <c r="AI1215" s="4"/>
      <c r="AJ1215" s="4">
        <f>=ROUNDDOWN({0},0)</f>
      </c>
      <c r="AK1215" s="5"/>
      <c r="AL1215" s="2" t="s">
        <v>231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231</v>
      </c>
      <c r="AW1215" s="8" t="s">
        <v>231</v>
      </c>
      <c r="AX1215" s="4" t="s">
        <v>231</v>
      </c>
      <c r="AY1215" s="8" t="s">
        <v>231</v>
      </c>
      <c r="AZ1215" s="7" t="s">
        <v>231</v>
      </c>
      <c r="BA1215" s="7" t="s">
        <v>231</v>
      </c>
      <c r="BB1215" s="7"/>
      <c r="BC1215" s="4" t="s">
        <v>231</v>
      </c>
      <c r="BD1215" s="8" t="s">
        <v>231</v>
      </c>
      <c r="BE1215" s="4" t="s">
        <v>231</v>
      </c>
      <c r="BF1215" s="8" t="s">
        <v>231</v>
      </c>
      <c r="BG1215" s="7" t="s">
        <v>231</v>
      </c>
      <c r="BH1215" s="7" t="s">
        <v>231</v>
      </c>
      <c r="BI1215" s="7"/>
      <c r="BJ1215" s="4"/>
      <c r="BK1215" s="8"/>
      <c r="BL1215" s="2" t="s">
        <v>231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241</v>
      </c>
      <c r="BV1215" s="2" t="s">
        <v>231</v>
      </c>
      <c r="BW1215" s="2" t="s">
        <v>231</v>
      </c>
      <c r="BX1215" s="2" t="s">
        <v>312</v>
      </c>
      <c r="BY1215" s="2" t="s">
        <v>242</v>
      </c>
      <c r="BZ1215" s="2" t="s">
        <v>243</v>
      </c>
      <c r="CA1215" s="2" t="s">
        <v>231</v>
      </c>
      <c r="CB1215" s="2" t="s">
        <v>231</v>
      </c>
      <c r="CC1215" s="2" t="s">
        <v>244</v>
      </c>
      <c r="CD1215" s="2" t="s">
        <v>231</v>
      </c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>
        <v>300</v>
      </c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>
        <v>240</v>
      </c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</row>
    <row r="1216">
      <c r="A1216" s="2" t="s">
        <v>5732</v>
      </c>
      <c r="B1216" s="2" t="s">
        <v>847</v>
      </c>
      <c r="C1216" s="2" t="s">
        <v>867</v>
      </c>
      <c r="D1216" s="2" t="s">
        <v>848</v>
      </c>
      <c r="E1216" s="2" t="s">
        <v>849</v>
      </c>
      <c r="F1216" s="2" t="s">
        <v>5733</v>
      </c>
      <c r="G1216" s="2" t="s">
        <v>5733</v>
      </c>
      <c r="H1216" s="2" t="s">
        <v>5733</v>
      </c>
      <c r="I1216" s="2" t="s">
        <v>5734</v>
      </c>
      <c r="J1216" s="2" t="s">
        <v>807</v>
      </c>
      <c r="K1216" s="2" t="s">
        <v>870</v>
      </c>
      <c r="L1216" s="3">
        <v>17.03</v>
      </c>
      <c r="M1216" s="3">
        <v>17.88</v>
      </c>
      <c r="N1216" s="3">
        <v>39.09</v>
      </c>
      <c r="O1216" s="2" t="s">
        <v>243</v>
      </c>
      <c r="P1216" s="2" t="s">
        <v>270</v>
      </c>
      <c r="Q1216" s="2" t="s">
        <v>237</v>
      </c>
      <c r="R1216" s="2" t="s">
        <v>231</v>
      </c>
      <c r="S1216" s="2" t="s">
        <v>5735</v>
      </c>
      <c r="T1216" s="2" t="s">
        <v>231</v>
      </c>
      <c r="U1216" s="2" t="s">
        <v>327</v>
      </c>
      <c r="V1216" s="2" t="s">
        <v>873</v>
      </c>
      <c r="W1216" s="2" t="s">
        <v>676</v>
      </c>
      <c r="X1216" s="2" t="s">
        <v>874</v>
      </c>
      <c r="Y1216" s="2" t="s">
        <v>875</v>
      </c>
      <c r="Z1216" s="4">
        <v>36</v>
      </c>
      <c r="AA1216" s="4">
        <f>=ROUNDDOWN(3,0)</f>
      </c>
      <c r="AB1216" s="5">
        <v>12</v>
      </c>
      <c r="AC1216" s="2" t="s">
        <v>876</v>
      </c>
      <c r="AD1216" s="4">
        <v>150</v>
      </c>
      <c r="AE1216" s="4">
        <v>250</v>
      </c>
      <c r="AF1216" s="6">
        <v>63</v>
      </c>
      <c r="AG1216" s="6"/>
      <c r="AH1216" s="7">
        <v>1</v>
      </c>
      <c r="AI1216" s="4"/>
      <c r="AJ1216" s="4">
        <f>=ROUNDDOWN({0},0)</f>
      </c>
      <c r="AK1216" s="5"/>
      <c r="AL1216" s="2" t="s">
        <v>231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>
        <v>32</v>
      </c>
      <c r="BK1216" s="8">
        <v>748.73</v>
      </c>
      <c r="BL1216" s="2" t="s">
        <v>5736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5737</v>
      </c>
      <c r="BV1216" s="2" t="s">
        <v>231</v>
      </c>
      <c r="BW1216" s="2" t="s">
        <v>231</v>
      </c>
      <c r="BX1216" s="2" t="s">
        <v>231</v>
      </c>
      <c r="BY1216" s="2" t="s">
        <v>277</v>
      </c>
      <c r="BZ1216" s="2" t="s">
        <v>243</v>
      </c>
      <c r="CA1216" s="2" t="s">
        <v>879</v>
      </c>
      <c r="CB1216" s="2" t="s">
        <v>5738</v>
      </c>
      <c r="CC1216" s="2" t="s">
        <v>244</v>
      </c>
      <c r="CD1216" s="2" t="s">
        <v>231</v>
      </c>
      <c r="CE1216" s="4"/>
      <c r="CF1216" s="4">
        <v>36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>
        <v>150</v>
      </c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>
        <v>50</v>
      </c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>
        <v>50</v>
      </c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</row>
    <row r="1217">
      <c r="A1217" s="2" t="s">
        <v>5739</v>
      </c>
      <c r="B1217" s="2" t="s">
        <v>847</v>
      </c>
      <c r="C1217" s="2" t="s">
        <v>288</v>
      </c>
      <c r="D1217" s="2" t="s">
        <v>882</v>
      </c>
      <c r="E1217" s="2" t="s">
        <v>849</v>
      </c>
      <c r="F1217" s="2" t="s">
        <v>5740</v>
      </c>
      <c r="G1217" s="2" t="s">
        <v>231</v>
      </c>
      <c r="H1217" s="2" t="s">
        <v>231</v>
      </c>
      <c r="I1217" s="2" t="s">
        <v>5741</v>
      </c>
      <c r="J1217" s="2" t="s">
        <v>807</v>
      </c>
      <c r="K1217" s="2" t="s">
        <v>269</v>
      </c>
      <c r="L1217" s="3">
        <v>48.43</v>
      </c>
      <c r="M1217" s="3">
        <v>50.85</v>
      </c>
      <c r="N1217" s="3">
        <v>98.59</v>
      </c>
      <c r="O1217" s="2" t="s">
        <v>243</v>
      </c>
      <c r="P1217" s="2" t="s">
        <v>270</v>
      </c>
      <c r="Q1217" s="2" t="s">
        <v>237</v>
      </c>
      <c r="R1217" s="2" t="s">
        <v>231</v>
      </c>
      <c r="S1217" s="2" t="s">
        <v>5742</v>
      </c>
      <c r="T1217" s="2" t="s">
        <v>231</v>
      </c>
      <c r="U1217" s="2" t="s">
        <v>791</v>
      </c>
      <c r="V1217" s="2" t="s">
        <v>836</v>
      </c>
      <c r="W1217" s="2" t="s">
        <v>691</v>
      </c>
      <c r="X1217" s="2" t="s">
        <v>231</v>
      </c>
      <c r="Y1217" s="2" t="s">
        <v>5743</v>
      </c>
      <c r="Z1217" s="4">
        <v>84</v>
      </c>
      <c r="AA1217" s="4">
        <f>=ROUNDDOWN(21,0)</f>
      </c>
      <c r="AB1217" s="5">
        <v>4</v>
      </c>
      <c r="AC1217" s="2" t="s">
        <v>3874</v>
      </c>
      <c r="AD1217" s="4">
        <v>100</v>
      </c>
      <c r="AE1217" s="4">
        <v>100</v>
      </c>
      <c r="AF1217" s="6">
        <v>63</v>
      </c>
      <c r="AG1217" s="6"/>
      <c r="AH1217" s="7">
        <v>1</v>
      </c>
      <c r="AI1217" s="4"/>
      <c r="AJ1217" s="4">
        <f>=ROUNDDOWN({0},0)</f>
      </c>
      <c r="AK1217" s="5"/>
      <c r="AL1217" s="2" t="s">
        <v>231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>
        <v>6</v>
      </c>
      <c r="BK1217" s="8">
        <v>329.89</v>
      </c>
      <c r="BL1217" s="2" t="s">
        <v>5744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5745</v>
      </c>
      <c r="BV1217" s="2" t="s">
        <v>231</v>
      </c>
      <c r="BW1217" s="2" t="s">
        <v>231</v>
      </c>
      <c r="BX1217" s="2" t="s">
        <v>231</v>
      </c>
      <c r="BY1217" s="2" t="s">
        <v>277</v>
      </c>
      <c r="BZ1217" s="2" t="s">
        <v>243</v>
      </c>
      <c r="CA1217" s="2" t="s">
        <v>4300</v>
      </c>
      <c r="CB1217" s="2" t="s">
        <v>5746</v>
      </c>
      <c r="CC1217" s="2" t="s">
        <v>244</v>
      </c>
      <c r="CD1217" s="2" t="s">
        <v>231</v>
      </c>
      <c r="CE1217" s="4"/>
      <c r="CF1217" s="4">
        <v>84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>
        <v>100</v>
      </c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</row>
    <row r="1218">
      <c r="A1218" s="2" t="s">
        <v>5747</v>
      </c>
      <c r="B1218" s="2" t="s">
        <v>801</v>
      </c>
      <c r="C1218" s="2" t="s">
        <v>815</v>
      </c>
      <c r="D1218" s="2" t="s">
        <v>1114</v>
      </c>
      <c r="E1218" s="2" t="s">
        <v>1115</v>
      </c>
      <c r="F1218" s="2" t="s">
        <v>5748</v>
      </c>
      <c r="G1218" s="2" t="s">
        <v>5748</v>
      </c>
      <c r="H1218" s="2" t="s">
        <v>5748</v>
      </c>
      <c r="I1218" s="2" t="s">
        <v>5749</v>
      </c>
      <c r="J1218" s="2" t="s">
        <v>807</v>
      </c>
      <c r="K1218" s="2" t="s">
        <v>319</v>
      </c>
      <c r="L1218" s="3">
        <v>44</v>
      </c>
      <c r="M1218" s="3">
        <v>46.2</v>
      </c>
      <c r="N1218" s="3">
        <v>89.99</v>
      </c>
      <c r="O1218" s="2" t="s">
        <v>243</v>
      </c>
      <c r="P1218" s="2" t="s">
        <v>236</v>
      </c>
      <c r="Q1218" s="2" t="s">
        <v>237</v>
      </c>
      <c r="R1218" s="2" t="s">
        <v>231</v>
      </c>
      <c r="S1218" s="2" t="s">
        <v>231</v>
      </c>
      <c r="T1218" s="2" t="s">
        <v>231</v>
      </c>
      <c r="U1218" s="2" t="s">
        <v>327</v>
      </c>
      <c r="V1218" s="2" t="s">
        <v>662</v>
      </c>
      <c r="W1218" s="2" t="s">
        <v>1745</v>
      </c>
      <c r="X1218" s="2" t="s">
        <v>691</v>
      </c>
      <c r="Y1218" s="2" t="s">
        <v>231</v>
      </c>
      <c r="Z1218" s="4"/>
      <c r="AA1218" s="4">
        <f>=ROUNDDOWN({0},0)</f>
      </c>
      <c r="AB1218" s="5"/>
      <c r="AC1218" s="2" t="s">
        <v>794</v>
      </c>
      <c r="AD1218" s="4">
        <v>100</v>
      </c>
      <c r="AE1218" s="4">
        <v>100</v>
      </c>
      <c r="AF1218" s="6">
        <v>65</v>
      </c>
      <c r="AG1218" s="6"/>
      <c r="AH1218" s="7">
        <v>0</v>
      </c>
      <c r="AI1218" s="4"/>
      <c r="AJ1218" s="4">
        <f>=ROUNDDOWN({0},0)</f>
      </c>
      <c r="AK1218" s="5"/>
      <c r="AL1218" s="2" t="s">
        <v>231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/>
      <c r="BD1218" s="8"/>
      <c r="BE1218" s="4"/>
      <c r="BF1218" s="8"/>
      <c r="BG1218" s="7"/>
      <c r="BH1218" s="7"/>
      <c r="BI1218" s="7"/>
      <c r="BJ1218" s="4"/>
      <c r="BK1218" s="8"/>
      <c r="BL1218" s="2" t="s">
        <v>231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241</v>
      </c>
      <c r="BV1218" s="2" t="s">
        <v>231</v>
      </c>
      <c r="BW1218" s="2" t="s">
        <v>231</v>
      </c>
      <c r="BX1218" s="2" t="s">
        <v>241</v>
      </c>
      <c r="BY1218" s="2" t="s">
        <v>242</v>
      </c>
      <c r="BZ1218" s="2" t="s">
        <v>243</v>
      </c>
      <c r="CA1218" s="2" t="s">
        <v>231</v>
      </c>
      <c r="CB1218" s="2" t="s">
        <v>231</v>
      </c>
      <c r="CC1218" s="2" t="s">
        <v>244</v>
      </c>
      <c r="CD1218" s="2" t="s">
        <v>231</v>
      </c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>
        <v>100</v>
      </c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</row>
    <row r="1219">
      <c r="A1219" s="2" t="s">
        <v>5750</v>
      </c>
      <c r="B1219" s="2" t="s">
        <v>1004</v>
      </c>
      <c r="C1219" s="2" t="s">
        <v>867</v>
      </c>
      <c r="D1219" s="2" t="s">
        <v>1912</v>
      </c>
      <c r="E1219" s="2" t="s">
        <v>1913</v>
      </c>
      <c r="F1219" s="2" t="s">
        <v>1407</v>
      </c>
      <c r="G1219" s="2" t="s">
        <v>1407</v>
      </c>
      <c r="H1219" s="2" t="s">
        <v>1407</v>
      </c>
      <c r="I1219" s="2" t="s">
        <v>2523</v>
      </c>
      <c r="J1219" s="2" t="s">
        <v>807</v>
      </c>
      <c r="K1219" s="2" t="s">
        <v>306</v>
      </c>
      <c r="L1219" s="3">
        <v>110</v>
      </c>
      <c r="M1219" s="3">
        <v>115.5</v>
      </c>
      <c r="N1219" s="3">
        <v>229</v>
      </c>
      <c r="O1219" s="2" t="s">
        <v>235</v>
      </c>
      <c r="P1219" s="2" t="s">
        <v>341</v>
      </c>
      <c r="Q1219" s="2" t="s">
        <v>237</v>
      </c>
      <c r="R1219" s="2" t="s">
        <v>231</v>
      </c>
      <c r="S1219" s="2" t="s">
        <v>231</v>
      </c>
      <c r="T1219" s="2" t="s">
        <v>231</v>
      </c>
      <c r="U1219" s="2" t="s">
        <v>327</v>
      </c>
      <c r="V1219" s="2" t="s">
        <v>662</v>
      </c>
      <c r="W1219" s="2" t="s">
        <v>691</v>
      </c>
      <c r="X1219" s="2" t="s">
        <v>1694</v>
      </c>
      <c r="Y1219" s="2" t="s">
        <v>5751</v>
      </c>
      <c r="Z1219" s="4">
        <v>157</v>
      </c>
      <c r="AA1219" s="4">
        <f>=ROUNDDOWN(142.727272727273,0)</f>
      </c>
      <c r="AB1219" s="5">
        <v>1.1</v>
      </c>
      <c r="AC1219" s="2" t="s">
        <v>231</v>
      </c>
      <c r="AD1219" s="4"/>
      <c r="AE1219" s="4"/>
      <c r="AF1219" s="6">
        <v>66</v>
      </c>
      <c r="AG1219" s="6"/>
      <c r="AH1219" s="7">
        <v>1</v>
      </c>
      <c r="AI1219" s="4"/>
      <c r="AJ1219" s="4">
        <f>=ROUNDDOWN({0},0)</f>
      </c>
      <c r="AK1219" s="5"/>
      <c r="AL1219" s="2" t="s">
        <v>231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3</v>
      </c>
      <c r="BK1219" s="8">
        <v>142.77</v>
      </c>
      <c r="BL1219" s="2" t="s">
        <v>628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5752</v>
      </c>
      <c r="BV1219" s="2" t="s">
        <v>231</v>
      </c>
      <c r="BW1219" s="2" t="s">
        <v>231</v>
      </c>
      <c r="BX1219" s="2" t="s">
        <v>231</v>
      </c>
      <c r="BY1219" s="2" t="s">
        <v>277</v>
      </c>
      <c r="BZ1219" s="2" t="s">
        <v>243</v>
      </c>
      <c r="CA1219" s="2" t="s">
        <v>5753</v>
      </c>
      <c r="CB1219" s="2" t="s">
        <v>5754</v>
      </c>
      <c r="CC1219" s="2" t="s">
        <v>244</v>
      </c>
      <c r="CD1219" s="2" t="s">
        <v>231</v>
      </c>
      <c r="CE1219" s="4"/>
      <c r="CF1219" s="4">
        <v>157</v>
      </c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</row>
    <row r="1220">
      <c r="A1220" s="2" t="s">
        <v>5755</v>
      </c>
      <c r="B1220" s="2" t="s">
        <v>1186</v>
      </c>
      <c r="C1220" s="2" t="s">
        <v>288</v>
      </c>
      <c r="D1220" s="2" t="s">
        <v>654</v>
      </c>
      <c r="E1220" s="2" t="s">
        <v>890</v>
      </c>
      <c r="F1220" s="2" t="s">
        <v>5756</v>
      </c>
      <c r="G1220" s="2" t="s">
        <v>5757</v>
      </c>
      <c r="H1220" s="2" t="s">
        <v>5758</v>
      </c>
      <c r="I1220" s="2" t="s">
        <v>5759</v>
      </c>
      <c r="J1220" s="2" t="s">
        <v>658</v>
      </c>
      <c r="K1220" s="2" t="s">
        <v>253</v>
      </c>
      <c r="L1220" s="3">
        <v>45.71</v>
      </c>
      <c r="M1220" s="3">
        <v>48</v>
      </c>
      <c r="N1220" s="3">
        <v>99.99</v>
      </c>
      <c r="O1220" s="2" t="s">
        <v>243</v>
      </c>
      <c r="P1220" s="2" t="s">
        <v>236</v>
      </c>
      <c r="Q1220" s="2" t="s">
        <v>237</v>
      </c>
      <c r="R1220" s="2" t="s">
        <v>231</v>
      </c>
      <c r="S1220" s="2" t="s">
        <v>5760</v>
      </c>
      <c r="T1220" s="2" t="s">
        <v>472</v>
      </c>
      <c r="U1220" s="2" t="s">
        <v>835</v>
      </c>
      <c r="V1220" s="2" t="s">
        <v>239</v>
      </c>
      <c r="W1220" s="2" t="s">
        <v>2897</v>
      </c>
      <c r="X1220" s="2" t="s">
        <v>971</v>
      </c>
      <c r="Y1220" s="2" t="s">
        <v>5551</v>
      </c>
      <c r="Z1220" s="4">
        <v>246</v>
      </c>
      <c r="AA1220" s="4">
        <f>=ROUNDDOWN(205,0)</f>
      </c>
      <c r="AB1220" s="5">
        <v>1.2</v>
      </c>
      <c r="AC1220" s="2" t="s">
        <v>1128</v>
      </c>
      <c r="AD1220" s="4">
        <v>250</v>
      </c>
      <c r="AE1220" s="4">
        <v>250</v>
      </c>
      <c r="AF1220" s="6">
        <v>64</v>
      </c>
      <c r="AG1220" s="6"/>
      <c r="AH1220" s="7">
        <v>1</v>
      </c>
      <c r="AI1220" s="4"/>
      <c r="AJ1220" s="4">
        <f>=ROUNDDOWN({0},0)</f>
      </c>
      <c r="AK1220" s="5"/>
      <c r="AL1220" s="2" t="s">
        <v>231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231</v>
      </c>
      <c r="AW1220" s="8" t="s">
        <v>231</v>
      </c>
      <c r="AX1220" s="4" t="s">
        <v>231</v>
      </c>
      <c r="AY1220" s="8" t="s">
        <v>231</v>
      </c>
      <c r="AZ1220" s="7" t="s">
        <v>231</v>
      </c>
      <c r="BA1220" s="7" t="s">
        <v>231</v>
      </c>
      <c r="BB1220" s="7"/>
      <c r="BC1220" s="4" t="s">
        <v>231</v>
      </c>
      <c r="BD1220" s="8" t="s">
        <v>231</v>
      </c>
      <c r="BE1220" s="4" t="s">
        <v>231</v>
      </c>
      <c r="BF1220" s="8" t="s">
        <v>231</v>
      </c>
      <c r="BG1220" s="7" t="s">
        <v>231</v>
      </c>
      <c r="BH1220" s="7" t="s">
        <v>231</v>
      </c>
      <c r="BI1220" s="7"/>
      <c r="BJ1220" s="4">
        <v>4</v>
      </c>
      <c r="BK1220" s="8">
        <v>207.36</v>
      </c>
      <c r="BL1220" s="2" t="s">
        <v>838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5761</v>
      </c>
      <c r="BV1220" s="2" t="s">
        <v>231</v>
      </c>
      <c r="BW1220" s="2" t="s">
        <v>231</v>
      </c>
      <c r="BX1220" s="2" t="s">
        <v>241</v>
      </c>
      <c r="BY1220" s="2" t="s">
        <v>277</v>
      </c>
      <c r="BZ1220" s="2" t="s">
        <v>243</v>
      </c>
      <c r="CA1220" s="2" t="s">
        <v>3201</v>
      </c>
      <c r="CB1220" s="2" t="s">
        <v>231</v>
      </c>
      <c r="CC1220" s="2" t="s">
        <v>244</v>
      </c>
      <c r="CD1220" s="2" t="s">
        <v>231</v>
      </c>
      <c r="CE1220" s="4">
        <v>246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>
        <v>250</v>
      </c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</row>
    <row r="1221">
      <c r="A1221" s="2" t="s">
        <v>5762</v>
      </c>
      <c r="B1221" s="2" t="s">
        <v>1186</v>
      </c>
      <c r="C1221" s="2" t="s">
        <v>288</v>
      </c>
      <c r="D1221" s="2" t="s">
        <v>654</v>
      </c>
      <c r="E1221" s="2" t="s">
        <v>890</v>
      </c>
      <c r="F1221" s="2" t="s">
        <v>5756</v>
      </c>
      <c r="G1221" s="2" t="s">
        <v>5757</v>
      </c>
      <c r="H1221" s="2" t="s">
        <v>5758</v>
      </c>
      <c r="I1221" s="2" t="s">
        <v>5759</v>
      </c>
      <c r="J1221" s="2" t="s">
        <v>669</v>
      </c>
      <c r="K1221" s="2" t="s">
        <v>253</v>
      </c>
      <c r="L1221" s="3">
        <v>50.28</v>
      </c>
      <c r="M1221" s="3">
        <v>52.79</v>
      </c>
      <c r="N1221" s="3">
        <v>109.99</v>
      </c>
      <c r="O1221" s="2" t="s">
        <v>243</v>
      </c>
      <c r="P1221" s="2" t="s">
        <v>236</v>
      </c>
      <c r="Q1221" s="2" t="s">
        <v>237</v>
      </c>
      <c r="R1221" s="2" t="s">
        <v>231</v>
      </c>
      <c r="S1221" s="2" t="s">
        <v>5760</v>
      </c>
      <c r="T1221" s="2" t="s">
        <v>472</v>
      </c>
      <c r="U1221" s="2" t="s">
        <v>835</v>
      </c>
      <c r="V1221" s="2" t="s">
        <v>239</v>
      </c>
      <c r="W1221" s="2" t="s">
        <v>2897</v>
      </c>
      <c r="X1221" s="2" t="s">
        <v>971</v>
      </c>
      <c r="Y1221" s="2" t="s">
        <v>5551</v>
      </c>
      <c r="Z1221" s="4">
        <v>149</v>
      </c>
      <c r="AA1221" s="4">
        <f>=ROUNDDOWN({0},0)</f>
      </c>
      <c r="AB1221" s="5"/>
      <c r="AC1221" s="2" t="s">
        <v>1128</v>
      </c>
      <c r="AD1221" s="4">
        <v>150</v>
      </c>
      <c r="AE1221" s="4">
        <v>150</v>
      </c>
      <c r="AF1221" s="6">
        <v>64</v>
      </c>
      <c r="AG1221" s="6"/>
      <c r="AH1221" s="7">
        <v>1</v>
      </c>
      <c r="AI1221" s="4"/>
      <c r="AJ1221" s="4">
        <f>=ROUNDDOWN({0},0)</f>
      </c>
      <c r="AK1221" s="5"/>
      <c r="AL1221" s="2" t="s">
        <v>231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231</v>
      </c>
      <c r="AW1221" s="8" t="s">
        <v>231</v>
      </c>
      <c r="AX1221" s="4" t="s">
        <v>231</v>
      </c>
      <c r="AY1221" s="8" t="s">
        <v>231</v>
      </c>
      <c r="AZ1221" s="7" t="s">
        <v>231</v>
      </c>
      <c r="BA1221" s="7" t="s">
        <v>231</v>
      </c>
      <c r="BB1221" s="7"/>
      <c r="BC1221" s="4" t="s">
        <v>231</v>
      </c>
      <c r="BD1221" s="8" t="s">
        <v>231</v>
      </c>
      <c r="BE1221" s="4" t="s">
        <v>231</v>
      </c>
      <c r="BF1221" s="8" t="s">
        <v>231</v>
      </c>
      <c r="BG1221" s="7" t="s">
        <v>231</v>
      </c>
      <c r="BH1221" s="7" t="s">
        <v>231</v>
      </c>
      <c r="BI1221" s="7"/>
      <c r="BJ1221" s="4"/>
      <c r="BK1221" s="8"/>
      <c r="BL1221" s="2" t="s">
        <v>231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5763</v>
      </c>
      <c r="BV1221" s="2" t="s">
        <v>231</v>
      </c>
      <c r="BW1221" s="2" t="s">
        <v>231</v>
      </c>
      <c r="BX1221" s="2" t="s">
        <v>241</v>
      </c>
      <c r="BY1221" s="2" t="s">
        <v>277</v>
      </c>
      <c r="BZ1221" s="2" t="s">
        <v>243</v>
      </c>
      <c r="CA1221" s="2" t="s">
        <v>3201</v>
      </c>
      <c r="CB1221" s="2" t="s">
        <v>231</v>
      </c>
      <c r="CC1221" s="2" t="s">
        <v>244</v>
      </c>
      <c r="CD1221" s="2" t="s">
        <v>231</v>
      </c>
      <c r="CE1221" s="4">
        <v>149</v>
      </c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>
        <v>150</v>
      </c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</row>
    <row r="1222">
      <c r="A1222" s="2" t="s">
        <v>5764</v>
      </c>
      <c r="B1222" s="2" t="s">
        <v>1186</v>
      </c>
      <c r="C1222" s="2" t="s">
        <v>288</v>
      </c>
      <c r="D1222" s="2" t="s">
        <v>654</v>
      </c>
      <c r="E1222" s="2" t="s">
        <v>890</v>
      </c>
      <c r="F1222" s="2" t="s">
        <v>5756</v>
      </c>
      <c r="G1222" s="2" t="s">
        <v>5757</v>
      </c>
      <c r="H1222" s="2" t="s">
        <v>5758</v>
      </c>
      <c r="I1222" s="2" t="s">
        <v>5759</v>
      </c>
      <c r="J1222" s="2" t="s">
        <v>658</v>
      </c>
      <c r="K1222" s="2" t="s">
        <v>319</v>
      </c>
      <c r="L1222" s="3">
        <v>45.71</v>
      </c>
      <c r="M1222" s="3">
        <v>48</v>
      </c>
      <c r="N1222" s="3">
        <v>99.99</v>
      </c>
      <c r="O1222" s="2" t="s">
        <v>243</v>
      </c>
      <c r="P1222" s="2" t="s">
        <v>236</v>
      </c>
      <c r="Q1222" s="2" t="s">
        <v>237</v>
      </c>
      <c r="R1222" s="2" t="s">
        <v>231</v>
      </c>
      <c r="S1222" s="2" t="s">
        <v>5765</v>
      </c>
      <c r="T1222" s="2" t="s">
        <v>472</v>
      </c>
      <c r="U1222" s="2" t="s">
        <v>835</v>
      </c>
      <c r="V1222" s="2" t="s">
        <v>239</v>
      </c>
      <c r="W1222" s="2" t="s">
        <v>2897</v>
      </c>
      <c r="X1222" s="2" t="s">
        <v>971</v>
      </c>
      <c r="Y1222" s="2" t="s">
        <v>5551</v>
      </c>
      <c r="Z1222" s="4">
        <v>244</v>
      </c>
      <c r="AA1222" s="4">
        <f>=ROUNDDOWN(135.555555555556,0)</f>
      </c>
      <c r="AB1222" s="5">
        <v>1.8</v>
      </c>
      <c r="AC1222" s="2" t="s">
        <v>1128</v>
      </c>
      <c r="AD1222" s="4">
        <v>250</v>
      </c>
      <c r="AE1222" s="4">
        <v>250</v>
      </c>
      <c r="AF1222" s="6">
        <v>64</v>
      </c>
      <c r="AG1222" s="6"/>
      <c r="AH1222" s="7">
        <v>1</v>
      </c>
      <c r="AI1222" s="4"/>
      <c r="AJ1222" s="4">
        <f>=ROUNDDOWN({0},0)</f>
      </c>
      <c r="AK1222" s="5"/>
      <c r="AL1222" s="2" t="s">
        <v>231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231</v>
      </c>
      <c r="BD1222" s="8" t="s">
        <v>231</v>
      </c>
      <c r="BE1222" s="4" t="s">
        <v>231</v>
      </c>
      <c r="BF1222" s="8" t="s">
        <v>231</v>
      </c>
      <c r="BG1222" s="7" t="s">
        <v>231</v>
      </c>
      <c r="BH1222" s="7" t="s">
        <v>231</v>
      </c>
      <c r="BI1222" s="7"/>
      <c r="BJ1222" s="4">
        <v>4</v>
      </c>
      <c r="BK1222" s="8">
        <v>207.36</v>
      </c>
      <c r="BL1222" s="2" t="s">
        <v>838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5766</v>
      </c>
      <c r="BV1222" s="2" t="s">
        <v>231</v>
      </c>
      <c r="BW1222" s="2" t="s">
        <v>231</v>
      </c>
      <c r="BX1222" s="2" t="s">
        <v>241</v>
      </c>
      <c r="BY1222" s="2" t="s">
        <v>277</v>
      </c>
      <c r="BZ1222" s="2" t="s">
        <v>243</v>
      </c>
      <c r="CA1222" s="2" t="s">
        <v>3201</v>
      </c>
      <c r="CB1222" s="2" t="s">
        <v>231</v>
      </c>
      <c r="CC1222" s="2" t="s">
        <v>244</v>
      </c>
      <c r="CD1222" s="2" t="s">
        <v>231</v>
      </c>
      <c r="CE1222" s="4">
        <v>244</v>
      </c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>
        <v>250</v>
      </c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</row>
    <row r="1223">
      <c r="A1223" s="2" t="s">
        <v>5767</v>
      </c>
      <c r="B1223" s="2" t="s">
        <v>1186</v>
      </c>
      <c r="C1223" s="2" t="s">
        <v>357</v>
      </c>
      <c r="D1223" s="2" t="s">
        <v>654</v>
      </c>
      <c r="E1223" s="2" t="s">
        <v>1187</v>
      </c>
      <c r="F1223" s="2" t="s">
        <v>5768</v>
      </c>
      <c r="G1223" s="2" t="s">
        <v>5769</v>
      </c>
      <c r="H1223" s="2" t="s">
        <v>5770</v>
      </c>
      <c r="I1223" s="2" t="s">
        <v>5771</v>
      </c>
      <c r="J1223" s="2" t="s">
        <v>302</v>
      </c>
      <c r="K1223" s="2" t="s">
        <v>1348</v>
      </c>
      <c r="L1223" s="3">
        <v>54.99</v>
      </c>
      <c r="M1223" s="3">
        <v>57.74</v>
      </c>
      <c r="N1223" s="3">
        <v>109.99</v>
      </c>
      <c r="O1223" s="2" t="s">
        <v>243</v>
      </c>
      <c r="P1223" s="2" t="s">
        <v>1985</v>
      </c>
      <c r="Q1223" s="2" t="s">
        <v>237</v>
      </c>
      <c r="R1223" s="2" t="s">
        <v>231</v>
      </c>
      <c r="S1223" s="2" t="s">
        <v>5772</v>
      </c>
      <c r="T1223" s="2" t="s">
        <v>472</v>
      </c>
      <c r="U1223" s="2" t="s">
        <v>5729</v>
      </c>
      <c r="V1223" s="2" t="s">
        <v>1304</v>
      </c>
      <c r="W1223" s="2" t="s">
        <v>897</v>
      </c>
      <c r="X1223" s="2" t="s">
        <v>273</v>
      </c>
      <c r="Y1223" s="2" t="s">
        <v>5773</v>
      </c>
      <c r="Z1223" s="4">
        <v>295</v>
      </c>
      <c r="AA1223" s="4">
        <f>=ROUNDDOWN(98.3333333333333,0)</f>
      </c>
      <c r="AB1223" s="5">
        <v>3</v>
      </c>
      <c r="AC1223" s="2" t="s">
        <v>231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231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231</v>
      </c>
      <c r="AW1223" s="8" t="s">
        <v>231</v>
      </c>
      <c r="AX1223" s="4" t="s">
        <v>231</v>
      </c>
      <c r="AY1223" s="8" t="s">
        <v>231</v>
      </c>
      <c r="AZ1223" s="7" t="s">
        <v>231</v>
      </c>
      <c r="BA1223" s="7" t="s">
        <v>231</v>
      </c>
      <c r="BB1223" s="7"/>
      <c r="BC1223" s="4" t="s">
        <v>231</v>
      </c>
      <c r="BD1223" s="8" t="s">
        <v>231</v>
      </c>
      <c r="BE1223" s="4" t="s">
        <v>231</v>
      </c>
      <c r="BF1223" s="8" t="s">
        <v>231</v>
      </c>
      <c r="BG1223" s="7" t="s">
        <v>231</v>
      </c>
      <c r="BH1223" s="7" t="s">
        <v>231</v>
      </c>
      <c r="BI1223" s="7"/>
      <c r="BJ1223" s="4">
        <v>3</v>
      </c>
      <c r="BK1223" s="8">
        <v>154.89</v>
      </c>
      <c r="BL1223" s="2" t="s">
        <v>5774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5775</v>
      </c>
      <c r="BV1223" s="2" t="s">
        <v>231</v>
      </c>
      <c r="BW1223" s="2" t="s">
        <v>231</v>
      </c>
      <c r="BX1223" s="2" t="s">
        <v>231</v>
      </c>
      <c r="BY1223" s="2" t="s">
        <v>277</v>
      </c>
      <c r="BZ1223" s="2" t="s">
        <v>243</v>
      </c>
      <c r="CA1223" s="2" t="s">
        <v>5776</v>
      </c>
      <c r="CB1223" s="2" t="s">
        <v>5777</v>
      </c>
      <c r="CC1223" s="2" t="s">
        <v>244</v>
      </c>
      <c r="CD1223" s="2" t="s">
        <v>231</v>
      </c>
      <c r="CE1223" s="4">
        <v>295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</row>
    <row r="1224">
      <c r="A1224" s="2" t="s">
        <v>5778</v>
      </c>
      <c r="B1224" s="2" t="s">
        <v>1186</v>
      </c>
      <c r="C1224" s="2" t="s">
        <v>357</v>
      </c>
      <c r="D1224" s="2" t="s">
        <v>654</v>
      </c>
      <c r="E1224" s="2" t="s">
        <v>1187</v>
      </c>
      <c r="F1224" s="2" t="s">
        <v>5768</v>
      </c>
      <c r="G1224" s="2" t="s">
        <v>5769</v>
      </c>
      <c r="H1224" s="2" t="s">
        <v>5770</v>
      </c>
      <c r="I1224" s="2" t="s">
        <v>5771</v>
      </c>
      <c r="J1224" s="2" t="s">
        <v>304</v>
      </c>
      <c r="K1224" s="2" t="s">
        <v>1348</v>
      </c>
      <c r="L1224" s="3">
        <v>54.99</v>
      </c>
      <c r="M1224" s="3">
        <v>57.74</v>
      </c>
      <c r="N1224" s="3">
        <v>109.99</v>
      </c>
      <c r="O1224" s="2" t="s">
        <v>243</v>
      </c>
      <c r="P1224" s="2" t="s">
        <v>1985</v>
      </c>
      <c r="Q1224" s="2" t="s">
        <v>237</v>
      </c>
      <c r="R1224" s="2" t="s">
        <v>231</v>
      </c>
      <c r="S1224" s="2" t="s">
        <v>5772</v>
      </c>
      <c r="T1224" s="2" t="s">
        <v>472</v>
      </c>
      <c r="U1224" s="2" t="s">
        <v>5729</v>
      </c>
      <c r="V1224" s="2" t="s">
        <v>1304</v>
      </c>
      <c r="W1224" s="2" t="s">
        <v>897</v>
      </c>
      <c r="X1224" s="2" t="s">
        <v>273</v>
      </c>
      <c r="Y1224" s="2" t="s">
        <v>5773</v>
      </c>
      <c r="Z1224" s="4">
        <v>238</v>
      </c>
      <c r="AA1224" s="4">
        <f>=ROUNDDOWN(79.3333333333333,0)</f>
      </c>
      <c r="AB1224" s="5">
        <v>3</v>
      </c>
      <c r="AC1224" s="2" t="s">
        <v>231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231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231</v>
      </c>
      <c r="AW1224" s="8" t="s">
        <v>231</v>
      </c>
      <c r="AX1224" s="4" t="s">
        <v>231</v>
      </c>
      <c r="AY1224" s="8" t="s">
        <v>231</v>
      </c>
      <c r="AZ1224" s="7" t="s">
        <v>231</v>
      </c>
      <c r="BA1224" s="7" t="s">
        <v>231</v>
      </c>
      <c r="BB1224" s="7"/>
      <c r="BC1224" s="4" t="s">
        <v>231</v>
      </c>
      <c r="BD1224" s="8" t="s">
        <v>231</v>
      </c>
      <c r="BE1224" s="4" t="s">
        <v>231</v>
      </c>
      <c r="BF1224" s="8" t="s">
        <v>231</v>
      </c>
      <c r="BG1224" s="7" t="s">
        <v>231</v>
      </c>
      <c r="BH1224" s="7" t="s">
        <v>231</v>
      </c>
      <c r="BI1224" s="7"/>
      <c r="BJ1224" s="4">
        <v>7</v>
      </c>
      <c r="BK1224" s="8">
        <v>388.75</v>
      </c>
      <c r="BL1224" s="2" t="s">
        <v>5779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5780</v>
      </c>
      <c r="BV1224" s="2" t="s">
        <v>231</v>
      </c>
      <c r="BW1224" s="2" t="s">
        <v>231</v>
      </c>
      <c r="BX1224" s="2" t="s">
        <v>231</v>
      </c>
      <c r="BY1224" s="2" t="s">
        <v>277</v>
      </c>
      <c r="BZ1224" s="2" t="s">
        <v>243</v>
      </c>
      <c r="CA1224" s="2" t="s">
        <v>5776</v>
      </c>
      <c r="CB1224" s="2" t="s">
        <v>3292</v>
      </c>
      <c r="CC1224" s="2" t="s">
        <v>244</v>
      </c>
      <c r="CD1224" s="2" t="s">
        <v>231</v>
      </c>
      <c r="CE1224" s="4">
        <v>238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</row>
    <row r="1225">
      <c r="A1225" s="2" t="s">
        <v>5781</v>
      </c>
      <c r="B1225" s="2" t="s">
        <v>1004</v>
      </c>
      <c r="C1225" s="2" t="s">
        <v>1105</v>
      </c>
      <c r="D1225" s="2" t="s">
        <v>1922</v>
      </c>
      <c r="E1225" s="2" t="s">
        <v>1923</v>
      </c>
      <c r="F1225" s="2" t="s">
        <v>5782</v>
      </c>
      <c r="G1225" s="2" t="s">
        <v>5782</v>
      </c>
      <c r="H1225" s="2" t="s">
        <v>5782</v>
      </c>
      <c r="I1225" s="2" t="s">
        <v>5783</v>
      </c>
      <c r="J1225" s="2" t="s">
        <v>807</v>
      </c>
      <c r="K1225" s="2" t="s">
        <v>253</v>
      </c>
      <c r="L1225" s="3">
        <v>102.6</v>
      </c>
      <c r="M1225" s="3">
        <v>107.73</v>
      </c>
      <c r="N1225" s="3">
        <v>219</v>
      </c>
      <c r="O1225" s="2" t="s">
        <v>243</v>
      </c>
      <c r="P1225" s="2" t="s">
        <v>341</v>
      </c>
      <c r="Q1225" s="2" t="s">
        <v>237</v>
      </c>
      <c r="R1225" s="2" t="s">
        <v>231</v>
      </c>
      <c r="S1225" s="2" t="s">
        <v>231</v>
      </c>
      <c r="T1225" s="2" t="s">
        <v>231</v>
      </c>
      <c r="U1225" s="2" t="s">
        <v>791</v>
      </c>
      <c r="V1225" s="2" t="s">
        <v>662</v>
      </c>
      <c r="W1225" s="2" t="s">
        <v>792</v>
      </c>
      <c r="X1225" s="2" t="s">
        <v>691</v>
      </c>
      <c r="Y1225" s="2" t="s">
        <v>2509</v>
      </c>
      <c r="Z1225" s="4">
        <v>42</v>
      </c>
      <c r="AA1225" s="4">
        <f>=ROUNDDOWN(14,0)</f>
      </c>
      <c r="AB1225" s="5">
        <v>3</v>
      </c>
      <c r="AC1225" s="2" t="s">
        <v>231</v>
      </c>
      <c r="AD1225" s="4"/>
      <c r="AE1225" s="4"/>
      <c r="AF1225" s="6">
        <v>76</v>
      </c>
      <c r="AG1225" s="6"/>
      <c r="AH1225" s="7">
        <v>1</v>
      </c>
      <c r="AI1225" s="4"/>
      <c r="AJ1225" s="4">
        <f>=ROUNDDOWN({0},0)</f>
      </c>
      <c r="AK1225" s="5"/>
      <c r="AL1225" s="2" t="s">
        <v>231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 t="s">
        <v>231</v>
      </c>
      <c r="BD1225" s="8" t="s">
        <v>231</v>
      </c>
      <c r="BE1225" s="4" t="s">
        <v>231</v>
      </c>
      <c r="BF1225" s="8" t="s">
        <v>231</v>
      </c>
      <c r="BG1225" s="7" t="s">
        <v>231</v>
      </c>
      <c r="BH1225" s="7" t="s">
        <v>231</v>
      </c>
      <c r="BI1225" s="7"/>
      <c r="BJ1225" s="4">
        <v>14</v>
      </c>
      <c r="BK1225" s="8">
        <v>1598.25</v>
      </c>
      <c r="BL1225" s="2" t="s">
        <v>5784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5785</v>
      </c>
      <c r="BV1225" s="2" t="s">
        <v>231</v>
      </c>
      <c r="BW1225" s="2" t="s">
        <v>231</v>
      </c>
      <c r="BX1225" s="2" t="s">
        <v>241</v>
      </c>
      <c r="BY1225" s="2" t="s">
        <v>277</v>
      </c>
      <c r="BZ1225" s="2" t="s">
        <v>243</v>
      </c>
      <c r="CA1225" s="2" t="s">
        <v>2509</v>
      </c>
      <c r="CB1225" s="2" t="s">
        <v>930</v>
      </c>
      <c r="CC1225" s="2" t="s">
        <v>244</v>
      </c>
      <c r="CD1225" s="2" t="s">
        <v>231</v>
      </c>
      <c r="CE1225" s="4"/>
      <c r="CF1225" s="4">
        <v>42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</row>
    <row r="1226">
      <c r="A1226" s="2" t="s">
        <v>5786</v>
      </c>
      <c r="B1226" s="2" t="s">
        <v>1186</v>
      </c>
      <c r="C1226" s="2" t="s">
        <v>288</v>
      </c>
      <c r="D1226" s="2" t="s">
        <v>826</v>
      </c>
      <c r="E1226" s="2" t="s">
        <v>1060</v>
      </c>
      <c r="F1226" s="2" t="s">
        <v>5782</v>
      </c>
      <c r="G1226" s="2" t="s">
        <v>5787</v>
      </c>
      <c r="H1226" s="2" t="s">
        <v>5788</v>
      </c>
      <c r="I1226" s="2" t="s">
        <v>5789</v>
      </c>
      <c r="J1226" s="2" t="s">
        <v>658</v>
      </c>
      <c r="K1226" s="2" t="s">
        <v>2837</v>
      </c>
      <c r="L1226" s="3">
        <v>27.42</v>
      </c>
      <c r="M1226" s="3">
        <v>28.79</v>
      </c>
      <c r="N1226" s="3">
        <v>59.99</v>
      </c>
      <c r="O1226" s="2" t="s">
        <v>243</v>
      </c>
      <c r="P1226" s="2" t="s">
        <v>236</v>
      </c>
      <c r="Q1226" s="2" t="s">
        <v>237</v>
      </c>
      <c r="R1226" s="2" t="s">
        <v>231</v>
      </c>
      <c r="S1226" s="2" t="s">
        <v>5790</v>
      </c>
      <c r="T1226" s="2" t="s">
        <v>1432</v>
      </c>
      <c r="U1226" s="2" t="s">
        <v>835</v>
      </c>
      <c r="V1226" s="2" t="s">
        <v>1828</v>
      </c>
      <c r="W1226" s="2" t="s">
        <v>2897</v>
      </c>
      <c r="X1226" s="2" t="s">
        <v>896</v>
      </c>
      <c r="Y1226" s="2" t="s">
        <v>1878</v>
      </c>
      <c r="Z1226" s="4">
        <v>98</v>
      </c>
      <c r="AA1226" s="4">
        <f>=ROUNDDOWN(49,0)</f>
      </c>
      <c r="AB1226" s="5">
        <v>2</v>
      </c>
      <c r="AC1226" s="2" t="s">
        <v>231</v>
      </c>
      <c r="AD1226" s="4"/>
      <c r="AE1226" s="4"/>
      <c r="AF1226" s="6">
        <v>64</v>
      </c>
      <c r="AG1226" s="6"/>
      <c r="AH1226" s="7">
        <v>1</v>
      </c>
      <c r="AI1226" s="4"/>
      <c r="AJ1226" s="4">
        <f>=ROUNDDOWN({0},0)</f>
      </c>
      <c r="AK1226" s="5"/>
      <c r="AL1226" s="2" t="s">
        <v>231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231</v>
      </c>
      <c r="AW1226" s="8" t="s">
        <v>231</v>
      </c>
      <c r="AX1226" s="4" t="s">
        <v>231</v>
      </c>
      <c r="AY1226" s="8" t="s">
        <v>231</v>
      </c>
      <c r="AZ1226" s="7" t="s">
        <v>231</v>
      </c>
      <c r="BA1226" s="7" t="s">
        <v>231</v>
      </c>
      <c r="BB1226" s="7"/>
      <c r="BC1226" s="4" t="s">
        <v>231</v>
      </c>
      <c r="BD1226" s="8" t="s">
        <v>231</v>
      </c>
      <c r="BE1226" s="4" t="s">
        <v>231</v>
      </c>
      <c r="BF1226" s="8" t="s">
        <v>231</v>
      </c>
      <c r="BG1226" s="7" t="s">
        <v>231</v>
      </c>
      <c r="BH1226" s="7" t="s">
        <v>231</v>
      </c>
      <c r="BI1226" s="7"/>
      <c r="BJ1226" s="4">
        <v>1</v>
      </c>
      <c r="BK1226" s="8">
        <v>28.79</v>
      </c>
      <c r="BL1226" s="2" t="s">
        <v>628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5791</v>
      </c>
      <c r="BV1226" s="2" t="s">
        <v>231</v>
      </c>
      <c r="BW1226" s="2" t="s">
        <v>231</v>
      </c>
      <c r="BX1226" s="2" t="s">
        <v>241</v>
      </c>
      <c r="BY1226" s="2" t="s">
        <v>277</v>
      </c>
      <c r="BZ1226" s="2" t="s">
        <v>243</v>
      </c>
      <c r="CA1226" s="2" t="s">
        <v>1598</v>
      </c>
      <c r="CB1226" s="2" t="s">
        <v>5792</v>
      </c>
      <c r="CC1226" s="2" t="s">
        <v>244</v>
      </c>
      <c r="CD1226" s="2" t="s">
        <v>231</v>
      </c>
      <c r="CE1226" s="4">
        <v>98</v>
      </c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</row>
    <row r="1227">
      <c r="A1227" s="2" t="s">
        <v>5793</v>
      </c>
      <c r="B1227" s="2" t="s">
        <v>1186</v>
      </c>
      <c r="C1227" s="2" t="s">
        <v>288</v>
      </c>
      <c r="D1227" s="2" t="s">
        <v>654</v>
      </c>
      <c r="E1227" s="2" t="s">
        <v>890</v>
      </c>
      <c r="F1227" s="2" t="s">
        <v>5782</v>
      </c>
      <c r="G1227" s="2" t="s">
        <v>5787</v>
      </c>
      <c r="H1227" s="2" t="s">
        <v>5788</v>
      </c>
      <c r="I1227" s="2" t="s">
        <v>5794</v>
      </c>
      <c r="J1227" s="2" t="s">
        <v>669</v>
      </c>
      <c r="K1227" s="2" t="s">
        <v>2837</v>
      </c>
      <c r="L1227" s="3">
        <v>41.14</v>
      </c>
      <c r="M1227" s="3">
        <v>43.2</v>
      </c>
      <c r="N1227" s="3">
        <v>89.99</v>
      </c>
      <c r="O1227" s="2" t="s">
        <v>243</v>
      </c>
      <c r="P1227" s="2" t="s">
        <v>236</v>
      </c>
      <c r="Q1227" s="2" t="s">
        <v>237</v>
      </c>
      <c r="R1227" s="2" t="s">
        <v>231</v>
      </c>
      <c r="S1227" s="2" t="s">
        <v>5790</v>
      </c>
      <c r="T1227" s="2" t="s">
        <v>1432</v>
      </c>
      <c r="U1227" s="2" t="s">
        <v>835</v>
      </c>
      <c r="V1227" s="2" t="s">
        <v>1828</v>
      </c>
      <c r="W1227" s="2" t="s">
        <v>2897</v>
      </c>
      <c r="X1227" s="2" t="s">
        <v>896</v>
      </c>
      <c r="Y1227" s="2" t="s">
        <v>930</v>
      </c>
      <c r="Z1227" s="4">
        <v>292</v>
      </c>
      <c r="AA1227" s="4">
        <f>=ROUNDDOWN(36.5,0)</f>
      </c>
      <c r="AB1227" s="5">
        <v>8</v>
      </c>
      <c r="AC1227" s="2" t="s">
        <v>231</v>
      </c>
      <c r="AD1227" s="4"/>
      <c r="AE1227" s="4"/>
      <c r="AF1227" s="6">
        <v>64</v>
      </c>
      <c r="AG1227" s="6"/>
      <c r="AH1227" s="7">
        <v>1</v>
      </c>
      <c r="AI1227" s="4"/>
      <c r="AJ1227" s="4">
        <f>=ROUNDDOWN({0},0)</f>
      </c>
      <c r="AK1227" s="5"/>
      <c r="AL1227" s="2" t="s">
        <v>231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231</v>
      </c>
      <c r="AW1227" s="8" t="s">
        <v>231</v>
      </c>
      <c r="AX1227" s="4" t="s">
        <v>231</v>
      </c>
      <c r="AY1227" s="8" t="s">
        <v>231</v>
      </c>
      <c r="AZ1227" s="7" t="s">
        <v>231</v>
      </c>
      <c r="BA1227" s="7" t="s">
        <v>231</v>
      </c>
      <c r="BB1227" s="7" t="s">
        <v>231</v>
      </c>
      <c r="BC1227" s="4" t="s">
        <v>231</v>
      </c>
      <c r="BD1227" s="8" t="s">
        <v>231</v>
      </c>
      <c r="BE1227" s="4" t="s">
        <v>231</v>
      </c>
      <c r="BF1227" s="8" t="s">
        <v>231</v>
      </c>
      <c r="BG1227" s="7" t="s">
        <v>231</v>
      </c>
      <c r="BH1227" s="7" t="s">
        <v>231</v>
      </c>
      <c r="BI1227" s="7"/>
      <c r="BJ1227" s="4">
        <v>10</v>
      </c>
      <c r="BK1227" s="8">
        <v>431.97</v>
      </c>
      <c r="BL1227" s="2" t="s">
        <v>5795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5796</v>
      </c>
      <c r="BV1227" s="2" t="s">
        <v>231</v>
      </c>
      <c r="BW1227" s="2" t="s">
        <v>231</v>
      </c>
      <c r="BX1227" s="2" t="s">
        <v>241</v>
      </c>
      <c r="BY1227" s="2" t="s">
        <v>277</v>
      </c>
      <c r="BZ1227" s="2" t="s">
        <v>243</v>
      </c>
      <c r="CA1227" s="2" t="s">
        <v>1598</v>
      </c>
      <c r="CB1227" s="2" t="s">
        <v>5797</v>
      </c>
      <c r="CC1227" s="2" t="s">
        <v>244</v>
      </c>
      <c r="CD1227" s="2" t="s">
        <v>231</v>
      </c>
      <c r="CE1227" s="4">
        <v>292</v>
      </c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</row>
    <row r="1228">
      <c r="A1228" s="2" t="s">
        <v>5798</v>
      </c>
      <c r="B1228" s="2" t="s">
        <v>1186</v>
      </c>
      <c r="C1228" s="2" t="s">
        <v>288</v>
      </c>
      <c r="D1228" s="2" t="s">
        <v>826</v>
      </c>
      <c r="E1228" s="2" t="s">
        <v>1060</v>
      </c>
      <c r="F1228" s="2" t="s">
        <v>5782</v>
      </c>
      <c r="G1228" s="2" t="s">
        <v>5787</v>
      </c>
      <c r="H1228" s="2" t="s">
        <v>5788</v>
      </c>
      <c r="I1228" s="2" t="s">
        <v>5789</v>
      </c>
      <c r="J1228" s="2" t="s">
        <v>669</v>
      </c>
      <c r="K1228" s="2" t="s">
        <v>2837</v>
      </c>
      <c r="L1228" s="3">
        <v>32</v>
      </c>
      <c r="M1228" s="3">
        <v>33.6</v>
      </c>
      <c r="N1228" s="3">
        <v>69.99</v>
      </c>
      <c r="O1228" s="2" t="s">
        <v>243</v>
      </c>
      <c r="P1228" s="2" t="s">
        <v>236</v>
      </c>
      <c r="Q1228" s="2" t="s">
        <v>237</v>
      </c>
      <c r="R1228" s="2" t="s">
        <v>231</v>
      </c>
      <c r="S1228" s="2" t="s">
        <v>5790</v>
      </c>
      <c r="T1228" s="2" t="s">
        <v>1432</v>
      </c>
      <c r="U1228" s="2" t="s">
        <v>835</v>
      </c>
      <c r="V1228" s="2" t="s">
        <v>1828</v>
      </c>
      <c r="W1228" s="2" t="s">
        <v>2897</v>
      </c>
      <c r="X1228" s="2" t="s">
        <v>896</v>
      </c>
      <c r="Y1228" s="2" t="s">
        <v>930</v>
      </c>
      <c r="Z1228" s="4">
        <v>168</v>
      </c>
      <c r="AA1228" s="4">
        <f>=ROUNDDOWN(84,0)</f>
      </c>
      <c r="AB1228" s="5">
        <v>2</v>
      </c>
      <c r="AC1228" s="2" t="s">
        <v>231</v>
      </c>
      <c r="AD1228" s="4"/>
      <c r="AE1228" s="4"/>
      <c r="AF1228" s="6">
        <v>64</v>
      </c>
      <c r="AG1228" s="6"/>
      <c r="AH1228" s="7">
        <v>1</v>
      </c>
      <c r="AI1228" s="4"/>
      <c r="AJ1228" s="4">
        <f>=ROUNDDOWN({0},0)</f>
      </c>
      <c r="AK1228" s="5"/>
      <c r="AL1228" s="2" t="s">
        <v>231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231</v>
      </c>
      <c r="AW1228" s="8" t="s">
        <v>231</v>
      </c>
      <c r="AX1228" s="4" t="s">
        <v>231</v>
      </c>
      <c r="AY1228" s="8" t="s">
        <v>231</v>
      </c>
      <c r="AZ1228" s="7" t="s">
        <v>231</v>
      </c>
      <c r="BA1228" s="7" t="s">
        <v>231</v>
      </c>
      <c r="BB1228" s="7" t="s">
        <v>231</v>
      </c>
      <c r="BC1228" s="4" t="s">
        <v>231</v>
      </c>
      <c r="BD1228" s="8" t="s">
        <v>231</v>
      </c>
      <c r="BE1228" s="4" t="s">
        <v>231</v>
      </c>
      <c r="BF1228" s="8" t="s">
        <v>231</v>
      </c>
      <c r="BG1228" s="7" t="s">
        <v>231</v>
      </c>
      <c r="BH1228" s="7" t="s">
        <v>231</v>
      </c>
      <c r="BI1228" s="7"/>
      <c r="BJ1228" s="4">
        <v>3</v>
      </c>
      <c r="BK1228" s="8">
        <v>108.87</v>
      </c>
      <c r="BL1228" s="2" t="s">
        <v>465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5799</v>
      </c>
      <c r="BV1228" s="2" t="s">
        <v>231</v>
      </c>
      <c r="BW1228" s="2" t="s">
        <v>231</v>
      </c>
      <c r="BX1228" s="2" t="s">
        <v>241</v>
      </c>
      <c r="BY1228" s="2" t="s">
        <v>277</v>
      </c>
      <c r="BZ1228" s="2" t="s">
        <v>243</v>
      </c>
      <c r="CA1228" s="2" t="s">
        <v>1598</v>
      </c>
      <c r="CB1228" s="2" t="s">
        <v>2826</v>
      </c>
      <c r="CC1228" s="2" t="s">
        <v>244</v>
      </c>
      <c r="CD1228" s="2" t="s">
        <v>231</v>
      </c>
      <c r="CE1228" s="4">
        <v>168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</row>
    <row r="1229">
      <c r="A1229" s="2" t="s">
        <v>5800</v>
      </c>
      <c r="B1229" s="2" t="s">
        <v>1004</v>
      </c>
      <c r="C1229" s="2" t="s">
        <v>1105</v>
      </c>
      <c r="D1229" s="2" t="s">
        <v>1922</v>
      </c>
      <c r="E1229" s="2" t="s">
        <v>1923</v>
      </c>
      <c r="F1229" s="2" t="s">
        <v>5782</v>
      </c>
      <c r="G1229" s="2" t="s">
        <v>5782</v>
      </c>
      <c r="H1229" s="2" t="s">
        <v>5782</v>
      </c>
      <c r="I1229" s="2" t="s">
        <v>5783</v>
      </c>
      <c r="J1229" s="2" t="s">
        <v>807</v>
      </c>
      <c r="K1229" s="2" t="s">
        <v>747</v>
      </c>
      <c r="L1229" s="3">
        <v>102.6</v>
      </c>
      <c r="M1229" s="3">
        <v>107.73</v>
      </c>
      <c r="N1229" s="3">
        <v>219</v>
      </c>
      <c r="O1229" s="2" t="s">
        <v>243</v>
      </c>
      <c r="P1229" s="2" t="s">
        <v>236</v>
      </c>
      <c r="Q1229" s="2" t="s">
        <v>237</v>
      </c>
      <c r="R1229" s="2" t="s">
        <v>231</v>
      </c>
      <c r="S1229" s="2" t="s">
        <v>231</v>
      </c>
      <c r="T1229" s="2" t="s">
        <v>1432</v>
      </c>
      <c r="U1229" s="2" t="s">
        <v>791</v>
      </c>
      <c r="V1229" s="2" t="s">
        <v>662</v>
      </c>
      <c r="W1229" s="2" t="s">
        <v>792</v>
      </c>
      <c r="X1229" s="2" t="s">
        <v>691</v>
      </c>
      <c r="Y1229" s="2" t="s">
        <v>231</v>
      </c>
      <c r="Z1229" s="4"/>
      <c r="AA1229" s="4">
        <f>=ROUNDDOWN({0},0)</f>
      </c>
      <c r="AB1229" s="5">
        <v>3</v>
      </c>
      <c r="AC1229" s="2" t="s">
        <v>1754</v>
      </c>
      <c r="AD1229" s="4">
        <v>73</v>
      </c>
      <c r="AE1229" s="4">
        <v>100</v>
      </c>
      <c r="AF1229" s="6">
        <v>76</v>
      </c>
      <c r="AG1229" s="6"/>
      <c r="AH1229" s="7">
        <v>0</v>
      </c>
      <c r="AI1229" s="4"/>
      <c r="AJ1229" s="4">
        <f>=ROUNDDOWN({0},0)</f>
      </c>
      <c r="AK1229" s="5"/>
      <c r="AL1229" s="2" t="s">
        <v>231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 t="s">
        <v>231</v>
      </c>
      <c r="BD1229" s="8" t="s">
        <v>231</v>
      </c>
      <c r="BE1229" s="4" t="s">
        <v>231</v>
      </c>
      <c r="BF1229" s="8" t="s">
        <v>231</v>
      </c>
      <c r="BG1229" s="7" t="s">
        <v>231</v>
      </c>
      <c r="BH1229" s="7" t="s">
        <v>231</v>
      </c>
      <c r="BI1229" s="7"/>
      <c r="BJ1229" s="4"/>
      <c r="BK1229" s="8"/>
      <c r="BL1229" s="2" t="s">
        <v>231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241</v>
      </c>
      <c r="BV1229" s="2" t="s">
        <v>231</v>
      </c>
      <c r="BW1229" s="2" t="s">
        <v>231</v>
      </c>
      <c r="BX1229" s="2" t="s">
        <v>241</v>
      </c>
      <c r="BY1229" s="2" t="s">
        <v>242</v>
      </c>
      <c r="BZ1229" s="2" t="s">
        <v>243</v>
      </c>
      <c r="CA1229" s="2" t="s">
        <v>231</v>
      </c>
      <c r="CB1229" s="2" t="s">
        <v>231</v>
      </c>
      <c r="CC1229" s="2" t="s">
        <v>244</v>
      </c>
      <c r="CD1229" s="2" t="s">
        <v>231</v>
      </c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>
        <v>73</v>
      </c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>
        <v>27</v>
      </c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</row>
    <row r="1230">
      <c r="A1230" s="2" t="s">
        <v>5801</v>
      </c>
      <c r="B1230" s="2" t="s">
        <v>1004</v>
      </c>
      <c r="C1230" s="2" t="s">
        <v>1105</v>
      </c>
      <c r="D1230" s="2" t="s">
        <v>1922</v>
      </c>
      <c r="E1230" s="2" t="s">
        <v>1923</v>
      </c>
      <c r="F1230" s="2" t="s">
        <v>5782</v>
      </c>
      <c r="G1230" s="2" t="s">
        <v>5782</v>
      </c>
      <c r="H1230" s="2" t="s">
        <v>5782</v>
      </c>
      <c r="I1230" s="2" t="s">
        <v>5783</v>
      </c>
      <c r="J1230" s="2" t="s">
        <v>807</v>
      </c>
      <c r="K1230" s="2" t="s">
        <v>2532</v>
      </c>
      <c r="L1230" s="3">
        <v>102.6</v>
      </c>
      <c r="M1230" s="3">
        <v>107.73</v>
      </c>
      <c r="N1230" s="3">
        <v>219</v>
      </c>
      <c r="O1230" s="2" t="s">
        <v>243</v>
      </c>
      <c r="P1230" s="2" t="s">
        <v>236</v>
      </c>
      <c r="Q1230" s="2" t="s">
        <v>237</v>
      </c>
      <c r="R1230" s="2" t="s">
        <v>231</v>
      </c>
      <c r="S1230" s="2" t="s">
        <v>231</v>
      </c>
      <c r="T1230" s="2" t="s">
        <v>231</v>
      </c>
      <c r="U1230" s="2" t="s">
        <v>791</v>
      </c>
      <c r="V1230" s="2" t="s">
        <v>662</v>
      </c>
      <c r="W1230" s="2" t="s">
        <v>792</v>
      </c>
      <c r="X1230" s="2" t="s">
        <v>691</v>
      </c>
      <c r="Y1230" s="2" t="s">
        <v>793</v>
      </c>
      <c r="Z1230" s="4">
        <v>84</v>
      </c>
      <c r="AA1230" s="4">
        <f>=ROUNDDOWN(84,0)</f>
      </c>
      <c r="AB1230" s="5">
        <v>1</v>
      </c>
      <c r="AC1230" s="2" t="s">
        <v>3295</v>
      </c>
      <c r="AD1230" s="4">
        <v>100</v>
      </c>
      <c r="AE1230" s="4">
        <v>100</v>
      </c>
      <c r="AF1230" s="6">
        <v>76</v>
      </c>
      <c r="AG1230" s="6"/>
      <c r="AH1230" s="7">
        <v>1</v>
      </c>
      <c r="AI1230" s="4"/>
      <c r="AJ1230" s="4">
        <f>=ROUNDDOWN({0},0)</f>
      </c>
      <c r="AK1230" s="5"/>
      <c r="AL1230" s="2" t="s">
        <v>231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231</v>
      </c>
      <c r="BD1230" s="8" t="s">
        <v>231</v>
      </c>
      <c r="BE1230" s="4" t="s">
        <v>231</v>
      </c>
      <c r="BF1230" s="8" t="s">
        <v>231</v>
      </c>
      <c r="BG1230" s="7" t="s">
        <v>231</v>
      </c>
      <c r="BH1230" s="7" t="s">
        <v>231</v>
      </c>
      <c r="BI1230" s="7"/>
      <c r="BJ1230" s="4"/>
      <c r="BK1230" s="8"/>
      <c r="BL1230" s="2" t="s">
        <v>231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241</v>
      </c>
      <c r="BV1230" s="2" t="s">
        <v>231</v>
      </c>
      <c r="BW1230" s="2" t="s">
        <v>231</v>
      </c>
      <c r="BX1230" s="2" t="s">
        <v>241</v>
      </c>
      <c r="BY1230" s="2" t="s">
        <v>1121</v>
      </c>
      <c r="BZ1230" s="2" t="s">
        <v>243</v>
      </c>
      <c r="CA1230" s="2" t="s">
        <v>231</v>
      </c>
      <c r="CB1230" s="2" t="s">
        <v>231</v>
      </c>
      <c r="CC1230" s="2" t="s">
        <v>244</v>
      </c>
      <c r="CD1230" s="2" t="s">
        <v>231</v>
      </c>
      <c r="CE1230" s="4"/>
      <c r="CF1230" s="4">
        <v>84</v>
      </c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>
        <v>100</v>
      </c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</row>
    <row r="1231">
      <c r="A1231" s="2" t="s">
        <v>5802</v>
      </c>
      <c r="B1231" s="2" t="s">
        <v>1004</v>
      </c>
      <c r="C1231" s="2" t="s">
        <v>1105</v>
      </c>
      <c r="D1231" s="2" t="s">
        <v>1922</v>
      </c>
      <c r="E1231" s="2" t="s">
        <v>1923</v>
      </c>
      <c r="F1231" s="2" t="s">
        <v>5782</v>
      </c>
      <c r="G1231" s="2" t="s">
        <v>5782</v>
      </c>
      <c r="H1231" s="2" t="s">
        <v>5782</v>
      </c>
      <c r="I1231" s="2" t="s">
        <v>5783</v>
      </c>
      <c r="J1231" s="2" t="s">
        <v>807</v>
      </c>
      <c r="K1231" s="2" t="s">
        <v>452</v>
      </c>
      <c r="L1231" s="3">
        <v>102.6</v>
      </c>
      <c r="M1231" s="3">
        <v>107.73</v>
      </c>
      <c r="N1231" s="3">
        <v>219</v>
      </c>
      <c r="O1231" s="2" t="s">
        <v>243</v>
      </c>
      <c r="P1231" s="2" t="s">
        <v>236</v>
      </c>
      <c r="Q1231" s="2" t="s">
        <v>237</v>
      </c>
      <c r="R1231" s="2" t="s">
        <v>231</v>
      </c>
      <c r="S1231" s="2" t="s">
        <v>231</v>
      </c>
      <c r="T1231" s="2" t="s">
        <v>231</v>
      </c>
      <c r="U1231" s="2" t="s">
        <v>791</v>
      </c>
      <c r="V1231" s="2" t="s">
        <v>662</v>
      </c>
      <c r="W1231" s="2" t="s">
        <v>792</v>
      </c>
      <c r="X1231" s="2" t="s">
        <v>691</v>
      </c>
      <c r="Y1231" s="2" t="s">
        <v>5803</v>
      </c>
      <c r="Z1231" s="4">
        <v>112</v>
      </c>
      <c r="AA1231" s="4">
        <f>=ROUNDDOWN(112,0)</f>
      </c>
      <c r="AB1231" s="5">
        <v>1</v>
      </c>
      <c r="AC1231" s="2" t="s">
        <v>231</v>
      </c>
      <c r="AD1231" s="4"/>
      <c r="AE1231" s="4"/>
      <c r="AF1231" s="6">
        <v>76</v>
      </c>
      <c r="AG1231" s="6"/>
      <c r="AH1231" s="7">
        <v>1</v>
      </c>
      <c r="AI1231" s="4"/>
      <c r="AJ1231" s="4">
        <f>=ROUNDDOWN({0},0)</f>
      </c>
      <c r="AK1231" s="5"/>
      <c r="AL1231" s="2" t="s">
        <v>231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231</v>
      </c>
      <c r="BD1231" s="8" t="s">
        <v>231</v>
      </c>
      <c r="BE1231" s="4" t="s">
        <v>231</v>
      </c>
      <c r="BF1231" s="8" t="s">
        <v>231</v>
      </c>
      <c r="BG1231" s="7" t="s">
        <v>231</v>
      </c>
      <c r="BH1231" s="7" t="s">
        <v>231</v>
      </c>
      <c r="BI1231" s="7"/>
      <c r="BJ1231" s="4">
        <v>2</v>
      </c>
      <c r="BK1231" s="8">
        <v>177.54</v>
      </c>
      <c r="BL1231" s="2" t="s">
        <v>628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5804</v>
      </c>
      <c r="BV1231" s="2" t="s">
        <v>231</v>
      </c>
      <c r="BW1231" s="2" t="s">
        <v>231</v>
      </c>
      <c r="BX1231" s="2" t="s">
        <v>241</v>
      </c>
      <c r="BY1231" s="2" t="s">
        <v>277</v>
      </c>
      <c r="BZ1231" s="2" t="s">
        <v>243</v>
      </c>
      <c r="CA1231" s="2" t="s">
        <v>5479</v>
      </c>
      <c r="CB1231" s="2" t="s">
        <v>5480</v>
      </c>
      <c r="CC1231" s="2" t="s">
        <v>244</v>
      </c>
      <c r="CD1231" s="2" t="s">
        <v>231</v>
      </c>
      <c r="CE1231" s="4"/>
      <c r="CF1231" s="4">
        <v>112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</row>
    <row r="1232">
      <c r="A1232" s="2" t="s">
        <v>5805</v>
      </c>
      <c r="B1232" s="2" t="s">
        <v>801</v>
      </c>
      <c r="C1232" s="2" t="s">
        <v>815</v>
      </c>
      <c r="D1232" s="2" t="s">
        <v>1114</v>
      </c>
      <c r="E1232" s="2" t="s">
        <v>1115</v>
      </c>
      <c r="F1232" s="2" t="s">
        <v>5782</v>
      </c>
      <c r="G1232" s="2" t="s">
        <v>5782</v>
      </c>
      <c r="H1232" s="2" t="s">
        <v>5782</v>
      </c>
      <c r="I1232" s="2" t="s">
        <v>5806</v>
      </c>
      <c r="J1232" s="2" t="s">
        <v>807</v>
      </c>
      <c r="K1232" s="2" t="s">
        <v>319</v>
      </c>
      <c r="L1232" s="3">
        <v>39.5</v>
      </c>
      <c r="M1232" s="3">
        <v>41.48</v>
      </c>
      <c r="N1232" s="3">
        <v>89.99</v>
      </c>
      <c r="O1232" s="2" t="s">
        <v>243</v>
      </c>
      <c r="P1232" s="2" t="s">
        <v>270</v>
      </c>
      <c r="Q1232" s="2" t="s">
        <v>237</v>
      </c>
      <c r="R1232" s="2" t="s">
        <v>231</v>
      </c>
      <c r="S1232" s="2" t="s">
        <v>231</v>
      </c>
      <c r="T1232" s="2" t="s">
        <v>231</v>
      </c>
      <c r="U1232" s="2" t="s">
        <v>327</v>
      </c>
      <c r="V1232" s="2" t="s">
        <v>662</v>
      </c>
      <c r="W1232" s="2" t="s">
        <v>691</v>
      </c>
      <c r="X1232" s="2" t="s">
        <v>231</v>
      </c>
      <c r="Y1232" s="2" t="s">
        <v>5807</v>
      </c>
      <c r="Z1232" s="4">
        <v>80</v>
      </c>
      <c r="AA1232" s="4">
        <f>=ROUNDDOWN(40,0)</f>
      </c>
      <c r="AB1232" s="5">
        <v>2</v>
      </c>
      <c r="AC1232" s="2" t="s">
        <v>794</v>
      </c>
      <c r="AD1232" s="4">
        <v>100</v>
      </c>
      <c r="AE1232" s="4">
        <v>100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231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 t="s">
        <v>231</v>
      </c>
      <c r="BD1232" s="8" t="s">
        <v>231</v>
      </c>
      <c r="BE1232" s="4" t="s">
        <v>231</v>
      </c>
      <c r="BF1232" s="8" t="s">
        <v>231</v>
      </c>
      <c r="BG1232" s="7" t="s">
        <v>231</v>
      </c>
      <c r="BH1232" s="7" t="s">
        <v>231</v>
      </c>
      <c r="BI1232" s="7"/>
      <c r="BJ1232" s="4">
        <v>3</v>
      </c>
      <c r="BK1232" s="8">
        <v>125.94</v>
      </c>
      <c r="BL1232" s="2" t="s">
        <v>924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5808</v>
      </c>
      <c r="BV1232" s="2" t="s">
        <v>231</v>
      </c>
      <c r="BW1232" s="2" t="s">
        <v>231</v>
      </c>
      <c r="BX1232" s="2" t="s">
        <v>231</v>
      </c>
      <c r="BY1232" s="2" t="s">
        <v>277</v>
      </c>
      <c r="BZ1232" s="2" t="s">
        <v>243</v>
      </c>
      <c r="CA1232" s="2" t="s">
        <v>5809</v>
      </c>
      <c r="CB1232" s="2" t="s">
        <v>5810</v>
      </c>
      <c r="CC1232" s="2" t="s">
        <v>244</v>
      </c>
      <c r="CD1232" s="2" t="s">
        <v>231</v>
      </c>
      <c r="CE1232" s="4"/>
      <c r="CF1232" s="4">
        <v>80</v>
      </c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>
        <v>100</v>
      </c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</row>
    <row r="1233">
      <c r="A1233" s="2" t="s">
        <v>5811</v>
      </c>
      <c r="B1233" s="2" t="s">
        <v>287</v>
      </c>
      <c r="C1233" s="2" t="s">
        <v>825</v>
      </c>
      <c r="D1233" s="2" t="s">
        <v>3558</v>
      </c>
      <c r="E1233" s="2" t="s">
        <v>5812</v>
      </c>
      <c r="F1233" s="2" t="s">
        <v>5813</v>
      </c>
      <c r="G1233" s="2" t="s">
        <v>5813</v>
      </c>
      <c r="H1233" s="2" t="s">
        <v>5813</v>
      </c>
      <c r="I1233" s="2" t="s">
        <v>5814</v>
      </c>
      <c r="J1233" s="2" t="s">
        <v>268</v>
      </c>
      <c r="K1233" s="2" t="s">
        <v>255</v>
      </c>
      <c r="L1233" s="3">
        <v>12.42</v>
      </c>
      <c r="M1233" s="3">
        <v>13.04</v>
      </c>
      <c r="N1233" s="3">
        <v>26.99</v>
      </c>
      <c r="O1233" s="2" t="s">
        <v>250</v>
      </c>
      <c r="P1233" s="2" t="s">
        <v>341</v>
      </c>
      <c r="Q1233" s="2" t="s">
        <v>237</v>
      </c>
      <c r="R1233" s="2" t="s">
        <v>231</v>
      </c>
      <c r="S1233" s="2" t="s">
        <v>5815</v>
      </c>
      <c r="T1233" s="2" t="s">
        <v>472</v>
      </c>
      <c r="U1233" s="2" t="s">
        <v>231</v>
      </c>
      <c r="V1233" s="2" t="s">
        <v>239</v>
      </c>
      <c r="W1233" s="2" t="s">
        <v>273</v>
      </c>
      <c r="X1233" s="2" t="s">
        <v>231</v>
      </c>
      <c r="Y1233" s="2" t="s">
        <v>5816</v>
      </c>
      <c r="Z1233" s="4">
        <v>156</v>
      </c>
      <c r="AA1233" s="4">
        <f>=ROUNDDOWN(27.3684210526316,0)</f>
      </c>
      <c r="AB1233" s="5">
        <v>5.7</v>
      </c>
      <c r="AC1233" s="2" t="s">
        <v>231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231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 t="s">
        <v>231</v>
      </c>
      <c r="BD1233" s="8" t="s">
        <v>231</v>
      </c>
      <c r="BE1233" s="4" t="s">
        <v>231</v>
      </c>
      <c r="BF1233" s="8" t="s">
        <v>231</v>
      </c>
      <c r="BG1233" s="7" t="s">
        <v>231</v>
      </c>
      <c r="BH1233" s="7" t="s">
        <v>231</v>
      </c>
      <c r="BI1233" s="7"/>
      <c r="BJ1233" s="4">
        <v>11</v>
      </c>
      <c r="BK1233" s="8">
        <v>108.35</v>
      </c>
      <c r="BL1233" s="2" t="s">
        <v>5817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5818</v>
      </c>
      <c r="BV1233" s="2" t="s">
        <v>231</v>
      </c>
      <c r="BW1233" s="2" t="s">
        <v>231</v>
      </c>
      <c r="BX1233" s="2" t="s">
        <v>231</v>
      </c>
      <c r="BY1233" s="2" t="s">
        <v>277</v>
      </c>
      <c r="BZ1233" s="2" t="s">
        <v>243</v>
      </c>
      <c r="CA1233" s="2" t="s">
        <v>5819</v>
      </c>
      <c r="CB1233" s="2" t="s">
        <v>5820</v>
      </c>
      <c r="CC1233" s="2" t="s">
        <v>244</v>
      </c>
      <c r="CD1233" s="2" t="s">
        <v>231</v>
      </c>
      <c r="CE1233" s="4">
        <v>156</v>
      </c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</row>
    <row r="1234">
      <c r="A1234" s="2" t="s">
        <v>5821</v>
      </c>
      <c r="B1234" s="2" t="s">
        <v>287</v>
      </c>
      <c r="C1234" s="2" t="s">
        <v>825</v>
      </c>
      <c r="D1234" s="2" t="s">
        <v>3558</v>
      </c>
      <c r="E1234" s="2" t="s">
        <v>5812</v>
      </c>
      <c r="F1234" s="2" t="s">
        <v>5813</v>
      </c>
      <c r="G1234" s="2" t="s">
        <v>5813</v>
      </c>
      <c r="H1234" s="2" t="s">
        <v>5813</v>
      </c>
      <c r="I1234" s="2" t="s">
        <v>5814</v>
      </c>
      <c r="J1234" s="2" t="s">
        <v>268</v>
      </c>
      <c r="K1234" s="2" t="s">
        <v>319</v>
      </c>
      <c r="L1234" s="3">
        <v>12.42</v>
      </c>
      <c r="M1234" s="3">
        <v>13.04</v>
      </c>
      <c r="N1234" s="3">
        <v>26.99</v>
      </c>
      <c r="O1234" s="2" t="s">
        <v>250</v>
      </c>
      <c r="P1234" s="2" t="s">
        <v>341</v>
      </c>
      <c r="Q1234" s="2" t="s">
        <v>237</v>
      </c>
      <c r="R1234" s="2" t="s">
        <v>231</v>
      </c>
      <c r="S1234" s="2" t="s">
        <v>5822</v>
      </c>
      <c r="T1234" s="2" t="s">
        <v>472</v>
      </c>
      <c r="U1234" s="2" t="s">
        <v>231</v>
      </c>
      <c r="V1234" s="2" t="s">
        <v>239</v>
      </c>
      <c r="W1234" s="2" t="s">
        <v>273</v>
      </c>
      <c r="X1234" s="2" t="s">
        <v>231</v>
      </c>
      <c r="Y1234" s="2" t="s">
        <v>5816</v>
      </c>
      <c r="Z1234" s="4">
        <v>81</v>
      </c>
      <c r="AA1234" s="4">
        <f>=ROUNDDOWN(18.8372093023256,0)</f>
      </c>
      <c r="AB1234" s="5">
        <v>4.3</v>
      </c>
      <c r="AC1234" s="2" t="s">
        <v>231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231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 t="s">
        <v>231</v>
      </c>
      <c r="BD1234" s="8" t="s">
        <v>231</v>
      </c>
      <c r="BE1234" s="4" t="s">
        <v>231</v>
      </c>
      <c r="BF1234" s="8" t="s">
        <v>231</v>
      </c>
      <c r="BG1234" s="7" t="s">
        <v>231</v>
      </c>
      <c r="BH1234" s="7" t="s">
        <v>231</v>
      </c>
      <c r="BI1234" s="7"/>
      <c r="BJ1234" s="4">
        <v>7</v>
      </c>
      <c r="BK1234" s="8">
        <v>74.05</v>
      </c>
      <c r="BL1234" s="2" t="s">
        <v>5823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5824</v>
      </c>
      <c r="BV1234" s="2" t="s">
        <v>231</v>
      </c>
      <c r="BW1234" s="2" t="s">
        <v>231</v>
      </c>
      <c r="BX1234" s="2" t="s">
        <v>231</v>
      </c>
      <c r="BY1234" s="2" t="s">
        <v>277</v>
      </c>
      <c r="BZ1234" s="2" t="s">
        <v>243</v>
      </c>
      <c r="CA1234" s="2" t="s">
        <v>5819</v>
      </c>
      <c r="CB1234" s="2" t="s">
        <v>5825</v>
      </c>
      <c r="CC1234" s="2" t="s">
        <v>244</v>
      </c>
      <c r="CD1234" s="2" t="s">
        <v>231</v>
      </c>
      <c r="CE1234" s="4">
        <v>81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</row>
    <row r="1235">
      <c r="A1235" s="2" t="s">
        <v>5826</v>
      </c>
      <c r="B1235" s="2" t="s">
        <v>801</v>
      </c>
      <c r="C1235" s="2" t="s">
        <v>815</v>
      </c>
      <c r="D1235" s="2" t="s">
        <v>803</v>
      </c>
      <c r="E1235" s="2" t="s">
        <v>804</v>
      </c>
      <c r="F1235" s="2" t="s">
        <v>5827</v>
      </c>
      <c r="G1235" s="2" t="s">
        <v>5827</v>
      </c>
      <c r="H1235" s="2" t="s">
        <v>5827</v>
      </c>
      <c r="I1235" s="2" t="s">
        <v>5828</v>
      </c>
      <c r="J1235" s="2" t="s">
        <v>807</v>
      </c>
      <c r="K1235" s="2" t="s">
        <v>5829</v>
      </c>
      <c r="L1235" s="3">
        <v>103.5</v>
      </c>
      <c r="M1235" s="3">
        <v>108.68</v>
      </c>
      <c r="N1235" s="3">
        <v>234.99</v>
      </c>
      <c r="O1235" s="2" t="s">
        <v>243</v>
      </c>
      <c r="P1235" s="2" t="s">
        <v>341</v>
      </c>
      <c r="Q1235" s="2" t="s">
        <v>237</v>
      </c>
      <c r="R1235" s="2" t="s">
        <v>231</v>
      </c>
      <c r="S1235" s="2" t="s">
        <v>231</v>
      </c>
      <c r="T1235" s="2" t="s">
        <v>231</v>
      </c>
      <c r="U1235" s="2" t="s">
        <v>231</v>
      </c>
      <c r="V1235" s="2" t="s">
        <v>662</v>
      </c>
      <c r="W1235" s="2" t="s">
        <v>808</v>
      </c>
      <c r="X1235" s="2" t="s">
        <v>231</v>
      </c>
      <c r="Y1235" s="2" t="s">
        <v>2233</v>
      </c>
      <c r="Z1235" s="4">
        <v>44</v>
      </c>
      <c r="AA1235" s="4">
        <f>=ROUNDDOWN(44,0)</f>
      </c>
      <c r="AB1235" s="5">
        <v>1</v>
      </c>
      <c r="AC1235" s="2" t="s">
        <v>231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231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>
        <v>3</v>
      </c>
      <c r="BK1235" s="8">
        <v>266.18</v>
      </c>
      <c r="BL1235" s="2" t="s">
        <v>5830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5831</v>
      </c>
      <c r="BV1235" s="2" t="s">
        <v>231</v>
      </c>
      <c r="BW1235" s="2" t="s">
        <v>231</v>
      </c>
      <c r="BX1235" s="2" t="s">
        <v>231</v>
      </c>
      <c r="BY1235" s="2" t="s">
        <v>277</v>
      </c>
      <c r="BZ1235" s="2" t="s">
        <v>243</v>
      </c>
      <c r="CA1235" s="2" t="s">
        <v>5832</v>
      </c>
      <c r="CB1235" s="2" t="s">
        <v>5833</v>
      </c>
      <c r="CC1235" s="2" t="s">
        <v>244</v>
      </c>
      <c r="CD1235" s="2" t="s">
        <v>231</v>
      </c>
      <c r="CE1235" s="4"/>
      <c r="CF1235" s="4">
        <v>44</v>
      </c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</row>
    <row r="1236">
      <c r="A1236" s="2" t="s">
        <v>5834</v>
      </c>
      <c r="B1236" s="2" t="s">
        <v>847</v>
      </c>
      <c r="C1236" s="2" t="s">
        <v>288</v>
      </c>
      <c r="D1236" s="2" t="s">
        <v>848</v>
      </c>
      <c r="E1236" s="2" t="s">
        <v>2623</v>
      </c>
      <c r="F1236" s="2" t="s">
        <v>5835</v>
      </c>
      <c r="G1236" s="2" t="s">
        <v>5835</v>
      </c>
      <c r="H1236" s="2" t="s">
        <v>5835</v>
      </c>
      <c r="I1236" s="2" t="s">
        <v>5836</v>
      </c>
      <c r="J1236" s="2" t="s">
        <v>807</v>
      </c>
      <c r="K1236" s="2" t="s">
        <v>2321</v>
      </c>
      <c r="L1236" s="3">
        <v>21.31</v>
      </c>
      <c r="M1236" s="3">
        <v>22.38</v>
      </c>
      <c r="N1236" s="3">
        <v>50.99</v>
      </c>
      <c r="O1236" s="2" t="s">
        <v>243</v>
      </c>
      <c r="P1236" s="2" t="s">
        <v>270</v>
      </c>
      <c r="Q1236" s="2" t="s">
        <v>237</v>
      </c>
      <c r="R1236" s="2" t="s">
        <v>231</v>
      </c>
      <c r="S1236" s="2" t="s">
        <v>5837</v>
      </c>
      <c r="T1236" s="2" t="s">
        <v>231</v>
      </c>
      <c r="U1236" s="2" t="s">
        <v>835</v>
      </c>
      <c r="V1236" s="2" t="s">
        <v>381</v>
      </c>
      <c r="W1236" s="2" t="s">
        <v>273</v>
      </c>
      <c r="X1236" s="2" t="s">
        <v>792</v>
      </c>
      <c r="Y1236" s="2" t="s">
        <v>5838</v>
      </c>
      <c r="Z1236" s="4">
        <v>32</v>
      </c>
      <c r="AA1236" s="4">
        <f>=ROUNDDOWN(2.85714285714286,0)</f>
      </c>
      <c r="AB1236" s="5">
        <v>11.2</v>
      </c>
      <c r="AC1236" s="2" t="s">
        <v>876</v>
      </c>
      <c r="AD1236" s="4">
        <v>100</v>
      </c>
      <c r="AE1236" s="4">
        <v>420</v>
      </c>
      <c r="AF1236" s="6">
        <v>63</v>
      </c>
      <c r="AG1236" s="6"/>
      <c r="AH1236" s="7">
        <v>1</v>
      </c>
      <c r="AI1236" s="4"/>
      <c r="AJ1236" s="4">
        <f>=ROUNDDOWN({0},0)</f>
      </c>
      <c r="AK1236" s="5"/>
      <c r="AL1236" s="2" t="s">
        <v>231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>
        <v>58</v>
      </c>
      <c r="BK1236" s="8">
        <v>1540.82</v>
      </c>
      <c r="BL1236" s="2" t="s">
        <v>5839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5840</v>
      </c>
      <c r="BV1236" s="2" t="s">
        <v>231</v>
      </c>
      <c r="BW1236" s="2" t="s">
        <v>231</v>
      </c>
      <c r="BX1236" s="2" t="s">
        <v>231</v>
      </c>
      <c r="BY1236" s="2" t="s">
        <v>277</v>
      </c>
      <c r="BZ1236" s="2" t="s">
        <v>243</v>
      </c>
      <c r="CA1236" s="2" t="s">
        <v>5841</v>
      </c>
      <c r="CB1236" s="2" t="s">
        <v>5842</v>
      </c>
      <c r="CC1236" s="2" t="s">
        <v>244</v>
      </c>
      <c r="CD1236" s="2" t="s">
        <v>231</v>
      </c>
      <c r="CE1236" s="4"/>
      <c r="CF1236" s="4">
        <v>32</v>
      </c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>
        <v>100</v>
      </c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>
        <v>60</v>
      </c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>
        <v>160</v>
      </c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>
        <v>100</v>
      </c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</row>
    <row r="1237">
      <c r="A1237" s="2" t="s">
        <v>5843</v>
      </c>
      <c r="B1237" s="2" t="s">
        <v>801</v>
      </c>
      <c r="C1237" s="2" t="s">
        <v>802</v>
      </c>
      <c r="D1237" s="2" t="s">
        <v>803</v>
      </c>
      <c r="E1237" s="2" t="s">
        <v>804</v>
      </c>
      <c r="F1237" s="2" t="s">
        <v>5844</v>
      </c>
      <c r="G1237" s="2" t="s">
        <v>5844</v>
      </c>
      <c r="H1237" s="2" t="s">
        <v>5844</v>
      </c>
      <c r="I1237" s="2" t="s">
        <v>5845</v>
      </c>
      <c r="J1237" s="2" t="s">
        <v>807</v>
      </c>
      <c r="K1237" s="2" t="s">
        <v>5846</v>
      </c>
      <c r="L1237" s="3">
        <v>166.06</v>
      </c>
      <c r="M1237" s="3">
        <v>174.36</v>
      </c>
      <c r="N1237" s="3">
        <v>379.99</v>
      </c>
      <c r="O1237" s="2" t="s">
        <v>243</v>
      </c>
      <c r="P1237" s="2" t="s">
        <v>341</v>
      </c>
      <c r="Q1237" s="2" t="s">
        <v>237</v>
      </c>
      <c r="R1237" s="2" t="s">
        <v>231</v>
      </c>
      <c r="S1237" s="2" t="s">
        <v>231</v>
      </c>
      <c r="T1237" s="2" t="s">
        <v>231</v>
      </c>
      <c r="U1237" s="2" t="s">
        <v>327</v>
      </c>
      <c r="V1237" s="2" t="s">
        <v>662</v>
      </c>
      <c r="W1237" s="2" t="s">
        <v>676</v>
      </c>
      <c r="X1237" s="2" t="s">
        <v>896</v>
      </c>
      <c r="Y1237" s="2" t="s">
        <v>819</v>
      </c>
      <c r="Z1237" s="4">
        <v>97</v>
      </c>
      <c r="AA1237" s="4">
        <f>=ROUNDDOWN(97,0)</f>
      </c>
      <c r="AB1237" s="5">
        <v>1</v>
      </c>
      <c r="AC1237" s="2" t="s">
        <v>231</v>
      </c>
      <c r="AD1237" s="4"/>
      <c r="AE1237" s="4"/>
      <c r="AF1237" s="6">
        <v>63</v>
      </c>
      <c r="AG1237" s="6"/>
      <c r="AH1237" s="7">
        <v>1</v>
      </c>
      <c r="AI1237" s="4"/>
      <c r="AJ1237" s="4">
        <f>=ROUNDDOWN({0},0)</f>
      </c>
      <c r="AK1237" s="5"/>
      <c r="AL1237" s="2" t="s">
        <v>231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231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5847</v>
      </c>
      <c r="BV1237" s="2" t="s">
        <v>231</v>
      </c>
      <c r="BW1237" s="2" t="s">
        <v>231</v>
      </c>
      <c r="BX1237" s="2" t="s">
        <v>231</v>
      </c>
      <c r="BY1237" s="2" t="s">
        <v>277</v>
      </c>
      <c r="BZ1237" s="2" t="s">
        <v>243</v>
      </c>
      <c r="CA1237" s="2" t="s">
        <v>821</v>
      </c>
      <c r="CB1237" s="2" t="s">
        <v>3087</v>
      </c>
      <c r="CC1237" s="2" t="s">
        <v>244</v>
      </c>
      <c r="CD1237" s="2" t="s">
        <v>231</v>
      </c>
      <c r="CE1237" s="4"/>
      <c r="CF1237" s="4">
        <v>97</v>
      </c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</row>
    <row r="1238">
      <c r="A1238" s="2" t="s">
        <v>5848</v>
      </c>
      <c r="B1238" s="2" t="s">
        <v>1389</v>
      </c>
      <c r="C1238" s="2" t="s">
        <v>288</v>
      </c>
      <c r="D1238" s="2" t="s">
        <v>1389</v>
      </c>
      <c r="E1238" s="2" t="s">
        <v>1389</v>
      </c>
      <c r="F1238" s="2" t="s">
        <v>5849</v>
      </c>
      <c r="G1238" s="2" t="s">
        <v>5850</v>
      </c>
      <c r="H1238" s="2" t="s">
        <v>5851</v>
      </c>
      <c r="I1238" s="2" t="s">
        <v>5852</v>
      </c>
      <c r="J1238" s="2" t="s">
        <v>2030</v>
      </c>
      <c r="K1238" s="2" t="s">
        <v>5853</v>
      </c>
      <c r="L1238" s="3">
        <v>25.5</v>
      </c>
      <c r="M1238" s="3">
        <v>26.78</v>
      </c>
      <c r="N1238" s="3">
        <v>59.99</v>
      </c>
      <c r="O1238" s="2" t="s">
        <v>243</v>
      </c>
      <c r="P1238" s="2" t="s">
        <v>341</v>
      </c>
      <c r="Q1238" s="2" t="s">
        <v>237</v>
      </c>
      <c r="R1238" s="2" t="s">
        <v>231</v>
      </c>
      <c r="S1238" s="2" t="s">
        <v>5854</v>
      </c>
      <c r="T1238" s="2" t="s">
        <v>231</v>
      </c>
      <c r="U1238" s="2" t="s">
        <v>327</v>
      </c>
      <c r="V1238" s="2" t="s">
        <v>1986</v>
      </c>
      <c r="W1238" s="2" t="s">
        <v>2541</v>
      </c>
      <c r="X1238" s="2" t="s">
        <v>231</v>
      </c>
      <c r="Y1238" s="2" t="s">
        <v>5855</v>
      </c>
      <c r="Z1238" s="4">
        <v>5</v>
      </c>
      <c r="AA1238" s="4">
        <f>=ROUNDDOWN(5.55555555555556,0)</f>
      </c>
      <c r="AB1238" s="5">
        <v>0.9</v>
      </c>
      <c r="AC1238" s="2" t="s">
        <v>231</v>
      </c>
      <c r="AD1238" s="4"/>
      <c r="AE1238" s="4"/>
      <c r="AF1238" s="6">
        <v>63</v>
      </c>
      <c r="AG1238" s="6"/>
      <c r="AH1238" s="7">
        <v>1</v>
      </c>
      <c r="AI1238" s="4"/>
      <c r="AJ1238" s="4">
        <f>=ROUNDDOWN({0},0)</f>
      </c>
      <c r="AK1238" s="5"/>
      <c r="AL1238" s="2" t="s">
        <v>231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231</v>
      </c>
      <c r="AW1238" s="8" t="s">
        <v>231</v>
      </c>
      <c r="AX1238" s="4" t="s">
        <v>231</v>
      </c>
      <c r="AY1238" s="8" t="s">
        <v>231</v>
      </c>
      <c r="AZ1238" s="7" t="s">
        <v>231</v>
      </c>
      <c r="BA1238" s="7" t="s">
        <v>231</v>
      </c>
      <c r="BB1238" s="7"/>
      <c r="BC1238" s="4" t="s">
        <v>231</v>
      </c>
      <c r="BD1238" s="8" t="s">
        <v>231</v>
      </c>
      <c r="BE1238" s="4" t="s">
        <v>231</v>
      </c>
      <c r="BF1238" s="8" t="s">
        <v>231</v>
      </c>
      <c r="BG1238" s="7" t="s">
        <v>231</v>
      </c>
      <c r="BH1238" s="7" t="s">
        <v>231</v>
      </c>
      <c r="BI1238" s="7"/>
      <c r="BJ1238" s="4">
        <v>4</v>
      </c>
      <c r="BK1238" s="8">
        <v>111.05</v>
      </c>
      <c r="BL1238" s="2" t="s">
        <v>5856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5857</v>
      </c>
      <c r="BV1238" s="2" t="s">
        <v>231</v>
      </c>
      <c r="BW1238" s="2" t="s">
        <v>231</v>
      </c>
      <c r="BX1238" s="2" t="s">
        <v>231</v>
      </c>
      <c r="BY1238" s="2" t="s">
        <v>277</v>
      </c>
      <c r="BZ1238" s="2" t="s">
        <v>243</v>
      </c>
      <c r="CA1238" s="2" t="s">
        <v>3339</v>
      </c>
      <c r="CB1238" s="2" t="s">
        <v>2515</v>
      </c>
      <c r="CC1238" s="2" t="s">
        <v>244</v>
      </c>
      <c r="CD1238" s="2" t="s">
        <v>231</v>
      </c>
      <c r="CE1238" s="4"/>
      <c r="CF1238" s="4">
        <v>5</v>
      </c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</row>
    <row r="1239">
      <c r="A1239" s="2" t="s">
        <v>5858</v>
      </c>
      <c r="B1239" s="2" t="s">
        <v>1389</v>
      </c>
      <c r="C1239" s="2" t="s">
        <v>288</v>
      </c>
      <c r="D1239" s="2" t="s">
        <v>1389</v>
      </c>
      <c r="E1239" s="2" t="s">
        <v>1389</v>
      </c>
      <c r="F1239" s="2" t="s">
        <v>5849</v>
      </c>
      <c r="G1239" s="2" t="s">
        <v>5850</v>
      </c>
      <c r="H1239" s="2" t="s">
        <v>5851</v>
      </c>
      <c r="I1239" s="2" t="s">
        <v>5852</v>
      </c>
      <c r="J1239" s="2" t="s">
        <v>1393</v>
      </c>
      <c r="K1239" s="2" t="s">
        <v>5853</v>
      </c>
      <c r="L1239" s="3">
        <v>70</v>
      </c>
      <c r="M1239" s="3">
        <v>73.5</v>
      </c>
      <c r="N1239" s="3">
        <v>159.99</v>
      </c>
      <c r="O1239" s="2" t="s">
        <v>243</v>
      </c>
      <c r="P1239" s="2" t="s">
        <v>341</v>
      </c>
      <c r="Q1239" s="2" t="s">
        <v>237</v>
      </c>
      <c r="R1239" s="2" t="s">
        <v>231</v>
      </c>
      <c r="S1239" s="2" t="s">
        <v>5854</v>
      </c>
      <c r="T1239" s="2" t="s">
        <v>231</v>
      </c>
      <c r="U1239" s="2" t="s">
        <v>327</v>
      </c>
      <c r="V1239" s="2" t="s">
        <v>1986</v>
      </c>
      <c r="W1239" s="2" t="s">
        <v>2541</v>
      </c>
      <c r="X1239" s="2" t="s">
        <v>231</v>
      </c>
      <c r="Y1239" s="2" t="s">
        <v>5855</v>
      </c>
      <c r="Z1239" s="4">
        <v>19</v>
      </c>
      <c r="AA1239" s="4">
        <f>=ROUNDDOWN(27.1428571428571,0)</f>
      </c>
      <c r="AB1239" s="5">
        <v>0.7</v>
      </c>
      <c r="AC1239" s="2" t="s">
        <v>231</v>
      </c>
      <c r="AD1239" s="4"/>
      <c r="AE1239" s="4"/>
      <c r="AF1239" s="6">
        <v>63</v>
      </c>
      <c r="AG1239" s="6"/>
      <c r="AH1239" s="7">
        <v>1</v>
      </c>
      <c r="AI1239" s="4"/>
      <c r="AJ1239" s="4">
        <f>=ROUNDDOWN({0},0)</f>
      </c>
      <c r="AK1239" s="5"/>
      <c r="AL1239" s="2" t="s">
        <v>231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231</v>
      </c>
      <c r="AW1239" s="8" t="s">
        <v>231</v>
      </c>
      <c r="AX1239" s="4" t="s">
        <v>231</v>
      </c>
      <c r="AY1239" s="8" t="s">
        <v>231</v>
      </c>
      <c r="AZ1239" s="7" t="s">
        <v>231</v>
      </c>
      <c r="BA1239" s="7" t="s">
        <v>231</v>
      </c>
      <c r="BB1239" s="7"/>
      <c r="BC1239" s="4" t="s">
        <v>231</v>
      </c>
      <c r="BD1239" s="8" t="s">
        <v>231</v>
      </c>
      <c r="BE1239" s="4" t="s">
        <v>231</v>
      </c>
      <c r="BF1239" s="8" t="s">
        <v>231</v>
      </c>
      <c r="BG1239" s="7" t="s">
        <v>231</v>
      </c>
      <c r="BH1239" s="7" t="s">
        <v>231</v>
      </c>
      <c r="BI1239" s="7"/>
      <c r="BJ1239" s="4">
        <v>3</v>
      </c>
      <c r="BK1239" s="8">
        <v>238.88</v>
      </c>
      <c r="BL1239" s="2" t="s">
        <v>5859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5860</v>
      </c>
      <c r="BV1239" s="2" t="s">
        <v>231</v>
      </c>
      <c r="BW1239" s="2" t="s">
        <v>231</v>
      </c>
      <c r="BX1239" s="2" t="s">
        <v>231</v>
      </c>
      <c r="BY1239" s="2" t="s">
        <v>277</v>
      </c>
      <c r="BZ1239" s="2" t="s">
        <v>243</v>
      </c>
      <c r="CA1239" s="2" t="s">
        <v>3339</v>
      </c>
      <c r="CB1239" s="2" t="s">
        <v>3808</v>
      </c>
      <c r="CC1239" s="2" t="s">
        <v>244</v>
      </c>
      <c r="CD1239" s="2" t="s">
        <v>231</v>
      </c>
      <c r="CE1239" s="4"/>
      <c r="CF1239" s="4">
        <v>19</v>
      </c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</row>
    <row r="1240">
      <c r="A1240" s="2" t="s">
        <v>5861</v>
      </c>
      <c r="B1240" s="2" t="s">
        <v>1004</v>
      </c>
      <c r="C1240" s="2" t="s">
        <v>288</v>
      </c>
      <c r="D1240" s="2" t="s">
        <v>1689</v>
      </c>
      <c r="E1240" s="2" t="s">
        <v>1690</v>
      </c>
      <c r="F1240" s="2" t="s">
        <v>5862</v>
      </c>
      <c r="G1240" s="2" t="s">
        <v>5863</v>
      </c>
      <c r="H1240" s="2" t="s">
        <v>5864</v>
      </c>
      <c r="I1240" s="2" t="s">
        <v>2651</v>
      </c>
      <c r="J1240" s="2" t="s">
        <v>807</v>
      </c>
      <c r="K1240" s="2" t="s">
        <v>5865</v>
      </c>
      <c r="L1240" s="3">
        <v>125</v>
      </c>
      <c r="M1240" s="3">
        <v>131.25</v>
      </c>
      <c r="N1240" s="3">
        <v>259</v>
      </c>
      <c r="O1240" s="2" t="s">
        <v>250</v>
      </c>
      <c r="P1240" s="2" t="s">
        <v>341</v>
      </c>
      <c r="Q1240" s="2" t="s">
        <v>237</v>
      </c>
      <c r="R1240" s="2" t="s">
        <v>231</v>
      </c>
      <c r="S1240" s="2" t="s">
        <v>231</v>
      </c>
      <c r="T1240" s="2" t="s">
        <v>231</v>
      </c>
      <c r="U1240" s="2" t="s">
        <v>327</v>
      </c>
      <c r="V1240" s="2" t="s">
        <v>239</v>
      </c>
      <c r="W1240" s="2" t="s">
        <v>691</v>
      </c>
      <c r="X1240" s="2" t="s">
        <v>808</v>
      </c>
      <c r="Y1240" s="2" t="s">
        <v>1447</v>
      </c>
      <c r="Z1240" s="4">
        <v>115</v>
      </c>
      <c r="AA1240" s="4">
        <f>=ROUNDDOWN(35.9375,0)</f>
      </c>
      <c r="AB1240" s="5">
        <v>3.2</v>
      </c>
      <c r="AC1240" s="2" t="s">
        <v>231</v>
      </c>
      <c r="AD1240" s="4"/>
      <c r="AE1240" s="4"/>
      <c r="AF1240" s="6">
        <v>66</v>
      </c>
      <c r="AG1240" s="6"/>
      <c r="AH1240" s="7">
        <v>1</v>
      </c>
      <c r="AI1240" s="4"/>
      <c r="AJ1240" s="4">
        <f>=ROUNDDOWN({0},0)</f>
      </c>
      <c r="AK1240" s="5"/>
      <c r="AL1240" s="2" t="s">
        <v>231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>
        <v>13</v>
      </c>
      <c r="BK1240" s="8">
        <v>1034.9</v>
      </c>
      <c r="BL1240" s="2" t="s">
        <v>628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5866</v>
      </c>
      <c r="BV1240" s="2" t="s">
        <v>231</v>
      </c>
      <c r="BW1240" s="2" t="s">
        <v>231</v>
      </c>
      <c r="BX1240" s="2" t="s">
        <v>231</v>
      </c>
      <c r="BY1240" s="2" t="s">
        <v>277</v>
      </c>
      <c r="BZ1240" s="2" t="s">
        <v>243</v>
      </c>
      <c r="CA1240" s="2" t="s">
        <v>1127</v>
      </c>
      <c r="CB1240" s="2" t="s">
        <v>5867</v>
      </c>
      <c r="CC1240" s="2" t="s">
        <v>244</v>
      </c>
      <c r="CD1240" s="2" t="s">
        <v>231</v>
      </c>
      <c r="CE1240" s="4"/>
      <c r="CF1240" s="4">
        <v>115</v>
      </c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</row>
    <row r="1241">
      <c r="A1241" s="2" t="s">
        <v>5868</v>
      </c>
      <c r="B1241" s="2" t="s">
        <v>1004</v>
      </c>
      <c r="C1241" s="2" t="s">
        <v>867</v>
      </c>
      <c r="D1241" s="2" t="s">
        <v>1689</v>
      </c>
      <c r="E1241" s="2" t="s">
        <v>1690</v>
      </c>
      <c r="F1241" s="2" t="s">
        <v>5869</v>
      </c>
      <c r="G1241" s="2" t="s">
        <v>5869</v>
      </c>
      <c r="H1241" s="2" t="s">
        <v>5869</v>
      </c>
      <c r="I1241" s="2" t="s">
        <v>5870</v>
      </c>
      <c r="J1241" s="2" t="s">
        <v>807</v>
      </c>
      <c r="K1241" s="2" t="s">
        <v>1136</v>
      </c>
      <c r="L1241" s="3">
        <v>215</v>
      </c>
      <c r="M1241" s="3">
        <v>225.75</v>
      </c>
      <c r="N1241" s="3">
        <v>449</v>
      </c>
      <c r="O1241" s="2" t="s">
        <v>243</v>
      </c>
      <c r="P1241" s="2" t="s">
        <v>236</v>
      </c>
      <c r="Q1241" s="2" t="s">
        <v>237</v>
      </c>
      <c r="R1241" s="2" t="s">
        <v>231</v>
      </c>
      <c r="S1241" s="2" t="s">
        <v>231</v>
      </c>
      <c r="T1241" s="2" t="s">
        <v>231</v>
      </c>
      <c r="U1241" s="2" t="s">
        <v>327</v>
      </c>
      <c r="V1241" s="2" t="s">
        <v>662</v>
      </c>
      <c r="W1241" s="2" t="s">
        <v>5871</v>
      </c>
      <c r="X1241" s="2" t="s">
        <v>874</v>
      </c>
      <c r="Y1241" s="2" t="s">
        <v>5872</v>
      </c>
      <c r="Z1241" s="4">
        <v>30</v>
      </c>
      <c r="AA1241" s="4">
        <f>=ROUNDDOWN(7.5,0)</f>
      </c>
      <c r="AB1241" s="5">
        <v>4</v>
      </c>
      <c r="AC1241" s="2" t="s">
        <v>2251</v>
      </c>
      <c r="AD1241" s="4">
        <v>100</v>
      </c>
      <c r="AE1241" s="4">
        <v>100</v>
      </c>
      <c r="AF1241" s="6">
        <v>66</v>
      </c>
      <c r="AG1241" s="6"/>
      <c r="AH1241" s="7">
        <v>1</v>
      </c>
      <c r="AI1241" s="4"/>
      <c r="AJ1241" s="4">
        <f>=ROUNDDOWN({0},0)</f>
      </c>
      <c r="AK1241" s="5"/>
      <c r="AL1241" s="2" t="s">
        <v>231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>
        <v>17</v>
      </c>
      <c r="BK1241" s="8">
        <v>4088.11</v>
      </c>
      <c r="BL1241" s="2" t="s">
        <v>5873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5874</v>
      </c>
      <c r="BV1241" s="2" t="s">
        <v>231</v>
      </c>
      <c r="BW1241" s="2" t="s">
        <v>231</v>
      </c>
      <c r="BX1241" s="2" t="s">
        <v>241</v>
      </c>
      <c r="BY1241" s="2" t="s">
        <v>277</v>
      </c>
      <c r="BZ1241" s="2" t="s">
        <v>243</v>
      </c>
      <c r="CA1241" s="2" t="s">
        <v>3752</v>
      </c>
      <c r="CB1241" s="2" t="s">
        <v>5875</v>
      </c>
      <c r="CC1241" s="2" t="s">
        <v>244</v>
      </c>
      <c r="CD1241" s="2" t="s">
        <v>231</v>
      </c>
      <c r="CE1241" s="4"/>
      <c r="CF1241" s="4">
        <v>30</v>
      </c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>
        <v>100</v>
      </c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</row>
    <row r="1242">
      <c r="A1242" s="2" t="s">
        <v>5876</v>
      </c>
      <c r="B1242" s="2" t="s">
        <v>824</v>
      </c>
      <c r="C1242" s="2" t="s">
        <v>825</v>
      </c>
      <c r="D1242" s="2" t="s">
        <v>826</v>
      </c>
      <c r="E1242" s="2" t="s">
        <v>827</v>
      </c>
      <c r="F1242" s="2" t="s">
        <v>5877</v>
      </c>
      <c r="G1242" s="2" t="s">
        <v>5878</v>
      </c>
      <c r="H1242" s="2" t="s">
        <v>5879</v>
      </c>
      <c r="I1242" s="2" t="s">
        <v>5880</v>
      </c>
      <c r="J1242" s="2" t="s">
        <v>832</v>
      </c>
      <c r="K1242" s="2" t="s">
        <v>294</v>
      </c>
      <c r="L1242" s="3">
        <v>27.6</v>
      </c>
      <c r="M1242" s="3">
        <v>28.98</v>
      </c>
      <c r="N1242" s="3">
        <v>59.99</v>
      </c>
      <c r="O1242" s="2" t="s">
        <v>243</v>
      </c>
      <c r="P1242" s="2" t="s">
        <v>270</v>
      </c>
      <c r="Q1242" s="2" t="s">
        <v>237</v>
      </c>
      <c r="R1242" s="2" t="s">
        <v>231</v>
      </c>
      <c r="S1242" s="2" t="s">
        <v>5881</v>
      </c>
      <c r="T1242" s="2" t="s">
        <v>3671</v>
      </c>
      <c r="U1242" s="2" t="s">
        <v>835</v>
      </c>
      <c r="V1242" s="2" t="s">
        <v>239</v>
      </c>
      <c r="W1242" s="2" t="s">
        <v>299</v>
      </c>
      <c r="X1242" s="2" t="s">
        <v>2286</v>
      </c>
      <c r="Y1242" s="2" t="s">
        <v>711</v>
      </c>
      <c r="Z1242" s="4">
        <v>33</v>
      </c>
      <c r="AA1242" s="4">
        <f>=ROUNDDOWN(4.125,0)</f>
      </c>
      <c r="AB1242" s="5">
        <v>8</v>
      </c>
      <c r="AC1242" s="2" t="s">
        <v>1128</v>
      </c>
      <c r="AD1242" s="4">
        <v>70</v>
      </c>
      <c r="AE1242" s="4">
        <v>410</v>
      </c>
      <c r="AF1242" s="6">
        <v>64</v>
      </c>
      <c r="AG1242" s="6"/>
      <c r="AH1242" s="7">
        <v>0.6774</v>
      </c>
      <c r="AI1242" s="4"/>
      <c r="AJ1242" s="4">
        <f>=ROUNDDOWN({0},0)</f>
      </c>
      <c r="AK1242" s="5"/>
      <c r="AL1242" s="2" t="s">
        <v>231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231</v>
      </c>
      <c r="AW1242" s="8" t="s">
        <v>231</v>
      </c>
      <c r="AX1242" s="4" t="s">
        <v>231</v>
      </c>
      <c r="AY1242" s="8" t="s">
        <v>231</v>
      </c>
      <c r="AZ1242" s="7" t="s">
        <v>231</v>
      </c>
      <c r="BA1242" s="7" t="s">
        <v>231</v>
      </c>
      <c r="BB1242" s="7"/>
      <c r="BC1242" s="4" t="s">
        <v>231</v>
      </c>
      <c r="BD1242" s="8" t="s">
        <v>231</v>
      </c>
      <c r="BE1242" s="4" t="s">
        <v>231</v>
      </c>
      <c r="BF1242" s="8" t="s">
        <v>231</v>
      </c>
      <c r="BG1242" s="7" t="s">
        <v>231</v>
      </c>
      <c r="BH1242" s="7" t="s">
        <v>231</v>
      </c>
      <c r="BI1242" s="7"/>
      <c r="BJ1242" s="4"/>
      <c r="BK1242" s="8"/>
      <c r="BL1242" s="2" t="s">
        <v>5882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5883</v>
      </c>
      <c r="BV1242" s="2" t="s">
        <v>231</v>
      </c>
      <c r="BW1242" s="2" t="s">
        <v>231</v>
      </c>
      <c r="BX1242" s="2" t="s">
        <v>241</v>
      </c>
      <c r="BY1242" s="2" t="s">
        <v>277</v>
      </c>
      <c r="BZ1242" s="2" t="s">
        <v>243</v>
      </c>
      <c r="CA1242" s="2" t="s">
        <v>711</v>
      </c>
      <c r="CB1242" s="2" t="s">
        <v>5884</v>
      </c>
      <c r="CC1242" s="2" t="s">
        <v>244</v>
      </c>
      <c r="CD1242" s="2" t="s">
        <v>231</v>
      </c>
      <c r="CE1242" s="4">
        <v>33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>
        <v>70</v>
      </c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>
        <v>60</v>
      </c>
      <c r="ET1242" s="4"/>
      <c r="EU1242" s="4"/>
      <c r="EV1242" s="4"/>
      <c r="EW1242" s="4"/>
      <c r="EX1242" s="4"/>
      <c r="EY1242" s="4"/>
      <c r="EZ1242" s="4"/>
      <c r="FA1242" s="4"/>
      <c r="FB1242" s="4"/>
      <c r="FC1242" s="4">
        <v>170</v>
      </c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>
        <v>110</v>
      </c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</row>
    <row r="1243">
      <c r="A1243" s="2" t="s">
        <v>5885</v>
      </c>
      <c r="B1243" s="2" t="s">
        <v>824</v>
      </c>
      <c r="C1243" s="2" t="s">
        <v>825</v>
      </c>
      <c r="D1243" s="2" t="s">
        <v>826</v>
      </c>
      <c r="E1243" s="2" t="s">
        <v>827</v>
      </c>
      <c r="F1243" s="2" t="s">
        <v>5877</v>
      </c>
      <c r="G1243" s="2" t="s">
        <v>5878</v>
      </c>
      <c r="H1243" s="2" t="s">
        <v>5879</v>
      </c>
      <c r="I1243" s="2" t="s">
        <v>5880</v>
      </c>
      <c r="J1243" s="2" t="s">
        <v>669</v>
      </c>
      <c r="K1243" s="2" t="s">
        <v>294</v>
      </c>
      <c r="L1243" s="3">
        <v>36.75</v>
      </c>
      <c r="M1243" s="3">
        <v>38.59</v>
      </c>
      <c r="N1243" s="3">
        <v>74.99</v>
      </c>
      <c r="O1243" s="2" t="s">
        <v>243</v>
      </c>
      <c r="P1243" s="2" t="s">
        <v>270</v>
      </c>
      <c r="Q1243" s="2" t="s">
        <v>237</v>
      </c>
      <c r="R1243" s="2" t="s">
        <v>231</v>
      </c>
      <c r="S1243" s="2" t="s">
        <v>5881</v>
      </c>
      <c r="T1243" s="2" t="s">
        <v>3671</v>
      </c>
      <c r="U1243" s="2" t="s">
        <v>298</v>
      </c>
      <c r="V1243" s="2" t="s">
        <v>239</v>
      </c>
      <c r="W1243" s="2" t="s">
        <v>299</v>
      </c>
      <c r="X1243" s="2" t="s">
        <v>2286</v>
      </c>
      <c r="Y1243" s="2" t="s">
        <v>5886</v>
      </c>
      <c r="Z1243" s="4">
        <v>152</v>
      </c>
      <c r="AA1243" s="4">
        <f>=ROUNDDOWN(25.3333333333333,0)</f>
      </c>
      <c r="AB1243" s="5">
        <v>6</v>
      </c>
      <c r="AC1243" s="2" t="s">
        <v>477</v>
      </c>
      <c r="AD1243" s="4">
        <v>60</v>
      </c>
      <c r="AE1243" s="4">
        <v>130</v>
      </c>
      <c r="AF1243" s="6">
        <v>64</v>
      </c>
      <c r="AG1243" s="6"/>
      <c r="AH1243" s="7">
        <v>1</v>
      </c>
      <c r="AI1243" s="4"/>
      <c r="AJ1243" s="4">
        <f>=ROUNDDOWN({0},0)</f>
      </c>
      <c r="AK1243" s="5"/>
      <c r="AL1243" s="2" t="s">
        <v>231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231</v>
      </c>
      <c r="AW1243" s="8" t="s">
        <v>231</v>
      </c>
      <c r="AX1243" s="4" t="s">
        <v>231</v>
      </c>
      <c r="AY1243" s="8" t="s">
        <v>231</v>
      </c>
      <c r="AZ1243" s="7" t="s">
        <v>231</v>
      </c>
      <c r="BA1243" s="7" t="s">
        <v>231</v>
      </c>
      <c r="BB1243" s="7"/>
      <c r="BC1243" s="4" t="s">
        <v>231</v>
      </c>
      <c r="BD1243" s="8" t="s">
        <v>231</v>
      </c>
      <c r="BE1243" s="4" t="s">
        <v>231</v>
      </c>
      <c r="BF1243" s="8" t="s">
        <v>231</v>
      </c>
      <c r="BG1243" s="7" t="s">
        <v>231</v>
      </c>
      <c r="BH1243" s="7" t="s">
        <v>231</v>
      </c>
      <c r="BI1243" s="7"/>
      <c r="BJ1243" s="4">
        <v>10</v>
      </c>
      <c r="BK1243" s="8">
        <v>382.52</v>
      </c>
      <c r="BL1243" s="2" t="s">
        <v>443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5887</v>
      </c>
      <c r="BV1243" s="2" t="s">
        <v>231</v>
      </c>
      <c r="BW1243" s="2" t="s">
        <v>231</v>
      </c>
      <c r="BX1243" s="2" t="s">
        <v>241</v>
      </c>
      <c r="BY1243" s="2" t="s">
        <v>277</v>
      </c>
      <c r="BZ1243" s="2" t="s">
        <v>243</v>
      </c>
      <c r="CA1243" s="2" t="s">
        <v>4851</v>
      </c>
      <c r="CB1243" s="2" t="s">
        <v>5888</v>
      </c>
      <c r="CC1243" s="2" t="s">
        <v>244</v>
      </c>
      <c r="CD1243" s="2" t="s">
        <v>231</v>
      </c>
      <c r="CE1243" s="4">
        <v>152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>
        <v>60</v>
      </c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>
        <v>30</v>
      </c>
      <c r="ET1243" s="4"/>
      <c r="EU1243" s="4"/>
      <c r="EV1243" s="4"/>
      <c r="EW1243" s="4"/>
      <c r="EX1243" s="4"/>
      <c r="EY1243" s="4"/>
      <c r="EZ1243" s="4"/>
      <c r="FA1243" s="4"/>
      <c r="FB1243" s="4"/>
      <c r="FC1243" s="4">
        <v>40</v>
      </c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</row>
    <row r="1244">
      <c r="A1244" s="2" t="s">
        <v>5889</v>
      </c>
      <c r="B1244" s="2" t="s">
        <v>824</v>
      </c>
      <c r="C1244" s="2" t="s">
        <v>825</v>
      </c>
      <c r="D1244" s="2" t="s">
        <v>826</v>
      </c>
      <c r="E1244" s="2" t="s">
        <v>827</v>
      </c>
      <c r="F1244" s="2" t="s">
        <v>5877</v>
      </c>
      <c r="G1244" s="2" t="s">
        <v>5878</v>
      </c>
      <c r="H1244" s="2" t="s">
        <v>5879</v>
      </c>
      <c r="I1244" s="2" t="s">
        <v>5880</v>
      </c>
      <c r="J1244" s="2" t="s">
        <v>832</v>
      </c>
      <c r="K1244" s="2" t="s">
        <v>269</v>
      </c>
      <c r="L1244" s="3">
        <v>27.6</v>
      </c>
      <c r="M1244" s="3">
        <v>28.98</v>
      </c>
      <c r="N1244" s="3">
        <v>59.99</v>
      </c>
      <c r="O1244" s="2" t="s">
        <v>243</v>
      </c>
      <c r="P1244" s="2" t="s">
        <v>270</v>
      </c>
      <c r="Q1244" s="2" t="s">
        <v>237</v>
      </c>
      <c r="R1244" s="2" t="s">
        <v>231</v>
      </c>
      <c r="S1244" s="2" t="s">
        <v>5890</v>
      </c>
      <c r="T1244" s="2" t="s">
        <v>3671</v>
      </c>
      <c r="U1244" s="2" t="s">
        <v>835</v>
      </c>
      <c r="V1244" s="2" t="s">
        <v>239</v>
      </c>
      <c r="W1244" s="2" t="s">
        <v>299</v>
      </c>
      <c r="X1244" s="2" t="s">
        <v>2286</v>
      </c>
      <c r="Y1244" s="2" t="s">
        <v>918</v>
      </c>
      <c r="Z1244" s="4">
        <v>131</v>
      </c>
      <c r="AA1244" s="4">
        <f>=ROUNDDOWN(43.6666666666667,0)</f>
      </c>
      <c r="AB1244" s="5">
        <v>3</v>
      </c>
      <c r="AC1244" s="2" t="s">
        <v>1537</v>
      </c>
      <c r="AD1244" s="4">
        <v>50</v>
      </c>
      <c r="AE1244" s="4">
        <v>50</v>
      </c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231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231</v>
      </c>
      <c r="AW1244" s="8" t="s">
        <v>231</v>
      </c>
      <c r="AX1244" s="4" t="s">
        <v>231</v>
      </c>
      <c r="AY1244" s="8" t="s">
        <v>231</v>
      </c>
      <c r="AZ1244" s="7" t="s">
        <v>231</v>
      </c>
      <c r="BA1244" s="7" t="s">
        <v>231</v>
      </c>
      <c r="BB1244" s="7"/>
      <c r="BC1244" s="4" t="s">
        <v>231</v>
      </c>
      <c r="BD1244" s="8" t="s">
        <v>231</v>
      </c>
      <c r="BE1244" s="4" t="s">
        <v>231</v>
      </c>
      <c r="BF1244" s="8" t="s">
        <v>231</v>
      </c>
      <c r="BG1244" s="7" t="s">
        <v>231</v>
      </c>
      <c r="BH1244" s="7" t="s">
        <v>231</v>
      </c>
      <c r="BI1244" s="7"/>
      <c r="BJ1244" s="4"/>
      <c r="BK1244" s="8"/>
      <c r="BL1244" s="2" t="s">
        <v>2565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5891</v>
      </c>
      <c r="BV1244" s="2" t="s">
        <v>231</v>
      </c>
      <c r="BW1244" s="2" t="s">
        <v>231</v>
      </c>
      <c r="BX1244" s="2" t="s">
        <v>241</v>
      </c>
      <c r="BY1244" s="2" t="s">
        <v>277</v>
      </c>
      <c r="BZ1244" s="2" t="s">
        <v>243</v>
      </c>
      <c r="CA1244" s="2" t="s">
        <v>5892</v>
      </c>
      <c r="CB1244" s="2" t="s">
        <v>3445</v>
      </c>
      <c r="CC1244" s="2" t="s">
        <v>244</v>
      </c>
      <c r="CD1244" s="2" t="s">
        <v>231</v>
      </c>
      <c r="CE1244" s="4">
        <v>131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>
        <v>50</v>
      </c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</row>
    <row r="1245">
      <c r="A1245" s="2" t="s">
        <v>5893</v>
      </c>
      <c r="B1245" s="2" t="s">
        <v>824</v>
      </c>
      <c r="C1245" s="2" t="s">
        <v>825</v>
      </c>
      <c r="D1245" s="2" t="s">
        <v>826</v>
      </c>
      <c r="E1245" s="2" t="s">
        <v>827</v>
      </c>
      <c r="F1245" s="2" t="s">
        <v>5877</v>
      </c>
      <c r="G1245" s="2" t="s">
        <v>5878</v>
      </c>
      <c r="H1245" s="2" t="s">
        <v>5879</v>
      </c>
      <c r="I1245" s="2" t="s">
        <v>5880</v>
      </c>
      <c r="J1245" s="2" t="s">
        <v>658</v>
      </c>
      <c r="K1245" s="2" t="s">
        <v>269</v>
      </c>
      <c r="L1245" s="3">
        <v>33.6</v>
      </c>
      <c r="M1245" s="3">
        <v>35.28</v>
      </c>
      <c r="N1245" s="3">
        <v>69.99</v>
      </c>
      <c r="O1245" s="2" t="s">
        <v>243</v>
      </c>
      <c r="P1245" s="2" t="s">
        <v>270</v>
      </c>
      <c r="Q1245" s="2" t="s">
        <v>237</v>
      </c>
      <c r="R1245" s="2" t="s">
        <v>231</v>
      </c>
      <c r="S1245" s="2" t="s">
        <v>5890</v>
      </c>
      <c r="T1245" s="2" t="s">
        <v>3671</v>
      </c>
      <c r="U1245" s="2" t="s">
        <v>298</v>
      </c>
      <c r="V1245" s="2" t="s">
        <v>239</v>
      </c>
      <c r="W1245" s="2" t="s">
        <v>299</v>
      </c>
      <c r="X1245" s="2" t="s">
        <v>2286</v>
      </c>
      <c r="Y1245" s="2" t="s">
        <v>918</v>
      </c>
      <c r="Z1245" s="4">
        <v>108</v>
      </c>
      <c r="AA1245" s="4">
        <f>=ROUNDDOWN(27,0)</f>
      </c>
      <c r="AB1245" s="5">
        <v>4</v>
      </c>
      <c r="AC1245" s="2" t="s">
        <v>1537</v>
      </c>
      <c r="AD1245" s="4">
        <v>110</v>
      </c>
      <c r="AE1245" s="4">
        <v>110</v>
      </c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231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231</v>
      </c>
      <c r="AW1245" s="8" t="s">
        <v>231</v>
      </c>
      <c r="AX1245" s="4" t="s">
        <v>231</v>
      </c>
      <c r="AY1245" s="8" t="s">
        <v>231</v>
      </c>
      <c r="AZ1245" s="7" t="s">
        <v>231</v>
      </c>
      <c r="BA1245" s="7" t="s">
        <v>231</v>
      </c>
      <c r="BB1245" s="7"/>
      <c r="BC1245" s="4" t="s">
        <v>231</v>
      </c>
      <c r="BD1245" s="8" t="s">
        <v>231</v>
      </c>
      <c r="BE1245" s="4" t="s">
        <v>231</v>
      </c>
      <c r="BF1245" s="8" t="s">
        <v>231</v>
      </c>
      <c r="BG1245" s="7" t="s">
        <v>231</v>
      </c>
      <c r="BH1245" s="7" t="s">
        <v>231</v>
      </c>
      <c r="BI1245" s="7"/>
      <c r="BJ1245" s="4">
        <v>5</v>
      </c>
      <c r="BK1245" s="8">
        <v>172.91</v>
      </c>
      <c r="BL1245" s="2" t="s">
        <v>5894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5895</v>
      </c>
      <c r="BV1245" s="2" t="s">
        <v>231</v>
      </c>
      <c r="BW1245" s="2" t="s">
        <v>231</v>
      </c>
      <c r="BX1245" s="2" t="s">
        <v>241</v>
      </c>
      <c r="BY1245" s="2" t="s">
        <v>277</v>
      </c>
      <c r="BZ1245" s="2" t="s">
        <v>243</v>
      </c>
      <c r="CA1245" s="2" t="s">
        <v>5892</v>
      </c>
      <c r="CB1245" s="2" t="s">
        <v>821</v>
      </c>
      <c r="CC1245" s="2" t="s">
        <v>244</v>
      </c>
      <c r="CD1245" s="2" t="s">
        <v>231</v>
      </c>
      <c r="CE1245" s="4">
        <v>108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>
        <v>110</v>
      </c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</row>
    <row r="1246">
      <c r="A1246" s="2" t="s">
        <v>5896</v>
      </c>
      <c r="B1246" s="2" t="s">
        <v>824</v>
      </c>
      <c r="C1246" s="2" t="s">
        <v>825</v>
      </c>
      <c r="D1246" s="2" t="s">
        <v>826</v>
      </c>
      <c r="E1246" s="2" t="s">
        <v>827</v>
      </c>
      <c r="F1246" s="2" t="s">
        <v>5877</v>
      </c>
      <c r="G1246" s="2" t="s">
        <v>5878</v>
      </c>
      <c r="H1246" s="2" t="s">
        <v>5879</v>
      </c>
      <c r="I1246" s="2" t="s">
        <v>5880</v>
      </c>
      <c r="J1246" s="2" t="s">
        <v>832</v>
      </c>
      <c r="K1246" s="2" t="s">
        <v>486</v>
      </c>
      <c r="L1246" s="3">
        <v>27.6</v>
      </c>
      <c r="M1246" s="3">
        <v>28.98</v>
      </c>
      <c r="N1246" s="3">
        <v>59.99</v>
      </c>
      <c r="O1246" s="2" t="s">
        <v>243</v>
      </c>
      <c r="P1246" s="2" t="s">
        <v>871</v>
      </c>
      <c r="Q1246" s="2" t="s">
        <v>237</v>
      </c>
      <c r="R1246" s="2" t="s">
        <v>231</v>
      </c>
      <c r="S1246" s="2" t="s">
        <v>5897</v>
      </c>
      <c r="T1246" s="2" t="s">
        <v>3671</v>
      </c>
      <c r="U1246" s="2" t="s">
        <v>835</v>
      </c>
      <c r="V1246" s="2" t="s">
        <v>239</v>
      </c>
      <c r="W1246" s="2" t="s">
        <v>299</v>
      </c>
      <c r="X1246" s="2" t="s">
        <v>2286</v>
      </c>
      <c r="Y1246" s="2" t="s">
        <v>5898</v>
      </c>
      <c r="Z1246" s="4">
        <v>121</v>
      </c>
      <c r="AA1246" s="4">
        <f>=ROUNDDOWN(11,0)</f>
      </c>
      <c r="AB1246" s="5">
        <v>11</v>
      </c>
      <c r="AC1246" s="2" t="s">
        <v>5899</v>
      </c>
      <c r="AD1246" s="4">
        <v>100</v>
      </c>
      <c r="AE1246" s="4">
        <v>540</v>
      </c>
      <c r="AF1246" s="6">
        <v>64</v>
      </c>
      <c r="AG1246" s="6">
        <v>47</v>
      </c>
      <c r="AH1246" s="7">
        <v>1</v>
      </c>
      <c r="AI1246" s="4"/>
      <c r="AJ1246" s="4">
        <f>=ROUNDDOWN({0},0)</f>
      </c>
      <c r="AK1246" s="5"/>
      <c r="AL1246" s="2" t="s">
        <v>231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231</v>
      </c>
      <c r="BD1246" s="8" t="s">
        <v>231</v>
      </c>
      <c r="BE1246" s="4" t="s">
        <v>231</v>
      </c>
      <c r="BF1246" s="8" t="s">
        <v>231</v>
      </c>
      <c r="BG1246" s="7" t="s">
        <v>231</v>
      </c>
      <c r="BH1246" s="7" t="s">
        <v>231</v>
      </c>
      <c r="BI1246" s="7"/>
      <c r="BJ1246" s="4">
        <v>27</v>
      </c>
      <c r="BK1246" s="8">
        <v>803.07</v>
      </c>
      <c r="BL1246" s="2" t="s">
        <v>5900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5901</v>
      </c>
      <c r="BV1246" s="2" t="s">
        <v>231</v>
      </c>
      <c r="BW1246" s="2" t="s">
        <v>231</v>
      </c>
      <c r="BX1246" s="2" t="s">
        <v>231</v>
      </c>
      <c r="BY1246" s="2" t="s">
        <v>277</v>
      </c>
      <c r="BZ1246" s="2" t="s">
        <v>243</v>
      </c>
      <c r="CA1246" s="2" t="s">
        <v>5902</v>
      </c>
      <c r="CB1246" s="2" t="s">
        <v>5903</v>
      </c>
      <c r="CC1246" s="2" t="s">
        <v>244</v>
      </c>
      <c r="CD1246" s="2" t="s">
        <v>231</v>
      </c>
      <c r="CE1246" s="4">
        <v>21</v>
      </c>
      <c r="CF1246" s="4"/>
      <c r="CG1246" s="4"/>
      <c r="CH1246" s="4"/>
      <c r="CI1246" s="4">
        <v>100</v>
      </c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>
        <v>100</v>
      </c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>
        <v>100</v>
      </c>
      <c r="EC1246" s="4"/>
      <c r="ED1246" s="4"/>
      <c r="EE1246" s="4"/>
      <c r="EF1246" s="4"/>
      <c r="EG1246" s="4"/>
      <c r="EH1246" s="4"/>
      <c r="EI1246" s="4"/>
      <c r="EJ1246" s="4"/>
      <c r="EK1246" s="4">
        <v>50</v>
      </c>
      <c r="EL1246" s="4"/>
      <c r="EM1246" s="4"/>
      <c r="EN1246" s="4"/>
      <c r="EO1246" s="4"/>
      <c r="EP1246" s="4"/>
      <c r="EQ1246" s="4"/>
      <c r="ER1246" s="4">
        <v>50</v>
      </c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>
        <v>150</v>
      </c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>
        <v>90</v>
      </c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</row>
    <row r="1247">
      <c r="A1247" s="2" t="s">
        <v>5904</v>
      </c>
      <c r="B1247" s="2" t="s">
        <v>824</v>
      </c>
      <c r="C1247" s="2" t="s">
        <v>825</v>
      </c>
      <c r="D1247" s="2" t="s">
        <v>654</v>
      </c>
      <c r="E1247" s="2" t="s">
        <v>655</v>
      </c>
      <c r="F1247" s="2" t="s">
        <v>5877</v>
      </c>
      <c r="G1247" s="2" t="s">
        <v>5878</v>
      </c>
      <c r="H1247" s="2" t="s">
        <v>5879</v>
      </c>
      <c r="I1247" s="2" t="s">
        <v>5905</v>
      </c>
      <c r="J1247" s="2" t="s">
        <v>832</v>
      </c>
      <c r="K1247" s="2" t="s">
        <v>2081</v>
      </c>
      <c r="L1247" s="3">
        <v>31.05</v>
      </c>
      <c r="M1247" s="3">
        <v>32.6</v>
      </c>
      <c r="N1247" s="3">
        <v>59.99</v>
      </c>
      <c r="O1247" s="2" t="s">
        <v>243</v>
      </c>
      <c r="P1247" s="2" t="s">
        <v>270</v>
      </c>
      <c r="Q1247" s="2" t="s">
        <v>237</v>
      </c>
      <c r="R1247" s="2" t="s">
        <v>231</v>
      </c>
      <c r="S1247" s="2" t="s">
        <v>5906</v>
      </c>
      <c r="T1247" s="2" t="s">
        <v>3671</v>
      </c>
      <c r="U1247" s="2" t="s">
        <v>835</v>
      </c>
      <c r="V1247" s="2" t="s">
        <v>239</v>
      </c>
      <c r="W1247" s="2" t="s">
        <v>299</v>
      </c>
      <c r="X1247" s="2" t="s">
        <v>2286</v>
      </c>
      <c r="Y1247" s="2" t="s">
        <v>231</v>
      </c>
      <c r="Z1247" s="4"/>
      <c r="AA1247" s="4">
        <f>=ROUNDDOWN({0},0)</f>
      </c>
      <c r="AB1247" s="5"/>
      <c r="AC1247" s="2" t="s">
        <v>1128</v>
      </c>
      <c r="AD1247" s="4">
        <v>80</v>
      </c>
      <c r="AE1247" s="4">
        <v>160</v>
      </c>
      <c r="AF1247" s="6">
        <v>65</v>
      </c>
      <c r="AG1247" s="6"/>
      <c r="AH1247" s="7">
        <v>0</v>
      </c>
      <c r="AI1247" s="4"/>
      <c r="AJ1247" s="4">
        <f>=ROUNDDOWN({0},0)</f>
      </c>
      <c r="AK1247" s="5"/>
      <c r="AL1247" s="2" t="s">
        <v>231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231</v>
      </c>
      <c r="AW1247" s="8" t="s">
        <v>231</v>
      </c>
      <c r="AX1247" s="4" t="s">
        <v>231</v>
      </c>
      <c r="AY1247" s="8" t="s">
        <v>231</v>
      </c>
      <c r="AZ1247" s="7" t="s">
        <v>231</v>
      </c>
      <c r="BA1247" s="7" t="s">
        <v>231</v>
      </c>
      <c r="BB1247" s="7" t="s">
        <v>231</v>
      </c>
      <c r="BC1247" s="4" t="s">
        <v>231</v>
      </c>
      <c r="BD1247" s="8" t="s">
        <v>231</v>
      </c>
      <c r="BE1247" s="4" t="s">
        <v>231</v>
      </c>
      <c r="BF1247" s="8" t="s">
        <v>231</v>
      </c>
      <c r="BG1247" s="7" t="s">
        <v>231</v>
      </c>
      <c r="BH1247" s="7" t="s">
        <v>231</v>
      </c>
      <c r="BI1247" s="7"/>
      <c r="BJ1247" s="4"/>
      <c r="BK1247" s="8"/>
      <c r="BL1247" s="2" t="s">
        <v>231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241</v>
      </c>
      <c r="BV1247" s="2" t="s">
        <v>231</v>
      </c>
      <c r="BW1247" s="2" t="s">
        <v>231</v>
      </c>
      <c r="BX1247" s="2" t="s">
        <v>312</v>
      </c>
      <c r="BY1247" s="2" t="s">
        <v>242</v>
      </c>
      <c r="BZ1247" s="2" t="s">
        <v>243</v>
      </c>
      <c r="CA1247" s="2" t="s">
        <v>231</v>
      </c>
      <c r="CB1247" s="2" t="s">
        <v>231</v>
      </c>
      <c r="CC1247" s="2" t="s">
        <v>244</v>
      </c>
      <c r="CD1247" s="2" t="s">
        <v>231</v>
      </c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>
        <v>80</v>
      </c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>
        <v>80</v>
      </c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</row>
    <row r="1248">
      <c r="A1248" s="2" t="s">
        <v>5907</v>
      </c>
      <c r="B1248" s="2" t="s">
        <v>824</v>
      </c>
      <c r="C1248" s="2" t="s">
        <v>825</v>
      </c>
      <c r="D1248" s="2" t="s">
        <v>826</v>
      </c>
      <c r="E1248" s="2" t="s">
        <v>827</v>
      </c>
      <c r="F1248" s="2" t="s">
        <v>5877</v>
      </c>
      <c r="G1248" s="2" t="s">
        <v>5878</v>
      </c>
      <c r="H1248" s="2" t="s">
        <v>5879</v>
      </c>
      <c r="I1248" s="2" t="s">
        <v>5880</v>
      </c>
      <c r="J1248" s="2" t="s">
        <v>832</v>
      </c>
      <c r="K1248" s="2" t="s">
        <v>2081</v>
      </c>
      <c r="L1248" s="3">
        <v>27.6</v>
      </c>
      <c r="M1248" s="3">
        <v>28.98</v>
      </c>
      <c r="N1248" s="3">
        <v>59.99</v>
      </c>
      <c r="O1248" s="2" t="s">
        <v>243</v>
      </c>
      <c r="P1248" s="2" t="s">
        <v>236</v>
      </c>
      <c r="Q1248" s="2" t="s">
        <v>237</v>
      </c>
      <c r="R1248" s="2" t="s">
        <v>231</v>
      </c>
      <c r="S1248" s="2" t="s">
        <v>5906</v>
      </c>
      <c r="T1248" s="2" t="s">
        <v>3671</v>
      </c>
      <c r="U1248" s="2" t="s">
        <v>835</v>
      </c>
      <c r="V1248" s="2" t="s">
        <v>239</v>
      </c>
      <c r="W1248" s="2" t="s">
        <v>299</v>
      </c>
      <c r="X1248" s="2" t="s">
        <v>2286</v>
      </c>
      <c r="Y1248" s="2" t="s">
        <v>231</v>
      </c>
      <c r="Z1248" s="4"/>
      <c r="AA1248" s="4">
        <f>=ROUNDDOWN({0},0)</f>
      </c>
      <c r="AB1248" s="5"/>
      <c r="AC1248" s="2" t="s">
        <v>1128</v>
      </c>
      <c r="AD1248" s="4">
        <v>25</v>
      </c>
      <c r="AE1248" s="4">
        <v>50</v>
      </c>
      <c r="AF1248" s="6">
        <v>65</v>
      </c>
      <c r="AG1248" s="6"/>
      <c r="AH1248" s="7">
        <v>0</v>
      </c>
      <c r="AI1248" s="4"/>
      <c r="AJ1248" s="4">
        <f>=ROUNDDOWN({0},0)</f>
      </c>
      <c r="AK1248" s="5"/>
      <c r="AL1248" s="2" t="s">
        <v>231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231</v>
      </c>
      <c r="AW1248" s="8" t="s">
        <v>231</v>
      </c>
      <c r="AX1248" s="4" t="s">
        <v>231</v>
      </c>
      <c r="AY1248" s="8" t="s">
        <v>231</v>
      </c>
      <c r="AZ1248" s="7" t="s">
        <v>231</v>
      </c>
      <c r="BA1248" s="7" t="s">
        <v>231</v>
      </c>
      <c r="BB1248" s="7" t="s">
        <v>231</v>
      </c>
      <c r="BC1248" s="4" t="s">
        <v>231</v>
      </c>
      <c r="BD1248" s="8" t="s">
        <v>231</v>
      </c>
      <c r="BE1248" s="4" t="s">
        <v>231</v>
      </c>
      <c r="BF1248" s="8" t="s">
        <v>231</v>
      </c>
      <c r="BG1248" s="7" t="s">
        <v>231</v>
      </c>
      <c r="BH1248" s="7" t="s">
        <v>231</v>
      </c>
      <c r="BI1248" s="7"/>
      <c r="BJ1248" s="4"/>
      <c r="BK1248" s="8"/>
      <c r="BL1248" s="2" t="s">
        <v>231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241</v>
      </c>
      <c r="BV1248" s="2" t="s">
        <v>231</v>
      </c>
      <c r="BW1248" s="2" t="s">
        <v>231</v>
      </c>
      <c r="BX1248" s="2" t="s">
        <v>241</v>
      </c>
      <c r="BY1248" s="2" t="s">
        <v>242</v>
      </c>
      <c r="BZ1248" s="2" t="s">
        <v>243</v>
      </c>
      <c r="CA1248" s="2" t="s">
        <v>231</v>
      </c>
      <c r="CB1248" s="2" t="s">
        <v>231</v>
      </c>
      <c r="CC1248" s="2" t="s">
        <v>244</v>
      </c>
      <c r="CD1248" s="2" t="s">
        <v>231</v>
      </c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>
        <v>25</v>
      </c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>
        <v>25</v>
      </c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</row>
    <row r="1249">
      <c r="A1249" s="2" t="s">
        <v>5908</v>
      </c>
      <c r="B1249" s="2" t="s">
        <v>824</v>
      </c>
      <c r="C1249" s="2" t="s">
        <v>825</v>
      </c>
      <c r="D1249" s="2" t="s">
        <v>654</v>
      </c>
      <c r="E1249" s="2" t="s">
        <v>655</v>
      </c>
      <c r="F1249" s="2" t="s">
        <v>5877</v>
      </c>
      <c r="G1249" s="2" t="s">
        <v>5878</v>
      </c>
      <c r="H1249" s="2" t="s">
        <v>5879</v>
      </c>
      <c r="I1249" s="2" t="s">
        <v>5905</v>
      </c>
      <c r="J1249" s="2" t="s">
        <v>658</v>
      </c>
      <c r="K1249" s="2" t="s">
        <v>2081</v>
      </c>
      <c r="L1249" s="3">
        <v>36.72</v>
      </c>
      <c r="M1249" s="3">
        <v>38.56</v>
      </c>
      <c r="N1249" s="3">
        <v>69.99</v>
      </c>
      <c r="O1249" s="2" t="s">
        <v>243</v>
      </c>
      <c r="P1249" s="2" t="s">
        <v>270</v>
      </c>
      <c r="Q1249" s="2" t="s">
        <v>237</v>
      </c>
      <c r="R1249" s="2" t="s">
        <v>231</v>
      </c>
      <c r="S1249" s="2" t="s">
        <v>5906</v>
      </c>
      <c r="T1249" s="2" t="s">
        <v>3671</v>
      </c>
      <c r="U1249" s="2" t="s">
        <v>298</v>
      </c>
      <c r="V1249" s="2" t="s">
        <v>239</v>
      </c>
      <c r="W1249" s="2" t="s">
        <v>299</v>
      </c>
      <c r="X1249" s="2" t="s">
        <v>2286</v>
      </c>
      <c r="Y1249" s="2" t="s">
        <v>231</v>
      </c>
      <c r="Z1249" s="4"/>
      <c r="AA1249" s="4">
        <f>=ROUNDDOWN({0},0)</f>
      </c>
      <c r="AB1249" s="5"/>
      <c r="AC1249" s="2" t="s">
        <v>1128</v>
      </c>
      <c r="AD1249" s="4">
        <v>235</v>
      </c>
      <c r="AE1249" s="4">
        <v>470</v>
      </c>
      <c r="AF1249" s="6">
        <v>65</v>
      </c>
      <c r="AG1249" s="6"/>
      <c r="AH1249" s="7">
        <v>0</v>
      </c>
      <c r="AI1249" s="4"/>
      <c r="AJ1249" s="4">
        <f>=ROUNDDOWN({0},0)</f>
      </c>
      <c r="AK1249" s="5"/>
      <c r="AL1249" s="2" t="s">
        <v>231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231</v>
      </c>
      <c r="AW1249" s="8" t="s">
        <v>231</v>
      </c>
      <c r="AX1249" s="4" t="s">
        <v>231</v>
      </c>
      <c r="AY1249" s="8" t="s">
        <v>231</v>
      </c>
      <c r="AZ1249" s="7" t="s">
        <v>231</v>
      </c>
      <c r="BA1249" s="7" t="s">
        <v>231</v>
      </c>
      <c r="BB1249" s="7" t="s">
        <v>231</v>
      </c>
      <c r="BC1249" s="4" t="s">
        <v>231</v>
      </c>
      <c r="BD1249" s="8" t="s">
        <v>231</v>
      </c>
      <c r="BE1249" s="4" t="s">
        <v>231</v>
      </c>
      <c r="BF1249" s="8" t="s">
        <v>231</v>
      </c>
      <c r="BG1249" s="7" t="s">
        <v>231</v>
      </c>
      <c r="BH1249" s="7" t="s">
        <v>231</v>
      </c>
      <c r="BI1249" s="7"/>
      <c r="BJ1249" s="4"/>
      <c r="BK1249" s="8"/>
      <c r="BL1249" s="2" t="s">
        <v>231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241</v>
      </c>
      <c r="BV1249" s="2" t="s">
        <v>231</v>
      </c>
      <c r="BW1249" s="2" t="s">
        <v>231</v>
      </c>
      <c r="BX1249" s="2" t="s">
        <v>312</v>
      </c>
      <c r="BY1249" s="2" t="s">
        <v>242</v>
      </c>
      <c r="BZ1249" s="2" t="s">
        <v>243</v>
      </c>
      <c r="CA1249" s="2" t="s">
        <v>231</v>
      </c>
      <c r="CB1249" s="2" t="s">
        <v>231</v>
      </c>
      <c r="CC1249" s="2" t="s">
        <v>244</v>
      </c>
      <c r="CD1249" s="2" t="s">
        <v>231</v>
      </c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>
        <v>235</v>
      </c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>
        <v>235</v>
      </c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</row>
    <row r="1250">
      <c r="A1250" s="2" t="s">
        <v>5909</v>
      </c>
      <c r="B1250" s="2" t="s">
        <v>824</v>
      </c>
      <c r="C1250" s="2" t="s">
        <v>825</v>
      </c>
      <c r="D1250" s="2" t="s">
        <v>826</v>
      </c>
      <c r="E1250" s="2" t="s">
        <v>827</v>
      </c>
      <c r="F1250" s="2" t="s">
        <v>5877</v>
      </c>
      <c r="G1250" s="2" t="s">
        <v>5878</v>
      </c>
      <c r="H1250" s="2" t="s">
        <v>5879</v>
      </c>
      <c r="I1250" s="2" t="s">
        <v>5880</v>
      </c>
      <c r="J1250" s="2" t="s">
        <v>658</v>
      </c>
      <c r="K1250" s="2" t="s">
        <v>2081</v>
      </c>
      <c r="L1250" s="3">
        <v>33.6</v>
      </c>
      <c r="M1250" s="3">
        <v>35.28</v>
      </c>
      <c r="N1250" s="3">
        <v>69.99</v>
      </c>
      <c r="O1250" s="2" t="s">
        <v>243</v>
      </c>
      <c r="P1250" s="2" t="s">
        <v>236</v>
      </c>
      <c r="Q1250" s="2" t="s">
        <v>237</v>
      </c>
      <c r="R1250" s="2" t="s">
        <v>231</v>
      </c>
      <c r="S1250" s="2" t="s">
        <v>5906</v>
      </c>
      <c r="T1250" s="2" t="s">
        <v>3671</v>
      </c>
      <c r="U1250" s="2" t="s">
        <v>298</v>
      </c>
      <c r="V1250" s="2" t="s">
        <v>239</v>
      </c>
      <c r="W1250" s="2" t="s">
        <v>299</v>
      </c>
      <c r="X1250" s="2" t="s">
        <v>2286</v>
      </c>
      <c r="Y1250" s="2" t="s">
        <v>231</v>
      </c>
      <c r="Z1250" s="4"/>
      <c r="AA1250" s="4">
        <f>=ROUNDDOWN({0},0)</f>
      </c>
      <c r="AB1250" s="5"/>
      <c r="AC1250" s="2" t="s">
        <v>1128</v>
      </c>
      <c r="AD1250" s="4">
        <v>75</v>
      </c>
      <c r="AE1250" s="4">
        <v>84</v>
      </c>
      <c r="AF1250" s="6">
        <v>65</v>
      </c>
      <c r="AG1250" s="6"/>
      <c r="AH1250" s="7">
        <v>0</v>
      </c>
      <c r="AI1250" s="4"/>
      <c r="AJ1250" s="4">
        <f>=ROUNDDOWN({0},0)</f>
      </c>
      <c r="AK1250" s="5"/>
      <c r="AL1250" s="2" t="s">
        <v>231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231</v>
      </c>
      <c r="AW1250" s="8" t="s">
        <v>231</v>
      </c>
      <c r="AX1250" s="4" t="s">
        <v>231</v>
      </c>
      <c r="AY1250" s="8" t="s">
        <v>231</v>
      </c>
      <c r="AZ1250" s="7" t="s">
        <v>231</v>
      </c>
      <c r="BA1250" s="7" t="s">
        <v>231</v>
      </c>
      <c r="BB1250" s="7" t="s">
        <v>231</v>
      </c>
      <c r="BC1250" s="4" t="s">
        <v>231</v>
      </c>
      <c r="BD1250" s="8" t="s">
        <v>231</v>
      </c>
      <c r="BE1250" s="4" t="s">
        <v>231</v>
      </c>
      <c r="BF1250" s="8" t="s">
        <v>231</v>
      </c>
      <c r="BG1250" s="7" t="s">
        <v>231</v>
      </c>
      <c r="BH1250" s="7" t="s">
        <v>231</v>
      </c>
      <c r="BI1250" s="7"/>
      <c r="BJ1250" s="4"/>
      <c r="BK1250" s="8"/>
      <c r="BL1250" s="2" t="s">
        <v>231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241</v>
      </c>
      <c r="BV1250" s="2" t="s">
        <v>231</v>
      </c>
      <c r="BW1250" s="2" t="s">
        <v>231</v>
      </c>
      <c r="BX1250" s="2" t="s">
        <v>241</v>
      </c>
      <c r="BY1250" s="2" t="s">
        <v>242</v>
      </c>
      <c r="BZ1250" s="2" t="s">
        <v>243</v>
      </c>
      <c r="CA1250" s="2" t="s">
        <v>231</v>
      </c>
      <c r="CB1250" s="2" t="s">
        <v>231</v>
      </c>
      <c r="CC1250" s="2" t="s">
        <v>244</v>
      </c>
      <c r="CD1250" s="2" t="s">
        <v>231</v>
      </c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>
        <v>75</v>
      </c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>
        <v>9</v>
      </c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</row>
    <row r="1251">
      <c r="A1251" s="2" t="s">
        <v>5910</v>
      </c>
      <c r="B1251" s="2" t="s">
        <v>824</v>
      </c>
      <c r="C1251" s="2" t="s">
        <v>825</v>
      </c>
      <c r="D1251" s="2" t="s">
        <v>654</v>
      </c>
      <c r="E1251" s="2" t="s">
        <v>655</v>
      </c>
      <c r="F1251" s="2" t="s">
        <v>5877</v>
      </c>
      <c r="G1251" s="2" t="s">
        <v>5878</v>
      </c>
      <c r="H1251" s="2" t="s">
        <v>5879</v>
      </c>
      <c r="I1251" s="2" t="s">
        <v>5905</v>
      </c>
      <c r="J1251" s="2" t="s">
        <v>669</v>
      </c>
      <c r="K1251" s="2" t="s">
        <v>2081</v>
      </c>
      <c r="L1251" s="3">
        <v>40.5</v>
      </c>
      <c r="M1251" s="3">
        <v>42.52</v>
      </c>
      <c r="N1251" s="3">
        <v>79.99</v>
      </c>
      <c r="O1251" s="2" t="s">
        <v>243</v>
      </c>
      <c r="P1251" s="2" t="s">
        <v>270</v>
      </c>
      <c r="Q1251" s="2" t="s">
        <v>237</v>
      </c>
      <c r="R1251" s="2" t="s">
        <v>231</v>
      </c>
      <c r="S1251" s="2" t="s">
        <v>5906</v>
      </c>
      <c r="T1251" s="2" t="s">
        <v>3671</v>
      </c>
      <c r="U1251" s="2" t="s">
        <v>298</v>
      </c>
      <c r="V1251" s="2" t="s">
        <v>239</v>
      </c>
      <c r="W1251" s="2" t="s">
        <v>299</v>
      </c>
      <c r="X1251" s="2" t="s">
        <v>2286</v>
      </c>
      <c r="Y1251" s="2" t="s">
        <v>231</v>
      </c>
      <c r="Z1251" s="4"/>
      <c r="AA1251" s="4">
        <f>=ROUNDDOWN({0},0)</f>
      </c>
      <c r="AB1251" s="5"/>
      <c r="AC1251" s="2" t="s">
        <v>1128</v>
      </c>
      <c r="AD1251" s="4">
        <v>160</v>
      </c>
      <c r="AE1251" s="4">
        <v>320</v>
      </c>
      <c r="AF1251" s="6">
        <v>65</v>
      </c>
      <c r="AG1251" s="6"/>
      <c r="AH1251" s="7">
        <v>0</v>
      </c>
      <c r="AI1251" s="4"/>
      <c r="AJ1251" s="4">
        <f>=ROUNDDOWN({0},0)</f>
      </c>
      <c r="AK1251" s="5"/>
      <c r="AL1251" s="2" t="s">
        <v>231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231</v>
      </c>
      <c r="AW1251" s="8" t="s">
        <v>231</v>
      </c>
      <c r="AX1251" s="4" t="s">
        <v>231</v>
      </c>
      <c r="AY1251" s="8" t="s">
        <v>231</v>
      </c>
      <c r="AZ1251" s="7" t="s">
        <v>231</v>
      </c>
      <c r="BA1251" s="7" t="s">
        <v>231</v>
      </c>
      <c r="BB1251" s="7" t="s">
        <v>231</v>
      </c>
      <c r="BC1251" s="4" t="s">
        <v>231</v>
      </c>
      <c r="BD1251" s="8" t="s">
        <v>231</v>
      </c>
      <c r="BE1251" s="4" t="s">
        <v>231</v>
      </c>
      <c r="BF1251" s="8" t="s">
        <v>231</v>
      </c>
      <c r="BG1251" s="7" t="s">
        <v>231</v>
      </c>
      <c r="BH1251" s="7" t="s">
        <v>231</v>
      </c>
      <c r="BI1251" s="7"/>
      <c r="BJ1251" s="4"/>
      <c r="BK1251" s="8"/>
      <c r="BL1251" s="2" t="s">
        <v>231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241</v>
      </c>
      <c r="BV1251" s="2" t="s">
        <v>231</v>
      </c>
      <c r="BW1251" s="2" t="s">
        <v>231</v>
      </c>
      <c r="BX1251" s="2" t="s">
        <v>312</v>
      </c>
      <c r="BY1251" s="2" t="s">
        <v>242</v>
      </c>
      <c r="BZ1251" s="2" t="s">
        <v>243</v>
      </c>
      <c r="CA1251" s="2" t="s">
        <v>231</v>
      </c>
      <c r="CB1251" s="2" t="s">
        <v>231</v>
      </c>
      <c r="CC1251" s="2" t="s">
        <v>244</v>
      </c>
      <c r="CD1251" s="2" t="s">
        <v>231</v>
      </c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>
        <v>160</v>
      </c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>
        <v>160</v>
      </c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</row>
    <row r="1252">
      <c r="A1252" s="2" t="s">
        <v>5911</v>
      </c>
      <c r="B1252" s="2" t="s">
        <v>824</v>
      </c>
      <c r="C1252" s="2" t="s">
        <v>825</v>
      </c>
      <c r="D1252" s="2" t="s">
        <v>826</v>
      </c>
      <c r="E1252" s="2" t="s">
        <v>827</v>
      </c>
      <c r="F1252" s="2" t="s">
        <v>5877</v>
      </c>
      <c r="G1252" s="2" t="s">
        <v>5878</v>
      </c>
      <c r="H1252" s="2" t="s">
        <v>5879</v>
      </c>
      <c r="I1252" s="2" t="s">
        <v>5880</v>
      </c>
      <c r="J1252" s="2" t="s">
        <v>669</v>
      </c>
      <c r="K1252" s="2" t="s">
        <v>2081</v>
      </c>
      <c r="L1252" s="3">
        <v>36.75</v>
      </c>
      <c r="M1252" s="3">
        <v>38.59</v>
      </c>
      <c r="N1252" s="3">
        <v>74.99</v>
      </c>
      <c r="O1252" s="2" t="s">
        <v>243</v>
      </c>
      <c r="P1252" s="2" t="s">
        <v>236</v>
      </c>
      <c r="Q1252" s="2" t="s">
        <v>237</v>
      </c>
      <c r="R1252" s="2" t="s">
        <v>231</v>
      </c>
      <c r="S1252" s="2" t="s">
        <v>5906</v>
      </c>
      <c r="T1252" s="2" t="s">
        <v>3671</v>
      </c>
      <c r="U1252" s="2" t="s">
        <v>298</v>
      </c>
      <c r="V1252" s="2" t="s">
        <v>239</v>
      </c>
      <c r="W1252" s="2" t="s">
        <v>299</v>
      </c>
      <c r="X1252" s="2" t="s">
        <v>2286</v>
      </c>
      <c r="Y1252" s="2" t="s">
        <v>231</v>
      </c>
      <c r="Z1252" s="4"/>
      <c r="AA1252" s="4">
        <f>=ROUNDDOWN({0},0)</f>
      </c>
      <c r="AB1252" s="5"/>
      <c r="AC1252" s="2" t="s">
        <v>1128</v>
      </c>
      <c r="AD1252" s="4">
        <v>40</v>
      </c>
      <c r="AE1252" s="4">
        <v>40</v>
      </c>
      <c r="AF1252" s="6">
        <v>65</v>
      </c>
      <c r="AG1252" s="6"/>
      <c r="AH1252" s="7">
        <v>0</v>
      </c>
      <c r="AI1252" s="4"/>
      <c r="AJ1252" s="4">
        <f>=ROUNDDOWN({0},0)</f>
      </c>
      <c r="AK1252" s="5"/>
      <c r="AL1252" s="2" t="s">
        <v>231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231</v>
      </c>
      <c r="AW1252" s="8" t="s">
        <v>231</v>
      </c>
      <c r="AX1252" s="4" t="s">
        <v>231</v>
      </c>
      <c r="AY1252" s="8" t="s">
        <v>231</v>
      </c>
      <c r="AZ1252" s="7" t="s">
        <v>231</v>
      </c>
      <c r="BA1252" s="7" t="s">
        <v>231</v>
      </c>
      <c r="BB1252" s="7" t="s">
        <v>231</v>
      </c>
      <c r="BC1252" s="4" t="s">
        <v>231</v>
      </c>
      <c r="BD1252" s="8" t="s">
        <v>231</v>
      </c>
      <c r="BE1252" s="4" t="s">
        <v>231</v>
      </c>
      <c r="BF1252" s="8" t="s">
        <v>231</v>
      </c>
      <c r="BG1252" s="7" t="s">
        <v>231</v>
      </c>
      <c r="BH1252" s="7" t="s">
        <v>231</v>
      </c>
      <c r="BI1252" s="7"/>
      <c r="BJ1252" s="4"/>
      <c r="BK1252" s="8"/>
      <c r="BL1252" s="2" t="s">
        <v>231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241</v>
      </c>
      <c r="BV1252" s="2" t="s">
        <v>231</v>
      </c>
      <c r="BW1252" s="2" t="s">
        <v>231</v>
      </c>
      <c r="BX1252" s="2" t="s">
        <v>241</v>
      </c>
      <c r="BY1252" s="2" t="s">
        <v>242</v>
      </c>
      <c r="BZ1252" s="2" t="s">
        <v>243</v>
      </c>
      <c r="CA1252" s="2" t="s">
        <v>231</v>
      </c>
      <c r="CB1252" s="2" t="s">
        <v>231</v>
      </c>
      <c r="CC1252" s="2" t="s">
        <v>244</v>
      </c>
      <c r="CD1252" s="2" t="s">
        <v>231</v>
      </c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>
        <v>40</v>
      </c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</row>
    <row r="1253">
      <c r="A1253" s="2" t="s">
        <v>5912</v>
      </c>
      <c r="B1253" s="2" t="s">
        <v>824</v>
      </c>
      <c r="C1253" s="2" t="s">
        <v>825</v>
      </c>
      <c r="D1253" s="2" t="s">
        <v>654</v>
      </c>
      <c r="E1253" s="2" t="s">
        <v>655</v>
      </c>
      <c r="F1253" s="2" t="s">
        <v>5877</v>
      </c>
      <c r="G1253" s="2" t="s">
        <v>5878</v>
      </c>
      <c r="H1253" s="2" t="s">
        <v>5879</v>
      </c>
      <c r="I1253" s="2" t="s">
        <v>5905</v>
      </c>
      <c r="J1253" s="2" t="s">
        <v>832</v>
      </c>
      <c r="K1253" s="2" t="s">
        <v>1491</v>
      </c>
      <c r="L1253" s="3">
        <v>31.05</v>
      </c>
      <c r="M1253" s="3">
        <v>32.6</v>
      </c>
      <c r="N1253" s="3">
        <v>59.99</v>
      </c>
      <c r="O1253" s="2" t="s">
        <v>243</v>
      </c>
      <c r="P1253" s="2" t="s">
        <v>270</v>
      </c>
      <c r="Q1253" s="2" t="s">
        <v>237</v>
      </c>
      <c r="R1253" s="2" t="s">
        <v>231</v>
      </c>
      <c r="S1253" s="2" t="s">
        <v>5913</v>
      </c>
      <c r="T1253" s="2" t="s">
        <v>3671</v>
      </c>
      <c r="U1253" s="2" t="s">
        <v>835</v>
      </c>
      <c r="V1253" s="2" t="s">
        <v>239</v>
      </c>
      <c r="W1253" s="2" t="s">
        <v>299</v>
      </c>
      <c r="X1253" s="2" t="s">
        <v>2286</v>
      </c>
      <c r="Y1253" s="2" t="s">
        <v>231</v>
      </c>
      <c r="Z1253" s="4"/>
      <c r="AA1253" s="4">
        <f>=ROUNDDOWN({0},0)</f>
      </c>
      <c r="AB1253" s="5"/>
      <c r="AC1253" s="2" t="s">
        <v>1128</v>
      </c>
      <c r="AD1253" s="4">
        <v>75</v>
      </c>
      <c r="AE1253" s="4">
        <v>150</v>
      </c>
      <c r="AF1253" s="6">
        <v>65</v>
      </c>
      <c r="AG1253" s="6"/>
      <c r="AH1253" s="7">
        <v>0</v>
      </c>
      <c r="AI1253" s="4"/>
      <c r="AJ1253" s="4">
        <f>=ROUNDDOWN({0},0)</f>
      </c>
      <c r="AK1253" s="5"/>
      <c r="AL1253" s="2" t="s">
        <v>231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231</v>
      </c>
      <c r="AW1253" s="8" t="s">
        <v>231</v>
      </c>
      <c r="AX1253" s="4" t="s">
        <v>231</v>
      </c>
      <c r="AY1253" s="8" t="s">
        <v>231</v>
      </c>
      <c r="AZ1253" s="7" t="s">
        <v>231</v>
      </c>
      <c r="BA1253" s="7" t="s">
        <v>231</v>
      </c>
      <c r="BB1253" s="7" t="s">
        <v>231</v>
      </c>
      <c r="BC1253" s="4" t="s">
        <v>231</v>
      </c>
      <c r="BD1253" s="8" t="s">
        <v>231</v>
      </c>
      <c r="BE1253" s="4" t="s">
        <v>231</v>
      </c>
      <c r="BF1253" s="8" t="s">
        <v>231</v>
      </c>
      <c r="BG1253" s="7" t="s">
        <v>231</v>
      </c>
      <c r="BH1253" s="7" t="s">
        <v>231</v>
      </c>
      <c r="BI1253" s="7"/>
      <c r="BJ1253" s="4"/>
      <c r="BK1253" s="8"/>
      <c r="BL1253" s="2" t="s">
        <v>231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241</v>
      </c>
      <c r="BV1253" s="2" t="s">
        <v>231</v>
      </c>
      <c r="BW1253" s="2" t="s">
        <v>231</v>
      </c>
      <c r="BX1253" s="2" t="s">
        <v>312</v>
      </c>
      <c r="BY1253" s="2" t="s">
        <v>242</v>
      </c>
      <c r="BZ1253" s="2" t="s">
        <v>243</v>
      </c>
      <c r="CA1253" s="2" t="s">
        <v>231</v>
      </c>
      <c r="CB1253" s="2" t="s">
        <v>231</v>
      </c>
      <c r="CC1253" s="2" t="s">
        <v>244</v>
      </c>
      <c r="CD1253" s="2" t="s">
        <v>231</v>
      </c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>
        <v>75</v>
      </c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>
        <v>75</v>
      </c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</row>
    <row r="1254">
      <c r="A1254" s="2" t="s">
        <v>5914</v>
      </c>
      <c r="B1254" s="2" t="s">
        <v>824</v>
      </c>
      <c r="C1254" s="2" t="s">
        <v>825</v>
      </c>
      <c r="D1254" s="2" t="s">
        <v>826</v>
      </c>
      <c r="E1254" s="2" t="s">
        <v>827</v>
      </c>
      <c r="F1254" s="2" t="s">
        <v>5877</v>
      </c>
      <c r="G1254" s="2" t="s">
        <v>5878</v>
      </c>
      <c r="H1254" s="2" t="s">
        <v>5879</v>
      </c>
      <c r="I1254" s="2" t="s">
        <v>5880</v>
      </c>
      <c r="J1254" s="2" t="s">
        <v>832</v>
      </c>
      <c r="K1254" s="2" t="s">
        <v>1491</v>
      </c>
      <c r="L1254" s="3">
        <v>27.6</v>
      </c>
      <c r="M1254" s="3">
        <v>28.98</v>
      </c>
      <c r="N1254" s="3">
        <v>59.99</v>
      </c>
      <c r="O1254" s="2" t="s">
        <v>243</v>
      </c>
      <c r="P1254" s="2" t="s">
        <v>236</v>
      </c>
      <c r="Q1254" s="2" t="s">
        <v>237</v>
      </c>
      <c r="R1254" s="2" t="s">
        <v>231</v>
      </c>
      <c r="S1254" s="2" t="s">
        <v>5913</v>
      </c>
      <c r="T1254" s="2" t="s">
        <v>3671</v>
      </c>
      <c r="U1254" s="2" t="s">
        <v>835</v>
      </c>
      <c r="V1254" s="2" t="s">
        <v>239</v>
      </c>
      <c r="W1254" s="2" t="s">
        <v>299</v>
      </c>
      <c r="X1254" s="2" t="s">
        <v>2286</v>
      </c>
      <c r="Y1254" s="2" t="s">
        <v>231</v>
      </c>
      <c r="Z1254" s="4"/>
      <c r="AA1254" s="4">
        <f>=ROUNDDOWN({0},0)</f>
      </c>
      <c r="AB1254" s="5"/>
      <c r="AC1254" s="2" t="s">
        <v>1128</v>
      </c>
      <c r="AD1254" s="4">
        <v>40</v>
      </c>
      <c r="AE1254" s="4">
        <v>40</v>
      </c>
      <c r="AF1254" s="6">
        <v>65</v>
      </c>
      <c r="AG1254" s="6"/>
      <c r="AH1254" s="7">
        <v>0</v>
      </c>
      <c r="AI1254" s="4"/>
      <c r="AJ1254" s="4">
        <f>=ROUNDDOWN({0},0)</f>
      </c>
      <c r="AK1254" s="5"/>
      <c r="AL1254" s="2" t="s">
        <v>231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231</v>
      </c>
      <c r="AW1254" s="8" t="s">
        <v>231</v>
      </c>
      <c r="AX1254" s="4" t="s">
        <v>231</v>
      </c>
      <c r="AY1254" s="8" t="s">
        <v>231</v>
      </c>
      <c r="AZ1254" s="7" t="s">
        <v>231</v>
      </c>
      <c r="BA1254" s="7" t="s">
        <v>231</v>
      </c>
      <c r="BB1254" s="7" t="s">
        <v>231</v>
      </c>
      <c r="BC1254" s="4" t="s">
        <v>231</v>
      </c>
      <c r="BD1254" s="8" t="s">
        <v>231</v>
      </c>
      <c r="BE1254" s="4" t="s">
        <v>231</v>
      </c>
      <c r="BF1254" s="8" t="s">
        <v>231</v>
      </c>
      <c r="BG1254" s="7" t="s">
        <v>231</v>
      </c>
      <c r="BH1254" s="7" t="s">
        <v>231</v>
      </c>
      <c r="BI1254" s="7"/>
      <c r="BJ1254" s="4"/>
      <c r="BK1254" s="8"/>
      <c r="BL1254" s="2" t="s">
        <v>231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241</v>
      </c>
      <c r="BV1254" s="2" t="s">
        <v>231</v>
      </c>
      <c r="BW1254" s="2" t="s">
        <v>231</v>
      </c>
      <c r="BX1254" s="2" t="s">
        <v>241</v>
      </c>
      <c r="BY1254" s="2" t="s">
        <v>242</v>
      </c>
      <c r="BZ1254" s="2" t="s">
        <v>243</v>
      </c>
      <c r="CA1254" s="2" t="s">
        <v>231</v>
      </c>
      <c r="CB1254" s="2" t="s">
        <v>231</v>
      </c>
      <c r="CC1254" s="2" t="s">
        <v>244</v>
      </c>
      <c r="CD1254" s="2" t="s">
        <v>231</v>
      </c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>
        <v>40</v>
      </c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</row>
    <row r="1255">
      <c r="A1255" s="2" t="s">
        <v>5915</v>
      </c>
      <c r="B1255" s="2" t="s">
        <v>824</v>
      </c>
      <c r="C1255" s="2" t="s">
        <v>825</v>
      </c>
      <c r="D1255" s="2" t="s">
        <v>654</v>
      </c>
      <c r="E1255" s="2" t="s">
        <v>655</v>
      </c>
      <c r="F1255" s="2" t="s">
        <v>5877</v>
      </c>
      <c r="G1255" s="2" t="s">
        <v>5878</v>
      </c>
      <c r="H1255" s="2" t="s">
        <v>5879</v>
      </c>
      <c r="I1255" s="2" t="s">
        <v>5905</v>
      </c>
      <c r="J1255" s="2" t="s">
        <v>658</v>
      </c>
      <c r="K1255" s="2" t="s">
        <v>1491</v>
      </c>
      <c r="L1255" s="3">
        <v>36.72</v>
      </c>
      <c r="M1255" s="3">
        <v>38.56</v>
      </c>
      <c r="N1255" s="3">
        <v>69.99</v>
      </c>
      <c r="O1255" s="2" t="s">
        <v>243</v>
      </c>
      <c r="P1255" s="2" t="s">
        <v>270</v>
      </c>
      <c r="Q1255" s="2" t="s">
        <v>237</v>
      </c>
      <c r="R1255" s="2" t="s">
        <v>231</v>
      </c>
      <c r="S1255" s="2" t="s">
        <v>5913</v>
      </c>
      <c r="T1255" s="2" t="s">
        <v>3671</v>
      </c>
      <c r="U1255" s="2" t="s">
        <v>298</v>
      </c>
      <c r="V1255" s="2" t="s">
        <v>239</v>
      </c>
      <c r="W1255" s="2" t="s">
        <v>299</v>
      </c>
      <c r="X1255" s="2" t="s">
        <v>2286</v>
      </c>
      <c r="Y1255" s="2" t="s">
        <v>231</v>
      </c>
      <c r="Z1255" s="4"/>
      <c r="AA1255" s="4">
        <f>=ROUNDDOWN({0},0)</f>
      </c>
      <c r="AB1255" s="5"/>
      <c r="AC1255" s="2" t="s">
        <v>1128</v>
      </c>
      <c r="AD1255" s="4">
        <v>170</v>
      </c>
      <c r="AE1255" s="4">
        <v>340</v>
      </c>
      <c r="AF1255" s="6">
        <v>65</v>
      </c>
      <c r="AG1255" s="6"/>
      <c r="AH1255" s="7">
        <v>0</v>
      </c>
      <c r="AI1255" s="4"/>
      <c r="AJ1255" s="4">
        <f>=ROUNDDOWN({0},0)</f>
      </c>
      <c r="AK1255" s="5"/>
      <c r="AL1255" s="2" t="s">
        <v>231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231</v>
      </c>
      <c r="AW1255" s="8" t="s">
        <v>231</v>
      </c>
      <c r="AX1255" s="4" t="s">
        <v>231</v>
      </c>
      <c r="AY1255" s="8" t="s">
        <v>231</v>
      </c>
      <c r="AZ1255" s="7" t="s">
        <v>231</v>
      </c>
      <c r="BA1255" s="7" t="s">
        <v>231</v>
      </c>
      <c r="BB1255" s="7" t="s">
        <v>231</v>
      </c>
      <c r="BC1255" s="4" t="s">
        <v>231</v>
      </c>
      <c r="BD1255" s="8" t="s">
        <v>231</v>
      </c>
      <c r="BE1255" s="4" t="s">
        <v>231</v>
      </c>
      <c r="BF1255" s="8" t="s">
        <v>231</v>
      </c>
      <c r="BG1255" s="7" t="s">
        <v>231</v>
      </c>
      <c r="BH1255" s="7" t="s">
        <v>231</v>
      </c>
      <c r="BI1255" s="7"/>
      <c r="BJ1255" s="4"/>
      <c r="BK1255" s="8"/>
      <c r="BL1255" s="2" t="s">
        <v>231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241</v>
      </c>
      <c r="BV1255" s="2" t="s">
        <v>231</v>
      </c>
      <c r="BW1255" s="2" t="s">
        <v>231</v>
      </c>
      <c r="BX1255" s="2" t="s">
        <v>312</v>
      </c>
      <c r="BY1255" s="2" t="s">
        <v>242</v>
      </c>
      <c r="BZ1255" s="2" t="s">
        <v>243</v>
      </c>
      <c r="CA1255" s="2" t="s">
        <v>231</v>
      </c>
      <c r="CB1255" s="2" t="s">
        <v>231</v>
      </c>
      <c r="CC1255" s="2" t="s">
        <v>244</v>
      </c>
      <c r="CD1255" s="2" t="s">
        <v>231</v>
      </c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>
        <v>170</v>
      </c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>
        <v>170</v>
      </c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</row>
    <row r="1256">
      <c r="A1256" s="2" t="s">
        <v>5916</v>
      </c>
      <c r="B1256" s="2" t="s">
        <v>824</v>
      </c>
      <c r="C1256" s="2" t="s">
        <v>825</v>
      </c>
      <c r="D1256" s="2" t="s">
        <v>826</v>
      </c>
      <c r="E1256" s="2" t="s">
        <v>827</v>
      </c>
      <c r="F1256" s="2" t="s">
        <v>5877</v>
      </c>
      <c r="G1256" s="2" t="s">
        <v>5878</v>
      </c>
      <c r="H1256" s="2" t="s">
        <v>5879</v>
      </c>
      <c r="I1256" s="2" t="s">
        <v>5880</v>
      </c>
      <c r="J1256" s="2" t="s">
        <v>658</v>
      </c>
      <c r="K1256" s="2" t="s">
        <v>1491</v>
      </c>
      <c r="L1256" s="3">
        <v>33.6</v>
      </c>
      <c r="M1256" s="3">
        <v>35.28</v>
      </c>
      <c r="N1256" s="3">
        <v>69.99</v>
      </c>
      <c r="O1256" s="2" t="s">
        <v>243</v>
      </c>
      <c r="P1256" s="2" t="s">
        <v>236</v>
      </c>
      <c r="Q1256" s="2" t="s">
        <v>237</v>
      </c>
      <c r="R1256" s="2" t="s">
        <v>231</v>
      </c>
      <c r="S1256" s="2" t="s">
        <v>5913</v>
      </c>
      <c r="T1256" s="2" t="s">
        <v>3671</v>
      </c>
      <c r="U1256" s="2" t="s">
        <v>298</v>
      </c>
      <c r="V1256" s="2" t="s">
        <v>239</v>
      </c>
      <c r="W1256" s="2" t="s">
        <v>299</v>
      </c>
      <c r="X1256" s="2" t="s">
        <v>2286</v>
      </c>
      <c r="Y1256" s="2" t="s">
        <v>231</v>
      </c>
      <c r="Z1256" s="4"/>
      <c r="AA1256" s="4">
        <f>=ROUNDDOWN({0},0)</f>
      </c>
      <c r="AB1256" s="5"/>
      <c r="AC1256" s="2" t="s">
        <v>1128</v>
      </c>
      <c r="AD1256" s="4">
        <v>50</v>
      </c>
      <c r="AE1256" s="4">
        <v>50</v>
      </c>
      <c r="AF1256" s="6">
        <v>65</v>
      </c>
      <c r="AG1256" s="6"/>
      <c r="AH1256" s="7">
        <v>0</v>
      </c>
      <c r="AI1256" s="4"/>
      <c r="AJ1256" s="4">
        <f>=ROUNDDOWN({0},0)</f>
      </c>
      <c r="AK1256" s="5"/>
      <c r="AL1256" s="2" t="s">
        <v>231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231</v>
      </c>
      <c r="AW1256" s="8" t="s">
        <v>231</v>
      </c>
      <c r="AX1256" s="4" t="s">
        <v>231</v>
      </c>
      <c r="AY1256" s="8" t="s">
        <v>231</v>
      </c>
      <c r="AZ1256" s="7" t="s">
        <v>231</v>
      </c>
      <c r="BA1256" s="7" t="s">
        <v>231</v>
      </c>
      <c r="BB1256" s="7" t="s">
        <v>231</v>
      </c>
      <c r="BC1256" s="4" t="s">
        <v>231</v>
      </c>
      <c r="BD1256" s="8" t="s">
        <v>231</v>
      </c>
      <c r="BE1256" s="4" t="s">
        <v>231</v>
      </c>
      <c r="BF1256" s="8" t="s">
        <v>231</v>
      </c>
      <c r="BG1256" s="7" t="s">
        <v>231</v>
      </c>
      <c r="BH1256" s="7" t="s">
        <v>231</v>
      </c>
      <c r="BI1256" s="7"/>
      <c r="BJ1256" s="4"/>
      <c r="BK1256" s="8"/>
      <c r="BL1256" s="2" t="s">
        <v>231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241</v>
      </c>
      <c r="BV1256" s="2" t="s">
        <v>231</v>
      </c>
      <c r="BW1256" s="2" t="s">
        <v>231</v>
      </c>
      <c r="BX1256" s="2" t="s">
        <v>241</v>
      </c>
      <c r="BY1256" s="2" t="s">
        <v>242</v>
      </c>
      <c r="BZ1256" s="2" t="s">
        <v>243</v>
      </c>
      <c r="CA1256" s="2" t="s">
        <v>231</v>
      </c>
      <c r="CB1256" s="2" t="s">
        <v>231</v>
      </c>
      <c r="CC1256" s="2" t="s">
        <v>244</v>
      </c>
      <c r="CD1256" s="2" t="s">
        <v>231</v>
      </c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>
        <v>50</v>
      </c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</row>
    <row r="1257">
      <c r="A1257" s="2" t="s">
        <v>5917</v>
      </c>
      <c r="B1257" s="2" t="s">
        <v>824</v>
      </c>
      <c r="C1257" s="2" t="s">
        <v>825</v>
      </c>
      <c r="D1257" s="2" t="s">
        <v>654</v>
      </c>
      <c r="E1257" s="2" t="s">
        <v>655</v>
      </c>
      <c r="F1257" s="2" t="s">
        <v>5877</v>
      </c>
      <c r="G1257" s="2" t="s">
        <v>5878</v>
      </c>
      <c r="H1257" s="2" t="s">
        <v>5879</v>
      </c>
      <c r="I1257" s="2" t="s">
        <v>5905</v>
      </c>
      <c r="J1257" s="2" t="s">
        <v>669</v>
      </c>
      <c r="K1257" s="2" t="s">
        <v>1491</v>
      </c>
      <c r="L1257" s="3">
        <v>40.5</v>
      </c>
      <c r="M1257" s="3">
        <v>42.52</v>
      </c>
      <c r="N1257" s="3">
        <v>79.99</v>
      </c>
      <c r="O1257" s="2" t="s">
        <v>243</v>
      </c>
      <c r="P1257" s="2" t="s">
        <v>270</v>
      </c>
      <c r="Q1257" s="2" t="s">
        <v>237</v>
      </c>
      <c r="R1257" s="2" t="s">
        <v>231</v>
      </c>
      <c r="S1257" s="2" t="s">
        <v>5913</v>
      </c>
      <c r="T1257" s="2" t="s">
        <v>3671</v>
      </c>
      <c r="U1257" s="2" t="s">
        <v>298</v>
      </c>
      <c r="V1257" s="2" t="s">
        <v>239</v>
      </c>
      <c r="W1257" s="2" t="s">
        <v>299</v>
      </c>
      <c r="X1257" s="2" t="s">
        <v>2286</v>
      </c>
      <c r="Y1257" s="2" t="s">
        <v>231</v>
      </c>
      <c r="Z1257" s="4"/>
      <c r="AA1257" s="4">
        <f>=ROUNDDOWN({0},0)</f>
      </c>
      <c r="AB1257" s="5"/>
      <c r="AC1257" s="2" t="s">
        <v>1128</v>
      </c>
      <c r="AD1257" s="4">
        <v>135</v>
      </c>
      <c r="AE1257" s="4">
        <v>270</v>
      </c>
      <c r="AF1257" s="6">
        <v>65</v>
      </c>
      <c r="AG1257" s="6"/>
      <c r="AH1257" s="7">
        <v>0</v>
      </c>
      <c r="AI1257" s="4"/>
      <c r="AJ1257" s="4">
        <f>=ROUNDDOWN({0},0)</f>
      </c>
      <c r="AK1257" s="5"/>
      <c r="AL1257" s="2" t="s">
        <v>231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231</v>
      </c>
      <c r="AW1257" s="8" t="s">
        <v>231</v>
      </c>
      <c r="AX1257" s="4" t="s">
        <v>231</v>
      </c>
      <c r="AY1257" s="8" t="s">
        <v>231</v>
      </c>
      <c r="AZ1257" s="7" t="s">
        <v>231</v>
      </c>
      <c r="BA1257" s="7" t="s">
        <v>231</v>
      </c>
      <c r="BB1257" s="7" t="s">
        <v>231</v>
      </c>
      <c r="BC1257" s="4" t="s">
        <v>231</v>
      </c>
      <c r="BD1257" s="8" t="s">
        <v>231</v>
      </c>
      <c r="BE1257" s="4" t="s">
        <v>231</v>
      </c>
      <c r="BF1257" s="8" t="s">
        <v>231</v>
      </c>
      <c r="BG1257" s="7" t="s">
        <v>231</v>
      </c>
      <c r="BH1257" s="7" t="s">
        <v>231</v>
      </c>
      <c r="BI1257" s="7"/>
      <c r="BJ1257" s="4"/>
      <c r="BK1257" s="8"/>
      <c r="BL1257" s="2" t="s">
        <v>231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241</v>
      </c>
      <c r="BV1257" s="2" t="s">
        <v>231</v>
      </c>
      <c r="BW1257" s="2" t="s">
        <v>231</v>
      </c>
      <c r="BX1257" s="2" t="s">
        <v>312</v>
      </c>
      <c r="BY1257" s="2" t="s">
        <v>242</v>
      </c>
      <c r="BZ1257" s="2" t="s">
        <v>243</v>
      </c>
      <c r="CA1257" s="2" t="s">
        <v>231</v>
      </c>
      <c r="CB1257" s="2" t="s">
        <v>231</v>
      </c>
      <c r="CC1257" s="2" t="s">
        <v>244</v>
      </c>
      <c r="CD1257" s="2" t="s">
        <v>231</v>
      </c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>
        <v>135</v>
      </c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>
        <v>135</v>
      </c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</row>
    <row r="1258">
      <c r="A1258" s="2" t="s">
        <v>5918</v>
      </c>
      <c r="B1258" s="2" t="s">
        <v>824</v>
      </c>
      <c r="C1258" s="2" t="s">
        <v>825</v>
      </c>
      <c r="D1258" s="2" t="s">
        <v>826</v>
      </c>
      <c r="E1258" s="2" t="s">
        <v>827</v>
      </c>
      <c r="F1258" s="2" t="s">
        <v>5877</v>
      </c>
      <c r="G1258" s="2" t="s">
        <v>5878</v>
      </c>
      <c r="H1258" s="2" t="s">
        <v>5879</v>
      </c>
      <c r="I1258" s="2" t="s">
        <v>5880</v>
      </c>
      <c r="J1258" s="2" t="s">
        <v>669</v>
      </c>
      <c r="K1258" s="2" t="s">
        <v>1491</v>
      </c>
      <c r="L1258" s="3">
        <v>36.75</v>
      </c>
      <c r="M1258" s="3">
        <v>38.59</v>
      </c>
      <c r="N1258" s="3">
        <v>74.99</v>
      </c>
      <c r="O1258" s="2" t="s">
        <v>243</v>
      </c>
      <c r="P1258" s="2" t="s">
        <v>236</v>
      </c>
      <c r="Q1258" s="2" t="s">
        <v>237</v>
      </c>
      <c r="R1258" s="2" t="s">
        <v>231</v>
      </c>
      <c r="S1258" s="2" t="s">
        <v>5913</v>
      </c>
      <c r="T1258" s="2" t="s">
        <v>3671</v>
      </c>
      <c r="U1258" s="2" t="s">
        <v>298</v>
      </c>
      <c r="V1258" s="2" t="s">
        <v>239</v>
      </c>
      <c r="W1258" s="2" t="s">
        <v>299</v>
      </c>
      <c r="X1258" s="2" t="s">
        <v>2286</v>
      </c>
      <c r="Y1258" s="2" t="s">
        <v>231</v>
      </c>
      <c r="Z1258" s="4"/>
      <c r="AA1258" s="4">
        <f>=ROUNDDOWN({0},0)</f>
      </c>
      <c r="AB1258" s="5"/>
      <c r="AC1258" s="2" t="s">
        <v>1128</v>
      </c>
      <c r="AD1258" s="4">
        <v>25</v>
      </c>
      <c r="AE1258" s="4">
        <v>25</v>
      </c>
      <c r="AF1258" s="6">
        <v>65</v>
      </c>
      <c r="AG1258" s="6"/>
      <c r="AH1258" s="7">
        <v>0</v>
      </c>
      <c r="AI1258" s="4"/>
      <c r="AJ1258" s="4">
        <f>=ROUNDDOWN({0},0)</f>
      </c>
      <c r="AK1258" s="5"/>
      <c r="AL1258" s="2" t="s">
        <v>231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231</v>
      </c>
      <c r="AW1258" s="8" t="s">
        <v>231</v>
      </c>
      <c r="AX1258" s="4" t="s">
        <v>231</v>
      </c>
      <c r="AY1258" s="8" t="s">
        <v>231</v>
      </c>
      <c r="AZ1258" s="7" t="s">
        <v>231</v>
      </c>
      <c r="BA1258" s="7" t="s">
        <v>231</v>
      </c>
      <c r="BB1258" s="7" t="s">
        <v>231</v>
      </c>
      <c r="BC1258" s="4" t="s">
        <v>231</v>
      </c>
      <c r="BD1258" s="8" t="s">
        <v>231</v>
      </c>
      <c r="BE1258" s="4" t="s">
        <v>231</v>
      </c>
      <c r="BF1258" s="8" t="s">
        <v>231</v>
      </c>
      <c r="BG1258" s="7" t="s">
        <v>231</v>
      </c>
      <c r="BH1258" s="7" t="s">
        <v>231</v>
      </c>
      <c r="BI1258" s="7"/>
      <c r="BJ1258" s="4"/>
      <c r="BK1258" s="8"/>
      <c r="BL1258" s="2" t="s">
        <v>231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241</v>
      </c>
      <c r="BV1258" s="2" t="s">
        <v>231</v>
      </c>
      <c r="BW1258" s="2" t="s">
        <v>231</v>
      </c>
      <c r="BX1258" s="2" t="s">
        <v>241</v>
      </c>
      <c r="BY1258" s="2" t="s">
        <v>242</v>
      </c>
      <c r="BZ1258" s="2" t="s">
        <v>243</v>
      </c>
      <c r="CA1258" s="2" t="s">
        <v>231</v>
      </c>
      <c r="CB1258" s="2" t="s">
        <v>231</v>
      </c>
      <c r="CC1258" s="2" t="s">
        <v>244</v>
      </c>
      <c r="CD1258" s="2" t="s">
        <v>231</v>
      </c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>
        <v>25</v>
      </c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</row>
    <row r="1259">
      <c r="A1259" s="2" t="s">
        <v>5919</v>
      </c>
      <c r="B1259" s="2" t="s">
        <v>824</v>
      </c>
      <c r="C1259" s="2" t="s">
        <v>825</v>
      </c>
      <c r="D1259" s="2" t="s">
        <v>654</v>
      </c>
      <c r="E1259" s="2" t="s">
        <v>655</v>
      </c>
      <c r="F1259" s="2" t="s">
        <v>5877</v>
      </c>
      <c r="G1259" s="2" t="s">
        <v>5878</v>
      </c>
      <c r="H1259" s="2" t="s">
        <v>5879</v>
      </c>
      <c r="I1259" s="2" t="s">
        <v>5905</v>
      </c>
      <c r="J1259" s="2" t="s">
        <v>832</v>
      </c>
      <c r="K1259" s="2" t="s">
        <v>253</v>
      </c>
      <c r="L1259" s="3">
        <v>31.05</v>
      </c>
      <c r="M1259" s="3">
        <v>32.6</v>
      </c>
      <c r="N1259" s="3">
        <v>59.99</v>
      </c>
      <c r="O1259" s="2" t="s">
        <v>243</v>
      </c>
      <c r="P1259" s="2" t="s">
        <v>871</v>
      </c>
      <c r="Q1259" s="2" t="s">
        <v>237</v>
      </c>
      <c r="R1259" s="2" t="s">
        <v>231</v>
      </c>
      <c r="S1259" s="2" t="s">
        <v>5920</v>
      </c>
      <c r="T1259" s="2" t="s">
        <v>3671</v>
      </c>
      <c r="U1259" s="2" t="s">
        <v>835</v>
      </c>
      <c r="V1259" s="2" t="s">
        <v>239</v>
      </c>
      <c r="W1259" s="2" t="s">
        <v>299</v>
      </c>
      <c r="X1259" s="2" t="s">
        <v>2286</v>
      </c>
      <c r="Y1259" s="2" t="s">
        <v>4735</v>
      </c>
      <c r="Z1259" s="4">
        <v>136</v>
      </c>
      <c r="AA1259" s="4">
        <f>=ROUNDDOWN(13.6,0)</f>
      </c>
      <c r="AB1259" s="5">
        <v>10</v>
      </c>
      <c r="AC1259" s="2" t="s">
        <v>3693</v>
      </c>
      <c r="AD1259" s="4">
        <v>100</v>
      </c>
      <c r="AE1259" s="4">
        <v>430</v>
      </c>
      <c r="AF1259" s="6">
        <v>64</v>
      </c>
      <c r="AG1259" s="6"/>
      <c r="AH1259" s="7">
        <v>1</v>
      </c>
      <c r="AI1259" s="4"/>
      <c r="AJ1259" s="4">
        <f>=ROUNDDOWN({0},0)</f>
      </c>
      <c r="AK1259" s="5"/>
      <c r="AL1259" s="2" t="s">
        <v>231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231</v>
      </c>
      <c r="AW1259" s="8" t="s">
        <v>231</v>
      </c>
      <c r="AX1259" s="4" t="s">
        <v>231</v>
      </c>
      <c r="AY1259" s="8" t="s">
        <v>231</v>
      </c>
      <c r="AZ1259" s="7" t="s">
        <v>231</v>
      </c>
      <c r="BA1259" s="7" t="s">
        <v>231</v>
      </c>
      <c r="BB1259" s="7" t="s">
        <v>231</v>
      </c>
      <c r="BC1259" s="4" t="s">
        <v>231</v>
      </c>
      <c r="BD1259" s="8" t="s">
        <v>231</v>
      </c>
      <c r="BE1259" s="4" t="s">
        <v>231</v>
      </c>
      <c r="BF1259" s="8" t="s">
        <v>231</v>
      </c>
      <c r="BG1259" s="7" t="s">
        <v>231</v>
      </c>
      <c r="BH1259" s="7" t="s">
        <v>231</v>
      </c>
      <c r="BI1259" s="7"/>
      <c r="BJ1259" s="4">
        <v>22</v>
      </c>
      <c r="BK1259" s="8">
        <v>729.95</v>
      </c>
      <c r="BL1259" s="2" t="s">
        <v>5921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5922</v>
      </c>
      <c r="BV1259" s="2" t="s">
        <v>231</v>
      </c>
      <c r="BW1259" s="2" t="s">
        <v>231</v>
      </c>
      <c r="BX1259" s="2" t="s">
        <v>312</v>
      </c>
      <c r="BY1259" s="2" t="s">
        <v>277</v>
      </c>
      <c r="BZ1259" s="2" t="s">
        <v>243</v>
      </c>
      <c r="CA1259" s="2" t="s">
        <v>5923</v>
      </c>
      <c r="CB1259" s="2" t="s">
        <v>2440</v>
      </c>
      <c r="CC1259" s="2" t="s">
        <v>244</v>
      </c>
      <c r="CD1259" s="2" t="s">
        <v>231</v>
      </c>
      <c r="CE1259" s="4">
        <v>136</v>
      </c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>
        <v>100</v>
      </c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>
        <v>330</v>
      </c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</row>
    <row r="1260">
      <c r="A1260" s="2" t="s">
        <v>5924</v>
      </c>
      <c r="B1260" s="2" t="s">
        <v>824</v>
      </c>
      <c r="C1260" s="2" t="s">
        <v>825</v>
      </c>
      <c r="D1260" s="2" t="s">
        <v>1462</v>
      </c>
      <c r="E1260" s="2" t="s">
        <v>1463</v>
      </c>
      <c r="F1260" s="2" t="s">
        <v>5877</v>
      </c>
      <c r="G1260" s="2" t="s">
        <v>5878</v>
      </c>
      <c r="H1260" s="2" t="s">
        <v>5879</v>
      </c>
      <c r="I1260" s="2" t="s">
        <v>5925</v>
      </c>
      <c r="J1260" s="2" t="s">
        <v>832</v>
      </c>
      <c r="K1260" s="2" t="s">
        <v>253</v>
      </c>
      <c r="L1260" s="3">
        <v>26.19</v>
      </c>
      <c r="M1260" s="3">
        <v>27.5</v>
      </c>
      <c r="N1260" s="3">
        <v>54.99</v>
      </c>
      <c r="O1260" s="2" t="s">
        <v>235</v>
      </c>
      <c r="P1260" s="2" t="s">
        <v>341</v>
      </c>
      <c r="Q1260" s="2" t="s">
        <v>237</v>
      </c>
      <c r="R1260" s="2" t="s">
        <v>231</v>
      </c>
      <c r="S1260" s="2" t="s">
        <v>5920</v>
      </c>
      <c r="T1260" s="2" t="s">
        <v>3671</v>
      </c>
      <c r="U1260" s="2" t="s">
        <v>791</v>
      </c>
      <c r="V1260" s="2" t="s">
        <v>239</v>
      </c>
      <c r="W1260" s="2" t="s">
        <v>299</v>
      </c>
      <c r="X1260" s="2" t="s">
        <v>2286</v>
      </c>
      <c r="Y1260" s="2" t="s">
        <v>5926</v>
      </c>
      <c r="Z1260" s="4">
        <v>97</v>
      </c>
      <c r="AA1260" s="4">
        <f>=ROUNDDOWN(97,0)</f>
      </c>
      <c r="AB1260" s="5">
        <v>1</v>
      </c>
      <c r="AC1260" s="2" t="s">
        <v>231</v>
      </c>
      <c r="AD1260" s="4"/>
      <c r="AE1260" s="4"/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231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231</v>
      </c>
      <c r="AW1260" s="8" t="s">
        <v>231</v>
      </c>
      <c r="AX1260" s="4" t="s">
        <v>231</v>
      </c>
      <c r="AY1260" s="8" t="s">
        <v>231</v>
      </c>
      <c r="AZ1260" s="7" t="s">
        <v>231</v>
      </c>
      <c r="BA1260" s="7" t="s">
        <v>231</v>
      </c>
      <c r="BB1260" s="7" t="s">
        <v>231</v>
      </c>
      <c r="BC1260" s="4" t="s">
        <v>231</v>
      </c>
      <c r="BD1260" s="8" t="s">
        <v>231</v>
      </c>
      <c r="BE1260" s="4" t="s">
        <v>231</v>
      </c>
      <c r="BF1260" s="8" t="s">
        <v>231</v>
      </c>
      <c r="BG1260" s="7" t="s">
        <v>231</v>
      </c>
      <c r="BH1260" s="7" t="s">
        <v>231</v>
      </c>
      <c r="BI1260" s="7"/>
      <c r="BJ1260" s="4">
        <v>6</v>
      </c>
      <c r="BK1260" s="8">
        <v>127.04</v>
      </c>
      <c r="BL1260" s="2" t="s">
        <v>5927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5928</v>
      </c>
      <c r="BV1260" s="2" t="s">
        <v>231</v>
      </c>
      <c r="BW1260" s="2" t="s">
        <v>231</v>
      </c>
      <c r="BX1260" s="2" t="s">
        <v>231</v>
      </c>
      <c r="BY1260" s="2" t="s">
        <v>277</v>
      </c>
      <c r="BZ1260" s="2" t="s">
        <v>243</v>
      </c>
      <c r="CA1260" s="2" t="s">
        <v>5929</v>
      </c>
      <c r="CB1260" s="2" t="s">
        <v>2515</v>
      </c>
      <c r="CC1260" s="2" t="s">
        <v>244</v>
      </c>
      <c r="CD1260" s="2" t="s">
        <v>231</v>
      </c>
      <c r="CE1260" s="4">
        <v>97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</row>
    <row r="1261">
      <c r="A1261" s="2" t="s">
        <v>5930</v>
      </c>
      <c r="B1261" s="2" t="s">
        <v>824</v>
      </c>
      <c r="C1261" s="2" t="s">
        <v>825</v>
      </c>
      <c r="D1261" s="2" t="s">
        <v>826</v>
      </c>
      <c r="E1261" s="2" t="s">
        <v>827</v>
      </c>
      <c r="F1261" s="2" t="s">
        <v>5877</v>
      </c>
      <c r="G1261" s="2" t="s">
        <v>5878</v>
      </c>
      <c r="H1261" s="2" t="s">
        <v>5879</v>
      </c>
      <c r="I1261" s="2" t="s">
        <v>5880</v>
      </c>
      <c r="J1261" s="2" t="s">
        <v>832</v>
      </c>
      <c r="K1261" s="2" t="s">
        <v>253</v>
      </c>
      <c r="L1261" s="3">
        <v>27.6</v>
      </c>
      <c r="M1261" s="3">
        <v>28.98</v>
      </c>
      <c r="N1261" s="3">
        <v>59.99</v>
      </c>
      <c r="O1261" s="2" t="s">
        <v>243</v>
      </c>
      <c r="P1261" s="2" t="s">
        <v>270</v>
      </c>
      <c r="Q1261" s="2" t="s">
        <v>237</v>
      </c>
      <c r="R1261" s="2" t="s">
        <v>231</v>
      </c>
      <c r="S1261" s="2" t="s">
        <v>5920</v>
      </c>
      <c r="T1261" s="2" t="s">
        <v>3671</v>
      </c>
      <c r="U1261" s="2" t="s">
        <v>835</v>
      </c>
      <c r="V1261" s="2" t="s">
        <v>239</v>
      </c>
      <c r="W1261" s="2" t="s">
        <v>299</v>
      </c>
      <c r="X1261" s="2" t="s">
        <v>2286</v>
      </c>
      <c r="Y1261" s="2" t="s">
        <v>4735</v>
      </c>
      <c r="Z1261" s="4">
        <v>150</v>
      </c>
      <c r="AA1261" s="4">
        <f>=ROUNDDOWN(37.5,0)</f>
      </c>
      <c r="AB1261" s="5">
        <v>4</v>
      </c>
      <c r="AC1261" s="2" t="s">
        <v>1537</v>
      </c>
      <c r="AD1261" s="4">
        <v>70</v>
      </c>
      <c r="AE1261" s="4">
        <v>70</v>
      </c>
      <c r="AF1261" s="6">
        <v>64</v>
      </c>
      <c r="AG1261" s="6"/>
      <c r="AH1261" s="7">
        <v>1</v>
      </c>
      <c r="AI1261" s="4"/>
      <c r="AJ1261" s="4">
        <f>=ROUNDDOWN({0},0)</f>
      </c>
      <c r="AK1261" s="5"/>
      <c r="AL1261" s="2" t="s">
        <v>231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231</v>
      </c>
      <c r="AW1261" s="8" t="s">
        <v>231</v>
      </c>
      <c r="AX1261" s="4" t="s">
        <v>231</v>
      </c>
      <c r="AY1261" s="8" t="s">
        <v>231</v>
      </c>
      <c r="AZ1261" s="7" t="s">
        <v>231</v>
      </c>
      <c r="BA1261" s="7" t="s">
        <v>231</v>
      </c>
      <c r="BB1261" s="7" t="s">
        <v>231</v>
      </c>
      <c r="BC1261" s="4" t="s">
        <v>231</v>
      </c>
      <c r="BD1261" s="8" t="s">
        <v>231</v>
      </c>
      <c r="BE1261" s="4" t="s">
        <v>231</v>
      </c>
      <c r="BF1261" s="8" t="s">
        <v>231</v>
      </c>
      <c r="BG1261" s="7" t="s">
        <v>231</v>
      </c>
      <c r="BH1261" s="7" t="s">
        <v>231</v>
      </c>
      <c r="BI1261" s="7"/>
      <c r="BJ1261" s="4">
        <v>3</v>
      </c>
      <c r="BK1261" s="8">
        <v>84.48</v>
      </c>
      <c r="BL1261" s="2" t="s">
        <v>5931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5932</v>
      </c>
      <c r="BV1261" s="2" t="s">
        <v>231</v>
      </c>
      <c r="BW1261" s="2" t="s">
        <v>231</v>
      </c>
      <c r="BX1261" s="2" t="s">
        <v>231</v>
      </c>
      <c r="BY1261" s="2" t="s">
        <v>277</v>
      </c>
      <c r="BZ1261" s="2" t="s">
        <v>243</v>
      </c>
      <c r="CA1261" s="2" t="s">
        <v>5923</v>
      </c>
      <c r="CB1261" s="2" t="s">
        <v>1318</v>
      </c>
      <c r="CC1261" s="2" t="s">
        <v>244</v>
      </c>
      <c r="CD1261" s="2" t="s">
        <v>231</v>
      </c>
      <c r="CE1261" s="4">
        <v>150</v>
      </c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>
        <v>70</v>
      </c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</row>
    <row r="1262">
      <c r="A1262" s="2" t="s">
        <v>5933</v>
      </c>
      <c r="B1262" s="2" t="s">
        <v>824</v>
      </c>
      <c r="C1262" s="2" t="s">
        <v>825</v>
      </c>
      <c r="D1262" s="2" t="s">
        <v>1462</v>
      </c>
      <c r="E1262" s="2" t="s">
        <v>1463</v>
      </c>
      <c r="F1262" s="2" t="s">
        <v>5877</v>
      </c>
      <c r="G1262" s="2" t="s">
        <v>5878</v>
      </c>
      <c r="H1262" s="2" t="s">
        <v>5879</v>
      </c>
      <c r="I1262" s="2" t="s">
        <v>5925</v>
      </c>
      <c r="J1262" s="2" t="s">
        <v>658</v>
      </c>
      <c r="K1262" s="2" t="s">
        <v>253</v>
      </c>
      <c r="L1262" s="3">
        <v>30.95</v>
      </c>
      <c r="M1262" s="3">
        <v>32.5</v>
      </c>
      <c r="N1262" s="3">
        <v>64.99</v>
      </c>
      <c r="O1262" s="2" t="s">
        <v>235</v>
      </c>
      <c r="P1262" s="2" t="s">
        <v>341</v>
      </c>
      <c r="Q1262" s="2" t="s">
        <v>237</v>
      </c>
      <c r="R1262" s="2" t="s">
        <v>231</v>
      </c>
      <c r="S1262" s="2" t="s">
        <v>5920</v>
      </c>
      <c r="T1262" s="2" t="s">
        <v>3671</v>
      </c>
      <c r="U1262" s="2" t="s">
        <v>835</v>
      </c>
      <c r="V1262" s="2" t="s">
        <v>239</v>
      </c>
      <c r="W1262" s="2" t="s">
        <v>299</v>
      </c>
      <c r="X1262" s="2" t="s">
        <v>2286</v>
      </c>
      <c r="Y1262" s="2" t="s">
        <v>5926</v>
      </c>
      <c r="Z1262" s="4">
        <v>140</v>
      </c>
      <c r="AA1262" s="4">
        <f>=ROUNDDOWN(30.4347826086957,0)</f>
      </c>
      <c r="AB1262" s="5">
        <v>4.6</v>
      </c>
      <c r="AC1262" s="2" t="s">
        <v>231</v>
      </c>
      <c r="AD1262" s="4"/>
      <c r="AE1262" s="4"/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231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231</v>
      </c>
      <c r="AW1262" s="8" t="s">
        <v>231</v>
      </c>
      <c r="AX1262" s="4" t="s">
        <v>231</v>
      </c>
      <c r="AY1262" s="8" t="s">
        <v>231</v>
      </c>
      <c r="AZ1262" s="7" t="s">
        <v>231</v>
      </c>
      <c r="BA1262" s="7" t="s">
        <v>231</v>
      </c>
      <c r="BB1262" s="7"/>
      <c r="BC1262" s="4" t="s">
        <v>231</v>
      </c>
      <c r="BD1262" s="8" t="s">
        <v>231</v>
      </c>
      <c r="BE1262" s="4" t="s">
        <v>231</v>
      </c>
      <c r="BF1262" s="8" t="s">
        <v>231</v>
      </c>
      <c r="BG1262" s="7" t="s">
        <v>231</v>
      </c>
      <c r="BH1262" s="7" t="s">
        <v>231</v>
      </c>
      <c r="BI1262" s="7"/>
      <c r="BJ1262" s="4">
        <v>17</v>
      </c>
      <c r="BK1262" s="8">
        <v>442.71</v>
      </c>
      <c r="BL1262" s="2" t="s">
        <v>5934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5935</v>
      </c>
      <c r="BV1262" s="2" t="s">
        <v>231</v>
      </c>
      <c r="BW1262" s="2" t="s">
        <v>231</v>
      </c>
      <c r="BX1262" s="2" t="s">
        <v>231</v>
      </c>
      <c r="BY1262" s="2" t="s">
        <v>277</v>
      </c>
      <c r="BZ1262" s="2" t="s">
        <v>243</v>
      </c>
      <c r="CA1262" s="2" t="s">
        <v>5929</v>
      </c>
      <c r="CB1262" s="2" t="s">
        <v>1958</v>
      </c>
      <c r="CC1262" s="2" t="s">
        <v>244</v>
      </c>
      <c r="CD1262" s="2" t="s">
        <v>231</v>
      </c>
      <c r="CE1262" s="4">
        <v>140</v>
      </c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</row>
    <row r="1263">
      <c r="A1263" s="2" t="s">
        <v>5936</v>
      </c>
      <c r="B1263" s="2" t="s">
        <v>824</v>
      </c>
      <c r="C1263" s="2" t="s">
        <v>825</v>
      </c>
      <c r="D1263" s="2" t="s">
        <v>654</v>
      </c>
      <c r="E1263" s="2" t="s">
        <v>655</v>
      </c>
      <c r="F1263" s="2" t="s">
        <v>5877</v>
      </c>
      <c r="G1263" s="2" t="s">
        <v>5878</v>
      </c>
      <c r="H1263" s="2" t="s">
        <v>5879</v>
      </c>
      <c r="I1263" s="2" t="s">
        <v>5905</v>
      </c>
      <c r="J1263" s="2" t="s">
        <v>832</v>
      </c>
      <c r="K1263" s="2" t="s">
        <v>2978</v>
      </c>
      <c r="L1263" s="3">
        <v>31.05</v>
      </c>
      <c r="M1263" s="3">
        <v>32.6</v>
      </c>
      <c r="N1263" s="3">
        <v>59.99</v>
      </c>
      <c r="O1263" s="2" t="s">
        <v>243</v>
      </c>
      <c r="P1263" s="2" t="s">
        <v>270</v>
      </c>
      <c r="Q1263" s="2" t="s">
        <v>237</v>
      </c>
      <c r="R1263" s="2" t="s">
        <v>231</v>
      </c>
      <c r="S1263" s="2" t="s">
        <v>5937</v>
      </c>
      <c r="T1263" s="2" t="s">
        <v>3671</v>
      </c>
      <c r="U1263" s="2" t="s">
        <v>835</v>
      </c>
      <c r="V1263" s="2" t="s">
        <v>239</v>
      </c>
      <c r="W1263" s="2" t="s">
        <v>299</v>
      </c>
      <c r="X1263" s="2" t="s">
        <v>2286</v>
      </c>
      <c r="Y1263" s="2" t="s">
        <v>231</v>
      </c>
      <c r="Z1263" s="4"/>
      <c r="AA1263" s="4">
        <f>=ROUNDDOWN({0},0)</f>
      </c>
      <c r="AB1263" s="5"/>
      <c r="AC1263" s="2" t="s">
        <v>1128</v>
      </c>
      <c r="AD1263" s="4">
        <v>80</v>
      </c>
      <c r="AE1263" s="4">
        <v>160</v>
      </c>
      <c r="AF1263" s="6">
        <v>65</v>
      </c>
      <c r="AG1263" s="6"/>
      <c r="AH1263" s="7">
        <v>0</v>
      </c>
      <c r="AI1263" s="4"/>
      <c r="AJ1263" s="4">
        <f>=ROUNDDOWN({0},0)</f>
      </c>
      <c r="AK1263" s="5"/>
      <c r="AL1263" s="2" t="s">
        <v>231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231</v>
      </c>
      <c r="AW1263" s="8" t="s">
        <v>231</v>
      </c>
      <c r="AX1263" s="4" t="s">
        <v>231</v>
      </c>
      <c r="AY1263" s="8" t="s">
        <v>231</v>
      </c>
      <c r="AZ1263" s="7" t="s">
        <v>231</v>
      </c>
      <c r="BA1263" s="7" t="s">
        <v>231</v>
      </c>
      <c r="BB1263" s="7" t="s">
        <v>231</v>
      </c>
      <c r="BC1263" s="4" t="s">
        <v>231</v>
      </c>
      <c r="BD1263" s="8" t="s">
        <v>231</v>
      </c>
      <c r="BE1263" s="4" t="s">
        <v>231</v>
      </c>
      <c r="BF1263" s="8" t="s">
        <v>231</v>
      </c>
      <c r="BG1263" s="7" t="s">
        <v>231</v>
      </c>
      <c r="BH1263" s="7" t="s">
        <v>231</v>
      </c>
      <c r="BI1263" s="7"/>
      <c r="BJ1263" s="4"/>
      <c r="BK1263" s="8"/>
      <c r="BL1263" s="2" t="s">
        <v>231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241</v>
      </c>
      <c r="BV1263" s="2" t="s">
        <v>231</v>
      </c>
      <c r="BW1263" s="2" t="s">
        <v>231</v>
      </c>
      <c r="BX1263" s="2" t="s">
        <v>312</v>
      </c>
      <c r="BY1263" s="2" t="s">
        <v>242</v>
      </c>
      <c r="BZ1263" s="2" t="s">
        <v>243</v>
      </c>
      <c r="CA1263" s="2" t="s">
        <v>231</v>
      </c>
      <c r="CB1263" s="2" t="s">
        <v>231</v>
      </c>
      <c r="CC1263" s="2" t="s">
        <v>244</v>
      </c>
      <c r="CD1263" s="2" t="s">
        <v>231</v>
      </c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>
        <v>80</v>
      </c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>
        <v>80</v>
      </c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</row>
    <row r="1264">
      <c r="A1264" s="2" t="s">
        <v>5938</v>
      </c>
      <c r="B1264" s="2" t="s">
        <v>824</v>
      </c>
      <c r="C1264" s="2" t="s">
        <v>825</v>
      </c>
      <c r="D1264" s="2" t="s">
        <v>826</v>
      </c>
      <c r="E1264" s="2" t="s">
        <v>827</v>
      </c>
      <c r="F1264" s="2" t="s">
        <v>5877</v>
      </c>
      <c r="G1264" s="2" t="s">
        <v>5878</v>
      </c>
      <c r="H1264" s="2" t="s">
        <v>5879</v>
      </c>
      <c r="I1264" s="2" t="s">
        <v>5880</v>
      </c>
      <c r="J1264" s="2" t="s">
        <v>832</v>
      </c>
      <c r="K1264" s="2" t="s">
        <v>2978</v>
      </c>
      <c r="L1264" s="3">
        <v>27.6</v>
      </c>
      <c r="M1264" s="3">
        <v>28.98</v>
      </c>
      <c r="N1264" s="3">
        <v>59.99</v>
      </c>
      <c r="O1264" s="2" t="s">
        <v>243</v>
      </c>
      <c r="P1264" s="2" t="s">
        <v>236</v>
      </c>
      <c r="Q1264" s="2" t="s">
        <v>237</v>
      </c>
      <c r="R1264" s="2" t="s">
        <v>231</v>
      </c>
      <c r="S1264" s="2" t="s">
        <v>5937</v>
      </c>
      <c r="T1264" s="2" t="s">
        <v>3671</v>
      </c>
      <c r="U1264" s="2" t="s">
        <v>835</v>
      </c>
      <c r="V1264" s="2" t="s">
        <v>239</v>
      </c>
      <c r="W1264" s="2" t="s">
        <v>299</v>
      </c>
      <c r="X1264" s="2" t="s">
        <v>2286</v>
      </c>
      <c r="Y1264" s="2" t="s">
        <v>231</v>
      </c>
      <c r="Z1264" s="4"/>
      <c r="AA1264" s="4">
        <f>=ROUNDDOWN({0},0)</f>
      </c>
      <c r="AB1264" s="5"/>
      <c r="AC1264" s="2" t="s">
        <v>1128</v>
      </c>
      <c r="AD1264" s="4">
        <v>20</v>
      </c>
      <c r="AE1264" s="4">
        <v>38</v>
      </c>
      <c r="AF1264" s="6">
        <v>65</v>
      </c>
      <c r="AG1264" s="6"/>
      <c r="AH1264" s="7">
        <v>0</v>
      </c>
      <c r="AI1264" s="4"/>
      <c r="AJ1264" s="4">
        <f>=ROUNDDOWN({0},0)</f>
      </c>
      <c r="AK1264" s="5"/>
      <c r="AL1264" s="2" t="s">
        <v>231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231</v>
      </c>
      <c r="AW1264" s="8" t="s">
        <v>231</v>
      </c>
      <c r="AX1264" s="4" t="s">
        <v>231</v>
      </c>
      <c r="AY1264" s="8" t="s">
        <v>231</v>
      </c>
      <c r="AZ1264" s="7" t="s">
        <v>231</v>
      </c>
      <c r="BA1264" s="7" t="s">
        <v>231</v>
      </c>
      <c r="BB1264" s="7" t="s">
        <v>231</v>
      </c>
      <c r="BC1264" s="4" t="s">
        <v>231</v>
      </c>
      <c r="BD1264" s="8" t="s">
        <v>231</v>
      </c>
      <c r="BE1264" s="4" t="s">
        <v>231</v>
      </c>
      <c r="BF1264" s="8" t="s">
        <v>231</v>
      </c>
      <c r="BG1264" s="7" t="s">
        <v>231</v>
      </c>
      <c r="BH1264" s="7" t="s">
        <v>231</v>
      </c>
      <c r="BI1264" s="7"/>
      <c r="BJ1264" s="4"/>
      <c r="BK1264" s="8"/>
      <c r="BL1264" s="2" t="s">
        <v>231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241</v>
      </c>
      <c r="BV1264" s="2" t="s">
        <v>231</v>
      </c>
      <c r="BW1264" s="2" t="s">
        <v>231</v>
      </c>
      <c r="BX1264" s="2" t="s">
        <v>241</v>
      </c>
      <c r="BY1264" s="2" t="s">
        <v>242</v>
      </c>
      <c r="BZ1264" s="2" t="s">
        <v>243</v>
      </c>
      <c r="CA1264" s="2" t="s">
        <v>231</v>
      </c>
      <c r="CB1264" s="2" t="s">
        <v>231</v>
      </c>
      <c r="CC1264" s="2" t="s">
        <v>244</v>
      </c>
      <c r="CD1264" s="2" t="s">
        <v>231</v>
      </c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>
        <v>20</v>
      </c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>
        <v>18</v>
      </c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</row>
    <row r="1265">
      <c r="A1265" s="2" t="s">
        <v>5939</v>
      </c>
      <c r="B1265" s="2" t="s">
        <v>824</v>
      </c>
      <c r="C1265" s="2" t="s">
        <v>825</v>
      </c>
      <c r="D1265" s="2" t="s">
        <v>654</v>
      </c>
      <c r="E1265" s="2" t="s">
        <v>655</v>
      </c>
      <c r="F1265" s="2" t="s">
        <v>5877</v>
      </c>
      <c r="G1265" s="2" t="s">
        <v>5878</v>
      </c>
      <c r="H1265" s="2" t="s">
        <v>5879</v>
      </c>
      <c r="I1265" s="2" t="s">
        <v>5905</v>
      </c>
      <c r="J1265" s="2" t="s">
        <v>658</v>
      </c>
      <c r="K1265" s="2" t="s">
        <v>2978</v>
      </c>
      <c r="L1265" s="3">
        <v>36.72</v>
      </c>
      <c r="M1265" s="3">
        <v>38.56</v>
      </c>
      <c r="N1265" s="3">
        <v>69.99</v>
      </c>
      <c r="O1265" s="2" t="s">
        <v>243</v>
      </c>
      <c r="P1265" s="2" t="s">
        <v>270</v>
      </c>
      <c r="Q1265" s="2" t="s">
        <v>237</v>
      </c>
      <c r="R1265" s="2" t="s">
        <v>231</v>
      </c>
      <c r="S1265" s="2" t="s">
        <v>5937</v>
      </c>
      <c r="T1265" s="2" t="s">
        <v>3671</v>
      </c>
      <c r="U1265" s="2" t="s">
        <v>298</v>
      </c>
      <c r="V1265" s="2" t="s">
        <v>239</v>
      </c>
      <c r="W1265" s="2" t="s">
        <v>299</v>
      </c>
      <c r="X1265" s="2" t="s">
        <v>2286</v>
      </c>
      <c r="Y1265" s="2" t="s">
        <v>231</v>
      </c>
      <c r="Z1265" s="4"/>
      <c r="AA1265" s="4">
        <f>=ROUNDDOWN({0},0)</f>
      </c>
      <c r="AB1265" s="5"/>
      <c r="AC1265" s="2" t="s">
        <v>1128</v>
      </c>
      <c r="AD1265" s="4">
        <v>175</v>
      </c>
      <c r="AE1265" s="4">
        <v>350</v>
      </c>
      <c r="AF1265" s="6">
        <v>65</v>
      </c>
      <c r="AG1265" s="6"/>
      <c r="AH1265" s="7">
        <v>0</v>
      </c>
      <c r="AI1265" s="4"/>
      <c r="AJ1265" s="4">
        <f>=ROUNDDOWN({0},0)</f>
      </c>
      <c r="AK1265" s="5"/>
      <c r="AL1265" s="2" t="s">
        <v>231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231</v>
      </c>
      <c r="AW1265" s="8" t="s">
        <v>231</v>
      </c>
      <c r="AX1265" s="4" t="s">
        <v>231</v>
      </c>
      <c r="AY1265" s="8" t="s">
        <v>231</v>
      </c>
      <c r="AZ1265" s="7" t="s">
        <v>231</v>
      </c>
      <c r="BA1265" s="7" t="s">
        <v>231</v>
      </c>
      <c r="BB1265" s="7" t="s">
        <v>231</v>
      </c>
      <c r="BC1265" s="4" t="s">
        <v>231</v>
      </c>
      <c r="BD1265" s="8" t="s">
        <v>231</v>
      </c>
      <c r="BE1265" s="4" t="s">
        <v>231</v>
      </c>
      <c r="BF1265" s="8" t="s">
        <v>231</v>
      </c>
      <c r="BG1265" s="7" t="s">
        <v>231</v>
      </c>
      <c r="BH1265" s="7" t="s">
        <v>231</v>
      </c>
      <c r="BI1265" s="7"/>
      <c r="BJ1265" s="4"/>
      <c r="BK1265" s="8"/>
      <c r="BL1265" s="2" t="s">
        <v>231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241</v>
      </c>
      <c r="BV1265" s="2" t="s">
        <v>231</v>
      </c>
      <c r="BW1265" s="2" t="s">
        <v>231</v>
      </c>
      <c r="BX1265" s="2" t="s">
        <v>312</v>
      </c>
      <c r="BY1265" s="2" t="s">
        <v>242</v>
      </c>
      <c r="BZ1265" s="2" t="s">
        <v>243</v>
      </c>
      <c r="CA1265" s="2" t="s">
        <v>231</v>
      </c>
      <c r="CB1265" s="2" t="s">
        <v>231</v>
      </c>
      <c r="CC1265" s="2" t="s">
        <v>244</v>
      </c>
      <c r="CD1265" s="2" t="s">
        <v>231</v>
      </c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>
        <v>175</v>
      </c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>
        <v>175</v>
      </c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</row>
    <row r="1266">
      <c r="A1266" s="2" t="s">
        <v>5940</v>
      </c>
      <c r="B1266" s="2" t="s">
        <v>824</v>
      </c>
      <c r="C1266" s="2" t="s">
        <v>825</v>
      </c>
      <c r="D1266" s="2" t="s">
        <v>826</v>
      </c>
      <c r="E1266" s="2" t="s">
        <v>827</v>
      </c>
      <c r="F1266" s="2" t="s">
        <v>5877</v>
      </c>
      <c r="G1266" s="2" t="s">
        <v>5878</v>
      </c>
      <c r="H1266" s="2" t="s">
        <v>5879</v>
      </c>
      <c r="I1266" s="2" t="s">
        <v>5880</v>
      </c>
      <c r="J1266" s="2" t="s">
        <v>658</v>
      </c>
      <c r="K1266" s="2" t="s">
        <v>2978</v>
      </c>
      <c r="L1266" s="3">
        <v>33.6</v>
      </c>
      <c r="M1266" s="3">
        <v>35.28</v>
      </c>
      <c r="N1266" s="3">
        <v>69.99</v>
      </c>
      <c r="O1266" s="2" t="s">
        <v>243</v>
      </c>
      <c r="P1266" s="2" t="s">
        <v>236</v>
      </c>
      <c r="Q1266" s="2" t="s">
        <v>237</v>
      </c>
      <c r="R1266" s="2" t="s">
        <v>231</v>
      </c>
      <c r="S1266" s="2" t="s">
        <v>5937</v>
      </c>
      <c r="T1266" s="2" t="s">
        <v>3671</v>
      </c>
      <c r="U1266" s="2" t="s">
        <v>298</v>
      </c>
      <c r="V1266" s="2" t="s">
        <v>239</v>
      </c>
      <c r="W1266" s="2" t="s">
        <v>299</v>
      </c>
      <c r="X1266" s="2" t="s">
        <v>2286</v>
      </c>
      <c r="Y1266" s="2" t="s">
        <v>231</v>
      </c>
      <c r="Z1266" s="4"/>
      <c r="AA1266" s="4">
        <f>=ROUNDDOWN({0},0)</f>
      </c>
      <c r="AB1266" s="5"/>
      <c r="AC1266" s="2" t="s">
        <v>1128</v>
      </c>
      <c r="AD1266" s="4">
        <v>60</v>
      </c>
      <c r="AE1266" s="4">
        <v>105</v>
      </c>
      <c r="AF1266" s="6">
        <v>65</v>
      </c>
      <c r="AG1266" s="6"/>
      <c r="AH1266" s="7">
        <v>0</v>
      </c>
      <c r="AI1266" s="4"/>
      <c r="AJ1266" s="4">
        <f>=ROUNDDOWN({0},0)</f>
      </c>
      <c r="AK1266" s="5"/>
      <c r="AL1266" s="2" t="s">
        <v>231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231</v>
      </c>
      <c r="AW1266" s="8" t="s">
        <v>231</v>
      </c>
      <c r="AX1266" s="4" t="s">
        <v>231</v>
      </c>
      <c r="AY1266" s="8" t="s">
        <v>231</v>
      </c>
      <c r="AZ1266" s="7" t="s">
        <v>231</v>
      </c>
      <c r="BA1266" s="7" t="s">
        <v>231</v>
      </c>
      <c r="BB1266" s="7" t="s">
        <v>231</v>
      </c>
      <c r="BC1266" s="4" t="s">
        <v>231</v>
      </c>
      <c r="BD1266" s="8" t="s">
        <v>231</v>
      </c>
      <c r="BE1266" s="4" t="s">
        <v>231</v>
      </c>
      <c r="BF1266" s="8" t="s">
        <v>231</v>
      </c>
      <c r="BG1266" s="7" t="s">
        <v>231</v>
      </c>
      <c r="BH1266" s="7" t="s">
        <v>231</v>
      </c>
      <c r="BI1266" s="7"/>
      <c r="BJ1266" s="4"/>
      <c r="BK1266" s="8"/>
      <c r="BL1266" s="2" t="s">
        <v>231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241</v>
      </c>
      <c r="BV1266" s="2" t="s">
        <v>231</v>
      </c>
      <c r="BW1266" s="2" t="s">
        <v>231</v>
      </c>
      <c r="BX1266" s="2" t="s">
        <v>241</v>
      </c>
      <c r="BY1266" s="2" t="s">
        <v>242</v>
      </c>
      <c r="BZ1266" s="2" t="s">
        <v>243</v>
      </c>
      <c r="CA1266" s="2" t="s">
        <v>231</v>
      </c>
      <c r="CB1266" s="2" t="s">
        <v>231</v>
      </c>
      <c r="CC1266" s="2" t="s">
        <v>244</v>
      </c>
      <c r="CD1266" s="2" t="s">
        <v>231</v>
      </c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>
        <v>60</v>
      </c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>
        <v>45</v>
      </c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</row>
    <row r="1267">
      <c r="A1267" s="2" t="s">
        <v>5941</v>
      </c>
      <c r="B1267" s="2" t="s">
        <v>824</v>
      </c>
      <c r="C1267" s="2" t="s">
        <v>825</v>
      </c>
      <c r="D1267" s="2" t="s">
        <v>654</v>
      </c>
      <c r="E1267" s="2" t="s">
        <v>655</v>
      </c>
      <c r="F1267" s="2" t="s">
        <v>5877</v>
      </c>
      <c r="G1267" s="2" t="s">
        <v>5878</v>
      </c>
      <c r="H1267" s="2" t="s">
        <v>5879</v>
      </c>
      <c r="I1267" s="2" t="s">
        <v>5905</v>
      </c>
      <c r="J1267" s="2" t="s">
        <v>669</v>
      </c>
      <c r="K1267" s="2" t="s">
        <v>2978</v>
      </c>
      <c r="L1267" s="3">
        <v>40.5</v>
      </c>
      <c r="M1267" s="3">
        <v>42.52</v>
      </c>
      <c r="N1267" s="3">
        <v>79.99</v>
      </c>
      <c r="O1267" s="2" t="s">
        <v>243</v>
      </c>
      <c r="P1267" s="2" t="s">
        <v>270</v>
      </c>
      <c r="Q1267" s="2" t="s">
        <v>237</v>
      </c>
      <c r="R1267" s="2" t="s">
        <v>231</v>
      </c>
      <c r="S1267" s="2" t="s">
        <v>5937</v>
      </c>
      <c r="T1267" s="2" t="s">
        <v>3671</v>
      </c>
      <c r="U1267" s="2" t="s">
        <v>298</v>
      </c>
      <c r="V1267" s="2" t="s">
        <v>239</v>
      </c>
      <c r="W1267" s="2" t="s">
        <v>299</v>
      </c>
      <c r="X1267" s="2" t="s">
        <v>2286</v>
      </c>
      <c r="Y1267" s="2" t="s">
        <v>231</v>
      </c>
      <c r="Z1267" s="4"/>
      <c r="AA1267" s="4">
        <f>=ROUNDDOWN({0},0)</f>
      </c>
      <c r="AB1267" s="5"/>
      <c r="AC1267" s="2" t="s">
        <v>1128</v>
      </c>
      <c r="AD1267" s="4">
        <v>100</v>
      </c>
      <c r="AE1267" s="4">
        <v>200</v>
      </c>
      <c r="AF1267" s="6">
        <v>65</v>
      </c>
      <c r="AG1267" s="6"/>
      <c r="AH1267" s="7">
        <v>0</v>
      </c>
      <c r="AI1267" s="4"/>
      <c r="AJ1267" s="4">
        <f>=ROUNDDOWN({0},0)</f>
      </c>
      <c r="AK1267" s="5"/>
      <c r="AL1267" s="2" t="s">
        <v>231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231</v>
      </c>
      <c r="AW1267" s="8" t="s">
        <v>231</v>
      </c>
      <c r="AX1267" s="4" t="s">
        <v>231</v>
      </c>
      <c r="AY1267" s="8" t="s">
        <v>231</v>
      </c>
      <c r="AZ1267" s="7" t="s">
        <v>231</v>
      </c>
      <c r="BA1267" s="7" t="s">
        <v>231</v>
      </c>
      <c r="BB1267" s="7" t="s">
        <v>231</v>
      </c>
      <c r="BC1267" s="4" t="s">
        <v>231</v>
      </c>
      <c r="BD1267" s="8" t="s">
        <v>231</v>
      </c>
      <c r="BE1267" s="4" t="s">
        <v>231</v>
      </c>
      <c r="BF1267" s="8" t="s">
        <v>231</v>
      </c>
      <c r="BG1267" s="7" t="s">
        <v>231</v>
      </c>
      <c r="BH1267" s="7" t="s">
        <v>231</v>
      </c>
      <c r="BI1267" s="7"/>
      <c r="BJ1267" s="4"/>
      <c r="BK1267" s="8"/>
      <c r="BL1267" s="2" t="s">
        <v>231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241</v>
      </c>
      <c r="BV1267" s="2" t="s">
        <v>231</v>
      </c>
      <c r="BW1267" s="2" t="s">
        <v>231</v>
      </c>
      <c r="BX1267" s="2" t="s">
        <v>312</v>
      </c>
      <c r="BY1267" s="2" t="s">
        <v>242</v>
      </c>
      <c r="BZ1267" s="2" t="s">
        <v>243</v>
      </c>
      <c r="CA1267" s="2" t="s">
        <v>231</v>
      </c>
      <c r="CB1267" s="2" t="s">
        <v>231</v>
      </c>
      <c r="CC1267" s="2" t="s">
        <v>244</v>
      </c>
      <c r="CD1267" s="2" t="s">
        <v>231</v>
      </c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>
        <v>100</v>
      </c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>
        <v>100</v>
      </c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</row>
    <row r="1268">
      <c r="A1268" s="2" t="s">
        <v>5942</v>
      </c>
      <c r="B1268" s="2" t="s">
        <v>824</v>
      </c>
      <c r="C1268" s="2" t="s">
        <v>825</v>
      </c>
      <c r="D1268" s="2" t="s">
        <v>826</v>
      </c>
      <c r="E1268" s="2" t="s">
        <v>827</v>
      </c>
      <c r="F1268" s="2" t="s">
        <v>5877</v>
      </c>
      <c r="G1268" s="2" t="s">
        <v>5878</v>
      </c>
      <c r="H1268" s="2" t="s">
        <v>5879</v>
      </c>
      <c r="I1268" s="2" t="s">
        <v>5880</v>
      </c>
      <c r="J1268" s="2" t="s">
        <v>669</v>
      </c>
      <c r="K1268" s="2" t="s">
        <v>2978</v>
      </c>
      <c r="L1268" s="3">
        <v>36.75</v>
      </c>
      <c r="M1268" s="3">
        <v>38.59</v>
      </c>
      <c r="N1268" s="3">
        <v>74.99</v>
      </c>
      <c r="O1268" s="2" t="s">
        <v>243</v>
      </c>
      <c r="P1268" s="2" t="s">
        <v>236</v>
      </c>
      <c r="Q1268" s="2" t="s">
        <v>237</v>
      </c>
      <c r="R1268" s="2" t="s">
        <v>231</v>
      </c>
      <c r="S1268" s="2" t="s">
        <v>5937</v>
      </c>
      <c r="T1268" s="2" t="s">
        <v>3671</v>
      </c>
      <c r="U1268" s="2" t="s">
        <v>298</v>
      </c>
      <c r="V1268" s="2" t="s">
        <v>239</v>
      </c>
      <c r="W1268" s="2" t="s">
        <v>299</v>
      </c>
      <c r="X1268" s="2" t="s">
        <v>2286</v>
      </c>
      <c r="Y1268" s="2" t="s">
        <v>231</v>
      </c>
      <c r="Z1268" s="4"/>
      <c r="AA1268" s="4">
        <f>=ROUNDDOWN({0},0)</f>
      </c>
      <c r="AB1268" s="5"/>
      <c r="AC1268" s="2" t="s">
        <v>1128</v>
      </c>
      <c r="AD1268" s="4">
        <v>35</v>
      </c>
      <c r="AE1268" s="4">
        <v>50</v>
      </c>
      <c r="AF1268" s="6">
        <v>65</v>
      </c>
      <c r="AG1268" s="6"/>
      <c r="AH1268" s="7">
        <v>0</v>
      </c>
      <c r="AI1268" s="4"/>
      <c r="AJ1268" s="4">
        <f>=ROUNDDOWN({0},0)</f>
      </c>
      <c r="AK1268" s="5"/>
      <c r="AL1268" s="2" t="s">
        <v>231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231</v>
      </c>
      <c r="AW1268" s="8" t="s">
        <v>231</v>
      </c>
      <c r="AX1268" s="4" t="s">
        <v>231</v>
      </c>
      <c r="AY1268" s="8" t="s">
        <v>231</v>
      </c>
      <c r="AZ1268" s="7" t="s">
        <v>231</v>
      </c>
      <c r="BA1268" s="7" t="s">
        <v>231</v>
      </c>
      <c r="BB1268" s="7" t="s">
        <v>231</v>
      </c>
      <c r="BC1268" s="4" t="s">
        <v>231</v>
      </c>
      <c r="BD1268" s="8" t="s">
        <v>231</v>
      </c>
      <c r="BE1268" s="4" t="s">
        <v>231</v>
      </c>
      <c r="BF1268" s="8" t="s">
        <v>231</v>
      </c>
      <c r="BG1268" s="7" t="s">
        <v>231</v>
      </c>
      <c r="BH1268" s="7" t="s">
        <v>231</v>
      </c>
      <c r="BI1268" s="7"/>
      <c r="BJ1268" s="4"/>
      <c r="BK1268" s="8"/>
      <c r="BL1268" s="2" t="s">
        <v>231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241</v>
      </c>
      <c r="BV1268" s="2" t="s">
        <v>231</v>
      </c>
      <c r="BW1268" s="2" t="s">
        <v>231</v>
      </c>
      <c r="BX1268" s="2" t="s">
        <v>241</v>
      </c>
      <c r="BY1268" s="2" t="s">
        <v>242</v>
      </c>
      <c r="BZ1268" s="2" t="s">
        <v>243</v>
      </c>
      <c r="CA1268" s="2" t="s">
        <v>231</v>
      </c>
      <c r="CB1268" s="2" t="s">
        <v>231</v>
      </c>
      <c r="CC1268" s="2" t="s">
        <v>244</v>
      </c>
      <c r="CD1268" s="2" t="s">
        <v>231</v>
      </c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>
        <v>35</v>
      </c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>
        <v>15</v>
      </c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</row>
    <row r="1269">
      <c r="A1269" s="2" t="s">
        <v>5943</v>
      </c>
      <c r="B1269" s="2" t="s">
        <v>824</v>
      </c>
      <c r="C1269" s="2" t="s">
        <v>825</v>
      </c>
      <c r="D1269" s="2" t="s">
        <v>826</v>
      </c>
      <c r="E1269" s="2" t="s">
        <v>827</v>
      </c>
      <c r="F1269" s="2" t="s">
        <v>5877</v>
      </c>
      <c r="G1269" s="2" t="s">
        <v>5878</v>
      </c>
      <c r="H1269" s="2" t="s">
        <v>5879</v>
      </c>
      <c r="I1269" s="2" t="s">
        <v>5880</v>
      </c>
      <c r="J1269" s="2" t="s">
        <v>832</v>
      </c>
      <c r="K1269" s="2" t="s">
        <v>723</v>
      </c>
      <c r="L1269" s="3">
        <v>27.6</v>
      </c>
      <c r="M1269" s="3">
        <v>28.98</v>
      </c>
      <c r="N1269" s="3">
        <v>59.99</v>
      </c>
      <c r="O1269" s="2" t="s">
        <v>243</v>
      </c>
      <c r="P1269" s="2" t="s">
        <v>270</v>
      </c>
      <c r="Q1269" s="2" t="s">
        <v>237</v>
      </c>
      <c r="R1269" s="2" t="s">
        <v>231</v>
      </c>
      <c r="S1269" s="2" t="s">
        <v>5944</v>
      </c>
      <c r="T1269" s="2" t="s">
        <v>3671</v>
      </c>
      <c r="U1269" s="2" t="s">
        <v>835</v>
      </c>
      <c r="V1269" s="2" t="s">
        <v>239</v>
      </c>
      <c r="W1269" s="2" t="s">
        <v>299</v>
      </c>
      <c r="X1269" s="2" t="s">
        <v>2286</v>
      </c>
      <c r="Y1269" s="2" t="s">
        <v>5945</v>
      </c>
      <c r="Z1269" s="4">
        <v>40</v>
      </c>
      <c r="AA1269" s="4">
        <f>=ROUNDDOWN(8,0)</f>
      </c>
      <c r="AB1269" s="5">
        <v>5</v>
      </c>
      <c r="AC1269" s="2" t="s">
        <v>1128</v>
      </c>
      <c r="AD1269" s="4">
        <v>90</v>
      </c>
      <c r="AE1269" s="4">
        <v>240</v>
      </c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231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231</v>
      </c>
      <c r="AW1269" s="8" t="s">
        <v>231</v>
      </c>
      <c r="AX1269" s="4" t="s">
        <v>231</v>
      </c>
      <c r="AY1269" s="8" t="s">
        <v>231</v>
      </c>
      <c r="AZ1269" s="7" t="s">
        <v>231</v>
      </c>
      <c r="BA1269" s="7" t="s">
        <v>231</v>
      </c>
      <c r="BB1269" s="7"/>
      <c r="BC1269" s="4" t="s">
        <v>231</v>
      </c>
      <c r="BD1269" s="8" t="s">
        <v>231</v>
      </c>
      <c r="BE1269" s="4" t="s">
        <v>231</v>
      </c>
      <c r="BF1269" s="8" t="s">
        <v>231</v>
      </c>
      <c r="BG1269" s="7" t="s">
        <v>231</v>
      </c>
      <c r="BH1269" s="7" t="s">
        <v>231</v>
      </c>
      <c r="BI1269" s="7"/>
      <c r="BJ1269" s="4">
        <v>4</v>
      </c>
      <c r="BK1269" s="8">
        <v>119.87</v>
      </c>
      <c r="BL1269" s="2" t="s">
        <v>600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5946</v>
      </c>
      <c r="BV1269" s="2" t="s">
        <v>231</v>
      </c>
      <c r="BW1269" s="2" t="s">
        <v>231</v>
      </c>
      <c r="BX1269" s="2" t="s">
        <v>241</v>
      </c>
      <c r="BY1269" s="2" t="s">
        <v>277</v>
      </c>
      <c r="BZ1269" s="2" t="s">
        <v>243</v>
      </c>
      <c r="CA1269" s="2" t="s">
        <v>5945</v>
      </c>
      <c r="CB1269" s="2" t="s">
        <v>5947</v>
      </c>
      <c r="CC1269" s="2" t="s">
        <v>244</v>
      </c>
      <c r="CD1269" s="2" t="s">
        <v>231</v>
      </c>
      <c r="CE1269" s="4">
        <v>40</v>
      </c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>
        <v>90</v>
      </c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>
        <v>50</v>
      </c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>
        <v>100</v>
      </c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</row>
    <row r="1270">
      <c r="A1270" s="2" t="s">
        <v>5948</v>
      </c>
      <c r="B1270" s="2" t="s">
        <v>824</v>
      </c>
      <c r="C1270" s="2" t="s">
        <v>825</v>
      </c>
      <c r="D1270" s="2" t="s">
        <v>826</v>
      </c>
      <c r="E1270" s="2" t="s">
        <v>827</v>
      </c>
      <c r="F1270" s="2" t="s">
        <v>5877</v>
      </c>
      <c r="G1270" s="2" t="s">
        <v>5878</v>
      </c>
      <c r="H1270" s="2" t="s">
        <v>5879</v>
      </c>
      <c r="I1270" s="2" t="s">
        <v>5880</v>
      </c>
      <c r="J1270" s="2" t="s">
        <v>658</v>
      </c>
      <c r="K1270" s="2" t="s">
        <v>723</v>
      </c>
      <c r="L1270" s="3">
        <v>33.6</v>
      </c>
      <c r="M1270" s="3">
        <v>35.28</v>
      </c>
      <c r="N1270" s="3">
        <v>69.99</v>
      </c>
      <c r="O1270" s="2" t="s">
        <v>243</v>
      </c>
      <c r="P1270" s="2" t="s">
        <v>270</v>
      </c>
      <c r="Q1270" s="2" t="s">
        <v>237</v>
      </c>
      <c r="R1270" s="2" t="s">
        <v>231</v>
      </c>
      <c r="S1270" s="2" t="s">
        <v>5944</v>
      </c>
      <c r="T1270" s="2" t="s">
        <v>3671</v>
      </c>
      <c r="U1270" s="2" t="s">
        <v>298</v>
      </c>
      <c r="V1270" s="2" t="s">
        <v>239</v>
      </c>
      <c r="W1270" s="2" t="s">
        <v>299</v>
      </c>
      <c r="X1270" s="2" t="s">
        <v>2286</v>
      </c>
      <c r="Y1270" s="2" t="s">
        <v>5945</v>
      </c>
      <c r="Z1270" s="4">
        <v>82</v>
      </c>
      <c r="AA1270" s="4">
        <f>=ROUNDDOWN(11.7142857142857,0)</f>
      </c>
      <c r="AB1270" s="5">
        <v>7</v>
      </c>
      <c r="AC1270" s="2" t="s">
        <v>1128</v>
      </c>
      <c r="AD1270" s="4">
        <v>160</v>
      </c>
      <c r="AE1270" s="4">
        <v>310</v>
      </c>
      <c r="AF1270" s="6">
        <v>64</v>
      </c>
      <c r="AG1270" s="6"/>
      <c r="AH1270" s="7">
        <v>1</v>
      </c>
      <c r="AI1270" s="4"/>
      <c r="AJ1270" s="4">
        <f>=ROUNDDOWN({0},0)</f>
      </c>
      <c r="AK1270" s="5"/>
      <c r="AL1270" s="2" t="s">
        <v>231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231</v>
      </c>
      <c r="AW1270" s="8" t="s">
        <v>231</v>
      </c>
      <c r="AX1270" s="4" t="s">
        <v>231</v>
      </c>
      <c r="AY1270" s="8" t="s">
        <v>231</v>
      </c>
      <c r="AZ1270" s="7" t="s">
        <v>231</v>
      </c>
      <c r="BA1270" s="7" t="s">
        <v>231</v>
      </c>
      <c r="BB1270" s="7"/>
      <c r="BC1270" s="4" t="s">
        <v>231</v>
      </c>
      <c r="BD1270" s="8" t="s">
        <v>231</v>
      </c>
      <c r="BE1270" s="4" t="s">
        <v>231</v>
      </c>
      <c r="BF1270" s="8" t="s">
        <v>231</v>
      </c>
      <c r="BG1270" s="7" t="s">
        <v>231</v>
      </c>
      <c r="BH1270" s="7" t="s">
        <v>231</v>
      </c>
      <c r="BI1270" s="7"/>
      <c r="BJ1270" s="4">
        <v>18</v>
      </c>
      <c r="BK1270" s="8">
        <v>676.95</v>
      </c>
      <c r="BL1270" s="2" t="s">
        <v>5949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5950</v>
      </c>
      <c r="BV1270" s="2" t="s">
        <v>231</v>
      </c>
      <c r="BW1270" s="2" t="s">
        <v>231</v>
      </c>
      <c r="BX1270" s="2" t="s">
        <v>241</v>
      </c>
      <c r="BY1270" s="2" t="s">
        <v>277</v>
      </c>
      <c r="BZ1270" s="2" t="s">
        <v>243</v>
      </c>
      <c r="CA1270" s="2" t="s">
        <v>5945</v>
      </c>
      <c r="CB1270" s="2" t="s">
        <v>5951</v>
      </c>
      <c r="CC1270" s="2" t="s">
        <v>244</v>
      </c>
      <c r="CD1270" s="2" t="s">
        <v>231</v>
      </c>
      <c r="CE1270" s="4">
        <v>82</v>
      </c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>
        <v>160</v>
      </c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>
        <v>80</v>
      </c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>
        <v>70</v>
      </c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</row>
    <row r="1271">
      <c r="A1271" s="2" t="s">
        <v>5952</v>
      </c>
      <c r="B1271" s="2" t="s">
        <v>824</v>
      </c>
      <c r="C1271" s="2" t="s">
        <v>825</v>
      </c>
      <c r="D1271" s="2" t="s">
        <v>826</v>
      </c>
      <c r="E1271" s="2" t="s">
        <v>827</v>
      </c>
      <c r="F1271" s="2" t="s">
        <v>5877</v>
      </c>
      <c r="G1271" s="2" t="s">
        <v>5878</v>
      </c>
      <c r="H1271" s="2" t="s">
        <v>5879</v>
      </c>
      <c r="I1271" s="2" t="s">
        <v>5880</v>
      </c>
      <c r="J1271" s="2" t="s">
        <v>669</v>
      </c>
      <c r="K1271" s="2" t="s">
        <v>723</v>
      </c>
      <c r="L1271" s="3">
        <v>36.75</v>
      </c>
      <c r="M1271" s="3">
        <v>38.59</v>
      </c>
      <c r="N1271" s="3">
        <v>74.99</v>
      </c>
      <c r="O1271" s="2" t="s">
        <v>243</v>
      </c>
      <c r="P1271" s="2" t="s">
        <v>270</v>
      </c>
      <c r="Q1271" s="2" t="s">
        <v>237</v>
      </c>
      <c r="R1271" s="2" t="s">
        <v>231</v>
      </c>
      <c r="S1271" s="2" t="s">
        <v>5944</v>
      </c>
      <c r="T1271" s="2" t="s">
        <v>3671</v>
      </c>
      <c r="U1271" s="2" t="s">
        <v>298</v>
      </c>
      <c r="V1271" s="2" t="s">
        <v>239</v>
      </c>
      <c r="W1271" s="2" t="s">
        <v>299</v>
      </c>
      <c r="X1271" s="2" t="s">
        <v>2286</v>
      </c>
      <c r="Y1271" s="2" t="s">
        <v>5953</v>
      </c>
      <c r="Z1271" s="4">
        <v>93</v>
      </c>
      <c r="AA1271" s="4">
        <f>=ROUNDDOWN(23.25,0)</f>
      </c>
      <c r="AB1271" s="5">
        <v>4</v>
      </c>
      <c r="AC1271" s="2" t="s">
        <v>1128</v>
      </c>
      <c r="AD1271" s="4">
        <v>30</v>
      </c>
      <c r="AE1271" s="4">
        <v>130</v>
      </c>
      <c r="AF1271" s="6">
        <v>64</v>
      </c>
      <c r="AG1271" s="6"/>
      <c r="AH1271" s="7">
        <v>1</v>
      </c>
      <c r="AI1271" s="4"/>
      <c r="AJ1271" s="4">
        <f>=ROUNDDOWN({0},0)</f>
      </c>
      <c r="AK1271" s="5"/>
      <c r="AL1271" s="2" t="s">
        <v>231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231</v>
      </c>
      <c r="AW1271" s="8" t="s">
        <v>231</v>
      </c>
      <c r="AX1271" s="4" t="s">
        <v>231</v>
      </c>
      <c r="AY1271" s="8" t="s">
        <v>231</v>
      </c>
      <c r="AZ1271" s="7" t="s">
        <v>231</v>
      </c>
      <c r="BA1271" s="7" t="s">
        <v>231</v>
      </c>
      <c r="BB1271" s="7"/>
      <c r="BC1271" s="4" t="s">
        <v>231</v>
      </c>
      <c r="BD1271" s="8" t="s">
        <v>231</v>
      </c>
      <c r="BE1271" s="4" t="s">
        <v>231</v>
      </c>
      <c r="BF1271" s="8" t="s">
        <v>231</v>
      </c>
      <c r="BG1271" s="7" t="s">
        <v>231</v>
      </c>
      <c r="BH1271" s="7" t="s">
        <v>231</v>
      </c>
      <c r="BI1271" s="7"/>
      <c r="BJ1271" s="4">
        <v>11</v>
      </c>
      <c r="BK1271" s="8">
        <v>458.43</v>
      </c>
      <c r="BL1271" s="2" t="s">
        <v>5954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5955</v>
      </c>
      <c r="BV1271" s="2" t="s">
        <v>231</v>
      </c>
      <c r="BW1271" s="2" t="s">
        <v>231</v>
      </c>
      <c r="BX1271" s="2" t="s">
        <v>241</v>
      </c>
      <c r="BY1271" s="2" t="s">
        <v>277</v>
      </c>
      <c r="BZ1271" s="2" t="s">
        <v>243</v>
      </c>
      <c r="CA1271" s="2" t="s">
        <v>5953</v>
      </c>
      <c r="CB1271" s="2" t="s">
        <v>5956</v>
      </c>
      <c r="CC1271" s="2" t="s">
        <v>244</v>
      </c>
      <c r="CD1271" s="2" t="s">
        <v>231</v>
      </c>
      <c r="CE1271" s="4">
        <v>93</v>
      </c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>
        <v>30</v>
      </c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>
        <v>60</v>
      </c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>
        <v>40</v>
      </c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</row>
    <row r="1272">
      <c r="A1272" s="2" t="s">
        <v>5957</v>
      </c>
      <c r="B1272" s="2" t="s">
        <v>847</v>
      </c>
      <c r="C1272" s="2" t="s">
        <v>288</v>
      </c>
      <c r="D1272" s="2" t="s">
        <v>848</v>
      </c>
      <c r="E1272" s="2" t="s">
        <v>849</v>
      </c>
      <c r="F1272" s="2" t="s">
        <v>5958</v>
      </c>
      <c r="G1272" s="2" t="s">
        <v>5958</v>
      </c>
      <c r="H1272" s="2" t="s">
        <v>5958</v>
      </c>
      <c r="I1272" s="2" t="s">
        <v>5959</v>
      </c>
      <c r="J1272" s="2" t="s">
        <v>807</v>
      </c>
      <c r="K1272" s="2" t="s">
        <v>3221</v>
      </c>
      <c r="L1272" s="3">
        <v>25.25</v>
      </c>
      <c r="M1272" s="3">
        <v>26.51</v>
      </c>
      <c r="N1272" s="3">
        <v>53.54</v>
      </c>
      <c r="O1272" s="2" t="s">
        <v>243</v>
      </c>
      <c r="P1272" s="2" t="s">
        <v>270</v>
      </c>
      <c r="Q1272" s="2" t="s">
        <v>237</v>
      </c>
      <c r="R1272" s="2" t="s">
        <v>231</v>
      </c>
      <c r="S1272" s="2" t="s">
        <v>5960</v>
      </c>
      <c r="T1272" s="2" t="s">
        <v>231</v>
      </c>
      <c r="U1272" s="2" t="s">
        <v>791</v>
      </c>
      <c r="V1272" s="2" t="s">
        <v>5961</v>
      </c>
      <c r="W1272" s="2" t="s">
        <v>691</v>
      </c>
      <c r="X1272" s="2" t="s">
        <v>231</v>
      </c>
      <c r="Y1272" s="2" t="s">
        <v>875</v>
      </c>
      <c r="Z1272" s="4">
        <v>143</v>
      </c>
      <c r="AA1272" s="4">
        <f>=ROUNDDOWN(9.53333333333333,0)</f>
      </c>
      <c r="AB1272" s="5">
        <v>15</v>
      </c>
      <c r="AC1272" s="2" t="s">
        <v>392</v>
      </c>
      <c r="AD1272" s="4">
        <v>50</v>
      </c>
      <c r="AE1272" s="4">
        <v>200</v>
      </c>
      <c r="AF1272" s="6">
        <v>63</v>
      </c>
      <c r="AG1272" s="6"/>
      <c r="AH1272" s="7">
        <v>1</v>
      </c>
      <c r="AI1272" s="4"/>
      <c r="AJ1272" s="4">
        <f>=ROUNDDOWN({0},0)</f>
      </c>
      <c r="AK1272" s="5"/>
      <c r="AL1272" s="2" t="s">
        <v>231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>
        <v>107</v>
      </c>
      <c r="BK1272" s="8">
        <v>2538.35</v>
      </c>
      <c r="BL1272" s="2" t="s">
        <v>5962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5963</v>
      </c>
      <c r="BV1272" s="2" t="s">
        <v>231</v>
      </c>
      <c r="BW1272" s="2" t="s">
        <v>231</v>
      </c>
      <c r="BX1272" s="2" t="s">
        <v>231</v>
      </c>
      <c r="BY1272" s="2" t="s">
        <v>277</v>
      </c>
      <c r="BZ1272" s="2" t="s">
        <v>243</v>
      </c>
      <c r="CA1272" s="2" t="s">
        <v>879</v>
      </c>
      <c r="CB1272" s="2" t="s">
        <v>680</v>
      </c>
      <c r="CC1272" s="2" t="s">
        <v>244</v>
      </c>
      <c r="CD1272" s="2" t="s">
        <v>231</v>
      </c>
      <c r="CE1272" s="4"/>
      <c r="CF1272" s="4">
        <v>143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>
        <v>50</v>
      </c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>
        <v>150</v>
      </c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</row>
    <row r="1273">
      <c r="A1273" s="2" t="s">
        <v>5964</v>
      </c>
      <c r="B1273" s="2" t="s">
        <v>1004</v>
      </c>
      <c r="C1273" s="2" t="s">
        <v>815</v>
      </c>
      <c r="D1273" s="2" t="s">
        <v>1689</v>
      </c>
      <c r="E1273" s="2" t="s">
        <v>2538</v>
      </c>
      <c r="F1273" s="2" t="s">
        <v>5965</v>
      </c>
      <c r="G1273" s="2" t="s">
        <v>5965</v>
      </c>
      <c r="H1273" s="2" t="s">
        <v>5965</v>
      </c>
      <c r="I1273" s="2" t="s">
        <v>5966</v>
      </c>
      <c r="J1273" s="2" t="s">
        <v>807</v>
      </c>
      <c r="K1273" s="2" t="s">
        <v>901</v>
      </c>
      <c r="L1273" s="3">
        <v>205.2</v>
      </c>
      <c r="M1273" s="3">
        <v>215.46</v>
      </c>
      <c r="N1273" s="3">
        <v>429</v>
      </c>
      <c r="O1273" s="2" t="s">
        <v>243</v>
      </c>
      <c r="P1273" s="2" t="s">
        <v>1985</v>
      </c>
      <c r="Q1273" s="2" t="s">
        <v>237</v>
      </c>
      <c r="R1273" s="2" t="s">
        <v>231</v>
      </c>
      <c r="S1273" s="2" t="s">
        <v>231</v>
      </c>
      <c r="T1273" s="2" t="s">
        <v>231</v>
      </c>
      <c r="U1273" s="2" t="s">
        <v>327</v>
      </c>
      <c r="V1273" s="2" t="s">
        <v>662</v>
      </c>
      <c r="W1273" s="2" t="s">
        <v>792</v>
      </c>
      <c r="X1273" s="2" t="s">
        <v>676</v>
      </c>
      <c r="Y1273" s="2" t="s">
        <v>1769</v>
      </c>
      <c r="Z1273" s="4">
        <v>19</v>
      </c>
      <c r="AA1273" s="4">
        <f>=ROUNDDOWN(19,0)</f>
      </c>
      <c r="AB1273" s="5">
        <v>1</v>
      </c>
      <c r="AC1273" s="2" t="s">
        <v>1137</v>
      </c>
      <c r="AD1273" s="4">
        <v>100</v>
      </c>
      <c r="AE1273" s="4">
        <v>100</v>
      </c>
      <c r="AF1273" s="6">
        <v>66</v>
      </c>
      <c r="AG1273" s="6"/>
      <c r="AH1273" s="7">
        <v>1</v>
      </c>
      <c r="AI1273" s="4"/>
      <c r="AJ1273" s="4">
        <f>=ROUNDDOWN({0},0)</f>
      </c>
      <c r="AK1273" s="5"/>
      <c r="AL1273" s="2" t="s">
        <v>231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>
        <v>5</v>
      </c>
      <c r="BK1273" s="8">
        <v>1103.16</v>
      </c>
      <c r="BL1273" s="2" t="s">
        <v>2225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5967</v>
      </c>
      <c r="BV1273" s="2" t="s">
        <v>231</v>
      </c>
      <c r="BW1273" s="2" t="s">
        <v>231</v>
      </c>
      <c r="BX1273" s="2" t="s">
        <v>241</v>
      </c>
      <c r="BY1273" s="2" t="s">
        <v>277</v>
      </c>
      <c r="BZ1273" s="2" t="s">
        <v>243</v>
      </c>
      <c r="CA1273" s="2" t="s">
        <v>1769</v>
      </c>
      <c r="CB1273" s="2" t="s">
        <v>1119</v>
      </c>
      <c r="CC1273" s="2" t="s">
        <v>244</v>
      </c>
      <c r="CD1273" s="2" t="s">
        <v>231</v>
      </c>
      <c r="CE1273" s="4"/>
      <c r="CF1273" s="4">
        <v>19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>
        <v>100</v>
      </c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</row>
    <row r="1274">
      <c r="A1274" s="2" t="s">
        <v>5968</v>
      </c>
      <c r="B1274" s="2" t="s">
        <v>824</v>
      </c>
      <c r="C1274" s="2" t="s">
        <v>3567</v>
      </c>
      <c r="D1274" s="2" t="s">
        <v>654</v>
      </c>
      <c r="E1274" s="2" t="s">
        <v>655</v>
      </c>
      <c r="F1274" s="2" t="s">
        <v>5969</v>
      </c>
      <c r="G1274" s="2" t="s">
        <v>5970</v>
      </c>
      <c r="H1274" s="2" t="s">
        <v>5971</v>
      </c>
      <c r="I1274" s="2" t="s">
        <v>5972</v>
      </c>
      <c r="J1274" s="2" t="s">
        <v>318</v>
      </c>
      <c r="K1274" s="2" t="s">
        <v>5973</v>
      </c>
      <c r="L1274" s="3">
        <v>37.75</v>
      </c>
      <c r="M1274" s="3">
        <v>39.64</v>
      </c>
      <c r="N1274" s="3">
        <v>79.99</v>
      </c>
      <c r="O1274" s="2" t="s">
        <v>243</v>
      </c>
      <c r="P1274" s="2" t="s">
        <v>1985</v>
      </c>
      <c r="Q1274" s="2" t="s">
        <v>237</v>
      </c>
      <c r="R1274" s="2" t="s">
        <v>231</v>
      </c>
      <c r="S1274" s="2" t="s">
        <v>5974</v>
      </c>
      <c r="T1274" s="2" t="s">
        <v>362</v>
      </c>
      <c r="U1274" s="2" t="s">
        <v>298</v>
      </c>
      <c r="V1274" s="2" t="s">
        <v>1685</v>
      </c>
      <c r="W1274" s="2" t="s">
        <v>273</v>
      </c>
      <c r="X1274" s="2" t="s">
        <v>231</v>
      </c>
      <c r="Y1274" s="2" t="s">
        <v>5975</v>
      </c>
      <c r="Z1274" s="4">
        <v>56</v>
      </c>
      <c r="AA1274" s="4">
        <f>=ROUNDDOWN(6.82926829268293,0)</f>
      </c>
      <c r="AB1274" s="5">
        <v>8.2</v>
      </c>
      <c r="AC1274" s="2" t="s">
        <v>231</v>
      </c>
      <c r="AD1274" s="4"/>
      <c r="AE1274" s="4"/>
      <c r="AF1274" s="6">
        <v>65</v>
      </c>
      <c r="AG1274" s="6">
        <v>73</v>
      </c>
      <c r="AH1274" s="7">
        <v>1</v>
      </c>
      <c r="AI1274" s="4"/>
      <c r="AJ1274" s="4">
        <f>=ROUNDDOWN({0},0)</f>
      </c>
      <c r="AK1274" s="5"/>
      <c r="AL1274" s="2" t="s">
        <v>231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231</v>
      </c>
      <c r="AW1274" s="8" t="s">
        <v>231</v>
      </c>
      <c r="AX1274" s="4" t="s">
        <v>231</v>
      </c>
      <c r="AY1274" s="8" t="s">
        <v>231</v>
      </c>
      <c r="AZ1274" s="7" t="s">
        <v>231</v>
      </c>
      <c r="BA1274" s="7" t="s">
        <v>231</v>
      </c>
      <c r="BB1274" s="7" t="s">
        <v>231</v>
      </c>
      <c r="BC1274" s="4" t="s">
        <v>231</v>
      </c>
      <c r="BD1274" s="8" t="s">
        <v>231</v>
      </c>
      <c r="BE1274" s="4" t="s">
        <v>231</v>
      </c>
      <c r="BF1274" s="8" t="s">
        <v>231</v>
      </c>
      <c r="BG1274" s="7" t="s">
        <v>231</v>
      </c>
      <c r="BH1274" s="7" t="s">
        <v>231</v>
      </c>
      <c r="BI1274" s="7"/>
      <c r="BJ1274" s="4">
        <v>38</v>
      </c>
      <c r="BK1274" s="8">
        <v>1647.67</v>
      </c>
      <c r="BL1274" s="2" t="s">
        <v>5976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5977</v>
      </c>
      <c r="BV1274" s="2" t="s">
        <v>231</v>
      </c>
      <c r="BW1274" s="2" t="s">
        <v>231</v>
      </c>
      <c r="BX1274" s="2" t="s">
        <v>231</v>
      </c>
      <c r="BY1274" s="2" t="s">
        <v>277</v>
      </c>
      <c r="BZ1274" s="2" t="s">
        <v>243</v>
      </c>
      <c r="CA1274" s="2" t="s">
        <v>5978</v>
      </c>
      <c r="CB1274" s="2" t="s">
        <v>5979</v>
      </c>
      <c r="CC1274" s="2" t="s">
        <v>244</v>
      </c>
      <c r="CD1274" s="2" t="s">
        <v>231</v>
      </c>
      <c r="CE1274" s="4">
        <v>44</v>
      </c>
      <c r="CF1274" s="4"/>
      <c r="CG1274" s="4"/>
      <c r="CH1274" s="4"/>
      <c r="CI1274" s="4">
        <v>12</v>
      </c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</row>
    <row r="1275">
      <c r="A1275" s="2" t="s">
        <v>5980</v>
      </c>
      <c r="B1275" s="2" t="s">
        <v>824</v>
      </c>
      <c r="C1275" s="2" t="s">
        <v>3567</v>
      </c>
      <c r="D1275" s="2" t="s">
        <v>826</v>
      </c>
      <c r="E1275" s="2" t="s">
        <v>827</v>
      </c>
      <c r="F1275" s="2" t="s">
        <v>5969</v>
      </c>
      <c r="G1275" s="2" t="s">
        <v>5970</v>
      </c>
      <c r="H1275" s="2" t="s">
        <v>5971</v>
      </c>
      <c r="I1275" s="2" t="s">
        <v>5981</v>
      </c>
      <c r="J1275" s="2" t="s">
        <v>318</v>
      </c>
      <c r="K1275" s="2" t="s">
        <v>5973</v>
      </c>
      <c r="L1275" s="3">
        <v>35</v>
      </c>
      <c r="M1275" s="3">
        <v>36.75</v>
      </c>
      <c r="N1275" s="3">
        <v>69.99</v>
      </c>
      <c r="O1275" s="2" t="s">
        <v>243</v>
      </c>
      <c r="P1275" s="2" t="s">
        <v>1985</v>
      </c>
      <c r="Q1275" s="2" t="s">
        <v>237</v>
      </c>
      <c r="R1275" s="2" t="s">
        <v>231</v>
      </c>
      <c r="S1275" s="2" t="s">
        <v>5974</v>
      </c>
      <c r="T1275" s="2" t="s">
        <v>362</v>
      </c>
      <c r="U1275" s="2" t="s">
        <v>298</v>
      </c>
      <c r="V1275" s="2" t="s">
        <v>1685</v>
      </c>
      <c r="W1275" s="2" t="s">
        <v>273</v>
      </c>
      <c r="X1275" s="2" t="s">
        <v>231</v>
      </c>
      <c r="Y1275" s="2" t="s">
        <v>5975</v>
      </c>
      <c r="Z1275" s="4">
        <v>158</v>
      </c>
      <c r="AA1275" s="4">
        <f>=ROUNDDOWN(52.6666666666667,0)</f>
      </c>
      <c r="AB1275" s="5">
        <v>3</v>
      </c>
      <c r="AC1275" s="2" t="s">
        <v>231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231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231</v>
      </c>
      <c r="AW1275" s="8" t="s">
        <v>231</v>
      </c>
      <c r="AX1275" s="4" t="s">
        <v>231</v>
      </c>
      <c r="AY1275" s="8" t="s">
        <v>231</v>
      </c>
      <c r="AZ1275" s="7" t="s">
        <v>231</v>
      </c>
      <c r="BA1275" s="7" t="s">
        <v>231</v>
      </c>
      <c r="BB1275" s="7" t="s">
        <v>231</v>
      </c>
      <c r="BC1275" s="4" t="s">
        <v>231</v>
      </c>
      <c r="BD1275" s="8" t="s">
        <v>231</v>
      </c>
      <c r="BE1275" s="4" t="s">
        <v>231</v>
      </c>
      <c r="BF1275" s="8" t="s">
        <v>231</v>
      </c>
      <c r="BG1275" s="7" t="s">
        <v>231</v>
      </c>
      <c r="BH1275" s="7" t="s">
        <v>231</v>
      </c>
      <c r="BI1275" s="7"/>
      <c r="BJ1275" s="4">
        <v>11</v>
      </c>
      <c r="BK1275" s="8">
        <v>388.24</v>
      </c>
      <c r="BL1275" s="2" t="s">
        <v>5982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5983</v>
      </c>
      <c r="BV1275" s="2" t="s">
        <v>231</v>
      </c>
      <c r="BW1275" s="2" t="s">
        <v>231</v>
      </c>
      <c r="BX1275" s="2" t="s">
        <v>231</v>
      </c>
      <c r="BY1275" s="2" t="s">
        <v>277</v>
      </c>
      <c r="BZ1275" s="2" t="s">
        <v>243</v>
      </c>
      <c r="CA1275" s="2" t="s">
        <v>5978</v>
      </c>
      <c r="CB1275" s="2" t="s">
        <v>1833</v>
      </c>
      <c r="CC1275" s="2" t="s">
        <v>244</v>
      </c>
      <c r="CD1275" s="2" t="s">
        <v>231</v>
      </c>
      <c r="CE1275" s="4">
        <v>158</v>
      </c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</row>
    <row r="1276">
      <c r="A1276" s="2" t="s">
        <v>5984</v>
      </c>
      <c r="B1276" s="2" t="s">
        <v>1004</v>
      </c>
      <c r="C1276" s="2" t="s">
        <v>867</v>
      </c>
      <c r="D1276" s="2" t="s">
        <v>5985</v>
      </c>
      <c r="E1276" s="2" t="s">
        <v>5986</v>
      </c>
      <c r="F1276" s="2" t="s">
        <v>5987</v>
      </c>
      <c r="G1276" s="2" t="s">
        <v>5987</v>
      </c>
      <c r="H1276" s="2" t="s">
        <v>5987</v>
      </c>
      <c r="I1276" s="2" t="s">
        <v>5988</v>
      </c>
      <c r="J1276" s="2" t="s">
        <v>807</v>
      </c>
      <c r="K1276" s="2" t="s">
        <v>5989</v>
      </c>
      <c r="L1276" s="3">
        <v>229.5</v>
      </c>
      <c r="M1276" s="3">
        <v>240.98</v>
      </c>
      <c r="N1276" s="3">
        <v>479</v>
      </c>
      <c r="O1276" s="2" t="s">
        <v>243</v>
      </c>
      <c r="P1276" s="2" t="s">
        <v>341</v>
      </c>
      <c r="Q1276" s="2" t="s">
        <v>237</v>
      </c>
      <c r="R1276" s="2" t="s">
        <v>231</v>
      </c>
      <c r="S1276" s="2" t="s">
        <v>231</v>
      </c>
      <c r="T1276" s="2" t="s">
        <v>231</v>
      </c>
      <c r="U1276" s="2" t="s">
        <v>327</v>
      </c>
      <c r="V1276" s="2" t="s">
        <v>239</v>
      </c>
      <c r="W1276" s="2" t="s">
        <v>896</v>
      </c>
      <c r="X1276" s="2" t="s">
        <v>874</v>
      </c>
      <c r="Y1276" s="2" t="s">
        <v>3857</v>
      </c>
      <c r="Z1276" s="4">
        <v>78</v>
      </c>
      <c r="AA1276" s="4">
        <f>=ROUNDDOWN(39,0)</f>
      </c>
      <c r="AB1276" s="5">
        <v>2</v>
      </c>
      <c r="AC1276" s="2" t="s">
        <v>231</v>
      </c>
      <c r="AD1276" s="4"/>
      <c r="AE1276" s="4"/>
      <c r="AF1276" s="6">
        <v>74</v>
      </c>
      <c r="AG1276" s="6"/>
      <c r="AH1276" s="7">
        <v>1</v>
      </c>
      <c r="AI1276" s="4"/>
      <c r="AJ1276" s="4">
        <f>=ROUNDDOWN({0},0)</f>
      </c>
      <c r="AK1276" s="5"/>
      <c r="AL1276" s="2" t="s">
        <v>231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231</v>
      </c>
      <c r="BD1276" s="8" t="s">
        <v>231</v>
      </c>
      <c r="BE1276" s="4" t="s">
        <v>231</v>
      </c>
      <c r="BF1276" s="8" t="s">
        <v>231</v>
      </c>
      <c r="BG1276" s="7" t="s">
        <v>231</v>
      </c>
      <c r="BH1276" s="7" t="s">
        <v>231</v>
      </c>
      <c r="BI1276" s="7"/>
      <c r="BJ1276" s="4">
        <v>39</v>
      </c>
      <c r="BK1276" s="8">
        <v>7205.67</v>
      </c>
      <c r="BL1276" s="2" t="s">
        <v>5990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5991</v>
      </c>
      <c r="BV1276" s="2" t="s">
        <v>231</v>
      </c>
      <c r="BW1276" s="2" t="s">
        <v>231</v>
      </c>
      <c r="BX1276" s="2" t="s">
        <v>231</v>
      </c>
      <c r="BY1276" s="2" t="s">
        <v>277</v>
      </c>
      <c r="BZ1276" s="2" t="s">
        <v>243</v>
      </c>
      <c r="CA1276" s="2" t="s">
        <v>3857</v>
      </c>
      <c r="CB1276" s="2" t="s">
        <v>2325</v>
      </c>
      <c r="CC1276" s="2" t="s">
        <v>244</v>
      </c>
      <c r="CD1276" s="2" t="s">
        <v>231</v>
      </c>
      <c r="CE1276" s="4"/>
      <c r="CF1276" s="4">
        <v>78</v>
      </c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</row>
    <row r="1277">
      <c r="A1277" s="2" t="s">
        <v>5992</v>
      </c>
      <c r="B1277" s="2" t="s">
        <v>1004</v>
      </c>
      <c r="C1277" s="2" t="s">
        <v>867</v>
      </c>
      <c r="D1277" s="2" t="s">
        <v>1922</v>
      </c>
      <c r="E1277" s="2" t="s">
        <v>1923</v>
      </c>
      <c r="F1277" s="2" t="s">
        <v>5987</v>
      </c>
      <c r="G1277" s="2" t="s">
        <v>5987</v>
      </c>
      <c r="H1277" s="2" t="s">
        <v>5987</v>
      </c>
      <c r="I1277" s="2" t="s">
        <v>5993</v>
      </c>
      <c r="J1277" s="2" t="s">
        <v>807</v>
      </c>
      <c r="K1277" s="2" t="s">
        <v>747</v>
      </c>
      <c r="L1277" s="3">
        <v>145.35</v>
      </c>
      <c r="M1277" s="3">
        <v>152.62</v>
      </c>
      <c r="N1277" s="3">
        <v>299</v>
      </c>
      <c r="O1277" s="2" t="s">
        <v>243</v>
      </c>
      <c r="P1277" s="2" t="s">
        <v>1985</v>
      </c>
      <c r="Q1277" s="2" t="s">
        <v>237</v>
      </c>
      <c r="R1277" s="2" t="s">
        <v>231</v>
      </c>
      <c r="S1277" s="2" t="s">
        <v>231</v>
      </c>
      <c r="T1277" s="2" t="s">
        <v>231</v>
      </c>
      <c r="U1277" s="2" t="s">
        <v>791</v>
      </c>
      <c r="V1277" s="2" t="s">
        <v>662</v>
      </c>
      <c r="W1277" s="2" t="s">
        <v>896</v>
      </c>
      <c r="X1277" s="2" t="s">
        <v>874</v>
      </c>
      <c r="Y1277" s="2" t="s">
        <v>1769</v>
      </c>
      <c r="Z1277" s="4">
        <v>174</v>
      </c>
      <c r="AA1277" s="4">
        <f>=ROUNDDOWN(174,0)</f>
      </c>
      <c r="AB1277" s="5">
        <v>1</v>
      </c>
      <c r="AC1277" s="2" t="s">
        <v>231</v>
      </c>
      <c r="AD1277" s="4"/>
      <c r="AE1277" s="4"/>
      <c r="AF1277" s="6">
        <v>74</v>
      </c>
      <c r="AG1277" s="6"/>
      <c r="AH1277" s="7">
        <v>1</v>
      </c>
      <c r="AI1277" s="4"/>
      <c r="AJ1277" s="4">
        <f>=ROUNDDOWN({0},0)</f>
      </c>
      <c r="AK1277" s="5"/>
      <c r="AL1277" s="2" t="s">
        <v>231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231</v>
      </c>
      <c r="BD1277" s="8" t="s">
        <v>231</v>
      </c>
      <c r="BE1277" s="4" t="s">
        <v>231</v>
      </c>
      <c r="BF1277" s="8" t="s">
        <v>231</v>
      </c>
      <c r="BG1277" s="7" t="s">
        <v>231</v>
      </c>
      <c r="BH1277" s="7" t="s">
        <v>231</v>
      </c>
      <c r="BI1277" s="7"/>
      <c r="BJ1277" s="4">
        <v>7</v>
      </c>
      <c r="BK1277" s="8">
        <v>660.24</v>
      </c>
      <c r="BL1277" s="2" t="s">
        <v>628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5994</v>
      </c>
      <c r="BV1277" s="2" t="s">
        <v>231</v>
      </c>
      <c r="BW1277" s="2" t="s">
        <v>231</v>
      </c>
      <c r="BX1277" s="2" t="s">
        <v>231</v>
      </c>
      <c r="BY1277" s="2" t="s">
        <v>277</v>
      </c>
      <c r="BZ1277" s="2" t="s">
        <v>243</v>
      </c>
      <c r="CA1277" s="2" t="s">
        <v>1769</v>
      </c>
      <c r="CB1277" s="2" t="s">
        <v>1611</v>
      </c>
      <c r="CC1277" s="2" t="s">
        <v>244</v>
      </c>
      <c r="CD1277" s="2" t="s">
        <v>231</v>
      </c>
      <c r="CE1277" s="4"/>
      <c r="CF1277" s="4">
        <v>174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</row>
    <row r="1278">
      <c r="A1278" s="2" t="s">
        <v>5995</v>
      </c>
      <c r="B1278" s="2" t="s">
        <v>847</v>
      </c>
      <c r="C1278" s="2" t="s">
        <v>288</v>
      </c>
      <c r="D1278" s="2" t="s">
        <v>906</v>
      </c>
      <c r="E1278" s="2" t="s">
        <v>5338</v>
      </c>
      <c r="F1278" s="2" t="s">
        <v>5996</v>
      </c>
      <c r="G1278" s="2" t="s">
        <v>5996</v>
      </c>
      <c r="H1278" s="2" t="s">
        <v>5996</v>
      </c>
      <c r="I1278" s="2" t="s">
        <v>5997</v>
      </c>
      <c r="J1278" s="2" t="s">
        <v>5998</v>
      </c>
      <c r="K1278" s="2" t="s">
        <v>698</v>
      </c>
      <c r="L1278" s="3">
        <v>50.43</v>
      </c>
      <c r="M1278" s="3">
        <v>52.95</v>
      </c>
      <c r="N1278" s="3">
        <v>93.49</v>
      </c>
      <c r="O1278" s="2" t="s">
        <v>243</v>
      </c>
      <c r="P1278" s="2" t="s">
        <v>871</v>
      </c>
      <c r="Q1278" s="2" t="s">
        <v>237</v>
      </c>
      <c r="R1278" s="2" t="s">
        <v>231</v>
      </c>
      <c r="S1278" s="2" t="s">
        <v>231</v>
      </c>
      <c r="T1278" s="2" t="s">
        <v>231</v>
      </c>
      <c r="U1278" s="2" t="s">
        <v>327</v>
      </c>
      <c r="V1278" s="2" t="s">
        <v>836</v>
      </c>
      <c r="W1278" s="2" t="s">
        <v>231</v>
      </c>
      <c r="X1278" s="2" t="s">
        <v>231</v>
      </c>
      <c r="Y1278" s="2" t="s">
        <v>1078</v>
      </c>
      <c r="Z1278" s="4">
        <v>180</v>
      </c>
      <c r="AA1278" s="4">
        <f>=ROUNDDOWN(13.8461538461538,0)</f>
      </c>
      <c r="AB1278" s="5">
        <v>13</v>
      </c>
      <c r="AC1278" s="2" t="s">
        <v>3898</v>
      </c>
      <c r="AD1278" s="4">
        <v>120</v>
      </c>
      <c r="AE1278" s="4">
        <v>120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231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231</v>
      </c>
      <c r="BD1278" s="8" t="s">
        <v>231</v>
      </c>
      <c r="BE1278" s="4" t="s">
        <v>231</v>
      </c>
      <c r="BF1278" s="8" t="s">
        <v>231</v>
      </c>
      <c r="BG1278" s="7" t="s">
        <v>231</v>
      </c>
      <c r="BH1278" s="7" t="s">
        <v>231</v>
      </c>
      <c r="BI1278" s="7"/>
      <c r="BJ1278" s="4">
        <v>68</v>
      </c>
      <c r="BK1278" s="8">
        <v>3844.53</v>
      </c>
      <c r="BL1278" s="2" t="s">
        <v>5999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6000</v>
      </c>
      <c r="BV1278" s="2" t="s">
        <v>231</v>
      </c>
      <c r="BW1278" s="2" t="s">
        <v>231</v>
      </c>
      <c r="BX1278" s="2" t="s">
        <v>231</v>
      </c>
      <c r="BY1278" s="2" t="s">
        <v>277</v>
      </c>
      <c r="BZ1278" s="2" t="s">
        <v>243</v>
      </c>
      <c r="CA1278" s="2" t="s">
        <v>782</v>
      </c>
      <c r="CB1278" s="2" t="s">
        <v>1088</v>
      </c>
      <c r="CC1278" s="2" t="s">
        <v>244</v>
      </c>
      <c r="CD1278" s="2" t="s">
        <v>231</v>
      </c>
      <c r="CE1278" s="4"/>
      <c r="CF1278" s="4">
        <v>180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>
        <v>120</v>
      </c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</row>
    <row r="1279">
      <c r="A1279" s="2" t="s">
        <v>6001</v>
      </c>
      <c r="B1279" s="2" t="s">
        <v>1186</v>
      </c>
      <c r="C1279" s="2" t="s">
        <v>2371</v>
      </c>
      <c r="D1279" s="2" t="s">
        <v>1462</v>
      </c>
      <c r="E1279" s="2" t="s">
        <v>2563</v>
      </c>
      <c r="F1279" s="2" t="s">
        <v>5996</v>
      </c>
      <c r="G1279" s="2" t="s">
        <v>5996</v>
      </c>
      <c r="H1279" s="2" t="s">
        <v>5996</v>
      </c>
      <c r="I1279" s="2" t="s">
        <v>6002</v>
      </c>
      <c r="J1279" s="2" t="s">
        <v>658</v>
      </c>
      <c r="K1279" s="2" t="s">
        <v>6003</v>
      </c>
      <c r="L1279" s="3">
        <v>102.14</v>
      </c>
      <c r="M1279" s="3">
        <v>107.25</v>
      </c>
      <c r="N1279" s="3">
        <v>299.99</v>
      </c>
      <c r="O1279" s="2" t="s">
        <v>243</v>
      </c>
      <c r="P1279" s="2" t="s">
        <v>270</v>
      </c>
      <c r="Q1279" s="2" t="s">
        <v>237</v>
      </c>
      <c r="R1279" s="2" t="s">
        <v>231</v>
      </c>
      <c r="S1279" s="2" t="s">
        <v>231</v>
      </c>
      <c r="T1279" s="2" t="s">
        <v>362</v>
      </c>
      <c r="U1279" s="2" t="s">
        <v>231</v>
      </c>
      <c r="V1279" s="2" t="s">
        <v>239</v>
      </c>
      <c r="W1279" s="2" t="s">
        <v>792</v>
      </c>
      <c r="X1279" s="2" t="s">
        <v>231</v>
      </c>
      <c r="Y1279" s="2" t="s">
        <v>5892</v>
      </c>
      <c r="Z1279" s="4">
        <v>19</v>
      </c>
      <c r="AA1279" s="4">
        <f>=ROUNDDOWN(9.5,0)</f>
      </c>
      <c r="AB1279" s="5">
        <v>2</v>
      </c>
      <c r="AC1279" s="2" t="s">
        <v>321</v>
      </c>
      <c r="AD1279" s="4">
        <v>44</v>
      </c>
      <c r="AE1279" s="4">
        <v>44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231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231</v>
      </c>
      <c r="BD1279" s="8" t="s">
        <v>231</v>
      </c>
      <c r="BE1279" s="4" t="s">
        <v>231</v>
      </c>
      <c r="BF1279" s="8" t="s">
        <v>231</v>
      </c>
      <c r="BG1279" s="7" t="s">
        <v>231</v>
      </c>
      <c r="BH1279" s="7" t="s">
        <v>231</v>
      </c>
      <c r="BI1279" s="7"/>
      <c r="BJ1279" s="4">
        <v>6</v>
      </c>
      <c r="BK1279" s="8">
        <v>859.21</v>
      </c>
      <c r="BL1279" s="2" t="s">
        <v>6004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6005</v>
      </c>
      <c r="BV1279" s="2" t="s">
        <v>231</v>
      </c>
      <c r="BW1279" s="2" t="s">
        <v>231</v>
      </c>
      <c r="BX1279" s="2" t="s">
        <v>231</v>
      </c>
      <c r="BY1279" s="2" t="s">
        <v>277</v>
      </c>
      <c r="BZ1279" s="2" t="s">
        <v>243</v>
      </c>
      <c r="CA1279" s="2" t="s">
        <v>6006</v>
      </c>
      <c r="CB1279" s="2" t="s">
        <v>2515</v>
      </c>
      <c r="CC1279" s="2" t="s">
        <v>244</v>
      </c>
      <c r="CD1279" s="2" t="s">
        <v>231</v>
      </c>
      <c r="CE1279" s="4">
        <v>19</v>
      </c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>
        <v>44</v>
      </c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</row>
    <row r="1280">
      <c r="A1280" s="2" t="s">
        <v>6007</v>
      </c>
      <c r="B1280" s="2" t="s">
        <v>226</v>
      </c>
      <c r="C1280" s="2" t="s">
        <v>3948</v>
      </c>
      <c r="D1280" s="2" t="s">
        <v>1549</v>
      </c>
      <c r="E1280" s="2" t="s">
        <v>3949</v>
      </c>
      <c r="F1280" s="2" t="s">
        <v>6008</v>
      </c>
      <c r="G1280" s="2" t="s">
        <v>6008</v>
      </c>
      <c r="H1280" s="2" t="s">
        <v>6008</v>
      </c>
      <c r="I1280" s="2" t="s">
        <v>3951</v>
      </c>
      <c r="J1280" s="2" t="s">
        <v>318</v>
      </c>
      <c r="K1280" s="2" t="s">
        <v>901</v>
      </c>
      <c r="L1280" s="3">
        <v>41.73</v>
      </c>
      <c r="M1280" s="3">
        <v>43.82</v>
      </c>
      <c r="N1280" s="3">
        <v>89.99</v>
      </c>
      <c r="O1280" s="2" t="s">
        <v>243</v>
      </c>
      <c r="P1280" s="2" t="s">
        <v>270</v>
      </c>
      <c r="Q1280" s="2" t="s">
        <v>237</v>
      </c>
      <c r="R1280" s="2" t="s">
        <v>231</v>
      </c>
      <c r="S1280" s="2" t="s">
        <v>231</v>
      </c>
      <c r="T1280" s="2" t="s">
        <v>595</v>
      </c>
      <c r="U1280" s="2" t="s">
        <v>327</v>
      </c>
      <c r="V1280" s="2" t="s">
        <v>239</v>
      </c>
      <c r="W1280" s="2" t="s">
        <v>273</v>
      </c>
      <c r="X1280" s="2" t="s">
        <v>231</v>
      </c>
      <c r="Y1280" s="2" t="s">
        <v>6009</v>
      </c>
      <c r="Z1280" s="4">
        <v>101</v>
      </c>
      <c r="AA1280" s="4">
        <f>=ROUNDDOWN(14.4285714285714,0)</f>
      </c>
      <c r="AB1280" s="5">
        <v>7</v>
      </c>
      <c r="AC1280" s="2" t="s">
        <v>321</v>
      </c>
      <c r="AD1280" s="4">
        <v>150</v>
      </c>
      <c r="AE1280" s="4">
        <v>300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231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231</v>
      </c>
      <c r="AW1280" s="8" t="s">
        <v>231</v>
      </c>
      <c r="AX1280" s="4" t="s">
        <v>231</v>
      </c>
      <c r="AY1280" s="8" t="s">
        <v>231</v>
      </c>
      <c r="AZ1280" s="7" t="s">
        <v>231</v>
      </c>
      <c r="BA1280" s="7" t="s">
        <v>231</v>
      </c>
      <c r="BB1280" s="7"/>
      <c r="BC1280" s="4" t="s">
        <v>231</v>
      </c>
      <c r="BD1280" s="8" t="s">
        <v>231</v>
      </c>
      <c r="BE1280" s="4" t="s">
        <v>231</v>
      </c>
      <c r="BF1280" s="8" t="s">
        <v>231</v>
      </c>
      <c r="BG1280" s="7" t="s">
        <v>231</v>
      </c>
      <c r="BH1280" s="7" t="s">
        <v>231</v>
      </c>
      <c r="BI1280" s="7"/>
      <c r="BJ1280" s="4">
        <v>2</v>
      </c>
      <c r="BK1280" s="8">
        <v>90.77</v>
      </c>
      <c r="BL1280" s="2" t="s">
        <v>1358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6010</v>
      </c>
      <c r="BV1280" s="2" t="s">
        <v>231</v>
      </c>
      <c r="BW1280" s="2" t="s">
        <v>231</v>
      </c>
      <c r="BX1280" s="2" t="s">
        <v>4138</v>
      </c>
      <c r="BY1280" s="2" t="s">
        <v>277</v>
      </c>
      <c r="BZ1280" s="2" t="s">
        <v>243</v>
      </c>
      <c r="CA1280" s="2" t="s">
        <v>1398</v>
      </c>
      <c r="CB1280" s="2" t="s">
        <v>3865</v>
      </c>
      <c r="CC1280" s="2" t="s">
        <v>244</v>
      </c>
      <c r="CD1280" s="2" t="s">
        <v>231</v>
      </c>
      <c r="CE1280" s="4">
        <v>101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>
        <v>150</v>
      </c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>
        <v>150</v>
      </c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</row>
    <row r="1281">
      <c r="A1281" s="2" t="s">
        <v>6011</v>
      </c>
      <c r="B1281" s="2" t="s">
        <v>226</v>
      </c>
      <c r="C1281" s="2" t="s">
        <v>3948</v>
      </c>
      <c r="D1281" s="2" t="s">
        <v>1549</v>
      </c>
      <c r="E1281" s="2" t="s">
        <v>3949</v>
      </c>
      <c r="F1281" s="2" t="s">
        <v>6008</v>
      </c>
      <c r="G1281" s="2" t="s">
        <v>6008</v>
      </c>
      <c r="H1281" s="2" t="s">
        <v>6008</v>
      </c>
      <c r="I1281" s="2" t="s">
        <v>3951</v>
      </c>
      <c r="J1281" s="2" t="s">
        <v>281</v>
      </c>
      <c r="K1281" s="2" t="s">
        <v>901</v>
      </c>
      <c r="L1281" s="3">
        <v>47.3</v>
      </c>
      <c r="M1281" s="3">
        <v>49.66</v>
      </c>
      <c r="N1281" s="3">
        <v>101.99</v>
      </c>
      <c r="O1281" s="2" t="s">
        <v>243</v>
      </c>
      <c r="P1281" s="2" t="s">
        <v>270</v>
      </c>
      <c r="Q1281" s="2" t="s">
        <v>237</v>
      </c>
      <c r="R1281" s="2" t="s">
        <v>231</v>
      </c>
      <c r="S1281" s="2" t="s">
        <v>231</v>
      </c>
      <c r="T1281" s="2" t="s">
        <v>595</v>
      </c>
      <c r="U1281" s="2" t="s">
        <v>327</v>
      </c>
      <c r="V1281" s="2" t="s">
        <v>239</v>
      </c>
      <c r="W1281" s="2" t="s">
        <v>273</v>
      </c>
      <c r="X1281" s="2" t="s">
        <v>231</v>
      </c>
      <c r="Y1281" s="2" t="s">
        <v>6009</v>
      </c>
      <c r="Z1281" s="4">
        <v>892</v>
      </c>
      <c r="AA1281" s="4">
        <f>=ROUNDDOWN(148.666666666667,0)</f>
      </c>
      <c r="AB1281" s="5">
        <v>6</v>
      </c>
      <c r="AC1281" s="2" t="s">
        <v>1651</v>
      </c>
      <c r="AD1281" s="4">
        <v>480</v>
      </c>
      <c r="AE1281" s="4">
        <v>480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231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231</v>
      </c>
      <c r="AW1281" s="8" t="s">
        <v>231</v>
      </c>
      <c r="AX1281" s="4" t="s">
        <v>231</v>
      </c>
      <c r="AY1281" s="8" t="s">
        <v>231</v>
      </c>
      <c r="AZ1281" s="7" t="s">
        <v>231</v>
      </c>
      <c r="BA1281" s="7" t="s">
        <v>231</v>
      </c>
      <c r="BB1281" s="7"/>
      <c r="BC1281" s="4" t="s">
        <v>231</v>
      </c>
      <c r="BD1281" s="8" t="s">
        <v>231</v>
      </c>
      <c r="BE1281" s="4" t="s">
        <v>231</v>
      </c>
      <c r="BF1281" s="8" t="s">
        <v>231</v>
      </c>
      <c r="BG1281" s="7" t="s">
        <v>231</v>
      </c>
      <c r="BH1281" s="7" t="s">
        <v>231</v>
      </c>
      <c r="BI1281" s="7"/>
      <c r="BJ1281" s="4">
        <v>6</v>
      </c>
      <c r="BK1281" s="8">
        <v>299.83</v>
      </c>
      <c r="BL1281" s="2" t="s">
        <v>619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6012</v>
      </c>
      <c r="BV1281" s="2" t="s">
        <v>231</v>
      </c>
      <c r="BW1281" s="2" t="s">
        <v>231</v>
      </c>
      <c r="BX1281" s="2" t="s">
        <v>4138</v>
      </c>
      <c r="BY1281" s="2" t="s">
        <v>277</v>
      </c>
      <c r="BZ1281" s="2" t="s">
        <v>243</v>
      </c>
      <c r="CA1281" s="2" t="s">
        <v>1398</v>
      </c>
      <c r="CB1281" s="2" t="s">
        <v>6013</v>
      </c>
      <c r="CC1281" s="2" t="s">
        <v>244</v>
      </c>
      <c r="CD1281" s="2" t="s">
        <v>231</v>
      </c>
      <c r="CE1281" s="4">
        <v>892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>
        <v>480</v>
      </c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</row>
    <row r="1282">
      <c r="A1282" s="2" t="s">
        <v>6014</v>
      </c>
      <c r="B1282" s="2" t="s">
        <v>226</v>
      </c>
      <c r="C1282" s="2" t="s">
        <v>3948</v>
      </c>
      <c r="D1282" s="2" t="s">
        <v>1549</v>
      </c>
      <c r="E1282" s="2" t="s">
        <v>3949</v>
      </c>
      <c r="F1282" s="2" t="s">
        <v>6008</v>
      </c>
      <c r="G1282" s="2" t="s">
        <v>6008</v>
      </c>
      <c r="H1282" s="2" t="s">
        <v>6008</v>
      </c>
      <c r="I1282" s="2" t="s">
        <v>3951</v>
      </c>
      <c r="J1282" s="2" t="s">
        <v>302</v>
      </c>
      <c r="K1282" s="2" t="s">
        <v>901</v>
      </c>
      <c r="L1282" s="3">
        <v>75.13</v>
      </c>
      <c r="M1282" s="3">
        <v>78.89</v>
      </c>
      <c r="N1282" s="3">
        <v>159.99</v>
      </c>
      <c r="O1282" s="2" t="s">
        <v>243</v>
      </c>
      <c r="P1282" s="2" t="s">
        <v>270</v>
      </c>
      <c r="Q1282" s="2" t="s">
        <v>237</v>
      </c>
      <c r="R1282" s="2" t="s">
        <v>231</v>
      </c>
      <c r="S1282" s="2" t="s">
        <v>231</v>
      </c>
      <c r="T1282" s="2" t="s">
        <v>595</v>
      </c>
      <c r="U1282" s="2" t="s">
        <v>327</v>
      </c>
      <c r="V1282" s="2" t="s">
        <v>239</v>
      </c>
      <c r="W1282" s="2" t="s">
        <v>273</v>
      </c>
      <c r="X1282" s="2" t="s">
        <v>231</v>
      </c>
      <c r="Y1282" s="2" t="s">
        <v>6009</v>
      </c>
      <c r="Z1282" s="4">
        <v>474</v>
      </c>
      <c r="AA1282" s="4">
        <f>=ROUNDDOWN(47.4,0)</f>
      </c>
      <c r="AB1282" s="5">
        <v>10</v>
      </c>
      <c r="AC1282" s="2" t="s">
        <v>231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231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231</v>
      </c>
      <c r="AW1282" s="8" t="s">
        <v>231</v>
      </c>
      <c r="AX1282" s="4" t="s">
        <v>231</v>
      </c>
      <c r="AY1282" s="8" t="s">
        <v>231</v>
      </c>
      <c r="AZ1282" s="7" t="s">
        <v>231</v>
      </c>
      <c r="BA1282" s="7" t="s">
        <v>231</v>
      </c>
      <c r="BB1282" s="7"/>
      <c r="BC1282" s="4" t="s">
        <v>231</v>
      </c>
      <c r="BD1282" s="8" t="s">
        <v>231</v>
      </c>
      <c r="BE1282" s="4" t="s">
        <v>231</v>
      </c>
      <c r="BF1282" s="8" t="s">
        <v>231</v>
      </c>
      <c r="BG1282" s="7" t="s">
        <v>231</v>
      </c>
      <c r="BH1282" s="7" t="s">
        <v>231</v>
      </c>
      <c r="BI1282" s="7"/>
      <c r="BJ1282" s="4">
        <v>5</v>
      </c>
      <c r="BK1282" s="8">
        <v>407.37</v>
      </c>
      <c r="BL1282" s="2" t="s">
        <v>924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6015</v>
      </c>
      <c r="BV1282" s="2" t="s">
        <v>231</v>
      </c>
      <c r="BW1282" s="2" t="s">
        <v>231</v>
      </c>
      <c r="BX1282" s="2" t="s">
        <v>4138</v>
      </c>
      <c r="BY1282" s="2" t="s">
        <v>277</v>
      </c>
      <c r="BZ1282" s="2" t="s">
        <v>243</v>
      </c>
      <c r="CA1282" s="2" t="s">
        <v>1398</v>
      </c>
      <c r="CB1282" s="2" t="s">
        <v>6016</v>
      </c>
      <c r="CC1282" s="2" t="s">
        <v>244</v>
      </c>
      <c r="CD1282" s="2" t="s">
        <v>231</v>
      </c>
      <c r="CE1282" s="4">
        <v>474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</row>
    <row r="1283">
      <c r="A1283" s="2" t="s">
        <v>6017</v>
      </c>
      <c r="B1283" s="2" t="s">
        <v>226</v>
      </c>
      <c r="C1283" s="2" t="s">
        <v>3948</v>
      </c>
      <c r="D1283" s="2" t="s">
        <v>1549</v>
      </c>
      <c r="E1283" s="2" t="s">
        <v>3949</v>
      </c>
      <c r="F1283" s="2" t="s">
        <v>6008</v>
      </c>
      <c r="G1283" s="2" t="s">
        <v>6008</v>
      </c>
      <c r="H1283" s="2" t="s">
        <v>6008</v>
      </c>
      <c r="I1283" s="2" t="s">
        <v>3951</v>
      </c>
      <c r="J1283" s="2" t="s">
        <v>318</v>
      </c>
      <c r="K1283" s="2" t="s">
        <v>4082</v>
      </c>
      <c r="L1283" s="3">
        <v>41.73</v>
      </c>
      <c r="M1283" s="3">
        <v>43.82</v>
      </c>
      <c r="N1283" s="3">
        <v>89.99</v>
      </c>
      <c r="O1283" s="2" t="s">
        <v>243</v>
      </c>
      <c r="P1283" s="2" t="s">
        <v>1281</v>
      </c>
      <c r="Q1283" s="2" t="s">
        <v>237</v>
      </c>
      <c r="R1283" s="2" t="s">
        <v>231</v>
      </c>
      <c r="S1283" s="2" t="s">
        <v>231</v>
      </c>
      <c r="T1283" s="2" t="s">
        <v>595</v>
      </c>
      <c r="U1283" s="2" t="s">
        <v>327</v>
      </c>
      <c r="V1283" s="2" t="s">
        <v>239</v>
      </c>
      <c r="W1283" s="2" t="s">
        <v>273</v>
      </c>
      <c r="X1283" s="2" t="s">
        <v>231</v>
      </c>
      <c r="Y1283" s="2" t="s">
        <v>6018</v>
      </c>
      <c r="Z1283" s="4">
        <v>478</v>
      </c>
      <c r="AA1283" s="4">
        <f>=ROUNDDOWN(40.5084745762712,0)</f>
      </c>
      <c r="AB1283" s="5">
        <v>11.8</v>
      </c>
      <c r="AC1283" s="2" t="s">
        <v>1537</v>
      </c>
      <c r="AD1283" s="4">
        <v>150</v>
      </c>
      <c r="AE1283" s="4">
        <v>150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231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231</v>
      </c>
      <c r="BD1283" s="8" t="s">
        <v>231</v>
      </c>
      <c r="BE1283" s="4" t="s">
        <v>231</v>
      </c>
      <c r="BF1283" s="8" t="s">
        <v>231</v>
      </c>
      <c r="BG1283" s="7" t="s">
        <v>231</v>
      </c>
      <c r="BH1283" s="7" t="s">
        <v>231</v>
      </c>
      <c r="BI1283" s="7"/>
      <c r="BJ1283" s="4">
        <v>16</v>
      </c>
      <c r="BK1283" s="8">
        <v>761.03</v>
      </c>
      <c r="BL1283" s="2" t="s">
        <v>6019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6020</v>
      </c>
      <c r="BV1283" s="2" t="s">
        <v>231</v>
      </c>
      <c r="BW1283" s="2" t="s">
        <v>231</v>
      </c>
      <c r="BX1283" s="2" t="s">
        <v>4138</v>
      </c>
      <c r="BY1283" s="2" t="s">
        <v>277</v>
      </c>
      <c r="BZ1283" s="2" t="s">
        <v>243</v>
      </c>
      <c r="CA1283" s="2" t="s">
        <v>6021</v>
      </c>
      <c r="CB1283" s="2" t="s">
        <v>2786</v>
      </c>
      <c r="CC1283" s="2" t="s">
        <v>244</v>
      </c>
      <c r="CD1283" s="2" t="s">
        <v>231</v>
      </c>
      <c r="CE1283" s="4">
        <v>478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>
        <v>150</v>
      </c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</row>
    <row r="1284">
      <c r="A1284" s="2" t="s">
        <v>6022</v>
      </c>
      <c r="B1284" s="2" t="s">
        <v>226</v>
      </c>
      <c r="C1284" s="2" t="s">
        <v>3948</v>
      </c>
      <c r="D1284" s="2" t="s">
        <v>1549</v>
      </c>
      <c r="E1284" s="2" t="s">
        <v>3949</v>
      </c>
      <c r="F1284" s="2" t="s">
        <v>6008</v>
      </c>
      <c r="G1284" s="2" t="s">
        <v>6008</v>
      </c>
      <c r="H1284" s="2" t="s">
        <v>6008</v>
      </c>
      <c r="I1284" s="2" t="s">
        <v>3951</v>
      </c>
      <c r="J1284" s="2" t="s">
        <v>318</v>
      </c>
      <c r="K1284" s="2" t="s">
        <v>747</v>
      </c>
      <c r="L1284" s="3">
        <v>41.73</v>
      </c>
      <c r="M1284" s="3">
        <v>43.82</v>
      </c>
      <c r="N1284" s="3">
        <v>89.99</v>
      </c>
      <c r="O1284" s="2" t="s">
        <v>243</v>
      </c>
      <c r="P1284" s="2" t="s">
        <v>270</v>
      </c>
      <c r="Q1284" s="2" t="s">
        <v>237</v>
      </c>
      <c r="R1284" s="2" t="s">
        <v>231</v>
      </c>
      <c r="S1284" s="2" t="s">
        <v>231</v>
      </c>
      <c r="T1284" s="2" t="s">
        <v>595</v>
      </c>
      <c r="U1284" s="2" t="s">
        <v>327</v>
      </c>
      <c r="V1284" s="2" t="s">
        <v>239</v>
      </c>
      <c r="W1284" s="2" t="s">
        <v>273</v>
      </c>
      <c r="X1284" s="2" t="s">
        <v>231</v>
      </c>
      <c r="Y1284" s="2" t="s">
        <v>6009</v>
      </c>
      <c r="Z1284" s="4">
        <v>78</v>
      </c>
      <c r="AA1284" s="4">
        <f>=ROUNDDOWN(17.3333333333333,0)</f>
      </c>
      <c r="AB1284" s="5">
        <v>4.5</v>
      </c>
      <c r="AC1284" s="2" t="s">
        <v>321</v>
      </c>
      <c r="AD1284" s="4">
        <v>150</v>
      </c>
      <c r="AE1284" s="4">
        <v>300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231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231</v>
      </c>
      <c r="AW1284" s="8" t="s">
        <v>231</v>
      </c>
      <c r="AX1284" s="4" t="s">
        <v>231</v>
      </c>
      <c r="AY1284" s="8" t="s">
        <v>231</v>
      </c>
      <c r="AZ1284" s="7" t="s">
        <v>231</v>
      </c>
      <c r="BA1284" s="7" t="s">
        <v>231</v>
      </c>
      <c r="BB1284" s="7"/>
      <c r="BC1284" s="4" t="s">
        <v>231</v>
      </c>
      <c r="BD1284" s="8" t="s">
        <v>231</v>
      </c>
      <c r="BE1284" s="4" t="s">
        <v>231</v>
      </c>
      <c r="BF1284" s="8" t="s">
        <v>231</v>
      </c>
      <c r="BG1284" s="7" t="s">
        <v>231</v>
      </c>
      <c r="BH1284" s="7" t="s">
        <v>231</v>
      </c>
      <c r="BI1284" s="7"/>
      <c r="BJ1284" s="4">
        <v>7</v>
      </c>
      <c r="BK1284" s="8">
        <v>358.85</v>
      </c>
      <c r="BL1284" s="2" t="s">
        <v>6023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6024</v>
      </c>
      <c r="BV1284" s="2" t="s">
        <v>231</v>
      </c>
      <c r="BW1284" s="2" t="s">
        <v>231</v>
      </c>
      <c r="BX1284" s="2" t="s">
        <v>4138</v>
      </c>
      <c r="BY1284" s="2" t="s">
        <v>277</v>
      </c>
      <c r="BZ1284" s="2" t="s">
        <v>243</v>
      </c>
      <c r="CA1284" s="2" t="s">
        <v>1398</v>
      </c>
      <c r="CB1284" s="2" t="s">
        <v>4440</v>
      </c>
      <c r="CC1284" s="2" t="s">
        <v>244</v>
      </c>
      <c r="CD1284" s="2" t="s">
        <v>231</v>
      </c>
      <c r="CE1284" s="4">
        <v>78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>
        <v>150</v>
      </c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>
        <v>150</v>
      </c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</row>
    <row r="1285">
      <c r="A1285" s="2" t="s">
        <v>6025</v>
      </c>
      <c r="B1285" s="2" t="s">
        <v>226</v>
      </c>
      <c r="C1285" s="2" t="s">
        <v>3948</v>
      </c>
      <c r="D1285" s="2" t="s">
        <v>1549</v>
      </c>
      <c r="E1285" s="2" t="s">
        <v>3949</v>
      </c>
      <c r="F1285" s="2" t="s">
        <v>6008</v>
      </c>
      <c r="G1285" s="2" t="s">
        <v>6008</v>
      </c>
      <c r="H1285" s="2" t="s">
        <v>6008</v>
      </c>
      <c r="I1285" s="2" t="s">
        <v>3951</v>
      </c>
      <c r="J1285" s="2" t="s">
        <v>302</v>
      </c>
      <c r="K1285" s="2" t="s">
        <v>747</v>
      </c>
      <c r="L1285" s="3">
        <v>75.13</v>
      </c>
      <c r="M1285" s="3">
        <v>78.89</v>
      </c>
      <c r="N1285" s="3">
        <v>159.99</v>
      </c>
      <c r="O1285" s="2" t="s">
        <v>243</v>
      </c>
      <c r="P1285" s="2" t="s">
        <v>270</v>
      </c>
      <c r="Q1285" s="2" t="s">
        <v>237</v>
      </c>
      <c r="R1285" s="2" t="s">
        <v>231</v>
      </c>
      <c r="S1285" s="2" t="s">
        <v>231</v>
      </c>
      <c r="T1285" s="2" t="s">
        <v>595</v>
      </c>
      <c r="U1285" s="2" t="s">
        <v>327</v>
      </c>
      <c r="V1285" s="2" t="s">
        <v>239</v>
      </c>
      <c r="W1285" s="2" t="s">
        <v>273</v>
      </c>
      <c r="X1285" s="2" t="s">
        <v>231</v>
      </c>
      <c r="Y1285" s="2" t="s">
        <v>6009</v>
      </c>
      <c r="Z1285" s="4">
        <v>139</v>
      </c>
      <c r="AA1285" s="4">
        <f>=ROUNDDOWN(9.92857142857143,0)</f>
      </c>
      <c r="AB1285" s="5">
        <v>14</v>
      </c>
      <c r="AC1285" s="2" t="s">
        <v>1537</v>
      </c>
      <c r="AD1285" s="4">
        <v>150</v>
      </c>
      <c r="AE1285" s="4">
        <v>370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231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231</v>
      </c>
      <c r="AW1285" s="8" t="s">
        <v>231</v>
      </c>
      <c r="AX1285" s="4" t="s">
        <v>231</v>
      </c>
      <c r="AY1285" s="8" t="s">
        <v>231</v>
      </c>
      <c r="AZ1285" s="7" t="s">
        <v>231</v>
      </c>
      <c r="BA1285" s="7" t="s">
        <v>231</v>
      </c>
      <c r="BB1285" s="7"/>
      <c r="BC1285" s="4" t="s">
        <v>231</v>
      </c>
      <c r="BD1285" s="8" t="s">
        <v>231</v>
      </c>
      <c r="BE1285" s="4" t="s">
        <v>231</v>
      </c>
      <c r="BF1285" s="8" t="s">
        <v>231</v>
      </c>
      <c r="BG1285" s="7" t="s">
        <v>231</v>
      </c>
      <c r="BH1285" s="7" t="s">
        <v>231</v>
      </c>
      <c r="BI1285" s="7"/>
      <c r="BJ1285" s="4">
        <v>11</v>
      </c>
      <c r="BK1285" s="8">
        <v>890.79</v>
      </c>
      <c r="BL1285" s="2" t="s">
        <v>6026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6027</v>
      </c>
      <c r="BV1285" s="2" t="s">
        <v>231</v>
      </c>
      <c r="BW1285" s="2" t="s">
        <v>231</v>
      </c>
      <c r="BX1285" s="2" t="s">
        <v>4138</v>
      </c>
      <c r="BY1285" s="2" t="s">
        <v>277</v>
      </c>
      <c r="BZ1285" s="2" t="s">
        <v>243</v>
      </c>
      <c r="CA1285" s="2" t="s">
        <v>1398</v>
      </c>
      <c r="CB1285" s="2" t="s">
        <v>6028</v>
      </c>
      <c r="CC1285" s="2" t="s">
        <v>244</v>
      </c>
      <c r="CD1285" s="2" t="s">
        <v>231</v>
      </c>
      <c r="CE1285" s="4">
        <v>139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>
        <v>150</v>
      </c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>
        <v>220</v>
      </c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</row>
    <row r="1286">
      <c r="A1286" s="2" t="s">
        <v>6029</v>
      </c>
      <c r="B1286" s="2" t="s">
        <v>226</v>
      </c>
      <c r="C1286" s="2" t="s">
        <v>3948</v>
      </c>
      <c r="D1286" s="2" t="s">
        <v>1549</v>
      </c>
      <c r="E1286" s="2" t="s">
        <v>3949</v>
      </c>
      <c r="F1286" s="2" t="s">
        <v>6008</v>
      </c>
      <c r="G1286" s="2" t="s">
        <v>6008</v>
      </c>
      <c r="H1286" s="2" t="s">
        <v>6008</v>
      </c>
      <c r="I1286" s="2" t="s">
        <v>3951</v>
      </c>
      <c r="J1286" s="2" t="s">
        <v>318</v>
      </c>
      <c r="K1286" s="2" t="s">
        <v>1146</v>
      </c>
      <c r="L1286" s="3">
        <v>41.73</v>
      </c>
      <c r="M1286" s="3">
        <v>43.82</v>
      </c>
      <c r="N1286" s="3">
        <v>89.99</v>
      </c>
      <c r="O1286" s="2" t="s">
        <v>243</v>
      </c>
      <c r="P1286" s="2" t="s">
        <v>270</v>
      </c>
      <c r="Q1286" s="2" t="s">
        <v>237</v>
      </c>
      <c r="R1286" s="2" t="s">
        <v>231</v>
      </c>
      <c r="S1286" s="2" t="s">
        <v>231</v>
      </c>
      <c r="T1286" s="2" t="s">
        <v>595</v>
      </c>
      <c r="U1286" s="2" t="s">
        <v>327</v>
      </c>
      <c r="V1286" s="2" t="s">
        <v>239</v>
      </c>
      <c r="W1286" s="2" t="s">
        <v>273</v>
      </c>
      <c r="X1286" s="2" t="s">
        <v>231</v>
      </c>
      <c r="Y1286" s="2" t="s">
        <v>6018</v>
      </c>
      <c r="Z1286" s="4">
        <v>158</v>
      </c>
      <c r="AA1286" s="4">
        <f>=ROUNDDOWN(22.5714285714286,0)</f>
      </c>
      <c r="AB1286" s="5">
        <v>7</v>
      </c>
      <c r="AC1286" s="2" t="s">
        <v>1537</v>
      </c>
      <c r="AD1286" s="4">
        <v>150</v>
      </c>
      <c r="AE1286" s="4">
        <v>150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231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231</v>
      </c>
      <c r="AW1286" s="8" t="s">
        <v>231</v>
      </c>
      <c r="AX1286" s="4" t="s">
        <v>231</v>
      </c>
      <c r="AY1286" s="8" t="s">
        <v>231</v>
      </c>
      <c r="AZ1286" s="7" t="s">
        <v>231</v>
      </c>
      <c r="BA1286" s="7" t="s">
        <v>231</v>
      </c>
      <c r="BB1286" s="7"/>
      <c r="BC1286" s="4" t="s">
        <v>231</v>
      </c>
      <c r="BD1286" s="8" t="s">
        <v>231</v>
      </c>
      <c r="BE1286" s="4" t="s">
        <v>231</v>
      </c>
      <c r="BF1286" s="8" t="s">
        <v>231</v>
      </c>
      <c r="BG1286" s="7" t="s">
        <v>231</v>
      </c>
      <c r="BH1286" s="7" t="s">
        <v>231</v>
      </c>
      <c r="BI1286" s="7"/>
      <c r="BJ1286" s="4">
        <v>3</v>
      </c>
      <c r="BK1286" s="8">
        <v>136.67</v>
      </c>
      <c r="BL1286" s="2" t="s">
        <v>6030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6031</v>
      </c>
      <c r="BV1286" s="2" t="s">
        <v>231</v>
      </c>
      <c r="BW1286" s="2" t="s">
        <v>231</v>
      </c>
      <c r="BX1286" s="2" t="s">
        <v>4138</v>
      </c>
      <c r="BY1286" s="2" t="s">
        <v>277</v>
      </c>
      <c r="BZ1286" s="2" t="s">
        <v>243</v>
      </c>
      <c r="CA1286" s="2" t="s">
        <v>6021</v>
      </c>
      <c r="CB1286" s="2" t="s">
        <v>6032</v>
      </c>
      <c r="CC1286" s="2" t="s">
        <v>244</v>
      </c>
      <c r="CD1286" s="2" t="s">
        <v>231</v>
      </c>
      <c r="CE1286" s="4">
        <v>158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>
        <v>150</v>
      </c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</row>
    <row r="1287">
      <c r="A1287" s="2" t="s">
        <v>6033</v>
      </c>
      <c r="B1287" s="2" t="s">
        <v>226</v>
      </c>
      <c r="C1287" s="2" t="s">
        <v>3948</v>
      </c>
      <c r="D1287" s="2" t="s">
        <v>1549</v>
      </c>
      <c r="E1287" s="2" t="s">
        <v>3949</v>
      </c>
      <c r="F1287" s="2" t="s">
        <v>6008</v>
      </c>
      <c r="G1287" s="2" t="s">
        <v>6008</v>
      </c>
      <c r="H1287" s="2" t="s">
        <v>6008</v>
      </c>
      <c r="I1287" s="2" t="s">
        <v>3951</v>
      </c>
      <c r="J1287" s="2" t="s">
        <v>281</v>
      </c>
      <c r="K1287" s="2" t="s">
        <v>1146</v>
      </c>
      <c r="L1287" s="3">
        <v>47.3</v>
      </c>
      <c r="M1287" s="3">
        <v>49.66</v>
      </c>
      <c r="N1287" s="3">
        <v>101.99</v>
      </c>
      <c r="O1287" s="2" t="s">
        <v>243</v>
      </c>
      <c r="P1287" s="2" t="s">
        <v>270</v>
      </c>
      <c r="Q1287" s="2" t="s">
        <v>237</v>
      </c>
      <c r="R1287" s="2" t="s">
        <v>231</v>
      </c>
      <c r="S1287" s="2" t="s">
        <v>231</v>
      </c>
      <c r="T1287" s="2" t="s">
        <v>595</v>
      </c>
      <c r="U1287" s="2" t="s">
        <v>327</v>
      </c>
      <c r="V1287" s="2" t="s">
        <v>239</v>
      </c>
      <c r="W1287" s="2" t="s">
        <v>273</v>
      </c>
      <c r="X1287" s="2" t="s">
        <v>231</v>
      </c>
      <c r="Y1287" s="2" t="s">
        <v>6018</v>
      </c>
      <c r="Z1287" s="4">
        <v>228</v>
      </c>
      <c r="AA1287" s="4">
        <f>=ROUNDDOWN(28.5,0)</f>
      </c>
      <c r="AB1287" s="5">
        <v>8</v>
      </c>
      <c r="AC1287" s="2" t="s">
        <v>231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231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231</v>
      </c>
      <c r="AW1287" s="8" t="s">
        <v>231</v>
      </c>
      <c r="AX1287" s="4" t="s">
        <v>231</v>
      </c>
      <c r="AY1287" s="8" t="s">
        <v>231</v>
      </c>
      <c r="AZ1287" s="7" t="s">
        <v>231</v>
      </c>
      <c r="BA1287" s="7" t="s">
        <v>231</v>
      </c>
      <c r="BB1287" s="7"/>
      <c r="BC1287" s="4" t="s">
        <v>231</v>
      </c>
      <c r="BD1287" s="8" t="s">
        <v>231</v>
      </c>
      <c r="BE1287" s="4" t="s">
        <v>231</v>
      </c>
      <c r="BF1287" s="8" t="s">
        <v>231</v>
      </c>
      <c r="BG1287" s="7" t="s">
        <v>231</v>
      </c>
      <c r="BH1287" s="7" t="s">
        <v>231</v>
      </c>
      <c r="BI1287" s="7"/>
      <c r="BJ1287" s="4">
        <v>3</v>
      </c>
      <c r="BK1287" s="8">
        <v>158.01</v>
      </c>
      <c r="BL1287" s="2" t="s">
        <v>838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6034</v>
      </c>
      <c r="BV1287" s="2" t="s">
        <v>231</v>
      </c>
      <c r="BW1287" s="2" t="s">
        <v>231</v>
      </c>
      <c r="BX1287" s="2" t="s">
        <v>4138</v>
      </c>
      <c r="BY1287" s="2" t="s">
        <v>277</v>
      </c>
      <c r="BZ1287" s="2" t="s">
        <v>243</v>
      </c>
      <c r="CA1287" s="2" t="s">
        <v>6018</v>
      </c>
      <c r="CB1287" s="2" t="s">
        <v>6035</v>
      </c>
      <c r="CC1287" s="2" t="s">
        <v>244</v>
      </c>
      <c r="CD1287" s="2" t="s">
        <v>231</v>
      </c>
      <c r="CE1287" s="4">
        <v>228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</row>
    <row r="1288">
      <c r="A1288" s="2" t="s">
        <v>6036</v>
      </c>
      <c r="B1288" s="2" t="s">
        <v>847</v>
      </c>
      <c r="C1288" s="2" t="s">
        <v>825</v>
      </c>
      <c r="D1288" s="2" t="s">
        <v>882</v>
      </c>
      <c r="E1288" s="2" t="s">
        <v>2191</v>
      </c>
      <c r="F1288" s="2" t="s">
        <v>6037</v>
      </c>
      <c r="G1288" s="2" t="s">
        <v>6037</v>
      </c>
      <c r="H1288" s="2" t="s">
        <v>6037</v>
      </c>
      <c r="I1288" s="2" t="s">
        <v>6038</v>
      </c>
      <c r="J1288" s="2" t="s">
        <v>807</v>
      </c>
      <c r="K1288" s="2" t="s">
        <v>253</v>
      </c>
      <c r="L1288" s="3">
        <v>39.27</v>
      </c>
      <c r="M1288" s="3">
        <v>41.23</v>
      </c>
      <c r="N1288" s="3">
        <v>84.99</v>
      </c>
      <c r="O1288" s="2" t="s">
        <v>243</v>
      </c>
      <c r="P1288" s="2" t="s">
        <v>270</v>
      </c>
      <c r="Q1288" s="2" t="s">
        <v>237</v>
      </c>
      <c r="R1288" s="2" t="s">
        <v>231</v>
      </c>
      <c r="S1288" s="2" t="s">
        <v>231</v>
      </c>
      <c r="T1288" s="2" t="s">
        <v>231</v>
      </c>
      <c r="U1288" s="2" t="s">
        <v>835</v>
      </c>
      <c r="V1288" s="2" t="s">
        <v>4046</v>
      </c>
      <c r="W1288" s="2" t="s">
        <v>273</v>
      </c>
      <c r="X1288" s="2" t="s">
        <v>231</v>
      </c>
      <c r="Y1288" s="2" t="s">
        <v>4469</v>
      </c>
      <c r="Z1288" s="4">
        <v>118</v>
      </c>
      <c r="AA1288" s="4">
        <f>=ROUNDDOWN(38.0645161290323,0)</f>
      </c>
      <c r="AB1288" s="5">
        <v>3.1</v>
      </c>
      <c r="AC1288" s="2" t="s">
        <v>876</v>
      </c>
      <c r="AD1288" s="4">
        <v>100</v>
      </c>
      <c r="AE1288" s="4">
        <v>100</v>
      </c>
      <c r="AF1288" s="6">
        <v>63</v>
      </c>
      <c r="AG1288" s="6"/>
      <c r="AH1288" s="7">
        <v>1</v>
      </c>
      <c r="AI1288" s="4"/>
      <c r="AJ1288" s="4">
        <f>=ROUNDDOWN({0},0)</f>
      </c>
      <c r="AK1288" s="5"/>
      <c r="AL1288" s="2" t="s">
        <v>231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>
        <v>14</v>
      </c>
      <c r="BK1288" s="8">
        <v>616.28</v>
      </c>
      <c r="BL1288" s="2" t="s">
        <v>6039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6040</v>
      </c>
      <c r="BV1288" s="2" t="s">
        <v>231</v>
      </c>
      <c r="BW1288" s="2" t="s">
        <v>231</v>
      </c>
      <c r="BX1288" s="2" t="s">
        <v>231</v>
      </c>
      <c r="BY1288" s="2" t="s">
        <v>277</v>
      </c>
      <c r="BZ1288" s="2" t="s">
        <v>243</v>
      </c>
      <c r="CA1288" s="2" t="s">
        <v>3004</v>
      </c>
      <c r="CB1288" s="2" t="s">
        <v>6041</v>
      </c>
      <c r="CC1288" s="2" t="s">
        <v>244</v>
      </c>
      <c r="CD1288" s="2" t="s">
        <v>231</v>
      </c>
      <c r="CE1288" s="4"/>
      <c r="CF1288" s="4">
        <v>118</v>
      </c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>
        <v>100</v>
      </c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</row>
    <row r="1289">
      <c r="A1289" s="2" t="s">
        <v>6042</v>
      </c>
      <c r="B1289" s="2" t="s">
        <v>801</v>
      </c>
      <c r="C1289" s="2" t="s">
        <v>815</v>
      </c>
      <c r="D1289" s="2" t="s">
        <v>1114</v>
      </c>
      <c r="E1289" s="2" t="s">
        <v>1115</v>
      </c>
      <c r="F1289" s="2" t="s">
        <v>6043</v>
      </c>
      <c r="G1289" s="2" t="s">
        <v>6043</v>
      </c>
      <c r="H1289" s="2" t="s">
        <v>6043</v>
      </c>
      <c r="I1289" s="2" t="s">
        <v>6044</v>
      </c>
      <c r="J1289" s="2" t="s">
        <v>807</v>
      </c>
      <c r="K1289" s="2" t="s">
        <v>6045</v>
      </c>
      <c r="L1289" s="3">
        <v>49</v>
      </c>
      <c r="M1289" s="3">
        <v>51.45</v>
      </c>
      <c r="N1289" s="3">
        <v>99.99</v>
      </c>
      <c r="O1289" s="2" t="s">
        <v>243</v>
      </c>
      <c r="P1289" s="2" t="s">
        <v>236</v>
      </c>
      <c r="Q1289" s="2" t="s">
        <v>237</v>
      </c>
      <c r="R1289" s="2" t="s">
        <v>231</v>
      </c>
      <c r="S1289" s="2" t="s">
        <v>231</v>
      </c>
      <c r="T1289" s="2" t="s">
        <v>231</v>
      </c>
      <c r="U1289" s="2" t="s">
        <v>327</v>
      </c>
      <c r="V1289" s="2" t="s">
        <v>662</v>
      </c>
      <c r="W1289" s="2" t="s">
        <v>691</v>
      </c>
      <c r="X1289" s="2" t="s">
        <v>273</v>
      </c>
      <c r="Y1289" s="2" t="s">
        <v>6046</v>
      </c>
      <c r="Z1289" s="4">
        <v>76</v>
      </c>
      <c r="AA1289" s="4">
        <f>=ROUNDDOWN(76,0)</f>
      </c>
      <c r="AB1289" s="5">
        <v>1</v>
      </c>
      <c r="AC1289" s="2" t="s">
        <v>231</v>
      </c>
      <c r="AD1289" s="4"/>
      <c r="AE1289" s="4"/>
      <c r="AF1289" s="6">
        <v>63</v>
      </c>
      <c r="AG1289" s="6"/>
      <c r="AH1289" s="7">
        <v>1</v>
      </c>
      <c r="AI1289" s="4"/>
      <c r="AJ1289" s="4">
        <f>=ROUNDDOWN({0},0)</f>
      </c>
      <c r="AK1289" s="5"/>
      <c r="AL1289" s="2" t="s">
        <v>231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>
        <v>6</v>
      </c>
      <c r="BK1289" s="8">
        <v>301.5</v>
      </c>
      <c r="BL1289" s="2" t="s">
        <v>5426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6047</v>
      </c>
      <c r="BV1289" s="2" t="s">
        <v>231</v>
      </c>
      <c r="BW1289" s="2" t="s">
        <v>231</v>
      </c>
      <c r="BX1289" s="2" t="s">
        <v>241</v>
      </c>
      <c r="BY1289" s="2" t="s">
        <v>277</v>
      </c>
      <c r="BZ1289" s="2" t="s">
        <v>243</v>
      </c>
      <c r="CA1289" s="2" t="s">
        <v>5540</v>
      </c>
      <c r="CB1289" s="2" t="s">
        <v>1436</v>
      </c>
      <c r="CC1289" s="2" t="s">
        <v>244</v>
      </c>
      <c r="CD1289" s="2" t="s">
        <v>231</v>
      </c>
      <c r="CE1289" s="4"/>
      <c r="CF1289" s="4">
        <v>76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</row>
    <row r="1290">
      <c r="A1290" s="2" t="s">
        <v>6048</v>
      </c>
      <c r="B1290" s="2" t="s">
        <v>226</v>
      </c>
      <c r="C1290" s="2" t="s">
        <v>1299</v>
      </c>
      <c r="D1290" s="2" t="s">
        <v>654</v>
      </c>
      <c r="E1290" s="2" t="s">
        <v>890</v>
      </c>
      <c r="F1290" s="2" t="s">
        <v>6049</v>
      </c>
      <c r="G1290" s="2" t="s">
        <v>6049</v>
      </c>
      <c r="H1290" s="2" t="s">
        <v>6049</v>
      </c>
      <c r="I1290" s="2" t="s">
        <v>6050</v>
      </c>
      <c r="J1290" s="2" t="s">
        <v>318</v>
      </c>
      <c r="K1290" s="2" t="s">
        <v>255</v>
      </c>
      <c r="L1290" s="3">
        <v>25.3</v>
      </c>
      <c r="M1290" s="3">
        <v>26.56</v>
      </c>
      <c r="N1290" s="3">
        <v>54.99</v>
      </c>
      <c r="O1290" s="2" t="s">
        <v>243</v>
      </c>
      <c r="P1290" s="2" t="s">
        <v>270</v>
      </c>
      <c r="Q1290" s="2" t="s">
        <v>237</v>
      </c>
      <c r="R1290" s="2" t="s">
        <v>231</v>
      </c>
      <c r="S1290" s="2" t="s">
        <v>6051</v>
      </c>
      <c r="T1290" s="2" t="s">
        <v>5671</v>
      </c>
      <c r="U1290" s="2" t="s">
        <v>791</v>
      </c>
      <c r="V1290" s="2" t="s">
        <v>1304</v>
      </c>
      <c r="W1290" s="2" t="s">
        <v>897</v>
      </c>
      <c r="X1290" s="2" t="s">
        <v>231</v>
      </c>
      <c r="Y1290" s="2" t="s">
        <v>6052</v>
      </c>
      <c r="Z1290" s="4"/>
      <c r="AA1290" s="4">
        <f>=ROUNDDOWN({0},0)</f>
      </c>
      <c r="AB1290" s="5">
        <v>8</v>
      </c>
      <c r="AC1290" s="2" t="s">
        <v>701</v>
      </c>
      <c r="AD1290" s="4">
        <v>130</v>
      </c>
      <c r="AE1290" s="4">
        <v>400</v>
      </c>
      <c r="AF1290" s="6">
        <v>65</v>
      </c>
      <c r="AG1290" s="6"/>
      <c r="AH1290" s="7">
        <v>0</v>
      </c>
      <c r="AI1290" s="4"/>
      <c r="AJ1290" s="4">
        <f>=ROUNDDOWN({0},0)</f>
      </c>
      <c r="AK1290" s="5"/>
      <c r="AL1290" s="2" t="s">
        <v>231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231</v>
      </c>
      <c r="AW1290" s="8" t="s">
        <v>231</v>
      </c>
      <c r="AX1290" s="4" t="s">
        <v>231</v>
      </c>
      <c r="AY1290" s="8" t="s">
        <v>231</v>
      </c>
      <c r="AZ1290" s="7" t="s">
        <v>231</v>
      </c>
      <c r="BA1290" s="7" t="s">
        <v>231</v>
      </c>
      <c r="BB1290" s="7"/>
      <c r="BC1290" s="4" t="s">
        <v>231</v>
      </c>
      <c r="BD1290" s="8" t="s">
        <v>231</v>
      </c>
      <c r="BE1290" s="4" t="s">
        <v>231</v>
      </c>
      <c r="BF1290" s="8" t="s">
        <v>231</v>
      </c>
      <c r="BG1290" s="7" t="s">
        <v>231</v>
      </c>
      <c r="BH1290" s="7" t="s">
        <v>231</v>
      </c>
      <c r="BI1290" s="7"/>
      <c r="BJ1290" s="4"/>
      <c r="BK1290" s="8"/>
      <c r="BL1290" s="2" t="s">
        <v>231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6053</v>
      </c>
      <c r="BV1290" s="2" t="s">
        <v>231</v>
      </c>
      <c r="BW1290" s="2" t="s">
        <v>231</v>
      </c>
      <c r="BX1290" s="2" t="s">
        <v>231</v>
      </c>
      <c r="BY1290" s="2" t="s">
        <v>277</v>
      </c>
      <c r="BZ1290" s="2" t="s">
        <v>243</v>
      </c>
      <c r="CA1290" s="2" t="s">
        <v>4590</v>
      </c>
      <c r="CB1290" s="2" t="s">
        <v>6054</v>
      </c>
      <c r="CC1290" s="2" t="s">
        <v>244</v>
      </c>
      <c r="CD1290" s="2" t="s">
        <v>231</v>
      </c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>
        <v>130</v>
      </c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>
        <v>140</v>
      </c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>
        <v>130</v>
      </c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</row>
    <row r="1291">
      <c r="A1291" s="2" t="s">
        <v>6055</v>
      </c>
      <c r="B1291" s="2" t="s">
        <v>226</v>
      </c>
      <c r="C1291" s="2" t="s">
        <v>1299</v>
      </c>
      <c r="D1291" s="2" t="s">
        <v>654</v>
      </c>
      <c r="E1291" s="2" t="s">
        <v>890</v>
      </c>
      <c r="F1291" s="2" t="s">
        <v>6049</v>
      </c>
      <c r="G1291" s="2" t="s">
        <v>6049</v>
      </c>
      <c r="H1291" s="2" t="s">
        <v>6049</v>
      </c>
      <c r="I1291" s="2" t="s">
        <v>6050</v>
      </c>
      <c r="J1291" s="2" t="s">
        <v>302</v>
      </c>
      <c r="K1291" s="2" t="s">
        <v>255</v>
      </c>
      <c r="L1291" s="3">
        <v>40.5</v>
      </c>
      <c r="M1291" s="3">
        <v>42.52</v>
      </c>
      <c r="N1291" s="3">
        <v>89.99</v>
      </c>
      <c r="O1291" s="2" t="s">
        <v>243</v>
      </c>
      <c r="P1291" s="2" t="s">
        <v>270</v>
      </c>
      <c r="Q1291" s="2" t="s">
        <v>237</v>
      </c>
      <c r="R1291" s="2" t="s">
        <v>231</v>
      </c>
      <c r="S1291" s="2" t="s">
        <v>6056</v>
      </c>
      <c r="T1291" s="2" t="s">
        <v>5671</v>
      </c>
      <c r="U1291" s="2" t="s">
        <v>835</v>
      </c>
      <c r="V1291" s="2" t="s">
        <v>1304</v>
      </c>
      <c r="W1291" s="2" t="s">
        <v>897</v>
      </c>
      <c r="X1291" s="2" t="s">
        <v>231</v>
      </c>
      <c r="Y1291" s="2" t="s">
        <v>6052</v>
      </c>
      <c r="Z1291" s="4"/>
      <c r="AA1291" s="4">
        <f>=ROUNDDOWN({0},0)</f>
      </c>
      <c r="AB1291" s="5">
        <v>10</v>
      </c>
      <c r="AC1291" s="2" t="s">
        <v>701</v>
      </c>
      <c r="AD1291" s="4">
        <v>100</v>
      </c>
      <c r="AE1291" s="4">
        <v>380</v>
      </c>
      <c r="AF1291" s="6">
        <v>65</v>
      </c>
      <c r="AG1291" s="6"/>
      <c r="AH1291" s="7">
        <v>0</v>
      </c>
      <c r="AI1291" s="4"/>
      <c r="AJ1291" s="4">
        <f>=ROUNDDOWN({0},0)</f>
      </c>
      <c r="AK1291" s="5"/>
      <c r="AL1291" s="2" t="s">
        <v>231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231</v>
      </c>
      <c r="AW1291" s="8" t="s">
        <v>231</v>
      </c>
      <c r="AX1291" s="4" t="s">
        <v>231</v>
      </c>
      <c r="AY1291" s="8" t="s">
        <v>231</v>
      </c>
      <c r="AZ1291" s="7" t="s">
        <v>231</v>
      </c>
      <c r="BA1291" s="7" t="s">
        <v>231</v>
      </c>
      <c r="BB1291" s="7"/>
      <c r="BC1291" s="4" t="s">
        <v>231</v>
      </c>
      <c r="BD1291" s="8" t="s">
        <v>231</v>
      </c>
      <c r="BE1291" s="4" t="s">
        <v>231</v>
      </c>
      <c r="BF1291" s="8" t="s">
        <v>231</v>
      </c>
      <c r="BG1291" s="7" t="s">
        <v>231</v>
      </c>
      <c r="BH1291" s="7" t="s">
        <v>231</v>
      </c>
      <c r="BI1291" s="7"/>
      <c r="BJ1291" s="4"/>
      <c r="BK1291" s="8"/>
      <c r="BL1291" s="2" t="s">
        <v>6057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6058</v>
      </c>
      <c r="BV1291" s="2" t="s">
        <v>231</v>
      </c>
      <c r="BW1291" s="2" t="s">
        <v>231</v>
      </c>
      <c r="BX1291" s="2" t="s">
        <v>231</v>
      </c>
      <c r="BY1291" s="2" t="s">
        <v>277</v>
      </c>
      <c r="BZ1291" s="2" t="s">
        <v>243</v>
      </c>
      <c r="CA1291" s="2" t="s">
        <v>4590</v>
      </c>
      <c r="CB1291" s="2" t="s">
        <v>6054</v>
      </c>
      <c r="CC1291" s="2" t="s">
        <v>244</v>
      </c>
      <c r="CD1291" s="2" t="s">
        <v>231</v>
      </c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>
        <v>100</v>
      </c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>
        <v>110</v>
      </c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>
        <v>170</v>
      </c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</row>
    <row r="1292">
      <c r="A1292" s="2" t="s">
        <v>6059</v>
      </c>
      <c r="B1292" s="2" t="s">
        <v>1004</v>
      </c>
      <c r="C1292" s="2" t="s">
        <v>288</v>
      </c>
      <c r="D1292" s="2" t="s">
        <v>1689</v>
      </c>
      <c r="E1292" s="2" t="s">
        <v>1690</v>
      </c>
      <c r="F1292" s="2" t="s">
        <v>6060</v>
      </c>
      <c r="G1292" s="2" t="s">
        <v>6061</v>
      </c>
      <c r="H1292" s="2" t="s">
        <v>6062</v>
      </c>
      <c r="I1292" s="2" t="s">
        <v>6063</v>
      </c>
      <c r="J1292" s="2" t="s">
        <v>807</v>
      </c>
      <c r="K1292" s="2" t="s">
        <v>6064</v>
      </c>
      <c r="L1292" s="3">
        <v>195.5</v>
      </c>
      <c r="M1292" s="3">
        <v>205.28</v>
      </c>
      <c r="N1292" s="3">
        <v>409</v>
      </c>
      <c r="O1292" s="2" t="s">
        <v>235</v>
      </c>
      <c r="P1292" s="2" t="s">
        <v>341</v>
      </c>
      <c r="Q1292" s="2" t="s">
        <v>237</v>
      </c>
      <c r="R1292" s="2" t="s">
        <v>231</v>
      </c>
      <c r="S1292" s="2" t="s">
        <v>231</v>
      </c>
      <c r="T1292" s="2" t="s">
        <v>231</v>
      </c>
      <c r="U1292" s="2" t="s">
        <v>327</v>
      </c>
      <c r="V1292" s="2" t="s">
        <v>662</v>
      </c>
      <c r="W1292" s="2" t="s">
        <v>792</v>
      </c>
      <c r="X1292" s="2" t="s">
        <v>691</v>
      </c>
      <c r="Y1292" s="2" t="s">
        <v>1769</v>
      </c>
      <c r="Z1292" s="4">
        <v>87</v>
      </c>
      <c r="AA1292" s="4">
        <f>=ROUNDDOWN(435,0)</f>
      </c>
      <c r="AB1292" s="5">
        <v>0.2</v>
      </c>
      <c r="AC1292" s="2" t="s">
        <v>231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231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1</v>
      </c>
      <c r="BK1292" s="8">
        <v>190.29</v>
      </c>
      <c r="BL1292" s="2" t="s">
        <v>628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6065</v>
      </c>
      <c r="BV1292" s="2" t="s">
        <v>231</v>
      </c>
      <c r="BW1292" s="2" t="s">
        <v>231</v>
      </c>
      <c r="BX1292" s="2" t="s">
        <v>231</v>
      </c>
      <c r="BY1292" s="2" t="s">
        <v>277</v>
      </c>
      <c r="BZ1292" s="2" t="s">
        <v>243</v>
      </c>
      <c r="CA1292" s="2" t="s">
        <v>1769</v>
      </c>
      <c r="CB1292" s="2" t="s">
        <v>920</v>
      </c>
      <c r="CC1292" s="2" t="s">
        <v>244</v>
      </c>
      <c r="CD1292" s="2" t="s">
        <v>231</v>
      </c>
      <c r="CE1292" s="4"/>
      <c r="CF1292" s="4">
        <v>87</v>
      </c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</row>
    <row r="1293">
      <c r="A1293" s="2" t="s">
        <v>6066</v>
      </c>
      <c r="B1293" s="2" t="s">
        <v>1389</v>
      </c>
      <c r="C1293" s="2" t="s">
        <v>288</v>
      </c>
      <c r="D1293" s="2" t="s">
        <v>1389</v>
      </c>
      <c r="E1293" s="2" t="s">
        <v>1389</v>
      </c>
      <c r="F1293" s="2" t="s">
        <v>6067</v>
      </c>
      <c r="G1293" s="2" t="s">
        <v>6068</v>
      </c>
      <c r="H1293" s="2" t="s">
        <v>6069</v>
      </c>
      <c r="I1293" s="2" t="s">
        <v>6070</v>
      </c>
      <c r="J1293" s="2" t="s">
        <v>2039</v>
      </c>
      <c r="K1293" s="2" t="s">
        <v>6071</v>
      </c>
      <c r="L1293" s="3">
        <v>96</v>
      </c>
      <c r="M1293" s="3">
        <v>100.8</v>
      </c>
      <c r="N1293" s="3">
        <v>199.99</v>
      </c>
      <c r="O1293" s="2" t="s">
        <v>250</v>
      </c>
      <c r="P1293" s="2" t="s">
        <v>341</v>
      </c>
      <c r="Q1293" s="2" t="s">
        <v>237</v>
      </c>
      <c r="R1293" s="2" t="s">
        <v>231</v>
      </c>
      <c r="S1293" s="2" t="s">
        <v>231</v>
      </c>
      <c r="T1293" s="2" t="s">
        <v>231</v>
      </c>
      <c r="U1293" s="2" t="s">
        <v>327</v>
      </c>
      <c r="V1293" s="2" t="s">
        <v>836</v>
      </c>
      <c r="W1293" s="2" t="s">
        <v>691</v>
      </c>
      <c r="X1293" s="2" t="s">
        <v>231</v>
      </c>
      <c r="Y1293" s="2" t="s">
        <v>5590</v>
      </c>
      <c r="Z1293" s="4"/>
      <c r="AA1293" s="4">
        <f>=ROUNDDOWN({0},0)</f>
      </c>
      <c r="AB1293" s="5"/>
      <c r="AC1293" s="2" t="s">
        <v>231</v>
      </c>
      <c r="AD1293" s="4"/>
      <c r="AE1293" s="4"/>
      <c r="AF1293" s="6"/>
      <c r="AG1293" s="6"/>
      <c r="AH1293" s="7">
        <v>0</v>
      </c>
      <c r="AI1293" s="4"/>
      <c r="AJ1293" s="4">
        <f>=ROUNDDOWN({0},0)</f>
      </c>
      <c r="AK1293" s="5"/>
      <c r="AL1293" s="2" t="s">
        <v>231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/>
      <c r="BK1293" s="8"/>
      <c r="BL1293" s="2" t="s">
        <v>231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6072</v>
      </c>
      <c r="BV1293" s="2" t="s">
        <v>231</v>
      </c>
      <c r="BW1293" s="2" t="s">
        <v>231</v>
      </c>
      <c r="BX1293" s="2" t="s">
        <v>231</v>
      </c>
      <c r="BY1293" s="2" t="s">
        <v>277</v>
      </c>
      <c r="BZ1293" s="2" t="s">
        <v>243</v>
      </c>
      <c r="CA1293" s="2" t="s">
        <v>6073</v>
      </c>
      <c r="CB1293" s="2" t="s">
        <v>6074</v>
      </c>
      <c r="CC1293" s="2" t="s">
        <v>244</v>
      </c>
      <c r="CD1293" s="2" t="s">
        <v>231</v>
      </c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</row>
    <row r="1294">
      <c r="A1294" s="2" t="s">
        <v>6075</v>
      </c>
      <c r="B1294" s="2" t="s">
        <v>847</v>
      </c>
      <c r="C1294" s="2" t="s">
        <v>867</v>
      </c>
      <c r="D1294" s="2" t="s">
        <v>882</v>
      </c>
      <c r="E1294" s="2" t="s">
        <v>849</v>
      </c>
      <c r="F1294" s="2" t="s">
        <v>6076</v>
      </c>
      <c r="G1294" s="2" t="s">
        <v>6076</v>
      </c>
      <c r="H1294" s="2" t="s">
        <v>6076</v>
      </c>
      <c r="I1294" s="2" t="s">
        <v>884</v>
      </c>
      <c r="J1294" s="2" t="s">
        <v>807</v>
      </c>
      <c r="K1294" s="2" t="s">
        <v>870</v>
      </c>
      <c r="L1294" s="3">
        <v>27.4</v>
      </c>
      <c r="M1294" s="3">
        <v>28.77</v>
      </c>
      <c r="N1294" s="3">
        <v>59.49</v>
      </c>
      <c r="O1294" s="2" t="s">
        <v>243</v>
      </c>
      <c r="P1294" s="2" t="s">
        <v>341</v>
      </c>
      <c r="Q1294" s="2" t="s">
        <v>237</v>
      </c>
      <c r="R1294" s="2" t="s">
        <v>231</v>
      </c>
      <c r="S1294" s="2" t="s">
        <v>6077</v>
      </c>
      <c r="T1294" s="2" t="s">
        <v>231</v>
      </c>
      <c r="U1294" s="2" t="s">
        <v>327</v>
      </c>
      <c r="V1294" s="2" t="s">
        <v>873</v>
      </c>
      <c r="W1294" s="2" t="s">
        <v>676</v>
      </c>
      <c r="X1294" s="2" t="s">
        <v>874</v>
      </c>
      <c r="Y1294" s="2" t="s">
        <v>875</v>
      </c>
      <c r="Z1294" s="4">
        <v>57</v>
      </c>
      <c r="AA1294" s="4">
        <f>=ROUNDDOWN(25.9090909090909,0)</f>
      </c>
      <c r="AB1294" s="5">
        <v>2.2</v>
      </c>
      <c r="AC1294" s="2" t="s">
        <v>231</v>
      </c>
      <c r="AD1294" s="4"/>
      <c r="AE1294" s="4"/>
      <c r="AF1294" s="6">
        <v>63</v>
      </c>
      <c r="AG1294" s="6"/>
      <c r="AH1294" s="7">
        <v>1</v>
      </c>
      <c r="AI1294" s="4"/>
      <c r="AJ1294" s="4">
        <f>=ROUNDDOWN({0},0)</f>
      </c>
      <c r="AK1294" s="5"/>
      <c r="AL1294" s="2" t="s">
        <v>231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/>
      <c r="BD1294" s="8"/>
      <c r="BE1294" s="4"/>
      <c r="BF1294" s="8"/>
      <c r="BG1294" s="7"/>
      <c r="BH1294" s="7"/>
      <c r="BI1294" s="7"/>
      <c r="BJ1294" s="4">
        <v>8</v>
      </c>
      <c r="BK1294" s="8">
        <v>261.46</v>
      </c>
      <c r="BL1294" s="2" t="s">
        <v>6078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6079</v>
      </c>
      <c r="BV1294" s="2" t="s">
        <v>231</v>
      </c>
      <c r="BW1294" s="2" t="s">
        <v>231</v>
      </c>
      <c r="BX1294" s="2" t="s">
        <v>241</v>
      </c>
      <c r="BY1294" s="2" t="s">
        <v>277</v>
      </c>
      <c r="BZ1294" s="2" t="s">
        <v>243</v>
      </c>
      <c r="CA1294" s="2" t="s">
        <v>879</v>
      </c>
      <c r="CB1294" s="2" t="s">
        <v>6080</v>
      </c>
      <c r="CC1294" s="2" t="s">
        <v>244</v>
      </c>
      <c r="CD1294" s="2" t="s">
        <v>231</v>
      </c>
      <c r="CE1294" s="4"/>
      <c r="CF1294" s="4">
        <v>57</v>
      </c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</row>
    <row r="1295">
      <c r="A1295" s="2" t="s">
        <v>6081</v>
      </c>
      <c r="B1295" s="2" t="s">
        <v>1004</v>
      </c>
      <c r="C1295" s="2" t="s">
        <v>288</v>
      </c>
      <c r="D1295" s="2" t="s">
        <v>6082</v>
      </c>
      <c r="E1295" s="2" t="s">
        <v>6083</v>
      </c>
      <c r="F1295" s="2" t="s">
        <v>6084</v>
      </c>
      <c r="G1295" s="2" t="s">
        <v>6085</v>
      </c>
      <c r="H1295" s="2" t="s">
        <v>6086</v>
      </c>
      <c r="I1295" s="2" t="s">
        <v>6083</v>
      </c>
      <c r="J1295" s="2" t="s">
        <v>807</v>
      </c>
      <c r="K1295" s="2" t="s">
        <v>1136</v>
      </c>
      <c r="L1295" s="3">
        <v>475</v>
      </c>
      <c r="M1295" s="3">
        <v>498.75</v>
      </c>
      <c r="N1295" s="3">
        <v>999</v>
      </c>
      <c r="O1295" s="2" t="s">
        <v>243</v>
      </c>
      <c r="P1295" s="2" t="s">
        <v>341</v>
      </c>
      <c r="Q1295" s="2" t="s">
        <v>237</v>
      </c>
      <c r="R1295" s="2" t="s">
        <v>231</v>
      </c>
      <c r="S1295" s="2" t="s">
        <v>6087</v>
      </c>
      <c r="T1295" s="2" t="s">
        <v>231</v>
      </c>
      <c r="U1295" s="2" t="s">
        <v>231</v>
      </c>
      <c r="V1295" s="2" t="s">
        <v>239</v>
      </c>
      <c r="W1295" s="2" t="s">
        <v>792</v>
      </c>
      <c r="X1295" s="2" t="s">
        <v>231</v>
      </c>
      <c r="Y1295" s="2" t="s">
        <v>6088</v>
      </c>
      <c r="Z1295" s="4">
        <v>85</v>
      </c>
      <c r="AA1295" s="4">
        <f>=ROUNDDOWN(283.333333333333,0)</f>
      </c>
      <c r="AB1295" s="5">
        <v>0.3</v>
      </c>
      <c r="AC1295" s="2" t="s">
        <v>231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231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>
        <v>1</v>
      </c>
      <c r="BK1295" s="8">
        <v>150</v>
      </c>
      <c r="BL1295" s="2" t="s">
        <v>628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6089</v>
      </c>
      <c r="BV1295" s="2" t="s">
        <v>231</v>
      </c>
      <c r="BW1295" s="2" t="s">
        <v>231</v>
      </c>
      <c r="BX1295" s="2" t="s">
        <v>231</v>
      </c>
      <c r="BY1295" s="2" t="s">
        <v>277</v>
      </c>
      <c r="BZ1295" s="2" t="s">
        <v>243</v>
      </c>
      <c r="CA1295" s="2" t="s">
        <v>2582</v>
      </c>
      <c r="CB1295" s="2" t="s">
        <v>6090</v>
      </c>
      <c r="CC1295" s="2" t="s">
        <v>244</v>
      </c>
      <c r="CD1295" s="2" t="s">
        <v>231</v>
      </c>
      <c r="CE1295" s="4"/>
      <c r="CF1295" s="4">
        <v>85</v>
      </c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</row>
    <row r="1296">
      <c r="A1296" s="2" t="s">
        <v>6091</v>
      </c>
      <c r="B1296" s="2" t="s">
        <v>226</v>
      </c>
      <c r="C1296" s="2" t="s">
        <v>631</v>
      </c>
      <c r="D1296" s="2" t="s">
        <v>1549</v>
      </c>
      <c r="E1296" s="2" t="s">
        <v>1550</v>
      </c>
      <c r="F1296" s="2" t="s">
        <v>6092</v>
      </c>
      <c r="G1296" s="2" t="s">
        <v>6092</v>
      </c>
      <c r="H1296" s="2" t="s">
        <v>6092</v>
      </c>
      <c r="I1296" s="2" t="s">
        <v>6093</v>
      </c>
      <c r="J1296" s="2" t="s">
        <v>6094</v>
      </c>
      <c r="K1296" s="2" t="s">
        <v>234</v>
      </c>
      <c r="L1296" s="3">
        <v>32.76</v>
      </c>
      <c r="M1296" s="3">
        <v>34.4</v>
      </c>
      <c r="N1296" s="3">
        <v>69.99</v>
      </c>
      <c r="O1296" s="2" t="s">
        <v>235</v>
      </c>
      <c r="P1296" s="2" t="s">
        <v>1019</v>
      </c>
      <c r="Q1296" s="2" t="s">
        <v>237</v>
      </c>
      <c r="R1296" s="2" t="s">
        <v>1020</v>
      </c>
      <c r="S1296" s="2" t="s">
        <v>6095</v>
      </c>
      <c r="T1296" s="2" t="s">
        <v>1630</v>
      </c>
      <c r="U1296" s="2" t="s">
        <v>327</v>
      </c>
      <c r="V1296" s="2" t="s">
        <v>239</v>
      </c>
      <c r="W1296" s="2" t="s">
        <v>273</v>
      </c>
      <c r="X1296" s="2" t="s">
        <v>971</v>
      </c>
      <c r="Y1296" s="2" t="s">
        <v>6096</v>
      </c>
      <c r="Z1296" s="4">
        <v>5472</v>
      </c>
      <c r="AA1296" s="4">
        <f>=ROUNDDOWN(1824,0)</f>
      </c>
      <c r="AB1296" s="5">
        <v>3</v>
      </c>
      <c r="AC1296" s="2" t="s">
        <v>231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231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231</v>
      </c>
      <c r="BD1296" s="8" t="s">
        <v>231</v>
      </c>
      <c r="BE1296" s="4" t="s">
        <v>231</v>
      </c>
      <c r="BF1296" s="8" t="s">
        <v>231</v>
      </c>
      <c r="BG1296" s="7" t="s">
        <v>231</v>
      </c>
      <c r="BH1296" s="7" t="s">
        <v>231</v>
      </c>
      <c r="BI1296" s="7"/>
      <c r="BJ1296" s="4">
        <v>5</v>
      </c>
      <c r="BK1296" s="8">
        <v>160.31</v>
      </c>
      <c r="BL1296" s="2" t="s">
        <v>1022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6097</v>
      </c>
      <c r="BV1296" s="2" t="s">
        <v>231</v>
      </c>
      <c r="BW1296" s="2" t="s">
        <v>231</v>
      </c>
      <c r="BX1296" s="2" t="s">
        <v>241</v>
      </c>
      <c r="BY1296" s="2" t="s">
        <v>277</v>
      </c>
      <c r="BZ1296" s="2" t="s">
        <v>243</v>
      </c>
      <c r="CA1296" s="2" t="s">
        <v>6098</v>
      </c>
      <c r="CB1296" s="2" t="s">
        <v>6099</v>
      </c>
      <c r="CC1296" s="2" t="s">
        <v>244</v>
      </c>
      <c r="CD1296" s="2" t="s">
        <v>231</v>
      </c>
      <c r="CE1296" s="4">
        <v>5472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</row>
    <row r="1297">
      <c r="A1297" s="2" t="s">
        <v>6100</v>
      </c>
      <c r="B1297" s="2" t="s">
        <v>226</v>
      </c>
      <c r="C1297" s="2" t="s">
        <v>631</v>
      </c>
      <c r="D1297" s="2" t="s">
        <v>1549</v>
      </c>
      <c r="E1297" s="2" t="s">
        <v>1550</v>
      </c>
      <c r="F1297" s="2" t="s">
        <v>6092</v>
      </c>
      <c r="G1297" s="2" t="s">
        <v>6092</v>
      </c>
      <c r="H1297" s="2" t="s">
        <v>6092</v>
      </c>
      <c r="I1297" s="2" t="s">
        <v>6093</v>
      </c>
      <c r="J1297" s="2" t="s">
        <v>6094</v>
      </c>
      <c r="K1297" s="2" t="s">
        <v>306</v>
      </c>
      <c r="L1297" s="3">
        <v>32.76</v>
      </c>
      <c r="M1297" s="3">
        <v>34.4</v>
      </c>
      <c r="N1297" s="3">
        <v>69.99</v>
      </c>
      <c r="O1297" s="2" t="s">
        <v>235</v>
      </c>
      <c r="P1297" s="2" t="s">
        <v>1019</v>
      </c>
      <c r="Q1297" s="2" t="s">
        <v>237</v>
      </c>
      <c r="R1297" s="2" t="s">
        <v>1020</v>
      </c>
      <c r="S1297" s="2" t="s">
        <v>6101</v>
      </c>
      <c r="T1297" s="2" t="s">
        <v>1630</v>
      </c>
      <c r="U1297" s="2" t="s">
        <v>327</v>
      </c>
      <c r="V1297" s="2" t="s">
        <v>239</v>
      </c>
      <c r="W1297" s="2" t="s">
        <v>273</v>
      </c>
      <c r="X1297" s="2" t="s">
        <v>971</v>
      </c>
      <c r="Y1297" s="2" t="s">
        <v>6096</v>
      </c>
      <c r="Z1297" s="4">
        <v>1292</v>
      </c>
      <c r="AA1297" s="4">
        <f>=ROUNDDOWN(86.1333333333333,0)</f>
      </c>
      <c r="AB1297" s="5">
        <v>15</v>
      </c>
      <c r="AC1297" s="2" t="s">
        <v>231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231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 t="s">
        <v>231</v>
      </c>
      <c r="BD1297" s="8" t="s">
        <v>231</v>
      </c>
      <c r="BE1297" s="4" t="s">
        <v>231</v>
      </c>
      <c r="BF1297" s="8" t="s">
        <v>231</v>
      </c>
      <c r="BG1297" s="7" t="s">
        <v>231</v>
      </c>
      <c r="BH1297" s="7" t="s">
        <v>231</v>
      </c>
      <c r="BI1297" s="7"/>
      <c r="BJ1297" s="4"/>
      <c r="BK1297" s="8"/>
      <c r="BL1297" s="2" t="s">
        <v>231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6102</v>
      </c>
      <c r="BV1297" s="2" t="s">
        <v>231</v>
      </c>
      <c r="BW1297" s="2" t="s">
        <v>231</v>
      </c>
      <c r="BX1297" s="2" t="s">
        <v>241</v>
      </c>
      <c r="BY1297" s="2" t="s">
        <v>277</v>
      </c>
      <c r="BZ1297" s="2" t="s">
        <v>243</v>
      </c>
      <c r="CA1297" s="2" t="s">
        <v>6098</v>
      </c>
      <c r="CB1297" s="2" t="s">
        <v>6099</v>
      </c>
      <c r="CC1297" s="2" t="s">
        <v>244</v>
      </c>
      <c r="CD1297" s="2" t="s">
        <v>231</v>
      </c>
      <c r="CE1297" s="4">
        <v>1034</v>
      </c>
      <c r="CF1297" s="4"/>
      <c r="CG1297" s="4"/>
      <c r="CH1297" s="4"/>
      <c r="CI1297" s="4">
        <v>258</v>
      </c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</row>
    <row r="1298">
      <c r="A1298" s="2" t="s">
        <v>6103</v>
      </c>
      <c r="B1298" s="2" t="s">
        <v>847</v>
      </c>
      <c r="C1298" s="2" t="s">
        <v>288</v>
      </c>
      <c r="D1298" s="2" t="s">
        <v>882</v>
      </c>
      <c r="E1298" s="2" t="s">
        <v>2191</v>
      </c>
      <c r="F1298" s="2" t="s">
        <v>6104</v>
      </c>
      <c r="G1298" s="2" t="s">
        <v>6104</v>
      </c>
      <c r="H1298" s="2" t="s">
        <v>6104</v>
      </c>
      <c r="I1298" s="2" t="s">
        <v>6038</v>
      </c>
      <c r="J1298" s="2" t="s">
        <v>807</v>
      </c>
      <c r="K1298" s="2" t="s">
        <v>870</v>
      </c>
      <c r="L1298" s="3">
        <v>49.63</v>
      </c>
      <c r="M1298" s="3">
        <v>52.11</v>
      </c>
      <c r="N1298" s="3">
        <v>96.04</v>
      </c>
      <c r="O1298" s="2" t="s">
        <v>243</v>
      </c>
      <c r="P1298" s="2" t="s">
        <v>871</v>
      </c>
      <c r="Q1298" s="2" t="s">
        <v>237</v>
      </c>
      <c r="R1298" s="2" t="s">
        <v>231</v>
      </c>
      <c r="S1298" s="2" t="s">
        <v>6105</v>
      </c>
      <c r="T1298" s="2" t="s">
        <v>231</v>
      </c>
      <c r="U1298" s="2" t="s">
        <v>835</v>
      </c>
      <c r="V1298" s="2" t="s">
        <v>873</v>
      </c>
      <c r="W1298" s="2" t="s">
        <v>792</v>
      </c>
      <c r="X1298" s="2" t="s">
        <v>231</v>
      </c>
      <c r="Y1298" s="2" t="s">
        <v>274</v>
      </c>
      <c r="Z1298" s="4">
        <v>392</v>
      </c>
      <c r="AA1298" s="4">
        <f>=ROUNDDOWN(23.0588235294118,0)</f>
      </c>
      <c r="AB1298" s="5">
        <v>17</v>
      </c>
      <c r="AC1298" s="2" t="s">
        <v>3874</v>
      </c>
      <c r="AD1298" s="4">
        <v>150</v>
      </c>
      <c r="AE1298" s="4">
        <v>150</v>
      </c>
      <c r="AF1298" s="6">
        <v>63</v>
      </c>
      <c r="AG1298" s="6"/>
      <c r="AH1298" s="7">
        <v>1</v>
      </c>
      <c r="AI1298" s="4"/>
      <c r="AJ1298" s="4">
        <f>=ROUNDDOWN({0},0)</f>
      </c>
      <c r="AK1298" s="5"/>
      <c r="AL1298" s="2" t="s">
        <v>231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>
        <v>86</v>
      </c>
      <c r="BK1298" s="8">
        <v>5106.96</v>
      </c>
      <c r="BL1298" s="2" t="s">
        <v>6106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6107</v>
      </c>
      <c r="BV1298" s="2" t="s">
        <v>231</v>
      </c>
      <c r="BW1298" s="2" t="s">
        <v>231</v>
      </c>
      <c r="BX1298" s="2" t="s">
        <v>231</v>
      </c>
      <c r="BY1298" s="2" t="s">
        <v>277</v>
      </c>
      <c r="BZ1298" s="2" t="s">
        <v>243</v>
      </c>
      <c r="CA1298" s="2" t="s">
        <v>284</v>
      </c>
      <c r="CB1298" s="2" t="s">
        <v>480</v>
      </c>
      <c r="CC1298" s="2" t="s">
        <v>244</v>
      </c>
      <c r="CD1298" s="2" t="s">
        <v>231</v>
      </c>
      <c r="CE1298" s="4"/>
      <c r="CF1298" s="4">
        <v>392</v>
      </c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>
        <v>150</v>
      </c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</row>
    <row r="1299">
      <c r="A1299" s="2" t="s">
        <v>6108</v>
      </c>
      <c r="B1299" s="2" t="s">
        <v>262</v>
      </c>
      <c r="C1299" s="2" t="s">
        <v>965</v>
      </c>
      <c r="D1299" s="2" t="s">
        <v>228</v>
      </c>
      <c r="E1299" s="2" t="s">
        <v>3164</v>
      </c>
      <c r="F1299" s="2" t="s">
        <v>6109</v>
      </c>
      <c r="G1299" s="2" t="s">
        <v>6109</v>
      </c>
      <c r="H1299" s="2" t="s">
        <v>6109</v>
      </c>
      <c r="I1299" s="2" t="s">
        <v>6110</v>
      </c>
      <c r="J1299" s="2" t="s">
        <v>658</v>
      </c>
      <c r="K1299" s="2" t="s">
        <v>319</v>
      </c>
      <c r="L1299" s="3">
        <v>33.33</v>
      </c>
      <c r="M1299" s="3">
        <v>35</v>
      </c>
      <c r="N1299" s="3">
        <v>69.99</v>
      </c>
      <c r="O1299" s="2" t="s">
        <v>243</v>
      </c>
      <c r="P1299" s="2" t="s">
        <v>341</v>
      </c>
      <c r="Q1299" s="2" t="s">
        <v>237</v>
      </c>
      <c r="R1299" s="2" t="s">
        <v>231</v>
      </c>
      <c r="S1299" s="2" t="s">
        <v>6111</v>
      </c>
      <c r="T1299" s="2" t="s">
        <v>231</v>
      </c>
      <c r="U1299" s="2" t="s">
        <v>231</v>
      </c>
      <c r="V1299" s="2" t="s">
        <v>239</v>
      </c>
      <c r="W1299" s="2" t="s">
        <v>273</v>
      </c>
      <c r="X1299" s="2" t="s">
        <v>231</v>
      </c>
      <c r="Y1299" s="2" t="s">
        <v>1326</v>
      </c>
      <c r="Z1299" s="4">
        <v>275</v>
      </c>
      <c r="AA1299" s="4">
        <f>=ROUNDDOWN(21.1538461538462,0)</f>
      </c>
      <c r="AB1299" s="5">
        <v>13</v>
      </c>
      <c r="AC1299" s="2" t="s">
        <v>231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231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>
        <v>43</v>
      </c>
      <c r="BK1299" s="8">
        <v>1510.54</v>
      </c>
      <c r="BL1299" s="2" t="s">
        <v>6112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6113</v>
      </c>
      <c r="BV1299" s="2" t="s">
        <v>231</v>
      </c>
      <c r="BW1299" s="2" t="s">
        <v>231</v>
      </c>
      <c r="BX1299" s="2" t="s">
        <v>231</v>
      </c>
      <c r="BY1299" s="2" t="s">
        <v>277</v>
      </c>
      <c r="BZ1299" s="2" t="s">
        <v>243</v>
      </c>
      <c r="CA1299" s="2" t="s">
        <v>3543</v>
      </c>
      <c r="CB1299" s="2" t="s">
        <v>1971</v>
      </c>
      <c r="CC1299" s="2" t="s">
        <v>244</v>
      </c>
      <c r="CD1299" s="2" t="s">
        <v>231</v>
      </c>
      <c r="CE1299" s="4">
        <v>275</v>
      </c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</row>
    <row r="1300">
      <c r="A1300" s="2" t="s">
        <v>6114</v>
      </c>
      <c r="B1300" s="2" t="s">
        <v>1389</v>
      </c>
      <c r="C1300" s="2" t="s">
        <v>288</v>
      </c>
      <c r="D1300" s="2" t="s">
        <v>1389</v>
      </c>
      <c r="E1300" s="2" t="s">
        <v>1389</v>
      </c>
      <c r="F1300" s="2" t="s">
        <v>6115</v>
      </c>
      <c r="G1300" s="2" t="s">
        <v>6116</v>
      </c>
      <c r="H1300" s="2" t="s">
        <v>6117</v>
      </c>
      <c r="I1300" s="2" t="s">
        <v>6118</v>
      </c>
      <c r="J1300" s="2" t="s">
        <v>6119</v>
      </c>
      <c r="K1300" s="2" t="s">
        <v>269</v>
      </c>
      <c r="L1300" s="3">
        <v>25</v>
      </c>
      <c r="M1300" s="3">
        <v>26.25</v>
      </c>
      <c r="N1300" s="3">
        <v>54.99</v>
      </c>
      <c r="O1300" s="2" t="s">
        <v>243</v>
      </c>
      <c r="P1300" s="2" t="s">
        <v>341</v>
      </c>
      <c r="Q1300" s="2" t="s">
        <v>237</v>
      </c>
      <c r="R1300" s="2" t="s">
        <v>231</v>
      </c>
      <c r="S1300" s="2" t="s">
        <v>6120</v>
      </c>
      <c r="T1300" s="2" t="s">
        <v>231</v>
      </c>
      <c r="U1300" s="2" t="s">
        <v>327</v>
      </c>
      <c r="V1300" s="2" t="s">
        <v>1828</v>
      </c>
      <c r="W1300" s="2" t="s">
        <v>676</v>
      </c>
      <c r="X1300" s="2" t="s">
        <v>231</v>
      </c>
      <c r="Y1300" s="2" t="s">
        <v>845</v>
      </c>
      <c r="Z1300" s="4"/>
      <c r="AA1300" s="4">
        <f>=ROUNDDOWN({0},0)</f>
      </c>
      <c r="AB1300" s="5">
        <v>0.7</v>
      </c>
      <c r="AC1300" s="2" t="s">
        <v>231</v>
      </c>
      <c r="AD1300" s="4"/>
      <c r="AE1300" s="4"/>
      <c r="AF1300" s="6">
        <v>63</v>
      </c>
      <c r="AG1300" s="6"/>
      <c r="AH1300" s="7">
        <v>1</v>
      </c>
      <c r="AI1300" s="4"/>
      <c r="AJ1300" s="4">
        <f>=ROUNDDOWN({0},0)</f>
      </c>
      <c r="AK1300" s="5"/>
      <c r="AL1300" s="2" t="s">
        <v>231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231</v>
      </c>
      <c r="AW1300" s="8" t="s">
        <v>231</v>
      </c>
      <c r="AX1300" s="4" t="s">
        <v>231</v>
      </c>
      <c r="AY1300" s="8" t="s">
        <v>231</v>
      </c>
      <c r="AZ1300" s="7" t="s">
        <v>231</v>
      </c>
      <c r="BA1300" s="7" t="s">
        <v>231</v>
      </c>
      <c r="BB1300" s="7"/>
      <c r="BC1300" s="4" t="s">
        <v>231</v>
      </c>
      <c r="BD1300" s="8" t="s">
        <v>231</v>
      </c>
      <c r="BE1300" s="4" t="s">
        <v>231</v>
      </c>
      <c r="BF1300" s="8" t="s">
        <v>231</v>
      </c>
      <c r="BG1300" s="7" t="s">
        <v>231</v>
      </c>
      <c r="BH1300" s="7" t="s">
        <v>231</v>
      </c>
      <c r="BI1300" s="7"/>
      <c r="BJ1300" s="4">
        <v>3</v>
      </c>
      <c r="BK1300" s="8">
        <v>82.68</v>
      </c>
      <c r="BL1300" s="2" t="s">
        <v>932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6121</v>
      </c>
      <c r="BV1300" s="2" t="s">
        <v>231</v>
      </c>
      <c r="BW1300" s="2" t="s">
        <v>231</v>
      </c>
      <c r="BX1300" s="2" t="s">
        <v>231</v>
      </c>
      <c r="BY1300" s="2" t="s">
        <v>277</v>
      </c>
      <c r="BZ1300" s="2" t="s">
        <v>243</v>
      </c>
      <c r="CA1300" s="2" t="s">
        <v>5855</v>
      </c>
      <c r="CB1300" s="2" t="s">
        <v>5480</v>
      </c>
      <c r="CC1300" s="2" t="s">
        <v>244</v>
      </c>
      <c r="CD1300" s="2" t="s">
        <v>231</v>
      </c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</row>
    <row r="1301">
      <c r="A1301" s="2" t="s">
        <v>6122</v>
      </c>
      <c r="B1301" s="2" t="s">
        <v>1389</v>
      </c>
      <c r="C1301" s="2" t="s">
        <v>288</v>
      </c>
      <c r="D1301" s="2" t="s">
        <v>1389</v>
      </c>
      <c r="E1301" s="2" t="s">
        <v>1389</v>
      </c>
      <c r="F1301" s="2" t="s">
        <v>6115</v>
      </c>
      <c r="G1301" s="2" t="s">
        <v>6116</v>
      </c>
      <c r="H1301" s="2" t="s">
        <v>6117</v>
      </c>
      <c r="I1301" s="2" t="s">
        <v>6118</v>
      </c>
      <c r="J1301" s="2" t="s">
        <v>1393</v>
      </c>
      <c r="K1301" s="2" t="s">
        <v>269</v>
      </c>
      <c r="L1301" s="3">
        <v>49.11</v>
      </c>
      <c r="M1301" s="3">
        <v>51.57</v>
      </c>
      <c r="N1301" s="3">
        <v>109.99</v>
      </c>
      <c r="O1301" s="2" t="s">
        <v>243</v>
      </c>
      <c r="P1301" s="2" t="s">
        <v>341</v>
      </c>
      <c r="Q1301" s="2" t="s">
        <v>237</v>
      </c>
      <c r="R1301" s="2" t="s">
        <v>231</v>
      </c>
      <c r="S1301" s="2" t="s">
        <v>6120</v>
      </c>
      <c r="T1301" s="2" t="s">
        <v>231</v>
      </c>
      <c r="U1301" s="2" t="s">
        <v>327</v>
      </c>
      <c r="V1301" s="2" t="s">
        <v>1828</v>
      </c>
      <c r="W1301" s="2" t="s">
        <v>676</v>
      </c>
      <c r="X1301" s="2" t="s">
        <v>231</v>
      </c>
      <c r="Y1301" s="2" t="s">
        <v>845</v>
      </c>
      <c r="Z1301" s="4">
        <v>8</v>
      </c>
      <c r="AA1301" s="4">
        <f>=ROUNDDOWN(6.15384615384615,0)</f>
      </c>
      <c r="AB1301" s="5">
        <v>1.3</v>
      </c>
      <c r="AC1301" s="2" t="s">
        <v>231</v>
      </c>
      <c r="AD1301" s="4"/>
      <c r="AE1301" s="4"/>
      <c r="AF1301" s="6">
        <v>63</v>
      </c>
      <c r="AG1301" s="6"/>
      <c r="AH1301" s="7">
        <v>1</v>
      </c>
      <c r="AI1301" s="4"/>
      <c r="AJ1301" s="4">
        <f>=ROUNDDOWN({0},0)</f>
      </c>
      <c r="AK1301" s="5"/>
      <c r="AL1301" s="2" t="s">
        <v>231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231</v>
      </c>
      <c r="AW1301" s="8" t="s">
        <v>231</v>
      </c>
      <c r="AX1301" s="4" t="s">
        <v>231</v>
      </c>
      <c r="AY1301" s="8" t="s">
        <v>231</v>
      </c>
      <c r="AZ1301" s="7" t="s">
        <v>231</v>
      </c>
      <c r="BA1301" s="7" t="s">
        <v>231</v>
      </c>
      <c r="BB1301" s="7"/>
      <c r="BC1301" s="4" t="s">
        <v>231</v>
      </c>
      <c r="BD1301" s="8" t="s">
        <v>231</v>
      </c>
      <c r="BE1301" s="4" t="s">
        <v>231</v>
      </c>
      <c r="BF1301" s="8" t="s">
        <v>231</v>
      </c>
      <c r="BG1301" s="7" t="s">
        <v>231</v>
      </c>
      <c r="BH1301" s="7" t="s">
        <v>231</v>
      </c>
      <c r="BI1301" s="7"/>
      <c r="BJ1301" s="4">
        <v>5</v>
      </c>
      <c r="BK1301" s="8">
        <v>273.28</v>
      </c>
      <c r="BL1301" s="2" t="s">
        <v>6123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6124</v>
      </c>
      <c r="BV1301" s="2" t="s">
        <v>231</v>
      </c>
      <c r="BW1301" s="2" t="s">
        <v>231</v>
      </c>
      <c r="BX1301" s="2" t="s">
        <v>231</v>
      </c>
      <c r="BY1301" s="2" t="s">
        <v>277</v>
      </c>
      <c r="BZ1301" s="2" t="s">
        <v>243</v>
      </c>
      <c r="CA1301" s="2" t="s">
        <v>5855</v>
      </c>
      <c r="CB1301" s="2" t="s">
        <v>5480</v>
      </c>
      <c r="CC1301" s="2" t="s">
        <v>244</v>
      </c>
      <c r="CD1301" s="2" t="s">
        <v>231</v>
      </c>
      <c r="CE1301" s="4"/>
      <c r="CF1301" s="4">
        <v>8</v>
      </c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</row>
    <row r="1302">
      <c r="A1302" s="2" t="s">
        <v>6125</v>
      </c>
      <c r="B1302" s="2" t="s">
        <v>1004</v>
      </c>
      <c r="C1302" s="2" t="s">
        <v>815</v>
      </c>
      <c r="D1302" s="2" t="s">
        <v>6126</v>
      </c>
      <c r="E1302" s="2" t="s">
        <v>6127</v>
      </c>
      <c r="F1302" s="2" t="s">
        <v>6128</v>
      </c>
      <c r="G1302" s="2" t="s">
        <v>6128</v>
      </c>
      <c r="H1302" s="2" t="s">
        <v>6128</v>
      </c>
      <c r="I1302" s="2" t="s">
        <v>6127</v>
      </c>
      <c r="J1302" s="2" t="s">
        <v>807</v>
      </c>
      <c r="K1302" s="2" t="s">
        <v>901</v>
      </c>
      <c r="L1302" s="3">
        <v>115.2</v>
      </c>
      <c r="M1302" s="3">
        <v>120.96</v>
      </c>
      <c r="N1302" s="3">
        <v>249</v>
      </c>
      <c r="O1302" s="2" t="s">
        <v>243</v>
      </c>
      <c r="P1302" s="2" t="s">
        <v>1985</v>
      </c>
      <c r="Q1302" s="2" t="s">
        <v>237</v>
      </c>
      <c r="R1302" s="2" t="s">
        <v>231</v>
      </c>
      <c r="S1302" s="2" t="s">
        <v>231</v>
      </c>
      <c r="T1302" s="2" t="s">
        <v>231</v>
      </c>
      <c r="U1302" s="2" t="s">
        <v>327</v>
      </c>
      <c r="V1302" s="2" t="s">
        <v>662</v>
      </c>
      <c r="W1302" s="2" t="s">
        <v>273</v>
      </c>
      <c r="X1302" s="2" t="s">
        <v>691</v>
      </c>
      <c r="Y1302" s="2" t="s">
        <v>2270</v>
      </c>
      <c r="Z1302" s="4">
        <v>75</v>
      </c>
      <c r="AA1302" s="4">
        <f>=ROUNDDOWN(93.75,0)</f>
      </c>
      <c r="AB1302" s="5">
        <v>0.8</v>
      </c>
      <c r="AC1302" s="2" t="s">
        <v>231</v>
      </c>
      <c r="AD1302" s="4"/>
      <c r="AE1302" s="4"/>
      <c r="AF1302" s="6">
        <v>74</v>
      </c>
      <c r="AG1302" s="6"/>
      <c r="AH1302" s="7">
        <v>1</v>
      </c>
      <c r="AI1302" s="4"/>
      <c r="AJ1302" s="4">
        <f>=ROUNDDOWN({0},0)</f>
      </c>
      <c r="AK1302" s="5"/>
      <c r="AL1302" s="2" t="s">
        <v>231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231</v>
      </c>
      <c r="BD1302" s="8" t="s">
        <v>231</v>
      </c>
      <c r="BE1302" s="4" t="s">
        <v>231</v>
      </c>
      <c r="BF1302" s="8" t="s">
        <v>231</v>
      </c>
      <c r="BG1302" s="7" t="s">
        <v>231</v>
      </c>
      <c r="BH1302" s="7" t="s">
        <v>231</v>
      </c>
      <c r="BI1302" s="7"/>
      <c r="BJ1302" s="4">
        <v>4</v>
      </c>
      <c r="BK1302" s="8">
        <v>359.73</v>
      </c>
      <c r="BL1302" s="2" t="s">
        <v>2392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6129</v>
      </c>
      <c r="BV1302" s="2" t="s">
        <v>231</v>
      </c>
      <c r="BW1302" s="2" t="s">
        <v>231</v>
      </c>
      <c r="BX1302" s="2" t="s">
        <v>241</v>
      </c>
      <c r="BY1302" s="2" t="s">
        <v>277</v>
      </c>
      <c r="BZ1302" s="2" t="s">
        <v>243</v>
      </c>
      <c r="CA1302" s="2" t="s">
        <v>2324</v>
      </c>
      <c r="CB1302" s="2" t="s">
        <v>3121</v>
      </c>
      <c r="CC1302" s="2" t="s">
        <v>244</v>
      </c>
      <c r="CD1302" s="2" t="s">
        <v>231</v>
      </c>
      <c r="CE1302" s="4"/>
      <c r="CF1302" s="4">
        <v>75</v>
      </c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</row>
    <row r="1303">
      <c r="A1303" s="2" t="s">
        <v>6130</v>
      </c>
      <c r="B1303" s="2" t="s">
        <v>1004</v>
      </c>
      <c r="C1303" s="2" t="s">
        <v>815</v>
      </c>
      <c r="D1303" s="2" t="s">
        <v>1922</v>
      </c>
      <c r="E1303" s="2" t="s">
        <v>1923</v>
      </c>
      <c r="F1303" s="2" t="s">
        <v>6128</v>
      </c>
      <c r="G1303" s="2" t="s">
        <v>6128</v>
      </c>
      <c r="H1303" s="2" t="s">
        <v>6128</v>
      </c>
      <c r="I1303" s="2" t="s">
        <v>6131</v>
      </c>
      <c r="J1303" s="2" t="s">
        <v>807</v>
      </c>
      <c r="K1303" s="2" t="s">
        <v>234</v>
      </c>
      <c r="L1303" s="3">
        <v>215</v>
      </c>
      <c r="M1303" s="3">
        <v>225.75</v>
      </c>
      <c r="N1303" s="3">
        <v>449</v>
      </c>
      <c r="O1303" s="2" t="s">
        <v>243</v>
      </c>
      <c r="P1303" s="2" t="s">
        <v>270</v>
      </c>
      <c r="Q1303" s="2" t="s">
        <v>237</v>
      </c>
      <c r="R1303" s="2" t="s">
        <v>231</v>
      </c>
      <c r="S1303" s="2" t="s">
        <v>231</v>
      </c>
      <c r="T1303" s="2" t="s">
        <v>231</v>
      </c>
      <c r="U1303" s="2" t="s">
        <v>791</v>
      </c>
      <c r="V1303" s="2" t="s">
        <v>662</v>
      </c>
      <c r="W1303" s="2" t="s">
        <v>273</v>
      </c>
      <c r="X1303" s="2" t="s">
        <v>691</v>
      </c>
      <c r="Y1303" s="2" t="s">
        <v>6132</v>
      </c>
      <c r="Z1303" s="4">
        <v>92</v>
      </c>
      <c r="AA1303" s="4">
        <f>=ROUNDDOWN(13.1428571428571,0)</f>
      </c>
      <c r="AB1303" s="5">
        <v>7</v>
      </c>
      <c r="AC1303" s="2" t="s">
        <v>4195</v>
      </c>
      <c r="AD1303" s="4">
        <v>150</v>
      </c>
      <c r="AE1303" s="4">
        <v>150</v>
      </c>
      <c r="AF1303" s="6">
        <v>74</v>
      </c>
      <c r="AG1303" s="6"/>
      <c r="AH1303" s="7">
        <v>0.0968</v>
      </c>
      <c r="AI1303" s="4"/>
      <c r="AJ1303" s="4">
        <f>=ROUNDDOWN({0},0)</f>
      </c>
      <c r="AK1303" s="5"/>
      <c r="AL1303" s="2" t="s">
        <v>231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 t="s">
        <v>231</v>
      </c>
      <c r="BD1303" s="8" t="s">
        <v>231</v>
      </c>
      <c r="BE1303" s="4" t="s">
        <v>231</v>
      </c>
      <c r="BF1303" s="8" t="s">
        <v>231</v>
      </c>
      <c r="BG1303" s="7" t="s">
        <v>231</v>
      </c>
      <c r="BH1303" s="7" t="s">
        <v>231</v>
      </c>
      <c r="BI1303" s="7"/>
      <c r="BJ1303" s="4">
        <v>1</v>
      </c>
      <c r="BK1303" s="8">
        <v>301.35</v>
      </c>
      <c r="BL1303" s="2" t="s">
        <v>1306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6133</v>
      </c>
      <c r="BV1303" s="2" t="s">
        <v>231</v>
      </c>
      <c r="BW1303" s="2" t="s">
        <v>231</v>
      </c>
      <c r="BX1303" s="2" t="s">
        <v>241</v>
      </c>
      <c r="BY1303" s="2" t="s">
        <v>277</v>
      </c>
      <c r="BZ1303" s="2" t="s">
        <v>243</v>
      </c>
      <c r="CA1303" s="2" t="s">
        <v>2509</v>
      </c>
      <c r="CB1303" s="2" t="s">
        <v>2100</v>
      </c>
      <c r="CC1303" s="2" t="s">
        <v>244</v>
      </c>
      <c r="CD1303" s="2" t="s">
        <v>231</v>
      </c>
      <c r="CE1303" s="4"/>
      <c r="CF1303" s="4">
        <v>92</v>
      </c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>
        <v>150</v>
      </c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</row>
    <row r="1304">
      <c r="A1304" s="2" t="s">
        <v>6134</v>
      </c>
      <c r="B1304" s="2" t="s">
        <v>1186</v>
      </c>
      <c r="C1304" s="2" t="s">
        <v>288</v>
      </c>
      <c r="D1304" s="2" t="s">
        <v>654</v>
      </c>
      <c r="E1304" s="2" t="s">
        <v>655</v>
      </c>
      <c r="F1304" s="2" t="s">
        <v>6135</v>
      </c>
      <c r="G1304" s="2" t="s">
        <v>6136</v>
      </c>
      <c r="H1304" s="2" t="s">
        <v>6137</v>
      </c>
      <c r="I1304" s="2" t="s">
        <v>6138</v>
      </c>
      <c r="J1304" s="2" t="s">
        <v>658</v>
      </c>
      <c r="K1304" s="2" t="s">
        <v>3014</v>
      </c>
      <c r="L1304" s="3">
        <v>38.09</v>
      </c>
      <c r="M1304" s="3">
        <v>39.99</v>
      </c>
      <c r="N1304" s="3">
        <v>79.99</v>
      </c>
      <c r="O1304" s="2" t="s">
        <v>243</v>
      </c>
      <c r="P1304" s="2" t="s">
        <v>236</v>
      </c>
      <c r="Q1304" s="2" t="s">
        <v>237</v>
      </c>
      <c r="R1304" s="2" t="s">
        <v>231</v>
      </c>
      <c r="S1304" s="2" t="s">
        <v>6139</v>
      </c>
      <c r="T1304" s="2" t="s">
        <v>472</v>
      </c>
      <c r="U1304" s="2" t="s">
        <v>661</v>
      </c>
      <c r="V1304" s="2" t="s">
        <v>987</v>
      </c>
      <c r="W1304" s="2" t="s">
        <v>5673</v>
      </c>
      <c r="X1304" s="2" t="s">
        <v>273</v>
      </c>
      <c r="Y1304" s="2" t="s">
        <v>6140</v>
      </c>
      <c r="Z1304" s="4">
        <v>1</v>
      </c>
      <c r="AA1304" s="4">
        <f>=ROUNDDOWN(0.0714285714285714,0)</f>
      </c>
      <c r="AB1304" s="5">
        <v>14</v>
      </c>
      <c r="AC1304" s="2" t="s">
        <v>6141</v>
      </c>
      <c r="AD1304" s="4">
        <v>175</v>
      </c>
      <c r="AE1304" s="4">
        <v>350</v>
      </c>
      <c r="AF1304" s="6">
        <v>64</v>
      </c>
      <c r="AG1304" s="6"/>
      <c r="AH1304" s="7">
        <v>0</v>
      </c>
      <c r="AI1304" s="4"/>
      <c r="AJ1304" s="4">
        <f>=ROUNDDOWN({0},0)</f>
      </c>
      <c r="AK1304" s="5"/>
      <c r="AL1304" s="2" t="s">
        <v>231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231</v>
      </c>
      <c r="AW1304" s="8" t="s">
        <v>231</v>
      </c>
      <c r="AX1304" s="4" t="s">
        <v>231</v>
      </c>
      <c r="AY1304" s="8" t="s">
        <v>231</v>
      </c>
      <c r="AZ1304" s="7" t="s">
        <v>231</v>
      </c>
      <c r="BA1304" s="7" t="s">
        <v>231</v>
      </c>
      <c r="BB1304" s="7" t="s">
        <v>231</v>
      </c>
      <c r="BC1304" s="4" t="s">
        <v>231</v>
      </c>
      <c r="BD1304" s="8" t="s">
        <v>231</v>
      </c>
      <c r="BE1304" s="4" t="s">
        <v>231</v>
      </c>
      <c r="BF1304" s="8" t="s">
        <v>231</v>
      </c>
      <c r="BG1304" s="7" t="s">
        <v>231</v>
      </c>
      <c r="BH1304" s="7" t="s">
        <v>231</v>
      </c>
      <c r="BI1304" s="7"/>
      <c r="BJ1304" s="4"/>
      <c r="BK1304" s="8"/>
      <c r="BL1304" s="2" t="s">
        <v>231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241</v>
      </c>
      <c r="BV1304" s="2" t="s">
        <v>231</v>
      </c>
      <c r="BW1304" s="2" t="s">
        <v>231</v>
      </c>
      <c r="BX1304" s="2" t="s">
        <v>241</v>
      </c>
      <c r="BY1304" s="2" t="s">
        <v>242</v>
      </c>
      <c r="BZ1304" s="2" t="s">
        <v>243</v>
      </c>
      <c r="CA1304" s="2" t="s">
        <v>231</v>
      </c>
      <c r="CB1304" s="2" t="s">
        <v>231</v>
      </c>
      <c r="CC1304" s="2" t="s">
        <v>244</v>
      </c>
      <c r="CD1304" s="2" t="s">
        <v>231</v>
      </c>
      <c r="CE1304" s="4"/>
      <c r="CF1304" s="4"/>
      <c r="CG1304" s="4"/>
      <c r="CH1304" s="4"/>
      <c r="CI1304" s="4">
        <v>1</v>
      </c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>
        <v>175</v>
      </c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>
        <v>175</v>
      </c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</row>
    <row r="1305">
      <c r="A1305" s="2" t="s">
        <v>6142</v>
      </c>
      <c r="B1305" s="2" t="s">
        <v>1186</v>
      </c>
      <c r="C1305" s="2" t="s">
        <v>288</v>
      </c>
      <c r="D1305" s="2" t="s">
        <v>1462</v>
      </c>
      <c r="E1305" s="2" t="s">
        <v>1463</v>
      </c>
      <c r="F1305" s="2" t="s">
        <v>6135</v>
      </c>
      <c r="G1305" s="2" t="s">
        <v>6136</v>
      </c>
      <c r="H1305" s="2" t="s">
        <v>6137</v>
      </c>
      <c r="I1305" s="2" t="s">
        <v>6143</v>
      </c>
      <c r="J1305" s="2" t="s">
        <v>658</v>
      </c>
      <c r="K1305" s="2" t="s">
        <v>3014</v>
      </c>
      <c r="L1305" s="3">
        <v>38.09</v>
      </c>
      <c r="M1305" s="3">
        <v>39.99</v>
      </c>
      <c r="N1305" s="3">
        <v>79.99</v>
      </c>
      <c r="O1305" s="2" t="s">
        <v>243</v>
      </c>
      <c r="P1305" s="2" t="s">
        <v>236</v>
      </c>
      <c r="Q1305" s="2" t="s">
        <v>237</v>
      </c>
      <c r="R1305" s="2" t="s">
        <v>231</v>
      </c>
      <c r="S1305" s="2" t="s">
        <v>6139</v>
      </c>
      <c r="T1305" s="2" t="s">
        <v>472</v>
      </c>
      <c r="U1305" s="2" t="s">
        <v>835</v>
      </c>
      <c r="V1305" s="2" t="s">
        <v>987</v>
      </c>
      <c r="W1305" s="2" t="s">
        <v>5673</v>
      </c>
      <c r="X1305" s="2" t="s">
        <v>1891</v>
      </c>
      <c r="Y1305" s="2" t="s">
        <v>6140</v>
      </c>
      <c r="Z1305" s="4">
        <v>1</v>
      </c>
      <c r="AA1305" s="4">
        <f>=ROUNDDOWN(0.0588235294117647,0)</f>
      </c>
      <c r="AB1305" s="5">
        <v>17</v>
      </c>
      <c r="AC1305" s="2" t="s">
        <v>6141</v>
      </c>
      <c r="AD1305" s="4">
        <v>150</v>
      </c>
      <c r="AE1305" s="4">
        <v>300</v>
      </c>
      <c r="AF1305" s="6">
        <v>64</v>
      </c>
      <c r="AG1305" s="6"/>
      <c r="AH1305" s="7">
        <v>0</v>
      </c>
      <c r="AI1305" s="4"/>
      <c r="AJ1305" s="4">
        <f>=ROUNDDOWN({0},0)</f>
      </c>
      <c r="AK1305" s="5"/>
      <c r="AL1305" s="2" t="s">
        <v>231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231</v>
      </c>
      <c r="AW1305" s="8" t="s">
        <v>231</v>
      </c>
      <c r="AX1305" s="4" t="s">
        <v>231</v>
      </c>
      <c r="AY1305" s="8" t="s">
        <v>231</v>
      </c>
      <c r="AZ1305" s="7" t="s">
        <v>231</v>
      </c>
      <c r="BA1305" s="7" t="s">
        <v>231</v>
      </c>
      <c r="BB1305" s="7" t="s">
        <v>231</v>
      </c>
      <c r="BC1305" s="4" t="s">
        <v>231</v>
      </c>
      <c r="BD1305" s="8" t="s">
        <v>231</v>
      </c>
      <c r="BE1305" s="4" t="s">
        <v>231</v>
      </c>
      <c r="BF1305" s="8" t="s">
        <v>231</v>
      </c>
      <c r="BG1305" s="7" t="s">
        <v>231</v>
      </c>
      <c r="BH1305" s="7" t="s">
        <v>231</v>
      </c>
      <c r="BI1305" s="7"/>
      <c r="BJ1305" s="4"/>
      <c r="BK1305" s="8"/>
      <c r="BL1305" s="2" t="s">
        <v>231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241</v>
      </c>
      <c r="BV1305" s="2" t="s">
        <v>231</v>
      </c>
      <c r="BW1305" s="2" t="s">
        <v>231</v>
      </c>
      <c r="BX1305" s="2" t="s">
        <v>241</v>
      </c>
      <c r="BY1305" s="2" t="s">
        <v>242</v>
      </c>
      <c r="BZ1305" s="2" t="s">
        <v>243</v>
      </c>
      <c r="CA1305" s="2" t="s">
        <v>231</v>
      </c>
      <c r="CB1305" s="2" t="s">
        <v>231</v>
      </c>
      <c r="CC1305" s="2" t="s">
        <v>244</v>
      </c>
      <c r="CD1305" s="2" t="s">
        <v>231</v>
      </c>
      <c r="CE1305" s="4"/>
      <c r="CF1305" s="4"/>
      <c r="CG1305" s="4"/>
      <c r="CH1305" s="4"/>
      <c r="CI1305" s="4">
        <v>1</v>
      </c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>
        <v>150</v>
      </c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>
        <v>150</v>
      </c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</row>
    <row r="1306">
      <c r="A1306" s="2" t="s">
        <v>6144</v>
      </c>
      <c r="B1306" s="2" t="s">
        <v>1186</v>
      </c>
      <c r="C1306" s="2" t="s">
        <v>288</v>
      </c>
      <c r="D1306" s="2" t="s">
        <v>654</v>
      </c>
      <c r="E1306" s="2" t="s">
        <v>655</v>
      </c>
      <c r="F1306" s="2" t="s">
        <v>6135</v>
      </c>
      <c r="G1306" s="2" t="s">
        <v>6136</v>
      </c>
      <c r="H1306" s="2" t="s">
        <v>6137</v>
      </c>
      <c r="I1306" s="2" t="s">
        <v>6138</v>
      </c>
      <c r="J1306" s="2" t="s">
        <v>669</v>
      </c>
      <c r="K1306" s="2" t="s">
        <v>3014</v>
      </c>
      <c r="L1306" s="3">
        <v>41.14</v>
      </c>
      <c r="M1306" s="3">
        <v>43.2</v>
      </c>
      <c r="N1306" s="3">
        <v>89.99</v>
      </c>
      <c r="O1306" s="2" t="s">
        <v>243</v>
      </c>
      <c r="P1306" s="2" t="s">
        <v>236</v>
      </c>
      <c r="Q1306" s="2" t="s">
        <v>237</v>
      </c>
      <c r="R1306" s="2" t="s">
        <v>231</v>
      </c>
      <c r="S1306" s="2" t="s">
        <v>6139</v>
      </c>
      <c r="T1306" s="2" t="s">
        <v>472</v>
      </c>
      <c r="U1306" s="2" t="s">
        <v>661</v>
      </c>
      <c r="V1306" s="2" t="s">
        <v>987</v>
      </c>
      <c r="W1306" s="2" t="s">
        <v>5673</v>
      </c>
      <c r="X1306" s="2" t="s">
        <v>273</v>
      </c>
      <c r="Y1306" s="2" t="s">
        <v>6140</v>
      </c>
      <c r="Z1306" s="4">
        <v>2</v>
      </c>
      <c r="AA1306" s="4">
        <f>=ROUNDDOWN(0.166666666666667,0)</f>
      </c>
      <c r="AB1306" s="5">
        <v>12</v>
      </c>
      <c r="AC1306" s="2" t="s">
        <v>6141</v>
      </c>
      <c r="AD1306" s="4">
        <v>195</v>
      </c>
      <c r="AE1306" s="4">
        <v>390</v>
      </c>
      <c r="AF1306" s="6">
        <v>64</v>
      </c>
      <c r="AG1306" s="6"/>
      <c r="AH1306" s="7">
        <v>0</v>
      </c>
      <c r="AI1306" s="4"/>
      <c r="AJ1306" s="4">
        <f>=ROUNDDOWN({0},0)</f>
      </c>
      <c r="AK1306" s="5"/>
      <c r="AL1306" s="2" t="s">
        <v>231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231</v>
      </c>
      <c r="AW1306" s="8" t="s">
        <v>231</v>
      </c>
      <c r="AX1306" s="4" t="s">
        <v>231</v>
      </c>
      <c r="AY1306" s="8" t="s">
        <v>231</v>
      </c>
      <c r="AZ1306" s="7" t="s">
        <v>231</v>
      </c>
      <c r="BA1306" s="7" t="s">
        <v>231</v>
      </c>
      <c r="BB1306" s="7" t="s">
        <v>231</v>
      </c>
      <c r="BC1306" s="4" t="s">
        <v>231</v>
      </c>
      <c r="BD1306" s="8" t="s">
        <v>231</v>
      </c>
      <c r="BE1306" s="4" t="s">
        <v>231</v>
      </c>
      <c r="BF1306" s="8" t="s">
        <v>231</v>
      </c>
      <c r="BG1306" s="7" t="s">
        <v>231</v>
      </c>
      <c r="BH1306" s="7" t="s">
        <v>231</v>
      </c>
      <c r="BI1306" s="7"/>
      <c r="BJ1306" s="4"/>
      <c r="BK1306" s="8"/>
      <c r="BL1306" s="2" t="s">
        <v>231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241</v>
      </c>
      <c r="BV1306" s="2" t="s">
        <v>231</v>
      </c>
      <c r="BW1306" s="2" t="s">
        <v>231</v>
      </c>
      <c r="BX1306" s="2" t="s">
        <v>241</v>
      </c>
      <c r="BY1306" s="2" t="s">
        <v>242</v>
      </c>
      <c r="BZ1306" s="2" t="s">
        <v>243</v>
      </c>
      <c r="CA1306" s="2" t="s">
        <v>231</v>
      </c>
      <c r="CB1306" s="2" t="s">
        <v>231</v>
      </c>
      <c r="CC1306" s="2" t="s">
        <v>244</v>
      </c>
      <c r="CD1306" s="2" t="s">
        <v>231</v>
      </c>
      <c r="CE1306" s="4"/>
      <c r="CF1306" s="4"/>
      <c r="CG1306" s="4"/>
      <c r="CH1306" s="4"/>
      <c r="CI1306" s="4">
        <v>2</v>
      </c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>
        <v>195</v>
      </c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>
        <v>195</v>
      </c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</row>
    <row r="1307">
      <c r="A1307" s="2" t="s">
        <v>6145</v>
      </c>
      <c r="B1307" s="2" t="s">
        <v>1186</v>
      </c>
      <c r="C1307" s="2" t="s">
        <v>288</v>
      </c>
      <c r="D1307" s="2" t="s">
        <v>1462</v>
      </c>
      <c r="E1307" s="2" t="s">
        <v>1463</v>
      </c>
      <c r="F1307" s="2" t="s">
        <v>6135</v>
      </c>
      <c r="G1307" s="2" t="s">
        <v>6136</v>
      </c>
      <c r="H1307" s="2" t="s">
        <v>6137</v>
      </c>
      <c r="I1307" s="2" t="s">
        <v>6143</v>
      </c>
      <c r="J1307" s="2" t="s">
        <v>669</v>
      </c>
      <c r="K1307" s="2" t="s">
        <v>3014</v>
      </c>
      <c r="L1307" s="3">
        <v>42.85</v>
      </c>
      <c r="M1307" s="3">
        <v>44.99</v>
      </c>
      <c r="N1307" s="3">
        <v>89.99</v>
      </c>
      <c r="O1307" s="2" t="s">
        <v>243</v>
      </c>
      <c r="P1307" s="2" t="s">
        <v>236</v>
      </c>
      <c r="Q1307" s="2" t="s">
        <v>237</v>
      </c>
      <c r="R1307" s="2" t="s">
        <v>231</v>
      </c>
      <c r="S1307" s="2" t="s">
        <v>6139</v>
      </c>
      <c r="T1307" s="2" t="s">
        <v>472</v>
      </c>
      <c r="U1307" s="2" t="s">
        <v>835</v>
      </c>
      <c r="V1307" s="2" t="s">
        <v>987</v>
      </c>
      <c r="W1307" s="2" t="s">
        <v>5673</v>
      </c>
      <c r="X1307" s="2" t="s">
        <v>1891</v>
      </c>
      <c r="Y1307" s="2" t="s">
        <v>6140</v>
      </c>
      <c r="Z1307" s="4">
        <v>2</v>
      </c>
      <c r="AA1307" s="4">
        <f>=ROUNDDOWN(0.1,0)</f>
      </c>
      <c r="AB1307" s="5">
        <v>20</v>
      </c>
      <c r="AC1307" s="2" t="s">
        <v>6141</v>
      </c>
      <c r="AD1307" s="4">
        <v>180</v>
      </c>
      <c r="AE1307" s="4">
        <v>360</v>
      </c>
      <c r="AF1307" s="6">
        <v>64</v>
      </c>
      <c r="AG1307" s="6"/>
      <c r="AH1307" s="7">
        <v>0</v>
      </c>
      <c r="AI1307" s="4"/>
      <c r="AJ1307" s="4">
        <f>=ROUNDDOWN({0},0)</f>
      </c>
      <c r="AK1307" s="5"/>
      <c r="AL1307" s="2" t="s">
        <v>231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231</v>
      </c>
      <c r="AW1307" s="8" t="s">
        <v>231</v>
      </c>
      <c r="AX1307" s="4" t="s">
        <v>231</v>
      </c>
      <c r="AY1307" s="8" t="s">
        <v>231</v>
      </c>
      <c r="AZ1307" s="7" t="s">
        <v>231</v>
      </c>
      <c r="BA1307" s="7" t="s">
        <v>231</v>
      </c>
      <c r="BB1307" s="7" t="s">
        <v>231</v>
      </c>
      <c r="BC1307" s="4" t="s">
        <v>231</v>
      </c>
      <c r="BD1307" s="8" t="s">
        <v>231</v>
      </c>
      <c r="BE1307" s="4" t="s">
        <v>231</v>
      </c>
      <c r="BF1307" s="8" t="s">
        <v>231</v>
      </c>
      <c r="BG1307" s="7" t="s">
        <v>231</v>
      </c>
      <c r="BH1307" s="7" t="s">
        <v>231</v>
      </c>
      <c r="BI1307" s="7"/>
      <c r="BJ1307" s="4"/>
      <c r="BK1307" s="8"/>
      <c r="BL1307" s="2" t="s">
        <v>231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241</v>
      </c>
      <c r="BV1307" s="2" t="s">
        <v>231</v>
      </c>
      <c r="BW1307" s="2" t="s">
        <v>231</v>
      </c>
      <c r="BX1307" s="2" t="s">
        <v>241</v>
      </c>
      <c r="BY1307" s="2" t="s">
        <v>242</v>
      </c>
      <c r="BZ1307" s="2" t="s">
        <v>243</v>
      </c>
      <c r="CA1307" s="2" t="s">
        <v>231</v>
      </c>
      <c r="CB1307" s="2" t="s">
        <v>231</v>
      </c>
      <c r="CC1307" s="2" t="s">
        <v>244</v>
      </c>
      <c r="CD1307" s="2" t="s">
        <v>231</v>
      </c>
      <c r="CE1307" s="4"/>
      <c r="CF1307" s="4"/>
      <c r="CG1307" s="4"/>
      <c r="CH1307" s="4"/>
      <c r="CI1307" s="4">
        <v>2</v>
      </c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>
        <v>180</v>
      </c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>
        <v>180</v>
      </c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</row>
    <row r="1308">
      <c r="A1308" s="2" t="s">
        <v>6146</v>
      </c>
      <c r="B1308" s="2" t="s">
        <v>1004</v>
      </c>
      <c r="C1308" s="2" t="s">
        <v>815</v>
      </c>
      <c r="D1308" s="2" t="s">
        <v>1917</v>
      </c>
      <c r="E1308" s="2" t="s">
        <v>2495</v>
      </c>
      <c r="F1308" s="2" t="s">
        <v>6147</v>
      </c>
      <c r="G1308" s="2" t="s">
        <v>6147</v>
      </c>
      <c r="H1308" s="2" t="s">
        <v>6147</v>
      </c>
      <c r="I1308" s="2" t="s">
        <v>6148</v>
      </c>
      <c r="J1308" s="2" t="s">
        <v>807</v>
      </c>
      <c r="K1308" s="2" t="s">
        <v>901</v>
      </c>
      <c r="L1308" s="3">
        <v>126</v>
      </c>
      <c r="M1308" s="3">
        <v>132.3</v>
      </c>
      <c r="N1308" s="3">
        <v>269</v>
      </c>
      <c r="O1308" s="2" t="s">
        <v>235</v>
      </c>
      <c r="P1308" s="2" t="s">
        <v>341</v>
      </c>
      <c r="Q1308" s="2" t="s">
        <v>237</v>
      </c>
      <c r="R1308" s="2" t="s">
        <v>231</v>
      </c>
      <c r="S1308" s="2" t="s">
        <v>231</v>
      </c>
      <c r="T1308" s="2" t="s">
        <v>231</v>
      </c>
      <c r="U1308" s="2" t="s">
        <v>327</v>
      </c>
      <c r="V1308" s="2" t="s">
        <v>239</v>
      </c>
      <c r="W1308" s="2" t="s">
        <v>808</v>
      </c>
      <c r="X1308" s="2" t="s">
        <v>231</v>
      </c>
      <c r="Y1308" s="2" t="s">
        <v>4912</v>
      </c>
      <c r="Z1308" s="4">
        <v>57</v>
      </c>
      <c r="AA1308" s="4">
        <f>=ROUNDDOWN(114,0)</f>
      </c>
      <c r="AB1308" s="5">
        <v>0.5</v>
      </c>
      <c r="AC1308" s="2" t="s">
        <v>231</v>
      </c>
      <c r="AD1308" s="4"/>
      <c r="AE1308" s="4"/>
      <c r="AF1308" s="6">
        <v>74</v>
      </c>
      <c r="AG1308" s="6">
        <v>60</v>
      </c>
      <c r="AH1308" s="7">
        <v>1</v>
      </c>
      <c r="AI1308" s="4"/>
      <c r="AJ1308" s="4">
        <f>=ROUNDDOWN({0},0)</f>
      </c>
      <c r="AK1308" s="5"/>
      <c r="AL1308" s="2" t="s">
        <v>231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>
        <v>1</v>
      </c>
      <c r="BK1308" s="8">
        <v>142.88</v>
      </c>
      <c r="BL1308" s="2" t="s">
        <v>6149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6150</v>
      </c>
      <c r="BV1308" s="2" t="s">
        <v>231</v>
      </c>
      <c r="BW1308" s="2" t="s">
        <v>231</v>
      </c>
      <c r="BX1308" s="2" t="s">
        <v>231</v>
      </c>
      <c r="BY1308" s="2" t="s">
        <v>277</v>
      </c>
      <c r="BZ1308" s="2" t="s">
        <v>243</v>
      </c>
      <c r="CA1308" s="2" t="s">
        <v>4185</v>
      </c>
      <c r="CB1308" s="2" t="s">
        <v>6151</v>
      </c>
      <c r="CC1308" s="2" t="s">
        <v>244</v>
      </c>
      <c r="CD1308" s="2" t="s">
        <v>231</v>
      </c>
      <c r="CE1308" s="4"/>
      <c r="CF1308" s="4">
        <v>57</v>
      </c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</row>
    <row r="1309">
      <c r="A1309" s="2" t="s">
        <v>6152</v>
      </c>
      <c r="B1309" s="2" t="s">
        <v>1004</v>
      </c>
      <c r="C1309" s="2" t="s">
        <v>288</v>
      </c>
      <c r="D1309" s="2" t="s">
        <v>1689</v>
      </c>
      <c r="E1309" s="2" t="s">
        <v>1690</v>
      </c>
      <c r="F1309" s="2" t="s">
        <v>6153</v>
      </c>
      <c r="G1309" s="2" t="s">
        <v>5025</v>
      </c>
      <c r="H1309" s="2" t="s">
        <v>1857</v>
      </c>
      <c r="I1309" s="2" t="s">
        <v>6154</v>
      </c>
      <c r="J1309" s="2" t="s">
        <v>807</v>
      </c>
      <c r="K1309" s="2" t="s">
        <v>1136</v>
      </c>
      <c r="L1309" s="3">
        <v>180.5</v>
      </c>
      <c r="M1309" s="3">
        <v>189.52</v>
      </c>
      <c r="N1309" s="3">
        <v>379</v>
      </c>
      <c r="O1309" s="2" t="s">
        <v>243</v>
      </c>
      <c r="P1309" s="2" t="s">
        <v>1985</v>
      </c>
      <c r="Q1309" s="2" t="s">
        <v>237</v>
      </c>
      <c r="R1309" s="2" t="s">
        <v>231</v>
      </c>
      <c r="S1309" s="2" t="s">
        <v>6155</v>
      </c>
      <c r="T1309" s="2" t="s">
        <v>231</v>
      </c>
      <c r="U1309" s="2" t="s">
        <v>231</v>
      </c>
      <c r="V1309" s="2" t="s">
        <v>239</v>
      </c>
      <c r="W1309" s="2" t="s">
        <v>691</v>
      </c>
      <c r="X1309" s="2" t="s">
        <v>231</v>
      </c>
      <c r="Y1309" s="2" t="s">
        <v>274</v>
      </c>
      <c r="Z1309" s="4">
        <v>76</v>
      </c>
      <c r="AA1309" s="4">
        <f>=ROUNDDOWN(63.3333333333333,0)</f>
      </c>
      <c r="AB1309" s="5">
        <v>1.2</v>
      </c>
      <c r="AC1309" s="2" t="s">
        <v>231</v>
      </c>
      <c r="AD1309" s="4"/>
      <c r="AE1309" s="4"/>
      <c r="AF1309" s="6">
        <v>66</v>
      </c>
      <c r="AG1309" s="6"/>
      <c r="AH1309" s="7">
        <v>1</v>
      </c>
      <c r="AI1309" s="4"/>
      <c r="AJ1309" s="4">
        <f>=ROUNDDOWN({0},0)</f>
      </c>
      <c r="AK1309" s="5"/>
      <c r="AL1309" s="2" t="s">
        <v>231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>
        <v>5</v>
      </c>
      <c r="BK1309" s="8">
        <v>860.9</v>
      </c>
      <c r="BL1309" s="2" t="s">
        <v>6156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6157</v>
      </c>
      <c r="BV1309" s="2" t="s">
        <v>231</v>
      </c>
      <c r="BW1309" s="2" t="s">
        <v>231</v>
      </c>
      <c r="BX1309" s="2" t="s">
        <v>241</v>
      </c>
      <c r="BY1309" s="2" t="s">
        <v>277</v>
      </c>
      <c r="BZ1309" s="2" t="s">
        <v>243</v>
      </c>
      <c r="CA1309" s="2" t="s">
        <v>284</v>
      </c>
      <c r="CB1309" s="2" t="s">
        <v>4105</v>
      </c>
      <c r="CC1309" s="2" t="s">
        <v>244</v>
      </c>
      <c r="CD1309" s="2" t="s">
        <v>231</v>
      </c>
      <c r="CE1309" s="4"/>
      <c r="CF1309" s="4">
        <v>76</v>
      </c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</row>
    <row r="1310">
      <c r="A1310" s="2" t="s">
        <v>6158</v>
      </c>
      <c r="B1310" s="2" t="s">
        <v>847</v>
      </c>
      <c r="C1310" s="2" t="s">
        <v>867</v>
      </c>
      <c r="D1310" s="2" t="s">
        <v>882</v>
      </c>
      <c r="E1310" s="2" t="s">
        <v>849</v>
      </c>
      <c r="F1310" s="2" t="s">
        <v>6159</v>
      </c>
      <c r="G1310" s="2" t="s">
        <v>6159</v>
      </c>
      <c r="H1310" s="2" t="s">
        <v>6159</v>
      </c>
      <c r="I1310" s="2" t="s">
        <v>6160</v>
      </c>
      <c r="J1310" s="2" t="s">
        <v>807</v>
      </c>
      <c r="K1310" s="2" t="s">
        <v>870</v>
      </c>
      <c r="L1310" s="3">
        <v>29.92</v>
      </c>
      <c r="M1310" s="3">
        <v>31.42</v>
      </c>
      <c r="N1310" s="3">
        <v>63.74</v>
      </c>
      <c r="O1310" s="2" t="s">
        <v>243</v>
      </c>
      <c r="P1310" s="2" t="s">
        <v>270</v>
      </c>
      <c r="Q1310" s="2" t="s">
        <v>237</v>
      </c>
      <c r="R1310" s="2" t="s">
        <v>231</v>
      </c>
      <c r="S1310" s="2" t="s">
        <v>231</v>
      </c>
      <c r="T1310" s="2" t="s">
        <v>231</v>
      </c>
      <c r="U1310" s="2" t="s">
        <v>791</v>
      </c>
      <c r="V1310" s="2" t="s">
        <v>381</v>
      </c>
      <c r="W1310" s="2" t="s">
        <v>792</v>
      </c>
      <c r="X1310" s="2" t="s">
        <v>874</v>
      </c>
      <c r="Y1310" s="2" t="s">
        <v>2355</v>
      </c>
      <c r="Z1310" s="4">
        <v>39</v>
      </c>
      <c r="AA1310" s="4">
        <f>=ROUNDDOWN(6.5,0)</f>
      </c>
      <c r="AB1310" s="5">
        <v>6</v>
      </c>
      <c r="AC1310" s="2" t="s">
        <v>392</v>
      </c>
      <c r="AD1310" s="4">
        <v>100</v>
      </c>
      <c r="AE1310" s="4">
        <v>100</v>
      </c>
      <c r="AF1310" s="6">
        <v>63</v>
      </c>
      <c r="AG1310" s="6"/>
      <c r="AH1310" s="7">
        <v>1</v>
      </c>
      <c r="AI1310" s="4"/>
      <c r="AJ1310" s="4">
        <f>=ROUNDDOWN({0},0)</f>
      </c>
      <c r="AK1310" s="5"/>
      <c r="AL1310" s="2" t="s">
        <v>231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>
        <v>31</v>
      </c>
      <c r="BK1310" s="8">
        <v>1100.42</v>
      </c>
      <c r="BL1310" s="2" t="s">
        <v>6161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6162</v>
      </c>
      <c r="BV1310" s="2" t="s">
        <v>231</v>
      </c>
      <c r="BW1310" s="2" t="s">
        <v>231</v>
      </c>
      <c r="BX1310" s="2" t="s">
        <v>231</v>
      </c>
      <c r="BY1310" s="2" t="s">
        <v>277</v>
      </c>
      <c r="BZ1310" s="2" t="s">
        <v>243</v>
      </c>
      <c r="CA1310" s="2" t="s">
        <v>3143</v>
      </c>
      <c r="CB1310" s="2" t="s">
        <v>6080</v>
      </c>
      <c r="CC1310" s="2" t="s">
        <v>244</v>
      </c>
      <c r="CD1310" s="2" t="s">
        <v>231</v>
      </c>
      <c r="CE1310" s="4"/>
      <c r="CF1310" s="4">
        <v>39</v>
      </c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>
        <v>100</v>
      </c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</row>
    <row r="1311">
      <c r="A1311" s="2" t="s">
        <v>6163</v>
      </c>
      <c r="B1311" s="2" t="s">
        <v>226</v>
      </c>
      <c r="C1311" s="2" t="s">
        <v>288</v>
      </c>
      <c r="D1311" s="2" t="s">
        <v>228</v>
      </c>
      <c r="E1311" s="2" t="s">
        <v>229</v>
      </c>
      <c r="F1311" s="2" t="s">
        <v>6164</v>
      </c>
      <c r="G1311" s="2" t="s">
        <v>6164</v>
      </c>
      <c r="H1311" s="2" t="s">
        <v>6164</v>
      </c>
      <c r="I1311" s="2" t="s">
        <v>6165</v>
      </c>
      <c r="J1311" s="2" t="s">
        <v>658</v>
      </c>
      <c r="K1311" s="2" t="s">
        <v>269</v>
      </c>
      <c r="L1311" s="3">
        <v>21.27</v>
      </c>
      <c r="M1311" s="3">
        <v>22.33</v>
      </c>
      <c r="N1311" s="3">
        <v>39.99</v>
      </c>
      <c r="O1311" s="2" t="s">
        <v>243</v>
      </c>
      <c r="P1311" s="2" t="s">
        <v>270</v>
      </c>
      <c r="Q1311" s="2" t="s">
        <v>237</v>
      </c>
      <c r="R1311" s="2" t="s">
        <v>231</v>
      </c>
      <c r="S1311" s="2" t="s">
        <v>6166</v>
      </c>
      <c r="T1311" s="2" t="s">
        <v>362</v>
      </c>
      <c r="U1311" s="2" t="s">
        <v>231</v>
      </c>
      <c r="V1311" s="2" t="s">
        <v>239</v>
      </c>
      <c r="W1311" s="2" t="s">
        <v>273</v>
      </c>
      <c r="X1311" s="2" t="s">
        <v>231</v>
      </c>
      <c r="Y1311" s="2" t="s">
        <v>274</v>
      </c>
      <c r="Z1311" s="4">
        <v>1016</v>
      </c>
      <c r="AA1311" s="4">
        <f>=ROUNDDOWN(23.6279069767442,0)</f>
      </c>
      <c r="AB1311" s="5">
        <v>43</v>
      </c>
      <c r="AC1311" s="2" t="s">
        <v>1664</v>
      </c>
      <c r="AD1311" s="4">
        <v>200</v>
      </c>
      <c r="AE1311" s="4">
        <v>940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231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 t="s">
        <v>231</v>
      </c>
      <c r="BD1311" s="8" t="s">
        <v>231</v>
      </c>
      <c r="BE1311" s="4" t="s">
        <v>231</v>
      </c>
      <c r="BF1311" s="8" t="s">
        <v>231</v>
      </c>
      <c r="BG1311" s="7" t="s">
        <v>231</v>
      </c>
      <c r="BH1311" s="7" t="s">
        <v>231</v>
      </c>
      <c r="BI1311" s="7"/>
      <c r="BJ1311" s="4">
        <v>198</v>
      </c>
      <c r="BK1311" s="8">
        <v>3411.44</v>
      </c>
      <c r="BL1311" s="2" t="s">
        <v>6167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6168</v>
      </c>
      <c r="BV1311" s="2" t="s">
        <v>231</v>
      </c>
      <c r="BW1311" s="2" t="s">
        <v>231</v>
      </c>
      <c r="BX1311" s="2" t="s">
        <v>231</v>
      </c>
      <c r="BY1311" s="2" t="s">
        <v>277</v>
      </c>
      <c r="BZ1311" s="2" t="s">
        <v>243</v>
      </c>
      <c r="CA1311" s="2" t="s">
        <v>284</v>
      </c>
      <c r="CB1311" s="2" t="s">
        <v>3181</v>
      </c>
      <c r="CC1311" s="2" t="s">
        <v>244</v>
      </c>
      <c r="CD1311" s="2" t="s">
        <v>231</v>
      </c>
      <c r="CE1311" s="4">
        <v>1016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>
        <v>200</v>
      </c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>
        <v>740</v>
      </c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</row>
    <row r="1312">
      <c r="A1312" s="2" t="s">
        <v>6169</v>
      </c>
      <c r="B1312" s="2" t="s">
        <v>226</v>
      </c>
      <c r="C1312" s="2" t="s">
        <v>288</v>
      </c>
      <c r="D1312" s="2" t="s">
        <v>228</v>
      </c>
      <c r="E1312" s="2" t="s">
        <v>229</v>
      </c>
      <c r="F1312" s="2" t="s">
        <v>6164</v>
      </c>
      <c r="G1312" s="2" t="s">
        <v>6164</v>
      </c>
      <c r="H1312" s="2" t="s">
        <v>6164</v>
      </c>
      <c r="I1312" s="2" t="s">
        <v>6165</v>
      </c>
      <c r="J1312" s="2" t="s">
        <v>318</v>
      </c>
      <c r="K1312" s="2" t="s">
        <v>1136</v>
      </c>
      <c r="L1312" s="3">
        <v>18.39</v>
      </c>
      <c r="M1312" s="3">
        <v>19.31</v>
      </c>
      <c r="N1312" s="3">
        <v>34.99</v>
      </c>
      <c r="O1312" s="2" t="s">
        <v>243</v>
      </c>
      <c r="P1312" s="2" t="s">
        <v>270</v>
      </c>
      <c r="Q1312" s="2" t="s">
        <v>237</v>
      </c>
      <c r="R1312" s="2" t="s">
        <v>231</v>
      </c>
      <c r="S1312" s="2" t="s">
        <v>6170</v>
      </c>
      <c r="T1312" s="2" t="s">
        <v>362</v>
      </c>
      <c r="U1312" s="2" t="s">
        <v>231</v>
      </c>
      <c r="V1312" s="2" t="s">
        <v>239</v>
      </c>
      <c r="W1312" s="2" t="s">
        <v>273</v>
      </c>
      <c r="X1312" s="2" t="s">
        <v>231</v>
      </c>
      <c r="Y1312" s="2" t="s">
        <v>274</v>
      </c>
      <c r="Z1312" s="4">
        <v>346</v>
      </c>
      <c r="AA1312" s="4">
        <f>=ROUNDDOWN(15.0434782608696,0)</f>
      </c>
      <c r="AB1312" s="5">
        <v>23</v>
      </c>
      <c r="AC1312" s="2" t="s">
        <v>876</v>
      </c>
      <c r="AD1312" s="4">
        <v>120</v>
      </c>
      <c r="AE1312" s="4">
        <v>390</v>
      </c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231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231</v>
      </c>
      <c r="BD1312" s="8" t="s">
        <v>231</v>
      </c>
      <c r="BE1312" s="4" t="s">
        <v>231</v>
      </c>
      <c r="BF1312" s="8" t="s">
        <v>231</v>
      </c>
      <c r="BG1312" s="7" t="s">
        <v>231</v>
      </c>
      <c r="BH1312" s="7" t="s">
        <v>231</v>
      </c>
      <c r="BI1312" s="7"/>
      <c r="BJ1312" s="4">
        <v>115</v>
      </c>
      <c r="BK1312" s="8">
        <v>1789.51</v>
      </c>
      <c r="BL1312" s="2" t="s">
        <v>6171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6172</v>
      </c>
      <c r="BV1312" s="2" t="s">
        <v>231</v>
      </c>
      <c r="BW1312" s="2" t="s">
        <v>231</v>
      </c>
      <c r="BX1312" s="2" t="s">
        <v>231</v>
      </c>
      <c r="BY1312" s="2" t="s">
        <v>277</v>
      </c>
      <c r="BZ1312" s="2" t="s">
        <v>243</v>
      </c>
      <c r="CA1312" s="2" t="s">
        <v>284</v>
      </c>
      <c r="CB1312" s="2" t="s">
        <v>5466</v>
      </c>
      <c r="CC1312" s="2" t="s">
        <v>244</v>
      </c>
      <c r="CD1312" s="2" t="s">
        <v>231</v>
      </c>
      <c r="CE1312" s="4">
        <v>346</v>
      </c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>
        <v>120</v>
      </c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>
        <v>270</v>
      </c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</row>
    <row r="1313">
      <c r="A1313" s="2" t="s">
        <v>6173</v>
      </c>
      <c r="B1313" s="2" t="s">
        <v>226</v>
      </c>
      <c r="C1313" s="2" t="s">
        <v>288</v>
      </c>
      <c r="D1313" s="2" t="s">
        <v>228</v>
      </c>
      <c r="E1313" s="2" t="s">
        <v>229</v>
      </c>
      <c r="F1313" s="2" t="s">
        <v>6164</v>
      </c>
      <c r="G1313" s="2" t="s">
        <v>6164</v>
      </c>
      <c r="H1313" s="2" t="s">
        <v>6164</v>
      </c>
      <c r="I1313" s="2" t="s">
        <v>6165</v>
      </c>
      <c r="J1313" s="2" t="s">
        <v>318</v>
      </c>
      <c r="K1313" s="2" t="s">
        <v>1491</v>
      </c>
      <c r="L1313" s="3">
        <v>18.39</v>
      </c>
      <c r="M1313" s="3">
        <v>19.31</v>
      </c>
      <c r="N1313" s="3">
        <v>34.99</v>
      </c>
      <c r="O1313" s="2" t="s">
        <v>243</v>
      </c>
      <c r="P1313" s="2" t="s">
        <v>270</v>
      </c>
      <c r="Q1313" s="2" t="s">
        <v>237</v>
      </c>
      <c r="R1313" s="2" t="s">
        <v>231</v>
      </c>
      <c r="S1313" s="2" t="s">
        <v>6174</v>
      </c>
      <c r="T1313" s="2" t="s">
        <v>362</v>
      </c>
      <c r="U1313" s="2" t="s">
        <v>327</v>
      </c>
      <c r="V1313" s="2" t="s">
        <v>239</v>
      </c>
      <c r="W1313" s="2" t="s">
        <v>273</v>
      </c>
      <c r="X1313" s="2" t="s">
        <v>231</v>
      </c>
      <c r="Y1313" s="2" t="s">
        <v>3746</v>
      </c>
      <c r="Z1313" s="4">
        <v>106</v>
      </c>
      <c r="AA1313" s="4">
        <f>=ROUNDDOWN(8.83333333333333,0)</f>
      </c>
      <c r="AB1313" s="5">
        <v>12</v>
      </c>
      <c r="AC1313" s="2" t="s">
        <v>876</v>
      </c>
      <c r="AD1313" s="4">
        <v>100</v>
      </c>
      <c r="AE1313" s="4">
        <v>370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231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231</v>
      </c>
      <c r="AW1313" s="8" t="s">
        <v>231</v>
      </c>
      <c r="AX1313" s="4" t="s">
        <v>231</v>
      </c>
      <c r="AY1313" s="8" t="s">
        <v>231</v>
      </c>
      <c r="AZ1313" s="7" t="s">
        <v>231</v>
      </c>
      <c r="BA1313" s="7" t="s">
        <v>231</v>
      </c>
      <c r="BB1313" s="7"/>
      <c r="BC1313" s="4" t="s">
        <v>231</v>
      </c>
      <c r="BD1313" s="8" t="s">
        <v>231</v>
      </c>
      <c r="BE1313" s="4" t="s">
        <v>231</v>
      </c>
      <c r="BF1313" s="8" t="s">
        <v>231</v>
      </c>
      <c r="BG1313" s="7" t="s">
        <v>231</v>
      </c>
      <c r="BH1313" s="7" t="s">
        <v>231</v>
      </c>
      <c r="BI1313" s="7"/>
      <c r="BJ1313" s="4">
        <v>32</v>
      </c>
      <c r="BK1313" s="8">
        <v>544.12</v>
      </c>
      <c r="BL1313" s="2" t="s">
        <v>2900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6175</v>
      </c>
      <c r="BV1313" s="2" t="s">
        <v>231</v>
      </c>
      <c r="BW1313" s="2" t="s">
        <v>231</v>
      </c>
      <c r="BX1313" s="2" t="s">
        <v>241</v>
      </c>
      <c r="BY1313" s="2" t="s">
        <v>277</v>
      </c>
      <c r="BZ1313" s="2" t="s">
        <v>243</v>
      </c>
      <c r="CA1313" s="2" t="s">
        <v>2735</v>
      </c>
      <c r="CB1313" s="2" t="s">
        <v>231</v>
      </c>
      <c r="CC1313" s="2" t="s">
        <v>244</v>
      </c>
      <c r="CD1313" s="2" t="s">
        <v>231</v>
      </c>
      <c r="CE1313" s="4">
        <v>106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>
        <v>100</v>
      </c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>
        <v>270</v>
      </c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</row>
    <row r="1314">
      <c r="A1314" s="2" t="s">
        <v>6176</v>
      </c>
      <c r="B1314" s="2" t="s">
        <v>226</v>
      </c>
      <c r="C1314" s="2" t="s">
        <v>288</v>
      </c>
      <c r="D1314" s="2" t="s">
        <v>228</v>
      </c>
      <c r="E1314" s="2" t="s">
        <v>229</v>
      </c>
      <c r="F1314" s="2" t="s">
        <v>6164</v>
      </c>
      <c r="G1314" s="2" t="s">
        <v>6164</v>
      </c>
      <c r="H1314" s="2" t="s">
        <v>6164</v>
      </c>
      <c r="I1314" s="2" t="s">
        <v>6165</v>
      </c>
      <c r="J1314" s="2" t="s">
        <v>658</v>
      </c>
      <c r="K1314" s="2" t="s">
        <v>1491</v>
      </c>
      <c r="L1314" s="3">
        <v>21.27</v>
      </c>
      <c r="M1314" s="3">
        <v>22.33</v>
      </c>
      <c r="N1314" s="3">
        <v>39.99</v>
      </c>
      <c r="O1314" s="2" t="s">
        <v>243</v>
      </c>
      <c r="P1314" s="2" t="s">
        <v>270</v>
      </c>
      <c r="Q1314" s="2" t="s">
        <v>237</v>
      </c>
      <c r="R1314" s="2" t="s">
        <v>231</v>
      </c>
      <c r="S1314" s="2" t="s">
        <v>6174</v>
      </c>
      <c r="T1314" s="2" t="s">
        <v>362</v>
      </c>
      <c r="U1314" s="2" t="s">
        <v>327</v>
      </c>
      <c r="V1314" s="2" t="s">
        <v>239</v>
      </c>
      <c r="W1314" s="2" t="s">
        <v>273</v>
      </c>
      <c r="X1314" s="2" t="s">
        <v>231</v>
      </c>
      <c r="Y1314" s="2" t="s">
        <v>3746</v>
      </c>
      <c r="Z1314" s="4">
        <v>210</v>
      </c>
      <c r="AA1314" s="4">
        <f>=ROUNDDOWN(9.54545454545454,0)</f>
      </c>
      <c r="AB1314" s="5">
        <v>22</v>
      </c>
      <c r="AC1314" s="2" t="s">
        <v>876</v>
      </c>
      <c r="AD1314" s="4">
        <v>200</v>
      </c>
      <c r="AE1314" s="4">
        <v>670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231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231</v>
      </c>
      <c r="AW1314" s="8" t="s">
        <v>231</v>
      </c>
      <c r="AX1314" s="4" t="s">
        <v>231</v>
      </c>
      <c r="AY1314" s="8" t="s">
        <v>231</v>
      </c>
      <c r="AZ1314" s="7" t="s">
        <v>231</v>
      </c>
      <c r="BA1314" s="7" t="s">
        <v>231</v>
      </c>
      <c r="BB1314" s="7"/>
      <c r="BC1314" s="4" t="s">
        <v>231</v>
      </c>
      <c r="BD1314" s="8" t="s">
        <v>231</v>
      </c>
      <c r="BE1314" s="4" t="s">
        <v>231</v>
      </c>
      <c r="BF1314" s="8" t="s">
        <v>231</v>
      </c>
      <c r="BG1314" s="7" t="s">
        <v>231</v>
      </c>
      <c r="BH1314" s="7" t="s">
        <v>231</v>
      </c>
      <c r="BI1314" s="7"/>
      <c r="BJ1314" s="4">
        <v>60</v>
      </c>
      <c r="BK1314" s="8">
        <v>1128.18</v>
      </c>
      <c r="BL1314" s="2" t="s">
        <v>2900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6177</v>
      </c>
      <c r="BV1314" s="2" t="s">
        <v>231</v>
      </c>
      <c r="BW1314" s="2" t="s">
        <v>231</v>
      </c>
      <c r="BX1314" s="2" t="s">
        <v>241</v>
      </c>
      <c r="BY1314" s="2" t="s">
        <v>277</v>
      </c>
      <c r="BZ1314" s="2" t="s">
        <v>243</v>
      </c>
      <c r="CA1314" s="2" t="s">
        <v>2735</v>
      </c>
      <c r="CB1314" s="2" t="s">
        <v>3279</v>
      </c>
      <c r="CC1314" s="2" t="s">
        <v>244</v>
      </c>
      <c r="CD1314" s="2" t="s">
        <v>231</v>
      </c>
      <c r="CE1314" s="4">
        <v>210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>
        <v>200</v>
      </c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>
        <v>470</v>
      </c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</row>
    <row r="1315">
      <c r="A1315" s="2" t="s">
        <v>6178</v>
      </c>
      <c r="B1315" s="2" t="s">
        <v>226</v>
      </c>
      <c r="C1315" s="2" t="s">
        <v>288</v>
      </c>
      <c r="D1315" s="2" t="s">
        <v>228</v>
      </c>
      <c r="E1315" s="2" t="s">
        <v>229</v>
      </c>
      <c r="F1315" s="2" t="s">
        <v>6164</v>
      </c>
      <c r="G1315" s="2" t="s">
        <v>6164</v>
      </c>
      <c r="H1315" s="2" t="s">
        <v>6164</v>
      </c>
      <c r="I1315" s="2" t="s">
        <v>6165</v>
      </c>
      <c r="J1315" s="2" t="s">
        <v>302</v>
      </c>
      <c r="K1315" s="2" t="s">
        <v>1491</v>
      </c>
      <c r="L1315" s="3">
        <v>24.14</v>
      </c>
      <c r="M1315" s="3">
        <v>25.35</v>
      </c>
      <c r="N1315" s="3">
        <v>44.99</v>
      </c>
      <c r="O1315" s="2" t="s">
        <v>243</v>
      </c>
      <c r="P1315" s="2" t="s">
        <v>270</v>
      </c>
      <c r="Q1315" s="2" t="s">
        <v>237</v>
      </c>
      <c r="R1315" s="2" t="s">
        <v>231</v>
      </c>
      <c r="S1315" s="2" t="s">
        <v>6174</v>
      </c>
      <c r="T1315" s="2" t="s">
        <v>362</v>
      </c>
      <c r="U1315" s="2" t="s">
        <v>327</v>
      </c>
      <c r="V1315" s="2" t="s">
        <v>239</v>
      </c>
      <c r="W1315" s="2" t="s">
        <v>273</v>
      </c>
      <c r="X1315" s="2" t="s">
        <v>231</v>
      </c>
      <c r="Y1315" s="2" t="s">
        <v>3746</v>
      </c>
      <c r="Z1315" s="4">
        <v>243</v>
      </c>
      <c r="AA1315" s="4">
        <f>=ROUNDDOWN(17.3571428571429,0)</f>
      </c>
      <c r="AB1315" s="5">
        <v>14</v>
      </c>
      <c r="AC1315" s="2" t="s">
        <v>876</v>
      </c>
      <c r="AD1315" s="4">
        <v>200</v>
      </c>
      <c r="AE1315" s="4">
        <v>260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231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231</v>
      </c>
      <c r="AW1315" s="8" t="s">
        <v>231</v>
      </c>
      <c r="AX1315" s="4" t="s">
        <v>231</v>
      </c>
      <c r="AY1315" s="8" t="s">
        <v>231</v>
      </c>
      <c r="AZ1315" s="7" t="s">
        <v>231</v>
      </c>
      <c r="BA1315" s="7" t="s">
        <v>231</v>
      </c>
      <c r="BB1315" s="7"/>
      <c r="BC1315" s="4" t="s">
        <v>231</v>
      </c>
      <c r="BD1315" s="8" t="s">
        <v>231</v>
      </c>
      <c r="BE1315" s="4" t="s">
        <v>231</v>
      </c>
      <c r="BF1315" s="8" t="s">
        <v>231</v>
      </c>
      <c r="BG1315" s="7" t="s">
        <v>231</v>
      </c>
      <c r="BH1315" s="7" t="s">
        <v>231</v>
      </c>
      <c r="BI1315" s="7"/>
      <c r="BJ1315" s="4">
        <v>36</v>
      </c>
      <c r="BK1315" s="8">
        <v>797.42</v>
      </c>
      <c r="BL1315" s="2" t="s">
        <v>5195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6179</v>
      </c>
      <c r="BV1315" s="2" t="s">
        <v>231</v>
      </c>
      <c r="BW1315" s="2" t="s">
        <v>231</v>
      </c>
      <c r="BX1315" s="2" t="s">
        <v>241</v>
      </c>
      <c r="BY1315" s="2" t="s">
        <v>277</v>
      </c>
      <c r="BZ1315" s="2" t="s">
        <v>243</v>
      </c>
      <c r="CA1315" s="2" t="s">
        <v>2735</v>
      </c>
      <c r="CB1315" s="2" t="s">
        <v>231</v>
      </c>
      <c r="CC1315" s="2" t="s">
        <v>244</v>
      </c>
      <c r="CD1315" s="2" t="s">
        <v>231</v>
      </c>
      <c r="CE1315" s="4">
        <v>243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>
        <v>200</v>
      </c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>
        <v>60</v>
      </c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</row>
    <row r="1316">
      <c r="A1316" s="2" t="s">
        <v>6180</v>
      </c>
      <c r="B1316" s="2" t="s">
        <v>226</v>
      </c>
      <c r="C1316" s="2" t="s">
        <v>288</v>
      </c>
      <c r="D1316" s="2" t="s">
        <v>228</v>
      </c>
      <c r="E1316" s="2" t="s">
        <v>229</v>
      </c>
      <c r="F1316" s="2" t="s">
        <v>6164</v>
      </c>
      <c r="G1316" s="2" t="s">
        <v>6164</v>
      </c>
      <c r="H1316" s="2" t="s">
        <v>6164</v>
      </c>
      <c r="I1316" s="2" t="s">
        <v>6165</v>
      </c>
      <c r="J1316" s="2" t="s">
        <v>318</v>
      </c>
      <c r="K1316" s="2" t="s">
        <v>253</v>
      </c>
      <c r="L1316" s="3">
        <v>18.39</v>
      </c>
      <c r="M1316" s="3">
        <v>19.31</v>
      </c>
      <c r="N1316" s="3">
        <v>34.99</v>
      </c>
      <c r="O1316" s="2" t="s">
        <v>243</v>
      </c>
      <c r="P1316" s="2" t="s">
        <v>270</v>
      </c>
      <c r="Q1316" s="2" t="s">
        <v>237</v>
      </c>
      <c r="R1316" s="2" t="s">
        <v>231</v>
      </c>
      <c r="S1316" s="2" t="s">
        <v>6181</v>
      </c>
      <c r="T1316" s="2" t="s">
        <v>362</v>
      </c>
      <c r="U1316" s="2" t="s">
        <v>231</v>
      </c>
      <c r="V1316" s="2" t="s">
        <v>239</v>
      </c>
      <c r="W1316" s="2" t="s">
        <v>273</v>
      </c>
      <c r="X1316" s="2" t="s">
        <v>231</v>
      </c>
      <c r="Y1316" s="2" t="s">
        <v>2967</v>
      </c>
      <c r="Z1316" s="4">
        <v>151</v>
      </c>
      <c r="AA1316" s="4">
        <f>=ROUNDDOWN(6.56521739130435,0)</f>
      </c>
      <c r="AB1316" s="5">
        <v>23</v>
      </c>
      <c r="AC1316" s="2" t="s">
        <v>876</v>
      </c>
      <c r="AD1316" s="4">
        <v>150</v>
      </c>
      <c r="AE1316" s="4">
        <v>630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231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231</v>
      </c>
      <c r="AW1316" s="8" t="s">
        <v>231</v>
      </c>
      <c r="AX1316" s="4" t="s">
        <v>231</v>
      </c>
      <c r="AY1316" s="8" t="s">
        <v>231</v>
      </c>
      <c r="AZ1316" s="7" t="s">
        <v>231</v>
      </c>
      <c r="BA1316" s="7" t="s">
        <v>231</v>
      </c>
      <c r="BB1316" s="7"/>
      <c r="BC1316" s="4" t="s">
        <v>231</v>
      </c>
      <c r="BD1316" s="8" t="s">
        <v>231</v>
      </c>
      <c r="BE1316" s="4" t="s">
        <v>231</v>
      </c>
      <c r="BF1316" s="8" t="s">
        <v>231</v>
      </c>
      <c r="BG1316" s="7" t="s">
        <v>231</v>
      </c>
      <c r="BH1316" s="7" t="s">
        <v>231</v>
      </c>
      <c r="BI1316" s="7"/>
      <c r="BJ1316" s="4">
        <v>296</v>
      </c>
      <c r="BK1316" s="8">
        <v>4330.77</v>
      </c>
      <c r="BL1316" s="2" t="s">
        <v>6182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6183</v>
      </c>
      <c r="BV1316" s="2" t="s">
        <v>231</v>
      </c>
      <c r="BW1316" s="2" t="s">
        <v>231</v>
      </c>
      <c r="BX1316" s="2" t="s">
        <v>231</v>
      </c>
      <c r="BY1316" s="2" t="s">
        <v>277</v>
      </c>
      <c r="BZ1316" s="2" t="s">
        <v>243</v>
      </c>
      <c r="CA1316" s="2" t="s">
        <v>284</v>
      </c>
      <c r="CB1316" s="2" t="s">
        <v>6184</v>
      </c>
      <c r="CC1316" s="2" t="s">
        <v>244</v>
      </c>
      <c r="CD1316" s="2" t="s">
        <v>231</v>
      </c>
      <c r="CE1316" s="4">
        <v>151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>
        <v>150</v>
      </c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>
        <v>200</v>
      </c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>
        <v>280</v>
      </c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</row>
    <row r="1317">
      <c r="A1317" s="2" t="s">
        <v>6185</v>
      </c>
      <c r="B1317" s="2" t="s">
        <v>226</v>
      </c>
      <c r="C1317" s="2" t="s">
        <v>288</v>
      </c>
      <c r="D1317" s="2" t="s">
        <v>228</v>
      </c>
      <c r="E1317" s="2" t="s">
        <v>229</v>
      </c>
      <c r="F1317" s="2" t="s">
        <v>6164</v>
      </c>
      <c r="G1317" s="2" t="s">
        <v>6164</v>
      </c>
      <c r="H1317" s="2" t="s">
        <v>6164</v>
      </c>
      <c r="I1317" s="2" t="s">
        <v>6165</v>
      </c>
      <c r="J1317" s="2" t="s">
        <v>658</v>
      </c>
      <c r="K1317" s="2" t="s">
        <v>253</v>
      </c>
      <c r="L1317" s="3">
        <v>21.27</v>
      </c>
      <c r="M1317" s="3">
        <v>22.33</v>
      </c>
      <c r="N1317" s="3">
        <v>39.99</v>
      </c>
      <c r="O1317" s="2" t="s">
        <v>243</v>
      </c>
      <c r="P1317" s="2" t="s">
        <v>270</v>
      </c>
      <c r="Q1317" s="2" t="s">
        <v>237</v>
      </c>
      <c r="R1317" s="2" t="s">
        <v>231</v>
      </c>
      <c r="S1317" s="2" t="s">
        <v>6181</v>
      </c>
      <c r="T1317" s="2" t="s">
        <v>362</v>
      </c>
      <c r="U1317" s="2" t="s">
        <v>231</v>
      </c>
      <c r="V1317" s="2" t="s">
        <v>239</v>
      </c>
      <c r="W1317" s="2" t="s">
        <v>273</v>
      </c>
      <c r="X1317" s="2" t="s">
        <v>231</v>
      </c>
      <c r="Y1317" s="2" t="s">
        <v>2967</v>
      </c>
      <c r="Z1317" s="4">
        <v>877</v>
      </c>
      <c r="AA1317" s="4">
        <f>=ROUNDDOWN(20.8809523809524,0)</f>
      </c>
      <c r="AB1317" s="5">
        <v>42</v>
      </c>
      <c r="AC1317" s="2" t="s">
        <v>876</v>
      </c>
      <c r="AD1317" s="4">
        <v>260</v>
      </c>
      <c r="AE1317" s="4">
        <v>1080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231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231</v>
      </c>
      <c r="AW1317" s="8" t="s">
        <v>231</v>
      </c>
      <c r="AX1317" s="4" t="s">
        <v>231</v>
      </c>
      <c r="AY1317" s="8" t="s">
        <v>231</v>
      </c>
      <c r="AZ1317" s="7" t="s">
        <v>231</v>
      </c>
      <c r="BA1317" s="7" t="s">
        <v>231</v>
      </c>
      <c r="BB1317" s="7"/>
      <c r="BC1317" s="4" t="s">
        <v>231</v>
      </c>
      <c r="BD1317" s="8" t="s">
        <v>231</v>
      </c>
      <c r="BE1317" s="4" t="s">
        <v>231</v>
      </c>
      <c r="BF1317" s="8" t="s">
        <v>231</v>
      </c>
      <c r="BG1317" s="7" t="s">
        <v>231</v>
      </c>
      <c r="BH1317" s="7" t="s">
        <v>231</v>
      </c>
      <c r="BI1317" s="7"/>
      <c r="BJ1317" s="4">
        <v>197</v>
      </c>
      <c r="BK1317" s="8">
        <v>3608.09</v>
      </c>
      <c r="BL1317" s="2" t="s">
        <v>6186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6187</v>
      </c>
      <c r="BV1317" s="2" t="s">
        <v>231</v>
      </c>
      <c r="BW1317" s="2" t="s">
        <v>231</v>
      </c>
      <c r="BX1317" s="2" t="s">
        <v>231</v>
      </c>
      <c r="BY1317" s="2" t="s">
        <v>277</v>
      </c>
      <c r="BZ1317" s="2" t="s">
        <v>243</v>
      </c>
      <c r="CA1317" s="2" t="s">
        <v>284</v>
      </c>
      <c r="CB1317" s="2" t="s">
        <v>6188</v>
      </c>
      <c r="CC1317" s="2" t="s">
        <v>244</v>
      </c>
      <c r="CD1317" s="2" t="s">
        <v>231</v>
      </c>
      <c r="CE1317" s="4">
        <v>877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>
        <v>260</v>
      </c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>
        <v>220</v>
      </c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>
        <v>600</v>
      </c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</row>
    <row r="1318">
      <c r="A1318" s="2" t="s">
        <v>6189</v>
      </c>
      <c r="B1318" s="2" t="s">
        <v>226</v>
      </c>
      <c r="C1318" s="2" t="s">
        <v>288</v>
      </c>
      <c r="D1318" s="2" t="s">
        <v>228</v>
      </c>
      <c r="E1318" s="2" t="s">
        <v>229</v>
      </c>
      <c r="F1318" s="2" t="s">
        <v>6164</v>
      </c>
      <c r="G1318" s="2" t="s">
        <v>6164</v>
      </c>
      <c r="H1318" s="2" t="s">
        <v>6164</v>
      </c>
      <c r="I1318" s="2" t="s">
        <v>6165</v>
      </c>
      <c r="J1318" s="2" t="s">
        <v>302</v>
      </c>
      <c r="K1318" s="2" t="s">
        <v>253</v>
      </c>
      <c r="L1318" s="3">
        <v>24.14</v>
      </c>
      <c r="M1318" s="3">
        <v>25.35</v>
      </c>
      <c r="N1318" s="3">
        <v>44.99</v>
      </c>
      <c r="O1318" s="2" t="s">
        <v>243</v>
      </c>
      <c r="P1318" s="2" t="s">
        <v>270</v>
      </c>
      <c r="Q1318" s="2" t="s">
        <v>237</v>
      </c>
      <c r="R1318" s="2" t="s">
        <v>231</v>
      </c>
      <c r="S1318" s="2" t="s">
        <v>6181</v>
      </c>
      <c r="T1318" s="2" t="s">
        <v>362</v>
      </c>
      <c r="U1318" s="2" t="s">
        <v>231</v>
      </c>
      <c r="V1318" s="2" t="s">
        <v>239</v>
      </c>
      <c r="W1318" s="2" t="s">
        <v>273</v>
      </c>
      <c r="X1318" s="2" t="s">
        <v>231</v>
      </c>
      <c r="Y1318" s="2" t="s">
        <v>274</v>
      </c>
      <c r="Z1318" s="4">
        <v>249</v>
      </c>
      <c r="AA1318" s="4">
        <f>=ROUNDDOWN(8.89285714285714,0)</f>
      </c>
      <c r="AB1318" s="5">
        <v>28</v>
      </c>
      <c r="AC1318" s="2" t="s">
        <v>876</v>
      </c>
      <c r="AD1318" s="4">
        <v>150</v>
      </c>
      <c r="AE1318" s="4">
        <v>780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231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231</v>
      </c>
      <c r="AW1318" s="8" t="s">
        <v>231</v>
      </c>
      <c r="AX1318" s="4" t="s">
        <v>231</v>
      </c>
      <c r="AY1318" s="8" t="s">
        <v>231</v>
      </c>
      <c r="AZ1318" s="7" t="s">
        <v>231</v>
      </c>
      <c r="BA1318" s="7" t="s">
        <v>231</v>
      </c>
      <c r="BB1318" s="7"/>
      <c r="BC1318" s="4" t="s">
        <v>231</v>
      </c>
      <c r="BD1318" s="8" t="s">
        <v>231</v>
      </c>
      <c r="BE1318" s="4" t="s">
        <v>231</v>
      </c>
      <c r="BF1318" s="8" t="s">
        <v>231</v>
      </c>
      <c r="BG1318" s="7" t="s">
        <v>231</v>
      </c>
      <c r="BH1318" s="7" t="s">
        <v>231</v>
      </c>
      <c r="BI1318" s="7"/>
      <c r="BJ1318" s="4">
        <v>232</v>
      </c>
      <c r="BK1318" s="8">
        <v>4712.93</v>
      </c>
      <c r="BL1318" s="2" t="s">
        <v>6190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6191</v>
      </c>
      <c r="BV1318" s="2" t="s">
        <v>231</v>
      </c>
      <c r="BW1318" s="2" t="s">
        <v>231</v>
      </c>
      <c r="BX1318" s="2" t="s">
        <v>231</v>
      </c>
      <c r="BY1318" s="2" t="s">
        <v>277</v>
      </c>
      <c r="BZ1318" s="2" t="s">
        <v>243</v>
      </c>
      <c r="CA1318" s="2" t="s">
        <v>284</v>
      </c>
      <c r="CB1318" s="2" t="s">
        <v>6192</v>
      </c>
      <c r="CC1318" s="2" t="s">
        <v>244</v>
      </c>
      <c r="CD1318" s="2" t="s">
        <v>231</v>
      </c>
      <c r="CE1318" s="4">
        <v>249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>
        <v>150</v>
      </c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>
        <v>80</v>
      </c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>
        <v>550</v>
      </c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</row>
    <row r="1319">
      <c r="A1319" s="2" t="s">
        <v>6193</v>
      </c>
      <c r="B1319" s="2" t="s">
        <v>226</v>
      </c>
      <c r="C1319" s="2" t="s">
        <v>288</v>
      </c>
      <c r="D1319" s="2" t="s">
        <v>228</v>
      </c>
      <c r="E1319" s="2" t="s">
        <v>229</v>
      </c>
      <c r="F1319" s="2" t="s">
        <v>6164</v>
      </c>
      <c r="G1319" s="2" t="s">
        <v>6164</v>
      </c>
      <c r="H1319" s="2" t="s">
        <v>6164</v>
      </c>
      <c r="I1319" s="2" t="s">
        <v>6165</v>
      </c>
      <c r="J1319" s="2" t="s">
        <v>318</v>
      </c>
      <c r="K1319" s="2" t="s">
        <v>547</v>
      </c>
      <c r="L1319" s="3">
        <v>18.39</v>
      </c>
      <c r="M1319" s="3">
        <v>19.31</v>
      </c>
      <c r="N1319" s="3">
        <v>34.99</v>
      </c>
      <c r="O1319" s="2" t="s">
        <v>243</v>
      </c>
      <c r="P1319" s="2" t="s">
        <v>270</v>
      </c>
      <c r="Q1319" s="2" t="s">
        <v>237</v>
      </c>
      <c r="R1319" s="2" t="s">
        <v>231</v>
      </c>
      <c r="S1319" s="2" t="s">
        <v>6194</v>
      </c>
      <c r="T1319" s="2" t="s">
        <v>362</v>
      </c>
      <c r="U1319" s="2" t="s">
        <v>231</v>
      </c>
      <c r="V1319" s="2" t="s">
        <v>239</v>
      </c>
      <c r="W1319" s="2" t="s">
        <v>273</v>
      </c>
      <c r="X1319" s="2" t="s">
        <v>231</v>
      </c>
      <c r="Y1319" s="2" t="s">
        <v>274</v>
      </c>
      <c r="Z1319" s="4">
        <v>346</v>
      </c>
      <c r="AA1319" s="4">
        <f>=ROUNDDOWN(31.4545454545455,0)</f>
      </c>
      <c r="AB1319" s="5">
        <v>11</v>
      </c>
      <c r="AC1319" s="2" t="s">
        <v>1664</v>
      </c>
      <c r="AD1319" s="4">
        <v>30</v>
      </c>
      <c r="AE1319" s="4">
        <v>80</v>
      </c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231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231</v>
      </c>
      <c r="AW1319" s="8" t="s">
        <v>231</v>
      </c>
      <c r="AX1319" s="4" t="s">
        <v>231</v>
      </c>
      <c r="AY1319" s="8" t="s">
        <v>231</v>
      </c>
      <c r="AZ1319" s="7" t="s">
        <v>231</v>
      </c>
      <c r="BA1319" s="7" t="s">
        <v>231</v>
      </c>
      <c r="BB1319" s="7"/>
      <c r="BC1319" s="4" t="s">
        <v>231</v>
      </c>
      <c r="BD1319" s="8" t="s">
        <v>231</v>
      </c>
      <c r="BE1319" s="4" t="s">
        <v>231</v>
      </c>
      <c r="BF1319" s="8" t="s">
        <v>231</v>
      </c>
      <c r="BG1319" s="7" t="s">
        <v>231</v>
      </c>
      <c r="BH1319" s="7" t="s">
        <v>231</v>
      </c>
      <c r="BI1319" s="7"/>
      <c r="BJ1319" s="4">
        <v>59</v>
      </c>
      <c r="BK1319" s="8">
        <v>869.24</v>
      </c>
      <c r="BL1319" s="2" t="s">
        <v>6195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6196</v>
      </c>
      <c r="BV1319" s="2" t="s">
        <v>231</v>
      </c>
      <c r="BW1319" s="2" t="s">
        <v>231</v>
      </c>
      <c r="BX1319" s="2" t="s">
        <v>231</v>
      </c>
      <c r="BY1319" s="2" t="s">
        <v>277</v>
      </c>
      <c r="BZ1319" s="2" t="s">
        <v>243</v>
      </c>
      <c r="CA1319" s="2" t="s">
        <v>284</v>
      </c>
      <c r="CB1319" s="2" t="s">
        <v>5572</v>
      </c>
      <c r="CC1319" s="2" t="s">
        <v>244</v>
      </c>
      <c r="CD1319" s="2" t="s">
        <v>231</v>
      </c>
      <c r="CE1319" s="4">
        <v>346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>
        <v>30</v>
      </c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>
        <v>50</v>
      </c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</row>
    <row r="1320">
      <c r="A1320" s="2" t="s">
        <v>6197</v>
      </c>
      <c r="B1320" s="2" t="s">
        <v>226</v>
      </c>
      <c r="C1320" s="2" t="s">
        <v>288</v>
      </c>
      <c r="D1320" s="2" t="s">
        <v>228</v>
      </c>
      <c r="E1320" s="2" t="s">
        <v>229</v>
      </c>
      <c r="F1320" s="2" t="s">
        <v>6164</v>
      </c>
      <c r="G1320" s="2" t="s">
        <v>6164</v>
      </c>
      <c r="H1320" s="2" t="s">
        <v>6164</v>
      </c>
      <c r="I1320" s="2" t="s">
        <v>6165</v>
      </c>
      <c r="J1320" s="2" t="s">
        <v>658</v>
      </c>
      <c r="K1320" s="2" t="s">
        <v>547</v>
      </c>
      <c r="L1320" s="3">
        <v>21.27</v>
      </c>
      <c r="M1320" s="3">
        <v>22.33</v>
      </c>
      <c r="N1320" s="3">
        <v>39.99</v>
      </c>
      <c r="O1320" s="2" t="s">
        <v>243</v>
      </c>
      <c r="P1320" s="2" t="s">
        <v>270</v>
      </c>
      <c r="Q1320" s="2" t="s">
        <v>237</v>
      </c>
      <c r="R1320" s="2" t="s">
        <v>231</v>
      </c>
      <c r="S1320" s="2" t="s">
        <v>6194</v>
      </c>
      <c r="T1320" s="2" t="s">
        <v>362</v>
      </c>
      <c r="U1320" s="2" t="s">
        <v>231</v>
      </c>
      <c r="V1320" s="2" t="s">
        <v>239</v>
      </c>
      <c r="W1320" s="2" t="s">
        <v>273</v>
      </c>
      <c r="X1320" s="2" t="s">
        <v>231</v>
      </c>
      <c r="Y1320" s="2" t="s">
        <v>274</v>
      </c>
      <c r="Z1320" s="4">
        <v>771</v>
      </c>
      <c r="AA1320" s="4">
        <f>=ROUNDDOWN(26.5862068965517,0)</f>
      </c>
      <c r="AB1320" s="5">
        <v>29</v>
      </c>
      <c r="AC1320" s="2" t="s">
        <v>1664</v>
      </c>
      <c r="AD1320" s="4">
        <v>50</v>
      </c>
      <c r="AE1320" s="4">
        <v>600</v>
      </c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231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231</v>
      </c>
      <c r="AW1320" s="8" t="s">
        <v>231</v>
      </c>
      <c r="AX1320" s="4" t="s">
        <v>231</v>
      </c>
      <c r="AY1320" s="8" t="s">
        <v>231</v>
      </c>
      <c r="AZ1320" s="7" t="s">
        <v>231</v>
      </c>
      <c r="BA1320" s="7" t="s">
        <v>231</v>
      </c>
      <c r="BB1320" s="7"/>
      <c r="BC1320" s="4" t="s">
        <v>231</v>
      </c>
      <c r="BD1320" s="8" t="s">
        <v>231</v>
      </c>
      <c r="BE1320" s="4" t="s">
        <v>231</v>
      </c>
      <c r="BF1320" s="8" t="s">
        <v>231</v>
      </c>
      <c r="BG1320" s="7" t="s">
        <v>231</v>
      </c>
      <c r="BH1320" s="7" t="s">
        <v>231</v>
      </c>
      <c r="BI1320" s="7"/>
      <c r="BJ1320" s="4">
        <v>107</v>
      </c>
      <c r="BK1320" s="8">
        <v>1951.96</v>
      </c>
      <c r="BL1320" s="2" t="s">
        <v>6198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6199</v>
      </c>
      <c r="BV1320" s="2" t="s">
        <v>231</v>
      </c>
      <c r="BW1320" s="2" t="s">
        <v>231</v>
      </c>
      <c r="BX1320" s="2" t="s">
        <v>231</v>
      </c>
      <c r="BY1320" s="2" t="s">
        <v>277</v>
      </c>
      <c r="BZ1320" s="2" t="s">
        <v>243</v>
      </c>
      <c r="CA1320" s="2" t="s">
        <v>284</v>
      </c>
      <c r="CB1320" s="2" t="s">
        <v>5466</v>
      </c>
      <c r="CC1320" s="2" t="s">
        <v>244</v>
      </c>
      <c r="CD1320" s="2" t="s">
        <v>231</v>
      </c>
      <c r="CE1320" s="4">
        <v>771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>
        <v>50</v>
      </c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>
        <v>550</v>
      </c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</row>
    <row r="1321">
      <c r="A1321" s="2" t="s">
        <v>6200</v>
      </c>
      <c r="B1321" s="2" t="s">
        <v>226</v>
      </c>
      <c r="C1321" s="2" t="s">
        <v>288</v>
      </c>
      <c r="D1321" s="2" t="s">
        <v>228</v>
      </c>
      <c r="E1321" s="2" t="s">
        <v>229</v>
      </c>
      <c r="F1321" s="2" t="s">
        <v>6164</v>
      </c>
      <c r="G1321" s="2" t="s">
        <v>6164</v>
      </c>
      <c r="H1321" s="2" t="s">
        <v>6164</v>
      </c>
      <c r="I1321" s="2" t="s">
        <v>6165</v>
      </c>
      <c r="J1321" s="2" t="s">
        <v>302</v>
      </c>
      <c r="K1321" s="2" t="s">
        <v>547</v>
      </c>
      <c r="L1321" s="3">
        <v>24.14</v>
      </c>
      <c r="M1321" s="3">
        <v>25.35</v>
      </c>
      <c r="N1321" s="3">
        <v>44.99</v>
      </c>
      <c r="O1321" s="2" t="s">
        <v>243</v>
      </c>
      <c r="P1321" s="2" t="s">
        <v>270</v>
      </c>
      <c r="Q1321" s="2" t="s">
        <v>237</v>
      </c>
      <c r="R1321" s="2" t="s">
        <v>231</v>
      </c>
      <c r="S1321" s="2" t="s">
        <v>6194</v>
      </c>
      <c r="T1321" s="2" t="s">
        <v>362</v>
      </c>
      <c r="U1321" s="2" t="s">
        <v>231</v>
      </c>
      <c r="V1321" s="2" t="s">
        <v>239</v>
      </c>
      <c r="W1321" s="2" t="s">
        <v>273</v>
      </c>
      <c r="X1321" s="2" t="s">
        <v>231</v>
      </c>
      <c r="Y1321" s="2" t="s">
        <v>274</v>
      </c>
      <c r="Z1321" s="4">
        <v>410</v>
      </c>
      <c r="AA1321" s="4">
        <f>=ROUNDDOWN(15.7692307692308,0)</f>
      </c>
      <c r="AB1321" s="5">
        <v>26</v>
      </c>
      <c r="AC1321" s="2" t="s">
        <v>1664</v>
      </c>
      <c r="AD1321" s="4">
        <v>420</v>
      </c>
      <c r="AE1321" s="4">
        <v>640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231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231</v>
      </c>
      <c r="AW1321" s="8" t="s">
        <v>231</v>
      </c>
      <c r="AX1321" s="4" t="s">
        <v>231</v>
      </c>
      <c r="AY1321" s="8" t="s">
        <v>231</v>
      </c>
      <c r="AZ1321" s="7" t="s">
        <v>231</v>
      </c>
      <c r="BA1321" s="7" t="s">
        <v>231</v>
      </c>
      <c r="BB1321" s="7"/>
      <c r="BC1321" s="4" t="s">
        <v>231</v>
      </c>
      <c r="BD1321" s="8" t="s">
        <v>231</v>
      </c>
      <c r="BE1321" s="4" t="s">
        <v>231</v>
      </c>
      <c r="BF1321" s="8" t="s">
        <v>231</v>
      </c>
      <c r="BG1321" s="7" t="s">
        <v>231</v>
      </c>
      <c r="BH1321" s="7" t="s">
        <v>231</v>
      </c>
      <c r="BI1321" s="7"/>
      <c r="BJ1321" s="4">
        <v>115</v>
      </c>
      <c r="BK1321" s="8">
        <v>2409.57</v>
      </c>
      <c r="BL1321" s="2" t="s">
        <v>6201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6202</v>
      </c>
      <c r="BV1321" s="2" t="s">
        <v>231</v>
      </c>
      <c r="BW1321" s="2" t="s">
        <v>231</v>
      </c>
      <c r="BX1321" s="2" t="s">
        <v>231</v>
      </c>
      <c r="BY1321" s="2" t="s">
        <v>277</v>
      </c>
      <c r="BZ1321" s="2" t="s">
        <v>243</v>
      </c>
      <c r="CA1321" s="2" t="s">
        <v>284</v>
      </c>
      <c r="CB1321" s="2" t="s">
        <v>6203</v>
      </c>
      <c r="CC1321" s="2" t="s">
        <v>244</v>
      </c>
      <c r="CD1321" s="2" t="s">
        <v>231</v>
      </c>
      <c r="CE1321" s="4">
        <v>410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>
        <v>420</v>
      </c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>
        <v>220</v>
      </c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</row>
    <row r="1322">
      <c r="A1322" s="2" t="s">
        <v>6204</v>
      </c>
      <c r="B1322" s="2" t="s">
        <v>226</v>
      </c>
      <c r="C1322" s="2" t="s">
        <v>288</v>
      </c>
      <c r="D1322" s="2" t="s">
        <v>228</v>
      </c>
      <c r="E1322" s="2" t="s">
        <v>229</v>
      </c>
      <c r="F1322" s="2" t="s">
        <v>6164</v>
      </c>
      <c r="G1322" s="2" t="s">
        <v>6164</v>
      </c>
      <c r="H1322" s="2" t="s">
        <v>6164</v>
      </c>
      <c r="I1322" s="2" t="s">
        <v>6165</v>
      </c>
      <c r="J1322" s="2" t="s">
        <v>318</v>
      </c>
      <c r="K1322" s="2" t="s">
        <v>1496</v>
      </c>
      <c r="L1322" s="3">
        <v>18.39</v>
      </c>
      <c r="M1322" s="3">
        <v>19.31</v>
      </c>
      <c r="N1322" s="3">
        <v>34.99</v>
      </c>
      <c r="O1322" s="2" t="s">
        <v>243</v>
      </c>
      <c r="P1322" s="2" t="s">
        <v>270</v>
      </c>
      <c r="Q1322" s="2" t="s">
        <v>237</v>
      </c>
      <c r="R1322" s="2" t="s">
        <v>231</v>
      </c>
      <c r="S1322" s="2" t="s">
        <v>6205</v>
      </c>
      <c r="T1322" s="2" t="s">
        <v>362</v>
      </c>
      <c r="U1322" s="2" t="s">
        <v>231</v>
      </c>
      <c r="V1322" s="2" t="s">
        <v>239</v>
      </c>
      <c r="W1322" s="2" t="s">
        <v>273</v>
      </c>
      <c r="X1322" s="2" t="s">
        <v>231</v>
      </c>
      <c r="Y1322" s="2" t="s">
        <v>274</v>
      </c>
      <c r="Z1322" s="4">
        <v>318</v>
      </c>
      <c r="AA1322" s="4">
        <f>=ROUNDDOWN(26.5,0)</f>
      </c>
      <c r="AB1322" s="5">
        <v>12</v>
      </c>
      <c r="AC1322" s="2" t="s">
        <v>2929</v>
      </c>
      <c r="AD1322" s="4">
        <v>120</v>
      </c>
      <c r="AE1322" s="4">
        <v>170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231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231</v>
      </c>
      <c r="AW1322" s="8" t="s">
        <v>231</v>
      </c>
      <c r="AX1322" s="4" t="s">
        <v>231</v>
      </c>
      <c r="AY1322" s="8" t="s">
        <v>231</v>
      </c>
      <c r="AZ1322" s="7" t="s">
        <v>231</v>
      </c>
      <c r="BA1322" s="7" t="s">
        <v>231</v>
      </c>
      <c r="BB1322" s="7"/>
      <c r="BC1322" s="4" t="s">
        <v>231</v>
      </c>
      <c r="BD1322" s="8" t="s">
        <v>231</v>
      </c>
      <c r="BE1322" s="4" t="s">
        <v>231</v>
      </c>
      <c r="BF1322" s="8" t="s">
        <v>231</v>
      </c>
      <c r="BG1322" s="7" t="s">
        <v>231</v>
      </c>
      <c r="BH1322" s="7" t="s">
        <v>231</v>
      </c>
      <c r="BI1322" s="7"/>
      <c r="BJ1322" s="4">
        <v>53</v>
      </c>
      <c r="BK1322" s="8">
        <v>805.66</v>
      </c>
      <c r="BL1322" s="2" t="s">
        <v>6206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6207</v>
      </c>
      <c r="BV1322" s="2" t="s">
        <v>231</v>
      </c>
      <c r="BW1322" s="2" t="s">
        <v>231</v>
      </c>
      <c r="BX1322" s="2" t="s">
        <v>231</v>
      </c>
      <c r="BY1322" s="2" t="s">
        <v>277</v>
      </c>
      <c r="BZ1322" s="2" t="s">
        <v>243</v>
      </c>
      <c r="CA1322" s="2" t="s">
        <v>284</v>
      </c>
      <c r="CB1322" s="2" t="s">
        <v>6208</v>
      </c>
      <c r="CC1322" s="2" t="s">
        <v>244</v>
      </c>
      <c r="CD1322" s="2" t="s">
        <v>231</v>
      </c>
      <c r="CE1322" s="4">
        <v>318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>
        <v>120</v>
      </c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>
        <v>50</v>
      </c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</row>
    <row r="1323">
      <c r="A1323" s="2" t="s">
        <v>6209</v>
      </c>
      <c r="B1323" s="2" t="s">
        <v>226</v>
      </c>
      <c r="C1323" s="2" t="s">
        <v>288</v>
      </c>
      <c r="D1323" s="2" t="s">
        <v>228</v>
      </c>
      <c r="E1323" s="2" t="s">
        <v>229</v>
      </c>
      <c r="F1323" s="2" t="s">
        <v>6164</v>
      </c>
      <c r="G1323" s="2" t="s">
        <v>6164</v>
      </c>
      <c r="H1323" s="2" t="s">
        <v>6164</v>
      </c>
      <c r="I1323" s="2" t="s">
        <v>6165</v>
      </c>
      <c r="J1323" s="2" t="s">
        <v>302</v>
      </c>
      <c r="K1323" s="2" t="s">
        <v>1496</v>
      </c>
      <c r="L1323" s="3">
        <v>24.14</v>
      </c>
      <c r="M1323" s="3">
        <v>25.35</v>
      </c>
      <c r="N1323" s="3">
        <v>44.99</v>
      </c>
      <c r="O1323" s="2" t="s">
        <v>243</v>
      </c>
      <c r="P1323" s="2" t="s">
        <v>270</v>
      </c>
      <c r="Q1323" s="2" t="s">
        <v>237</v>
      </c>
      <c r="R1323" s="2" t="s">
        <v>231</v>
      </c>
      <c r="S1323" s="2" t="s">
        <v>6205</v>
      </c>
      <c r="T1323" s="2" t="s">
        <v>362</v>
      </c>
      <c r="U1323" s="2" t="s">
        <v>231</v>
      </c>
      <c r="V1323" s="2" t="s">
        <v>239</v>
      </c>
      <c r="W1323" s="2" t="s">
        <v>273</v>
      </c>
      <c r="X1323" s="2" t="s">
        <v>231</v>
      </c>
      <c r="Y1323" s="2" t="s">
        <v>274</v>
      </c>
      <c r="Z1323" s="4">
        <v>244</v>
      </c>
      <c r="AA1323" s="4">
        <f>=ROUNDDOWN(17.4285714285714,0)</f>
      </c>
      <c r="AB1323" s="5">
        <v>14</v>
      </c>
      <c r="AC1323" s="2" t="s">
        <v>2929</v>
      </c>
      <c r="AD1323" s="4">
        <v>270</v>
      </c>
      <c r="AE1323" s="4">
        <v>270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231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231</v>
      </c>
      <c r="AW1323" s="8" t="s">
        <v>231</v>
      </c>
      <c r="AX1323" s="4" t="s">
        <v>231</v>
      </c>
      <c r="AY1323" s="8" t="s">
        <v>231</v>
      </c>
      <c r="AZ1323" s="7" t="s">
        <v>231</v>
      </c>
      <c r="BA1323" s="7" t="s">
        <v>231</v>
      </c>
      <c r="BB1323" s="7"/>
      <c r="BC1323" s="4" t="s">
        <v>231</v>
      </c>
      <c r="BD1323" s="8" t="s">
        <v>231</v>
      </c>
      <c r="BE1323" s="4" t="s">
        <v>231</v>
      </c>
      <c r="BF1323" s="8" t="s">
        <v>231</v>
      </c>
      <c r="BG1323" s="7" t="s">
        <v>231</v>
      </c>
      <c r="BH1323" s="7" t="s">
        <v>231</v>
      </c>
      <c r="BI1323" s="7"/>
      <c r="BJ1323" s="4">
        <v>68</v>
      </c>
      <c r="BK1323" s="8">
        <v>1356.7</v>
      </c>
      <c r="BL1323" s="2" t="s">
        <v>6210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6211</v>
      </c>
      <c r="BV1323" s="2" t="s">
        <v>231</v>
      </c>
      <c r="BW1323" s="2" t="s">
        <v>231</v>
      </c>
      <c r="BX1323" s="2" t="s">
        <v>231</v>
      </c>
      <c r="BY1323" s="2" t="s">
        <v>277</v>
      </c>
      <c r="BZ1323" s="2" t="s">
        <v>243</v>
      </c>
      <c r="CA1323" s="2" t="s">
        <v>284</v>
      </c>
      <c r="CB1323" s="2" t="s">
        <v>6203</v>
      </c>
      <c r="CC1323" s="2" t="s">
        <v>244</v>
      </c>
      <c r="CD1323" s="2" t="s">
        <v>231</v>
      </c>
      <c r="CE1323" s="4">
        <v>244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>
        <v>270</v>
      </c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</row>
    <row r="1324">
      <c r="A1324" s="2" t="s">
        <v>6212</v>
      </c>
      <c r="B1324" s="2" t="s">
        <v>226</v>
      </c>
      <c r="C1324" s="2" t="s">
        <v>288</v>
      </c>
      <c r="D1324" s="2" t="s">
        <v>228</v>
      </c>
      <c r="E1324" s="2" t="s">
        <v>229</v>
      </c>
      <c r="F1324" s="2" t="s">
        <v>6164</v>
      </c>
      <c r="G1324" s="2" t="s">
        <v>6164</v>
      </c>
      <c r="H1324" s="2" t="s">
        <v>6164</v>
      </c>
      <c r="I1324" s="2" t="s">
        <v>6165</v>
      </c>
      <c r="J1324" s="2" t="s">
        <v>318</v>
      </c>
      <c r="K1324" s="2" t="s">
        <v>255</v>
      </c>
      <c r="L1324" s="3">
        <v>18.39</v>
      </c>
      <c r="M1324" s="3">
        <v>19.31</v>
      </c>
      <c r="N1324" s="3">
        <v>34.99</v>
      </c>
      <c r="O1324" s="2" t="s">
        <v>243</v>
      </c>
      <c r="P1324" s="2" t="s">
        <v>270</v>
      </c>
      <c r="Q1324" s="2" t="s">
        <v>237</v>
      </c>
      <c r="R1324" s="2" t="s">
        <v>231</v>
      </c>
      <c r="S1324" s="2" t="s">
        <v>6213</v>
      </c>
      <c r="T1324" s="2" t="s">
        <v>362</v>
      </c>
      <c r="U1324" s="2" t="s">
        <v>231</v>
      </c>
      <c r="V1324" s="2" t="s">
        <v>239</v>
      </c>
      <c r="W1324" s="2" t="s">
        <v>273</v>
      </c>
      <c r="X1324" s="2" t="s">
        <v>231</v>
      </c>
      <c r="Y1324" s="2" t="s">
        <v>274</v>
      </c>
      <c r="Z1324" s="4">
        <v>717</v>
      </c>
      <c r="AA1324" s="4">
        <f>=ROUNDDOWN(28.68,0)</f>
      </c>
      <c r="AB1324" s="5">
        <v>25</v>
      </c>
      <c r="AC1324" s="2" t="s">
        <v>2929</v>
      </c>
      <c r="AD1324" s="4">
        <v>420</v>
      </c>
      <c r="AE1324" s="4">
        <v>420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231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 t="s">
        <v>231</v>
      </c>
      <c r="BD1324" s="8" t="s">
        <v>231</v>
      </c>
      <c r="BE1324" s="4" t="s">
        <v>231</v>
      </c>
      <c r="BF1324" s="8" t="s">
        <v>231</v>
      </c>
      <c r="BG1324" s="7" t="s">
        <v>231</v>
      </c>
      <c r="BH1324" s="7" t="s">
        <v>231</v>
      </c>
      <c r="BI1324" s="7"/>
      <c r="BJ1324" s="4">
        <v>130</v>
      </c>
      <c r="BK1324" s="8">
        <v>2035.19</v>
      </c>
      <c r="BL1324" s="2" t="s">
        <v>6214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6215</v>
      </c>
      <c r="BV1324" s="2" t="s">
        <v>231</v>
      </c>
      <c r="BW1324" s="2" t="s">
        <v>231</v>
      </c>
      <c r="BX1324" s="2" t="s">
        <v>231</v>
      </c>
      <c r="BY1324" s="2" t="s">
        <v>277</v>
      </c>
      <c r="BZ1324" s="2" t="s">
        <v>243</v>
      </c>
      <c r="CA1324" s="2" t="s">
        <v>284</v>
      </c>
      <c r="CB1324" s="2" t="s">
        <v>6216</v>
      </c>
      <c r="CC1324" s="2" t="s">
        <v>244</v>
      </c>
      <c r="CD1324" s="2" t="s">
        <v>231</v>
      </c>
      <c r="CE1324" s="4">
        <v>717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>
        <v>420</v>
      </c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</row>
    <row r="1325">
      <c r="A1325" s="2" t="s">
        <v>6217</v>
      </c>
      <c r="B1325" s="2" t="s">
        <v>801</v>
      </c>
      <c r="C1325" s="2" t="s">
        <v>802</v>
      </c>
      <c r="D1325" s="2" t="s">
        <v>1114</v>
      </c>
      <c r="E1325" s="2" t="s">
        <v>1115</v>
      </c>
      <c r="F1325" s="2" t="s">
        <v>6218</v>
      </c>
      <c r="G1325" s="2" t="s">
        <v>6218</v>
      </c>
      <c r="H1325" s="2" t="s">
        <v>6218</v>
      </c>
      <c r="I1325" s="2" t="s">
        <v>6219</v>
      </c>
      <c r="J1325" s="2" t="s">
        <v>807</v>
      </c>
      <c r="K1325" s="2" t="s">
        <v>6220</v>
      </c>
      <c r="L1325" s="3">
        <v>108.45</v>
      </c>
      <c r="M1325" s="3">
        <v>113.87</v>
      </c>
      <c r="N1325" s="3">
        <v>249.99</v>
      </c>
      <c r="O1325" s="2" t="s">
        <v>243</v>
      </c>
      <c r="P1325" s="2" t="s">
        <v>270</v>
      </c>
      <c r="Q1325" s="2" t="s">
        <v>237</v>
      </c>
      <c r="R1325" s="2" t="s">
        <v>231</v>
      </c>
      <c r="S1325" s="2" t="s">
        <v>231</v>
      </c>
      <c r="T1325" s="2" t="s">
        <v>231</v>
      </c>
      <c r="U1325" s="2" t="s">
        <v>327</v>
      </c>
      <c r="V1325" s="2" t="s">
        <v>662</v>
      </c>
      <c r="W1325" s="2" t="s">
        <v>792</v>
      </c>
      <c r="X1325" s="2" t="s">
        <v>231</v>
      </c>
      <c r="Y1325" s="2" t="s">
        <v>6221</v>
      </c>
      <c r="Z1325" s="4">
        <v>63</v>
      </c>
      <c r="AA1325" s="4">
        <f>=ROUNDDOWN(31.5,0)</f>
      </c>
      <c r="AB1325" s="5">
        <v>2</v>
      </c>
      <c r="AC1325" s="2" t="s">
        <v>231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231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/>
      <c r="AW1325" s="8"/>
      <c r="AX1325" s="4"/>
      <c r="AY1325" s="8"/>
      <c r="AZ1325" s="7"/>
      <c r="BA1325" s="7"/>
      <c r="BB1325" s="7"/>
      <c r="BC1325" s="4"/>
      <c r="BD1325" s="8"/>
      <c r="BE1325" s="4"/>
      <c r="BF1325" s="8"/>
      <c r="BG1325" s="7"/>
      <c r="BH1325" s="7"/>
      <c r="BI1325" s="7"/>
      <c r="BJ1325" s="4">
        <v>2</v>
      </c>
      <c r="BK1325" s="8">
        <v>205.44</v>
      </c>
      <c r="BL1325" s="2" t="s">
        <v>6222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6223</v>
      </c>
      <c r="BV1325" s="2" t="s">
        <v>231</v>
      </c>
      <c r="BW1325" s="2" t="s">
        <v>231</v>
      </c>
      <c r="BX1325" s="2" t="s">
        <v>231</v>
      </c>
      <c r="BY1325" s="2" t="s">
        <v>277</v>
      </c>
      <c r="BZ1325" s="2" t="s">
        <v>243</v>
      </c>
      <c r="CA1325" s="2" t="s">
        <v>6224</v>
      </c>
      <c r="CB1325" s="2" t="s">
        <v>6225</v>
      </c>
      <c r="CC1325" s="2" t="s">
        <v>244</v>
      </c>
      <c r="CD1325" s="2" t="s">
        <v>231</v>
      </c>
      <c r="CE1325" s="4"/>
      <c r="CF1325" s="4">
        <v>63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</row>
    <row r="1326">
      <c r="A1326" s="2" t="s">
        <v>6226</v>
      </c>
      <c r="B1326" s="2" t="s">
        <v>992</v>
      </c>
      <c r="C1326" s="2" t="s">
        <v>288</v>
      </c>
      <c r="D1326" s="2" t="s">
        <v>993</v>
      </c>
      <c r="E1326" s="2" t="s">
        <v>3795</v>
      </c>
      <c r="F1326" s="2" t="s">
        <v>6227</v>
      </c>
      <c r="G1326" s="2" t="s">
        <v>6228</v>
      </c>
      <c r="H1326" s="2" t="s">
        <v>6229</v>
      </c>
      <c r="I1326" s="2" t="s">
        <v>6230</v>
      </c>
      <c r="J1326" s="2" t="s">
        <v>6231</v>
      </c>
      <c r="K1326" s="2" t="s">
        <v>269</v>
      </c>
      <c r="L1326" s="3">
        <v>23.75</v>
      </c>
      <c r="M1326" s="3">
        <v>24.94</v>
      </c>
      <c r="N1326" s="3">
        <v>53.99</v>
      </c>
      <c r="O1326" s="2" t="s">
        <v>243</v>
      </c>
      <c r="P1326" s="2" t="s">
        <v>270</v>
      </c>
      <c r="Q1326" s="2" t="s">
        <v>237</v>
      </c>
      <c r="R1326" s="2" t="s">
        <v>231</v>
      </c>
      <c r="S1326" s="2" t="s">
        <v>6232</v>
      </c>
      <c r="T1326" s="2" t="s">
        <v>472</v>
      </c>
      <c r="U1326" s="2" t="s">
        <v>327</v>
      </c>
      <c r="V1326" s="2" t="s">
        <v>239</v>
      </c>
      <c r="W1326" s="2" t="s">
        <v>273</v>
      </c>
      <c r="X1326" s="2" t="s">
        <v>231</v>
      </c>
      <c r="Y1326" s="2" t="s">
        <v>6233</v>
      </c>
      <c r="Z1326" s="4">
        <v>2</v>
      </c>
      <c r="AA1326" s="4">
        <f>=ROUNDDOWN(0.285714285714286,0)</f>
      </c>
      <c r="AB1326" s="5">
        <v>7</v>
      </c>
      <c r="AC1326" s="2" t="s">
        <v>1128</v>
      </c>
      <c r="AD1326" s="4">
        <v>84</v>
      </c>
      <c r="AE1326" s="4">
        <v>184</v>
      </c>
      <c r="AF1326" s="6">
        <v>65</v>
      </c>
      <c r="AG1326" s="6"/>
      <c r="AH1326" s="7">
        <v>0.0645</v>
      </c>
      <c r="AI1326" s="4"/>
      <c r="AJ1326" s="4">
        <f>=ROUNDDOWN({0},0)</f>
      </c>
      <c r="AK1326" s="5"/>
      <c r="AL1326" s="2" t="s">
        <v>231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231</v>
      </c>
      <c r="AW1326" s="8" t="s">
        <v>231</v>
      </c>
      <c r="AX1326" s="4" t="s">
        <v>231</v>
      </c>
      <c r="AY1326" s="8" t="s">
        <v>231</v>
      </c>
      <c r="AZ1326" s="7" t="s">
        <v>231</v>
      </c>
      <c r="BA1326" s="7" t="s">
        <v>231</v>
      </c>
      <c r="BB1326" s="7"/>
      <c r="BC1326" s="4" t="s">
        <v>231</v>
      </c>
      <c r="BD1326" s="8" t="s">
        <v>231</v>
      </c>
      <c r="BE1326" s="4" t="s">
        <v>231</v>
      </c>
      <c r="BF1326" s="8" t="s">
        <v>231</v>
      </c>
      <c r="BG1326" s="7" t="s">
        <v>231</v>
      </c>
      <c r="BH1326" s="7" t="s">
        <v>231</v>
      </c>
      <c r="BI1326" s="7"/>
      <c r="BJ1326" s="4">
        <v>5</v>
      </c>
      <c r="BK1326" s="8">
        <v>136.92</v>
      </c>
      <c r="BL1326" s="2" t="s">
        <v>6234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6235</v>
      </c>
      <c r="BV1326" s="2" t="s">
        <v>231</v>
      </c>
      <c r="BW1326" s="2" t="s">
        <v>231</v>
      </c>
      <c r="BX1326" s="2" t="s">
        <v>5538</v>
      </c>
      <c r="BY1326" s="2" t="s">
        <v>277</v>
      </c>
      <c r="BZ1326" s="2" t="s">
        <v>243</v>
      </c>
      <c r="CA1326" s="2" t="s">
        <v>5440</v>
      </c>
      <c r="CB1326" s="2" t="s">
        <v>6236</v>
      </c>
      <c r="CC1326" s="2" t="s">
        <v>244</v>
      </c>
      <c r="CD1326" s="2" t="s">
        <v>231</v>
      </c>
      <c r="CE1326" s="4">
        <v>2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>
        <v>84</v>
      </c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>
        <v>48</v>
      </c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>
        <v>52</v>
      </c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</row>
    <row r="1327">
      <c r="A1327" s="2" t="s">
        <v>6237</v>
      </c>
      <c r="B1327" s="2" t="s">
        <v>992</v>
      </c>
      <c r="C1327" s="2" t="s">
        <v>288</v>
      </c>
      <c r="D1327" s="2" t="s">
        <v>993</v>
      </c>
      <c r="E1327" s="2" t="s">
        <v>3795</v>
      </c>
      <c r="F1327" s="2" t="s">
        <v>6227</v>
      </c>
      <c r="G1327" s="2" t="s">
        <v>6228</v>
      </c>
      <c r="H1327" s="2" t="s">
        <v>6229</v>
      </c>
      <c r="I1327" s="2" t="s">
        <v>6230</v>
      </c>
      <c r="J1327" s="2" t="s">
        <v>3801</v>
      </c>
      <c r="K1327" s="2" t="s">
        <v>269</v>
      </c>
      <c r="L1327" s="3">
        <v>29.25</v>
      </c>
      <c r="M1327" s="3">
        <v>30.71</v>
      </c>
      <c r="N1327" s="3">
        <v>64.99</v>
      </c>
      <c r="O1327" s="2" t="s">
        <v>243</v>
      </c>
      <c r="P1327" s="2" t="s">
        <v>270</v>
      </c>
      <c r="Q1327" s="2" t="s">
        <v>237</v>
      </c>
      <c r="R1327" s="2" t="s">
        <v>231</v>
      </c>
      <c r="S1327" s="2" t="s">
        <v>6232</v>
      </c>
      <c r="T1327" s="2" t="s">
        <v>472</v>
      </c>
      <c r="U1327" s="2" t="s">
        <v>327</v>
      </c>
      <c r="V1327" s="2" t="s">
        <v>239</v>
      </c>
      <c r="W1327" s="2" t="s">
        <v>273</v>
      </c>
      <c r="X1327" s="2" t="s">
        <v>231</v>
      </c>
      <c r="Y1327" s="2" t="s">
        <v>6238</v>
      </c>
      <c r="Z1327" s="4">
        <v>101</v>
      </c>
      <c r="AA1327" s="4">
        <f>=ROUNDDOWN(12.625,0)</f>
      </c>
      <c r="AB1327" s="5">
        <v>8</v>
      </c>
      <c r="AC1327" s="2" t="s">
        <v>1128</v>
      </c>
      <c r="AD1327" s="4">
        <v>72</v>
      </c>
      <c r="AE1327" s="4">
        <v>136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231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231</v>
      </c>
      <c r="AW1327" s="8" t="s">
        <v>231</v>
      </c>
      <c r="AX1327" s="4" t="s">
        <v>231</v>
      </c>
      <c r="AY1327" s="8" t="s">
        <v>231</v>
      </c>
      <c r="AZ1327" s="7" t="s">
        <v>231</v>
      </c>
      <c r="BA1327" s="7" t="s">
        <v>231</v>
      </c>
      <c r="BB1327" s="7"/>
      <c r="BC1327" s="4" t="s">
        <v>231</v>
      </c>
      <c r="BD1327" s="8" t="s">
        <v>231</v>
      </c>
      <c r="BE1327" s="4" t="s">
        <v>231</v>
      </c>
      <c r="BF1327" s="8" t="s">
        <v>231</v>
      </c>
      <c r="BG1327" s="7" t="s">
        <v>231</v>
      </c>
      <c r="BH1327" s="7" t="s">
        <v>231</v>
      </c>
      <c r="BI1327" s="7"/>
      <c r="BJ1327" s="4">
        <v>20</v>
      </c>
      <c r="BK1327" s="8">
        <v>650.57</v>
      </c>
      <c r="BL1327" s="2" t="s">
        <v>6239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6240</v>
      </c>
      <c r="BV1327" s="2" t="s">
        <v>231</v>
      </c>
      <c r="BW1327" s="2" t="s">
        <v>231</v>
      </c>
      <c r="BX1327" s="2" t="s">
        <v>5538</v>
      </c>
      <c r="BY1327" s="2" t="s">
        <v>277</v>
      </c>
      <c r="BZ1327" s="2" t="s">
        <v>243</v>
      </c>
      <c r="CA1327" s="2" t="s">
        <v>6238</v>
      </c>
      <c r="CB1327" s="2" t="s">
        <v>6241</v>
      </c>
      <c r="CC1327" s="2" t="s">
        <v>244</v>
      </c>
      <c r="CD1327" s="2" t="s">
        <v>231</v>
      </c>
      <c r="CE1327" s="4">
        <v>101</v>
      </c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>
        <v>72</v>
      </c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>
        <v>64</v>
      </c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</row>
    <row r="1328">
      <c r="A1328" s="2" t="s">
        <v>6242</v>
      </c>
      <c r="B1328" s="2" t="s">
        <v>992</v>
      </c>
      <c r="C1328" s="2" t="s">
        <v>288</v>
      </c>
      <c r="D1328" s="2" t="s">
        <v>993</v>
      </c>
      <c r="E1328" s="2" t="s">
        <v>3795</v>
      </c>
      <c r="F1328" s="2" t="s">
        <v>6227</v>
      </c>
      <c r="G1328" s="2" t="s">
        <v>6228</v>
      </c>
      <c r="H1328" s="2" t="s">
        <v>6229</v>
      </c>
      <c r="I1328" s="2" t="s">
        <v>6230</v>
      </c>
      <c r="J1328" s="2" t="s">
        <v>6243</v>
      </c>
      <c r="K1328" s="2" t="s">
        <v>269</v>
      </c>
      <c r="L1328" s="3">
        <v>33.5</v>
      </c>
      <c r="M1328" s="3">
        <v>35.18</v>
      </c>
      <c r="N1328" s="3">
        <v>74.99</v>
      </c>
      <c r="O1328" s="2" t="s">
        <v>243</v>
      </c>
      <c r="P1328" s="2" t="s">
        <v>270</v>
      </c>
      <c r="Q1328" s="2" t="s">
        <v>237</v>
      </c>
      <c r="R1328" s="2" t="s">
        <v>231</v>
      </c>
      <c r="S1328" s="2" t="s">
        <v>6232</v>
      </c>
      <c r="T1328" s="2" t="s">
        <v>472</v>
      </c>
      <c r="U1328" s="2" t="s">
        <v>327</v>
      </c>
      <c r="V1328" s="2" t="s">
        <v>239</v>
      </c>
      <c r="W1328" s="2" t="s">
        <v>273</v>
      </c>
      <c r="X1328" s="2" t="s">
        <v>231</v>
      </c>
      <c r="Y1328" s="2" t="s">
        <v>6233</v>
      </c>
      <c r="Z1328" s="4">
        <v>118</v>
      </c>
      <c r="AA1328" s="4">
        <f>=ROUNDDOWN(29.5,0)</f>
      </c>
      <c r="AB1328" s="5">
        <v>4</v>
      </c>
      <c r="AC1328" s="2" t="s">
        <v>2140</v>
      </c>
      <c r="AD1328" s="4">
        <v>52</v>
      </c>
      <c r="AE1328" s="4">
        <v>52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231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231</v>
      </c>
      <c r="AW1328" s="8" t="s">
        <v>231</v>
      </c>
      <c r="AX1328" s="4" t="s">
        <v>231</v>
      </c>
      <c r="AY1328" s="8" t="s">
        <v>231</v>
      </c>
      <c r="AZ1328" s="7" t="s">
        <v>231</v>
      </c>
      <c r="BA1328" s="7" t="s">
        <v>231</v>
      </c>
      <c r="BB1328" s="7"/>
      <c r="BC1328" s="4" t="s">
        <v>231</v>
      </c>
      <c r="BD1328" s="8" t="s">
        <v>231</v>
      </c>
      <c r="BE1328" s="4" t="s">
        <v>231</v>
      </c>
      <c r="BF1328" s="8" t="s">
        <v>231</v>
      </c>
      <c r="BG1328" s="7" t="s">
        <v>231</v>
      </c>
      <c r="BH1328" s="7" t="s">
        <v>231</v>
      </c>
      <c r="BI1328" s="7"/>
      <c r="BJ1328" s="4">
        <v>17</v>
      </c>
      <c r="BK1328" s="8">
        <v>651.97</v>
      </c>
      <c r="BL1328" s="2" t="s">
        <v>3816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6244</v>
      </c>
      <c r="BV1328" s="2" t="s">
        <v>231</v>
      </c>
      <c r="BW1328" s="2" t="s">
        <v>231</v>
      </c>
      <c r="BX1328" s="2" t="s">
        <v>5538</v>
      </c>
      <c r="BY1328" s="2" t="s">
        <v>277</v>
      </c>
      <c r="BZ1328" s="2" t="s">
        <v>243</v>
      </c>
      <c r="CA1328" s="2" t="s">
        <v>5440</v>
      </c>
      <c r="CB1328" s="2" t="s">
        <v>6245</v>
      </c>
      <c r="CC1328" s="2" t="s">
        <v>244</v>
      </c>
      <c r="CD1328" s="2" t="s">
        <v>231</v>
      </c>
      <c r="CE1328" s="4">
        <v>118</v>
      </c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>
        <v>52</v>
      </c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</row>
    <row r="1329">
      <c r="A1329" s="2" t="s">
        <v>6246</v>
      </c>
      <c r="B1329" s="2" t="s">
        <v>992</v>
      </c>
      <c r="C1329" s="2" t="s">
        <v>288</v>
      </c>
      <c r="D1329" s="2" t="s">
        <v>993</v>
      </c>
      <c r="E1329" s="2" t="s">
        <v>3795</v>
      </c>
      <c r="F1329" s="2" t="s">
        <v>6227</v>
      </c>
      <c r="G1329" s="2" t="s">
        <v>6228</v>
      </c>
      <c r="H1329" s="2" t="s">
        <v>6229</v>
      </c>
      <c r="I1329" s="2" t="s">
        <v>6230</v>
      </c>
      <c r="J1329" s="2" t="s">
        <v>3810</v>
      </c>
      <c r="K1329" s="2" t="s">
        <v>269</v>
      </c>
      <c r="L1329" s="3">
        <v>34.5</v>
      </c>
      <c r="M1329" s="3">
        <v>36.22</v>
      </c>
      <c r="N1329" s="3">
        <v>74.99</v>
      </c>
      <c r="O1329" s="2" t="s">
        <v>243</v>
      </c>
      <c r="P1329" s="2" t="s">
        <v>270</v>
      </c>
      <c r="Q1329" s="2" t="s">
        <v>237</v>
      </c>
      <c r="R1329" s="2" t="s">
        <v>231</v>
      </c>
      <c r="S1329" s="2" t="s">
        <v>6232</v>
      </c>
      <c r="T1329" s="2" t="s">
        <v>472</v>
      </c>
      <c r="U1329" s="2" t="s">
        <v>327</v>
      </c>
      <c r="V1329" s="2" t="s">
        <v>239</v>
      </c>
      <c r="W1329" s="2" t="s">
        <v>273</v>
      </c>
      <c r="X1329" s="2" t="s">
        <v>231</v>
      </c>
      <c r="Y1329" s="2" t="s">
        <v>6238</v>
      </c>
      <c r="Z1329" s="4">
        <v>17</v>
      </c>
      <c r="AA1329" s="4">
        <f>=ROUNDDOWN(1.30769230769231,0)</f>
      </c>
      <c r="AB1329" s="5">
        <v>13</v>
      </c>
      <c r="AC1329" s="2" t="s">
        <v>1128</v>
      </c>
      <c r="AD1329" s="4">
        <v>54</v>
      </c>
      <c r="AE1329" s="4">
        <v>458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231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231</v>
      </c>
      <c r="AW1329" s="8" t="s">
        <v>231</v>
      </c>
      <c r="AX1329" s="4" t="s">
        <v>231</v>
      </c>
      <c r="AY1329" s="8" t="s">
        <v>231</v>
      </c>
      <c r="AZ1329" s="7" t="s">
        <v>231</v>
      </c>
      <c r="BA1329" s="7" t="s">
        <v>231</v>
      </c>
      <c r="BB1329" s="7"/>
      <c r="BC1329" s="4" t="s">
        <v>231</v>
      </c>
      <c r="BD1329" s="8" t="s">
        <v>231</v>
      </c>
      <c r="BE1329" s="4" t="s">
        <v>231</v>
      </c>
      <c r="BF1329" s="8" t="s">
        <v>231</v>
      </c>
      <c r="BG1329" s="7" t="s">
        <v>231</v>
      </c>
      <c r="BH1329" s="7" t="s">
        <v>231</v>
      </c>
      <c r="BI1329" s="7"/>
      <c r="BJ1329" s="4">
        <v>36</v>
      </c>
      <c r="BK1329" s="8">
        <v>1364.92</v>
      </c>
      <c r="BL1329" s="2" t="s">
        <v>6247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6248</v>
      </c>
      <c r="BV1329" s="2" t="s">
        <v>231</v>
      </c>
      <c r="BW1329" s="2" t="s">
        <v>231</v>
      </c>
      <c r="BX1329" s="2" t="s">
        <v>5538</v>
      </c>
      <c r="BY1329" s="2" t="s">
        <v>277</v>
      </c>
      <c r="BZ1329" s="2" t="s">
        <v>243</v>
      </c>
      <c r="CA1329" s="2" t="s">
        <v>6238</v>
      </c>
      <c r="CB1329" s="2" t="s">
        <v>6249</v>
      </c>
      <c r="CC1329" s="2" t="s">
        <v>244</v>
      </c>
      <c r="CD1329" s="2" t="s">
        <v>231</v>
      </c>
      <c r="CE1329" s="4">
        <v>17</v>
      </c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>
        <v>54</v>
      </c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>
        <v>156</v>
      </c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>
        <v>248</v>
      </c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</row>
    <row r="1330">
      <c r="A1330" s="2" t="s">
        <v>6250</v>
      </c>
      <c r="B1330" s="2" t="s">
        <v>992</v>
      </c>
      <c r="C1330" s="2" t="s">
        <v>288</v>
      </c>
      <c r="D1330" s="2" t="s">
        <v>993</v>
      </c>
      <c r="E1330" s="2" t="s">
        <v>3795</v>
      </c>
      <c r="F1330" s="2" t="s">
        <v>6227</v>
      </c>
      <c r="G1330" s="2" t="s">
        <v>6228</v>
      </c>
      <c r="H1330" s="2" t="s">
        <v>6229</v>
      </c>
      <c r="I1330" s="2" t="s">
        <v>6230</v>
      </c>
      <c r="J1330" s="2" t="s">
        <v>3815</v>
      </c>
      <c r="K1330" s="2" t="s">
        <v>269</v>
      </c>
      <c r="L1330" s="3">
        <v>38.4</v>
      </c>
      <c r="M1330" s="3">
        <v>40.32</v>
      </c>
      <c r="N1330" s="3">
        <v>79.99</v>
      </c>
      <c r="O1330" s="2" t="s">
        <v>243</v>
      </c>
      <c r="P1330" s="2" t="s">
        <v>270</v>
      </c>
      <c r="Q1330" s="2" t="s">
        <v>237</v>
      </c>
      <c r="R1330" s="2" t="s">
        <v>231</v>
      </c>
      <c r="S1330" s="2" t="s">
        <v>6232</v>
      </c>
      <c r="T1330" s="2" t="s">
        <v>472</v>
      </c>
      <c r="U1330" s="2" t="s">
        <v>327</v>
      </c>
      <c r="V1330" s="2" t="s">
        <v>239</v>
      </c>
      <c r="W1330" s="2" t="s">
        <v>273</v>
      </c>
      <c r="X1330" s="2" t="s">
        <v>231</v>
      </c>
      <c r="Y1330" s="2" t="s">
        <v>6238</v>
      </c>
      <c r="Z1330" s="4">
        <v>3</v>
      </c>
      <c r="AA1330" s="4">
        <f>=ROUNDDOWN(0.272727272727273,0)</f>
      </c>
      <c r="AB1330" s="5">
        <v>11</v>
      </c>
      <c r="AC1330" s="2" t="s">
        <v>1128</v>
      </c>
      <c r="AD1330" s="4">
        <v>54</v>
      </c>
      <c r="AE1330" s="4">
        <v>278</v>
      </c>
      <c r="AF1330" s="6">
        <v>65</v>
      </c>
      <c r="AG1330" s="6"/>
      <c r="AH1330" s="7">
        <v>0</v>
      </c>
      <c r="AI1330" s="4"/>
      <c r="AJ1330" s="4">
        <f>=ROUNDDOWN({0},0)</f>
      </c>
      <c r="AK1330" s="5"/>
      <c r="AL1330" s="2" t="s">
        <v>231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231</v>
      </c>
      <c r="AW1330" s="8" t="s">
        <v>231</v>
      </c>
      <c r="AX1330" s="4" t="s">
        <v>231</v>
      </c>
      <c r="AY1330" s="8" t="s">
        <v>231</v>
      </c>
      <c r="AZ1330" s="7" t="s">
        <v>231</v>
      </c>
      <c r="BA1330" s="7" t="s">
        <v>231</v>
      </c>
      <c r="BB1330" s="7"/>
      <c r="BC1330" s="4" t="s">
        <v>231</v>
      </c>
      <c r="BD1330" s="8" t="s">
        <v>231</v>
      </c>
      <c r="BE1330" s="4" t="s">
        <v>231</v>
      </c>
      <c r="BF1330" s="8" t="s">
        <v>231</v>
      </c>
      <c r="BG1330" s="7" t="s">
        <v>231</v>
      </c>
      <c r="BH1330" s="7" t="s">
        <v>231</v>
      </c>
      <c r="BI1330" s="7"/>
      <c r="BJ1330" s="4">
        <v>7</v>
      </c>
      <c r="BK1330" s="8">
        <v>306.83</v>
      </c>
      <c r="BL1330" s="2" t="s">
        <v>6251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6252</v>
      </c>
      <c r="BV1330" s="2" t="s">
        <v>231</v>
      </c>
      <c r="BW1330" s="2" t="s">
        <v>231</v>
      </c>
      <c r="BX1330" s="2" t="s">
        <v>5538</v>
      </c>
      <c r="BY1330" s="2" t="s">
        <v>277</v>
      </c>
      <c r="BZ1330" s="2" t="s">
        <v>243</v>
      </c>
      <c r="CA1330" s="2" t="s">
        <v>6238</v>
      </c>
      <c r="CB1330" s="2" t="s">
        <v>6253</v>
      </c>
      <c r="CC1330" s="2" t="s">
        <v>244</v>
      </c>
      <c r="CD1330" s="2" t="s">
        <v>231</v>
      </c>
      <c r="CE1330" s="4">
        <v>3</v>
      </c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>
        <v>54</v>
      </c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>
        <v>100</v>
      </c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>
        <v>124</v>
      </c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</row>
    <row r="1331">
      <c r="A1331" s="2" t="s">
        <v>6254</v>
      </c>
      <c r="B1331" s="2" t="s">
        <v>992</v>
      </c>
      <c r="C1331" s="2" t="s">
        <v>288</v>
      </c>
      <c r="D1331" s="2" t="s">
        <v>993</v>
      </c>
      <c r="E1331" s="2" t="s">
        <v>3795</v>
      </c>
      <c r="F1331" s="2" t="s">
        <v>6227</v>
      </c>
      <c r="G1331" s="2" t="s">
        <v>6228</v>
      </c>
      <c r="H1331" s="2" t="s">
        <v>6229</v>
      </c>
      <c r="I1331" s="2" t="s">
        <v>6230</v>
      </c>
      <c r="J1331" s="2" t="s">
        <v>3801</v>
      </c>
      <c r="K1331" s="2" t="s">
        <v>682</v>
      </c>
      <c r="L1331" s="3">
        <v>29.25</v>
      </c>
      <c r="M1331" s="3">
        <v>30.71</v>
      </c>
      <c r="N1331" s="3">
        <v>64.99</v>
      </c>
      <c r="O1331" s="2" t="s">
        <v>243</v>
      </c>
      <c r="P1331" s="2" t="s">
        <v>341</v>
      </c>
      <c r="Q1331" s="2" t="s">
        <v>237</v>
      </c>
      <c r="R1331" s="2" t="s">
        <v>231</v>
      </c>
      <c r="S1331" s="2" t="s">
        <v>231</v>
      </c>
      <c r="T1331" s="2" t="s">
        <v>472</v>
      </c>
      <c r="U1331" s="2" t="s">
        <v>327</v>
      </c>
      <c r="V1331" s="2" t="s">
        <v>239</v>
      </c>
      <c r="W1331" s="2" t="s">
        <v>273</v>
      </c>
      <c r="X1331" s="2" t="s">
        <v>231</v>
      </c>
      <c r="Y1331" s="2" t="s">
        <v>6255</v>
      </c>
      <c r="Z1331" s="4">
        <v>119</v>
      </c>
      <c r="AA1331" s="4">
        <f>=ROUNDDOWN(17.2463768115942,0)</f>
      </c>
      <c r="AB1331" s="5">
        <v>6.9</v>
      </c>
      <c r="AC1331" s="2" t="s">
        <v>231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231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231</v>
      </c>
      <c r="BD1331" s="8" t="s">
        <v>231</v>
      </c>
      <c r="BE1331" s="4" t="s">
        <v>231</v>
      </c>
      <c r="BF1331" s="8" t="s">
        <v>231</v>
      </c>
      <c r="BG1331" s="7" t="s">
        <v>231</v>
      </c>
      <c r="BH1331" s="7" t="s">
        <v>231</v>
      </c>
      <c r="BI1331" s="7"/>
      <c r="BJ1331" s="4">
        <v>18</v>
      </c>
      <c r="BK1331" s="8">
        <v>370.85</v>
      </c>
      <c r="BL1331" s="2" t="s">
        <v>3816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6256</v>
      </c>
      <c r="BV1331" s="2" t="s">
        <v>231</v>
      </c>
      <c r="BW1331" s="2" t="s">
        <v>231</v>
      </c>
      <c r="BX1331" s="2" t="s">
        <v>1360</v>
      </c>
      <c r="BY1331" s="2" t="s">
        <v>277</v>
      </c>
      <c r="BZ1331" s="2" t="s">
        <v>243</v>
      </c>
      <c r="CA1331" s="2" t="s">
        <v>1882</v>
      </c>
      <c r="CB1331" s="2" t="s">
        <v>5248</v>
      </c>
      <c r="CC1331" s="2" t="s">
        <v>244</v>
      </c>
      <c r="CD1331" s="2" t="s">
        <v>231</v>
      </c>
      <c r="CE1331" s="4">
        <v>119</v>
      </c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</row>
    <row r="1332">
      <c r="A1332" s="2" t="s">
        <v>6257</v>
      </c>
      <c r="B1332" s="2" t="s">
        <v>992</v>
      </c>
      <c r="C1332" s="2" t="s">
        <v>288</v>
      </c>
      <c r="D1332" s="2" t="s">
        <v>993</v>
      </c>
      <c r="E1332" s="2" t="s">
        <v>3795</v>
      </c>
      <c r="F1332" s="2" t="s">
        <v>6227</v>
      </c>
      <c r="G1332" s="2" t="s">
        <v>6228</v>
      </c>
      <c r="H1332" s="2" t="s">
        <v>6229</v>
      </c>
      <c r="I1332" s="2" t="s">
        <v>6230</v>
      </c>
      <c r="J1332" s="2" t="s">
        <v>6258</v>
      </c>
      <c r="K1332" s="2" t="s">
        <v>253</v>
      </c>
      <c r="L1332" s="3">
        <v>28.5</v>
      </c>
      <c r="M1332" s="3">
        <v>29.93</v>
      </c>
      <c r="N1332" s="3">
        <v>62.99</v>
      </c>
      <c r="O1332" s="2" t="s">
        <v>243</v>
      </c>
      <c r="P1332" s="2" t="s">
        <v>270</v>
      </c>
      <c r="Q1332" s="2" t="s">
        <v>237</v>
      </c>
      <c r="R1332" s="2" t="s">
        <v>231</v>
      </c>
      <c r="S1332" s="2" t="s">
        <v>6259</v>
      </c>
      <c r="T1332" s="2" t="s">
        <v>472</v>
      </c>
      <c r="U1332" s="2" t="s">
        <v>327</v>
      </c>
      <c r="V1332" s="2" t="s">
        <v>239</v>
      </c>
      <c r="W1332" s="2" t="s">
        <v>273</v>
      </c>
      <c r="X1332" s="2" t="s">
        <v>231</v>
      </c>
      <c r="Y1332" s="2" t="s">
        <v>6260</v>
      </c>
      <c r="Z1332" s="4">
        <v>373</v>
      </c>
      <c r="AA1332" s="4">
        <f>=ROUNDDOWN(46.625,0)</f>
      </c>
      <c r="AB1332" s="5">
        <v>8</v>
      </c>
      <c r="AC1332" s="2" t="s">
        <v>231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231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231</v>
      </c>
      <c r="AW1332" s="8" t="s">
        <v>231</v>
      </c>
      <c r="AX1332" s="4" t="s">
        <v>231</v>
      </c>
      <c r="AY1332" s="8" t="s">
        <v>231</v>
      </c>
      <c r="AZ1332" s="7" t="s">
        <v>231</v>
      </c>
      <c r="BA1332" s="7" t="s">
        <v>231</v>
      </c>
      <c r="BB1332" s="7"/>
      <c r="BC1332" s="4" t="s">
        <v>231</v>
      </c>
      <c r="BD1332" s="8" t="s">
        <v>231</v>
      </c>
      <c r="BE1332" s="4" t="s">
        <v>231</v>
      </c>
      <c r="BF1332" s="8" t="s">
        <v>231</v>
      </c>
      <c r="BG1332" s="7" t="s">
        <v>231</v>
      </c>
      <c r="BH1332" s="7" t="s">
        <v>231</v>
      </c>
      <c r="BI1332" s="7"/>
      <c r="BJ1332" s="4">
        <v>36</v>
      </c>
      <c r="BK1332" s="8">
        <v>1137.3</v>
      </c>
      <c r="BL1332" s="2" t="s">
        <v>5623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6261</v>
      </c>
      <c r="BV1332" s="2" t="s">
        <v>231</v>
      </c>
      <c r="BW1332" s="2" t="s">
        <v>231</v>
      </c>
      <c r="BX1332" s="2" t="s">
        <v>5538</v>
      </c>
      <c r="BY1332" s="2" t="s">
        <v>277</v>
      </c>
      <c r="BZ1332" s="2" t="s">
        <v>243</v>
      </c>
      <c r="CA1332" s="2" t="s">
        <v>3614</v>
      </c>
      <c r="CB1332" s="2" t="s">
        <v>6262</v>
      </c>
      <c r="CC1332" s="2" t="s">
        <v>244</v>
      </c>
      <c r="CD1332" s="2" t="s">
        <v>231</v>
      </c>
      <c r="CE1332" s="4">
        <v>373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</row>
    <row r="1333">
      <c r="A1333" s="2" t="s">
        <v>6263</v>
      </c>
      <c r="B1333" s="2" t="s">
        <v>992</v>
      </c>
      <c r="C1333" s="2" t="s">
        <v>288</v>
      </c>
      <c r="D1333" s="2" t="s">
        <v>993</v>
      </c>
      <c r="E1333" s="2" t="s">
        <v>3795</v>
      </c>
      <c r="F1333" s="2" t="s">
        <v>6227</v>
      </c>
      <c r="G1333" s="2" t="s">
        <v>6228</v>
      </c>
      <c r="H1333" s="2" t="s">
        <v>6229</v>
      </c>
      <c r="I1333" s="2" t="s">
        <v>6230</v>
      </c>
      <c r="J1333" s="2" t="s">
        <v>3801</v>
      </c>
      <c r="K1333" s="2" t="s">
        <v>253</v>
      </c>
      <c r="L1333" s="3">
        <v>29.25</v>
      </c>
      <c r="M1333" s="3">
        <v>30.71</v>
      </c>
      <c r="N1333" s="3">
        <v>64.99</v>
      </c>
      <c r="O1333" s="2" t="s">
        <v>243</v>
      </c>
      <c r="P1333" s="2" t="s">
        <v>1332</v>
      </c>
      <c r="Q1333" s="2" t="s">
        <v>237</v>
      </c>
      <c r="R1333" s="2" t="s">
        <v>231</v>
      </c>
      <c r="S1333" s="2" t="s">
        <v>6259</v>
      </c>
      <c r="T1333" s="2" t="s">
        <v>472</v>
      </c>
      <c r="U1333" s="2" t="s">
        <v>327</v>
      </c>
      <c r="V1333" s="2" t="s">
        <v>239</v>
      </c>
      <c r="W1333" s="2" t="s">
        <v>273</v>
      </c>
      <c r="X1333" s="2" t="s">
        <v>231</v>
      </c>
      <c r="Y1333" s="2" t="s">
        <v>3146</v>
      </c>
      <c r="Z1333" s="4">
        <v>363</v>
      </c>
      <c r="AA1333" s="4">
        <f>=ROUNDDOWN(17.536231884058,0)</f>
      </c>
      <c r="AB1333" s="5">
        <v>20.7</v>
      </c>
      <c r="AC1333" s="2" t="s">
        <v>701</v>
      </c>
      <c r="AD1333" s="4">
        <v>216</v>
      </c>
      <c r="AE1333" s="4">
        <v>216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231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231</v>
      </c>
      <c r="AW1333" s="8" t="s">
        <v>231</v>
      </c>
      <c r="AX1333" s="4" t="s">
        <v>231</v>
      </c>
      <c r="AY1333" s="8" t="s">
        <v>231</v>
      </c>
      <c r="AZ1333" s="7" t="s">
        <v>231</v>
      </c>
      <c r="BA1333" s="7" t="s">
        <v>231</v>
      </c>
      <c r="BB1333" s="7"/>
      <c r="BC1333" s="4" t="s">
        <v>231</v>
      </c>
      <c r="BD1333" s="8" t="s">
        <v>231</v>
      </c>
      <c r="BE1333" s="4" t="s">
        <v>231</v>
      </c>
      <c r="BF1333" s="8" t="s">
        <v>231</v>
      </c>
      <c r="BG1333" s="7" t="s">
        <v>231</v>
      </c>
      <c r="BH1333" s="7" t="s">
        <v>231</v>
      </c>
      <c r="BI1333" s="7"/>
      <c r="BJ1333" s="4">
        <v>102</v>
      </c>
      <c r="BK1333" s="8">
        <v>3269.49</v>
      </c>
      <c r="BL1333" s="2" t="s">
        <v>6264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6265</v>
      </c>
      <c r="BV1333" s="2" t="s">
        <v>231</v>
      </c>
      <c r="BW1333" s="2" t="s">
        <v>231</v>
      </c>
      <c r="BX1333" s="2" t="s">
        <v>5538</v>
      </c>
      <c r="BY1333" s="2" t="s">
        <v>277</v>
      </c>
      <c r="BZ1333" s="2" t="s">
        <v>243</v>
      </c>
      <c r="CA1333" s="2" t="s">
        <v>4814</v>
      </c>
      <c r="CB1333" s="2" t="s">
        <v>6266</v>
      </c>
      <c r="CC1333" s="2" t="s">
        <v>244</v>
      </c>
      <c r="CD1333" s="2" t="s">
        <v>231</v>
      </c>
      <c r="CE1333" s="4">
        <v>363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>
        <v>216</v>
      </c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</row>
    <row r="1334">
      <c r="A1334" s="2" t="s">
        <v>6267</v>
      </c>
      <c r="B1334" s="2" t="s">
        <v>992</v>
      </c>
      <c r="C1334" s="2" t="s">
        <v>288</v>
      </c>
      <c r="D1334" s="2" t="s">
        <v>993</v>
      </c>
      <c r="E1334" s="2" t="s">
        <v>3795</v>
      </c>
      <c r="F1334" s="2" t="s">
        <v>6227</v>
      </c>
      <c r="G1334" s="2" t="s">
        <v>6228</v>
      </c>
      <c r="H1334" s="2" t="s">
        <v>6229</v>
      </c>
      <c r="I1334" s="2" t="s">
        <v>6230</v>
      </c>
      <c r="J1334" s="2" t="s">
        <v>3805</v>
      </c>
      <c r="K1334" s="2" t="s">
        <v>253</v>
      </c>
      <c r="L1334" s="3">
        <v>32.2</v>
      </c>
      <c r="M1334" s="3">
        <v>33.81</v>
      </c>
      <c r="N1334" s="3">
        <v>69.99</v>
      </c>
      <c r="O1334" s="2" t="s">
        <v>243</v>
      </c>
      <c r="P1334" s="2" t="s">
        <v>270</v>
      </c>
      <c r="Q1334" s="2" t="s">
        <v>237</v>
      </c>
      <c r="R1334" s="2" t="s">
        <v>231</v>
      </c>
      <c r="S1334" s="2" t="s">
        <v>6259</v>
      </c>
      <c r="T1334" s="2" t="s">
        <v>472</v>
      </c>
      <c r="U1334" s="2" t="s">
        <v>327</v>
      </c>
      <c r="V1334" s="2" t="s">
        <v>239</v>
      </c>
      <c r="W1334" s="2" t="s">
        <v>273</v>
      </c>
      <c r="X1334" s="2" t="s">
        <v>231</v>
      </c>
      <c r="Y1334" s="2" t="s">
        <v>3146</v>
      </c>
      <c r="Z1334" s="4">
        <v>222</v>
      </c>
      <c r="AA1334" s="4">
        <f>=ROUNDDOWN(27.75,0)</f>
      </c>
      <c r="AB1334" s="5">
        <v>8</v>
      </c>
      <c r="AC1334" s="2" t="s">
        <v>701</v>
      </c>
      <c r="AD1334" s="4">
        <v>120</v>
      </c>
      <c r="AE1334" s="4">
        <v>120</v>
      </c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231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231</v>
      </c>
      <c r="AW1334" s="8" t="s">
        <v>231</v>
      </c>
      <c r="AX1334" s="4" t="s">
        <v>231</v>
      </c>
      <c r="AY1334" s="8" t="s">
        <v>231</v>
      </c>
      <c r="AZ1334" s="7" t="s">
        <v>231</v>
      </c>
      <c r="BA1334" s="7" t="s">
        <v>231</v>
      </c>
      <c r="BB1334" s="7"/>
      <c r="BC1334" s="4" t="s">
        <v>231</v>
      </c>
      <c r="BD1334" s="8" t="s">
        <v>231</v>
      </c>
      <c r="BE1334" s="4" t="s">
        <v>231</v>
      </c>
      <c r="BF1334" s="8" t="s">
        <v>231</v>
      </c>
      <c r="BG1334" s="7" t="s">
        <v>231</v>
      </c>
      <c r="BH1334" s="7" t="s">
        <v>231</v>
      </c>
      <c r="BI1334" s="7"/>
      <c r="BJ1334" s="4">
        <v>31</v>
      </c>
      <c r="BK1334" s="8">
        <v>1050.16</v>
      </c>
      <c r="BL1334" s="2" t="s">
        <v>5637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6268</v>
      </c>
      <c r="BV1334" s="2" t="s">
        <v>231</v>
      </c>
      <c r="BW1334" s="2" t="s">
        <v>231</v>
      </c>
      <c r="BX1334" s="2" t="s">
        <v>5538</v>
      </c>
      <c r="BY1334" s="2" t="s">
        <v>277</v>
      </c>
      <c r="BZ1334" s="2" t="s">
        <v>243</v>
      </c>
      <c r="CA1334" s="2" t="s">
        <v>4814</v>
      </c>
      <c r="CB1334" s="2" t="s">
        <v>4748</v>
      </c>
      <c r="CC1334" s="2" t="s">
        <v>244</v>
      </c>
      <c r="CD1334" s="2" t="s">
        <v>231</v>
      </c>
      <c r="CE1334" s="4">
        <v>222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>
        <v>120</v>
      </c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</row>
    <row r="1335">
      <c r="A1335" s="2" t="s">
        <v>6269</v>
      </c>
      <c r="B1335" s="2" t="s">
        <v>992</v>
      </c>
      <c r="C1335" s="2" t="s">
        <v>288</v>
      </c>
      <c r="D1335" s="2" t="s">
        <v>993</v>
      </c>
      <c r="E1335" s="2" t="s">
        <v>3795</v>
      </c>
      <c r="F1335" s="2" t="s">
        <v>6227</v>
      </c>
      <c r="G1335" s="2" t="s">
        <v>6228</v>
      </c>
      <c r="H1335" s="2" t="s">
        <v>6229</v>
      </c>
      <c r="I1335" s="2" t="s">
        <v>6230</v>
      </c>
      <c r="J1335" s="2" t="s">
        <v>6243</v>
      </c>
      <c r="K1335" s="2" t="s">
        <v>253</v>
      </c>
      <c r="L1335" s="3">
        <v>33.5</v>
      </c>
      <c r="M1335" s="3">
        <v>35.18</v>
      </c>
      <c r="N1335" s="3">
        <v>74.99</v>
      </c>
      <c r="O1335" s="2" t="s">
        <v>243</v>
      </c>
      <c r="P1335" s="2" t="s">
        <v>871</v>
      </c>
      <c r="Q1335" s="2" t="s">
        <v>237</v>
      </c>
      <c r="R1335" s="2" t="s">
        <v>231</v>
      </c>
      <c r="S1335" s="2" t="s">
        <v>6259</v>
      </c>
      <c r="T1335" s="2" t="s">
        <v>472</v>
      </c>
      <c r="U1335" s="2" t="s">
        <v>327</v>
      </c>
      <c r="V1335" s="2" t="s">
        <v>239</v>
      </c>
      <c r="W1335" s="2" t="s">
        <v>273</v>
      </c>
      <c r="X1335" s="2" t="s">
        <v>231</v>
      </c>
      <c r="Y1335" s="2" t="s">
        <v>6260</v>
      </c>
      <c r="Z1335" s="4">
        <v>655</v>
      </c>
      <c r="AA1335" s="4">
        <f>=ROUNDDOWN(50.3846153846154,0)</f>
      </c>
      <c r="AB1335" s="5">
        <v>13</v>
      </c>
      <c r="AC1335" s="2" t="s">
        <v>231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231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231</v>
      </c>
      <c r="AW1335" s="8" t="s">
        <v>231</v>
      </c>
      <c r="AX1335" s="4" t="s">
        <v>231</v>
      </c>
      <c r="AY1335" s="8" t="s">
        <v>231</v>
      </c>
      <c r="AZ1335" s="7" t="s">
        <v>231</v>
      </c>
      <c r="BA1335" s="7" t="s">
        <v>231</v>
      </c>
      <c r="BB1335" s="7"/>
      <c r="BC1335" s="4" t="s">
        <v>231</v>
      </c>
      <c r="BD1335" s="8" t="s">
        <v>231</v>
      </c>
      <c r="BE1335" s="4" t="s">
        <v>231</v>
      </c>
      <c r="BF1335" s="8" t="s">
        <v>231</v>
      </c>
      <c r="BG1335" s="7" t="s">
        <v>231</v>
      </c>
      <c r="BH1335" s="7" t="s">
        <v>231</v>
      </c>
      <c r="BI1335" s="7"/>
      <c r="BJ1335" s="4">
        <v>76</v>
      </c>
      <c r="BK1335" s="8">
        <v>2773.11</v>
      </c>
      <c r="BL1335" s="2" t="s">
        <v>6270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6271</v>
      </c>
      <c r="BV1335" s="2" t="s">
        <v>231</v>
      </c>
      <c r="BW1335" s="2" t="s">
        <v>231</v>
      </c>
      <c r="BX1335" s="2" t="s">
        <v>5538</v>
      </c>
      <c r="BY1335" s="2" t="s">
        <v>277</v>
      </c>
      <c r="BZ1335" s="2" t="s">
        <v>243</v>
      </c>
      <c r="CA1335" s="2" t="s">
        <v>3614</v>
      </c>
      <c r="CB1335" s="2" t="s">
        <v>6272</v>
      </c>
      <c r="CC1335" s="2" t="s">
        <v>244</v>
      </c>
      <c r="CD1335" s="2" t="s">
        <v>231</v>
      </c>
      <c r="CE1335" s="4">
        <v>655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</row>
    <row r="1336">
      <c r="A1336" s="2" t="s">
        <v>6273</v>
      </c>
      <c r="B1336" s="2" t="s">
        <v>992</v>
      </c>
      <c r="C1336" s="2" t="s">
        <v>288</v>
      </c>
      <c r="D1336" s="2" t="s">
        <v>993</v>
      </c>
      <c r="E1336" s="2" t="s">
        <v>3795</v>
      </c>
      <c r="F1336" s="2" t="s">
        <v>6227</v>
      </c>
      <c r="G1336" s="2" t="s">
        <v>6228</v>
      </c>
      <c r="H1336" s="2" t="s">
        <v>6229</v>
      </c>
      <c r="I1336" s="2" t="s">
        <v>6230</v>
      </c>
      <c r="J1336" s="2" t="s">
        <v>3810</v>
      </c>
      <c r="K1336" s="2" t="s">
        <v>253</v>
      </c>
      <c r="L1336" s="3">
        <v>34.5</v>
      </c>
      <c r="M1336" s="3">
        <v>36.22</v>
      </c>
      <c r="N1336" s="3">
        <v>74.99</v>
      </c>
      <c r="O1336" s="2" t="s">
        <v>243</v>
      </c>
      <c r="P1336" s="2" t="s">
        <v>1332</v>
      </c>
      <c r="Q1336" s="2" t="s">
        <v>237</v>
      </c>
      <c r="R1336" s="2" t="s">
        <v>231</v>
      </c>
      <c r="S1336" s="2" t="s">
        <v>6259</v>
      </c>
      <c r="T1336" s="2" t="s">
        <v>472</v>
      </c>
      <c r="U1336" s="2" t="s">
        <v>327</v>
      </c>
      <c r="V1336" s="2" t="s">
        <v>239</v>
      </c>
      <c r="W1336" s="2" t="s">
        <v>273</v>
      </c>
      <c r="X1336" s="2" t="s">
        <v>231</v>
      </c>
      <c r="Y1336" s="2" t="s">
        <v>3146</v>
      </c>
      <c r="Z1336" s="4">
        <v>375</v>
      </c>
      <c r="AA1336" s="4">
        <f>=ROUNDDOWN(26.7857142857143,0)</f>
      </c>
      <c r="AB1336" s="5">
        <v>14</v>
      </c>
      <c r="AC1336" s="2" t="s">
        <v>701</v>
      </c>
      <c r="AD1336" s="4">
        <v>276</v>
      </c>
      <c r="AE1336" s="4">
        <v>276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231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231</v>
      </c>
      <c r="AW1336" s="8" t="s">
        <v>231</v>
      </c>
      <c r="AX1336" s="4" t="s">
        <v>231</v>
      </c>
      <c r="AY1336" s="8" t="s">
        <v>231</v>
      </c>
      <c r="AZ1336" s="7" t="s">
        <v>231</v>
      </c>
      <c r="BA1336" s="7" t="s">
        <v>231</v>
      </c>
      <c r="BB1336" s="7"/>
      <c r="BC1336" s="4" t="s">
        <v>231</v>
      </c>
      <c r="BD1336" s="8" t="s">
        <v>231</v>
      </c>
      <c r="BE1336" s="4" t="s">
        <v>231</v>
      </c>
      <c r="BF1336" s="8" t="s">
        <v>231</v>
      </c>
      <c r="BG1336" s="7" t="s">
        <v>231</v>
      </c>
      <c r="BH1336" s="7" t="s">
        <v>231</v>
      </c>
      <c r="BI1336" s="7"/>
      <c r="BJ1336" s="4">
        <v>50</v>
      </c>
      <c r="BK1336" s="8">
        <v>1841.17</v>
      </c>
      <c r="BL1336" s="2" t="s">
        <v>6274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6275</v>
      </c>
      <c r="BV1336" s="2" t="s">
        <v>231</v>
      </c>
      <c r="BW1336" s="2" t="s">
        <v>231</v>
      </c>
      <c r="BX1336" s="2" t="s">
        <v>5538</v>
      </c>
      <c r="BY1336" s="2" t="s">
        <v>277</v>
      </c>
      <c r="BZ1336" s="2" t="s">
        <v>243</v>
      </c>
      <c r="CA1336" s="2" t="s">
        <v>6276</v>
      </c>
      <c r="CB1336" s="2" t="s">
        <v>6277</v>
      </c>
      <c r="CC1336" s="2" t="s">
        <v>244</v>
      </c>
      <c r="CD1336" s="2" t="s">
        <v>231</v>
      </c>
      <c r="CE1336" s="4">
        <v>375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>
        <v>276</v>
      </c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</row>
    <row r="1337">
      <c r="A1337" s="2" t="s">
        <v>6278</v>
      </c>
      <c r="B1337" s="2" t="s">
        <v>992</v>
      </c>
      <c r="C1337" s="2" t="s">
        <v>288</v>
      </c>
      <c r="D1337" s="2" t="s">
        <v>993</v>
      </c>
      <c r="E1337" s="2" t="s">
        <v>3795</v>
      </c>
      <c r="F1337" s="2" t="s">
        <v>6227</v>
      </c>
      <c r="G1337" s="2" t="s">
        <v>6228</v>
      </c>
      <c r="H1337" s="2" t="s">
        <v>6229</v>
      </c>
      <c r="I1337" s="2" t="s">
        <v>6230</v>
      </c>
      <c r="J1337" s="2" t="s">
        <v>3815</v>
      </c>
      <c r="K1337" s="2" t="s">
        <v>253</v>
      </c>
      <c r="L1337" s="3">
        <v>38.4</v>
      </c>
      <c r="M1337" s="3">
        <v>40.32</v>
      </c>
      <c r="N1337" s="3">
        <v>79.99</v>
      </c>
      <c r="O1337" s="2" t="s">
        <v>243</v>
      </c>
      <c r="P1337" s="2" t="s">
        <v>270</v>
      </c>
      <c r="Q1337" s="2" t="s">
        <v>237</v>
      </c>
      <c r="R1337" s="2" t="s">
        <v>231</v>
      </c>
      <c r="S1337" s="2" t="s">
        <v>6259</v>
      </c>
      <c r="T1337" s="2" t="s">
        <v>472</v>
      </c>
      <c r="U1337" s="2" t="s">
        <v>327</v>
      </c>
      <c r="V1337" s="2" t="s">
        <v>239</v>
      </c>
      <c r="W1337" s="2" t="s">
        <v>273</v>
      </c>
      <c r="X1337" s="2" t="s">
        <v>231</v>
      </c>
      <c r="Y1337" s="2" t="s">
        <v>5776</v>
      </c>
      <c r="Z1337" s="4">
        <v>125</v>
      </c>
      <c r="AA1337" s="4">
        <f>=ROUNDDOWN(12.5,0)</f>
      </c>
      <c r="AB1337" s="5">
        <v>10</v>
      </c>
      <c r="AC1337" s="2" t="s">
        <v>701</v>
      </c>
      <c r="AD1337" s="4">
        <v>270</v>
      </c>
      <c r="AE1337" s="4">
        <v>270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231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231</v>
      </c>
      <c r="AW1337" s="8" t="s">
        <v>231</v>
      </c>
      <c r="AX1337" s="4" t="s">
        <v>231</v>
      </c>
      <c r="AY1337" s="8" t="s">
        <v>231</v>
      </c>
      <c r="AZ1337" s="7" t="s">
        <v>231</v>
      </c>
      <c r="BA1337" s="7" t="s">
        <v>231</v>
      </c>
      <c r="BB1337" s="7"/>
      <c r="BC1337" s="4" t="s">
        <v>231</v>
      </c>
      <c r="BD1337" s="8" t="s">
        <v>231</v>
      </c>
      <c r="BE1337" s="4" t="s">
        <v>231</v>
      </c>
      <c r="BF1337" s="8" t="s">
        <v>231</v>
      </c>
      <c r="BG1337" s="7" t="s">
        <v>231</v>
      </c>
      <c r="BH1337" s="7" t="s">
        <v>231</v>
      </c>
      <c r="BI1337" s="7"/>
      <c r="BJ1337" s="4">
        <v>17</v>
      </c>
      <c r="BK1337" s="8">
        <v>653.77</v>
      </c>
      <c r="BL1337" s="2" t="s">
        <v>1652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6279</v>
      </c>
      <c r="BV1337" s="2" t="s">
        <v>231</v>
      </c>
      <c r="BW1337" s="2" t="s">
        <v>231</v>
      </c>
      <c r="BX1337" s="2" t="s">
        <v>5538</v>
      </c>
      <c r="BY1337" s="2" t="s">
        <v>277</v>
      </c>
      <c r="BZ1337" s="2" t="s">
        <v>243</v>
      </c>
      <c r="CA1337" s="2" t="s">
        <v>6280</v>
      </c>
      <c r="CB1337" s="2" t="s">
        <v>6281</v>
      </c>
      <c r="CC1337" s="2" t="s">
        <v>244</v>
      </c>
      <c r="CD1337" s="2" t="s">
        <v>231</v>
      </c>
      <c r="CE1337" s="4">
        <v>125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>
        <v>270</v>
      </c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</row>
    <row r="1338">
      <c r="A1338" s="2" t="s">
        <v>6282</v>
      </c>
      <c r="B1338" s="2" t="s">
        <v>992</v>
      </c>
      <c r="C1338" s="2" t="s">
        <v>288</v>
      </c>
      <c r="D1338" s="2" t="s">
        <v>993</v>
      </c>
      <c r="E1338" s="2" t="s">
        <v>3795</v>
      </c>
      <c r="F1338" s="2" t="s">
        <v>6227</v>
      </c>
      <c r="G1338" s="2" t="s">
        <v>6228</v>
      </c>
      <c r="H1338" s="2" t="s">
        <v>6229</v>
      </c>
      <c r="I1338" s="2" t="s">
        <v>6283</v>
      </c>
      <c r="J1338" s="2" t="s">
        <v>6284</v>
      </c>
      <c r="K1338" s="2" t="s">
        <v>253</v>
      </c>
      <c r="L1338" s="3">
        <v>28.5</v>
      </c>
      <c r="M1338" s="3">
        <v>29.93</v>
      </c>
      <c r="N1338" s="3">
        <v>64.99</v>
      </c>
      <c r="O1338" s="2" t="s">
        <v>243</v>
      </c>
      <c r="P1338" s="2" t="s">
        <v>341</v>
      </c>
      <c r="Q1338" s="2" t="s">
        <v>237</v>
      </c>
      <c r="R1338" s="2" t="s">
        <v>231</v>
      </c>
      <c r="S1338" s="2" t="s">
        <v>6259</v>
      </c>
      <c r="T1338" s="2" t="s">
        <v>472</v>
      </c>
      <c r="U1338" s="2" t="s">
        <v>327</v>
      </c>
      <c r="V1338" s="2" t="s">
        <v>239</v>
      </c>
      <c r="W1338" s="2" t="s">
        <v>273</v>
      </c>
      <c r="X1338" s="2" t="s">
        <v>231</v>
      </c>
      <c r="Y1338" s="2" t="s">
        <v>2237</v>
      </c>
      <c r="Z1338" s="4">
        <v>259</v>
      </c>
      <c r="AA1338" s="4">
        <f>=ROUNDDOWN(103.6,0)</f>
      </c>
      <c r="AB1338" s="5">
        <v>2.5</v>
      </c>
      <c r="AC1338" s="2" t="s">
        <v>231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231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231</v>
      </c>
      <c r="AW1338" s="8" t="s">
        <v>231</v>
      </c>
      <c r="AX1338" s="4" t="s">
        <v>231</v>
      </c>
      <c r="AY1338" s="8" t="s">
        <v>231</v>
      </c>
      <c r="AZ1338" s="7" t="s">
        <v>231</v>
      </c>
      <c r="BA1338" s="7" t="s">
        <v>231</v>
      </c>
      <c r="BB1338" s="7"/>
      <c r="BC1338" s="4" t="s">
        <v>231</v>
      </c>
      <c r="BD1338" s="8" t="s">
        <v>231</v>
      </c>
      <c r="BE1338" s="4" t="s">
        <v>231</v>
      </c>
      <c r="BF1338" s="8" t="s">
        <v>231</v>
      </c>
      <c r="BG1338" s="7" t="s">
        <v>231</v>
      </c>
      <c r="BH1338" s="7" t="s">
        <v>231</v>
      </c>
      <c r="BI1338" s="7"/>
      <c r="BJ1338" s="4">
        <v>18</v>
      </c>
      <c r="BK1338" s="8">
        <v>363.62</v>
      </c>
      <c r="BL1338" s="2" t="s">
        <v>3802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6285</v>
      </c>
      <c r="BV1338" s="2" t="s">
        <v>231</v>
      </c>
      <c r="BW1338" s="2" t="s">
        <v>231</v>
      </c>
      <c r="BX1338" s="2" t="s">
        <v>1360</v>
      </c>
      <c r="BY1338" s="2" t="s">
        <v>277</v>
      </c>
      <c r="BZ1338" s="2" t="s">
        <v>243</v>
      </c>
      <c r="CA1338" s="2" t="s">
        <v>6286</v>
      </c>
      <c r="CB1338" s="2" t="s">
        <v>3742</v>
      </c>
      <c r="CC1338" s="2" t="s">
        <v>244</v>
      </c>
      <c r="CD1338" s="2" t="s">
        <v>231</v>
      </c>
      <c r="CE1338" s="4">
        <v>259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</row>
    <row r="1339">
      <c r="A1339" s="2" t="s">
        <v>6287</v>
      </c>
      <c r="B1339" s="2" t="s">
        <v>992</v>
      </c>
      <c r="C1339" s="2" t="s">
        <v>288</v>
      </c>
      <c r="D1339" s="2" t="s">
        <v>993</v>
      </c>
      <c r="E1339" s="2" t="s">
        <v>3795</v>
      </c>
      <c r="F1339" s="2" t="s">
        <v>6227</v>
      </c>
      <c r="G1339" s="2" t="s">
        <v>6228</v>
      </c>
      <c r="H1339" s="2" t="s">
        <v>6229</v>
      </c>
      <c r="I1339" s="2" t="s">
        <v>6283</v>
      </c>
      <c r="J1339" s="2" t="s">
        <v>6288</v>
      </c>
      <c r="K1339" s="2" t="s">
        <v>253</v>
      </c>
      <c r="L1339" s="3">
        <v>32</v>
      </c>
      <c r="M1339" s="3">
        <v>33.6</v>
      </c>
      <c r="N1339" s="3">
        <v>69.99</v>
      </c>
      <c r="O1339" s="2" t="s">
        <v>243</v>
      </c>
      <c r="P1339" s="2" t="s">
        <v>341</v>
      </c>
      <c r="Q1339" s="2" t="s">
        <v>237</v>
      </c>
      <c r="R1339" s="2" t="s">
        <v>231</v>
      </c>
      <c r="S1339" s="2" t="s">
        <v>6259</v>
      </c>
      <c r="T1339" s="2" t="s">
        <v>472</v>
      </c>
      <c r="U1339" s="2" t="s">
        <v>327</v>
      </c>
      <c r="V1339" s="2" t="s">
        <v>239</v>
      </c>
      <c r="W1339" s="2" t="s">
        <v>273</v>
      </c>
      <c r="X1339" s="2" t="s">
        <v>231</v>
      </c>
      <c r="Y1339" s="2" t="s">
        <v>2237</v>
      </c>
      <c r="Z1339" s="4">
        <v>214</v>
      </c>
      <c r="AA1339" s="4">
        <f>=ROUNDDOWN(39.6296296296296,0)</f>
      </c>
      <c r="AB1339" s="5">
        <v>5.4</v>
      </c>
      <c r="AC1339" s="2" t="s">
        <v>231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231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231</v>
      </c>
      <c r="AW1339" s="8" t="s">
        <v>231</v>
      </c>
      <c r="AX1339" s="4" t="s">
        <v>231</v>
      </c>
      <c r="AY1339" s="8" t="s">
        <v>231</v>
      </c>
      <c r="AZ1339" s="7" t="s">
        <v>231</v>
      </c>
      <c r="BA1339" s="7" t="s">
        <v>231</v>
      </c>
      <c r="BB1339" s="7"/>
      <c r="BC1339" s="4" t="s">
        <v>231</v>
      </c>
      <c r="BD1339" s="8" t="s">
        <v>231</v>
      </c>
      <c r="BE1339" s="4" t="s">
        <v>231</v>
      </c>
      <c r="BF1339" s="8" t="s">
        <v>231</v>
      </c>
      <c r="BG1339" s="7" t="s">
        <v>231</v>
      </c>
      <c r="BH1339" s="7" t="s">
        <v>231</v>
      </c>
      <c r="BI1339" s="7"/>
      <c r="BJ1339" s="4">
        <v>26</v>
      </c>
      <c r="BK1339" s="8">
        <v>654</v>
      </c>
      <c r="BL1339" s="2" t="s">
        <v>6289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6290</v>
      </c>
      <c r="BV1339" s="2" t="s">
        <v>231</v>
      </c>
      <c r="BW1339" s="2" t="s">
        <v>231</v>
      </c>
      <c r="BX1339" s="2" t="s">
        <v>1360</v>
      </c>
      <c r="BY1339" s="2" t="s">
        <v>277</v>
      </c>
      <c r="BZ1339" s="2" t="s">
        <v>243</v>
      </c>
      <c r="CA1339" s="2" t="s">
        <v>6286</v>
      </c>
      <c r="CB1339" s="2" t="s">
        <v>6291</v>
      </c>
      <c r="CC1339" s="2" t="s">
        <v>244</v>
      </c>
      <c r="CD1339" s="2" t="s">
        <v>231</v>
      </c>
      <c r="CE1339" s="4">
        <v>214</v>
      </c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</row>
    <row r="1340">
      <c r="A1340" s="2" t="s">
        <v>6292</v>
      </c>
      <c r="B1340" s="2" t="s">
        <v>992</v>
      </c>
      <c r="C1340" s="2" t="s">
        <v>288</v>
      </c>
      <c r="D1340" s="2" t="s">
        <v>993</v>
      </c>
      <c r="E1340" s="2" t="s">
        <v>3795</v>
      </c>
      <c r="F1340" s="2" t="s">
        <v>6227</v>
      </c>
      <c r="G1340" s="2" t="s">
        <v>6228</v>
      </c>
      <c r="H1340" s="2" t="s">
        <v>6229</v>
      </c>
      <c r="I1340" s="2" t="s">
        <v>6283</v>
      </c>
      <c r="J1340" s="2" t="s">
        <v>6293</v>
      </c>
      <c r="K1340" s="2" t="s">
        <v>253</v>
      </c>
      <c r="L1340" s="3">
        <v>38.5</v>
      </c>
      <c r="M1340" s="3">
        <v>40.43</v>
      </c>
      <c r="N1340" s="3">
        <v>81.99</v>
      </c>
      <c r="O1340" s="2" t="s">
        <v>243</v>
      </c>
      <c r="P1340" s="2" t="s">
        <v>341</v>
      </c>
      <c r="Q1340" s="2" t="s">
        <v>237</v>
      </c>
      <c r="R1340" s="2" t="s">
        <v>231</v>
      </c>
      <c r="S1340" s="2" t="s">
        <v>6259</v>
      </c>
      <c r="T1340" s="2" t="s">
        <v>472</v>
      </c>
      <c r="U1340" s="2" t="s">
        <v>327</v>
      </c>
      <c r="V1340" s="2" t="s">
        <v>239</v>
      </c>
      <c r="W1340" s="2" t="s">
        <v>273</v>
      </c>
      <c r="X1340" s="2" t="s">
        <v>231</v>
      </c>
      <c r="Y1340" s="2" t="s">
        <v>2237</v>
      </c>
      <c r="Z1340" s="4">
        <v>236</v>
      </c>
      <c r="AA1340" s="4">
        <f>=ROUNDDOWN(31.0526315789474,0)</f>
      </c>
      <c r="AB1340" s="5">
        <v>7.6</v>
      </c>
      <c r="AC1340" s="2" t="s">
        <v>231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231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231</v>
      </c>
      <c r="AW1340" s="8" t="s">
        <v>231</v>
      </c>
      <c r="AX1340" s="4" t="s">
        <v>231</v>
      </c>
      <c r="AY1340" s="8" t="s">
        <v>231</v>
      </c>
      <c r="AZ1340" s="7" t="s">
        <v>231</v>
      </c>
      <c r="BA1340" s="7" t="s">
        <v>231</v>
      </c>
      <c r="BB1340" s="7"/>
      <c r="BC1340" s="4" t="s">
        <v>231</v>
      </c>
      <c r="BD1340" s="8" t="s">
        <v>231</v>
      </c>
      <c r="BE1340" s="4" t="s">
        <v>231</v>
      </c>
      <c r="BF1340" s="8" t="s">
        <v>231</v>
      </c>
      <c r="BG1340" s="7" t="s">
        <v>231</v>
      </c>
      <c r="BH1340" s="7" t="s">
        <v>231</v>
      </c>
      <c r="BI1340" s="7"/>
      <c r="BJ1340" s="4">
        <v>34</v>
      </c>
      <c r="BK1340" s="8">
        <v>1175.74</v>
      </c>
      <c r="BL1340" s="2" t="s">
        <v>6294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6295</v>
      </c>
      <c r="BV1340" s="2" t="s">
        <v>231</v>
      </c>
      <c r="BW1340" s="2" t="s">
        <v>231</v>
      </c>
      <c r="BX1340" s="2" t="s">
        <v>1360</v>
      </c>
      <c r="BY1340" s="2" t="s">
        <v>277</v>
      </c>
      <c r="BZ1340" s="2" t="s">
        <v>243</v>
      </c>
      <c r="CA1340" s="2" t="s">
        <v>6286</v>
      </c>
      <c r="CB1340" s="2" t="s">
        <v>6291</v>
      </c>
      <c r="CC1340" s="2" t="s">
        <v>244</v>
      </c>
      <c r="CD1340" s="2" t="s">
        <v>231</v>
      </c>
      <c r="CE1340" s="4">
        <v>236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</row>
    <row r="1341">
      <c r="A1341" s="2" t="s">
        <v>6296</v>
      </c>
      <c r="B1341" s="2" t="s">
        <v>992</v>
      </c>
      <c r="C1341" s="2" t="s">
        <v>288</v>
      </c>
      <c r="D1341" s="2" t="s">
        <v>993</v>
      </c>
      <c r="E1341" s="2" t="s">
        <v>1157</v>
      </c>
      <c r="F1341" s="2" t="s">
        <v>6227</v>
      </c>
      <c r="G1341" s="2" t="s">
        <v>6228</v>
      </c>
      <c r="H1341" s="2" t="s">
        <v>6229</v>
      </c>
      <c r="I1341" s="2" t="s">
        <v>6297</v>
      </c>
      <c r="J1341" s="2" t="s">
        <v>6298</v>
      </c>
      <c r="K1341" s="2" t="s">
        <v>306</v>
      </c>
      <c r="L1341" s="3">
        <v>19</v>
      </c>
      <c r="M1341" s="3">
        <v>19.95</v>
      </c>
      <c r="N1341" s="3">
        <v>39.99</v>
      </c>
      <c r="O1341" s="2" t="s">
        <v>243</v>
      </c>
      <c r="P1341" s="2" t="s">
        <v>270</v>
      </c>
      <c r="Q1341" s="2" t="s">
        <v>237</v>
      </c>
      <c r="R1341" s="2" t="s">
        <v>231</v>
      </c>
      <c r="S1341" s="2" t="s">
        <v>6299</v>
      </c>
      <c r="T1341" s="2" t="s">
        <v>231</v>
      </c>
      <c r="U1341" s="2" t="s">
        <v>791</v>
      </c>
      <c r="V1341" s="2" t="s">
        <v>239</v>
      </c>
      <c r="W1341" s="2" t="s">
        <v>273</v>
      </c>
      <c r="X1341" s="2" t="s">
        <v>3672</v>
      </c>
      <c r="Y1341" s="2" t="s">
        <v>6300</v>
      </c>
      <c r="Z1341" s="4">
        <v>62</v>
      </c>
      <c r="AA1341" s="4">
        <f>=ROUNDDOWN(6.2,0)</f>
      </c>
      <c r="AB1341" s="5">
        <v>10</v>
      </c>
      <c r="AC1341" s="2" t="s">
        <v>1580</v>
      </c>
      <c r="AD1341" s="4">
        <v>124</v>
      </c>
      <c r="AE1341" s="4">
        <v>177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231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 t="s">
        <v>231</v>
      </c>
      <c r="BD1341" s="8" t="s">
        <v>231</v>
      </c>
      <c r="BE1341" s="4" t="s">
        <v>231</v>
      </c>
      <c r="BF1341" s="8" t="s">
        <v>231</v>
      </c>
      <c r="BG1341" s="7" t="s">
        <v>231</v>
      </c>
      <c r="BH1341" s="7" t="s">
        <v>231</v>
      </c>
      <c r="BI1341" s="7"/>
      <c r="BJ1341" s="4">
        <v>26</v>
      </c>
      <c r="BK1341" s="8">
        <v>622.15</v>
      </c>
      <c r="BL1341" s="2" t="s">
        <v>6301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6302</v>
      </c>
      <c r="BV1341" s="2" t="s">
        <v>231</v>
      </c>
      <c r="BW1341" s="2" t="s">
        <v>231</v>
      </c>
      <c r="BX1341" s="2" t="s">
        <v>5538</v>
      </c>
      <c r="BY1341" s="2" t="s">
        <v>277</v>
      </c>
      <c r="BZ1341" s="2" t="s">
        <v>243</v>
      </c>
      <c r="CA1341" s="2" t="s">
        <v>6303</v>
      </c>
      <c r="CB1341" s="2" t="s">
        <v>1851</v>
      </c>
      <c r="CC1341" s="2" t="s">
        <v>244</v>
      </c>
      <c r="CD1341" s="2" t="s">
        <v>231</v>
      </c>
      <c r="CE1341" s="4">
        <v>62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>
        <v>124</v>
      </c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>
        <v>53</v>
      </c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</row>
    <row r="1342">
      <c r="A1342" s="2" t="s">
        <v>6304</v>
      </c>
      <c r="B1342" s="2" t="s">
        <v>992</v>
      </c>
      <c r="C1342" s="2" t="s">
        <v>288</v>
      </c>
      <c r="D1342" s="2" t="s">
        <v>993</v>
      </c>
      <c r="E1342" s="2" t="s">
        <v>3795</v>
      </c>
      <c r="F1342" s="2" t="s">
        <v>6227</v>
      </c>
      <c r="G1342" s="2" t="s">
        <v>6228</v>
      </c>
      <c r="H1342" s="2" t="s">
        <v>6229</v>
      </c>
      <c r="I1342" s="2" t="s">
        <v>6230</v>
      </c>
      <c r="J1342" s="2" t="s">
        <v>6231</v>
      </c>
      <c r="K1342" s="2" t="s">
        <v>452</v>
      </c>
      <c r="L1342" s="3">
        <v>23.75</v>
      </c>
      <c r="M1342" s="3">
        <v>24.94</v>
      </c>
      <c r="N1342" s="3">
        <v>53.99</v>
      </c>
      <c r="O1342" s="2" t="s">
        <v>243</v>
      </c>
      <c r="P1342" s="2" t="s">
        <v>270</v>
      </c>
      <c r="Q1342" s="2" t="s">
        <v>237</v>
      </c>
      <c r="R1342" s="2" t="s">
        <v>231</v>
      </c>
      <c r="S1342" s="2" t="s">
        <v>6305</v>
      </c>
      <c r="T1342" s="2" t="s">
        <v>472</v>
      </c>
      <c r="U1342" s="2" t="s">
        <v>327</v>
      </c>
      <c r="V1342" s="2" t="s">
        <v>239</v>
      </c>
      <c r="W1342" s="2" t="s">
        <v>273</v>
      </c>
      <c r="X1342" s="2" t="s">
        <v>231</v>
      </c>
      <c r="Y1342" s="2" t="s">
        <v>6233</v>
      </c>
      <c r="Z1342" s="4">
        <v>424</v>
      </c>
      <c r="AA1342" s="4">
        <f>=ROUNDDOWN(70.6666666666667,0)</f>
      </c>
      <c r="AB1342" s="5">
        <v>6</v>
      </c>
      <c r="AC1342" s="2" t="s">
        <v>231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231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231</v>
      </c>
      <c r="BD1342" s="8" t="s">
        <v>231</v>
      </c>
      <c r="BE1342" s="4" t="s">
        <v>231</v>
      </c>
      <c r="BF1342" s="8" t="s">
        <v>231</v>
      </c>
      <c r="BG1342" s="7" t="s">
        <v>231</v>
      </c>
      <c r="BH1342" s="7" t="s">
        <v>231</v>
      </c>
      <c r="BI1342" s="7"/>
      <c r="BJ1342" s="4">
        <v>21</v>
      </c>
      <c r="BK1342" s="8">
        <v>532.81</v>
      </c>
      <c r="BL1342" s="2" t="s">
        <v>6306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6307</v>
      </c>
      <c r="BV1342" s="2" t="s">
        <v>231</v>
      </c>
      <c r="BW1342" s="2" t="s">
        <v>231</v>
      </c>
      <c r="BX1342" s="2" t="s">
        <v>5538</v>
      </c>
      <c r="BY1342" s="2" t="s">
        <v>277</v>
      </c>
      <c r="BZ1342" s="2" t="s">
        <v>243</v>
      </c>
      <c r="CA1342" s="2" t="s">
        <v>5440</v>
      </c>
      <c r="CB1342" s="2" t="s">
        <v>6236</v>
      </c>
      <c r="CC1342" s="2" t="s">
        <v>244</v>
      </c>
      <c r="CD1342" s="2" t="s">
        <v>231</v>
      </c>
      <c r="CE1342" s="4">
        <v>424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</row>
    <row r="1343">
      <c r="A1343" s="2" t="s">
        <v>6308</v>
      </c>
      <c r="B1343" s="2" t="s">
        <v>992</v>
      </c>
      <c r="C1343" s="2" t="s">
        <v>288</v>
      </c>
      <c r="D1343" s="2" t="s">
        <v>993</v>
      </c>
      <c r="E1343" s="2" t="s">
        <v>3795</v>
      </c>
      <c r="F1343" s="2" t="s">
        <v>6227</v>
      </c>
      <c r="G1343" s="2" t="s">
        <v>6228</v>
      </c>
      <c r="H1343" s="2" t="s">
        <v>6229</v>
      </c>
      <c r="I1343" s="2" t="s">
        <v>6230</v>
      </c>
      <c r="J1343" s="2" t="s">
        <v>3801</v>
      </c>
      <c r="K1343" s="2" t="s">
        <v>319</v>
      </c>
      <c r="L1343" s="3">
        <v>29.25</v>
      </c>
      <c r="M1343" s="3">
        <v>30.71</v>
      </c>
      <c r="N1343" s="3">
        <v>64.99</v>
      </c>
      <c r="O1343" s="2" t="s">
        <v>243</v>
      </c>
      <c r="P1343" s="2" t="s">
        <v>1332</v>
      </c>
      <c r="Q1343" s="2" t="s">
        <v>237</v>
      </c>
      <c r="R1343" s="2" t="s">
        <v>231</v>
      </c>
      <c r="S1343" s="2" t="s">
        <v>6309</v>
      </c>
      <c r="T1343" s="2" t="s">
        <v>472</v>
      </c>
      <c r="U1343" s="2" t="s">
        <v>327</v>
      </c>
      <c r="V1343" s="2" t="s">
        <v>239</v>
      </c>
      <c r="W1343" s="2" t="s">
        <v>273</v>
      </c>
      <c r="X1343" s="2" t="s">
        <v>231</v>
      </c>
      <c r="Y1343" s="2" t="s">
        <v>1351</v>
      </c>
      <c r="Z1343" s="4">
        <v>799</v>
      </c>
      <c r="AA1343" s="4">
        <f>=ROUNDDOWN(34.7391304347826,0)</f>
      </c>
      <c r="AB1343" s="5">
        <v>23</v>
      </c>
      <c r="AC1343" s="2" t="s">
        <v>1651</v>
      </c>
      <c r="AD1343" s="4">
        <v>262</v>
      </c>
      <c r="AE1343" s="4">
        <v>262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231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231</v>
      </c>
      <c r="AW1343" s="8" t="s">
        <v>231</v>
      </c>
      <c r="AX1343" s="4" t="s">
        <v>231</v>
      </c>
      <c r="AY1343" s="8" t="s">
        <v>231</v>
      </c>
      <c r="AZ1343" s="7" t="s">
        <v>231</v>
      </c>
      <c r="BA1343" s="7" t="s">
        <v>231</v>
      </c>
      <c r="BB1343" s="7"/>
      <c r="BC1343" s="4" t="s">
        <v>231</v>
      </c>
      <c r="BD1343" s="8" t="s">
        <v>231</v>
      </c>
      <c r="BE1343" s="4" t="s">
        <v>231</v>
      </c>
      <c r="BF1343" s="8" t="s">
        <v>231</v>
      </c>
      <c r="BG1343" s="7" t="s">
        <v>231</v>
      </c>
      <c r="BH1343" s="7" t="s">
        <v>231</v>
      </c>
      <c r="BI1343" s="7"/>
      <c r="BJ1343" s="4">
        <v>112</v>
      </c>
      <c r="BK1343" s="8">
        <v>3674.5</v>
      </c>
      <c r="BL1343" s="2" t="s">
        <v>6310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6311</v>
      </c>
      <c r="BV1343" s="2" t="s">
        <v>231</v>
      </c>
      <c r="BW1343" s="2" t="s">
        <v>231</v>
      </c>
      <c r="BX1343" s="2" t="s">
        <v>5538</v>
      </c>
      <c r="BY1343" s="2" t="s">
        <v>277</v>
      </c>
      <c r="BZ1343" s="2" t="s">
        <v>243</v>
      </c>
      <c r="CA1343" s="2" t="s">
        <v>6312</v>
      </c>
      <c r="CB1343" s="2" t="s">
        <v>6313</v>
      </c>
      <c r="CC1343" s="2" t="s">
        <v>244</v>
      </c>
      <c r="CD1343" s="2" t="s">
        <v>231</v>
      </c>
      <c r="CE1343" s="4">
        <v>799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>
        <v>262</v>
      </c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</row>
    <row r="1344">
      <c r="A1344" s="2" t="s">
        <v>6314</v>
      </c>
      <c r="B1344" s="2" t="s">
        <v>992</v>
      </c>
      <c r="C1344" s="2" t="s">
        <v>288</v>
      </c>
      <c r="D1344" s="2" t="s">
        <v>993</v>
      </c>
      <c r="E1344" s="2" t="s">
        <v>3795</v>
      </c>
      <c r="F1344" s="2" t="s">
        <v>6227</v>
      </c>
      <c r="G1344" s="2" t="s">
        <v>6228</v>
      </c>
      <c r="H1344" s="2" t="s">
        <v>6229</v>
      </c>
      <c r="I1344" s="2" t="s">
        <v>6230</v>
      </c>
      <c r="J1344" s="2" t="s">
        <v>3815</v>
      </c>
      <c r="K1344" s="2" t="s">
        <v>319</v>
      </c>
      <c r="L1344" s="3">
        <v>38.4</v>
      </c>
      <c r="M1344" s="3">
        <v>40.32</v>
      </c>
      <c r="N1344" s="3">
        <v>79.99</v>
      </c>
      <c r="O1344" s="2" t="s">
        <v>243</v>
      </c>
      <c r="P1344" s="2" t="s">
        <v>1332</v>
      </c>
      <c r="Q1344" s="2" t="s">
        <v>237</v>
      </c>
      <c r="R1344" s="2" t="s">
        <v>231</v>
      </c>
      <c r="S1344" s="2" t="s">
        <v>6309</v>
      </c>
      <c r="T1344" s="2" t="s">
        <v>472</v>
      </c>
      <c r="U1344" s="2" t="s">
        <v>327</v>
      </c>
      <c r="V1344" s="2" t="s">
        <v>239</v>
      </c>
      <c r="W1344" s="2" t="s">
        <v>273</v>
      </c>
      <c r="X1344" s="2" t="s">
        <v>231</v>
      </c>
      <c r="Y1344" s="2" t="s">
        <v>1351</v>
      </c>
      <c r="Z1344" s="4">
        <v>518</v>
      </c>
      <c r="AA1344" s="4">
        <f>=ROUNDDOWN(37.8102189781022,0)</f>
      </c>
      <c r="AB1344" s="5">
        <v>13.7</v>
      </c>
      <c r="AC1344" s="2" t="s">
        <v>1664</v>
      </c>
      <c r="AD1344" s="4">
        <v>96</v>
      </c>
      <c r="AE1344" s="4">
        <v>258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231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231</v>
      </c>
      <c r="AW1344" s="8" t="s">
        <v>231</v>
      </c>
      <c r="AX1344" s="4" t="s">
        <v>231</v>
      </c>
      <c r="AY1344" s="8" t="s">
        <v>231</v>
      </c>
      <c r="AZ1344" s="7" t="s">
        <v>231</v>
      </c>
      <c r="BA1344" s="7" t="s">
        <v>231</v>
      </c>
      <c r="BB1344" s="7"/>
      <c r="BC1344" s="4" t="s">
        <v>231</v>
      </c>
      <c r="BD1344" s="8" t="s">
        <v>231</v>
      </c>
      <c r="BE1344" s="4" t="s">
        <v>231</v>
      </c>
      <c r="BF1344" s="8" t="s">
        <v>231</v>
      </c>
      <c r="BG1344" s="7" t="s">
        <v>231</v>
      </c>
      <c r="BH1344" s="7" t="s">
        <v>231</v>
      </c>
      <c r="BI1344" s="7"/>
      <c r="BJ1344" s="4">
        <v>41</v>
      </c>
      <c r="BK1344" s="8">
        <v>1660.53</v>
      </c>
      <c r="BL1344" s="2" t="s">
        <v>6315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6316</v>
      </c>
      <c r="BV1344" s="2" t="s">
        <v>231</v>
      </c>
      <c r="BW1344" s="2" t="s">
        <v>231</v>
      </c>
      <c r="BX1344" s="2" t="s">
        <v>5538</v>
      </c>
      <c r="BY1344" s="2" t="s">
        <v>277</v>
      </c>
      <c r="BZ1344" s="2" t="s">
        <v>243</v>
      </c>
      <c r="CA1344" s="2" t="s">
        <v>6312</v>
      </c>
      <c r="CB1344" s="2" t="s">
        <v>6317</v>
      </c>
      <c r="CC1344" s="2" t="s">
        <v>244</v>
      </c>
      <c r="CD1344" s="2" t="s">
        <v>231</v>
      </c>
      <c r="CE1344" s="4">
        <v>518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>
        <v>96</v>
      </c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>
        <v>162</v>
      </c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</row>
    <row r="1345">
      <c r="A1345" s="2" t="s">
        <v>6318</v>
      </c>
      <c r="B1345" s="2" t="s">
        <v>992</v>
      </c>
      <c r="C1345" s="2" t="s">
        <v>288</v>
      </c>
      <c r="D1345" s="2" t="s">
        <v>993</v>
      </c>
      <c r="E1345" s="2" t="s">
        <v>3795</v>
      </c>
      <c r="F1345" s="2" t="s">
        <v>6227</v>
      </c>
      <c r="G1345" s="2" t="s">
        <v>6228</v>
      </c>
      <c r="H1345" s="2" t="s">
        <v>6229</v>
      </c>
      <c r="I1345" s="2" t="s">
        <v>6283</v>
      </c>
      <c r="J1345" s="2" t="s">
        <v>6284</v>
      </c>
      <c r="K1345" s="2" t="s">
        <v>319</v>
      </c>
      <c r="L1345" s="3">
        <v>28.5</v>
      </c>
      <c r="M1345" s="3">
        <v>29.93</v>
      </c>
      <c r="N1345" s="3">
        <v>64.99</v>
      </c>
      <c r="O1345" s="2" t="s">
        <v>243</v>
      </c>
      <c r="P1345" s="2" t="s">
        <v>341</v>
      </c>
      <c r="Q1345" s="2" t="s">
        <v>237</v>
      </c>
      <c r="R1345" s="2" t="s">
        <v>231</v>
      </c>
      <c r="S1345" s="2" t="s">
        <v>6309</v>
      </c>
      <c r="T1345" s="2" t="s">
        <v>472</v>
      </c>
      <c r="U1345" s="2" t="s">
        <v>327</v>
      </c>
      <c r="V1345" s="2" t="s">
        <v>239</v>
      </c>
      <c r="W1345" s="2" t="s">
        <v>273</v>
      </c>
      <c r="X1345" s="2" t="s">
        <v>231</v>
      </c>
      <c r="Y1345" s="2" t="s">
        <v>1326</v>
      </c>
      <c r="Z1345" s="4">
        <v>274</v>
      </c>
      <c r="AA1345" s="4">
        <f>=ROUNDDOWN(33.8271604938272,0)</f>
      </c>
      <c r="AB1345" s="5">
        <v>8.1</v>
      </c>
      <c r="AC1345" s="2" t="s">
        <v>231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231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231</v>
      </c>
      <c r="AW1345" s="8" t="s">
        <v>231</v>
      </c>
      <c r="AX1345" s="4" t="s">
        <v>231</v>
      </c>
      <c r="AY1345" s="8" t="s">
        <v>231</v>
      </c>
      <c r="AZ1345" s="7" t="s">
        <v>231</v>
      </c>
      <c r="BA1345" s="7" t="s">
        <v>231</v>
      </c>
      <c r="BB1345" s="7"/>
      <c r="BC1345" s="4" t="s">
        <v>231</v>
      </c>
      <c r="BD1345" s="8" t="s">
        <v>231</v>
      </c>
      <c r="BE1345" s="4" t="s">
        <v>231</v>
      </c>
      <c r="BF1345" s="8" t="s">
        <v>231</v>
      </c>
      <c r="BG1345" s="7" t="s">
        <v>231</v>
      </c>
      <c r="BH1345" s="7" t="s">
        <v>231</v>
      </c>
      <c r="BI1345" s="7"/>
      <c r="BJ1345" s="4">
        <v>39</v>
      </c>
      <c r="BK1345" s="8">
        <v>915.71</v>
      </c>
      <c r="BL1345" s="2" t="s">
        <v>3816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6319</v>
      </c>
      <c r="BV1345" s="2" t="s">
        <v>231</v>
      </c>
      <c r="BW1345" s="2" t="s">
        <v>231</v>
      </c>
      <c r="BX1345" s="2" t="s">
        <v>1360</v>
      </c>
      <c r="BY1345" s="2" t="s">
        <v>277</v>
      </c>
      <c r="BZ1345" s="2" t="s">
        <v>243</v>
      </c>
      <c r="CA1345" s="2" t="s">
        <v>3445</v>
      </c>
      <c r="CB1345" s="2" t="s">
        <v>921</v>
      </c>
      <c r="CC1345" s="2" t="s">
        <v>244</v>
      </c>
      <c r="CD1345" s="2" t="s">
        <v>231</v>
      </c>
      <c r="CE1345" s="4">
        <v>274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</row>
    <row r="1346">
      <c r="A1346" s="2" t="s">
        <v>6320</v>
      </c>
      <c r="B1346" s="2" t="s">
        <v>1004</v>
      </c>
      <c r="C1346" s="2" t="s">
        <v>288</v>
      </c>
      <c r="D1346" s="2" t="s">
        <v>1922</v>
      </c>
      <c r="E1346" s="2" t="s">
        <v>1923</v>
      </c>
      <c r="F1346" s="2" t="s">
        <v>6321</v>
      </c>
      <c r="G1346" s="2" t="s">
        <v>6322</v>
      </c>
      <c r="H1346" s="2" t="s">
        <v>6323</v>
      </c>
      <c r="I1346" s="2" t="s">
        <v>6324</v>
      </c>
      <c r="J1346" s="2" t="s">
        <v>807</v>
      </c>
      <c r="K1346" s="2" t="s">
        <v>682</v>
      </c>
      <c r="L1346" s="3">
        <v>142.6</v>
      </c>
      <c r="M1346" s="3">
        <v>149.73</v>
      </c>
      <c r="N1346" s="3">
        <v>299</v>
      </c>
      <c r="O1346" s="2" t="s">
        <v>243</v>
      </c>
      <c r="P1346" s="2" t="s">
        <v>270</v>
      </c>
      <c r="Q1346" s="2" t="s">
        <v>237</v>
      </c>
      <c r="R1346" s="2" t="s">
        <v>231</v>
      </c>
      <c r="S1346" s="2" t="s">
        <v>6325</v>
      </c>
      <c r="T1346" s="2" t="s">
        <v>231</v>
      </c>
      <c r="U1346" s="2" t="s">
        <v>231</v>
      </c>
      <c r="V1346" s="2" t="s">
        <v>239</v>
      </c>
      <c r="W1346" s="2" t="s">
        <v>691</v>
      </c>
      <c r="X1346" s="2" t="s">
        <v>231</v>
      </c>
      <c r="Y1346" s="2" t="s">
        <v>274</v>
      </c>
      <c r="Z1346" s="4">
        <v>191</v>
      </c>
      <c r="AA1346" s="4">
        <f>=ROUNDDOWN(47.75,0)</f>
      </c>
      <c r="AB1346" s="5">
        <v>4</v>
      </c>
      <c r="AC1346" s="2" t="s">
        <v>231</v>
      </c>
      <c r="AD1346" s="4"/>
      <c r="AE1346" s="4"/>
      <c r="AF1346" s="6">
        <v>74</v>
      </c>
      <c r="AG1346" s="6"/>
      <c r="AH1346" s="7">
        <v>1</v>
      </c>
      <c r="AI1346" s="4"/>
      <c r="AJ1346" s="4">
        <f>=ROUNDDOWN({0},0)</f>
      </c>
      <c r="AK1346" s="5"/>
      <c r="AL1346" s="2" t="s">
        <v>231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3</v>
      </c>
      <c r="BK1346" s="8">
        <v>353.85</v>
      </c>
      <c r="BL1346" s="2" t="s">
        <v>2187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6326</v>
      </c>
      <c r="BV1346" s="2" t="s">
        <v>231</v>
      </c>
      <c r="BW1346" s="2" t="s">
        <v>231</v>
      </c>
      <c r="BX1346" s="2" t="s">
        <v>1812</v>
      </c>
      <c r="BY1346" s="2" t="s">
        <v>277</v>
      </c>
      <c r="BZ1346" s="2" t="s">
        <v>243</v>
      </c>
      <c r="CA1346" s="2" t="s">
        <v>284</v>
      </c>
      <c r="CB1346" s="2" t="s">
        <v>6327</v>
      </c>
      <c r="CC1346" s="2" t="s">
        <v>244</v>
      </c>
      <c r="CD1346" s="2" t="s">
        <v>231</v>
      </c>
      <c r="CE1346" s="4"/>
      <c r="CF1346" s="4">
        <v>191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</row>
    <row r="1347">
      <c r="A1347" s="2" t="s">
        <v>6328</v>
      </c>
      <c r="B1347" s="2" t="s">
        <v>801</v>
      </c>
      <c r="C1347" s="2" t="s">
        <v>815</v>
      </c>
      <c r="D1347" s="2" t="s">
        <v>803</v>
      </c>
      <c r="E1347" s="2" t="s">
        <v>804</v>
      </c>
      <c r="F1347" s="2" t="s">
        <v>6329</v>
      </c>
      <c r="G1347" s="2" t="s">
        <v>6329</v>
      </c>
      <c r="H1347" s="2" t="s">
        <v>6329</v>
      </c>
      <c r="I1347" s="2" t="s">
        <v>6330</v>
      </c>
      <c r="J1347" s="2" t="s">
        <v>807</v>
      </c>
      <c r="K1347" s="2" t="s">
        <v>5846</v>
      </c>
      <c r="L1347" s="3">
        <v>87.4</v>
      </c>
      <c r="M1347" s="3">
        <v>91.77</v>
      </c>
      <c r="N1347" s="3">
        <v>199.99</v>
      </c>
      <c r="O1347" s="2" t="s">
        <v>243</v>
      </c>
      <c r="P1347" s="2" t="s">
        <v>341</v>
      </c>
      <c r="Q1347" s="2" t="s">
        <v>237</v>
      </c>
      <c r="R1347" s="2" t="s">
        <v>231</v>
      </c>
      <c r="S1347" s="2" t="s">
        <v>231</v>
      </c>
      <c r="T1347" s="2" t="s">
        <v>231</v>
      </c>
      <c r="U1347" s="2" t="s">
        <v>327</v>
      </c>
      <c r="V1347" s="2" t="s">
        <v>662</v>
      </c>
      <c r="W1347" s="2" t="s">
        <v>691</v>
      </c>
      <c r="X1347" s="2" t="s">
        <v>808</v>
      </c>
      <c r="Y1347" s="2" t="s">
        <v>819</v>
      </c>
      <c r="Z1347" s="4">
        <v>97</v>
      </c>
      <c r="AA1347" s="4">
        <f>=ROUNDDOWN({0},0)</f>
      </c>
      <c r="AB1347" s="5"/>
      <c r="AC1347" s="2" t="s">
        <v>231</v>
      </c>
      <c r="AD1347" s="4"/>
      <c r="AE1347" s="4"/>
      <c r="AF1347" s="6">
        <v>63</v>
      </c>
      <c r="AG1347" s="6"/>
      <c r="AH1347" s="7">
        <v>1</v>
      </c>
      <c r="AI1347" s="4"/>
      <c r="AJ1347" s="4">
        <f>=ROUNDDOWN({0},0)</f>
      </c>
      <c r="AK1347" s="5"/>
      <c r="AL1347" s="2" t="s">
        <v>231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/>
      <c r="BK1347" s="8"/>
      <c r="BL1347" s="2" t="s">
        <v>231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6331</v>
      </c>
      <c r="BV1347" s="2" t="s">
        <v>231</v>
      </c>
      <c r="BW1347" s="2" t="s">
        <v>231</v>
      </c>
      <c r="BX1347" s="2" t="s">
        <v>231</v>
      </c>
      <c r="BY1347" s="2" t="s">
        <v>277</v>
      </c>
      <c r="BZ1347" s="2" t="s">
        <v>243</v>
      </c>
      <c r="CA1347" s="2" t="s">
        <v>821</v>
      </c>
      <c r="CB1347" s="2" t="s">
        <v>231</v>
      </c>
      <c r="CC1347" s="2" t="s">
        <v>244</v>
      </c>
      <c r="CD1347" s="2" t="s">
        <v>231</v>
      </c>
      <c r="CE1347" s="4"/>
      <c r="CF1347" s="4">
        <v>97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</row>
    <row r="1348">
      <c r="A1348" s="2" t="s">
        <v>6332</v>
      </c>
      <c r="B1348" s="2" t="s">
        <v>226</v>
      </c>
      <c r="C1348" s="2" t="s">
        <v>1211</v>
      </c>
      <c r="D1348" s="2" t="s">
        <v>228</v>
      </c>
      <c r="E1348" s="2" t="s">
        <v>229</v>
      </c>
      <c r="F1348" s="2" t="s">
        <v>6333</v>
      </c>
      <c r="G1348" s="2" t="s">
        <v>6333</v>
      </c>
      <c r="H1348" s="2" t="s">
        <v>6333</v>
      </c>
      <c r="I1348" s="2" t="s">
        <v>6334</v>
      </c>
      <c r="J1348" s="2" t="s">
        <v>302</v>
      </c>
      <c r="K1348" s="2" t="s">
        <v>1146</v>
      </c>
      <c r="L1348" s="3">
        <v>32.9</v>
      </c>
      <c r="M1348" s="3">
        <v>34.55</v>
      </c>
      <c r="N1348" s="3">
        <v>69.99</v>
      </c>
      <c r="O1348" s="2" t="s">
        <v>243</v>
      </c>
      <c r="P1348" s="2" t="s">
        <v>270</v>
      </c>
      <c r="Q1348" s="2" t="s">
        <v>237</v>
      </c>
      <c r="R1348" s="2" t="s">
        <v>231</v>
      </c>
      <c r="S1348" s="2" t="s">
        <v>6335</v>
      </c>
      <c r="T1348" s="2" t="s">
        <v>362</v>
      </c>
      <c r="U1348" s="2" t="s">
        <v>327</v>
      </c>
      <c r="V1348" s="2" t="s">
        <v>239</v>
      </c>
      <c r="W1348" s="2" t="s">
        <v>273</v>
      </c>
      <c r="X1348" s="2" t="s">
        <v>363</v>
      </c>
      <c r="Y1348" s="2" t="s">
        <v>6336</v>
      </c>
      <c r="Z1348" s="4">
        <v>279</v>
      </c>
      <c r="AA1348" s="4">
        <f>=ROUNDDOWN(55.8,0)</f>
      </c>
      <c r="AB1348" s="5">
        <v>5</v>
      </c>
      <c r="AC1348" s="2" t="s">
        <v>2510</v>
      </c>
      <c r="AD1348" s="4">
        <v>220</v>
      </c>
      <c r="AE1348" s="4">
        <v>220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231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/>
      <c r="BD1348" s="8"/>
      <c r="BE1348" s="4"/>
      <c r="BF1348" s="8"/>
      <c r="BG1348" s="7"/>
      <c r="BH1348" s="7"/>
      <c r="BI1348" s="7"/>
      <c r="BJ1348" s="4">
        <v>74</v>
      </c>
      <c r="BK1348" s="8">
        <v>2745.71</v>
      </c>
      <c r="BL1348" s="2" t="s">
        <v>6337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6338</v>
      </c>
      <c r="BV1348" s="2" t="s">
        <v>231</v>
      </c>
      <c r="BW1348" s="2" t="s">
        <v>231</v>
      </c>
      <c r="BX1348" s="2" t="s">
        <v>241</v>
      </c>
      <c r="BY1348" s="2" t="s">
        <v>277</v>
      </c>
      <c r="BZ1348" s="2" t="s">
        <v>243</v>
      </c>
      <c r="CA1348" s="2" t="s">
        <v>6339</v>
      </c>
      <c r="CB1348" s="2" t="s">
        <v>1119</v>
      </c>
      <c r="CC1348" s="2" t="s">
        <v>244</v>
      </c>
      <c r="CD1348" s="2" t="s">
        <v>231</v>
      </c>
      <c r="CE1348" s="4">
        <v>279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>
        <v>220</v>
      </c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</row>
    <row r="1349">
      <c r="A1349" s="2" t="s">
        <v>6340</v>
      </c>
      <c r="B1349" s="2" t="s">
        <v>1004</v>
      </c>
      <c r="C1349" s="2" t="s">
        <v>288</v>
      </c>
      <c r="D1349" s="2" t="s">
        <v>1689</v>
      </c>
      <c r="E1349" s="2" t="s">
        <v>2538</v>
      </c>
      <c r="F1349" s="2" t="s">
        <v>6341</v>
      </c>
      <c r="G1349" s="2" t="s">
        <v>2297</v>
      </c>
      <c r="H1349" s="2" t="s">
        <v>6342</v>
      </c>
      <c r="I1349" s="2" t="s">
        <v>6343</v>
      </c>
      <c r="J1349" s="2" t="s">
        <v>807</v>
      </c>
      <c r="K1349" s="2" t="s">
        <v>901</v>
      </c>
      <c r="L1349" s="3">
        <v>214.2</v>
      </c>
      <c r="M1349" s="3">
        <v>224.91</v>
      </c>
      <c r="N1349" s="3">
        <v>449</v>
      </c>
      <c r="O1349" s="2" t="s">
        <v>243</v>
      </c>
      <c r="P1349" s="2" t="s">
        <v>341</v>
      </c>
      <c r="Q1349" s="2" t="s">
        <v>237</v>
      </c>
      <c r="R1349" s="2" t="s">
        <v>231</v>
      </c>
      <c r="S1349" s="2" t="s">
        <v>231</v>
      </c>
      <c r="T1349" s="2" t="s">
        <v>231</v>
      </c>
      <c r="U1349" s="2" t="s">
        <v>327</v>
      </c>
      <c r="V1349" s="2" t="s">
        <v>662</v>
      </c>
      <c r="W1349" s="2" t="s">
        <v>792</v>
      </c>
      <c r="X1349" s="2" t="s">
        <v>691</v>
      </c>
      <c r="Y1349" s="2" t="s">
        <v>5855</v>
      </c>
      <c r="Z1349" s="4">
        <v>33</v>
      </c>
      <c r="AA1349" s="4">
        <f>=ROUNDDOWN(33,0)</f>
      </c>
      <c r="AB1349" s="5">
        <v>1</v>
      </c>
      <c r="AC1349" s="2" t="s">
        <v>231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231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3</v>
      </c>
      <c r="BK1349" s="8">
        <v>614.46</v>
      </c>
      <c r="BL1349" s="2" t="s">
        <v>6344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6345</v>
      </c>
      <c r="BV1349" s="2" t="s">
        <v>231</v>
      </c>
      <c r="BW1349" s="2" t="s">
        <v>231</v>
      </c>
      <c r="BX1349" s="2" t="s">
        <v>231</v>
      </c>
      <c r="BY1349" s="2" t="s">
        <v>277</v>
      </c>
      <c r="BZ1349" s="2" t="s">
        <v>243</v>
      </c>
      <c r="CA1349" s="2" t="s">
        <v>5855</v>
      </c>
      <c r="CB1349" s="2" t="s">
        <v>231</v>
      </c>
      <c r="CC1349" s="2" t="s">
        <v>244</v>
      </c>
      <c r="CD1349" s="2" t="s">
        <v>231</v>
      </c>
      <c r="CE1349" s="4"/>
      <c r="CF1349" s="4">
        <v>33</v>
      </c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</row>
    <row r="1350">
      <c r="A1350" s="2" t="s">
        <v>6346</v>
      </c>
      <c r="B1350" s="2" t="s">
        <v>1186</v>
      </c>
      <c r="C1350" s="2" t="s">
        <v>1614</v>
      </c>
      <c r="D1350" s="2" t="s">
        <v>1462</v>
      </c>
      <c r="E1350" s="2" t="s">
        <v>2563</v>
      </c>
      <c r="F1350" s="2" t="s">
        <v>6347</v>
      </c>
      <c r="G1350" s="2" t="s">
        <v>6347</v>
      </c>
      <c r="H1350" s="2" t="s">
        <v>6347</v>
      </c>
      <c r="I1350" s="2" t="s">
        <v>6348</v>
      </c>
      <c r="J1350" s="2" t="s">
        <v>669</v>
      </c>
      <c r="K1350" s="2" t="s">
        <v>234</v>
      </c>
      <c r="L1350" s="3">
        <v>85.12</v>
      </c>
      <c r="M1350" s="3">
        <v>89.38</v>
      </c>
      <c r="N1350" s="3">
        <v>249.99</v>
      </c>
      <c r="O1350" s="2" t="s">
        <v>243</v>
      </c>
      <c r="P1350" s="2" t="s">
        <v>341</v>
      </c>
      <c r="Q1350" s="2" t="s">
        <v>237</v>
      </c>
      <c r="R1350" s="2" t="s">
        <v>231</v>
      </c>
      <c r="S1350" s="2" t="s">
        <v>231</v>
      </c>
      <c r="T1350" s="2" t="s">
        <v>362</v>
      </c>
      <c r="U1350" s="2" t="s">
        <v>231</v>
      </c>
      <c r="V1350" s="2" t="s">
        <v>239</v>
      </c>
      <c r="W1350" s="2" t="s">
        <v>273</v>
      </c>
      <c r="X1350" s="2" t="s">
        <v>231</v>
      </c>
      <c r="Y1350" s="2" t="s">
        <v>1617</v>
      </c>
      <c r="Z1350" s="4">
        <v>30</v>
      </c>
      <c r="AA1350" s="4">
        <f>=ROUNDDOWN(10,0)</f>
      </c>
      <c r="AB1350" s="5">
        <v>3</v>
      </c>
      <c r="AC1350" s="2" t="s">
        <v>231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231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 t="s">
        <v>231</v>
      </c>
      <c r="BD1350" s="8" t="s">
        <v>231</v>
      </c>
      <c r="BE1350" s="4" t="s">
        <v>231</v>
      </c>
      <c r="BF1350" s="8" t="s">
        <v>231</v>
      </c>
      <c r="BG1350" s="7" t="s">
        <v>231</v>
      </c>
      <c r="BH1350" s="7" t="s">
        <v>231</v>
      </c>
      <c r="BI1350" s="7"/>
      <c r="BJ1350" s="4">
        <v>13</v>
      </c>
      <c r="BK1350" s="8">
        <v>732.87</v>
      </c>
      <c r="BL1350" s="2" t="s">
        <v>6349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6350</v>
      </c>
      <c r="BV1350" s="2" t="s">
        <v>231</v>
      </c>
      <c r="BW1350" s="2" t="s">
        <v>231</v>
      </c>
      <c r="BX1350" s="2" t="s">
        <v>231</v>
      </c>
      <c r="BY1350" s="2" t="s">
        <v>277</v>
      </c>
      <c r="BZ1350" s="2" t="s">
        <v>243</v>
      </c>
      <c r="CA1350" s="2" t="s">
        <v>6006</v>
      </c>
      <c r="CB1350" s="2" t="s">
        <v>3776</v>
      </c>
      <c r="CC1350" s="2" t="s">
        <v>244</v>
      </c>
      <c r="CD1350" s="2" t="s">
        <v>231</v>
      </c>
      <c r="CE1350" s="4">
        <v>30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</row>
    <row r="1351">
      <c r="A1351" s="2" t="s">
        <v>6351</v>
      </c>
      <c r="B1351" s="2" t="s">
        <v>1186</v>
      </c>
      <c r="C1351" s="2" t="s">
        <v>1614</v>
      </c>
      <c r="D1351" s="2" t="s">
        <v>3558</v>
      </c>
      <c r="E1351" s="2" t="s">
        <v>3559</v>
      </c>
      <c r="F1351" s="2" t="s">
        <v>6347</v>
      </c>
      <c r="G1351" s="2" t="s">
        <v>6347</v>
      </c>
      <c r="H1351" s="2" t="s">
        <v>6347</v>
      </c>
      <c r="I1351" s="2" t="s">
        <v>3561</v>
      </c>
      <c r="J1351" s="2" t="s">
        <v>2759</v>
      </c>
      <c r="K1351" s="2" t="s">
        <v>253</v>
      </c>
      <c r="L1351" s="3">
        <v>15.48</v>
      </c>
      <c r="M1351" s="3">
        <v>16.25</v>
      </c>
      <c r="N1351" s="3">
        <v>49.99</v>
      </c>
      <c r="O1351" s="2" t="s">
        <v>243</v>
      </c>
      <c r="P1351" s="2" t="s">
        <v>341</v>
      </c>
      <c r="Q1351" s="2" t="s">
        <v>237</v>
      </c>
      <c r="R1351" s="2" t="s">
        <v>231</v>
      </c>
      <c r="S1351" s="2" t="s">
        <v>231</v>
      </c>
      <c r="T1351" s="2" t="s">
        <v>362</v>
      </c>
      <c r="U1351" s="2" t="s">
        <v>231</v>
      </c>
      <c r="V1351" s="2" t="s">
        <v>239</v>
      </c>
      <c r="W1351" s="2" t="s">
        <v>273</v>
      </c>
      <c r="X1351" s="2" t="s">
        <v>231</v>
      </c>
      <c r="Y1351" s="2" t="s">
        <v>1617</v>
      </c>
      <c r="Z1351" s="4">
        <v>42</v>
      </c>
      <c r="AA1351" s="4">
        <f>=ROUNDDOWN(21,0)</f>
      </c>
      <c r="AB1351" s="5">
        <v>2</v>
      </c>
      <c r="AC1351" s="2" t="s">
        <v>231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231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 t="s">
        <v>231</v>
      </c>
      <c r="BD1351" s="8" t="s">
        <v>231</v>
      </c>
      <c r="BE1351" s="4" t="s">
        <v>231</v>
      </c>
      <c r="BF1351" s="8" t="s">
        <v>231</v>
      </c>
      <c r="BG1351" s="7" t="s">
        <v>231</v>
      </c>
      <c r="BH1351" s="7" t="s">
        <v>231</v>
      </c>
      <c r="BI1351" s="7"/>
      <c r="BJ1351" s="4">
        <v>3</v>
      </c>
      <c r="BK1351" s="8">
        <v>79.25</v>
      </c>
      <c r="BL1351" s="2" t="s">
        <v>6352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6353</v>
      </c>
      <c r="BV1351" s="2" t="s">
        <v>231</v>
      </c>
      <c r="BW1351" s="2" t="s">
        <v>231</v>
      </c>
      <c r="BX1351" s="2" t="s">
        <v>231</v>
      </c>
      <c r="BY1351" s="2" t="s">
        <v>277</v>
      </c>
      <c r="BZ1351" s="2" t="s">
        <v>243</v>
      </c>
      <c r="CA1351" s="2" t="s">
        <v>1620</v>
      </c>
      <c r="CB1351" s="2" t="s">
        <v>6354</v>
      </c>
      <c r="CC1351" s="2" t="s">
        <v>244</v>
      </c>
      <c r="CD1351" s="2" t="s">
        <v>231</v>
      </c>
      <c r="CE1351" s="4">
        <v>42</v>
      </c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</row>
    <row r="1352">
      <c r="A1352" s="2" t="s">
        <v>6355</v>
      </c>
      <c r="B1352" s="2" t="s">
        <v>1186</v>
      </c>
      <c r="C1352" s="2" t="s">
        <v>1614</v>
      </c>
      <c r="D1352" s="2" t="s">
        <v>1462</v>
      </c>
      <c r="E1352" s="2" t="s">
        <v>2563</v>
      </c>
      <c r="F1352" s="2" t="s">
        <v>6347</v>
      </c>
      <c r="G1352" s="2" t="s">
        <v>6347</v>
      </c>
      <c r="H1352" s="2" t="s">
        <v>6347</v>
      </c>
      <c r="I1352" s="2" t="s">
        <v>6356</v>
      </c>
      <c r="J1352" s="2" t="s">
        <v>658</v>
      </c>
      <c r="K1352" s="2" t="s">
        <v>6357</v>
      </c>
      <c r="L1352" s="3">
        <v>68.09</v>
      </c>
      <c r="M1352" s="3">
        <v>71.49</v>
      </c>
      <c r="N1352" s="3">
        <v>199.99</v>
      </c>
      <c r="O1352" s="2" t="s">
        <v>243</v>
      </c>
      <c r="P1352" s="2" t="s">
        <v>341</v>
      </c>
      <c r="Q1352" s="2" t="s">
        <v>237</v>
      </c>
      <c r="R1352" s="2" t="s">
        <v>231</v>
      </c>
      <c r="S1352" s="2" t="s">
        <v>231</v>
      </c>
      <c r="T1352" s="2" t="s">
        <v>362</v>
      </c>
      <c r="U1352" s="2" t="s">
        <v>231</v>
      </c>
      <c r="V1352" s="2" t="s">
        <v>239</v>
      </c>
      <c r="W1352" s="2" t="s">
        <v>273</v>
      </c>
      <c r="X1352" s="2" t="s">
        <v>231</v>
      </c>
      <c r="Y1352" s="2" t="s">
        <v>1617</v>
      </c>
      <c r="Z1352" s="4">
        <v>69</v>
      </c>
      <c r="AA1352" s="4">
        <f>=ROUNDDOWN(34.5,0)</f>
      </c>
      <c r="AB1352" s="5">
        <v>2</v>
      </c>
      <c r="AC1352" s="2" t="s">
        <v>231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231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231</v>
      </c>
      <c r="AW1352" s="8" t="s">
        <v>231</v>
      </c>
      <c r="AX1352" s="4" t="s">
        <v>231</v>
      </c>
      <c r="AY1352" s="8" t="s">
        <v>231</v>
      </c>
      <c r="AZ1352" s="7" t="s">
        <v>231</v>
      </c>
      <c r="BA1352" s="7" t="s">
        <v>231</v>
      </c>
      <c r="BB1352" s="7"/>
      <c r="BC1352" s="4" t="s">
        <v>231</v>
      </c>
      <c r="BD1352" s="8" t="s">
        <v>231</v>
      </c>
      <c r="BE1352" s="4" t="s">
        <v>231</v>
      </c>
      <c r="BF1352" s="8" t="s">
        <v>231</v>
      </c>
      <c r="BG1352" s="7" t="s">
        <v>231</v>
      </c>
      <c r="BH1352" s="7" t="s">
        <v>231</v>
      </c>
      <c r="BI1352" s="7"/>
      <c r="BJ1352" s="4">
        <v>8</v>
      </c>
      <c r="BK1352" s="8">
        <v>525.16</v>
      </c>
      <c r="BL1352" s="2" t="s">
        <v>6358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6359</v>
      </c>
      <c r="BV1352" s="2" t="s">
        <v>231</v>
      </c>
      <c r="BW1352" s="2" t="s">
        <v>231</v>
      </c>
      <c r="BX1352" s="2" t="s">
        <v>231</v>
      </c>
      <c r="BY1352" s="2" t="s">
        <v>277</v>
      </c>
      <c r="BZ1352" s="2" t="s">
        <v>243</v>
      </c>
      <c r="CA1352" s="2" t="s">
        <v>6006</v>
      </c>
      <c r="CB1352" s="2" t="s">
        <v>3083</v>
      </c>
      <c r="CC1352" s="2" t="s">
        <v>244</v>
      </c>
      <c r="CD1352" s="2" t="s">
        <v>231</v>
      </c>
      <c r="CE1352" s="4">
        <v>69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</row>
    <row r="1353">
      <c r="A1353" s="2" t="s">
        <v>6360</v>
      </c>
      <c r="B1353" s="2" t="s">
        <v>1186</v>
      </c>
      <c r="C1353" s="2" t="s">
        <v>1614</v>
      </c>
      <c r="D1353" s="2" t="s">
        <v>3558</v>
      </c>
      <c r="E1353" s="2" t="s">
        <v>3559</v>
      </c>
      <c r="F1353" s="2" t="s">
        <v>6347</v>
      </c>
      <c r="G1353" s="2" t="s">
        <v>6347</v>
      </c>
      <c r="H1353" s="2" t="s">
        <v>6347</v>
      </c>
      <c r="I1353" s="2" t="s">
        <v>3561</v>
      </c>
      <c r="J1353" s="2" t="s">
        <v>2759</v>
      </c>
      <c r="K1353" s="2" t="s">
        <v>6357</v>
      </c>
      <c r="L1353" s="3">
        <v>15.48</v>
      </c>
      <c r="M1353" s="3">
        <v>16.25</v>
      </c>
      <c r="N1353" s="3">
        <v>49.99</v>
      </c>
      <c r="O1353" s="2" t="s">
        <v>243</v>
      </c>
      <c r="P1353" s="2" t="s">
        <v>341</v>
      </c>
      <c r="Q1353" s="2" t="s">
        <v>237</v>
      </c>
      <c r="R1353" s="2" t="s">
        <v>231</v>
      </c>
      <c r="S1353" s="2" t="s">
        <v>231</v>
      </c>
      <c r="T1353" s="2" t="s">
        <v>362</v>
      </c>
      <c r="U1353" s="2" t="s">
        <v>231</v>
      </c>
      <c r="V1353" s="2" t="s">
        <v>239</v>
      </c>
      <c r="W1353" s="2" t="s">
        <v>273</v>
      </c>
      <c r="X1353" s="2" t="s">
        <v>231</v>
      </c>
      <c r="Y1353" s="2" t="s">
        <v>1617</v>
      </c>
      <c r="Z1353" s="4">
        <v>64</v>
      </c>
      <c r="AA1353" s="4">
        <f>=ROUNDDOWN(64,0)</f>
      </c>
      <c r="AB1353" s="5">
        <v>1</v>
      </c>
      <c r="AC1353" s="2" t="s">
        <v>231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231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231</v>
      </c>
      <c r="AW1353" s="8" t="s">
        <v>231</v>
      </c>
      <c r="AX1353" s="4" t="s">
        <v>231</v>
      </c>
      <c r="AY1353" s="8" t="s">
        <v>231</v>
      </c>
      <c r="AZ1353" s="7" t="s">
        <v>231</v>
      </c>
      <c r="BA1353" s="7" t="s">
        <v>231</v>
      </c>
      <c r="BB1353" s="7"/>
      <c r="BC1353" s="4" t="s">
        <v>231</v>
      </c>
      <c r="BD1353" s="8" t="s">
        <v>231</v>
      </c>
      <c r="BE1353" s="4" t="s">
        <v>231</v>
      </c>
      <c r="BF1353" s="8" t="s">
        <v>231</v>
      </c>
      <c r="BG1353" s="7" t="s">
        <v>231</v>
      </c>
      <c r="BH1353" s="7" t="s">
        <v>231</v>
      </c>
      <c r="BI1353" s="7"/>
      <c r="BJ1353" s="4">
        <v>3</v>
      </c>
      <c r="BK1353" s="8">
        <v>58.31</v>
      </c>
      <c r="BL1353" s="2" t="s">
        <v>3685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6361</v>
      </c>
      <c r="BV1353" s="2" t="s">
        <v>231</v>
      </c>
      <c r="BW1353" s="2" t="s">
        <v>231</v>
      </c>
      <c r="BX1353" s="2" t="s">
        <v>231</v>
      </c>
      <c r="BY1353" s="2" t="s">
        <v>277</v>
      </c>
      <c r="BZ1353" s="2" t="s">
        <v>243</v>
      </c>
      <c r="CA1353" s="2" t="s">
        <v>1620</v>
      </c>
      <c r="CB1353" s="2" t="s">
        <v>231</v>
      </c>
      <c r="CC1353" s="2" t="s">
        <v>244</v>
      </c>
      <c r="CD1353" s="2" t="s">
        <v>231</v>
      </c>
      <c r="CE1353" s="4">
        <v>64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</row>
    <row r="1354">
      <c r="A1354" s="2" t="s">
        <v>6362</v>
      </c>
      <c r="B1354" s="2" t="s">
        <v>992</v>
      </c>
      <c r="C1354" s="2" t="s">
        <v>288</v>
      </c>
      <c r="D1354" s="2" t="s">
        <v>993</v>
      </c>
      <c r="E1354" s="2" t="s">
        <v>2042</v>
      </c>
      <c r="F1354" s="2" t="s">
        <v>6363</v>
      </c>
      <c r="G1354" s="2" t="s">
        <v>6364</v>
      </c>
      <c r="H1354" s="2" t="s">
        <v>3392</v>
      </c>
      <c r="I1354" s="2" t="s">
        <v>6365</v>
      </c>
      <c r="J1354" s="2" t="s">
        <v>996</v>
      </c>
      <c r="K1354" s="2" t="s">
        <v>319</v>
      </c>
      <c r="L1354" s="3">
        <v>16.45</v>
      </c>
      <c r="M1354" s="3">
        <v>17.27</v>
      </c>
      <c r="N1354" s="3">
        <v>34.99</v>
      </c>
      <c r="O1354" s="2" t="s">
        <v>243</v>
      </c>
      <c r="P1354" s="2" t="s">
        <v>341</v>
      </c>
      <c r="Q1354" s="2" t="s">
        <v>237</v>
      </c>
      <c r="R1354" s="2" t="s">
        <v>231</v>
      </c>
      <c r="S1354" s="2" t="s">
        <v>6366</v>
      </c>
      <c r="T1354" s="2" t="s">
        <v>231</v>
      </c>
      <c r="U1354" s="2" t="s">
        <v>231</v>
      </c>
      <c r="V1354" s="2" t="s">
        <v>987</v>
      </c>
      <c r="W1354" s="2" t="s">
        <v>691</v>
      </c>
      <c r="X1354" s="2" t="s">
        <v>2042</v>
      </c>
      <c r="Y1354" s="2" t="s">
        <v>274</v>
      </c>
      <c r="Z1354" s="4">
        <v>260</v>
      </c>
      <c r="AA1354" s="4">
        <f>=ROUNDDOWN(17.687074829932,0)</f>
      </c>
      <c r="AB1354" s="5">
        <v>14.7</v>
      </c>
      <c r="AC1354" s="2" t="s">
        <v>701</v>
      </c>
      <c r="AD1354" s="4">
        <v>112</v>
      </c>
      <c r="AE1354" s="4">
        <v>112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231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231</v>
      </c>
      <c r="BD1354" s="8" t="s">
        <v>231</v>
      </c>
      <c r="BE1354" s="4" t="s">
        <v>231</v>
      </c>
      <c r="BF1354" s="8" t="s">
        <v>231</v>
      </c>
      <c r="BG1354" s="7" t="s">
        <v>231</v>
      </c>
      <c r="BH1354" s="7" t="s">
        <v>231</v>
      </c>
      <c r="BI1354" s="7"/>
      <c r="BJ1354" s="4">
        <v>76</v>
      </c>
      <c r="BK1354" s="8">
        <v>1149.54</v>
      </c>
      <c r="BL1354" s="2" t="s">
        <v>6367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6368</v>
      </c>
      <c r="BV1354" s="2" t="s">
        <v>231</v>
      </c>
      <c r="BW1354" s="2" t="s">
        <v>231</v>
      </c>
      <c r="BX1354" s="2" t="s">
        <v>241</v>
      </c>
      <c r="BY1354" s="2" t="s">
        <v>277</v>
      </c>
      <c r="BZ1354" s="2" t="s">
        <v>243</v>
      </c>
      <c r="CA1354" s="2" t="s">
        <v>284</v>
      </c>
      <c r="CB1354" s="2" t="s">
        <v>6369</v>
      </c>
      <c r="CC1354" s="2" t="s">
        <v>244</v>
      </c>
      <c r="CD1354" s="2" t="s">
        <v>231</v>
      </c>
      <c r="CE1354" s="4">
        <v>260</v>
      </c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>
        <v>112</v>
      </c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</row>
    <row r="1355">
      <c r="A1355" s="2" t="s">
        <v>6370</v>
      </c>
      <c r="B1355" s="2" t="s">
        <v>1186</v>
      </c>
      <c r="C1355" s="2" t="s">
        <v>288</v>
      </c>
      <c r="D1355" s="2" t="s">
        <v>826</v>
      </c>
      <c r="E1355" s="2" t="s">
        <v>1060</v>
      </c>
      <c r="F1355" s="2" t="s">
        <v>6363</v>
      </c>
      <c r="G1355" s="2" t="s">
        <v>3493</v>
      </c>
      <c r="H1355" s="2" t="s">
        <v>6371</v>
      </c>
      <c r="I1355" s="2" t="s">
        <v>6372</v>
      </c>
      <c r="J1355" s="2" t="s">
        <v>658</v>
      </c>
      <c r="K1355" s="2" t="s">
        <v>6373</v>
      </c>
      <c r="L1355" s="3">
        <v>33.33</v>
      </c>
      <c r="M1355" s="3">
        <v>35</v>
      </c>
      <c r="N1355" s="3">
        <v>69.99</v>
      </c>
      <c r="O1355" s="2" t="s">
        <v>243</v>
      </c>
      <c r="P1355" s="2" t="s">
        <v>236</v>
      </c>
      <c r="Q1355" s="2" t="s">
        <v>237</v>
      </c>
      <c r="R1355" s="2" t="s">
        <v>231</v>
      </c>
      <c r="S1355" s="2" t="s">
        <v>6374</v>
      </c>
      <c r="T1355" s="2" t="s">
        <v>231</v>
      </c>
      <c r="U1355" s="2" t="s">
        <v>835</v>
      </c>
      <c r="V1355" s="2" t="s">
        <v>1192</v>
      </c>
      <c r="W1355" s="2" t="s">
        <v>971</v>
      </c>
      <c r="X1355" s="2" t="s">
        <v>896</v>
      </c>
      <c r="Y1355" s="2" t="s">
        <v>2821</v>
      </c>
      <c r="Z1355" s="4">
        <v>19</v>
      </c>
      <c r="AA1355" s="4">
        <f>=ROUNDDOWN(9.5,0)</f>
      </c>
      <c r="AB1355" s="5">
        <v>2</v>
      </c>
      <c r="AC1355" s="2" t="s">
        <v>231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231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231</v>
      </c>
      <c r="AW1355" s="8" t="s">
        <v>231</v>
      </c>
      <c r="AX1355" s="4" t="s">
        <v>231</v>
      </c>
      <c r="AY1355" s="8" t="s">
        <v>231</v>
      </c>
      <c r="AZ1355" s="7" t="s">
        <v>231</v>
      </c>
      <c r="BA1355" s="7" t="s">
        <v>231</v>
      </c>
      <c r="BB1355" s="7"/>
      <c r="BC1355" s="4" t="s">
        <v>231</v>
      </c>
      <c r="BD1355" s="8" t="s">
        <v>231</v>
      </c>
      <c r="BE1355" s="4" t="s">
        <v>231</v>
      </c>
      <c r="BF1355" s="8" t="s">
        <v>231</v>
      </c>
      <c r="BG1355" s="7" t="s">
        <v>231</v>
      </c>
      <c r="BH1355" s="7" t="s">
        <v>231</v>
      </c>
      <c r="BI1355" s="7"/>
      <c r="BJ1355" s="4">
        <v>8</v>
      </c>
      <c r="BK1355" s="8">
        <v>284.12</v>
      </c>
      <c r="BL1355" s="2" t="s">
        <v>843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6375</v>
      </c>
      <c r="BV1355" s="2" t="s">
        <v>231</v>
      </c>
      <c r="BW1355" s="2" t="s">
        <v>231</v>
      </c>
      <c r="BX1355" s="2" t="s">
        <v>241</v>
      </c>
      <c r="BY1355" s="2" t="s">
        <v>277</v>
      </c>
      <c r="BZ1355" s="2" t="s">
        <v>243</v>
      </c>
      <c r="CA1355" s="2" t="s">
        <v>1598</v>
      </c>
      <c r="CB1355" s="2" t="s">
        <v>822</v>
      </c>
      <c r="CC1355" s="2" t="s">
        <v>244</v>
      </c>
      <c r="CD1355" s="2" t="s">
        <v>231</v>
      </c>
      <c r="CE1355" s="4">
        <v>19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</row>
    <row r="1356">
      <c r="A1356" s="2" t="s">
        <v>6376</v>
      </c>
      <c r="B1356" s="2" t="s">
        <v>1186</v>
      </c>
      <c r="C1356" s="2" t="s">
        <v>288</v>
      </c>
      <c r="D1356" s="2" t="s">
        <v>654</v>
      </c>
      <c r="E1356" s="2" t="s">
        <v>655</v>
      </c>
      <c r="F1356" s="2" t="s">
        <v>6363</v>
      </c>
      <c r="G1356" s="2" t="s">
        <v>3493</v>
      </c>
      <c r="H1356" s="2" t="s">
        <v>6371</v>
      </c>
      <c r="I1356" s="2" t="s">
        <v>6377</v>
      </c>
      <c r="J1356" s="2" t="s">
        <v>669</v>
      </c>
      <c r="K1356" s="2" t="s">
        <v>6373</v>
      </c>
      <c r="L1356" s="3">
        <v>52.38</v>
      </c>
      <c r="M1356" s="3">
        <v>55</v>
      </c>
      <c r="N1356" s="3">
        <v>109.99</v>
      </c>
      <c r="O1356" s="2" t="s">
        <v>243</v>
      </c>
      <c r="P1356" s="2" t="s">
        <v>236</v>
      </c>
      <c r="Q1356" s="2" t="s">
        <v>237</v>
      </c>
      <c r="R1356" s="2" t="s">
        <v>231</v>
      </c>
      <c r="S1356" s="2" t="s">
        <v>6374</v>
      </c>
      <c r="T1356" s="2" t="s">
        <v>231</v>
      </c>
      <c r="U1356" s="2" t="s">
        <v>298</v>
      </c>
      <c r="V1356" s="2" t="s">
        <v>1192</v>
      </c>
      <c r="W1356" s="2" t="s">
        <v>971</v>
      </c>
      <c r="X1356" s="2" t="s">
        <v>896</v>
      </c>
      <c r="Y1356" s="2" t="s">
        <v>5255</v>
      </c>
      <c r="Z1356" s="4">
        <v>148</v>
      </c>
      <c r="AA1356" s="4">
        <f>=ROUNDDOWN(21.1428571428571,0)</f>
      </c>
      <c r="AB1356" s="5">
        <v>7</v>
      </c>
      <c r="AC1356" s="2" t="s">
        <v>231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231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231</v>
      </c>
      <c r="AW1356" s="8" t="s">
        <v>231</v>
      </c>
      <c r="AX1356" s="4" t="s">
        <v>231</v>
      </c>
      <c r="AY1356" s="8" t="s">
        <v>231</v>
      </c>
      <c r="AZ1356" s="7" t="s">
        <v>231</v>
      </c>
      <c r="BA1356" s="7" t="s">
        <v>231</v>
      </c>
      <c r="BB1356" s="7" t="s">
        <v>231</v>
      </c>
      <c r="BC1356" s="4" t="s">
        <v>231</v>
      </c>
      <c r="BD1356" s="8" t="s">
        <v>231</v>
      </c>
      <c r="BE1356" s="4" t="s">
        <v>231</v>
      </c>
      <c r="BF1356" s="8" t="s">
        <v>231</v>
      </c>
      <c r="BG1356" s="7" t="s">
        <v>231</v>
      </c>
      <c r="BH1356" s="7" t="s">
        <v>231</v>
      </c>
      <c r="BI1356" s="7"/>
      <c r="BJ1356" s="4">
        <v>8</v>
      </c>
      <c r="BK1356" s="8">
        <v>388.22</v>
      </c>
      <c r="BL1356" s="2" t="s">
        <v>6378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6379</v>
      </c>
      <c r="BV1356" s="2" t="s">
        <v>231</v>
      </c>
      <c r="BW1356" s="2" t="s">
        <v>231</v>
      </c>
      <c r="BX1356" s="2" t="s">
        <v>241</v>
      </c>
      <c r="BY1356" s="2" t="s">
        <v>277</v>
      </c>
      <c r="BZ1356" s="2" t="s">
        <v>243</v>
      </c>
      <c r="CA1356" s="2" t="s">
        <v>4543</v>
      </c>
      <c r="CB1356" s="2" t="s">
        <v>2683</v>
      </c>
      <c r="CC1356" s="2" t="s">
        <v>244</v>
      </c>
      <c r="CD1356" s="2" t="s">
        <v>231</v>
      </c>
      <c r="CE1356" s="4">
        <v>148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</row>
    <row r="1357">
      <c r="A1357" s="2" t="s">
        <v>6380</v>
      </c>
      <c r="B1357" s="2" t="s">
        <v>1186</v>
      </c>
      <c r="C1357" s="2" t="s">
        <v>288</v>
      </c>
      <c r="D1357" s="2" t="s">
        <v>826</v>
      </c>
      <c r="E1357" s="2" t="s">
        <v>1060</v>
      </c>
      <c r="F1357" s="2" t="s">
        <v>6363</v>
      </c>
      <c r="G1357" s="2" t="s">
        <v>3493</v>
      </c>
      <c r="H1357" s="2" t="s">
        <v>6371</v>
      </c>
      <c r="I1357" s="2" t="s">
        <v>6372</v>
      </c>
      <c r="J1357" s="2" t="s">
        <v>669</v>
      </c>
      <c r="K1357" s="2" t="s">
        <v>6373</v>
      </c>
      <c r="L1357" s="3">
        <v>38.09</v>
      </c>
      <c r="M1357" s="3">
        <v>39.99</v>
      </c>
      <c r="N1357" s="3">
        <v>79.99</v>
      </c>
      <c r="O1357" s="2" t="s">
        <v>243</v>
      </c>
      <c r="P1357" s="2" t="s">
        <v>236</v>
      </c>
      <c r="Q1357" s="2" t="s">
        <v>237</v>
      </c>
      <c r="R1357" s="2" t="s">
        <v>231</v>
      </c>
      <c r="S1357" s="2" t="s">
        <v>6374</v>
      </c>
      <c r="T1357" s="2" t="s">
        <v>231</v>
      </c>
      <c r="U1357" s="2" t="s">
        <v>835</v>
      </c>
      <c r="V1357" s="2" t="s">
        <v>1192</v>
      </c>
      <c r="W1357" s="2" t="s">
        <v>971</v>
      </c>
      <c r="X1357" s="2" t="s">
        <v>896</v>
      </c>
      <c r="Y1357" s="2" t="s">
        <v>2821</v>
      </c>
      <c r="Z1357" s="4">
        <v>41</v>
      </c>
      <c r="AA1357" s="4">
        <f>=ROUNDDOWN(20.5,0)</f>
      </c>
      <c r="AB1357" s="5">
        <v>2</v>
      </c>
      <c r="AC1357" s="2" t="s">
        <v>231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231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231</v>
      </c>
      <c r="AW1357" s="8" t="s">
        <v>231</v>
      </c>
      <c r="AX1357" s="4" t="s">
        <v>231</v>
      </c>
      <c r="AY1357" s="8" t="s">
        <v>231</v>
      </c>
      <c r="AZ1357" s="7" t="s">
        <v>231</v>
      </c>
      <c r="BA1357" s="7" t="s">
        <v>231</v>
      </c>
      <c r="BB1357" s="7" t="s">
        <v>231</v>
      </c>
      <c r="BC1357" s="4" t="s">
        <v>231</v>
      </c>
      <c r="BD1357" s="8" t="s">
        <v>231</v>
      </c>
      <c r="BE1357" s="4" t="s">
        <v>231</v>
      </c>
      <c r="BF1357" s="8" t="s">
        <v>231</v>
      </c>
      <c r="BG1357" s="7" t="s">
        <v>231</v>
      </c>
      <c r="BH1357" s="7" t="s">
        <v>231</v>
      </c>
      <c r="BI1357" s="7"/>
      <c r="BJ1357" s="4">
        <v>4</v>
      </c>
      <c r="BK1357" s="8">
        <v>171.56</v>
      </c>
      <c r="BL1357" s="2" t="s">
        <v>3758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6381</v>
      </c>
      <c r="BV1357" s="2" t="s">
        <v>231</v>
      </c>
      <c r="BW1357" s="2" t="s">
        <v>231</v>
      </c>
      <c r="BX1357" s="2" t="s">
        <v>241</v>
      </c>
      <c r="BY1357" s="2" t="s">
        <v>277</v>
      </c>
      <c r="BZ1357" s="2" t="s">
        <v>243</v>
      </c>
      <c r="CA1357" s="2" t="s">
        <v>1598</v>
      </c>
      <c r="CB1357" s="2" t="s">
        <v>2994</v>
      </c>
      <c r="CC1357" s="2" t="s">
        <v>244</v>
      </c>
      <c r="CD1357" s="2" t="s">
        <v>231</v>
      </c>
      <c r="CE1357" s="4">
        <v>41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</row>
    <row r="1358">
      <c r="A1358" s="2" t="s">
        <v>6382</v>
      </c>
      <c r="B1358" s="2" t="s">
        <v>1232</v>
      </c>
      <c r="C1358" s="2" t="s">
        <v>1233</v>
      </c>
      <c r="D1358" s="2" t="s">
        <v>1234</v>
      </c>
      <c r="E1358" s="2" t="s">
        <v>1235</v>
      </c>
      <c r="F1358" s="2" t="s">
        <v>6383</v>
      </c>
      <c r="G1358" s="2" t="s">
        <v>6383</v>
      </c>
      <c r="H1358" s="2" t="s">
        <v>6383</v>
      </c>
      <c r="I1358" s="2" t="s">
        <v>6384</v>
      </c>
      <c r="J1358" s="2" t="s">
        <v>807</v>
      </c>
      <c r="K1358" s="2" t="s">
        <v>6385</v>
      </c>
      <c r="L1358" s="3">
        <v>20.81</v>
      </c>
      <c r="M1358" s="3">
        <v>21.85</v>
      </c>
      <c r="N1358" s="3">
        <v>29.99</v>
      </c>
      <c r="O1358" s="2" t="s">
        <v>243</v>
      </c>
      <c r="P1358" s="2" t="s">
        <v>236</v>
      </c>
      <c r="Q1358" s="2" t="s">
        <v>237</v>
      </c>
      <c r="R1358" s="2" t="s">
        <v>231</v>
      </c>
      <c r="S1358" s="2" t="s">
        <v>231</v>
      </c>
      <c r="T1358" s="2" t="s">
        <v>231</v>
      </c>
      <c r="U1358" s="2" t="s">
        <v>327</v>
      </c>
      <c r="V1358" s="2" t="s">
        <v>662</v>
      </c>
      <c r="W1358" s="2" t="s">
        <v>273</v>
      </c>
      <c r="X1358" s="2" t="s">
        <v>231</v>
      </c>
      <c r="Y1358" s="2" t="s">
        <v>6386</v>
      </c>
      <c r="Z1358" s="4">
        <v>593</v>
      </c>
      <c r="AA1358" s="4">
        <f>=ROUNDDOWN(296.5,0)</f>
      </c>
      <c r="AB1358" s="5">
        <v>2</v>
      </c>
      <c r="AC1358" s="2" t="s">
        <v>231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231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/>
      <c r="BD1358" s="8"/>
      <c r="BE1358" s="4"/>
      <c r="BF1358" s="8"/>
      <c r="BG1358" s="7"/>
      <c r="BH1358" s="7"/>
      <c r="BI1358" s="7"/>
      <c r="BJ1358" s="4"/>
      <c r="BK1358" s="8"/>
      <c r="BL1358" s="2" t="s">
        <v>1306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6387</v>
      </c>
      <c r="BV1358" s="2" t="s">
        <v>231</v>
      </c>
      <c r="BW1358" s="2" t="s">
        <v>231</v>
      </c>
      <c r="BX1358" s="2" t="s">
        <v>241</v>
      </c>
      <c r="BY1358" s="2" t="s">
        <v>277</v>
      </c>
      <c r="BZ1358" s="2" t="s">
        <v>243</v>
      </c>
      <c r="CA1358" s="2" t="s">
        <v>3934</v>
      </c>
      <c r="CB1358" s="2" t="s">
        <v>231</v>
      </c>
      <c r="CC1358" s="2" t="s">
        <v>244</v>
      </c>
      <c r="CD1358" s="2" t="s">
        <v>231</v>
      </c>
      <c r="CE1358" s="4"/>
      <c r="CF1358" s="4">
        <v>294</v>
      </c>
      <c r="CG1358" s="4"/>
      <c r="CH1358" s="4"/>
      <c r="CI1358" s="4">
        <v>299</v>
      </c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</row>
    <row r="1359">
      <c r="A1359" s="2" t="s">
        <v>6388</v>
      </c>
      <c r="B1359" s="2" t="s">
        <v>226</v>
      </c>
      <c r="C1359" s="2" t="s">
        <v>288</v>
      </c>
      <c r="D1359" s="2" t="s">
        <v>654</v>
      </c>
      <c r="E1359" s="2" t="s">
        <v>890</v>
      </c>
      <c r="F1359" s="2" t="s">
        <v>6389</v>
      </c>
      <c r="G1359" s="2" t="s">
        <v>6390</v>
      </c>
      <c r="H1359" s="2" t="s">
        <v>6390</v>
      </c>
      <c r="I1359" s="2" t="s">
        <v>6391</v>
      </c>
      <c r="J1359" s="2" t="s">
        <v>832</v>
      </c>
      <c r="K1359" s="2" t="s">
        <v>253</v>
      </c>
      <c r="L1359" s="3">
        <v>32.2</v>
      </c>
      <c r="M1359" s="3">
        <v>33.81</v>
      </c>
      <c r="N1359" s="3">
        <v>69.99</v>
      </c>
      <c r="O1359" s="2" t="s">
        <v>243</v>
      </c>
      <c r="P1359" s="2" t="s">
        <v>1281</v>
      </c>
      <c r="Q1359" s="2" t="s">
        <v>237</v>
      </c>
      <c r="R1359" s="2" t="s">
        <v>231</v>
      </c>
      <c r="S1359" s="2" t="s">
        <v>6392</v>
      </c>
      <c r="T1359" s="2" t="s">
        <v>895</v>
      </c>
      <c r="U1359" s="2" t="s">
        <v>791</v>
      </c>
      <c r="V1359" s="2" t="s">
        <v>239</v>
      </c>
      <c r="W1359" s="2" t="s">
        <v>299</v>
      </c>
      <c r="X1359" s="2" t="s">
        <v>792</v>
      </c>
      <c r="Y1359" s="2" t="s">
        <v>6393</v>
      </c>
      <c r="Z1359" s="4">
        <v>221</v>
      </c>
      <c r="AA1359" s="4">
        <f>=ROUNDDOWN(22.1,0)</f>
      </c>
      <c r="AB1359" s="5">
        <v>10</v>
      </c>
      <c r="AC1359" s="2" t="s">
        <v>5150</v>
      </c>
      <c r="AD1359" s="4">
        <v>140</v>
      </c>
      <c r="AE1359" s="4">
        <v>400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231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>
        <v>21</v>
      </c>
      <c r="BK1359" s="8">
        <v>699.74</v>
      </c>
      <c r="BL1359" s="2" t="s">
        <v>1287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6394</v>
      </c>
      <c r="BV1359" s="2" t="s">
        <v>231</v>
      </c>
      <c r="BW1359" s="2" t="s">
        <v>231</v>
      </c>
      <c r="BX1359" s="2" t="s">
        <v>231</v>
      </c>
      <c r="BY1359" s="2" t="s">
        <v>277</v>
      </c>
      <c r="BZ1359" s="2" t="s">
        <v>243</v>
      </c>
      <c r="CA1359" s="2" t="s">
        <v>6393</v>
      </c>
      <c r="CB1359" s="2" t="s">
        <v>6395</v>
      </c>
      <c r="CC1359" s="2" t="s">
        <v>244</v>
      </c>
      <c r="CD1359" s="2" t="s">
        <v>231</v>
      </c>
      <c r="CE1359" s="4">
        <v>220</v>
      </c>
      <c r="CF1359" s="4"/>
      <c r="CG1359" s="4"/>
      <c r="CH1359" s="4"/>
      <c r="CI1359" s="4"/>
      <c r="CJ1359" s="4"/>
      <c r="CK1359" s="4"/>
      <c r="CL1359" s="4">
        <v>1</v>
      </c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>
        <v>140</v>
      </c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>
        <v>50</v>
      </c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>
        <v>80</v>
      </c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>
        <v>130</v>
      </c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</row>
    <row r="1360">
      <c r="A1360" s="2" t="s">
        <v>6396</v>
      </c>
      <c r="B1360" s="2" t="s">
        <v>847</v>
      </c>
      <c r="C1360" s="2" t="s">
        <v>1051</v>
      </c>
      <c r="D1360" s="2" t="s">
        <v>882</v>
      </c>
      <c r="E1360" s="2" t="s">
        <v>849</v>
      </c>
      <c r="F1360" s="2" t="s">
        <v>6397</v>
      </c>
      <c r="G1360" s="2" t="s">
        <v>6397</v>
      </c>
      <c r="H1360" s="2" t="s">
        <v>6397</v>
      </c>
      <c r="I1360" s="2" t="s">
        <v>6398</v>
      </c>
      <c r="J1360" s="2" t="s">
        <v>807</v>
      </c>
      <c r="K1360" s="2" t="s">
        <v>1169</v>
      </c>
      <c r="L1360" s="3">
        <v>44.05</v>
      </c>
      <c r="M1360" s="3">
        <v>46.25</v>
      </c>
      <c r="N1360" s="3">
        <v>84.99</v>
      </c>
      <c r="O1360" s="2" t="s">
        <v>243</v>
      </c>
      <c r="P1360" s="2" t="s">
        <v>270</v>
      </c>
      <c r="Q1360" s="2" t="s">
        <v>237</v>
      </c>
      <c r="R1360" s="2" t="s">
        <v>231</v>
      </c>
      <c r="S1360" s="2" t="s">
        <v>6399</v>
      </c>
      <c r="T1360" s="2" t="s">
        <v>231</v>
      </c>
      <c r="U1360" s="2" t="s">
        <v>791</v>
      </c>
      <c r="V1360" s="2" t="s">
        <v>3223</v>
      </c>
      <c r="W1360" s="2" t="s">
        <v>2541</v>
      </c>
      <c r="X1360" s="2" t="s">
        <v>231</v>
      </c>
      <c r="Y1360" s="2" t="s">
        <v>274</v>
      </c>
      <c r="Z1360" s="4">
        <v>86</v>
      </c>
      <c r="AA1360" s="4">
        <f>=ROUNDDOWN(35.8333333333333,0)</f>
      </c>
      <c r="AB1360" s="5">
        <v>2.4</v>
      </c>
      <c r="AC1360" s="2" t="s">
        <v>231</v>
      </c>
      <c r="AD1360" s="4"/>
      <c r="AE1360" s="4"/>
      <c r="AF1360" s="6">
        <v>63</v>
      </c>
      <c r="AG1360" s="6"/>
      <c r="AH1360" s="7">
        <v>1</v>
      </c>
      <c r="AI1360" s="4"/>
      <c r="AJ1360" s="4">
        <f>=ROUNDDOWN({0},0)</f>
      </c>
      <c r="AK1360" s="5"/>
      <c r="AL1360" s="2" t="s">
        <v>231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>
        <v>6</v>
      </c>
      <c r="BK1360" s="8">
        <v>343.91</v>
      </c>
      <c r="BL1360" s="2" t="s">
        <v>6400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6401</v>
      </c>
      <c r="BV1360" s="2" t="s">
        <v>231</v>
      </c>
      <c r="BW1360" s="2" t="s">
        <v>231</v>
      </c>
      <c r="BX1360" s="2" t="s">
        <v>231</v>
      </c>
      <c r="BY1360" s="2" t="s">
        <v>277</v>
      </c>
      <c r="BZ1360" s="2" t="s">
        <v>243</v>
      </c>
      <c r="CA1360" s="2" t="s">
        <v>6402</v>
      </c>
      <c r="CB1360" s="2" t="s">
        <v>4231</v>
      </c>
      <c r="CC1360" s="2" t="s">
        <v>244</v>
      </c>
      <c r="CD1360" s="2" t="s">
        <v>231</v>
      </c>
      <c r="CE1360" s="4"/>
      <c r="CF1360" s="4">
        <v>86</v>
      </c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</row>
    <row r="1361">
      <c r="A1361" s="2" t="s">
        <v>6403</v>
      </c>
      <c r="B1361" s="2" t="s">
        <v>847</v>
      </c>
      <c r="C1361" s="2" t="s">
        <v>867</v>
      </c>
      <c r="D1361" s="2" t="s">
        <v>848</v>
      </c>
      <c r="E1361" s="2" t="s">
        <v>849</v>
      </c>
      <c r="F1361" s="2" t="s">
        <v>6404</v>
      </c>
      <c r="G1361" s="2" t="s">
        <v>6404</v>
      </c>
      <c r="H1361" s="2" t="s">
        <v>6404</v>
      </c>
      <c r="I1361" s="2" t="s">
        <v>6405</v>
      </c>
      <c r="J1361" s="2" t="s">
        <v>807</v>
      </c>
      <c r="K1361" s="2" t="s">
        <v>818</v>
      </c>
      <c r="L1361" s="3">
        <v>41.9</v>
      </c>
      <c r="M1361" s="3">
        <v>44</v>
      </c>
      <c r="N1361" s="3">
        <v>87.99</v>
      </c>
      <c r="O1361" s="2" t="s">
        <v>243</v>
      </c>
      <c r="P1361" s="2" t="s">
        <v>236</v>
      </c>
      <c r="Q1361" s="2" t="s">
        <v>237</v>
      </c>
      <c r="R1361" s="2" t="s">
        <v>231</v>
      </c>
      <c r="S1361" s="2" t="s">
        <v>231</v>
      </c>
      <c r="T1361" s="2" t="s">
        <v>231</v>
      </c>
      <c r="U1361" s="2" t="s">
        <v>835</v>
      </c>
      <c r="V1361" s="2" t="s">
        <v>2048</v>
      </c>
      <c r="W1361" s="2" t="s">
        <v>5476</v>
      </c>
      <c r="X1361" s="2" t="s">
        <v>676</v>
      </c>
      <c r="Y1361" s="2" t="s">
        <v>6406</v>
      </c>
      <c r="Z1361" s="4">
        <v>38</v>
      </c>
      <c r="AA1361" s="4">
        <f>=ROUNDDOWN(9.5,0)</f>
      </c>
      <c r="AB1361" s="5">
        <v>4</v>
      </c>
      <c r="AC1361" s="2" t="s">
        <v>3874</v>
      </c>
      <c r="AD1361" s="4">
        <v>80</v>
      </c>
      <c r="AE1361" s="4">
        <v>80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231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/>
      <c r="BD1361" s="8"/>
      <c r="BE1361" s="4"/>
      <c r="BF1361" s="8"/>
      <c r="BG1361" s="7"/>
      <c r="BH1361" s="7"/>
      <c r="BI1361" s="7"/>
      <c r="BJ1361" s="4">
        <v>24</v>
      </c>
      <c r="BK1361" s="8">
        <v>1134.96</v>
      </c>
      <c r="BL1361" s="2" t="s">
        <v>6407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6408</v>
      </c>
      <c r="BV1361" s="2" t="s">
        <v>231</v>
      </c>
      <c r="BW1361" s="2" t="s">
        <v>231</v>
      </c>
      <c r="BX1361" s="2" t="s">
        <v>241</v>
      </c>
      <c r="BY1361" s="2" t="s">
        <v>277</v>
      </c>
      <c r="BZ1361" s="2" t="s">
        <v>243</v>
      </c>
      <c r="CA1361" s="2" t="s">
        <v>6409</v>
      </c>
      <c r="CB1361" s="2" t="s">
        <v>231</v>
      </c>
      <c r="CC1361" s="2" t="s">
        <v>244</v>
      </c>
      <c r="CD1361" s="2" t="s">
        <v>231</v>
      </c>
      <c r="CE1361" s="4"/>
      <c r="CF1361" s="4">
        <v>38</v>
      </c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>
        <v>80</v>
      </c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</row>
    <row r="1362">
      <c r="A1362" s="2" t="s">
        <v>6410</v>
      </c>
      <c r="B1362" s="2" t="s">
        <v>847</v>
      </c>
      <c r="C1362" s="2" t="s">
        <v>867</v>
      </c>
      <c r="D1362" s="2" t="s">
        <v>848</v>
      </c>
      <c r="E1362" s="2" t="s">
        <v>2623</v>
      </c>
      <c r="F1362" s="2" t="s">
        <v>6411</v>
      </c>
      <c r="G1362" s="2" t="s">
        <v>6411</v>
      </c>
      <c r="H1362" s="2" t="s">
        <v>6411</v>
      </c>
      <c r="I1362" s="2" t="s">
        <v>6412</v>
      </c>
      <c r="J1362" s="2" t="s">
        <v>807</v>
      </c>
      <c r="K1362" s="2" t="s">
        <v>818</v>
      </c>
      <c r="L1362" s="3">
        <v>25.71</v>
      </c>
      <c r="M1362" s="3">
        <v>27</v>
      </c>
      <c r="N1362" s="3">
        <v>59.99</v>
      </c>
      <c r="O1362" s="2" t="s">
        <v>243</v>
      </c>
      <c r="P1362" s="2" t="s">
        <v>236</v>
      </c>
      <c r="Q1362" s="2" t="s">
        <v>237</v>
      </c>
      <c r="R1362" s="2" t="s">
        <v>231</v>
      </c>
      <c r="S1362" s="2" t="s">
        <v>231</v>
      </c>
      <c r="T1362" s="2" t="s">
        <v>231</v>
      </c>
      <c r="U1362" s="2" t="s">
        <v>835</v>
      </c>
      <c r="V1362" s="2" t="s">
        <v>2048</v>
      </c>
      <c r="W1362" s="2" t="s">
        <v>5476</v>
      </c>
      <c r="X1362" s="2" t="s">
        <v>676</v>
      </c>
      <c r="Y1362" s="2" t="s">
        <v>6406</v>
      </c>
      <c r="Z1362" s="4">
        <v>81</v>
      </c>
      <c r="AA1362" s="4">
        <f>=ROUNDDOWN(40.5,0)</f>
      </c>
      <c r="AB1362" s="5">
        <v>2</v>
      </c>
      <c r="AC1362" s="2" t="s">
        <v>231</v>
      </c>
      <c r="AD1362" s="4"/>
      <c r="AE1362" s="4"/>
      <c r="AF1362" s="6">
        <v>63</v>
      </c>
      <c r="AG1362" s="6"/>
      <c r="AH1362" s="7">
        <v>1</v>
      </c>
      <c r="AI1362" s="4"/>
      <c r="AJ1362" s="4">
        <f>=ROUNDDOWN({0},0)</f>
      </c>
      <c r="AK1362" s="5"/>
      <c r="AL1362" s="2" t="s">
        <v>231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9</v>
      </c>
      <c r="BK1362" s="8">
        <v>263.69</v>
      </c>
      <c r="BL1362" s="2" t="s">
        <v>6413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6414</v>
      </c>
      <c r="BV1362" s="2" t="s">
        <v>231</v>
      </c>
      <c r="BW1362" s="2" t="s">
        <v>231</v>
      </c>
      <c r="BX1362" s="2" t="s">
        <v>241</v>
      </c>
      <c r="BY1362" s="2" t="s">
        <v>277</v>
      </c>
      <c r="BZ1362" s="2" t="s">
        <v>243</v>
      </c>
      <c r="CA1362" s="2" t="s">
        <v>6409</v>
      </c>
      <c r="CB1362" s="2" t="s">
        <v>231</v>
      </c>
      <c r="CC1362" s="2" t="s">
        <v>244</v>
      </c>
      <c r="CD1362" s="2" t="s">
        <v>231</v>
      </c>
      <c r="CE1362" s="4"/>
      <c r="CF1362" s="4">
        <v>81</v>
      </c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</row>
    <row r="1363">
      <c r="A1363" s="2" t="s">
        <v>6415</v>
      </c>
      <c r="B1363" s="2" t="s">
        <v>801</v>
      </c>
      <c r="C1363" s="2" t="s">
        <v>867</v>
      </c>
      <c r="D1363" s="2" t="s">
        <v>1114</v>
      </c>
      <c r="E1363" s="2" t="s">
        <v>1115</v>
      </c>
      <c r="F1363" s="2" t="s">
        <v>6416</v>
      </c>
      <c r="G1363" s="2" t="s">
        <v>6416</v>
      </c>
      <c r="H1363" s="2" t="s">
        <v>6416</v>
      </c>
      <c r="I1363" s="2" t="s">
        <v>6417</v>
      </c>
      <c r="J1363" s="2" t="s">
        <v>807</v>
      </c>
      <c r="K1363" s="2" t="s">
        <v>253</v>
      </c>
      <c r="L1363" s="3">
        <v>41.94</v>
      </c>
      <c r="M1363" s="3">
        <v>44.04</v>
      </c>
      <c r="N1363" s="3">
        <v>89.99</v>
      </c>
      <c r="O1363" s="2" t="s">
        <v>243</v>
      </c>
      <c r="P1363" s="2" t="s">
        <v>871</v>
      </c>
      <c r="Q1363" s="2" t="s">
        <v>237</v>
      </c>
      <c r="R1363" s="2" t="s">
        <v>231</v>
      </c>
      <c r="S1363" s="2" t="s">
        <v>231</v>
      </c>
      <c r="T1363" s="2" t="s">
        <v>231</v>
      </c>
      <c r="U1363" s="2" t="s">
        <v>327</v>
      </c>
      <c r="V1363" s="2" t="s">
        <v>662</v>
      </c>
      <c r="W1363" s="2" t="s">
        <v>691</v>
      </c>
      <c r="X1363" s="2" t="s">
        <v>1694</v>
      </c>
      <c r="Y1363" s="2" t="s">
        <v>4155</v>
      </c>
      <c r="Z1363" s="4">
        <v>17</v>
      </c>
      <c r="AA1363" s="4">
        <f>=ROUNDDOWN(2.83333333333333,0)</f>
      </c>
      <c r="AB1363" s="5">
        <v>6</v>
      </c>
      <c r="AC1363" s="2" t="s">
        <v>1137</v>
      </c>
      <c r="AD1363" s="4">
        <v>130</v>
      </c>
      <c r="AE1363" s="4">
        <v>130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231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38</v>
      </c>
      <c r="BK1363" s="8">
        <v>1754.06</v>
      </c>
      <c r="BL1363" s="2" t="s">
        <v>6418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6419</v>
      </c>
      <c r="BV1363" s="2" t="s">
        <v>231</v>
      </c>
      <c r="BW1363" s="2" t="s">
        <v>231</v>
      </c>
      <c r="BX1363" s="2" t="s">
        <v>231</v>
      </c>
      <c r="BY1363" s="2" t="s">
        <v>277</v>
      </c>
      <c r="BZ1363" s="2" t="s">
        <v>243</v>
      </c>
      <c r="CA1363" s="2" t="s">
        <v>3600</v>
      </c>
      <c r="CB1363" s="2" t="s">
        <v>2012</v>
      </c>
      <c r="CC1363" s="2" t="s">
        <v>244</v>
      </c>
      <c r="CD1363" s="2" t="s">
        <v>231</v>
      </c>
      <c r="CE1363" s="4"/>
      <c r="CF1363" s="4">
        <v>17</v>
      </c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>
        <v>130</v>
      </c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</row>
    <row r="1364">
      <c r="A1364" s="2" t="s">
        <v>6420</v>
      </c>
      <c r="B1364" s="2" t="s">
        <v>824</v>
      </c>
      <c r="C1364" s="2" t="s">
        <v>1221</v>
      </c>
      <c r="D1364" s="2" t="s">
        <v>826</v>
      </c>
      <c r="E1364" s="2" t="s">
        <v>827</v>
      </c>
      <c r="F1364" s="2" t="s">
        <v>6421</v>
      </c>
      <c r="G1364" s="2" t="s">
        <v>6422</v>
      </c>
      <c r="H1364" s="2" t="s">
        <v>6423</v>
      </c>
      <c r="I1364" s="2" t="s">
        <v>6424</v>
      </c>
      <c r="J1364" s="2" t="s">
        <v>832</v>
      </c>
      <c r="K1364" s="2" t="s">
        <v>985</v>
      </c>
      <c r="L1364" s="3">
        <v>28.2</v>
      </c>
      <c r="M1364" s="3">
        <v>29.61</v>
      </c>
      <c r="N1364" s="3">
        <v>59.99</v>
      </c>
      <c r="O1364" s="2" t="s">
        <v>243</v>
      </c>
      <c r="P1364" s="2" t="s">
        <v>270</v>
      </c>
      <c r="Q1364" s="2" t="s">
        <v>237</v>
      </c>
      <c r="R1364" s="2" t="s">
        <v>231</v>
      </c>
      <c r="S1364" s="2" t="s">
        <v>6425</v>
      </c>
      <c r="T1364" s="2" t="s">
        <v>472</v>
      </c>
      <c r="U1364" s="2" t="s">
        <v>835</v>
      </c>
      <c r="V1364" s="2" t="s">
        <v>836</v>
      </c>
      <c r="W1364" s="2" t="s">
        <v>691</v>
      </c>
      <c r="X1364" s="2" t="s">
        <v>273</v>
      </c>
      <c r="Y1364" s="2" t="s">
        <v>6426</v>
      </c>
      <c r="Z1364" s="4">
        <v>82</v>
      </c>
      <c r="AA1364" s="4">
        <f>=ROUNDDOWN(16.4,0)</f>
      </c>
      <c r="AB1364" s="5">
        <v>5</v>
      </c>
      <c r="AC1364" s="2" t="s">
        <v>477</v>
      </c>
      <c r="AD1364" s="4">
        <v>30</v>
      </c>
      <c r="AE1364" s="4">
        <v>120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231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/>
      <c r="BD1364" s="8"/>
      <c r="BE1364" s="4"/>
      <c r="BF1364" s="8"/>
      <c r="BG1364" s="7"/>
      <c r="BH1364" s="7"/>
      <c r="BI1364" s="7"/>
      <c r="BJ1364" s="4">
        <v>8</v>
      </c>
      <c r="BK1364" s="8">
        <v>215.69</v>
      </c>
      <c r="BL1364" s="2" t="s">
        <v>6427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6428</v>
      </c>
      <c r="BV1364" s="2" t="s">
        <v>231</v>
      </c>
      <c r="BW1364" s="2" t="s">
        <v>231</v>
      </c>
      <c r="BX1364" s="2" t="s">
        <v>231</v>
      </c>
      <c r="BY1364" s="2" t="s">
        <v>277</v>
      </c>
      <c r="BZ1364" s="2" t="s">
        <v>243</v>
      </c>
      <c r="CA1364" s="2" t="s">
        <v>6426</v>
      </c>
      <c r="CB1364" s="2" t="s">
        <v>4745</v>
      </c>
      <c r="CC1364" s="2" t="s">
        <v>244</v>
      </c>
      <c r="CD1364" s="2" t="s">
        <v>231</v>
      </c>
      <c r="CE1364" s="4">
        <v>82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>
        <v>30</v>
      </c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>
        <v>40</v>
      </c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>
        <v>50</v>
      </c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</row>
    <row r="1365">
      <c r="A1365" s="2" t="s">
        <v>6429</v>
      </c>
      <c r="B1365" s="2" t="s">
        <v>847</v>
      </c>
      <c r="C1365" s="2" t="s">
        <v>288</v>
      </c>
      <c r="D1365" s="2" t="s">
        <v>882</v>
      </c>
      <c r="E1365" s="2" t="s">
        <v>849</v>
      </c>
      <c r="F1365" s="2" t="s">
        <v>6430</v>
      </c>
      <c r="G1365" s="2" t="s">
        <v>231</v>
      </c>
      <c r="H1365" s="2" t="s">
        <v>231</v>
      </c>
      <c r="I1365" s="2" t="s">
        <v>6431</v>
      </c>
      <c r="J1365" s="2" t="s">
        <v>807</v>
      </c>
      <c r="K1365" s="2" t="s">
        <v>698</v>
      </c>
      <c r="L1365" s="3">
        <v>26.97</v>
      </c>
      <c r="M1365" s="3">
        <v>28.32</v>
      </c>
      <c r="N1365" s="3">
        <v>59.99</v>
      </c>
      <c r="O1365" s="2" t="s">
        <v>250</v>
      </c>
      <c r="P1365" s="2" t="s">
        <v>341</v>
      </c>
      <c r="Q1365" s="2" t="s">
        <v>237</v>
      </c>
      <c r="R1365" s="2" t="s">
        <v>231</v>
      </c>
      <c r="S1365" s="2" t="s">
        <v>6432</v>
      </c>
      <c r="T1365" s="2" t="s">
        <v>231</v>
      </c>
      <c r="U1365" s="2" t="s">
        <v>298</v>
      </c>
      <c r="V1365" s="2" t="s">
        <v>381</v>
      </c>
      <c r="W1365" s="2" t="s">
        <v>792</v>
      </c>
      <c r="X1365" s="2" t="s">
        <v>231</v>
      </c>
      <c r="Y1365" s="2" t="s">
        <v>274</v>
      </c>
      <c r="Z1365" s="4">
        <v>9</v>
      </c>
      <c r="AA1365" s="4">
        <f>=ROUNDDOWN(18,0)</f>
      </c>
      <c r="AB1365" s="5">
        <v>0.5</v>
      </c>
      <c r="AC1365" s="2" t="s">
        <v>231</v>
      </c>
      <c r="AD1365" s="4"/>
      <c r="AE1365" s="4"/>
      <c r="AF1365" s="6">
        <v>63</v>
      </c>
      <c r="AG1365" s="6"/>
      <c r="AH1365" s="7">
        <v>1</v>
      </c>
      <c r="AI1365" s="4"/>
      <c r="AJ1365" s="4">
        <f>=ROUNDDOWN({0},0)</f>
      </c>
      <c r="AK1365" s="5"/>
      <c r="AL1365" s="2" t="s">
        <v>231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/>
      <c r="BD1365" s="8"/>
      <c r="BE1365" s="4"/>
      <c r="BF1365" s="8"/>
      <c r="BG1365" s="7"/>
      <c r="BH1365" s="7"/>
      <c r="BI1365" s="7"/>
      <c r="BJ1365" s="4">
        <v>2</v>
      </c>
      <c r="BK1365" s="8">
        <v>59.46</v>
      </c>
      <c r="BL1365" s="2" t="s">
        <v>1423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6433</v>
      </c>
      <c r="BV1365" s="2" t="s">
        <v>231</v>
      </c>
      <c r="BW1365" s="2" t="s">
        <v>231</v>
      </c>
      <c r="BX1365" s="2" t="s">
        <v>241</v>
      </c>
      <c r="BY1365" s="2" t="s">
        <v>277</v>
      </c>
      <c r="BZ1365" s="2" t="s">
        <v>243</v>
      </c>
      <c r="CA1365" s="2" t="s">
        <v>278</v>
      </c>
      <c r="CB1365" s="2" t="s">
        <v>1271</v>
      </c>
      <c r="CC1365" s="2" t="s">
        <v>244</v>
      </c>
      <c r="CD1365" s="2" t="s">
        <v>231</v>
      </c>
      <c r="CE1365" s="4"/>
      <c r="CF1365" s="4">
        <v>9</v>
      </c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</row>
    <row r="1366">
      <c r="A1366" s="2" t="s">
        <v>6434</v>
      </c>
      <c r="B1366" s="2" t="s">
        <v>1004</v>
      </c>
      <c r="C1366" s="2" t="s">
        <v>653</v>
      </c>
      <c r="D1366" s="2" t="s">
        <v>6435</v>
      </c>
      <c r="E1366" s="2" t="s">
        <v>6436</v>
      </c>
      <c r="F1366" s="2" t="s">
        <v>6437</v>
      </c>
      <c r="G1366" s="2" t="s">
        <v>231</v>
      </c>
      <c r="H1366" s="2" t="s">
        <v>231</v>
      </c>
      <c r="I1366" s="2" t="s">
        <v>6438</v>
      </c>
      <c r="J1366" s="2" t="s">
        <v>807</v>
      </c>
      <c r="K1366" s="2" t="s">
        <v>253</v>
      </c>
      <c r="L1366" s="3">
        <v>213.75</v>
      </c>
      <c r="M1366" s="3">
        <v>225</v>
      </c>
      <c r="N1366" s="3">
        <v>449</v>
      </c>
      <c r="O1366" s="2" t="s">
        <v>250</v>
      </c>
      <c r="P1366" s="2" t="s">
        <v>341</v>
      </c>
      <c r="Q1366" s="2" t="s">
        <v>237</v>
      </c>
      <c r="R1366" s="2" t="s">
        <v>231</v>
      </c>
      <c r="S1366" s="2" t="s">
        <v>6439</v>
      </c>
      <c r="T1366" s="2" t="s">
        <v>231</v>
      </c>
      <c r="U1366" s="2" t="s">
        <v>231</v>
      </c>
      <c r="V1366" s="2" t="s">
        <v>239</v>
      </c>
      <c r="W1366" s="2" t="s">
        <v>792</v>
      </c>
      <c r="X1366" s="2" t="s">
        <v>231</v>
      </c>
      <c r="Y1366" s="2" t="s">
        <v>6440</v>
      </c>
      <c r="Z1366" s="4">
        <v>41</v>
      </c>
      <c r="AA1366" s="4">
        <f>=ROUNDDOWN({0},0)</f>
      </c>
      <c r="AB1366" s="5"/>
      <c r="AC1366" s="2" t="s">
        <v>231</v>
      </c>
      <c r="AD1366" s="4"/>
      <c r="AE1366" s="4"/>
      <c r="AF1366" s="6">
        <v>75</v>
      </c>
      <c r="AG1366" s="6"/>
      <c r="AH1366" s="7">
        <v>1</v>
      </c>
      <c r="AI1366" s="4"/>
      <c r="AJ1366" s="4">
        <f>=ROUNDDOWN({0},0)</f>
      </c>
      <c r="AK1366" s="5"/>
      <c r="AL1366" s="2" t="s">
        <v>231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/>
      <c r="BD1366" s="8"/>
      <c r="BE1366" s="4"/>
      <c r="BF1366" s="8"/>
      <c r="BG1366" s="7"/>
      <c r="BH1366" s="7"/>
      <c r="BI1366" s="7"/>
      <c r="BJ1366" s="4"/>
      <c r="BK1366" s="8"/>
      <c r="BL1366" s="2" t="s">
        <v>231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6441</v>
      </c>
      <c r="BV1366" s="2" t="s">
        <v>231</v>
      </c>
      <c r="BW1366" s="2" t="s">
        <v>231</v>
      </c>
      <c r="BX1366" s="2" t="s">
        <v>231</v>
      </c>
      <c r="BY1366" s="2" t="s">
        <v>277</v>
      </c>
      <c r="BZ1366" s="2" t="s">
        <v>243</v>
      </c>
      <c r="CA1366" s="2" t="s">
        <v>2880</v>
      </c>
      <c r="CB1366" s="2" t="s">
        <v>6442</v>
      </c>
      <c r="CC1366" s="2" t="s">
        <v>244</v>
      </c>
      <c r="CD1366" s="2" t="s">
        <v>231</v>
      </c>
      <c r="CE1366" s="4"/>
      <c r="CF1366" s="4">
        <v>41</v>
      </c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</row>
    <row r="1367">
      <c r="A1367" s="2" t="s">
        <v>6443</v>
      </c>
      <c r="B1367" s="2" t="s">
        <v>824</v>
      </c>
      <c r="C1367" s="2" t="s">
        <v>3567</v>
      </c>
      <c r="D1367" s="2" t="s">
        <v>654</v>
      </c>
      <c r="E1367" s="2" t="s">
        <v>655</v>
      </c>
      <c r="F1367" s="2" t="s">
        <v>6444</v>
      </c>
      <c r="G1367" s="2" t="s">
        <v>6445</v>
      </c>
      <c r="H1367" s="2" t="s">
        <v>6446</v>
      </c>
      <c r="I1367" s="2" t="s">
        <v>6447</v>
      </c>
      <c r="J1367" s="2" t="s">
        <v>318</v>
      </c>
      <c r="K1367" s="2" t="s">
        <v>6448</v>
      </c>
      <c r="L1367" s="3">
        <v>42.85</v>
      </c>
      <c r="M1367" s="3">
        <v>44.99</v>
      </c>
      <c r="N1367" s="3">
        <v>89.99</v>
      </c>
      <c r="O1367" s="2" t="s">
        <v>243</v>
      </c>
      <c r="P1367" s="2" t="s">
        <v>871</v>
      </c>
      <c r="Q1367" s="2" t="s">
        <v>237</v>
      </c>
      <c r="R1367" s="2" t="s">
        <v>231</v>
      </c>
      <c r="S1367" s="2" t="s">
        <v>6449</v>
      </c>
      <c r="T1367" s="2" t="s">
        <v>1432</v>
      </c>
      <c r="U1367" s="2" t="s">
        <v>835</v>
      </c>
      <c r="V1367" s="2" t="s">
        <v>1192</v>
      </c>
      <c r="W1367" s="2" t="s">
        <v>273</v>
      </c>
      <c r="X1367" s="2" t="s">
        <v>231</v>
      </c>
      <c r="Y1367" s="2" t="s">
        <v>6450</v>
      </c>
      <c r="Z1367" s="4">
        <v>133</v>
      </c>
      <c r="AA1367" s="4">
        <f>=ROUNDDOWN(3.5,0)</f>
      </c>
      <c r="AB1367" s="5">
        <v>38</v>
      </c>
      <c r="AC1367" s="2" t="s">
        <v>6451</v>
      </c>
      <c r="AD1367" s="4">
        <v>260</v>
      </c>
      <c r="AE1367" s="4">
        <v>1580</v>
      </c>
      <c r="AF1367" s="6">
        <v>67</v>
      </c>
      <c r="AG1367" s="6"/>
      <c r="AH1367" s="7">
        <v>0.0968</v>
      </c>
      <c r="AI1367" s="4"/>
      <c r="AJ1367" s="4">
        <f>=ROUNDDOWN({0},0)</f>
      </c>
      <c r="AK1367" s="5"/>
      <c r="AL1367" s="2" t="s">
        <v>231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231</v>
      </c>
      <c r="AW1367" s="8" t="s">
        <v>231</v>
      </c>
      <c r="AX1367" s="4" t="s">
        <v>231</v>
      </c>
      <c r="AY1367" s="8" t="s">
        <v>231</v>
      </c>
      <c r="AZ1367" s="7" t="s">
        <v>231</v>
      </c>
      <c r="BA1367" s="7" t="s">
        <v>231</v>
      </c>
      <c r="BB1367" s="7"/>
      <c r="BC1367" s="4" t="s">
        <v>231</v>
      </c>
      <c r="BD1367" s="8" t="s">
        <v>231</v>
      </c>
      <c r="BE1367" s="4" t="s">
        <v>231</v>
      </c>
      <c r="BF1367" s="8" t="s">
        <v>231</v>
      </c>
      <c r="BG1367" s="7" t="s">
        <v>231</v>
      </c>
      <c r="BH1367" s="7" t="s">
        <v>231</v>
      </c>
      <c r="BI1367" s="7"/>
      <c r="BJ1367" s="4">
        <v>15</v>
      </c>
      <c r="BK1367" s="8">
        <v>677.1</v>
      </c>
      <c r="BL1367" s="2" t="s">
        <v>3685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6452</v>
      </c>
      <c r="BV1367" s="2" t="s">
        <v>231</v>
      </c>
      <c r="BW1367" s="2" t="s">
        <v>231</v>
      </c>
      <c r="BX1367" s="2" t="s">
        <v>241</v>
      </c>
      <c r="BY1367" s="2" t="s">
        <v>277</v>
      </c>
      <c r="BZ1367" s="2" t="s">
        <v>243</v>
      </c>
      <c r="CA1367" s="2" t="s">
        <v>2683</v>
      </c>
      <c r="CB1367" s="2" t="s">
        <v>3776</v>
      </c>
      <c r="CC1367" s="2" t="s">
        <v>244</v>
      </c>
      <c r="CD1367" s="2" t="s">
        <v>231</v>
      </c>
      <c r="CE1367" s="4">
        <v>133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>
        <v>260</v>
      </c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>
        <v>240</v>
      </c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>
        <v>160</v>
      </c>
      <c r="EQ1367" s="4"/>
      <c r="ER1367" s="4"/>
      <c r="ES1367" s="4">
        <v>170</v>
      </c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>
        <v>400</v>
      </c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>
        <v>350</v>
      </c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</row>
    <row r="1368">
      <c r="A1368" s="2" t="s">
        <v>6453</v>
      </c>
      <c r="B1368" s="2" t="s">
        <v>824</v>
      </c>
      <c r="C1368" s="2" t="s">
        <v>3567</v>
      </c>
      <c r="D1368" s="2" t="s">
        <v>654</v>
      </c>
      <c r="E1368" s="2" t="s">
        <v>655</v>
      </c>
      <c r="F1368" s="2" t="s">
        <v>6444</v>
      </c>
      <c r="G1368" s="2" t="s">
        <v>6445</v>
      </c>
      <c r="H1368" s="2" t="s">
        <v>6446</v>
      </c>
      <c r="I1368" s="2" t="s">
        <v>6447</v>
      </c>
      <c r="J1368" s="2" t="s">
        <v>658</v>
      </c>
      <c r="K1368" s="2" t="s">
        <v>6448</v>
      </c>
      <c r="L1368" s="3">
        <v>47.61</v>
      </c>
      <c r="M1368" s="3">
        <v>49.99</v>
      </c>
      <c r="N1368" s="3">
        <v>99.99</v>
      </c>
      <c r="O1368" s="2" t="s">
        <v>243</v>
      </c>
      <c r="P1368" s="2" t="s">
        <v>871</v>
      </c>
      <c r="Q1368" s="2" t="s">
        <v>237</v>
      </c>
      <c r="R1368" s="2" t="s">
        <v>231</v>
      </c>
      <c r="S1368" s="2" t="s">
        <v>6449</v>
      </c>
      <c r="T1368" s="2" t="s">
        <v>1432</v>
      </c>
      <c r="U1368" s="2" t="s">
        <v>298</v>
      </c>
      <c r="V1368" s="2" t="s">
        <v>1192</v>
      </c>
      <c r="W1368" s="2" t="s">
        <v>273</v>
      </c>
      <c r="X1368" s="2" t="s">
        <v>231</v>
      </c>
      <c r="Y1368" s="2" t="s">
        <v>2646</v>
      </c>
      <c r="Z1368" s="4">
        <v>157</v>
      </c>
      <c r="AA1368" s="4">
        <f>=ROUNDDOWN(2.80357142857143,0)</f>
      </c>
      <c r="AB1368" s="5">
        <v>56</v>
      </c>
      <c r="AC1368" s="2" t="s">
        <v>6451</v>
      </c>
      <c r="AD1368" s="4">
        <v>350</v>
      </c>
      <c r="AE1368" s="4">
        <v>2300</v>
      </c>
      <c r="AF1368" s="6">
        <v>67</v>
      </c>
      <c r="AG1368" s="6"/>
      <c r="AH1368" s="7">
        <v>0.0645</v>
      </c>
      <c r="AI1368" s="4"/>
      <c r="AJ1368" s="4">
        <f>=ROUNDDOWN({0},0)</f>
      </c>
      <c r="AK1368" s="5"/>
      <c r="AL1368" s="2" t="s">
        <v>231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231</v>
      </c>
      <c r="AW1368" s="8" t="s">
        <v>231</v>
      </c>
      <c r="AX1368" s="4" t="s">
        <v>231</v>
      </c>
      <c r="AY1368" s="8" t="s">
        <v>231</v>
      </c>
      <c r="AZ1368" s="7" t="s">
        <v>231</v>
      </c>
      <c r="BA1368" s="7" t="s">
        <v>231</v>
      </c>
      <c r="BB1368" s="7" t="s">
        <v>231</v>
      </c>
      <c r="BC1368" s="4" t="s">
        <v>231</v>
      </c>
      <c r="BD1368" s="8" t="s">
        <v>231</v>
      </c>
      <c r="BE1368" s="4" t="s">
        <v>231</v>
      </c>
      <c r="BF1368" s="8" t="s">
        <v>231</v>
      </c>
      <c r="BG1368" s="7" t="s">
        <v>231</v>
      </c>
      <c r="BH1368" s="7" t="s">
        <v>231</v>
      </c>
      <c r="BI1368" s="7"/>
      <c r="BJ1368" s="4">
        <v>17</v>
      </c>
      <c r="BK1368" s="8">
        <v>857.83</v>
      </c>
      <c r="BL1368" s="2" t="s">
        <v>810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6454</v>
      </c>
      <c r="BV1368" s="2" t="s">
        <v>231</v>
      </c>
      <c r="BW1368" s="2" t="s">
        <v>231</v>
      </c>
      <c r="BX1368" s="2" t="s">
        <v>241</v>
      </c>
      <c r="BY1368" s="2" t="s">
        <v>277</v>
      </c>
      <c r="BZ1368" s="2" t="s">
        <v>243</v>
      </c>
      <c r="CA1368" s="2" t="s">
        <v>2683</v>
      </c>
      <c r="CB1368" s="2" t="s">
        <v>3776</v>
      </c>
      <c r="CC1368" s="2" t="s">
        <v>244</v>
      </c>
      <c r="CD1368" s="2" t="s">
        <v>231</v>
      </c>
      <c r="CE1368" s="4">
        <v>157</v>
      </c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>
        <v>350</v>
      </c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>
        <v>490</v>
      </c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>
        <v>210</v>
      </c>
      <c r="EQ1368" s="4"/>
      <c r="ER1368" s="4"/>
      <c r="ES1368" s="4">
        <v>200</v>
      </c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>
        <v>500</v>
      </c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>
        <v>550</v>
      </c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</row>
    <row r="1369">
      <c r="A1369" s="2" t="s">
        <v>6455</v>
      </c>
      <c r="B1369" s="2" t="s">
        <v>824</v>
      </c>
      <c r="C1369" s="2" t="s">
        <v>3567</v>
      </c>
      <c r="D1369" s="2" t="s">
        <v>826</v>
      </c>
      <c r="E1369" s="2" t="s">
        <v>1060</v>
      </c>
      <c r="F1369" s="2" t="s">
        <v>6444</v>
      </c>
      <c r="G1369" s="2" t="s">
        <v>6445</v>
      </c>
      <c r="H1369" s="2" t="s">
        <v>6446</v>
      </c>
      <c r="I1369" s="2" t="s">
        <v>6456</v>
      </c>
      <c r="J1369" s="2" t="s">
        <v>658</v>
      </c>
      <c r="K1369" s="2" t="s">
        <v>6448</v>
      </c>
      <c r="L1369" s="3">
        <v>35.71</v>
      </c>
      <c r="M1369" s="3">
        <v>37.5</v>
      </c>
      <c r="N1369" s="3">
        <v>74.99</v>
      </c>
      <c r="O1369" s="2" t="s">
        <v>243</v>
      </c>
      <c r="P1369" s="2" t="s">
        <v>270</v>
      </c>
      <c r="Q1369" s="2" t="s">
        <v>237</v>
      </c>
      <c r="R1369" s="2" t="s">
        <v>231</v>
      </c>
      <c r="S1369" s="2" t="s">
        <v>6449</v>
      </c>
      <c r="T1369" s="2" t="s">
        <v>1432</v>
      </c>
      <c r="U1369" s="2" t="s">
        <v>835</v>
      </c>
      <c r="V1369" s="2" t="s">
        <v>1192</v>
      </c>
      <c r="W1369" s="2" t="s">
        <v>273</v>
      </c>
      <c r="X1369" s="2" t="s">
        <v>231</v>
      </c>
      <c r="Y1369" s="2" t="s">
        <v>2646</v>
      </c>
      <c r="Z1369" s="4">
        <v>69</v>
      </c>
      <c r="AA1369" s="4">
        <f>=ROUNDDOWN(2.76,0)</f>
      </c>
      <c r="AB1369" s="5">
        <v>25</v>
      </c>
      <c r="AC1369" s="2" t="s">
        <v>6451</v>
      </c>
      <c r="AD1369" s="4">
        <v>100</v>
      </c>
      <c r="AE1369" s="4">
        <v>1050</v>
      </c>
      <c r="AF1369" s="6">
        <v>67</v>
      </c>
      <c r="AG1369" s="6"/>
      <c r="AH1369" s="7">
        <v>0.0968</v>
      </c>
      <c r="AI1369" s="4"/>
      <c r="AJ1369" s="4">
        <f>=ROUNDDOWN({0},0)</f>
      </c>
      <c r="AK1369" s="5"/>
      <c r="AL1369" s="2" t="s">
        <v>231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231</v>
      </c>
      <c r="AW1369" s="8" t="s">
        <v>231</v>
      </c>
      <c r="AX1369" s="4" t="s">
        <v>231</v>
      </c>
      <c r="AY1369" s="8" t="s">
        <v>231</v>
      </c>
      <c r="AZ1369" s="7" t="s">
        <v>231</v>
      </c>
      <c r="BA1369" s="7" t="s">
        <v>231</v>
      </c>
      <c r="BB1369" s="7" t="s">
        <v>231</v>
      </c>
      <c r="BC1369" s="4" t="s">
        <v>231</v>
      </c>
      <c r="BD1369" s="8" t="s">
        <v>231</v>
      </c>
      <c r="BE1369" s="4" t="s">
        <v>231</v>
      </c>
      <c r="BF1369" s="8" t="s">
        <v>231</v>
      </c>
      <c r="BG1369" s="7" t="s">
        <v>231</v>
      </c>
      <c r="BH1369" s="7" t="s">
        <v>231</v>
      </c>
      <c r="BI1369" s="7"/>
      <c r="BJ1369" s="4">
        <v>1</v>
      </c>
      <c r="BK1369" s="8">
        <v>41.07</v>
      </c>
      <c r="BL1369" s="2" t="s">
        <v>2565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6457</v>
      </c>
      <c r="BV1369" s="2" t="s">
        <v>231</v>
      </c>
      <c r="BW1369" s="2" t="s">
        <v>231</v>
      </c>
      <c r="BX1369" s="2" t="s">
        <v>241</v>
      </c>
      <c r="BY1369" s="2" t="s">
        <v>277</v>
      </c>
      <c r="BZ1369" s="2" t="s">
        <v>243</v>
      </c>
      <c r="CA1369" s="2" t="s">
        <v>2683</v>
      </c>
      <c r="CB1369" s="2" t="s">
        <v>926</v>
      </c>
      <c r="CC1369" s="2" t="s">
        <v>244</v>
      </c>
      <c r="CD1369" s="2" t="s">
        <v>231</v>
      </c>
      <c r="CE1369" s="4">
        <v>69</v>
      </c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>
        <v>100</v>
      </c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>
        <v>210</v>
      </c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>
        <v>160</v>
      </c>
      <c r="EQ1369" s="4"/>
      <c r="ER1369" s="4"/>
      <c r="ES1369" s="4">
        <v>200</v>
      </c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>
        <v>200</v>
      </c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>
        <v>180</v>
      </c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</row>
    <row r="1370">
      <c r="A1370" s="2" t="s">
        <v>6458</v>
      </c>
      <c r="B1370" s="2" t="s">
        <v>1004</v>
      </c>
      <c r="C1370" s="2" t="s">
        <v>288</v>
      </c>
      <c r="D1370" s="2" t="s">
        <v>1689</v>
      </c>
      <c r="E1370" s="2" t="s">
        <v>2538</v>
      </c>
      <c r="F1370" s="2" t="s">
        <v>6459</v>
      </c>
      <c r="G1370" s="2" t="s">
        <v>6460</v>
      </c>
      <c r="H1370" s="2" t="s">
        <v>6461</v>
      </c>
      <c r="I1370" s="2" t="s">
        <v>6462</v>
      </c>
      <c r="J1370" s="2" t="s">
        <v>807</v>
      </c>
      <c r="K1370" s="2" t="s">
        <v>556</v>
      </c>
      <c r="L1370" s="3">
        <v>143</v>
      </c>
      <c r="M1370" s="3">
        <v>150.15</v>
      </c>
      <c r="N1370" s="3">
        <v>299</v>
      </c>
      <c r="O1370" s="2" t="s">
        <v>235</v>
      </c>
      <c r="P1370" s="2" t="s">
        <v>341</v>
      </c>
      <c r="Q1370" s="2" t="s">
        <v>237</v>
      </c>
      <c r="R1370" s="2" t="s">
        <v>231</v>
      </c>
      <c r="S1370" s="2" t="s">
        <v>231</v>
      </c>
      <c r="T1370" s="2" t="s">
        <v>231</v>
      </c>
      <c r="U1370" s="2" t="s">
        <v>327</v>
      </c>
      <c r="V1370" s="2" t="s">
        <v>662</v>
      </c>
      <c r="W1370" s="2" t="s">
        <v>792</v>
      </c>
      <c r="X1370" s="2" t="s">
        <v>231</v>
      </c>
      <c r="Y1370" s="2" t="s">
        <v>5345</v>
      </c>
      <c r="Z1370" s="4">
        <v>65</v>
      </c>
      <c r="AA1370" s="4">
        <f>=ROUNDDOWN({0},0)</f>
      </c>
      <c r="AB1370" s="5"/>
      <c r="AC1370" s="2" t="s">
        <v>231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231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/>
      <c r="BD1370" s="8"/>
      <c r="BE1370" s="4"/>
      <c r="BF1370" s="8"/>
      <c r="BG1370" s="7"/>
      <c r="BH1370" s="7"/>
      <c r="BI1370" s="7"/>
      <c r="BJ1370" s="4"/>
      <c r="BK1370" s="8"/>
      <c r="BL1370" s="2" t="s">
        <v>6463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6464</v>
      </c>
      <c r="BV1370" s="2" t="s">
        <v>231</v>
      </c>
      <c r="BW1370" s="2" t="s">
        <v>231</v>
      </c>
      <c r="BX1370" s="2" t="s">
        <v>231</v>
      </c>
      <c r="BY1370" s="2" t="s">
        <v>277</v>
      </c>
      <c r="BZ1370" s="2" t="s">
        <v>243</v>
      </c>
      <c r="CA1370" s="2" t="s">
        <v>6465</v>
      </c>
      <c r="CB1370" s="2" t="s">
        <v>4969</v>
      </c>
      <c r="CC1370" s="2" t="s">
        <v>244</v>
      </c>
      <c r="CD1370" s="2" t="s">
        <v>231</v>
      </c>
      <c r="CE1370" s="4"/>
      <c r="CF1370" s="4">
        <v>65</v>
      </c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</row>
    <row r="1371">
      <c r="A1371" s="2" t="s">
        <v>6466</v>
      </c>
      <c r="B1371" s="2" t="s">
        <v>992</v>
      </c>
      <c r="C1371" s="2" t="s">
        <v>1017</v>
      </c>
      <c r="D1371" s="2" t="s">
        <v>993</v>
      </c>
      <c r="E1371" s="2" t="s">
        <v>994</v>
      </c>
      <c r="F1371" s="2" t="s">
        <v>6467</v>
      </c>
      <c r="G1371" s="2" t="s">
        <v>231</v>
      </c>
      <c r="H1371" s="2" t="s">
        <v>231</v>
      </c>
      <c r="I1371" s="2" t="s">
        <v>6468</v>
      </c>
      <c r="J1371" s="2" t="s">
        <v>6469</v>
      </c>
      <c r="K1371" s="2" t="s">
        <v>253</v>
      </c>
      <c r="L1371" s="3">
        <v>19.53</v>
      </c>
      <c r="M1371" s="3">
        <v>20.51</v>
      </c>
      <c r="N1371" s="3">
        <v>34.99</v>
      </c>
      <c r="O1371" s="2" t="s">
        <v>250</v>
      </c>
      <c r="P1371" s="2" t="s">
        <v>1019</v>
      </c>
      <c r="Q1371" s="2" t="s">
        <v>237</v>
      </c>
      <c r="R1371" s="2" t="s">
        <v>1020</v>
      </c>
      <c r="S1371" s="2" t="s">
        <v>231</v>
      </c>
      <c r="T1371" s="2" t="s">
        <v>231</v>
      </c>
      <c r="U1371" s="2" t="s">
        <v>231</v>
      </c>
      <c r="V1371" s="2" t="s">
        <v>662</v>
      </c>
      <c r="W1371" s="2" t="s">
        <v>231</v>
      </c>
      <c r="X1371" s="2" t="s">
        <v>231</v>
      </c>
      <c r="Y1371" s="2" t="s">
        <v>2968</v>
      </c>
      <c r="Z1371" s="4">
        <v>109</v>
      </c>
      <c r="AA1371" s="4">
        <f>=ROUNDDOWN(545,0)</f>
      </c>
      <c r="AB1371" s="5">
        <v>0.2</v>
      </c>
      <c r="AC1371" s="2" t="s">
        <v>231</v>
      </c>
      <c r="AD1371" s="4"/>
      <c r="AE1371" s="4"/>
      <c r="AF1371" s="6">
        <v>64</v>
      </c>
      <c r="AG1371" s="6"/>
      <c r="AH1371" s="7">
        <v>1</v>
      </c>
      <c r="AI1371" s="4"/>
      <c r="AJ1371" s="4">
        <f>=ROUNDDOWN({0},0)</f>
      </c>
      <c r="AK1371" s="5"/>
      <c r="AL1371" s="2" t="s">
        <v>231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 t="s">
        <v>231</v>
      </c>
      <c r="BD1371" s="8" t="s">
        <v>231</v>
      </c>
      <c r="BE1371" s="4" t="s">
        <v>231</v>
      </c>
      <c r="BF1371" s="8" t="s">
        <v>231</v>
      </c>
      <c r="BG1371" s="7" t="s">
        <v>231</v>
      </c>
      <c r="BH1371" s="7" t="s">
        <v>231</v>
      </c>
      <c r="BI1371" s="7"/>
      <c r="BJ1371" s="4"/>
      <c r="BK1371" s="8"/>
      <c r="BL1371" s="2" t="s">
        <v>231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6470</v>
      </c>
      <c r="BV1371" s="2" t="s">
        <v>231</v>
      </c>
      <c r="BW1371" s="2" t="s">
        <v>231</v>
      </c>
      <c r="BX1371" s="2" t="s">
        <v>241</v>
      </c>
      <c r="BY1371" s="2" t="s">
        <v>277</v>
      </c>
      <c r="BZ1371" s="2" t="s">
        <v>243</v>
      </c>
      <c r="CA1371" s="2" t="s">
        <v>6471</v>
      </c>
      <c r="CB1371" s="2" t="s">
        <v>231</v>
      </c>
      <c r="CC1371" s="2" t="s">
        <v>244</v>
      </c>
      <c r="CD1371" s="2" t="s">
        <v>231</v>
      </c>
      <c r="CE1371" s="4">
        <v>109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</row>
    <row r="1372">
      <c r="A1372" s="2" t="s">
        <v>6472</v>
      </c>
      <c r="B1372" s="2" t="s">
        <v>992</v>
      </c>
      <c r="C1372" s="2" t="s">
        <v>1017</v>
      </c>
      <c r="D1372" s="2" t="s">
        <v>993</v>
      </c>
      <c r="E1372" s="2" t="s">
        <v>994</v>
      </c>
      <c r="F1372" s="2" t="s">
        <v>6467</v>
      </c>
      <c r="G1372" s="2" t="s">
        <v>6467</v>
      </c>
      <c r="H1372" s="2" t="s">
        <v>6467</v>
      </c>
      <c r="I1372" s="2" t="s">
        <v>6468</v>
      </c>
      <c r="J1372" s="2" t="s">
        <v>6473</v>
      </c>
      <c r="K1372" s="2" t="s">
        <v>319</v>
      </c>
      <c r="L1372" s="3">
        <v>17.42</v>
      </c>
      <c r="M1372" s="3">
        <v>18.29</v>
      </c>
      <c r="N1372" s="3">
        <v>29.99</v>
      </c>
      <c r="O1372" s="2" t="s">
        <v>250</v>
      </c>
      <c r="P1372" s="2" t="s">
        <v>1019</v>
      </c>
      <c r="Q1372" s="2" t="s">
        <v>237</v>
      </c>
      <c r="R1372" s="2" t="s">
        <v>1020</v>
      </c>
      <c r="S1372" s="2" t="s">
        <v>231</v>
      </c>
      <c r="T1372" s="2" t="s">
        <v>231</v>
      </c>
      <c r="U1372" s="2" t="s">
        <v>231</v>
      </c>
      <c r="V1372" s="2" t="s">
        <v>662</v>
      </c>
      <c r="W1372" s="2" t="s">
        <v>231</v>
      </c>
      <c r="X1372" s="2" t="s">
        <v>231</v>
      </c>
      <c r="Y1372" s="2" t="s">
        <v>4683</v>
      </c>
      <c r="Z1372" s="4">
        <v>128</v>
      </c>
      <c r="AA1372" s="4">
        <f>=ROUNDDOWN(42.6666666666667,0)</f>
      </c>
      <c r="AB1372" s="5">
        <v>3</v>
      </c>
      <c r="AC1372" s="2" t="s">
        <v>231</v>
      </c>
      <c r="AD1372" s="4"/>
      <c r="AE1372" s="4"/>
      <c r="AF1372" s="6">
        <v>64</v>
      </c>
      <c r="AG1372" s="6"/>
      <c r="AH1372" s="7">
        <v>1</v>
      </c>
      <c r="AI1372" s="4"/>
      <c r="AJ1372" s="4">
        <f>=ROUNDDOWN({0},0)</f>
      </c>
      <c r="AK1372" s="5"/>
      <c r="AL1372" s="2" t="s">
        <v>231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 t="s">
        <v>231</v>
      </c>
      <c r="BD1372" s="8" t="s">
        <v>231</v>
      </c>
      <c r="BE1372" s="4" t="s">
        <v>231</v>
      </c>
      <c r="BF1372" s="8" t="s">
        <v>231</v>
      </c>
      <c r="BG1372" s="7" t="s">
        <v>231</v>
      </c>
      <c r="BH1372" s="7" t="s">
        <v>231</v>
      </c>
      <c r="BI1372" s="7"/>
      <c r="BJ1372" s="4"/>
      <c r="BK1372" s="8"/>
      <c r="BL1372" s="2" t="s">
        <v>231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6474</v>
      </c>
      <c r="BV1372" s="2" t="s">
        <v>231</v>
      </c>
      <c r="BW1372" s="2" t="s">
        <v>231</v>
      </c>
      <c r="BX1372" s="2" t="s">
        <v>241</v>
      </c>
      <c r="BY1372" s="2" t="s">
        <v>277</v>
      </c>
      <c r="BZ1372" s="2" t="s">
        <v>243</v>
      </c>
      <c r="CA1372" s="2" t="s">
        <v>1024</v>
      </c>
      <c r="CB1372" s="2" t="s">
        <v>231</v>
      </c>
      <c r="CC1372" s="2" t="s">
        <v>244</v>
      </c>
      <c r="CD1372" s="2" t="s">
        <v>231</v>
      </c>
      <c r="CE1372" s="4">
        <v>128</v>
      </c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</row>
    <row r="1373">
      <c r="A1373" s="2" t="s">
        <v>6475</v>
      </c>
      <c r="B1373" s="2" t="s">
        <v>1004</v>
      </c>
      <c r="C1373" s="2" t="s">
        <v>288</v>
      </c>
      <c r="D1373" s="2" t="s">
        <v>2411</v>
      </c>
      <c r="E1373" s="2" t="s">
        <v>6476</v>
      </c>
      <c r="F1373" s="2" t="s">
        <v>6477</v>
      </c>
      <c r="G1373" s="2" t="s">
        <v>6478</v>
      </c>
      <c r="H1373" s="2" t="s">
        <v>6479</v>
      </c>
      <c r="I1373" s="2" t="s">
        <v>6480</v>
      </c>
      <c r="J1373" s="2" t="s">
        <v>807</v>
      </c>
      <c r="K1373" s="2" t="s">
        <v>306</v>
      </c>
      <c r="L1373" s="3">
        <v>148.5</v>
      </c>
      <c r="M1373" s="3">
        <v>155.92</v>
      </c>
      <c r="N1373" s="3">
        <v>309</v>
      </c>
      <c r="O1373" s="2" t="s">
        <v>243</v>
      </c>
      <c r="P1373" s="2" t="s">
        <v>341</v>
      </c>
      <c r="Q1373" s="2" t="s">
        <v>237</v>
      </c>
      <c r="R1373" s="2" t="s">
        <v>231</v>
      </c>
      <c r="S1373" s="2" t="s">
        <v>231</v>
      </c>
      <c r="T1373" s="2" t="s">
        <v>231</v>
      </c>
      <c r="U1373" s="2" t="s">
        <v>327</v>
      </c>
      <c r="V1373" s="2" t="s">
        <v>662</v>
      </c>
      <c r="W1373" s="2" t="s">
        <v>691</v>
      </c>
      <c r="X1373" s="2" t="s">
        <v>231</v>
      </c>
      <c r="Y1373" s="2" t="s">
        <v>1448</v>
      </c>
      <c r="Z1373" s="4">
        <v>98</v>
      </c>
      <c r="AA1373" s="4">
        <f>=ROUNDDOWN(51.578947368421,0)</f>
      </c>
      <c r="AB1373" s="5">
        <v>1.9</v>
      </c>
      <c r="AC1373" s="2" t="s">
        <v>231</v>
      </c>
      <c r="AD1373" s="4"/>
      <c r="AE1373" s="4"/>
      <c r="AF1373" s="6">
        <v>66</v>
      </c>
      <c r="AG1373" s="6"/>
      <c r="AH1373" s="7">
        <v>1</v>
      </c>
      <c r="AI1373" s="4"/>
      <c r="AJ1373" s="4">
        <f>=ROUNDDOWN({0},0)</f>
      </c>
      <c r="AK1373" s="5"/>
      <c r="AL1373" s="2" t="s">
        <v>231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7</v>
      </c>
      <c r="BK1373" s="8">
        <v>898.98</v>
      </c>
      <c r="BL1373" s="2" t="s">
        <v>6481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6482</v>
      </c>
      <c r="BV1373" s="2" t="s">
        <v>231</v>
      </c>
      <c r="BW1373" s="2" t="s">
        <v>231</v>
      </c>
      <c r="BX1373" s="2" t="s">
        <v>231</v>
      </c>
      <c r="BY1373" s="2" t="s">
        <v>277</v>
      </c>
      <c r="BZ1373" s="2" t="s">
        <v>243</v>
      </c>
      <c r="CA1373" s="2" t="s">
        <v>6483</v>
      </c>
      <c r="CB1373" s="2" t="s">
        <v>3268</v>
      </c>
      <c r="CC1373" s="2" t="s">
        <v>244</v>
      </c>
      <c r="CD1373" s="2" t="s">
        <v>231</v>
      </c>
      <c r="CE1373" s="4"/>
      <c r="CF1373" s="4">
        <v>98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</row>
    <row r="1374">
      <c r="A1374" s="2" t="s">
        <v>6484</v>
      </c>
      <c r="B1374" s="2" t="s">
        <v>847</v>
      </c>
      <c r="C1374" s="2" t="s">
        <v>288</v>
      </c>
      <c r="D1374" s="2" t="s">
        <v>882</v>
      </c>
      <c r="E1374" s="2" t="s">
        <v>2191</v>
      </c>
      <c r="F1374" s="2" t="s">
        <v>6485</v>
      </c>
      <c r="G1374" s="2" t="s">
        <v>6485</v>
      </c>
      <c r="H1374" s="2" t="s">
        <v>6485</v>
      </c>
      <c r="I1374" s="2" t="s">
        <v>6486</v>
      </c>
      <c r="J1374" s="2" t="s">
        <v>807</v>
      </c>
      <c r="K1374" s="2" t="s">
        <v>6487</v>
      </c>
      <c r="L1374" s="3">
        <v>6.66</v>
      </c>
      <c r="M1374" s="3">
        <v>6.99</v>
      </c>
      <c r="N1374" s="3">
        <v>19.99</v>
      </c>
      <c r="O1374" s="2" t="s">
        <v>243</v>
      </c>
      <c r="P1374" s="2" t="s">
        <v>236</v>
      </c>
      <c r="Q1374" s="2" t="s">
        <v>237</v>
      </c>
      <c r="R1374" s="2" t="s">
        <v>231</v>
      </c>
      <c r="S1374" s="2" t="s">
        <v>231</v>
      </c>
      <c r="T1374" s="2" t="s">
        <v>231</v>
      </c>
      <c r="U1374" s="2" t="s">
        <v>327</v>
      </c>
      <c r="V1374" s="2" t="s">
        <v>2195</v>
      </c>
      <c r="W1374" s="2" t="s">
        <v>6488</v>
      </c>
      <c r="X1374" s="2" t="s">
        <v>273</v>
      </c>
      <c r="Y1374" s="2" t="s">
        <v>6489</v>
      </c>
      <c r="Z1374" s="4">
        <v>40</v>
      </c>
      <c r="AA1374" s="4">
        <f>=ROUNDDOWN(20,0)</f>
      </c>
      <c r="AB1374" s="5">
        <v>2</v>
      </c>
      <c r="AC1374" s="2" t="s">
        <v>231</v>
      </c>
      <c r="AD1374" s="4"/>
      <c r="AE1374" s="4"/>
      <c r="AF1374" s="6">
        <v>63</v>
      </c>
      <c r="AG1374" s="6"/>
      <c r="AH1374" s="7">
        <v>1</v>
      </c>
      <c r="AI1374" s="4"/>
      <c r="AJ1374" s="4">
        <f>=ROUNDDOWN({0},0)</f>
      </c>
      <c r="AK1374" s="5"/>
      <c r="AL1374" s="2" t="s">
        <v>231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 t="s">
        <v>231</v>
      </c>
      <c r="BD1374" s="8" t="s">
        <v>231</v>
      </c>
      <c r="BE1374" s="4" t="s">
        <v>231</v>
      </c>
      <c r="BF1374" s="8" t="s">
        <v>231</v>
      </c>
      <c r="BG1374" s="7" t="s">
        <v>231</v>
      </c>
      <c r="BH1374" s="7" t="s">
        <v>231</v>
      </c>
      <c r="BI1374" s="7"/>
      <c r="BJ1374" s="4">
        <v>3</v>
      </c>
      <c r="BK1374" s="8">
        <v>20.97</v>
      </c>
      <c r="BL1374" s="2" t="s">
        <v>1306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6490</v>
      </c>
      <c r="BV1374" s="2" t="s">
        <v>231</v>
      </c>
      <c r="BW1374" s="2" t="s">
        <v>231</v>
      </c>
      <c r="BX1374" s="2" t="s">
        <v>241</v>
      </c>
      <c r="BY1374" s="2" t="s">
        <v>277</v>
      </c>
      <c r="BZ1374" s="2" t="s">
        <v>243</v>
      </c>
      <c r="CA1374" s="2" t="s">
        <v>3970</v>
      </c>
      <c r="CB1374" s="2" t="s">
        <v>231</v>
      </c>
      <c r="CC1374" s="2" t="s">
        <v>244</v>
      </c>
      <c r="CD1374" s="2" t="s">
        <v>231</v>
      </c>
      <c r="CE1374" s="4"/>
      <c r="CF1374" s="4">
        <v>40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</row>
    <row r="1375">
      <c r="A1375" s="2" t="s">
        <v>6491</v>
      </c>
      <c r="B1375" s="2" t="s">
        <v>847</v>
      </c>
      <c r="C1375" s="2" t="s">
        <v>288</v>
      </c>
      <c r="D1375" s="2" t="s">
        <v>882</v>
      </c>
      <c r="E1375" s="2" t="s">
        <v>2191</v>
      </c>
      <c r="F1375" s="2" t="s">
        <v>6485</v>
      </c>
      <c r="G1375" s="2" t="s">
        <v>6485</v>
      </c>
      <c r="H1375" s="2" t="s">
        <v>6485</v>
      </c>
      <c r="I1375" s="2" t="s">
        <v>6492</v>
      </c>
      <c r="J1375" s="2" t="s">
        <v>807</v>
      </c>
      <c r="K1375" s="2" t="s">
        <v>6493</v>
      </c>
      <c r="L1375" s="3">
        <v>6.66</v>
      </c>
      <c r="M1375" s="3">
        <v>6.99</v>
      </c>
      <c r="N1375" s="3">
        <v>19.99</v>
      </c>
      <c r="O1375" s="2" t="s">
        <v>243</v>
      </c>
      <c r="P1375" s="2" t="s">
        <v>236</v>
      </c>
      <c r="Q1375" s="2" t="s">
        <v>237</v>
      </c>
      <c r="R1375" s="2" t="s">
        <v>231</v>
      </c>
      <c r="S1375" s="2" t="s">
        <v>231</v>
      </c>
      <c r="T1375" s="2" t="s">
        <v>231</v>
      </c>
      <c r="U1375" s="2" t="s">
        <v>327</v>
      </c>
      <c r="V1375" s="2" t="s">
        <v>2195</v>
      </c>
      <c r="W1375" s="2" t="s">
        <v>6488</v>
      </c>
      <c r="X1375" s="2" t="s">
        <v>273</v>
      </c>
      <c r="Y1375" s="2" t="s">
        <v>6489</v>
      </c>
      <c r="Z1375" s="4">
        <v>82</v>
      </c>
      <c r="AA1375" s="4">
        <f>=ROUNDDOWN(82,0)</f>
      </c>
      <c r="AB1375" s="5">
        <v>1</v>
      </c>
      <c r="AC1375" s="2" t="s">
        <v>231</v>
      </c>
      <c r="AD1375" s="4"/>
      <c r="AE1375" s="4"/>
      <c r="AF1375" s="6">
        <v>63</v>
      </c>
      <c r="AG1375" s="6"/>
      <c r="AH1375" s="7">
        <v>1</v>
      </c>
      <c r="AI1375" s="4"/>
      <c r="AJ1375" s="4">
        <f>=ROUNDDOWN({0},0)</f>
      </c>
      <c r="AK1375" s="5"/>
      <c r="AL1375" s="2" t="s">
        <v>231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231</v>
      </c>
      <c r="BD1375" s="8" t="s">
        <v>231</v>
      </c>
      <c r="BE1375" s="4" t="s">
        <v>231</v>
      </c>
      <c r="BF1375" s="8" t="s">
        <v>231</v>
      </c>
      <c r="BG1375" s="7" t="s">
        <v>231</v>
      </c>
      <c r="BH1375" s="7" t="s">
        <v>231</v>
      </c>
      <c r="BI1375" s="7"/>
      <c r="BJ1375" s="4">
        <v>3</v>
      </c>
      <c r="BK1375" s="8">
        <v>20.97</v>
      </c>
      <c r="BL1375" s="2" t="s">
        <v>1306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6494</v>
      </c>
      <c r="BV1375" s="2" t="s">
        <v>231</v>
      </c>
      <c r="BW1375" s="2" t="s">
        <v>231</v>
      </c>
      <c r="BX1375" s="2" t="s">
        <v>241</v>
      </c>
      <c r="BY1375" s="2" t="s">
        <v>277</v>
      </c>
      <c r="BZ1375" s="2" t="s">
        <v>243</v>
      </c>
      <c r="CA1375" s="2" t="s">
        <v>3970</v>
      </c>
      <c r="CB1375" s="2" t="s">
        <v>231</v>
      </c>
      <c r="CC1375" s="2" t="s">
        <v>244</v>
      </c>
      <c r="CD1375" s="2" t="s">
        <v>231</v>
      </c>
      <c r="CE1375" s="4"/>
      <c r="CF1375" s="4">
        <v>82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</row>
    <row r="1376">
      <c r="A1376" s="2" t="s">
        <v>6495</v>
      </c>
      <c r="B1376" s="2" t="s">
        <v>847</v>
      </c>
      <c r="C1376" s="2" t="s">
        <v>288</v>
      </c>
      <c r="D1376" s="2" t="s">
        <v>882</v>
      </c>
      <c r="E1376" s="2" t="s">
        <v>2191</v>
      </c>
      <c r="F1376" s="2" t="s">
        <v>6485</v>
      </c>
      <c r="G1376" s="2" t="s">
        <v>6485</v>
      </c>
      <c r="H1376" s="2" t="s">
        <v>6485</v>
      </c>
      <c r="I1376" s="2" t="s">
        <v>6496</v>
      </c>
      <c r="J1376" s="2" t="s">
        <v>807</v>
      </c>
      <c r="K1376" s="2" t="s">
        <v>6497</v>
      </c>
      <c r="L1376" s="3">
        <v>6.66</v>
      </c>
      <c r="M1376" s="3">
        <v>6.99</v>
      </c>
      <c r="N1376" s="3">
        <v>19.99</v>
      </c>
      <c r="O1376" s="2" t="s">
        <v>243</v>
      </c>
      <c r="P1376" s="2" t="s">
        <v>236</v>
      </c>
      <c r="Q1376" s="2" t="s">
        <v>237</v>
      </c>
      <c r="R1376" s="2" t="s">
        <v>231</v>
      </c>
      <c r="S1376" s="2" t="s">
        <v>231</v>
      </c>
      <c r="T1376" s="2" t="s">
        <v>231</v>
      </c>
      <c r="U1376" s="2" t="s">
        <v>327</v>
      </c>
      <c r="V1376" s="2" t="s">
        <v>2195</v>
      </c>
      <c r="W1376" s="2" t="s">
        <v>6488</v>
      </c>
      <c r="X1376" s="2" t="s">
        <v>273</v>
      </c>
      <c r="Y1376" s="2" t="s">
        <v>6489</v>
      </c>
      <c r="Z1376" s="4">
        <v>60</v>
      </c>
      <c r="AA1376" s="4">
        <f>=ROUNDDOWN(60,0)</f>
      </c>
      <c r="AB1376" s="5">
        <v>1</v>
      </c>
      <c r="AC1376" s="2" t="s">
        <v>231</v>
      </c>
      <c r="AD1376" s="4"/>
      <c r="AE1376" s="4"/>
      <c r="AF1376" s="6">
        <v>63</v>
      </c>
      <c r="AG1376" s="6"/>
      <c r="AH1376" s="7">
        <v>1</v>
      </c>
      <c r="AI1376" s="4"/>
      <c r="AJ1376" s="4">
        <f>=ROUNDDOWN({0},0)</f>
      </c>
      <c r="AK1376" s="5"/>
      <c r="AL1376" s="2" t="s">
        <v>231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 t="s">
        <v>231</v>
      </c>
      <c r="BD1376" s="8" t="s">
        <v>231</v>
      </c>
      <c r="BE1376" s="4" t="s">
        <v>231</v>
      </c>
      <c r="BF1376" s="8" t="s">
        <v>231</v>
      </c>
      <c r="BG1376" s="7" t="s">
        <v>231</v>
      </c>
      <c r="BH1376" s="7" t="s">
        <v>231</v>
      </c>
      <c r="BI1376" s="7"/>
      <c r="BJ1376" s="4">
        <v>3</v>
      </c>
      <c r="BK1376" s="8">
        <v>20.97</v>
      </c>
      <c r="BL1376" s="2" t="s">
        <v>1306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6498</v>
      </c>
      <c r="BV1376" s="2" t="s">
        <v>231</v>
      </c>
      <c r="BW1376" s="2" t="s">
        <v>231</v>
      </c>
      <c r="BX1376" s="2" t="s">
        <v>241</v>
      </c>
      <c r="BY1376" s="2" t="s">
        <v>277</v>
      </c>
      <c r="BZ1376" s="2" t="s">
        <v>243</v>
      </c>
      <c r="CA1376" s="2" t="s">
        <v>3970</v>
      </c>
      <c r="CB1376" s="2" t="s">
        <v>231</v>
      </c>
      <c r="CC1376" s="2" t="s">
        <v>244</v>
      </c>
      <c r="CD1376" s="2" t="s">
        <v>231</v>
      </c>
      <c r="CE1376" s="4"/>
      <c r="CF1376" s="4">
        <v>60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</row>
    <row r="1377">
      <c r="A1377" s="2" t="s">
        <v>6499</v>
      </c>
      <c r="B1377" s="2" t="s">
        <v>847</v>
      </c>
      <c r="C1377" s="2" t="s">
        <v>288</v>
      </c>
      <c r="D1377" s="2" t="s">
        <v>882</v>
      </c>
      <c r="E1377" s="2" t="s">
        <v>2191</v>
      </c>
      <c r="F1377" s="2" t="s">
        <v>6485</v>
      </c>
      <c r="G1377" s="2" t="s">
        <v>6485</v>
      </c>
      <c r="H1377" s="2" t="s">
        <v>6485</v>
      </c>
      <c r="I1377" s="2" t="s">
        <v>6500</v>
      </c>
      <c r="J1377" s="2" t="s">
        <v>807</v>
      </c>
      <c r="K1377" s="2" t="s">
        <v>6501</v>
      </c>
      <c r="L1377" s="3">
        <v>6.66</v>
      </c>
      <c r="M1377" s="3">
        <v>6.99</v>
      </c>
      <c r="N1377" s="3">
        <v>19.99</v>
      </c>
      <c r="O1377" s="2" t="s">
        <v>243</v>
      </c>
      <c r="P1377" s="2" t="s">
        <v>236</v>
      </c>
      <c r="Q1377" s="2" t="s">
        <v>237</v>
      </c>
      <c r="R1377" s="2" t="s">
        <v>231</v>
      </c>
      <c r="S1377" s="2" t="s">
        <v>231</v>
      </c>
      <c r="T1377" s="2" t="s">
        <v>231</v>
      </c>
      <c r="U1377" s="2" t="s">
        <v>327</v>
      </c>
      <c r="V1377" s="2" t="s">
        <v>2195</v>
      </c>
      <c r="W1377" s="2" t="s">
        <v>6488</v>
      </c>
      <c r="X1377" s="2" t="s">
        <v>273</v>
      </c>
      <c r="Y1377" s="2" t="s">
        <v>6489</v>
      </c>
      <c r="Z1377" s="4">
        <v>72</v>
      </c>
      <c r="AA1377" s="4">
        <f>=ROUNDDOWN(72,0)</f>
      </c>
      <c r="AB1377" s="5">
        <v>1</v>
      </c>
      <c r="AC1377" s="2" t="s">
        <v>231</v>
      </c>
      <c r="AD1377" s="4"/>
      <c r="AE1377" s="4"/>
      <c r="AF1377" s="6">
        <v>63</v>
      </c>
      <c r="AG1377" s="6"/>
      <c r="AH1377" s="7">
        <v>1</v>
      </c>
      <c r="AI1377" s="4"/>
      <c r="AJ1377" s="4">
        <f>=ROUNDDOWN({0},0)</f>
      </c>
      <c r="AK1377" s="5"/>
      <c r="AL1377" s="2" t="s">
        <v>231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 t="s">
        <v>231</v>
      </c>
      <c r="BD1377" s="8" t="s">
        <v>231</v>
      </c>
      <c r="BE1377" s="4" t="s">
        <v>231</v>
      </c>
      <c r="BF1377" s="8" t="s">
        <v>231</v>
      </c>
      <c r="BG1377" s="7" t="s">
        <v>231</v>
      </c>
      <c r="BH1377" s="7" t="s">
        <v>231</v>
      </c>
      <c r="BI1377" s="7"/>
      <c r="BJ1377" s="4">
        <v>3</v>
      </c>
      <c r="BK1377" s="8">
        <v>20.97</v>
      </c>
      <c r="BL1377" s="2" t="s">
        <v>1306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6502</v>
      </c>
      <c r="BV1377" s="2" t="s">
        <v>231</v>
      </c>
      <c r="BW1377" s="2" t="s">
        <v>231</v>
      </c>
      <c r="BX1377" s="2" t="s">
        <v>241</v>
      </c>
      <c r="BY1377" s="2" t="s">
        <v>277</v>
      </c>
      <c r="BZ1377" s="2" t="s">
        <v>243</v>
      </c>
      <c r="CA1377" s="2" t="s">
        <v>3970</v>
      </c>
      <c r="CB1377" s="2" t="s">
        <v>231</v>
      </c>
      <c r="CC1377" s="2" t="s">
        <v>244</v>
      </c>
      <c r="CD1377" s="2" t="s">
        <v>231</v>
      </c>
      <c r="CE1377" s="4"/>
      <c r="CF1377" s="4">
        <v>72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</row>
    <row r="1378">
      <c r="A1378" s="2" t="s">
        <v>6503</v>
      </c>
      <c r="B1378" s="2" t="s">
        <v>847</v>
      </c>
      <c r="C1378" s="2" t="s">
        <v>288</v>
      </c>
      <c r="D1378" s="2" t="s">
        <v>882</v>
      </c>
      <c r="E1378" s="2" t="s">
        <v>2191</v>
      </c>
      <c r="F1378" s="2" t="s">
        <v>6485</v>
      </c>
      <c r="G1378" s="2" t="s">
        <v>6485</v>
      </c>
      <c r="H1378" s="2" t="s">
        <v>6485</v>
      </c>
      <c r="I1378" s="2" t="s">
        <v>6504</v>
      </c>
      <c r="J1378" s="2" t="s">
        <v>807</v>
      </c>
      <c r="K1378" s="2" t="s">
        <v>6505</v>
      </c>
      <c r="L1378" s="3">
        <v>6.66</v>
      </c>
      <c r="M1378" s="3">
        <v>6.99</v>
      </c>
      <c r="N1378" s="3">
        <v>19.99</v>
      </c>
      <c r="O1378" s="2" t="s">
        <v>243</v>
      </c>
      <c r="P1378" s="2" t="s">
        <v>236</v>
      </c>
      <c r="Q1378" s="2" t="s">
        <v>237</v>
      </c>
      <c r="R1378" s="2" t="s">
        <v>231</v>
      </c>
      <c r="S1378" s="2" t="s">
        <v>231</v>
      </c>
      <c r="T1378" s="2" t="s">
        <v>231</v>
      </c>
      <c r="U1378" s="2" t="s">
        <v>327</v>
      </c>
      <c r="V1378" s="2" t="s">
        <v>2195</v>
      </c>
      <c r="W1378" s="2" t="s">
        <v>6488</v>
      </c>
      <c r="X1378" s="2" t="s">
        <v>273</v>
      </c>
      <c r="Y1378" s="2" t="s">
        <v>6489</v>
      </c>
      <c r="Z1378" s="4">
        <v>124</v>
      </c>
      <c r="AA1378" s="4">
        <f>=ROUNDDOWN(124,0)</f>
      </c>
      <c r="AB1378" s="5">
        <v>1</v>
      </c>
      <c r="AC1378" s="2" t="s">
        <v>231</v>
      </c>
      <c r="AD1378" s="4"/>
      <c r="AE1378" s="4"/>
      <c r="AF1378" s="6">
        <v>63</v>
      </c>
      <c r="AG1378" s="6"/>
      <c r="AH1378" s="7">
        <v>1</v>
      </c>
      <c r="AI1378" s="4"/>
      <c r="AJ1378" s="4">
        <f>=ROUNDDOWN({0},0)</f>
      </c>
      <c r="AK1378" s="5"/>
      <c r="AL1378" s="2" t="s">
        <v>231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 t="s">
        <v>231</v>
      </c>
      <c r="BD1378" s="8" t="s">
        <v>231</v>
      </c>
      <c r="BE1378" s="4" t="s">
        <v>231</v>
      </c>
      <c r="BF1378" s="8" t="s">
        <v>231</v>
      </c>
      <c r="BG1378" s="7" t="s">
        <v>231</v>
      </c>
      <c r="BH1378" s="7" t="s">
        <v>231</v>
      </c>
      <c r="BI1378" s="7"/>
      <c r="BJ1378" s="4">
        <v>4</v>
      </c>
      <c r="BK1378" s="8">
        <v>29.4</v>
      </c>
      <c r="BL1378" s="2" t="s">
        <v>2225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6506</v>
      </c>
      <c r="BV1378" s="2" t="s">
        <v>231</v>
      </c>
      <c r="BW1378" s="2" t="s">
        <v>231</v>
      </c>
      <c r="BX1378" s="2" t="s">
        <v>241</v>
      </c>
      <c r="BY1378" s="2" t="s">
        <v>277</v>
      </c>
      <c r="BZ1378" s="2" t="s">
        <v>243</v>
      </c>
      <c r="CA1378" s="2" t="s">
        <v>3970</v>
      </c>
      <c r="CB1378" s="2" t="s">
        <v>231</v>
      </c>
      <c r="CC1378" s="2" t="s">
        <v>244</v>
      </c>
      <c r="CD1378" s="2" t="s">
        <v>231</v>
      </c>
      <c r="CE1378" s="4"/>
      <c r="CF1378" s="4">
        <v>124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</row>
    <row r="1379">
      <c r="A1379" s="2" t="s">
        <v>6507</v>
      </c>
      <c r="B1379" s="2" t="s">
        <v>847</v>
      </c>
      <c r="C1379" s="2" t="s">
        <v>288</v>
      </c>
      <c r="D1379" s="2" t="s">
        <v>882</v>
      </c>
      <c r="E1379" s="2" t="s">
        <v>2191</v>
      </c>
      <c r="F1379" s="2" t="s">
        <v>6485</v>
      </c>
      <c r="G1379" s="2" t="s">
        <v>6485</v>
      </c>
      <c r="H1379" s="2" t="s">
        <v>6485</v>
      </c>
      <c r="I1379" s="2" t="s">
        <v>6508</v>
      </c>
      <c r="J1379" s="2" t="s">
        <v>807</v>
      </c>
      <c r="K1379" s="2" t="s">
        <v>6509</v>
      </c>
      <c r="L1379" s="3">
        <v>6.66</v>
      </c>
      <c r="M1379" s="3">
        <v>6.99</v>
      </c>
      <c r="N1379" s="3">
        <v>19.99</v>
      </c>
      <c r="O1379" s="2" t="s">
        <v>243</v>
      </c>
      <c r="P1379" s="2" t="s">
        <v>236</v>
      </c>
      <c r="Q1379" s="2" t="s">
        <v>237</v>
      </c>
      <c r="R1379" s="2" t="s">
        <v>231</v>
      </c>
      <c r="S1379" s="2" t="s">
        <v>231</v>
      </c>
      <c r="T1379" s="2" t="s">
        <v>231</v>
      </c>
      <c r="U1379" s="2" t="s">
        <v>327</v>
      </c>
      <c r="V1379" s="2" t="s">
        <v>2195</v>
      </c>
      <c r="W1379" s="2" t="s">
        <v>6488</v>
      </c>
      <c r="X1379" s="2" t="s">
        <v>273</v>
      </c>
      <c r="Y1379" s="2" t="s">
        <v>6489</v>
      </c>
      <c r="Z1379" s="4">
        <v>64</v>
      </c>
      <c r="AA1379" s="4">
        <f>=ROUNDDOWN(64,0)</f>
      </c>
      <c r="AB1379" s="5">
        <v>1</v>
      </c>
      <c r="AC1379" s="2" t="s">
        <v>231</v>
      </c>
      <c r="AD1379" s="4"/>
      <c r="AE1379" s="4"/>
      <c r="AF1379" s="6">
        <v>63</v>
      </c>
      <c r="AG1379" s="6"/>
      <c r="AH1379" s="7">
        <v>1</v>
      </c>
      <c r="AI1379" s="4"/>
      <c r="AJ1379" s="4">
        <f>=ROUNDDOWN({0},0)</f>
      </c>
      <c r="AK1379" s="5"/>
      <c r="AL1379" s="2" t="s">
        <v>231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 t="s">
        <v>231</v>
      </c>
      <c r="BD1379" s="8" t="s">
        <v>231</v>
      </c>
      <c r="BE1379" s="4" t="s">
        <v>231</v>
      </c>
      <c r="BF1379" s="8" t="s">
        <v>231</v>
      </c>
      <c r="BG1379" s="7" t="s">
        <v>231</v>
      </c>
      <c r="BH1379" s="7" t="s">
        <v>231</v>
      </c>
      <c r="BI1379" s="7"/>
      <c r="BJ1379" s="4"/>
      <c r="BK1379" s="8"/>
      <c r="BL1379" s="2" t="s">
        <v>231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6510</v>
      </c>
      <c r="BV1379" s="2" t="s">
        <v>231</v>
      </c>
      <c r="BW1379" s="2" t="s">
        <v>231</v>
      </c>
      <c r="BX1379" s="2" t="s">
        <v>241</v>
      </c>
      <c r="BY1379" s="2" t="s">
        <v>277</v>
      </c>
      <c r="BZ1379" s="2" t="s">
        <v>243</v>
      </c>
      <c r="CA1379" s="2" t="s">
        <v>3970</v>
      </c>
      <c r="CB1379" s="2" t="s">
        <v>231</v>
      </c>
      <c r="CC1379" s="2" t="s">
        <v>244</v>
      </c>
      <c r="CD1379" s="2" t="s">
        <v>231</v>
      </c>
      <c r="CE1379" s="4"/>
      <c r="CF1379" s="4">
        <v>64</v>
      </c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</row>
    <row r="1380">
      <c r="A1380" s="2" t="s">
        <v>6511</v>
      </c>
      <c r="B1380" s="2" t="s">
        <v>847</v>
      </c>
      <c r="C1380" s="2" t="s">
        <v>288</v>
      </c>
      <c r="D1380" s="2" t="s">
        <v>882</v>
      </c>
      <c r="E1380" s="2" t="s">
        <v>2191</v>
      </c>
      <c r="F1380" s="2" t="s">
        <v>6485</v>
      </c>
      <c r="G1380" s="2" t="s">
        <v>6485</v>
      </c>
      <c r="H1380" s="2" t="s">
        <v>6485</v>
      </c>
      <c r="I1380" s="2" t="s">
        <v>6512</v>
      </c>
      <c r="J1380" s="2" t="s">
        <v>807</v>
      </c>
      <c r="K1380" s="2" t="s">
        <v>6513</v>
      </c>
      <c r="L1380" s="3">
        <v>6.66</v>
      </c>
      <c r="M1380" s="3">
        <v>6.99</v>
      </c>
      <c r="N1380" s="3">
        <v>19.99</v>
      </c>
      <c r="O1380" s="2" t="s">
        <v>243</v>
      </c>
      <c r="P1380" s="2" t="s">
        <v>236</v>
      </c>
      <c r="Q1380" s="2" t="s">
        <v>237</v>
      </c>
      <c r="R1380" s="2" t="s">
        <v>231</v>
      </c>
      <c r="S1380" s="2" t="s">
        <v>231</v>
      </c>
      <c r="T1380" s="2" t="s">
        <v>231</v>
      </c>
      <c r="U1380" s="2" t="s">
        <v>327</v>
      </c>
      <c r="V1380" s="2" t="s">
        <v>2195</v>
      </c>
      <c r="W1380" s="2" t="s">
        <v>6488</v>
      </c>
      <c r="X1380" s="2" t="s">
        <v>273</v>
      </c>
      <c r="Y1380" s="2" t="s">
        <v>6489</v>
      </c>
      <c r="Z1380" s="4">
        <v>80</v>
      </c>
      <c r="AA1380" s="4">
        <f>=ROUNDDOWN(80,0)</f>
      </c>
      <c r="AB1380" s="5">
        <v>1</v>
      </c>
      <c r="AC1380" s="2" t="s">
        <v>231</v>
      </c>
      <c r="AD1380" s="4"/>
      <c r="AE1380" s="4"/>
      <c r="AF1380" s="6">
        <v>63</v>
      </c>
      <c r="AG1380" s="6"/>
      <c r="AH1380" s="7">
        <v>1</v>
      </c>
      <c r="AI1380" s="4"/>
      <c r="AJ1380" s="4">
        <f>=ROUNDDOWN({0},0)</f>
      </c>
      <c r="AK1380" s="5"/>
      <c r="AL1380" s="2" t="s">
        <v>231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231</v>
      </c>
      <c r="BD1380" s="8" t="s">
        <v>231</v>
      </c>
      <c r="BE1380" s="4" t="s">
        <v>231</v>
      </c>
      <c r="BF1380" s="8" t="s">
        <v>231</v>
      </c>
      <c r="BG1380" s="7" t="s">
        <v>231</v>
      </c>
      <c r="BH1380" s="7" t="s">
        <v>231</v>
      </c>
      <c r="BI1380" s="7"/>
      <c r="BJ1380" s="4">
        <v>2</v>
      </c>
      <c r="BK1380" s="8">
        <v>20.22</v>
      </c>
      <c r="BL1380" s="2" t="s">
        <v>1306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6514</v>
      </c>
      <c r="BV1380" s="2" t="s">
        <v>231</v>
      </c>
      <c r="BW1380" s="2" t="s">
        <v>231</v>
      </c>
      <c r="BX1380" s="2" t="s">
        <v>241</v>
      </c>
      <c r="BY1380" s="2" t="s">
        <v>277</v>
      </c>
      <c r="BZ1380" s="2" t="s">
        <v>243</v>
      </c>
      <c r="CA1380" s="2" t="s">
        <v>3970</v>
      </c>
      <c r="CB1380" s="2" t="s">
        <v>231</v>
      </c>
      <c r="CC1380" s="2" t="s">
        <v>244</v>
      </c>
      <c r="CD1380" s="2" t="s">
        <v>231</v>
      </c>
      <c r="CE1380" s="4"/>
      <c r="CF1380" s="4">
        <v>80</v>
      </c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</row>
    <row r="1381">
      <c r="A1381" s="2" t="s">
        <v>6515</v>
      </c>
      <c r="B1381" s="2" t="s">
        <v>1186</v>
      </c>
      <c r="C1381" s="2" t="s">
        <v>631</v>
      </c>
      <c r="D1381" s="2" t="s">
        <v>1462</v>
      </c>
      <c r="E1381" s="2" t="s">
        <v>1463</v>
      </c>
      <c r="F1381" s="2" t="s">
        <v>6516</v>
      </c>
      <c r="G1381" s="2" t="s">
        <v>6516</v>
      </c>
      <c r="H1381" s="2" t="s">
        <v>6516</v>
      </c>
      <c r="I1381" s="2" t="s">
        <v>6517</v>
      </c>
      <c r="J1381" s="2" t="s">
        <v>669</v>
      </c>
      <c r="K1381" s="2" t="s">
        <v>269</v>
      </c>
      <c r="L1381" s="3">
        <v>45.71</v>
      </c>
      <c r="M1381" s="3">
        <v>48</v>
      </c>
      <c r="N1381" s="3">
        <v>99.99</v>
      </c>
      <c r="O1381" s="2" t="s">
        <v>243</v>
      </c>
      <c r="P1381" s="2" t="s">
        <v>341</v>
      </c>
      <c r="Q1381" s="2" t="s">
        <v>237</v>
      </c>
      <c r="R1381" s="2" t="s">
        <v>231</v>
      </c>
      <c r="S1381" s="2" t="s">
        <v>6518</v>
      </c>
      <c r="T1381" s="2" t="s">
        <v>231</v>
      </c>
      <c r="U1381" s="2" t="s">
        <v>835</v>
      </c>
      <c r="V1381" s="2" t="s">
        <v>239</v>
      </c>
      <c r="W1381" s="2" t="s">
        <v>273</v>
      </c>
      <c r="X1381" s="2" t="s">
        <v>231</v>
      </c>
      <c r="Y1381" s="2" t="s">
        <v>1640</v>
      </c>
      <c r="Z1381" s="4">
        <v>150</v>
      </c>
      <c r="AA1381" s="4">
        <f>=ROUNDDOWN(37.5,0)</f>
      </c>
      <c r="AB1381" s="5">
        <v>4</v>
      </c>
      <c r="AC1381" s="2" t="s">
        <v>231</v>
      </c>
      <c r="AD1381" s="4"/>
      <c r="AE1381" s="4"/>
      <c r="AF1381" s="6">
        <v>65</v>
      </c>
      <c r="AG1381" s="6"/>
      <c r="AH1381" s="7">
        <v>0.2258</v>
      </c>
      <c r="AI1381" s="4"/>
      <c r="AJ1381" s="4">
        <f>=ROUNDDOWN({0},0)</f>
      </c>
      <c r="AK1381" s="5"/>
      <c r="AL1381" s="2" t="s">
        <v>231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/>
      <c r="BD1381" s="8"/>
      <c r="BE1381" s="4"/>
      <c r="BF1381" s="8"/>
      <c r="BG1381" s="7"/>
      <c r="BH1381" s="7"/>
      <c r="BI1381" s="7"/>
      <c r="BJ1381" s="4">
        <v>3</v>
      </c>
      <c r="BK1381" s="8">
        <v>124.8</v>
      </c>
      <c r="BL1381" s="2" t="s">
        <v>3002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6519</v>
      </c>
      <c r="BV1381" s="2" t="s">
        <v>231</v>
      </c>
      <c r="BW1381" s="2" t="s">
        <v>231</v>
      </c>
      <c r="BX1381" s="2" t="s">
        <v>231</v>
      </c>
      <c r="BY1381" s="2" t="s">
        <v>277</v>
      </c>
      <c r="BZ1381" s="2" t="s">
        <v>243</v>
      </c>
      <c r="CA1381" s="2" t="s">
        <v>1643</v>
      </c>
      <c r="CB1381" s="2" t="s">
        <v>3808</v>
      </c>
      <c r="CC1381" s="2" t="s">
        <v>244</v>
      </c>
      <c r="CD1381" s="2" t="s">
        <v>231</v>
      </c>
      <c r="CE1381" s="4">
        <v>150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</row>
    <row r="1382">
      <c r="A1382" s="2" t="s">
        <v>6520</v>
      </c>
      <c r="B1382" s="2" t="s">
        <v>262</v>
      </c>
      <c r="C1382" s="2" t="s">
        <v>965</v>
      </c>
      <c r="D1382" s="2" t="s">
        <v>1624</v>
      </c>
      <c r="E1382" s="2" t="s">
        <v>3164</v>
      </c>
      <c r="F1382" s="2" t="s">
        <v>6521</v>
      </c>
      <c r="G1382" s="2" t="s">
        <v>6521</v>
      </c>
      <c r="H1382" s="2" t="s">
        <v>6521</v>
      </c>
      <c r="I1382" s="2" t="s">
        <v>6522</v>
      </c>
      <c r="J1382" s="2" t="s">
        <v>6523</v>
      </c>
      <c r="K1382" s="2" t="s">
        <v>1513</v>
      </c>
      <c r="L1382" s="3">
        <v>25.14</v>
      </c>
      <c r="M1382" s="3">
        <v>26.4</v>
      </c>
      <c r="N1382" s="3">
        <v>54.99</v>
      </c>
      <c r="O1382" s="2" t="s">
        <v>243</v>
      </c>
      <c r="P1382" s="2" t="s">
        <v>270</v>
      </c>
      <c r="Q1382" s="2" t="s">
        <v>237</v>
      </c>
      <c r="R1382" s="2" t="s">
        <v>231</v>
      </c>
      <c r="S1382" s="2" t="s">
        <v>6524</v>
      </c>
      <c r="T1382" s="2" t="s">
        <v>231</v>
      </c>
      <c r="U1382" s="2" t="s">
        <v>231</v>
      </c>
      <c r="V1382" s="2" t="s">
        <v>239</v>
      </c>
      <c r="W1382" s="2" t="s">
        <v>273</v>
      </c>
      <c r="X1382" s="2" t="s">
        <v>231</v>
      </c>
      <c r="Y1382" s="2" t="s">
        <v>1326</v>
      </c>
      <c r="Z1382" s="4">
        <v>184</v>
      </c>
      <c r="AA1382" s="4">
        <f>=ROUNDDOWN(30.6666666666667,0)</f>
      </c>
      <c r="AB1382" s="5">
        <v>6</v>
      </c>
      <c r="AC1382" s="2" t="s">
        <v>321</v>
      </c>
      <c r="AD1382" s="4">
        <v>600</v>
      </c>
      <c r="AE1382" s="4">
        <v>600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231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/>
      <c r="AW1382" s="8"/>
      <c r="AX1382" s="4"/>
      <c r="AY1382" s="8"/>
      <c r="AZ1382" s="7"/>
      <c r="BA1382" s="7"/>
      <c r="BB1382" s="7"/>
      <c r="BC1382" s="4"/>
      <c r="BD1382" s="8"/>
      <c r="BE1382" s="4"/>
      <c r="BF1382" s="8"/>
      <c r="BG1382" s="7"/>
      <c r="BH1382" s="7"/>
      <c r="BI1382" s="7"/>
      <c r="BJ1382" s="4">
        <v>1</v>
      </c>
      <c r="BK1382" s="8">
        <v>28.91</v>
      </c>
      <c r="BL1382" s="2" t="s">
        <v>4671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6525</v>
      </c>
      <c r="BV1382" s="2" t="s">
        <v>231</v>
      </c>
      <c r="BW1382" s="2" t="s">
        <v>231</v>
      </c>
      <c r="BX1382" s="2" t="s">
        <v>231</v>
      </c>
      <c r="BY1382" s="2" t="s">
        <v>277</v>
      </c>
      <c r="BZ1382" s="2" t="s">
        <v>243</v>
      </c>
      <c r="CA1382" s="2" t="s">
        <v>3543</v>
      </c>
      <c r="CB1382" s="2" t="s">
        <v>822</v>
      </c>
      <c r="CC1382" s="2" t="s">
        <v>244</v>
      </c>
      <c r="CD1382" s="2" t="s">
        <v>231</v>
      </c>
      <c r="CE1382" s="4">
        <v>184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>
        <v>600</v>
      </c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</row>
    <row r="1383">
      <c r="A1383" s="2" t="s">
        <v>6526</v>
      </c>
      <c r="B1383" s="2" t="s">
        <v>1186</v>
      </c>
      <c r="C1383" s="2" t="s">
        <v>1836</v>
      </c>
      <c r="D1383" s="2" t="s">
        <v>654</v>
      </c>
      <c r="E1383" s="2" t="s">
        <v>655</v>
      </c>
      <c r="F1383" s="2" t="s">
        <v>6527</v>
      </c>
      <c r="G1383" s="2" t="s">
        <v>6527</v>
      </c>
      <c r="H1383" s="2" t="s">
        <v>6527</v>
      </c>
      <c r="I1383" s="2" t="s">
        <v>6528</v>
      </c>
      <c r="J1383" s="2" t="s">
        <v>281</v>
      </c>
      <c r="K1383" s="2" t="s">
        <v>253</v>
      </c>
      <c r="L1383" s="3">
        <v>93.31</v>
      </c>
      <c r="M1383" s="3">
        <v>97.98</v>
      </c>
      <c r="N1383" s="3">
        <v>204.99</v>
      </c>
      <c r="O1383" s="2" t="s">
        <v>243</v>
      </c>
      <c r="P1383" s="2" t="s">
        <v>1281</v>
      </c>
      <c r="Q1383" s="2" t="s">
        <v>237</v>
      </c>
      <c r="R1383" s="2" t="s">
        <v>231</v>
      </c>
      <c r="S1383" s="2" t="s">
        <v>6529</v>
      </c>
      <c r="T1383" s="2" t="s">
        <v>231</v>
      </c>
      <c r="U1383" s="2" t="s">
        <v>765</v>
      </c>
      <c r="V1383" s="2" t="s">
        <v>1444</v>
      </c>
      <c r="W1383" s="2" t="s">
        <v>676</v>
      </c>
      <c r="X1383" s="2" t="s">
        <v>971</v>
      </c>
      <c r="Y1383" s="2" t="s">
        <v>6530</v>
      </c>
      <c r="Z1383" s="4">
        <v>27</v>
      </c>
      <c r="AA1383" s="4">
        <f>=ROUNDDOWN(13.5,0)</f>
      </c>
      <c r="AB1383" s="5">
        <v>2</v>
      </c>
      <c r="AC1383" s="2" t="s">
        <v>1754</v>
      </c>
      <c r="AD1383" s="4">
        <v>10</v>
      </c>
      <c r="AE1383" s="4">
        <v>10</v>
      </c>
      <c r="AF1383" s="6">
        <v>66</v>
      </c>
      <c r="AG1383" s="6"/>
      <c r="AH1383" s="7">
        <v>1</v>
      </c>
      <c r="AI1383" s="4"/>
      <c r="AJ1383" s="4">
        <f>=ROUNDDOWN({0},0)</f>
      </c>
      <c r="AK1383" s="5"/>
      <c r="AL1383" s="2" t="s">
        <v>231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231</v>
      </c>
      <c r="AW1383" s="8" t="s">
        <v>231</v>
      </c>
      <c r="AX1383" s="4" t="s">
        <v>231</v>
      </c>
      <c r="AY1383" s="8" t="s">
        <v>231</v>
      </c>
      <c r="AZ1383" s="7" t="s">
        <v>231</v>
      </c>
      <c r="BA1383" s="7" t="s">
        <v>231</v>
      </c>
      <c r="BB1383" s="7"/>
      <c r="BC1383" s="4" t="s">
        <v>231</v>
      </c>
      <c r="BD1383" s="8" t="s">
        <v>231</v>
      </c>
      <c r="BE1383" s="4" t="s">
        <v>231</v>
      </c>
      <c r="BF1383" s="8" t="s">
        <v>231</v>
      </c>
      <c r="BG1383" s="7" t="s">
        <v>231</v>
      </c>
      <c r="BH1383" s="7" t="s">
        <v>231</v>
      </c>
      <c r="BI1383" s="7"/>
      <c r="BJ1383" s="4">
        <v>4</v>
      </c>
      <c r="BK1383" s="8">
        <v>389.42</v>
      </c>
      <c r="BL1383" s="2" t="s">
        <v>6531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6532</v>
      </c>
      <c r="BV1383" s="2" t="s">
        <v>231</v>
      </c>
      <c r="BW1383" s="2" t="s">
        <v>231</v>
      </c>
      <c r="BX1383" s="2" t="s">
        <v>231</v>
      </c>
      <c r="BY1383" s="2" t="s">
        <v>277</v>
      </c>
      <c r="BZ1383" s="2" t="s">
        <v>243</v>
      </c>
      <c r="CA1383" s="2" t="s">
        <v>6533</v>
      </c>
      <c r="CB1383" s="2" t="s">
        <v>4844</v>
      </c>
      <c r="CC1383" s="2" t="s">
        <v>244</v>
      </c>
      <c r="CD1383" s="2" t="s">
        <v>231</v>
      </c>
      <c r="CE1383" s="4">
        <v>27</v>
      </c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>
        <v>10</v>
      </c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</row>
    <row r="1384">
      <c r="A1384" s="2" t="s">
        <v>6534</v>
      </c>
      <c r="B1384" s="2" t="s">
        <v>1186</v>
      </c>
      <c r="C1384" s="2" t="s">
        <v>1836</v>
      </c>
      <c r="D1384" s="2" t="s">
        <v>826</v>
      </c>
      <c r="E1384" s="2" t="s">
        <v>827</v>
      </c>
      <c r="F1384" s="2" t="s">
        <v>6527</v>
      </c>
      <c r="G1384" s="2" t="s">
        <v>6527</v>
      </c>
      <c r="H1384" s="2" t="s">
        <v>6527</v>
      </c>
      <c r="I1384" s="2" t="s">
        <v>6535</v>
      </c>
      <c r="J1384" s="2" t="s">
        <v>658</v>
      </c>
      <c r="K1384" s="2" t="s">
        <v>253</v>
      </c>
      <c r="L1384" s="3">
        <v>75</v>
      </c>
      <c r="M1384" s="3">
        <v>78.74</v>
      </c>
      <c r="N1384" s="3">
        <v>159.99</v>
      </c>
      <c r="O1384" s="2" t="s">
        <v>243</v>
      </c>
      <c r="P1384" s="2" t="s">
        <v>1281</v>
      </c>
      <c r="Q1384" s="2" t="s">
        <v>237</v>
      </c>
      <c r="R1384" s="2" t="s">
        <v>231</v>
      </c>
      <c r="S1384" s="2" t="s">
        <v>6529</v>
      </c>
      <c r="T1384" s="2" t="s">
        <v>231</v>
      </c>
      <c r="U1384" s="2" t="s">
        <v>231</v>
      </c>
      <c r="V1384" s="2" t="s">
        <v>1444</v>
      </c>
      <c r="W1384" s="2" t="s">
        <v>676</v>
      </c>
      <c r="X1384" s="2" t="s">
        <v>971</v>
      </c>
      <c r="Y1384" s="2" t="s">
        <v>6530</v>
      </c>
      <c r="Z1384" s="4">
        <v>58</v>
      </c>
      <c r="AA1384" s="4">
        <f>=ROUNDDOWN(19.3333333333333,0)</f>
      </c>
      <c r="AB1384" s="5">
        <v>3</v>
      </c>
      <c r="AC1384" s="2" t="s">
        <v>1754</v>
      </c>
      <c r="AD1384" s="4">
        <v>43</v>
      </c>
      <c r="AE1384" s="4">
        <v>43</v>
      </c>
      <c r="AF1384" s="6">
        <v>66</v>
      </c>
      <c r="AG1384" s="6"/>
      <c r="AH1384" s="7">
        <v>1</v>
      </c>
      <c r="AI1384" s="4"/>
      <c r="AJ1384" s="4">
        <f>=ROUNDDOWN({0},0)</f>
      </c>
      <c r="AK1384" s="5"/>
      <c r="AL1384" s="2" t="s">
        <v>231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231</v>
      </c>
      <c r="AW1384" s="8" t="s">
        <v>231</v>
      </c>
      <c r="AX1384" s="4" t="s">
        <v>231</v>
      </c>
      <c r="AY1384" s="8" t="s">
        <v>231</v>
      </c>
      <c r="AZ1384" s="7" t="s">
        <v>231</v>
      </c>
      <c r="BA1384" s="7" t="s">
        <v>231</v>
      </c>
      <c r="BB1384" s="7"/>
      <c r="BC1384" s="4" t="s">
        <v>231</v>
      </c>
      <c r="BD1384" s="8" t="s">
        <v>231</v>
      </c>
      <c r="BE1384" s="4" t="s">
        <v>231</v>
      </c>
      <c r="BF1384" s="8" t="s">
        <v>231</v>
      </c>
      <c r="BG1384" s="7" t="s">
        <v>231</v>
      </c>
      <c r="BH1384" s="7" t="s">
        <v>231</v>
      </c>
      <c r="BI1384" s="7"/>
      <c r="BJ1384" s="4">
        <v>6</v>
      </c>
      <c r="BK1384" s="8">
        <v>474.67</v>
      </c>
      <c r="BL1384" s="2" t="s">
        <v>6536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6537</v>
      </c>
      <c r="BV1384" s="2" t="s">
        <v>231</v>
      </c>
      <c r="BW1384" s="2" t="s">
        <v>231</v>
      </c>
      <c r="BX1384" s="2" t="s">
        <v>231</v>
      </c>
      <c r="BY1384" s="2" t="s">
        <v>277</v>
      </c>
      <c r="BZ1384" s="2" t="s">
        <v>243</v>
      </c>
      <c r="CA1384" s="2" t="s">
        <v>2727</v>
      </c>
      <c r="CB1384" s="2" t="s">
        <v>6538</v>
      </c>
      <c r="CC1384" s="2" t="s">
        <v>244</v>
      </c>
      <c r="CD1384" s="2" t="s">
        <v>231</v>
      </c>
      <c r="CE1384" s="4">
        <v>58</v>
      </c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>
        <v>43</v>
      </c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</row>
    <row r="1385">
      <c r="A1385" s="2" t="s">
        <v>6539</v>
      </c>
      <c r="B1385" s="2" t="s">
        <v>1186</v>
      </c>
      <c r="C1385" s="2" t="s">
        <v>3461</v>
      </c>
      <c r="D1385" s="2" t="s">
        <v>826</v>
      </c>
      <c r="E1385" s="2" t="s">
        <v>827</v>
      </c>
      <c r="F1385" s="2" t="s">
        <v>6540</v>
      </c>
      <c r="G1385" s="2" t="s">
        <v>6540</v>
      </c>
      <c r="H1385" s="2" t="s">
        <v>6540</v>
      </c>
      <c r="I1385" s="2" t="s">
        <v>6541</v>
      </c>
      <c r="J1385" s="2" t="s">
        <v>302</v>
      </c>
      <c r="K1385" s="2" t="s">
        <v>253</v>
      </c>
      <c r="L1385" s="3">
        <v>84.6</v>
      </c>
      <c r="M1385" s="3">
        <v>88.83</v>
      </c>
      <c r="N1385" s="3">
        <v>179.99</v>
      </c>
      <c r="O1385" s="2" t="s">
        <v>243</v>
      </c>
      <c r="P1385" s="2" t="s">
        <v>871</v>
      </c>
      <c r="Q1385" s="2" t="s">
        <v>237</v>
      </c>
      <c r="R1385" s="2" t="s">
        <v>231</v>
      </c>
      <c r="S1385" s="2" t="s">
        <v>6542</v>
      </c>
      <c r="T1385" s="2" t="s">
        <v>362</v>
      </c>
      <c r="U1385" s="2" t="s">
        <v>835</v>
      </c>
      <c r="V1385" s="2" t="s">
        <v>239</v>
      </c>
      <c r="W1385" s="2" t="s">
        <v>792</v>
      </c>
      <c r="X1385" s="2" t="s">
        <v>691</v>
      </c>
      <c r="Y1385" s="2" t="s">
        <v>2288</v>
      </c>
      <c r="Z1385" s="4">
        <v>26</v>
      </c>
      <c r="AA1385" s="4">
        <f>=ROUNDDOWN(6.5,0)</f>
      </c>
      <c r="AB1385" s="5">
        <v>4</v>
      </c>
      <c r="AC1385" s="2" t="s">
        <v>3288</v>
      </c>
      <c r="AD1385" s="4">
        <v>50</v>
      </c>
      <c r="AE1385" s="4">
        <v>193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231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231</v>
      </c>
      <c r="AW1385" s="8" t="s">
        <v>231</v>
      </c>
      <c r="AX1385" s="4" t="s">
        <v>231</v>
      </c>
      <c r="AY1385" s="8" t="s">
        <v>231</v>
      </c>
      <c r="AZ1385" s="7" t="s">
        <v>231</v>
      </c>
      <c r="BA1385" s="7" t="s">
        <v>231</v>
      </c>
      <c r="BB1385" s="7"/>
      <c r="BC1385" s="4" t="s">
        <v>231</v>
      </c>
      <c r="BD1385" s="8" t="s">
        <v>231</v>
      </c>
      <c r="BE1385" s="4" t="s">
        <v>231</v>
      </c>
      <c r="BF1385" s="8" t="s">
        <v>231</v>
      </c>
      <c r="BG1385" s="7" t="s">
        <v>231</v>
      </c>
      <c r="BH1385" s="7" t="s">
        <v>231</v>
      </c>
      <c r="BI1385" s="7"/>
      <c r="BJ1385" s="4">
        <v>10</v>
      </c>
      <c r="BK1385" s="8">
        <v>830.26</v>
      </c>
      <c r="BL1385" s="2" t="s">
        <v>353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6543</v>
      </c>
      <c r="BV1385" s="2" t="s">
        <v>231</v>
      </c>
      <c r="BW1385" s="2" t="s">
        <v>231</v>
      </c>
      <c r="BX1385" s="2" t="s">
        <v>231</v>
      </c>
      <c r="BY1385" s="2" t="s">
        <v>277</v>
      </c>
      <c r="BZ1385" s="2" t="s">
        <v>243</v>
      </c>
      <c r="CA1385" s="2" t="s">
        <v>4380</v>
      </c>
      <c r="CB1385" s="2" t="s">
        <v>2307</v>
      </c>
      <c r="CC1385" s="2" t="s">
        <v>244</v>
      </c>
      <c r="CD1385" s="2" t="s">
        <v>231</v>
      </c>
      <c r="CE1385" s="4">
        <v>26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>
        <v>50</v>
      </c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>
        <v>55</v>
      </c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>
        <v>88</v>
      </c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</row>
    <row r="1386">
      <c r="A1386" s="2" t="s">
        <v>6544</v>
      </c>
      <c r="B1386" s="2" t="s">
        <v>1186</v>
      </c>
      <c r="C1386" s="2" t="s">
        <v>3461</v>
      </c>
      <c r="D1386" s="2" t="s">
        <v>1139</v>
      </c>
      <c r="E1386" s="2" t="s">
        <v>1140</v>
      </c>
      <c r="F1386" s="2" t="s">
        <v>6540</v>
      </c>
      <c r="G1386" s="2" t="s">
        <v>6540</v>
      </c>
      <c r="H1386" s="2" t="s">
        <v>6540</v>
      </c>
      <c r="I1386" s="2" t="s">
        <v>6545</v>
      </c>
      <c r="J1386" s="2" t="s">
        <v>2749</v>
      </c>
      <c r="K1386" s="2" t="s">
        <v>253</v>
      </c>
      <c r="L1386" s="3">
        <v>18</v>
      </c>
      <c r="M1386" s="3">
        <v>18.9</v>
      </c>
      <c r="N1386" s="3">
        <v>44.99</v>
      </c>
      <c r="O1386" s="2" t="s">
        <v>243</v>
      </c>
      <c r="P1386" s="2" t="s">
        <v>871</v>
      </c>
      <c r="Q1386" s="2" t="s">
        <v>237</v>
      </c>
      <c r="R1386" s="2" t="s">
        <v>231</v>
      </c>
      <c r="S1386" s="2" t="s">
        <v>6546</v>
      </c>
      <c r="T1386" s="2" t="s">
        <v>362</v>
      </c>
      <c r="U1386" s="2" t="s">
        <v>327</v>
      </c>
      <c r="V1386" s="2" t="s">
        <v>239</v>
      </c>
      <c r="W1386" s="2" t="s">
        <v>792</v>
      </c>
      <c r="X1386" s="2" t="s">
        <v>691</v>
      </c>
      <c r="Y1386" s="2" t="s">
        <v>2288</v>
      </c>
      <c r="Z1386" s="4">
        <v>125</v>
      </c>
      <c r="AA1386" s="4">
        <f>=ROUNDDOWN(36.7647058823529,0)</f>
      </c>
      <c r="AB1386" s="5">
        <v>3.4</v>
      </c>
      <c r="AC1386" s="2" t="s">
        <v>701</v>
      </c>
      <c r="AD1386" s="4">
        <v>90</v>
      </c>
      <c r="AE1386" s="4">
        <v>90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231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231</v>
      </c>
      <c r="AW1386" s="8" t="s">
        <v>231</v>
      </c>
      <c r="AX1386" s="4" t="s">
        <v>231</v>
      </c>
      <c r="AY1386" s="8" t="s">
        <v>231</v>
      </c>
      <c r="AZ1386" s="7" t="s">
        <v>231</v>
      </c>
      <c r="BA1386" s="7" t="s">
        <v>231</v>
      </c>
      <c r="BB1386" s="7"/>
      <c r="BC1386" s="4" t="s">
        <v>231</v>
      </c>
      <c r="BD1386" s="8" t="s">
        <v>231</v>
      </c>
      <c r="BE1386" s="4" t="s">
        <v>231</v>
      </c>
      <c r="BF1386" s="8" t="s">
        <v>231</v>
      </c>
      <c r="BG1386" s="7" t="s">
        <v>231</v>
      </c>
      <c r="BH1386" s="7" t="s">
        <v>231</v>
      </c>
      <c r="BI1386" s="7"/>
      <c r="BJ1386" s="4">
        <v>9</v>
      </c>
      <c r="BK1386" s="8">
        <v>161.23</v>
      </c>
      <c r="BL1386" s="2" t="s">
        <v>6547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6548</v>
      </c>
      <c r="BV1386" s="2" t="s">
        <v>231</v>
      </c>
      <c r="BW1386" s="2" t="s">
        <v>231</v>
      </c>
      <c r="BX1386" s="2" t="s">
        <v>231</v>
      </c>
      <c r="BY1386" s="2" t="s">
        <v>277</v>
      </c>
      <c r="BZ1386" s="2" t="s">
        <v>243</v>
      </c>
      <c r="CA1386" s="2" t="s">
        <v>4380</v>
      </c>
      <c r="CB1386" s="2" t="s">
        <v>6549</v>
      </c>
      <c r="CC1386" s="2" t="s">
        <v>244</v>
      </c>
      <c r="CD1386" s="2" t="s">
        <v>231</v>
      </c>
      <c r="CE1386" s="4">
        <v>125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>
        <v>90</v>
      </c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</row>
    <row r="1387">
      <c r="A1387" s="2" t="s">
        <v>6550</v>
      </c>
      <c r="B1387" s="2" t="s">
        <v>1004</v>
      </c>
      <c r="C1387" s="2" t="s">
        <v>288</v>
      </c>
      <c r="D1387" s="2" t="s">
        <v>1917</v>
      </c>
      <c r="E1387" s="2" t="s">
        <v>2495</v>
      </c>
      <c r="F1387" s="2" t="s">
        <v>6551</v>
      </c>
      <c r="G1387" s="2" t="s">
        <v>6552</v>
      </c>
      <c r="H1387" s="2" t="s">
        <v>6553</v>
      </c>
      <c r="I1387" s="2" t="s">
        <v>6554</v>
      </c>
      <c r="J1387" s="2" t="s">
        <v>807</v>
      </c>
      <c r="K1387" s="2" t="s">
        <v>6555</v>
      </c>
      <c r="L1387" s="3">
        <v>192.5</v>
      </c>
      <c r="M1387" s="3">
        <v>202.12</v>
      </c>
      <c r="N1387" s="3">
        <v>409</v>
      </c>
      <c r="O1387" s="2" t="s">
        <v>235</v>
      </c>
      <c r="P1387" s="2" t="s">
        <v>341</v>
      </c>
      <c r="Q1387" s="2" t="s">
        <v>237</v>
      </c>
      <c r="R1387" s="2" t="s">
        <v>231</v>
      </c>
      <c r="S1387" s="2" t="s">
        <v>6556</v>
      </c>
      <c r="T1387" s="2" t="s">
        <v>231</v>
      </c>
      <c r="U1387" s="2" t="s">
        <v>231</v>
      </c>
      <c r="V1387" s="2" t="s">
        <v>239</v>
      </c>
      <c r="W1387" s="2" t="s">
        <v>792</v>
      </c>
      <c r="X1387" s="2" t="s">
        <v>231</v>
      </c>
      <c r="Y1387" s="2" t="s">
        <v>1078</v>
      </c>
      <c r="Z1387" s="4">
        <v>19</v>
      </c>
      <c r="AA1387" s="4">
        <f>=ROUNDDOWN(10,0)</f>
      </c>
      <c r="AB1387" s="5">
        <v>1.9</v>
      </c>
      <c r="AC1387" s="2" t="s">
        <v>231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231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/>
      <c r="BD1387" s="8"/>
      <c r="BE1387" s="4"/>
      <c r="BF1387" s="8"/>
      <c r="BG1387" s="7"/>
      <c r="BH1387" s="7"/>
      <c r="BI1387" s="7"/>
      <c r="BJ1387" s="4">
        <v>9</v>
      </c>
      <c r="BK1387" s="8">
        <v>1365.42</v>
      </c>
      <c r="BL1387" s="2" t="s">
        <v>6557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6558</v>
      </c>
      <c r="BV1387" s="2" t="s">
        <v>231</v>
      </c>
      <c r="BW1387" s="2" t="s">
        <v>231</v>
      </c>
      <c r="BX1387" s="2" t="s">
        <v>231</v>
      </c>
      <c r="BY1387" s="2" t="s">
        <v>277</v>
      </c>
      <c r="BZ1387" s="2" t="s">
        <v>243</v>
      </c>
      <c r="CA1387" s="2" t="s">
        <v>2582</v>
      </c>
      <c r="CB1387" s="2" t="s">
        <v>6559</v>
      </c>
      <c r="CC1387" s="2" t="s">
        <v>244</v>
      </c>
      <c r="CD1387" s="2" t="s">
        <v>231</v>
      </c>
      <c r="CE1387" s="4"/>
      <c r="CF1387" s="4">
        <v>19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</row>
    <row r="1388">
      <c r="A1388" s="2" t="s">
        <v>6560</v>
      </c>
      <c r="B1388" s="2" t="s">
        <v>1389</v>
      </c>
      <c r="C1388" s="2" t="s">
        <v>288</v>
      </c>
      <c r="D1388" s="2" t="s">
        <v>1389</v>
      </c>
      <c r="E1388" s="2" t="s">
        <v>1389</v>
      </c>
      <c r="F1388" s="2" t="s">
        <v>6561</v>
      </c>
      <c r="G1388" s="2" t="s">
        <v>6562</v>
      </c>
      <c r="H1388" s="2" t="s">
        <v>6563</v>
      </c>
      <c r="I1388" s="2" t="s">
        <v>6564</v>
      </c>
      <c r="J1388" s="2" t="s">
        <v>3206</v>
      </c>
      <c r="K1388" s="2" t="s">
        <v>6565</v>
      </c>
      <c r="L1388" s="3">
        <v>32.66</v>
      </c>
      <c r="M1388" s="3">
        <v>34.29</v>
      </c>
      <c r="N1388" s="3">
        <v>74.99</v>
      </c>
      <c r="O1388" s="2" t="s">
        <v>243</v>
      </c>
      <c r="P1388" s="2" t="s">
        <v>341</v>
      </c>
      <c r="Q1388" s="2" t="s">
        <v>237</v>
      </c>
      <c r="R1388" s="2" t="s">
        <v>231</v>
      </c>
      <c r="S1388" s="2" t="s">
        <v>231</v>
      </c>
      <c r="T1388" s="2" t="s">
        <v>231</v>
      </c>
      <c r="U1388" s="2" t="s">
        <v>327</v>
      </c>
      <c r="V1388" s="2" t="s">
        <v>3223</v>
      </c>
      <c r="W1388" s="2" t="s">
        <v>2541</v>
      </c>
      <c r="X1388" s="2" t="s">
        <v>231</v>
      </c>
      <c r="Y1388" s="2" t="s">
        <v>3198</v>
      </c>
      <c r="Z1388" s="4">
        <v>53</v>
      </c>
      <c r="AA1388" s="4">
        <f>=ROUNDDOWN(265,0)</f>
      </c>
      <c r="AB1388" s="5">
        <v>0.2</v>
      </c>
      <c r="AC1388" s="2" t="s">
        <v>231</v>
      </c>
      <c r="AD1388" s="4"/>
      <c r="AE1388" s="4"/>
      <c r="AF1388" s="6">
        <v>63</v>
      </c>
      <c r="AG1388" s="6"/>
      <c r="AH1388" s="7">
        <v>1</v>
      </c>
      <c r="AI1388" s="4"/>
      <c r="AJ1388" s="4">
        <f>=ROUNDDOWN({0},0)</f>
      </c>
      <c r="AK1388" s="5"/>
      <c r="AL1388" s="2" t="s">
        <v>231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231</v>
      </c>
      <c r="AW1388" s="8" t="s">
        <v>231</v>
      </c>
      <c r="AX1388" s="4" t="s">
        <v>231</v>
      </c>
      <c r="AY1388" s="8" t="s">
        <v>231</v>
      </c>
      <c r="AZ1388" s="7" t="s">
        <v>231</v>
      </c>
      <c r="BA1388" s="7" t="s">
        <v>231</v>
      </c>
      <c r="BB1388" s="7"/>
      <c r="BC1388" s="4" t="s">
        <v>231</v>
      </c>
      <c r="BD1388" s="8" t="s">
        <v>231</v>
      </c>
      <c r="BE1388" s="4" t="s">
        <v>231</v>
      </c>
      <c r="BF1388" s="8" t="s">
        <v>231</v>
      </c>
      <c r="BG1388" s="7" t="s">
        <v>231</v>
      </c>
      <c r="BH1388" s="7" t="s">
        <v>231</v>
      </c>
      <c r="BI1388" s="7"/>
      <c r="BJ1388" s="4">
        <v>1</v>
      </c>
      <c r="BK1388" s="8">
        <v>36.01</v>
      </c>
      <c r="BL1388" s="2" t="s">
        <v>6566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6567</v>
      </c>
      <c r="BV1388" s="2" t="s">
        <v>231</v>
      </c>
      <c r="BW1388" s="2" t="s">
        <v>231</v>
      </c>
      <c r="BX1388" s="2" t="s">
        <v>231</v>
      </c>
      <c r="BY1388" s="2" t="s">
        <v>277</v>
      </c>
      <c r="BZ1388" s="2" t="s">
        <v>243</v>
      </c>
      <c r="CA1388" s="2" t="s">
        <v>1398</v>
      </c>
      <c r="CB1388" s="2" t="s">
        <v>231</v>
      </c>
      <c r="CC1388" s="2" t="s">
        <v>244</v>
      </c>
      <c r="CD1388" s="2" t="s">
        <v>231</v>
      </c>
      <c r="CE1388" s="4"/>
      <c r="CF1388" s="4">
        <v>53</v>
      </c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</row>
    <row r="1389">
      <c r="A1389" s="2" t="s">
        <v>6568</v>
      </c>
      <c r="B1389" s="2" t="s">
        <v>1389</v>
      </c>
      <c r="C1389" s="2" t="s">
        <v>288</v>
      </c>
      <c r="D1389" s="2" t="s">
        <v>1389</v>
      </c>
      <c r="E1389" s="2" t="s">
        <v>1389</v>
      </c>
      <c r="F1389" s="2" t="s">
        <v>6561</v>
      </c>
      <c r="G1389" s="2" t="s">
        <v>6562</v>
      </c>
      <c r="H1389" s="2" t="s">
        <v>6563</v>
      </c>
      <c r="I1389" s="2" t="s">
        <v>6564</v>
      </c>
      <c r="J1389" s="2" t="s">
        <v>1393</v>
      </c>
      <c r="K1389" s="2" t="s">
        <v>6565</v>
      </c>
      <c r="L1389" s="3">
        <v>49.11</v>
      </c>
      <c r="M1389" s="3">
        <v>51.57</v>
      </c>
      <c r="N1389" s="3">
        <v>109.99</v>
      </c>
      <c r="O1389" s="2" t="s">
        <v>243</v>
      </c>
      <c r="P1389" s="2" t="s">
        <v>341</v>
      </c>
      <c r="Q1389" s="2" t="s">
        <v>237</v>
      </c>
      <c r="R1389" s="2" t="s">
        <v>231</v>
      </c>
      <c r="S1389" s="2" t="s">
        <v>231</v>
      </c>
      <c r="T1389" s="2" t="s">
        <v>231</v>
      </c>
      <c r="U1389" s="2" t="s">
        <v>327</v>
      </c>
      <c r="V1389" s="2" t="s">
        <v>3223</v>
      </c>
      <c r="W1389" s="2" t="s">
        <v>2541</v>
      </c>
      <c r="X1389" s="2" t="s">
        <v>231</v>
      </c>
      <c r="Y1389" s="2" t="s">
        <v>3198</v>
      </c>
      <c r="Z1389" s="4">
        <v>220</v>
      </c>
      <c r="AA1389" s="4">
        <f>=ROUNDDOWN(68.75,0)</f>
      </c>
      <c r="AB1389" s="5">
        <v>3.2</v>
      </c>
      <c r="AC1389" s="2" t="s">
        <v>231</v>
      </c>
      <c r="AD1389" s="4"/>
      <c r="AE1389" s="4"/>
      <c r="AF1389" s="6">
        <v>63</v>
      </c>
      <c r="AG1389" s="6"/>
      <c r="AH1389" s="7">
        <v>1</v>
      </c>
      <c r="AI1389" s="4"/>
      <c r="AJ1389" s="4">
        <f>=ROUNDDOWN({0},0)</f>
      </c>
      <c r="AK1389" s="5"/>
      <c r="AL1389" s="2" t="s">
        <v>231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231</v>
      </c>
      <c r="AW1389" s="8" t="s">
        <v>231</v>
      </c>
      <c r="AX1389" s="4" t="s">
        <v>231</v>
      </c>
      <c r="AY1389" s="8" t="s">
        <v>231</v>
      </c>
      <c r="AZ1389" s="7" t="s">
        <v>231</v>
      </c>
      <c r="BA1389" s="7" t="s">
        <v>231</v>
      </c>
      <c r="BB1389" s="7"/>
      <c r="BC1389" s="4" t="s">
        <v>231</v>
      </c>
      <c r="BD1389" s="8" t="s">
        <v>231</v>
      </c>
      <c r="BE1389" s="4" t="s">
        <v>231</v>
      </c>
      <c r="BF1389" s="8" t="s">
        <v>231</v>
      </c>
      <c r="BG1389" s="7" t="s">
        <v>231</v>
      </c>
      <c r="BH1389" s="7" t="s">
        <v>231</v>
      </c>
      <c r="BI1389" s="7"/>
      <c r="BJ1389" s="4">
        <v>13</v>
      </c>
      <c r="BK1389" s="8">
        <v>378.98</v>
      </c>
      <c r="BL1389" s="2" t="s">
        <v>6569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6570</v>
      </c>
      <c r="BV1389" s="2" t="s">
        <v>231</v>
      </c>
      <c r="BW1389" s="2" t="s">
        <v>231</v>
      </c>
      <c r="BX1389" s="2" t="s">
        <v>231</v>
      </c>
      <c r="BY1389" s="2" t="s">
        <v>277</v>
      </c>
      <c r="BZ1389" s="2" t="s">
        <v>243</v>
      </c>
      <c r="CA1389" s="2" t="s">
        <v>1398</v>
      </c>
      <c r="CB1389" s="2" t="s">
        <v>231</v>
      </c>
      <c r="CC1389" s="2" t="s">
        <v>244</v>
      </c>
      <c r="CD1389" s="2" t="s">
        <v>231</v>
      </c>
      <c r="CE1389" s="4"/>
      <c r="CF1389" s="4">
        <v>220</v>
      </c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</row>
    <row r="1390">
      <c r="A1390" s="2" t="s">
        <v>6571</v>
      </c>
      <c r="B1390" s="2" t="s">
        <v>1389</v>
      </c>
      <c r="C1390" s="2" t="s">
        <v>288</v>
      </c>
      <c r="D1390" s="2" t="s">
        <v>1389</v>
      </c>
      <c r="E1390" s="2" t="s">
        <v>1389</v>
      </c>
      <c r="F1390" s="2" t="s">
        <v>6561</v>
      </c>
      <c r="G1390" s="2" t="s">
        <v>6562</v>
      </c>
      <c r="H1390" s="2" t="s">
        <v>6563</v>
      </c>
      <c r="I1390" s="2" t="s">
        <v>6564</v>
      </c>
      <c r="J1390" s="2" t="s">
        <v>3206</v>
      </c>
      <c r="K1390" s="2" t="s">
        <v>682</v>
      </c>
      <c r="L1390" s="3">
        <v>32.66</v>
      </c>
      <c r="M1390" s="3">
        <v>34.29</v>
      </c>
      <c r="N1390" s="3">
        <v>74.99</v>
      </c>
      <c r="O1390" s="2" t="s">
        <v>243</v>
      </c>
      <c r="P1390" s="2" t="s">
        <v>341</v>
      </c>
      <c r="Q1390" s="2" t="s">
        <v>237</v>
      </c>
      <c r="R1390" s="2" t="s">
        <v>231</v>
      </c>
      <c r="S1390" s="2" t="s">
        <v>6572</v>
      </c>
      <c r="T1390" s="2" t="s">
        <v>231</v>
      </c>
      <c r="U1390" s="2" t="s">
        <v>327</v>
      </c>
      <c r="V1390" s="2" t="s">
        <v>3223</v>
      </c>
      <c r="W1390" s="2" t="s">
        <v>2541</v>
      </c>
      <c r="X1390" s="2" t="s">
        <v>231</v>
      </c>
      <c r="Y1390" s="2" t="s">
        <v>845</v>
      </c>
      <c r="Z1390" s="4">
        <v>35</v>
      </c>
      <c r="AA1390" s="4">
        <f>=ROUNDDOWN({0},0)</f>
      </c>
      <c r="AB1390" s="5"/>
      <c r="AC1390" s="2" t="s">
        <v>231</v>
      </c>
      <c r="AD1390" s="4"/>
      <c r="AE1390" s="4"/>
      <c r="AF1390" s="6">
        <v>63</v>
      </c>
      <c r="AG1390" s="6"/>
      <c r="AH1390" s="7">
        <v>1</v>
      </c>
      <c r="AI1390" s="4"/>
      <c r="AJ1390" s="4">
        <f>=ROUNDDOWN({0},0)</f>
      </c>
      <c r="AK1390" s="5"/>
      <c r="AL1390" s="2" t="s">
        <v>231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231</v>
      </c>
      <c r="AW1390" s="8" t="s">
        <v>231</v>
      </c>
      <c r="AX1390" s="4" t="s">
        <v>231</v>
      </c>
      <c r="AY1390" s="8" t="s">
        <v>231</v>
      </c>
      <c r="AZ1390" s="7" t="s">
        <v>231</v>
      </c>
      <c r="BA1390" s="7" t="s">
        <v>231</v>
      </c>
      <c r="BB1390" s="7"/>
      <c r="BC1390" s="4" t="s">
        <v>231</v>
      </c>
      <c r="BD1390" s="8" t="s">
        <v>231</v>
      </c>
      <c r="BE1390" s="4" t="s">
        <v>231</v>
      </c>
      <c r="BF1390" s="8" t="s">
        <v>231</v>
      </c>
      <c r="BG1390" s="7" t="s">
        <v>231</v>
      </c>
      <c r="BH1390" s="7" t="s">
        <v>231</v>
      </c>
      <c r="BI1390" s="7"/>
      <c r="BJ1390" s="4">
        <v>1</v>
      </c>
      <c r="BK1390" s="8">
        <v>37.56</v>
      </c>
      <c r="BL1390" s="2" t="s">
        <v>1020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6573</v>
      </c>
      <c r="BV1390" s="2" t="s">
        <v>231</v>
      </c>
      <c r="BW1390" s="2" t="s">
        <v>231</v>
      </c>
      <c r="BX1390" s="2" t="s">
        <v>231</v>
      </c>
      <c r="BY1390" s="2" t="s">
        <v>277</v>
      </c>
      <c r="BZ1390" s="2" t="s">
        <v>243</v>
      </c>
      <c r="CA1390" s="2" t="s">
        <v>5855</v>
      </c>
      <c r="CB1390" s="2" t="s">
        <v>231</v>
      </c>
      <c r="CC1390" s="2" t="s">
        <v>244</v>
      </c>
      <c r="CD1390" s="2" t="s">
        <v>231</v>
      </c>
      <c r="CE1390" s="4"/>
      <c r="CF1390" s="4">
        <v>35</v>
      </c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</row>
    <row r="1391">
      <c r="A1391" s="2" t="s">
        <v>6574</v>
      </c>
      <c r="B1391" s="2" t="s">
        <v>1389</v>
      </c>
      <c r="C1391" s="2" t="s">
        <v>288</v>
      </c>
      <c r="D1391" s="2" t="s">
        <v>1389</v>
      </c>
      <c r="E1391" s="2" t="s">
        <v>1389</v>
      </c>
      <c r="F1391" s="2" t="s">
        <v>6561</v>
      </c>
      <c r="G1391" s="2" t="s">
        <v>6562</v>
      </c>
      <c r="H1391" s="2" t="s">
        <v>6563</v>
      </c>
      <c r="I1391" s="2" t="s">
        <v>6564</v>
      </c>
      <c r="J1391" s="2" t="s">
        <v>1393</v>
      </c>
      <c r="K1391" s="2" t="s">
        <v>682</v>
      </c>
      <c r="L1391" s="3">
        <v>49.11</v>
      </c>
      <c r="M1391" s="3">
        <v>51.57</v>
      </c>
      <c r="N1391" s="3">
        <v>109.99</v>
      </c>
      <c r="O1391" s="2" t="s">
        <v>243</v>
      </c>
      <c r="P1391" s="2" t="s">
        <v>341</v>
      </c>
      <c r="Q1391" s="2" t="s">
        <v>237</v>
      </c>
      <c r="R1391" s="2" t="s">
        <v>231</v>
      </c>
      <c r="S1391" s="2" t="s">
        <v>6572</v>
      </c>
      <c r="T1391" s="2" t="s">
        <v>231</v>
      </c>
      <c r="U1391" s="2" t="s">
        <v>327</v>
      </c>
      <c r="V1391" s="2" t="s">
        <v>3223</v>
      </c>
      <c r="W1391" s="2" t="s">
        <v>2541</v>
      </c>
      <c r="X1391" s="2" t="s">
        <v>231</v>
      </c>
      <c r="Y1391" s="2" t="s">
        <v>845</v>
      </c>
      <c r="Z1391" s="4">
        <v>50</v>
      </c>
      <c r="AA1391" s="4">
        <f>=ROUNDDOWN(250,0)</f>
      </c>
      <c r="AB1391" s="5">
        <v>0.2</v>
      </c>
      <c r="AC1391" s="2" t="s">
        <v>231</v>
      </c>
      <c r="AD1391" s="4"/>
      <c r="AE1391" s="4"/>
      <c r="AF1391" s="6">
        <v>63</v>
      </c>
      <c r="AG1391" s="6"/>
      <c r="AH1391" s="7">
        <v>1</v>
      </c>
      <c r="AI1391" s="4"/>
      <c r="AJ1391" s="4">
        <f>=ROUNDDOWN({0},0)</f>
      </c>
      <c r="AK1391" s="5"/>
      <c r="AL1391" s="2" t="s">
        <v>231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231</v>
      </c>
      <c r="AW1391" s="8" t="s">
        <v>231</v>
      </c>
      <c r="AX1391" s="4" t="s">
        <v>231</v>
      </c>
      <c r="AY1391" s="8" t="s">
        <v>231</v>
      </c>
      <c r="AZ1391" s="7" t="s">
        <v>231</v>
      </c>
      <c r="BA1391" s="7" t="s">
        <v>231</v>
      </c>
      <c r="BB1391" s="7"/>
      <c r="BC1391" s="4" t="s">
        <v>231</v>
      </c>
      <c r="BD1391" s="8" t="s">
        <v>231</v>
      </c>
      <c r="BE1391" s="4" t="s">
        <v>231</v>
      </c>
      <c r="BF1391" s="8" t="s">
        <v>231</v>
      </c>
      <c r="BG1391" s="7" t="s">
        <v>231</v>
      </c>
      <c r="BH1391" s="7" t="s">
        <v>231</v>
      </c>
      <c r="BI1391" s="7"/>
      <c r="BJ1391" s="4">
        <v>1</v>
      </c>
      <c r="BK1391" s="8">
        <v>56.48</v>
      </c>
      <c r="BL1391" s="2" t="s">
        <v>1020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6575</v>
      </c>
      <c r="BV1391" s="2" t="s">
        <v>231</v>
      </c>
      <c r="BW1391" s="2" t="s">
        <v>231</v>
      </c>
      <c r="BX1391" s="2" t="s">
        <v>231</v>
      </c>
      <c r="BY1391" s="2" t="s">
        <v>277</v>
      </c>
      <c r="BZ1391" s="2" t="s">
        <v>243</v>
      </c>
      <c r="CA1391" s="2" t="s">
        <v>5855</v>
      </c>
      <c r="CB1391" s="2" t="s">
        <v>231</v>
      </c>
      <c r="CC1391" s="2" t="s">
        <v>244</v>
      </c>
      <c r="CD1391" s="2" t="s">
        <v>231</v>
      </c>
      <c r="CE1391" s="4"/>
      <c r="CF1391" s="4">
        <v>50</v>
      </c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</row>
    <row r="1392">
      <c r="A1392" s="2" t="s">
        <v>6576</v>
      </c>
      <c r="B1392" s="2" t="s">
        <v>1389</v>
      </c>
      <c r="C1392" s="2" t="s">
        <v>288</v>
      </c>
      <c r="D1392" s="2" t="s">
        <v>1389</v>
      </c>
      <c r="E1392" s="2" t="s">
        <v>1389</v>
      </c>
      <c r="F1392" s="2" t="s">
        <v>6561</v>
      </c>
      <c r="G1392" s="2" t="s">
        <v>6562</v>
      </c>
      <c r="H1392" s="2" t="s">
        <v>6563</v>
      </c>
      <c r="I1392" s="2" t="s">
        <v>6564</v>
      </c>
      <c r="J1392" s="2" t="s">
        <v>2039</v>
      </c>
      <c r="K1392" s="2" t="s">
        <v>682</v>
      </c>
      <c r="L1392" s="3">
        <v>103.08</v>
      </c>
      <c r="M1392" s="3">
        <v>108.23</v>
      </c>
      <c r="N1392" s="3">
        <v>229.99</v>
      </c>
      <c r="O1392" s="2" t="s">
        <v>243</v>
      </c>
      <c r="P1392" s="2" t="s">
        <v>341</v>
      </c>
      <c r="Q1392" s="2" t="s">
        <v>237</v>
      </c>
      <c r="R1392" s="2" t="s">
        <v>231</v>
      </c>
      <c r="S1392" s="2" t="s">
        <v>6572</v>
      </c>
      <c r="T1392" s="2" t="s">
        <v>231</v>
      </c>
      <c r="U1392" s="2" t="s">
        <v>327</v>
      </c>
      <c r="V1392" s="2" t="s">
        <v>3223</v>
      </c>
      <c r="W1392" s="2" t="s">
        <v>2541</v>
      </c>
      <c r="X1392" s="2" t="s">
        <v>231</v>
      </c>
      <c r="Y1392" s="2" t="s">
        <v>845</v>
      </c>
      <c r="Z1392" s="4">
        <v>53</v>
      </c>
      <c r="AA1392" s="4">
        <f>=ROUNDDOWN({0},0)</f>
      </c>
      <c r="AB1392" s="5"/>
      <c r="AC1392" s="2" t="s">
        <v>231</v>
      </c>
      <c r="AD1392" s="4"/>
      <c r="AE1392" s="4"/>
      <c r="AF1392" s="6">
        <v>63</v>
      </c>
      <c r="AG1392" s="6"/>
      <c r="AH1392" s="7">
        <v>1</v>
      </c>
      <c r="AI1392" s="4"/>
      <c r="AJ1392" s="4">
        <f>=ROUNDDOWN({0},0)</f>
      </c>
      <c r="AK1392" s="5"/>
      <c r="AL1392" s="2" t="s">
        <v>231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231</v>
      </c>
      <c r="AW1392" s="8" t="s">
        <v>231</v>
      </c>
      <c r="AX1392" s="4" t="s">
        <v>231</v>
      </c>
      <c r="AY1392" s="8" t="s">
        <v>231</v>
      </c>
      <c r="AZ1392" s="7" t="s">
        <v>231</v>
      </c>
      <c r="BA1392" s="7" t="s">
        <v>231</v>
      </c>
      <c r="BB1392" s="7"/>
      <c r="BC1392" s="4" t="s">
        <v>231</v>
      </c>
      <c r="BD1392" s="8" t="s">
        <v>231</v>
      </c>
      <c r="BE1392" s="4" t="s">
        <v>231</v>
      </c>
      <c r="BF1392" s="8" t="s">
        <v>231</v>
      </c>
      <c r="BG1392" s="7" t="s">
        <v>231</v>
      </c>
      <c r="BH1392" s="7" t="s">
        <v>231</v>
      </c>
      <c r="BI1392" s="7"/>
      <c r="BJ1392" s="4"/>
      <c r="BK1392" s="8"/>
      <c r="BL1392" s="2" t="s">
        <v>937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6577</v>
      </c>
      <c r="BV1392" s="2" t="s">
        <v>231</v>
      </c>
      <c r="BW1392" s="2" t="s">
        <v>231</v>
      </c>
      <c r="BX1392" s="2" t="s">
        <v>231</v>
      </c>
      <c r="BY1392" s="2" t="s">
        <v>277</v>
      </c>
      <c r="BZ1392" s="2" t="s">
        <v>243</v>
      </c>
      <c r="CA1392" s="2" t="s">
        <v>5855</v>
      </c>
      <c r="CB1392" s="2" t="s">
        <v>6578</v>
      </c>
      <c r="CC1392" s="2" t="s">
        <v>244</v>
      </c>
      <c r="CD1392" s="2" t="s">
        <v>231</v>
      </c>
      <c r="CE1392" s="4"/>
      <c r="CF1392" s="4">
        <v>53</v>
      </c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</row>
    <row r="1393">
      <c r="A1393" s="2" t="s">
        <v>6579</v>
      </c>
      <c r="B1393" s="2" t="s">
        <v>1389</v>
      </c>
      <c r="C1393" s="2" t="s">
        <v>288</v>
      </c>
      <c r="D1393" s="2" t="s">
        <v>1389</v>
      </c>
      <c r="E1393" s="2" t="s">
        <v>1389</v>
      </c>
      <c r="F1393" s="2" t="s">
        <v>6561</v>
      </c>
      <c r="G1393" s="2" t="s">
        <v>6562</v>
      </c>
      <c r="H1393" s="2" t="s">
        <v>6563</v>
      </c>
      <c r="I1393" s="2" t="s">
        <v>6564</v>
      </c>
      <c r="J1393" s="2" t="s">
        <v>6119</v>
      </c>
      <c r="K1393" s="2" t="s">
        <v>6580</v>
      </c>
      <c r="L1393" s="3">
        <v>26.33</v>
      </c>
      <c r="M1393" s="3">
        <v>27.65</v>
      </c>
      <c r="N1393" s="3">
        <v>59.99</v>
      </c>
      <c r="O1393" s="2" t="s">
        <v>243</v>
      </c>
      <c r="P1393" s="2" t="s">
        <v>341</v>
      </c>
      <c r="Q1393" s="2" t="s">
        <v>237</v>
      </c>
      <c r="R1393" s="2" t="s">
        <v>231</v>
      </c>
      <c r="S1393" s="2" t="s">
        <v>6581</v>
      </c>
      <c r="T1393" s="2" t="s">
        <v>231</v>
      </c>
      <c r="U1393" s="2" t="s">
        <v>327</v>
      </c>
      <c r="V1393" s="2" t="s">
        <v>3223</v>
      </c>
      <c r="W1393" s="2" t="s">
        <v>2541</v>
      </c>
      <c r="X1393" s="2" t="s">
        <v>231</v>
      </c>
      <c r="Y1393" s="2" t="s">
        <v>845</v>
      </c>
      <c r="Z1393" s="4">
        <v>33</v>
      </c>
      <c r="AA1393" s="4">
        <f>=ROUNDDOWN(330,0)</f>
      </c>
      <c r="AB1393" s="5">
        <v>0.1</v>
      </c>
      <c r="AC1393" s="2" t="s">
        <v>231</v>
      </c>
      <c r="AD1393" s="4"/>
      <c r="AE1393" s="4"/>
      <c r="AF1393" s="6">
        <v>63</v>
      </c>
      <c r="AG1393" s="6"/>
      <c r="AH1393" s="7">
        <v>1</v>
      </c>
      <c r="AI1393" s="4"/>
      <c r="AJ1393" s="4">
        <f>=ROUNDDOWN({0},0)</f>
      </c>
      <c r="AK1393" s="5"/>
      <c r="AL1393" s="2" t="s">
        <v>231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231</v>
      </c>
      <c r="AW1393" s="8" t="s">
        <v>231</v>
      </c>
      <c r="AX1393" s="4" t="s">
        <v>231</v>
      </c>
      <c r="AY1393" s="8" t="s">
        <v>231</v>
      </c>
      <c r="AZ1393" s="7" t="s">
        <v>231</v>
      </c>
      <c r="BA1393" s="7" t="s">
        <v>231</v>
      </c>
      <c r="BB1393" s="7"/>
      <c r="BC1393" s="4" t="s">
        <v>231</v>
      </c>
      <c r="BD1393" s="8" t="s">
        <v>231</v>
      </c>
      <c r="BE1393" s="4" t="s">
        <v>231</v>
      </c>
      <c r="BF1393" s="8" t="s">
        <v>231</v>
      </c>
      <c r="BG1393" s="7" t="s">
        <v>231</v>
      </c>
      <c r="BH1393" s="7" t="s">
        <v>231</v>
      </c>
      <c r="BI1393" s="7"/>
      <c r="BJ1393" s="4"/>
      <c r="BK1393" s="8"/>
      <c r="BL1393" s="2" t="s">
        <v>465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6582</v>
      </c>
      <c r="BV1393" s="2" t="s">
        <v>231</v>
      </c>
      <c r="BW1393" s="2" t="s">
        <v>231</v>
      </c>
      <c r="BX1393" s="2" t="s">
        <v>231</v>
      </c>
      <c r="BY1393" s="2" t="s">
        <v>277</v>
      </c>
      <c r="BZ1393" s="2" t="s">
        <v>243</v>
      </c>
      <c r="CA1393" s="2" t="s">
        <v>5855</v>
      </c>
      <c r="CB1393" s="2" t="s">
        <v>231</v>
      </c>
      <c r="CC1393" s="2" t="s">
        <v>244</v>
      </c>
      <c r="CD1393" s="2" t="s">
        <v>231</v>
      </c>
      <c r="CE1393" s="4"/>
      <c r="CF1393" s="4">
        <v>33</v>
      </c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</row>
    <row r="1394">
      <c r="A1394" s="2" t="s">
        <v>6583</v>
      </c>
      <c r="B1394" s="2" t="s">
        <v>1389</v>
      </c>
      <c r="C1394" s="2" t="s">
        <v>288</v>
      </c>
      <c r="D1394" s="2" t="s">
        <v>1389</v>
      </c>
      <c r="E1394" s="2" t="s">
        <v>1389</v>
      </c>
      <c r="F1394" s="2" t="s">
        <v>6561</v>
      </c>
      <c r="G1394" s="2" t="s">
        <v>6562</v>
      </c>
      <c r="H1394" s="2" t="s">
        <v>6563</v>
      </c>
      <c r="I1394" s="2" t="s">
        <v>6564</v>
      </c>
      <c r="J1394" s="2" t="s">
        <v>3206</v>
      </c>
      <c r="K1394" s="2" t="s">
        <v>6580</v>
      </c>
      <c r="L1394" s="3">
        <v>32.66</v>
      </c>
      <c r="M1394" s="3">
        <v>34.29</v>
      </c>
      <c r="N1394" s="3">
        <v>74.99</v>
      </c>
      <c r="O1394" s="2" t="s">
        <v>243</v>
      </c>
      <c r="P1394" s="2" t="s">
        <v>341</v>
      </c>
      <c r="Q1394" s="2" t="s">
        <v>237</v>
      </c>
      <c r="R1394" s="2" t="s">
        <v>231</v>
      </c>
      <c r="S1394" s="2" t="s">
        <v>6581</v>
      </c>
      <c r="T1394" s="2" t="s">
        <v>231</v>
      </c>
      <c r="U1394" s="2" t="s">
        <v>327</v>
      </c>
      <c r="V1394" s="2" t="s">
        <v>3223</v>
      </c>
      <c r="W1394" s="2" t="s">
        <v>2541</v>
      </c>
      <c r="X1394" s="2" t="s">
        <v>231</v>
      </c>
      <c r="Y1394" s="2" t="s">
        <v>845</v>
      </c>
      <c r="Z1394" s="4">
        <v>2</v>
      </c>
      <c r="AA1394" s="4">
        <f>=ROUNDDOWN(2.5,0)</f>
      </c>
      <c r="AB1394" s="5">
        <v>0.8</v>
      </c>
      <c r="AC1394" s="2" t="s">
        <v>231</v>
      </c>
      <c r="AD1394" s="4"/>
      <c r="AE1394" s="4"/>
      <c r="AF1394" s="6">
        <v>63</v>
      </c>
      <c r="AG1394" s="6"/>
      <c r="AH1394" s="7">
        <v>1</v>
      </c>
      <c r="AI1394" s="4"/>
      <c r="AJ1394" s="4">
        <f>=ROUNDDOWN({0},0)</f>
      </c>
      <c r="AK1394" s="5"/>
      <c r="AL1394" s="2" t="s">
        <v>231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231</v>
      </c>
      <c r="AW1394" s="8" t="s">
        <v>231</v>
      </c>
      <c r="AX1394" s="4" t="s">
        <v>231</v>
      </c>
      <c r="AY1394" s="8" t="s">
        <v>231</v>
      </c>
      <c r="AZ1394" s="7" t="s">
        <v>231</v>
      </c>
      <c r="BA1394" s="7" t="s">
        <v>231</v>
      </c>
      <c r="BB1394" s="7"/>
      <c r="BC1394" s="4" t="s">
        <v>231</v>
      </c>
      <c r="BD1394" s="8" t="s">
        <v>231</v>
      </c>
      <c r="BE1394" s="4" t="s">
        <v>231</v>
      </c>
      <c r="BF1394" s="8" t="s">
        <v>231</v>
      </c>
      <c r="BG1394" s="7" t="s">
        <v>231</v>
      </c>
      <c r="BH1394" s="7" t="s">
        <v>231</v>
      </c>
      <c r="BI1394" s="7"/>
      <c r="BJ1394" s="4">
        <v>3</v>
      </c>
      <c r="BK1394" s="8">
        <v>113.16</v>
      </c>
      <c r="BL1394" s="2" t="s">
        <v>6584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6585</v>
      </c>
      <c r="BV1394" s="2" t="s">
        <v>231</v>
      </c>
      <c r="BW1394" s="2" t="s">
        <v>231</v>
      </c>
      <c r="BX1394" s="2" t="s">
        <v>231</v>
      </c>
      <c r="BY1394" s="2" t="s">
        <v>277</v>
      </c>
      <c r="BZ1394" s="2" t="s">
        <v>243</v>
      </c>
      <c r="CA1394" s="2" t="s">
        <v>5855</v>
      </c>
      <c r="CB1394" s="2" t="s">
        <v>231</v>
      </c>
      <c r="CC1394" s="2" t="s">
        <v>244</v>
      </c>
      <c r="CD1394" s="2" t="s">
        <v>231</v>
      </c>
      <c r="CE1394" s="4"/>
      <c r="CF1394" s="4">
        <v>2</v>
      </c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</row>
    <row r="1395">
      <c r="A1395" s="2" t="s">
        <v>6586</v>
      </c>
      <c r="B1395" s="2" t="s">
        <v>1389</v>
      </c>
      <c r="C1395" s="2" t="s">
        <v>288</v>
      </c>
      <c r="D1395" s="2" t="s">
        <v>1389</v>
      </c>
      <c r="E1395" s="2" t="s">
        <v>1389</v>
      </c>
      <c r="F1395" s="2" t="s">
        <v>6561</v>
      </c>
      <c r="G1395" s="2" t="s">
        <v>6562</v>
      </c>
      <c r="H1395" s="2" t="s">
        <v>6563</v>
      </c>
      <c r="I1395" s="2" t="s">
        <v>6564</v>
      </c>
      <c r="J1395" s="2" t="s">
        <v>1393</v>
      </c>
      <c r="K1395" s="2" t="s">
        <v>6580</v>
      </c>
      <c r="L1395" s="3">
        <v>49.11</v>
      </c>
      <c r="M1395" s="3">
        <v>51.57</v>
      </c>
      <c r="N1395" s="3">
        <v>109.99</v>
      </c>
      <c r="O1395" s="2" t="s">
        <v>243</v>
      </c>
      <c r="P1395" s="2" t="s">
        <v>341</v>
      </c>
      <c r="Q1395" s="2" t="s">
        <v>237</v>
      </c>
      <c r="R1395" s="2" t="s">
        <v>231</v>
      </c>
      <c r="S1395" s="2" t="s">
        <v>6581</v>
      </c>
      <c r="T1395" s="2" t="s">
        <v>231</v>
      </c>
      <c r="U1395" s="2" t="s">
        <v>327</v>
      </c>
      <c r="V1395" s="2" t="s">
        <v>3223</v>
      </c>
      <c r="W1395" s="2" t="s">
        <v>2541</v>
      </c>
      <c r="X1395" s="2" t="s">
        <v>231</v>
      </c>
      <c r="Y1395" s="2" t="s">
        <v>845</v>
      </c>
      <c r="Z1395" s="4">
        <v>19</v>
      </c>
      <c r="AA1395" s="4">
        <f>=ROUNDDOWN({0},0)</f>
      </c>
      <c r="AB1395" s="5"/>
      <c r="AC1395" s="2" t="s">
        <v>231</v>
      </c>
      <c r="AD1395" s="4"/>
      <c r="AE1395" s="4"/>
      <c r="AF1395" s="6">
        <v>63</v>
      </c>
      <c r="AG1395" s="6"/>
      <c r="AH1395" s="7">
        <v>1</v>
      </c>
      <c r="AI1395" s="4"/>
      <c r="AJ1395" s="4">
        <f>=ROUNDDOWN({0},0)</f>
      </c>
      <c r="AK1395" s="5"/>
      <c r="AL1395" s="2" t="s">
        <v>231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231</v>
      </c>
      <c r="AW1395" s="8" t="s">
        <v>231</v>
      </c>
      <c r="AX1395" s="4" t="s">
        <v>231</v>
      </c>
      <c r="AY1395" s="8" t="s">
        <v>231</v>
      </c>
      <c r="AZ1395" s="7" t="s">
        <v>231</v>
      </c>
      <c r="BA1395" s="7" t="s">
        <v>231</v>
      </c>
      <c r="BB1395" s="7"/>
      <c r="BC1395" s="4" t="s">
        <v>231</v>
      </c>
      <c r="BD1395" s="8" t="s">
        <v>231</v>
      </c>
      <c r="BE1395" s="4" t="s">
        <v>231</v>
      </c>
      <c r="BF1395" s="8" t="s">
        <v>231</v>
      </c>
      <c r="BG1395" s="7" t="s">
        <v>231</v>
      </c>
      <c r="BH1395" s="7" t="s">
        <v>231</v>
      </c>
      <c r="BI1395" s="7"/>
      <c r="BJ1395" s="4"/>
      <c r="BK1395" s="8"/>
      <c r="BL1395" s="2" t="s">
        <v>937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6587</v>
      </c>
      <c r="BV1395" s="2" t="s">
        <v>231</v>
      </c>
      <c r="BW1395" s="2" t="s">
        <v>231</v>
      </c>
      <c r="BX1395" s="2" t="s">
        <v>231</v>
      </c>
      <c r="BY1395" s="2" t="s">
        <v>277</v>
      </c>
      <c r="BZ1395" s="2" t="s">
        <v>243</v>
      </c>
      <c r="CA1395" s="2" t="s">
        <v>5855</v>
      </c>
      <c r="CB1395" s="2" t="s">
        <v>4002</v>
      </c>
      <c r="CC1395" s="2" t="s">
        <v>244</v>
      </c>
      <c r="CD1395" s="2" t="s">
        <v>231</v>
      </c>
      <c r="CE1395" s="4"/>
      <c r="CF1395" s="4">
        <v>19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</row>
    <row r="1396">
      <c r="A1396" s="2" t="s">
        <v>6588</v>
      </c>
      <c r="B1396" s="2" t="s">
        <v>1389</v>
      </c>
      <c r="C1396" s="2" t="s">
        <v>288</v>
      </c>
      <c r="D1396" s="2" t="s">
        <v>1389</v>
      </c>
      <c r="E1396" s="2" t="s">
        <v>1389</v>
      </c>
      <c r="F1396" s="2" t="s">
        <v>6561</v>
      </c>
      <c r="G1396" s="2" t="s">
        <v>6562</v>
      </c>
      <c r="H1396" s="2" t="s">
        <v>6563</v>
      </c>
      <c r="I1396" s="2" t="s">
        <v>6564</v>
      </c>
      <c r="J1396" s="2" t="s">
        <v>1401</v>
      </c>
      <c r="K1396" s="2" t="s">
        <v>6580</v>
      </c>
      <c r="L1396" s="3">
        <v>71.5</v>
      </c>
      <c r="M1396" s="3">
        <v>75.08</v>
      </c>
      <c r="N1396" s="3">
        <v>159.99</v>
      </c>
      <c r="O1396" s="2" t="s">
        <v>243</v>
      </c>
      <c r="P1396" s="2" t="s">
        <v>341</v>
      </c>
      <c r="Q1396" s="2" t="s">
        <v>237</v>
      </c>
      <c r="R1396" s="2" t="s">
        <v>231</v>
      </c>
      <c r="S1396" s="2" t="s">
        <v>6581</v>
      </c>
      <c r="T1396" s="2" t="s">
        <v>231</v>
      </c>
      <c r="U1396" s="2" t="s">
        <v>327</v>
      </c>
      <c r="V1396" s="2" t="s">
        <v>3223</v>
      </c>
      <c r="W1396" s="2" t="s">
        <v>2541</v>
      </c>
      <c r="X1396" s="2" t="s">
        <v>231</v>
      </c>
      <c r="Y1396" s="2" t="s">
        <v>845</v>
      </c>
      <c r="Z1396" s="4">
        <v>29</v>
      </c>
      <c r="AA1396" s="4">
        <f>=ROUNDDOWN(13.8095238095238,0)</f>
      </c>
      <c r="AB1396" s="5">
        <v>2.1</v>
      </c>
      <c r="AC1396" s="2" t="s">
        <v>231</v>
      </c>
      <c r="AD1396" s="4"/>
      <c r="AE1396" s="4"/>
      <c r="AF1396" s="6">
        <v>63</v>
      </c>
      <c r="AG1396" s="6"/>
      <c r="AH1396" s="7">
        <v>1</v>
      </c>
      <c r="AI1396" s="4"/>
      <c r="AJ1396" s="4">
        <f>=ROUNDDOWN({0},0)</f>
      </c>
      <c r="AK1396" s="5"/>
      <c r="AL1396" s="2" t="s">
        <v>231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231</v>
      </c>
      <c r="AW1396" s="8" t="s">
        <v>231</v>
      </c>
      <c r="AX1396" s="4" t="s">
        <v>231</v>
      </c>
      <c r="AY1396" s="8" t="s">
        <v>231</v>
      </c>
      <c r="AZ1396" s="7" t="s">
        <v>231</v>
      </c>
      <c r="BA1396" s="7" t="s">
        <v>231</v>
      </c>
      <c r="BB1396" s="7"/>
      <c r="BC1396" s="4" t="s">
        <v>231</v>
      </c>
      <c r="BD1396" s="8" t="s">
        <v>231</v>
      </c>
      <c r="BE1396" s="4" t="s">
        <v>231</v>
      </c>
      <c r="BF1396" s="8" t="s">
        <v>231</v>
      </c>
      <c r="BG1396" s="7" t="s">
        <v>231</v>
      </c>
      <c r="BH1396" s="7" t="s">
        <v>231</v>
      </c>
      <c r="BI1396" s="7"/>
      <c r="BJ1396" s="4">
        <v>6</v>
      </c>
      <c r="BK1396" s="8">
        <v>460.35</v>
      </c>
      <c r="BL1396" s="2" t="s">
        <v>3806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6589</v>
      </c>
      <c r="BV1396" s="2" t="s">
        <v>231</v>
      </c>
      <c r="BW1396" s="2" t="s">
        <v>231</v>
      </c>
      <c r="BX1396" s="2" t="s">
        <v>231</v>
      </c>
      <c r="BY1396" s="2" t="s">
        <v>277</v>
      </c>
      <c r="BZ1396" s="2" t="s">
        <v>243</v>
      </c>
      <c r="CA1396" s="2" t="s">
        <v>5855</v>
      </c>
      <c r="CB1396" s="2" t="s">
        <v>231</v>
      </c>
      <c r="CC1396" s="2" t="s">
        <v>244</v>
      </c>
      <c r="CD1396" s="2" t="s">
        <v>231</v>
      </c>
      <c r="CE1396" s="4"/>
      <c r="CF1396" s="4">
        <v>29</v>
      </c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</row>
    <row r="1397">
      <c r="A1397" s="2" t="s">
        <v>6590</v>
      </c>
      <c r="B1397" s="2" t="s">
        <v>1186</v>
      </c>
      <c r="C1397" s="2" t="s">
        <v>288</v>
      </c>
      <c r="D1397" s="2" t="s">
        <v>1462</v>
      </c>
      <c r="E1397" s="2" t="s">
        <v>1463</v>
      </c>
      <c r="F1397" s="2" t="s">
        <v>6591</v>
      </c>
      <c r="G1397" s="2" t="s">
        <v>6592</v>
      </c>
      <c r="H1397" s="2" t="s">
        <v>6593</v>
      </c>
      <c r="I1397" s="2" t="s">
        <v>6594</v>
      </c>
      <c r="J1397" s="2" t="s">
        <v>658</v>
      </c>
      <c r="K1397" s="2" t="s">
        <v>253</v>
      </c>
      <c r="L1397" s="3">
        <v>36.57</v>
      </c>
      <c r="M1397" s="3">
        <v>38.4</v>
      </c>
      <c r="N1397" s="3">
        <v>79.99</v>
      </c>
      <c r="O1397" s="2" t="s">
        <v>243</v>
      </c>
      <c r="P1397" s="2" t="s">
        <v>236</v>
      </c>
      <c r="Q1397" s="2" t="s">
        <v>237</v>
      </c>
      <c r="R1397" s="2" t="s">
        <v>231</v>
      </c>
      <c r="S1397" s="2" t="s">
        <v>6595</v>
      </c>
      <c r="T1397" s="2" t="s">
        <v>1432</v>
      </c>
      <c r="U1397" s="2" t="s">
        <v>835</v>
      </c>
      <c r="V1397" s="2" t="s">
        <v>987</v>
      </c>
      <c r="W1397" s="2" t="s">
        <v>273</v>
      </c>
      <c r="X1397" s="2" t="s">
        <v>231</v>
      </c>
      <c r="Y1397" s="2" t="s">
        <v>1878</v>
      </c>
      <c r="Z1397" s="4">
        <v>340</v>
      </c>
      <c r="AA1397" s="4">
        <f>=ROUNDDOWN(56.6666666666667,0)</f>
      </c>
      <c r="AB1397" s="5">
        <v>6</v>
      </c>
      <c r="AC1397" s="2" t="s">
        <v>231</v>
      </c>
      <c r="AD1397" s="4"/>
      <c r="AE1397" s="4"/>
      <c r="AF1397" s="6">
        <v>64</v>
      </c>
      <c r="AG1397" s="6"/>
      <c r="AH1397" s="7">
        <v>1</v>
      </c>
      <c r="AI1397" s="4"/>
      <c r="AJ1397" s="4">
        <f>=ROUNDDOWN({0},0)</f>
      </c>
      <c r="AK1397" s="5"/>
      <c r="AL1397" s="2" t="s">
        <v>231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231</v>
      </c>
      <c r="AW1397" s="8" t="s">
        <v>231</v>
      </c>
      <c r="AX1397" s="4" t="s">
        <v>231</v>
      </c>
      <c r="AY1397" s="8" t="s">
        <v>231</v>
      </c>
      <c r="AZ1397" s="7" t="s">
        <v>231</v>
      </c>
      <c r="BA1397" s="7" t="s">
        <v>231</v>
      </c>
      <c r="BB1397" s="7"/>
      <c r="BC1397" s="4" t="s">
        <v>231</v>
      </c>
      <c r="BD1397" s="8" t="s">
        <v>231</v>
      </c>
      <c r="BE1397" s="4" t="s">
        <v>231</v>
      </c>
      <c r="BF1397" s="8" t="s">
        <v>231</v>
      </c>
      <c r="BG1397" s="7" t="s">
        <v>231</v>
      </c>
      <c r="BH1397" s="7" t="s">
        <v>231</v>
      </c>
      <c r="BI1397" s="7"/>
      <c r="BJ1397" s="4">
        <v>2</v>
      </c>
      <c r="BK1397" s="8">
        <v>84.12</v>
      </c>
      <c r="BL1397" s="2" t="s">
        <v>1020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6596</v>
      </c>
      <c r="BV1397" s="2" t="s">
        <v>231</v>
      </c>
      <c r="BW1397" s="2" t="s">
        <v>231</v>
      </c>
      <c r="BX1397" s="2" t="s">
        <v>241</v>
      </c>
      <c r="BY1397" s="2" t="s">
        <v>277</v>
      </c>
      <c r="BZ1397" s="2" t="s">
        <v>243</v>
      </c>
      <c r="CA1397" s="2" t="s">
        <v>1598</v>
      </c>
      <c r="CB1397" s="2" t="s">
        <v>6597</v>
      </c>
      <c r="CC1397" s="2" t="s">
        <v>244</v>
      </c>
      <c r="CD1397" s="2" t="s">
        <v>231</v>
      </c>
      <c r="CE1397" s="4">
        <v>339</v>
      </c>
      <c r="CF1397" s="4">
        <v>1</v>
      </c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</row>
    <row r="1398">
      <c r="A1398" s="2" t="s">
        <v>6598</v>
      </c>
      <c r="B1398" s="2" t="s">
        <v>1186</v>
      </c>
      <c r="C1398" s="2" t="s">
        <v>288</v>
      </c>
      <c r="D1398" s="2" t="s">
        <v>1462</v>
      </c>
      <c r="E1398" s="2" t="s">
        <v>1463</v>
      </c>
      <c r="F1398" s="2" t="s">
        <v>6591</v>
      </c>
      <c r="G1398" s="2" t="s">
        <v>6592</v>
      </c>
      <c r="H1398" s="2" t="s">
        <v>6593</v>
      </c>
      <c r="I1398" s="2" t="s">
        <v>6594</v>
      </c>
      <c r="J1398" s="2" t="s">
        <v>669</v>
      </c>
      <c r="K1398" s="2" t="s">
        <v>253</v>
      </c>
      <c r="L1398" s="3">
        <v>41.14</v>
      </c>
      <c r="M1398" s="3">
        <v>43.2</v>
      </c>
      <c r="N1398" s="3">
        <v>89.99</v>
      </c>
      <c r="O1398" s="2" t="s">
        <v>243</v>
      </c>
      <c r="P1398" s="2" t="s">
        <v>236</v>
      </c>
      <c r="Q1398" s="2" t="s">
        <v>237</v>
      </c>
      <c r="R1398" s="2" t="s">
        <v>231</v>
      </c>
      <c r="S1398" s="2" t="s">
        <v>6595</v>
      </c>
      <c r="T1398" s="2" t="s">
        <v>1432</v>
      </c>
      <c r="U1398" s="2" t="s">
        <v>835</v>
      </c>
      <c r="V1398" s="2" t="s">
        <v>987</v>
      </c>
      <c r="W1398" s="2" t="s">
        <v>273</v>
      </c>
      <c r="X1398" s="2" t="s">
        <v>231</v>
      </c>
      <c r="Y1398" s="2" t="s">
        <v>930</v>
      </c>
      <c r="Z1398" s="4">
        <v>418</v>
      </c>
      <c r="AA1398" s="4">
        <f>=ROUNDDOWN(59.7142857142857,0)</f>
      </c>
      <c r="AB1398" s="5">
        <v>7</v>
      </c>
      <c r="AC1398" s="2" t="s">
        <v>231</v>
      </c>
      <c r="AD1398" s="4"/>
      <c r="AE1398" s="4"/>
      <c r="AF1398" s="6">
        <v>64</v>
      </c>
      <c r="AG1398" s="6"/>
      <c r="AH1398" s="7">
        <v>1</v>
      </c>
      <c r="AI1398" s="4"/>
      <c r="AJ1398" s="4">
        <f>=ROUNDDOWN({0},0)</f>
      </c>
      <c r="AK1398" s="5"/>
      <c r="AL1398" s="2" t="s">
        <v>231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231</v>
      </c>
      <c r="AW1398" s="8" t="s">
        <v>231</v>
      </c>
      <c r="AX1398" s="4" t="s">
        <v>231</v>
      </c>
      <c r="AY1398" s="8" t="s">
        <v>231</v>
      </c>
      <c r="AZ1398" s="7" t="s">
        <v>231</v>
      </c>
      <c r="BA1398" s="7" t="s">
        <v>231</v>
      </c>
      <c r="BB1398" s="7"/>
      <c r="BC1398" s="4" t="s">
        <v>231</v>
      </c>
      <c r="BD1398" s="8" t="s">
        <v>231</v>
      </c>
      <c r="BE1398" s="4" t="s">
        <v>231</v>
      </c>
      <c r="BF1398" s="8" t="s">
        <v>231</v>
      </c>
      <c r="BG1398" s="7" t="s">
        <v>231</v>
      </c>
      <c r="BH1398" s="7" t="s">
        <v>231</v>
      </c>
      <c r="BI1398" s="7"/>
      <c r="BJ1398" s="4">
        <v>5</v>
      </c>
      <c r="BK1398" s="8">
        <v>219.45</v>
      </c>
      <c r="BL1398" s="2" t="s">
        <v>2996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6599</v>
      </c>
      <c r="BV1398" s="2" t="s">
        <v>231</v>
      </c>
      <c r="BW1398" s="2" t="s">
        <v>231</v>
      </c>
      <c r="BX1398" s="2" t="s">
        <v>241</v>
      </c>
      <c r="BY1398" s="2" t="s">
        <v>277</v>
      </c>
      <c r="BZ1398" s="2" t="s">
        <v>243</v>
      </c>
      <c r="CA1398" s="2" t="s">
        <v>1598</v>
      </c>
      <c r="CB1398" s="2" t="s">
        <v>6600</v>
      </c>
      <c r="CC1398" s="2" t="s">
        <v>244</v>
      </c>
      <c r="CD1398" s="2" t="s">
        <v>231</v>
      </c>
      <c r="CE1398" s="4">
        <v>418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</row>
    <row r="1399">
      <c r="A1399" s="2" t="s">
        <v>6601</v>
      </c>
      <c r="B1399" s="2" t="s">
        <v>1186</v>
      </c>
      <c r="C1399" s="2" t="s">
        <v>288</v>
      </c>
      <c r="D1399" s="2" t="s">
        <v>1462</v>
      </c>
      <c r="E1399" s="2" t="s">
        <v>1463</v>
      </c>
      <c r="F1399" s="2" t="s">
        <v>6591</v>
      </c>
      <c r="G1399" s="2" t="s">
        <v>6592</v>
      </c>
      <c r="H1399" s="2" t="s">
        <v>6593</v>
      </c>
      <c r="I1399" s="2" t="s">
        <v>6594</v>
      </c>
      <c r="J1399" s="2" t="s">
        <v>669</v>
      </c>
      <c r="K1399" s="2" t="s">
        <v>2457</v>
      </c>
      <c r="L1399" s="3">
        <v>41.14</v>
      </c>
      <c r="M1399" s="3">
        <v>43.2</v>
      </c>
      <c r="N1399" s="3">
        <v>89.99</v>
      </c>
      <c r="O1399" s="2" t="s">
        <v>243</v>
      </c>
      <c r="P1399" s="2" t="s">
        <v>236</v>
      </c>
      <c r="Q1399" s="2" t="s">
        <v>237</v>
      </c>
      <c r="R1399" s="2" t="s">
        <v>231</v>
      </c>
      <c r="S1399" s="2" t="s">
        <v>6602</v>
      </c>
      <c r="T1399" s="2" t="s">
        <v>1432</v>
      </c>
      <c r="U1399" s="2" t="s">
        <v>835</v>
      </c>
      <c r="V1399" s="2" t="s">
        <v>987</v>
      </c>
      <c r="W1399" s="2" t="s">
        <v>273</v>
      </c>
      <c r="X1399" s="2" t="s">
        <v>231</v>
      </c>
      <c r="Y1399" s="2" t="s">
        <v>1789</v>
      </c>
      <c r="Z1399" s="4">
        <v>396</v>
      </c>
      <c r="AA1399" s="4">
        <f>=ROUNDDOWN(44,0)</f>
      </c>
      <c r="AB1399" s="5">
        <v>9</v>
      </c>
      <c r="AC1399" s="2" t="s">
        <v>231</v>
      </c>
      <c r="AD1399" s="4"/>
      <c r="AE1399" s="4"/>
      <c r="AF1399" s="6">
        <v>64</v>
      </c>
      <c r="AG1399" s="6"/>
      <c r="AH1399" s="7">
        <v>1</v>
      </c>
      <c r="AI1399" s="4"/>
      <c r="AJ1399" s="4">
        <f>=ROUNDDOWN({0},0)</f>
      </c>
      <c r="AK1399" s="5"/>
      <c r="AL1399" s="2" t="s">
        <v>231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231</v>
      </c>
      <c r="BD1399" s="8" t="s">
        <v>231</v>
      </c>
      <c r="BE1399" s="4" t="s">
        <v>231</v>
      </c>
      <c r="BF1399" s="8" t="s">
        <v>231</v>
      </c>
      <c r="BG1399" s="7" t="s">
        <v>231</v>
      </c>
      <c r="BH1399" s="7" t="s">
        <v>231</v>
      </c>
      <c r="BI1399" s="7"/>
      <c r="BJ1399" s="4">
        <v>12</v>
      </c>
      <c r="BK1399" s="8">
        <v>508.44</v>
      </c>
      <c r="BL1399" s="2" t="s">
        <v>2996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6603</v>
      </c>
      <c r="BV1399" s="2" t="s">
        <v>231</v>
      </c>
      <c r="BW1399" s="2" t="s">
        <v>231</v>
      </c>
      <c r="BX1399" s="2" t="s">
        <v>241</v>
      </c>
      <c r="BY1399" s="2" t="s">
        <v>277</v>
      </c>
      <c r="BZ1399" s="2" t="s">
        <v>243</v>
      </c>
      <c r="CA1399" s="2" t="s">
        <v>1598</v>
      </c>
      <c r="CB1399" s="2" t="s">
        <v>231</v>
      </c>
      <c r="CC1399" s="2" t="s">
        <v>244</v>
      </c>
      <c r="CD1399" s="2" t="s">
        <v>231</v>
      </c>
      <c r="CE1399" s="4">
        <v>396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</row>
    <row r="1400">
      <c r="A1400" s="2" t="s">
        <v>6604</v>
      </c>
      <c r="B1400" s="2" t="s">
        <v>992</v>
      </c>
      <c r="C1400" s="2" t="s">
        <v>288</v>
      </c>
      <c r="D1400" s="2" t="s">
        <v>993</v>
      </c>
      <c r="E1400" s="2" t="s">
        <v>3390</v>
      </c>
      <c r="F1400" s="2" t="s">
        <v>6605</v>
      </c>
      <c r="G1400" s="2" t="s">
        <v>6606</v>
      </c>
      <c r="H1400" s="2" t="s">
        <v>2055</v>
      </c>
      <c r="I1400" s="2" t="s">
        <v>6607</v>
      </c>
      <c r="J1400" s="2" t="s">
        <v>3789</v>
      </c>
      <c r="K1400" s="2" t="s">
        <v>1136</v>
      </c>
      <c r="L1400" s="3">
        <v>20.25</v>
      </c>
      <c r="M1400" s="3">
        <v>21.26</v>
      </c>
      <c r="N1400" s="3">
        <v>44.99</v>
      </c>
      <c r="O1400" s="2" t="s">
        <v>243</v>
      </c>
      <c r="P1400" s="2" t="s">
        <v>1281</v>
      </c>
      <c r="Q1400" s="2" t="s">
        <v>237</v>
      </c>
      <c r="R1400" s="2" t="s">
        <v>231</v>
      </c>
      <c r="S1400" s="2" t="s">
        <v>6608</v>
      </c>
      <c r="T1400" s="2" t="s">
        <v>231</v>
      </c>
      <c r="U1400" s="2" t="s">
        <v>231</v>
      </c>
      <c r="V1400" s="2" t="s">
        <v>239</v>
      </c>
      <c r="W1400" s="2" t="s">
        <v>691</v>
      </c>
      <c r="X1400" s="2" t="s">
        <v>2042</v>
      </c>
      <c r="Y1400" s="2" t="s">
        <v>6609</v>
      </c>
      <c r="Z1400" s="4">
        <v>52</v>
      </c>
      <c r="AA1400" s="4">
        <f>=ROUNDDOWN(7.64705882352941,0)</f>
      </c>
      <c r="AB1400" s="5">
        <v>6.8</v>
      </c>
      <c r="AC1400" s="2" t="s">
        <v>1705</v>
      </c>
      <c r="AD1400" s="4">
        <v>132</v>
      </c>
      <c r="AE1400" s="4">
        <v>184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231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231</v>
      </c>
      <c r="BD1400" s="8" t="s">
        <v>231</v>
      </c>
      <c r="BE1400" s="4" t="s">
        <v>231</v>
      </c>
      <c r="BF1400" s="8" t="s">
        <v>231</v>
      </c>
      <c r="BG1400" s="7" t="s">
        <v>231</v>
      </c>
      <c r="BH1400" s="7" t="s">
        <v>231</v>
      </c>
      <c r="BI1400" s="7"/>
      <c r="BJ1400" s="4">
        <v>19</v>
      </c>
      <c r="BK1400" s="8">
        <v>407.54</v>
      </c>
      <c r="BL1400" s="2" t="s">
        <v>6610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6611</v>
      </c>
      <c r="BV1400" s="2" t="s">
        <v>231</v>
      </c>
      <c r="BW1400" s="2" t="s">
        <v>231</v>
      </c>
      <c r="BX1400" s="2" t="s">
        <v>231</v>
      </c>
      <c r="BY1400" s="2" t="s">
        <v>277</v>
      </c>
      <c r="BZ1400" s="2" t="s">
        <v>243</v>
      </c>
      <c r="CA1400" s="2" t="s">
        <v>6612</v>
      </c>
      <c r="CB1400" s="2" t="s">
        <v>6613</v>
      </c>
      <c r="CC1400" s="2" t="s">
        <v>244</v>
      </c>
      <c r="CD1400" s="2" t="s">
        <v>231</v>
      </c>
      <c r="CE1400" s="4">
        <v>52</v>
      </c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>
        <v>132</v>
      </c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>
        <v>52</v>
      </c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</row>
    <row r="1401">
      <c r="A1401" s="2" t="s">
        <v>6614</v>
      </c>
      <c r="B1401" s="2" t="s">
        <v>1186</v>
      </c>
      <c r="C1401" s="2" t="s">
        <v>288</v>
      </c>
      <c r="D1401" s="2" t="s">
        <v>1462</v>
      </c>
      <c r="E1401" s="2" t="s">
        <v>1463</v>
      </c>
      <c r="F1401" s="2" t="s">
        <v>6605</v>
      </c>
      <c r="G1401" s="2" t="s">
        <v>5025</v>
      </c>
      <c r="H1401" s="2" t="s">
        <v>6615</v>
      </c>
      <c r="I1401" s="2" t="s">
        <v>6616</v>
      </c>
      <c r="J1401" s="2" t="s">
        <v>658</v>
      </c>
      <c r="K1401" s="2" t="s">
        <v>6617</v>
      </c>
      <c r="L1401" s="3">
        <v>43.2</v>
      </c>
      <c r="M1401" s="3">
        <v>45.36</v>
      </c>
      <c r="N1401" s="3">
        <v>79.99</v>
      </c>
      <c r="O1401" s="2" t="s">
        <v>243</v>
      </c>
      <c r="P1401" s="2" t="s">
        <v>270</v>
      </c>
      <c r="Q1401" s="2" t="s">
        <v>237</v>
      </c>
      <c r="R1401" s="2" t="s">
        <v>231</v>
      </c>
      <c r="S1401" s="2" t="s">
        <v>6618</v>
      </c>
      <c r="T1401" s="2" t="s">
        <v>3671</v>
      </c>
      <c r="U1401" s="2" t="s">
        <v>835</v>
      </c>
      <c r="V1401" s="2" t="s">
        <v>239</v>
      </c>
      <c r="W1401" s="2" t="s">
        <v>299</v>
      </c>
      <c r="X1401" s="2" t="s">
        <v>6619</v>
      </c>
      <c r="Y1401" s="2" t="s">
        <v>845</v>
      </c>
      <c r="Z1401" s="4">
        <v>329</v>
      </c>
      <c r="AA1401" s="4">
        <f>=ROUNDDOWN(47,0)</f>
      </c>
      <c r="AB1401" s="5">
        <v>7</v>
      </c>
      <c r="AC1401" s="2" t="s">
        <v>231</v>
      </c>
      <c r="AD1401" s="4"/>
      <c r="AE1401" s="4"/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231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231</v>
      </c>
      <c r="BD1401" s="8" t="s">
        <v>231</v>
      </c>
      <c r="BE1401" s="4" t="s">
        <v>231</v>
      </c>
      <c r="BF1401" s="8" t="s">
        <v>231</v>
      </c>
      <c r="BG1401" s="7" t="s">
        <v>231</v>
      </c>
      <c r="BH1401" s="7" t="s">
        <v>231</v>
      </c>
      <c r="BI1401" s="7"/>
      <c r="BJ1401" s="4">
        <v>23</v>
      </c>
      <c r="BK1401" s="8">
        <v>1053.1</v>
      </c>
      <c r="BL1401" s="2" t="s">
        <v>4849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6620</v>
      </c>
      <c r="BV1401" s="2" t="s">
        <v>231</v>
      </c>
      <c r="BW1401" s="2" t="s">
        <v>231</v>
      </c>
      <c r="BX1401" s="2" t="s">
        <v>312</v>
      </c>
      <c r="BY1401" s="2" t="s">
        <v>277</v>
      </c>
      <c r="BZ1401" s="2" t="s">
        <v>243</v>
      </c>
      <c r="CA1401" s="2" t="s">
        <v>3268</v>
      </c>
      <c r="CB1401" s="2" t="s">
        <v>5926</v>
      </c>
      <c r="CC1401" s="2" t="s">
        <v>244</v>
      </c>
      <c r="CD1401" s="2" t="s">
        <v>231</v>
      </c>
      <c r="CE1401" s="4">
        <v>329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</row>
    <row r="1402">
      <c r="A1402" s="2" t="s">
        <v>6621</v>
      </c>
      <c r="B1402" s="2" t="s">
        <v>1186</v>
      </c>
      <c r="C1402" s="2" t="s">
        <v>1816</v>
      </c>
      <c r="D1402" s="2" t="s">
        <v>654</v>
      </c>
      <c r="E1402" s="2" t="s">
        <v>890</v>
      </c>
      <c r="F1402" s="2" t="s">
        <v>6605</v>
      </c>
      <c r="G1402" s="2" t="s">
        <v>6605</v>
      </c>
      <c r="H1402" s="2" t="s">
        <v>6605</v>
      </c>
      <c r="I1402" s="2" t="s">
        <v>6622</v>
      </c>
      <c r="J1402" s="2" t="s">
        <v>658</v>
      </c>
      <c r="K1402" s="2" t="s">
        <v>1496</v>
      </c>
      <c r="L1402" s="3">
        <v>102.14</v>
      </c>
      <c r="M1402" s="3">
        <v>107.25</v>
      </c>
      <c r="N1402" s="3">
        <v>299.99</v>
      </c>
      <c r="O1402" s="2" t="s">
        <v>243</v>
      </c>
      <c r="P1402" s="2" t="s">
        <v>236</v>
      </c>
      <c r="Q1402" s="2" t="s">
        <v>237</v>
      </c>
      <c r="R1402" s="2" t="s">
        <v>231</v>
      </c>
      <c r="S1402" s="2" t="s">
        <v>6623</v>
      </c>
      <c r="T1402" s="2" t="s">
        <v>362</v>
      </c>
      <c r="U1402" s="2" t="s">
        <v>835</v>
      </c>
      <c r="V1402" s="2" t="s">
        <v>987</v>
      </c>
      <c r="W1402" s="2" t="s">
        <v>691</v>
      </c>
      <c r="X1402" s="2" t="s">
        <v>273</v>
      </c>
      <c r="Y1402" s="2" t="s">
        <v>231</v>
      </c>
      <c r="Z1402" s="4"/>
      <c r="AA1402" s="4">
        <f>=ROUNDDOWN({0},0)</f>
      </c>
      <c r="AB1402" s="5"/>
      <c r="AC1402" s="2" t="s">
        <v>392</v>
      </c>
      <c r="AD1402" s="4">
        <v>130</v>
      </c>
      <c r="AE1402" s="4">
        <v>260</v>
      </c>
      <c r="AF1402" s="6">
        <v>69</v>
      </c>
      <c r="AG1402" s="6"/>
      <c r="AH1402" s="7">
        <v>0</v>
      </c>
      <c r="AI1402" s="4"/>
      <c r="AJ1402" s="4">
        <f>=ROUNDDOWN({0},0)</f>
      </c>
      <c r="AK1402" s="5"/>
      <c r="AL1402" s="2" t="s">
        <v>231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231</v>
      </c>
      <c r="AW1402" s="8" t="s">
        <v>231</v>
      </c>
      <c r="AX1402" s="4" t="s">
        <v>231</v>
      </c>
      <c r="AY1402" s="8" t="s">
        <v>231</v>
      </c>
      <c r="AZ1402" s="7" t="s">
        <v>231</v>
      </c>
      <c r="BA1402" s="7" t="s">
        <v>231</v>
      </c>
      <c r="BB1402" s="7"/>
      <c r="BC1402" s="4" t="s">
        <v>231</v>
      </c>
      <c r="BD1402" s="8" t="s">
        <v>231</v>
      </c>
      <c r="BE1402" s="4" t="s">
        <v>231</v>
      </c>
      <c r="BF1402" s="8" t="s">
        <v>231</v>
      </c>
      <c r="BG1402" s="7" t="s">
        <v>231</v>
      </c>
      <c r="BH1402" s="7" t="s">
        <v>231</v>
      </c>
      <c r="BI1402" s="7"/>
      <c r="BJ1402" s="4"/>
      <c r="BK1402" s="8"/>
      <c r="BL1402" s="2" t="s">
        <v>231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241</v>
      </c>
      <c r="BV1402" s="2" t="s">
        <v>231</v>
      </c>
      <c r="BW1402" s="2" t="s">
        <v>231</v>
      </c>
      <c r="BX1402" s="2" t="s">
        <v>241</v>
      </c>
      <c r="BY1402" s="2" t="s">
        <v>1820</v>
      </c>
      <c r="BZ1402" s="2" t="s">
        <v>243</v>
      </c>
      <c r="CA1402" s="2" t="s">
        <v>231</v>
      </c>
      <c r="CB1402" s="2" t="s">
        <v>231</v>
      </c>
      <c r="CC1402" s="2" t="s">
        <v>244</v>
      </c>
      <c r="CD1402" s="2" t="s">
        <v>231</v>
      </c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>
        <v>130</v>
      </c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>
        <v>130</v>
      </c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</row>
    <row r="1403">
      <c r="A1403" s="2" t="s">
        <v>6624</v>
      </c>
      <c r="B1403" s="2" t="s">
        <v>1186</v>
      </c>
      <c r="C1403" s="2" t="s">
        <v>1816</v>
      </c>
      <c r="D1403" s="2" t="s">
        <v>654</v>
      </c>
      <c r="E1403" s="2" t="s">
        <v>890</v>
      </c>
      <c r="F1403" s="2" t="s">
        <v>6605</v>
      </c>
      <c r="G1403" s="2" t="s">
        <v>6605</v>
      </c>
      <c r="H1403" s="2" t="s">
        <v>6605</v>
      </c>
      <c r="I1403" s="2" t="s">
        <v>6622</v>
      </c>
      <c r="J1403" s="2" t="s">
        <v>669</v>
      </c>
      <c r="K1403" s="2" t="s">
        <v>1496</v>
      </c>
      <c r="L1403" s="3">
        <v>119.16</v>
      </c>
      <c r="M1403" s="3">
        <v>125.12</v>
      </c>
      <c r="N1403" s="3">
        <v>349.99</v>
      </c>
      <c r="O1403" s="2" t="s">
        <v>243</v>
      </c>
      <c r="P1403" s="2" t="s">
        <v>236</v>
      </c>
      <c r="Q1403" s="2" t="s">
        <v>237</v>
      </c>
      <c r="R1403" s="2" t="s">
        <v>231</v>
      </c>
      <c r="S1403" s="2" t="s">
        <v>6623</v>
      </c>
      <c r="T1403" s="2" t="s">
        <v>362</v>
      </c>
      <c r="U1403" s="2" t="s">
        <v>835</v>
      </c>
      <c r="V1403" s="2" t="s">
        <v>987</v>
      </c>
      <c r="W1403" s="2" t="s">
        <v>792</v>
      </c>
      <c r="X1403" s="2" t="s">
        <v>273</v>
      </c>
      <c r="Y1403" s="2" t="s">
        <v>231</v>
      </c>
      <c r="Z1403" s="4"/>
      <c r="AA1403" s="4">
        <f>=ROUNDDOWN({0},0)</f>
      </c>
      <c r="AB1403" s="5"/>
      <c r="AC1403" s="2" t="s">
        <v>392</v>
      </c>
      <c r="AD1403" s="4">
        <v>120</v>
      </c>
      <c r="AE1403" s="4">
        <v>240</v>
      </c>
      <c r="AF1403" s="6">
        <v>69</v>
      </c>
      <c r="AG1403" s="6"/>
      <c r="AH1403" s="7">
        <v>0</v>
      </c>
      <c r="AI1403" s="4"/>
      <c r="AJ1403" s="4">
        <f>=ROUNDDOWN({0},0)</f>
      </c>
      <c r="AK1403" s="5"/>
      <c r="AL1403" s="2" t="s">
        <v>231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231</v>
      </c>
      <c r="AW1403" s="8" t="s">
        <v>231</v>
      </c>
      <c r="AX1403" s="4" t="s">
        <v>231</v>
      </c>
      <c r="AY1403" s="8" t="s">
        <v>231</v>
      </c>
      <c r="AZ1403" s="7" t="s">
        <v>231</v>
      </c>
      <c r="BA1403" s="7" t="s">
        <v>231</v>
      </c>
      <c r="BB1403" s="7"/>
      <c r="BC1403" s="4" t="s">
        <v>231</v>
      </c>
      <c r="BD1403" s="8" t="s">
        <v>231</v>
      </c>
      <c r="BE1403" s="4" t="s">
        <v>231</v>
      </c>
      <c r="BF1403" s="8" t="s">
        <v>231</v>
      </c>
      <c r="BG1403" s="7" t="s">
        <v>231</v>
      </c>
      <c r="BH1403" s="7" t="s">
        <v>231</v>
      </c>
      <c r="BI1403" s="7"/>
      <c r="BJ1403" s="4"/>
      <c r="BK1403" s="8"/>
      <c r="BL1403" s="2" t="s">
        <v>231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241</v>
      </c>
      <c r="BV1403" s="2" t="s">
        <v>231</v>
      </c>
      <c r="BW1403" s="2" t="s">
        <v>231</v>
      </c>
      <c r="BX1403" s="2" t="s">
        <v>241</v>
      </c>
      <c r="BY1403" s="2" t="s">
        <v>1820</v>
      </c>
      <c r="BZ1403" s="2" t="s">
        <v>243</v>
      </c>
      <c r="CA1403" s="2" t="s">
        <v>231</v>
      </c>
      <c r="CB1403" s="2" t="s">
        <v>231</v>
      </c>
      <c r="CC1403" s="2" t="s">
        <v>244</v>
      </c>
      <c r="CD1403" s="2" t="s">
        <v>231</v>
      </c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>
        <v>120</v>
      </c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>
        <v>120</v>
      </c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</row>
    <row r="1404">
      <c r="A1404" s="2" t="s">
        <v>6625</v>
      </c>
      <c r="B1404" s="2" t="s">
        <v>992</v>
      </c>
      <c r="C1404" s="2" t="s">
        <v>288</v>
      </c>
      <c r="D1404" s="2" t="s">
        <v>993</v>
      </c>
      <c r="E1404" s="2" t="s">
        <v>3390</v>
      </c>
      <c r="F1404" s="2" t="s">
        <v>6605</v>
      </c>
      <c r="G1404" s="2" t="s">
        <v>6606</v>
      </c>
      <c r="H1404" s="2" t="s">
        <v>2055</v>
      </c>
      <c r="I1404" s="2" t="s">
        <v>6607</v>
      </c>
      <c r="J1404" s="2" t="s">
        <v>1168</v>
      </c>
      <c r="K1404" s="2" t="s">
        <v>319</v>
      </c>
      <c r="L1404" s="3">
        <v>15.05</v>
      </c>
      <c r="M1404" s="3">
        <v>15.8</v>
      </c>
      <c r="N1404" s="3">
        <v>34.99</v>
      </c>
      <c r="O1404" s="2" t="s">
        <v>250</v>
      </c>
      <c r="P1404" s="2" t="s">
        <v>341</v>
      </c>
      <c r="Q1404" s="2" t="s">
        <v>237</v>
      </c>
      <c r="R1404" s="2" t="s">
        <v>231</v>
      </c>
      <c r="S1404" s="2" t="s">
        <v>6626</v>
      </c>
      <c r="T1404" s="2" t="s">
        <v>231</v>
      </c>
      <c r="U1404" s="2" t="s">
        <v>231</v>
      </c>
      <c r="V1404" s="2" t="s">
        <v>239</v>
      </c>
      <c r="W1404" s="2" t="s">
        <v>691</v>
      </c>
      <c r="X1404" s="2" t="s">
        <v>231</v>
      </c>
      <c r="Y1404" s="2" t="s">
        <v>6609</v>
      </c>
      <c r="Z1404" s="4"/>
      <c r="AA1404" s="4">
        <f>=ROUNDDOWN({0},0)</f>
      </c>
      <c r="AB1404" s="5"/>
      <c r="AC1404" s="2" t="s">
        <v>231</v>
      </c>
      <c r="AD1404" s="4"/>
      <c r="AE1404" s="4"/>
      <c r="AF1404" s="6"/>
      <c r="AG1404" s="6"/>
      <c r="AH1404" s="7">
        <v>0</v>
      </c>
      <c r="AI1404" s="4"/>
      <c r="AJ1404" s="4">
        <f>=ROUNDDOWN({0},0)</f>
      </c>
      <c r="AK1404" s="5"/>
      <c r="AL1404" s="2" t="s">
        <v>231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231</v>
      </c>
      <c r="AW1404" s="8" t="s">
        <v>231</v>
      </c>
      <c r="AX1404" s="4" t="s">
        <v>231</v>
      </c>
      <c r="AY1404" s="8" t="s">
        <v>231</v>
      </c>
      <c r="AZ1404" s="7" t="s">
        <v>231</v>
      </c>
      <c r="BA1404" s="7" t="s">
        <v>231</v>
      </c>
      <c r="BB1404" s="7"/>
      <c r="BC1404" s="4" t="s">
        <v>231</v>
      </c>
      <c r="BD1404" s="8" t="s">
        <v>231</v>
      </c>
      <c r="BE1404" s="4" t="s">
        <v>231</v>
      </c>
      <c r="BF1404" s="8" t="s">
        <v>231</v>
      </c>
      <c r="BG1404" s="7" t="s">
        <v>231</v>
      </c>
      <c r="BH1404" s="7" t="s">
        <v>231</v>
      </c>
      <c r="BI1404" s="7"/>
      <c r="BJ1404" s="4"/>
      <c r="BK1404" s="8"/>
      <c r="BL1404" s="2" t="s">
        <v>231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6627</v>
      </c>
      <c r="BV1404" s="2" t="s">
        <v>231</v>
      </c>
      <c r="BW1404" s="2" t="s">
        <v>231</v>
      </c>
      <c r="BX1404" s="2" t="s">
        <v>231</v>
      </c>
      <c r="BY1404" s="2" t="s">
        <v>277</v>
      </c>
      <c r="BZ1404" s="2" t="s">
        <v>243</v>
      </c>
      <c r="CA1404" s="2" t="s">
        <v>6612</v>
      </c>
      <c r="CB1404" s="2" t="s">
        <v>6628</v>
      </c>
      <c r="CC1404" s="2" t="s">
        <v>244</v>
      </c>
      <c r="CD1404" s="2" t="s">
        <v>231</v>
      </c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</row>
    <row r="1405">
      <c r="A1405" s="2" t="s">
        <v>6629</v>
      </c>
      <c r="B1405" s="2" t="s">
        <v>992</v>
      </c>
      <c r="C1405" s="2" t="s">
        <v>288</v>
      </c>
      <c r="D1405" s="2" t="s">
        <v>993</v>
      </c>
      <c r="E1405" s="2" t="s">
        <v>3390</v>
      </c>
      <c r="F1405" s="2" t="s">
        <v>6605</v>
      </c>
      <c r="G1405" s="2" t="s">
        <v>6606</v>
      </c>
      <c r="H1405" s="2" t="s">
        <v>2055</v>
      </c>
      <c r="I1405" s="2" t="s">
        <v>6607</v>
      </c>
      <c r="J1405" s="2" t="s">
        <v>1162</v>
      </c>
      <c r="K1405" s="2" t="s">
        <v>319</v>
      </c>
      <c r="L1405" s="3">
        <v>17.6</v>
      </c>
      <c r="M1405" s="3">
        <v>18.48</v>
      </c>
      <c r="N1405" s="3">
        <v>39.99</v>
      </c>
      <c r="O1405" s="2" t="s">
        <v>243</v>
      </c>
      <c r="P1405" s="2" t="s">
        <v>270</v>
      </c>
      <c r="Q1405" s="2" t="s">
        <v>237</v>
      </c>
      <c r="R1405" s="2" t="s">
        <v>231</v>
      </c>
      <c r="S1405" s="2" t="s">
        <v>6626</v>
      </c>
      <c r="T1405" s="2" t="s">
        <v>231</v>
      </c>
      <c r="U1405" s="2" t="s">
        <v>231</v>
      </c>
      <c r="V1405" s="2" t="s">
        <v>239</v>
      </c>
      <c r="W1405" s="2" t="s">
        <v>691</v>
      </c>
      <c r="X1405" s="2" t="s">
        <v>2042</v>
      </c>
      <c r="Y1405" s="2" t="s">
        <v>6609</v>
      </c>
      <c r="Z1405" s="4">
        <v>403</v>
      </c>
      <c r="AA1405" s="4">
        <f>=ROUNDDOWN(55.2054794520548,0)</f>
      </c>
      <c r="AB1405" s="5">
        <v>7.3</v>
      </c>
      <c r="AC1405" s="2" t="s">
        <v>231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231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231</v>
      </c>
      <c r="AW1405" s="8" t="s">
        <v>231</v>
      </c>
      <c r="AX1405" s="4" t="s">
        <v>231</v>
      </c>
      <c r="AY1405" s="8" t="s">
        <v>231</v>
      </c>
      <c r="AZ1405" s="7" t="s">
        <v>231</v>
      </c>
      <c r="BA1405" s="7" t="s">
        <v>231</v>
      </c>
      <c r="BB1405" s="7"/>
      <c r="BC1405" s="4" t="s">
        <v>231</v>
      </c>
      <c r="BD1405" s="8" t="s">
        <v>231</v>
      </c>
      <c r="BE1405" s="4" t="s">
        <v>231</v>
      </c>
      <c r="BF1405" s="8" t="s">
        <v>231</v>
      </c>
      <c r="BG1405" s="7" t="s">
        <v>231</v>
      </c>
      <c r="BH1405" s="7" t="s">
        <v>231</v>
      </c>
      <c r="BI1405" s="7"/>
      <c r="BJ1405" s="4">
        <v>32</v>
      </c>
      <c r="BK1405" s="8">
        <v>761</v>
      </c>
      <c r="BL1405" s="2" t="s">
        <v>6630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6631</v>
      </c>
      <c r="BV1405" s="2" t="s">
        <v>231</v>
      </c>
      <c r="BW1405" s="2" t="s">
        <v>231</v>
      </c>
      <c r="BX1405" s="2" t="s">
        <v>231</v>
      </c>
      <c r="BY1405" s="2" t="s">
        <v>277</v>
      </c>
      <c r="BZ1405" s="2" t="s">
        <v>243</v>
      </c>
      <c r="CA1405" s="2" t="s">
        <v>6612</v>
      </c>
      <c r="CB1405" s="2" t="s">
        <v>1337</v>
      </c>
      <c r="CC1405" s="2" t="s">
        <v>244</v>
      </c>
      <c r="CD1405" s="2" t="s">
        <v>231</v>
      </c>
      <c r="CE1405" s="4">
        <v>403</v>
      </c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</row>
    <row r="1406">
      <c r="A1406" s="2" t="s">
        <v>6632</v>
      </c>
      <c r="B1406" s="2" t="s">
        <v>1004</v>
      </c>
      <c r="C1406" s="2" t="s">
        <v>288</v>
      </c>
      <c r="D1406" s="2" t="s">
        <v>1031</v>
      </c>
      <c r="E1406" s="2" t="s">
        <v>1032</v>
      </c>
      <c r="F1406" s="2" t="s">
        <v>6633</v>
      </c>
      <c r="G1406" s="2" t="s">
        <v>6634</v>
      </c>
      <c r="H1406" s="2" t="s">
        <v>6635</v>
      </c>
      <c r="I1406" s="2" t="s">
        <v>1035</v>
      </c>
      <c r="J1406" s="2" t="s">
        <v>807</v>
      </c>
      <c r="K1406" s="2" t="s">
        <v>1136</v>
      </c>
      <c r="L1406" s="3">
        <v>443.16</v>
      </c>
      <c r="M1406" s="3">
        <v>465.32</v>
      </c>
      <c r="N1406" s="3">
        <v>939</v>
      </c>
      <c r="O1406" s="2" t="s">
        <v>243</v>
      </c>
      <c r="P1406" s="2" t="s">
        <v>1037</v>
      </c>
      <c r="Q1406" s="2" t="s">
        <v>237</v>
      </c>
      <c r="R1406" s="2" t="s">
        <v>16</v>
      </c>
      <c r="S1406" s="2" t="s">
        <v>6636</v>
      </c>
      <c r="T1406" s="2" t="s">
        <v>231</v>
      </c>
      <c r="U1406" s="2" t="s">
        <v>791</v>
      </c>
      <c r="V1406" s="2" t="s">
        <v>239</v>
      </c>
      <c r="W1406" s="2" t="s">
        <v>792</v>
      </c>
      <c r="X1406" s="2" t="s">
        <v>231</v>
      </c>
      <c r="Y1406" s="2" t="s">
        <v>6637</v>
      </c>
      <c r="Z1406" s="4">
        <v>59</v>
      </c>
      <c r="AA1406" s="4">
        <f>=ROUNDDOWN({0},0)</f>
      </c>
      <c r="AB1406" s="5"/>
      <c r="AC1406" s="2" t="s">
        <v>231</v>
      </c>
      <c r="AD1406" s="4"/>
      <c r="AE1406" s="4"/>
      <c r="AF1406" s="6"/>
      <c r="AG1406" s="6"/>
      <c r="AH1406" s="7">
        <v>1</v>
      </c>
      <c r="AI1406" s="4"/>
      <c r="AJ1406" s="4">
        <f>=ROUNDDOWN({0},0)</f>
      </c>
      <c r="AK1406" s="5"/>
      <c r="AL1406" s="2" t="s">
        <v>231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/>
      <c r="BD1406" s="8"/>
      <c r="BE1406" s="4"/>
      <c r="BF1406" s="8"/>
      <c r="BG1406" s="7"/>
      <c r="BH1406" s="7"/>
      <c r="BI1406" s="7"/>
      <c r="BJ1406" s="4"/>
      <c r="BK1406" s="8"/>
      <c r="BL1406" s="2" t="s">
        <v>231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6638</v>
      </c>
      <c r="BV1406" s="2" t="s">
        <v>231</v>
      </c>
      <c r="BW1406" s="2" t="s">
        <v>231</v>
      </c>
      <c r="BX1406" s="2" t="s">
        <v>241</v>
      </c>
      <c r="BY1406" s="2" t="s">
        <v>277</v>
      </c>
      <c r="BZ1406" s="2" t="s">
        <v>243</v>
      </c>
      <c r="CA1406" s="2" t="s">
        <v>1041</v>
      </c>
      <c r="CB1406" s="2" t="s">
        <v>231</v>
      </c>
      <c r="CC1406" s="2" t="s">
        <v>244</v>
      </c>
      <c r="CD1406" s="2" t="s">
        <v>231</v>
      </c>
      <c r="CE1406" s="4"/>
      <c r="CF1406" s="4">
        <v>59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</row>
    <row r="1407">
      <c r="A1407" s="2" t="s">
        <v>6639</v>
      </c>
      <c r="B1407" s="2" t="s">
        <v>1004</v>
      </c>
      <c r="C1407" s="2" t="s">
        <v>867</v>
      </c>
      <c r="D1407" s="2" t="s">
        <v>1912</v>
      </c>
      <c r="E1407" s="2" t="s">
        <v>1913</v>
      </c>
      <c r="F1407" s="2" t="s">
        <v>6640</v>
      </c>
      <c r="G1407" s="2" t="s">
        <v>6640</v>
      </c>
      <c r="H1407" s="2" t="s">
        <v>6640</v>
      </c>
      <c r="I1407" s="2" t="s">
        <v>6641</v>
      </c>
      <c r="J1407" s="2" t="s">
        <v>807</v>
      </c>
      <c r="K1407" s="2" t="s">
        <v>2321</v>
      </c>
      <c r="L1407" s="3">
        <v>171</v>
      </c>
      <c r="M1407" s="3">
        <v>179.55</v>
      </c>
      <c r="N1407" s="3">
        <v>359</v>
      </c>
      <c r="O1407" s="2" t="s">
        <v>243</v>
      </c>
      <c r="P1407" s="2" t="s">
        <v>1915</v>
      </c>
      <c r="Q1407" s="2" t="s">
        <v>237</v>
      </c>
      <c r="R1407" s="2" t="s">
        <v>231</v>
      </c>
      <c r="S1407" s="2" t="s">
        <v>231</v>
      </c>
      <c r="T1407" s="2" t="s">
        <v>231</v>
      </c>
      <c r="U1407" s="2" t="s">
        <v>327</v>
      </c>
      <c r="V1407" s="2" t="s">
        <v>391</v>
      </c>
      <c r="W1407" s="2" t="s">
        <v>896</v>
      </c>
      <c r="X1407" s="2" t="s">
        <v>874</v>
      </c>
      <c r="Y1407" s="2" t="s">
        <v>231</v>
      </c>
      <c r="Z1407" s="4"/>
      <c r="AA1407" s="4">
        <f>=ROUNDDOWN({0},0)</f>
      </c>
      <c r="AB1407" s="5">
        <v>2</v>
      </c>
      <c r="AC1407" s="2" t="s">
        <v>231</v>
      </c>
      <c r="AD1407" s="4"/>
      <c r="AE1407" s="4"/>
      <c r="AF1407" s="6">
        <v>66</v>
      </c>
      <c r="AG1407" s="6"/>
      <c r="AH1407" s="7">
        <v>0</v>
      </c>
      <c r="AI1407" s="4"/>
      <c r="AJ1407" s="4">
        <f>=ROUNDDOWN({0},0)</f>
      </c>
      <c r="AK1407" s="5"/>
      <c r="AL1407" s="2" t="s">
        <v>231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/>
      <c r="BD1407" s="8"/>
      <c r="BE1407" s="4"/>
      <c r="BF1407" s="8"/>
      <c r="BG1407" s="7"/>
      <c r="BH1407" s="7"/>
      <c r="BI1407" s="7"/>
      <c r="BJ1407" s="4"/>
      <c r="BK1407" s="8"/>
      <c r="BL1407" s="2" t="s">
        <v>231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241</v>
      </c>
      <c r="BV1407" s="2" t="s">
        <v>231</v>
      </c>
      <c r="BW1407" s="2" t="s">
        <v>231</v>
      </c>
      <c r="BX1407" s="2" t="s">
        <v>241</v>
      </c>
      <c r="BY1407" s="2" t="s">
        <v>242</v>
      </c>
      <c r="BZ1407" s="2" t="s">
        <v>243</v>
      </c>
      <c r="CA1407" s="2" t="s">
        <v>231</v>
      </c>
      <c r="CB1407" s="2" t="s">
        <v>231</v>
      </c>
      <c r="CC1407" s="2" t="s">
        <v>244</v>
      </c>
      <c r="CD1407" s="2" t="s">
        <v>231</v>
      </c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</row>
    <row r="1408">
      <c r="A1408" s="2" t="s">
        <v>6642</v>
      </c>
      <c r="B1408" s="2" t="s">
        <v>226</v>
      </c>
      <c r="C1408" s="2" t="s">
        <v>288</v>
      </c>
      <c r="D1408" s="2" t="s">
        <v>1624</v>
      </c>
      <c r="E1408" s="2" t="s">
        <v>2589</v>
      </c>
      <c r="F1408" s="2" t="s">
        <v>6643</v>
      </c>
      <c r="G1408" s="2" t="s">
        <v>6644</v>
      </c>
      <c r="H1408" s="2" t="s">
        <v>6644</v>
      </c>
      <c r="I1408" s="2" t="s">
        <v>6645</v>
      </c>
      <c r="J1408" s="2" t="s">
        <v>1554</v>
      </c>
      <c r="K1408" s="2" t="s">
        <v>253</v>
      </c>
      <c r="L1408" s="3">
        <v>15.85</v>
      </c>
      <c r="M1408" s="3">
        <v>16.64</v>
      </c>
      <c r="N1408" s="3">
        <v>36.99</v>
      </c>
      <c r="O1408" s="2" t="s">
        <v>243</v>
      </c>
      <c r="P1408" s="2" t="s">
        <v>270</v>
      </c>
      <c r="Q1408" s="2" t="s">
        <v>237</v>
      </c>
      <c r="R1408" s="2" t="s">
        <v>231</v>
      </c>
      <c r="S1408" s="2" t="s">
        <v>6646</v>
      </c>
      <c r="T1408" s="2" t="s">
        <v>895</v>
      </c>
      <c r="U1408" s="2" t="s">
        <v>327</v>
      </c>
      <c r="V1408" s="2" t="s">
        <v>239</v>
      </c>
      <c r="W1408" s="2" t="s">
        <v>299</v>
      </c>
      <c r="X1408" s="2" t="s">
        <v>231</v>
      </c>
      <c r="Y1408" s="2" t="s">
        <v>6647</v>
      </c>
      <c r="Z1408" s="4">
        <v>284</v>
      </c>
      <c r="AA1408" s="4">
        <f>=ROUNDDOWN(71,0)</f>
      </c>
      <c r="AB1408" s="5">
        <v>4</v>
      </c>
      <c r="AC1408" s="2" t="s">
        <v>1128</v>
      </c>
      <c r="AD1408" s="4">
        <v>250</v>
      </c>
      <c r="AE1408" s="4">
        <v>250</v>
      </c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231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 t="s">
        <v>231</v>
      </c>
      <c r="BD1408" s="8" t="s">
        <v>231</v>
      </c>
      <c r="BE1408" s="4" t="s">
        <v>231</v>
      </c>
      <c r="BF1408" s="8" t="s">
        <v>231</v>
      </c>
      <c r="BG1408" s="7" t="s">
        <v>231</v>
      </c>
      <c r="BH1408" s="7" t="s">
        <v>231</v>
      </c>
      <c r="BI1408" s="7"/>
      <c r="BJ1408" s="4">
        <v>8</v>
      </c>
      <c r="BK1408" s="8">
        <v>136.93</v>
      </c>
      <c r="BL1408" s="2" t="s">
        <v>843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6648</v>
      </c>
      <c r="BV1408" s="2" t="s">
        <v>231</v>
      </c>
      <c r="BW1408" s="2" t="s">
        <v>231</v>
      </c>
      <c r="BX1408" s="2" t="s">
        <v>231</v>
      </c>
      <c r="BY1408" s="2" t="s">
        <v>277</v>
      </c>
      <c r="BZ1408" s="2" t="s">
        <v>243</v>
      </c>
      <c r="CA1408" s="2" t="s">
        <v>671</v>
      </c>
      <c r="CB1408" s="2" t="s">
        <v>6649</v>
      </c>
      <c r="CC1408" s="2" t="s">
        <v>244</v>
      </c>
      <c r="CD1408" s="2" t="s">
        <v>231</v>
      </c>
      <c r="CE1408" s="4">
        <v>284</v>
      </c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>
        <v>250</v>
      </c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</row>
    <row r="1409">
      <c r="A1409" s="2" t="s">
        <v>6650</v>
      </c>
      <c r="B1409" s="2" t="s">
        <v>226</v>
      </c>
      <c r="C1409" s="2" t="s">
        <v>288</v>
      </c>
      <c r="D1409" s="2" t="s">
        <v>1624</v>
      </c>
      <c r="E1409" s="2" t="s">
        <v>2589</v>
      </c>
      <c r="F1409" s="2" t="s">
        <v>6643</v>
      </c>
      <c r="G1409" s="2" t="s">
        <v>6644</v>
      </c>
      <c r="H1409" s="2" t="s">
        <v>6644</v>
      </c>
      <c r="I1409" s="2" t="s">
        <v>6645</v>
      </c>
      <c r="J1409" s="2" t="s">
        <v>1554</v>
      </c>
      <c r="K1409" s="2" t="s">
        <v>306</v>
      </c>
      <c r="L1409" s="3">
        <v>15.85</v>
      </c>
      <c r="M1409" s="3">
        <v>16.64</v>
      </c>
      <c r="N1409" s="3">
        <v>36.99</v>
      </c>
      <c r="O1409" s="2" t="s">
        <v>243</v>
      </c>
      <c r="P1409" s="2" t="s">
        <v>270</v>
      </c>
      <c r="Q1409" s="2" t="s">
        <v>237</v>
      </c>
      <c r="R1409" s="2" t="s">
        <v>231</v>
      </c>
      <c r="S1409" s="2" t="s">
        <v>6646</v>
      </c>
      <c r="T1409" s="2" t="s">
        <v>895</v>
      </c>
      <c r="U1409" s="2" t="s">
        <v>327</v>
      </c>
      <c r="V1409" s="2" t="s">
        <v>239</v>
      </c>
      <c r="W1409" s="2" t="s">
        <v>299</v>
      </c>
      <c r="X1409" s="2" t="s">
        <v>231</v>
      </c>
      <c r="Y1409" s="2" t="s">
        <v>6647</v>
      </c>
      <c r="Z1409" s="4">
        <v>226</v>
      </c>
      <c r="AA1409" s="4">
        <f>=ROUNDDOWN(56.5,0)</f>
      </c>
      <c r="AB1409" s="5">
        <v>4</v>
      </c>
      <c r="AC1409" s="2" t="s">
        <v>1128</v>
      </c>
      <c r="AD1409" s="4">
        <v>250</v>
      </c>
      <c r="AE1409" s="4">
        <v>250</v>
      </c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231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231</v>
      </c>
      <c r="BD1409" s="8" t="s">
        <v>231</v>
      </c>
      <c r="BE1409" s="4" t="s">
        <v>231</v>
      </c>
      <c r="BF1409" s="8" t="s">
        <v>231</v>
      </c>
      <c r="BG1409" s="7" t="s">
        <v>231</v>
      </c>
      <c r="BH1409" s="7" t="s">
        <v>231</v>
      </c>
      <c r="BI1409" s="7"/>
      <c r="BJ1409" s="4">
        <v>12</v>
      </c>
      <c r="BK1409" s="8">
        <v>221.23</v>
      </c>
      <c r="BL1409" s="2" t="s">
        <v>3002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6651</v>
      </c>
      <c r="BV1409" s="2" t="s">
        <v>231</v>
      </c>
      <c r="BW1409" s="2" t="s">
        <v>231</v>
      </c>
      <c r="BX1409" s="2" t="s">
        <v>231</v>
      </c>
      <c r="BY1409" s="2" t="s">
        <v>277</v>
      </c>
      <c r="BZ1409" s="2" t="s">
        <v>243</v>
      </c>
      <c r="CA1409" s="2" t="s">
        <v>671</v>
      </c>
      <c r="CB1409" s="2" t="s">
        <v>6652</v>
      </c>
      <c r="CC1409" s="2" t="s">
        <v>244</v>
      </c>
      <c r="CD1409" s="2" t="s">
        <v>231</v>
      </c>
      <c r="CE1409" s="4">
        <v>226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>
        <v>250</v>
      </c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</row>
    <row r="1410">
      <c r="A1410" s="2" t="s">
        <v>6653</v>
      </c>
      <c r="B1410" s="2" t="s">
        <v>801</v>
      </c>
      <c r="C1410" s="2" t="s">
        <v>867</v>
      </c>
      <c r="D1410" s="2" t="s">
        <v>1114</v>
      </c>
      <c r="E1410" s="2" t="s">
        <v>1115</v>
      </c>
      <c r="F1410" s="2" t="s">
        <v>6654</v>
      </c>
      <c r="G1410" s="2" t="s">
        <v>6654</v>
      </c>
      <c r="H1410" s="2" t="s">
        <v>6654</v>
      </c>
      <c r="I1410" s="2" t="s">
        <v>6655</v>
      </c>
      <c r="J1410" s="2" t="s">
        <v>807</v>
      </c>
      <c r="K1410" s="2" t="s">
        <v>6656</v>
      </c>
      <c r="L1410" s="3">
        <v>48.75</v>
      </c>
      <c r="M1410" s="3">
        <v>51.19</v>
      </c>
      <c r="N1410" s="3">
        <v>99.99</v>
      </c>
      <c r="O1410" s="2" t="s">
        <v>243</v>
      </c>
      <c r="P1410" s="2" t="s">
        <v>236</v>
      </c>
      <c r="Q1410" s="2" t="s">
        <v>237</v>
      </c>
      <c r="R1410" s="2" t="s">
        <v>231</v>
      </c>
      <c r="S1410" s="2" t="s">
        <v>231</v>
      </c>
      <c r="T1410" s="2" t="s">
        <v>231</v>
      </c>
      <c r="U1410" s="2" t="s">
        <v>327</v>
      </c>
      <c r="V1410" s="2" t="s">
        <v>662</v>
      </c>
      <c r="W1410" s="2" t="s">
        <v>691</v>
      </c>
      <c r="X1410" s="2" t="s">
        <v>1694</v>
      </c>
      <c r="Y1410" s="2" t="s">
        <v>5535</v>
      </c>
      <c r="Z1410" s="4">
        <v>61</v>
      </c>
      <c r="AA1410" s="4">
        <f>=ROUNDDOWN(46.9230769230769,0)</f>
      </c>
      <c r="AB1410" s="5">
        <v>1.3</v>
      </c>
      <c r="AC1410" s="2" t="s">
        <v>231</v>
      </c>
      <c r="AD1410" s="4"/>
      <c r="AE1410" s="4"/>
      <c r="AF1410" s="6">
        <v>63</v>
      </c>
      <c r="AG1410" s="6"/>
      <c r="AH1410" s="7">
        <v>1</v>
      </c>
      <c r="AI1410" s="4"/>
      <c r="AJ1410" s="4">
        <f>=ROUNDDOWN({0},0)</f>
      </c>
      <c r="AK1410" s="5"/>
      <c r="AL1410" s="2" t="s">
        <v>231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/>
      <c r="BD1410" s="8"/>
      <c r="BE1410" s="4"/>
      <c r="BF1410" s="8"/>
      <c r="BG1410" s="7"/>
      <c r="BH1410" s="7"/>
      <c r="BI1410" s="7"/>
      <c r="BJ1410" s="4">
        <v>6</v>
      </c>
      <c r="BK1410" s="8">
        <v>331.49</v>
      </c>
      <c r="BL1410" s="2" t="s">
        <v>2594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6657</v>
      </c>
      <c r="BV1410" s="2" t="s">
        <v>231</v>
      </c>
      <c r="BW1410" s="2" t="s">
        <v>231</v>
      </c>
      <c r="BX1410" s="2" t="s">
        <v>241</v>
      </c>
      <c r="BY1410" s="2" t="s">
        <v>277</v>
      </c>
      <c r="BZ1410" s="2" t="s">
        <v>243</v>
      </c>
      <c r="CA1410" s="2" t="s">
        <v>2683</v>
      </c>
      <c r="CB1410" s="2" t="s">
        <v>2387</v>
      </c>
      <c r="CC1410" s="2" t="s">
        <v>244</v>
      </c>
      <c r="CD1410" s="2" t="s">
        <v>231</v>
      </c>
      <c r="CE1410" s="4"/>
      <c r="CF1410" s="4">
        <v>61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</row>
    <row r="1411">
      <c r="A1411" s="2" t="s">
        <v>6658</v>
      </c>
      <c r="B1411" s="2" t="s">
        <v>992</v>
      </c>
      <c r="C1411" s="2" t="s">
        <v>288</v>
      </c>
      <c r="D1411" s="2" t="s">
        <v>993</v>
      </c>
      <c r="E1411" s="2" t="s">
        <v>2042</v>
      </c>
      <c r="F1411" s="2" t="s">
        <v>6659</v>
      </c>
      <c r="G1411" s="2" t="s">
        <v>6660</v>
      </c>
      <c r="H1411" s="2" t="s">
        <v>6661</v>
      </c>
      <c r="I1411" s="2" t="s">
        <v>6662</v>
      </c>
      <c r="J1411" s="2" t="s">
        <v>1586</v>
      </c>
      <c r="K1411" s="2" t="s">
        <v>255</v>
      </c>
      <c r="L1411" s="3">
        <v>11.25</v>
      </c>
      <c r="M1411" s="3">
        <v>11.81</v>
      </c>
      <c r="N1411" s="3">
        <v>24.99</v>
      </c>
      <c r="O1411" s="2" t="s">
        <v>250</v>
      </c>
      <c r="P1411" s="2" t="s">
        <v>917</v>
      </c>
      <c r="Q1411" s="2" t="s">
        <v>237</v>
      </c>
      <c r="R1411" s="2" t="s">
        <v>231</v>
      </c>
      <c r="S1411" s="2" t="s">
        <v>6663</v>
      </c>
      <c r="T1411" s="2" t="s">
        <v>231</v>
      </c>
      <c r="U1411" s="2" t="s">
        <v>231</v>
      </c>
      <c r="V1411" s="2" t="s">
        <v>391</v>
      </c>
      <c r="W1411" s="2" t="s">
        <v>691</v>
      </c>
      <c r="X1411" s="2" t="s">
        <v>231</v>
      </c>
      <c r="Y1411" s="2" t="s">
        <v>6664</v>
      </c>
      <c r="Z1411" s="4"/>
      <c r="AA1411" s="4">
        <f>=ROUNDDOWN({0},0)</f>
      </c>
      <c r="AB1411" s="5"/>
      <c r="AC1411" s="2" t="s">
        <v>231</v>
      </c>
      <c r="AD1411" s="4"/>
      <c r="AE1411" s="4"/>
      <c r="AF1411" s="6"/>
      <c r="AG1411" s="6"/>
      <c r="AH1411" s="7">
        <v>0</v>
      </c>
      <c r="AI1411" s="4"/>
      <c r="AJ1411" s="4">
        <f>=ROUNDDOWN({0},0)</f>
      </c>
      <c r="AK1411" s="5"/>
      <c r="AL1411" s="2" t="s">
        <v>231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/>
      <c r="BD1411" s="8"/>
      <c r="BE1411" s="4"/>
      <c r="BF1411" s="8"/>
      <c r="BG1411" s="7"/>
      <c r="BH1411" s="7"/>
      <c r="BI1411" s="7"/>
      <c r="BJ1411" s="4"/>
      <c r="BK1411" s="8"/>
      <c r="BL1411" s="2" t="s">
        <v>231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6665</v>
      </c>
      <c r="BV1411" s="2" t="s">
        <v>231</v>
      </c>
      <c r="BW1411" s="2" t="s">
        <v>231</v>
      </c>
      <c r="BX1411" s="2" t="s">
        <v>231</v>
      </c>
      <c r="BY1411" s="2" t="s">
        <v>277</v>
      </c>
      <c r="BZ1411" s="2" t="s">
        <v>243</v>
      </c>
      <c r="CA1411" s="2" t="s">
        <v>5639</v>
      </c>
      <c r="CB1411" s="2" t="s">
        <v>4498</v>
      </c>
      <c r="CC1411" s="2" t="s">
        <v>244</v>
      </c>
      <c r="CD1411" s="2" t="s">
        <v>231</v>
      </c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</row>
    <row r="1412">
      <c r="A1412" s="2" t="s">
        <v>6666</v>
      </c>
      <c r="B1412" s="2" t="s">
        <v>992</v>
      </c>
      <c r="C1412" s="2" t="s">
        <v>288</v>
      </c>
      <c r="D1412" s="2" t="s">
        <v>993</v>
      </c>
      <c r="E1412" s="2" t="s">
        <v>1157</v>
      </c>
      <c r="F1412" s="2" t="s">
        <v>1143</v>
      </c>
      <c r="G1412" s="2" t="s">
        <v>6667</v>
      </c>
      <c r="H1412" s="2" t="s">
        <v>6668</v>
      </c>
      <c r="I1412" s="2" t="s">
        <v>6669</v>
      </c>
      <c r="J1412" s="2" t="s">
        <v>1168</v>
      </c>
      <c r="K1412" s="2" t="s">
        <v>253</v>
      </c>
      <c r="L1412" s="3">
        <v>18.06</v>
      </c>
      <c r="M1412" s="3">
        <v>18.96</v>
      </c>
      <c r="N1412" s="3">
        <v>42.99</v>
      </c>
      <c r="O1412" s="2" t="s">
        <v>250</v>
      </c>
      <c r="P1412" s="2" t="s">
        <v>341</v>
      </c>
      <c r="Q1412" s="2" t="s">
        <v>237</v>
      </c>
      <c r="R1412" s="2" t="s">
        <v>231</v>
      </c>
      <c r="S1412" s="2" t="s">
        <v>6670</v>
      </c>
      <c r="T1412" s="2" t="s">
        <v>362</v>
      </c>
      <c r="U1412" s="2" t="s">
        <v>791</v>
      </c>
      <c r="V1412" s="2" t="s">
        <v>1685</v>
      </c>
      <c r="W1412" s="2" t="s">
        <v>691</v>
      </c>
      <c r="X1412" s="2" t="s">
        <v>231</v>
      </c>
      <c r="Y1412" s="2" t="s">
        <v>2587</v>
      </c>
      <c r="Z1412" s="4"/>
      <c r="AA1412" s="4">
        <f>=ROUNDDOWN({0},0)</f>
      </c>
      <c r="AB1412" s="5">
        <v>3</v>
      </c>
      <c r="AC1412" s="2" t="s">
        <v>231</v>
      </c>
      <c r="AD1412" s="4"/>
      <c r="AE1412" s="4"/>
      <c r="AF1412" s="6"/>
      <c r="AG1412" s="6"/>
      <c r="AH1412" s="7">
        <v>0.4516</v>
      </c>
      <c r="AI1412" s="4"/>
      <c r="AJ1412" s="4">
        <f>=ROUNDDOWN({0},0)</f>
      </c>
      <c r="AK1412" s="5"/>
      <c r="AL1412" s="2" t="s">
        <v>231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/>
      <c r="BD1412" s="8"/>
      <c r="BE1412" s="4"/>
      <c r="BF1412" s="8"/>
      <c r="BG1412" s="7"/>
      <c r="BH1412" s="7"/>
      <c r="BI1412" s="7"/>
      <c r="BJ1412" s="4">
        <v>3</v>
      </c>
      <c r="BK1412" s="8">
        <v>54.42</v>
      </c>
      <c r="BL1412" s="2" t="s">
        <v>937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6671</v>
      </c>
      <c r="BV1412" s="2" t="s">
        <v>231</v>
      </c>
      <c r="BW1412" s="2" t="s">
        <v>231</v>
      </c>
      <c r="BX1412" s="2" t="s">
        <v>231</v>
      </c>
      <c r="BY1412" s="2" t="s">
        <v>277</v>
      </c>
      <c r="BZ1412" s="2" t="s">
        <v>243</v>
      </c>
      <c r="CA1412" s="2" t="s">
        <v>6672</v>
      </c>
      <c r="CB1412" s="2" t="s">
        <v>6673</v>
      </c>
      <c r="CC1412" s="2" t="s">
        <v>244</v>
      </c>
      <c r="CD1412" s="2" t="s">
        <v>231</v>
      </c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</row>
    <row r="1413">
      <c r="A1413" s="2" t="s">
        <v>6674</v>
      </c>
      <c r="B1413" s="2" t="s">
        <v>226</v>
      </c>
      <c r="C1413" s="2" t="s">
        <v>631</v>
      </c>
      <c r="D1413" s="2" t="s">
        <v>1549</v>
      </c>
      <c r="E1413" s="2" t="s">
        <v>6675</v>
      </c>
      <c r="F1413" s="2" t="s">
        <v>6676</v>
      </c>
      <c r="G1413" s="2" t="s">
        <v>231</v>
      </c>
      <c r="H1413" s="2" t="s">
        <v>231</v>
      </c>
      <c r="I1413" s="2" t="s">
        <v>6677</v>
      </c>
      <c r="J1413" s="2" t="s">
        <v>6678</v>
      </c>
      <c r="K1413" s="2" t="s">
        <v>1677</v>
      </c>
      <c r="L1413" s="3">
        <v>35.42</v>
      </c>
      <c r="M1413" s="3">
        <v>18.97</v>
      </c>
      <c r="N1413" s="3"/>
      <c r="O1413" s="2" t="s">
        <v>243</v>
      </c>
      <c r="P1413" s="2" t="s">
        <v>236</v>
      </c>
      <c r="Q1413" s="2" t="s">
        <v>237</v>
      </c>
      <c r="R1413" s="2" t="s">
        <v>238</v>
      </c>
      <c r="S1413" s="2" t="s">
        <v>231</v>
      </c>
      <c r="T1413" s="2" t="s">
        <v>231</v>
      </c>
      <c r="U1413" s="2" t="s">
        <v>327</v>
      </c>
      <c r="V1413" s="2" t="s">
        <v>987</v>
      </c>
      <c r="W1413" s="2" t="s">
        <v>231</v>
      </c>
      <c r="X1413" s="2" t="s">
        <v>231</v>
      </c>
      <c r="Y1413" s="2" t="s">
        <v>6679</v>
      </c>
      <c r="Z1413" s="4">
        <v>830</v>
      </c>
      <c r="AA1413" s="4">
        <f>=ROUNDDOWN(51.875,0)</f>
      </c>
      <c r="AB1413" s="5">
        <v>16</v>
      </c>
      <c r="AC1413" s="2" t="s">
        <v>2049</v>
      </c>
      <c r="AD1413" s="4">
        <v>150</v>
      </c>
      <c r="AE1413" s="4">
        <v>340</v>
      </c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231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/>
      <c r="BD1413" s="8"/>
      <c r="BE1413" s="4"/>
      <c r="BF1413" s="8"/>
      <c r="BG1413" s="7"/>
      <c r="BH1413" s="7"/>
      <c r="BI1413" s="7"/>
      <c r="BJ1413" s="4">
        <v>2</v>
      </c>
      <c r="BK1413" s="8">
        <v>70.84</v>
      </c>
      <c r="BL1413" s="2" t="s">
        <v>2565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241</v>
      </c>
      <c r="BV1413" s="2" t="s">
        <v>231</v>
      </c>
      <c r="BW1413" s="2" t="s">
        <v>231</v>
      </c>
      <c r="BX1413" s="2" t="s">
        <v>231</v>
      </c>
      <c r="BY1413" s="2" t="s">
        <v>242</v>
      </c>
      <c r="BZ1413" s="2" t="s">
        <v>243</v>
      </c>
      <c r="CA1413" s="2" t="s">
        <v>231</v>
      </c>
      <c r="CB1413" s="2" t="s">
        <v>231</v>
      </c>
      <c r="CC1413" s="2" t="s">
        <v>244</v>
      </c>
      <c r="CD1413" s="2" t="s">
        <v>231</v>
      </c>
      <c r="CE1413" s="4">
        <v>3</v>
      </c>
      <c r="CF1413" s="4"/>
      <c r="CG1413" s="4"/>
      <c r="CH1413" s="4"/>
      <c r="CI1413" s="4">
        <v>827</v>
      </c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>
        <v>150</v>
      </c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>
        <v>190</v>
      </c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</row>
    <row r="1414">
      <c r="A1414" s="2" t="s">
        <v>6680</v>
      </c>
      <c r="B1414" s="2" t="s">
        <v>226</v>
      </c>
      <c r="C1414" s="2" t="s">
        <v>631</v>
      </c>
      <c r="D1414" s="2" t="s">
        <v>1549</v>
      </c>
      <c r="E1414" s="2" t="s">
        <v>1550</v>
      </c>
      <c r="F1414" s="2" t="s">
        <v>6681</v>
      </c>
      <c r="G1414" s="2" t="s">
        <v>6681</v>
      </c>
      <c r="H1414" s="2" t="s">
        <v>6681</v>
      </c>
      <c r="I1414" s="2" t="s">
        <v>6681</v>
      </c>
      <c r="J1414" s="2" t="s">
        <v>1554</v>
      </c>
      <c r="K1414" s="2" t="s">
        <v>901</v>
      </c>
      <c r="L1414" s="3">
        <v>26.4</v>
      </c>
      <c r="M1414" s="3">
        <v>27.72</v>
      </c>
      <c r="N1414" s="3">
        <v>54.99</v>
      </c>
      <c r="O1414" s="2" t="s">
        <v>235</v>
      </c>
      <c r="P1414" s="2" t="s">
        <v>1019</v>
      </c>
      <c r="Q1414" s="2" t="s">
        <v>237</v>
      </c>
      <c r="R1414" s="2" t="s">
        <v>1020</v>
      </c>
      <c r="S1414" s="2" t="s">
        <v>231</v>
      </c>
      <c r="T1414" s="2" t="s">
        <v>231</v>
      </c>
      <c r="U1414" s="2" t="s">
        <v>231</v>
      </c>
      <c r="V1414" s="2" t="s">
        <v>239</v>
      </c>
      <c r="W1414" s="2" t="s">
        <v>231</v>
      </c>
      <c r="X1414" s="2" t="s">
        <v>231</v>
      </c>
      <c r="Y1414" s="2" t="s">
        <v>6682</v>
      </c>
      <c r="Z1414" s="4">
        <v>136</v>
      </c>
      <c r="AA1414" s="4">
        <f>=ROUNDDOWN(13.6,0)</f>
      </c>
      <c r="AB1414" s="5">
        <v>10</v>
      </c>
      <c r="AC1414" s="2" t="s">
        <v>231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231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 t="s">
        <v>231</v>
      </c>
      <c r="BD1414" s="8" t="s">
        <v>231</v>
      </c>
      <c r="BE1414" s="4" t="s">
        <v>231</v>
      </c>
      <c r="BF1414" s="8" t="s">
        <v>231</v>
      </c>
      <c r="BG1414" s="7" t="s">
        <v>231</v>
      </c>
      <c r="BH1414" s="7" t="s">
        <v>231</v>
      </c>
      <c r="BI1414" s="7"/>
      <c r="BJ1414" s="4"/>
      <c r="BK1414" s="8"/>
      <c r="BL1414" s="2" t="s">
        <v>231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6683</v>
      </c>
      <c r="BV1414" s="2" t="s">
        <v>231</v>
      </c>
      <c r="BW1414" s="2" t="s">
        <v>231</v>
      </c>
      <c r="BX1414" s="2" t="s">
        <v>241</v>
      </c>
      <c r="BY1414" s="2" t="s">
        <v>277</v>
      </c>
      <c r="BZ1414" s="2" t="s">
        <v>243</v>
      </c>
      <c r="CA1414" s="2" t="s">
        <v>1680</v>
      </c>
      <c r="CB1414" s="2" t="s">
        <v>231</v>
      </c>
      <c r="CC1414" s="2" t="s">
        <v>244</v>
      </c>
      <c r="CD1414" s="2" t="s">
        <v>231</v>
      </c>
      <c r="CE1414" s="4">
        <v>107</v>
      </c>
      <c r="CF1414" s="4"/>
      <c r="CG1414" s="4"/>
      <c r="CH1414" s="4"/>
      <c r="CI1414" s="4">
        <v>29</v>
      </c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</row>
    <row r="1415">
      <c r="A1415" s="2" t="s">
        <v>6684</v>
      </c>
      <c r="B1415" s="2" t="s">
        <v>226</v>
      </c>
      <c r="C1415" s="2" t="s">
        <v>631</v>
      </c>
      <c r="D1415" s="2" t="s">
        <v>1549</v>
      </c>
      <c r="E1415" s="2" t="s">
        <v>1550</v>
      </c>
      <c r="F1415" s="2" t="s">
        <v>6681</v>
      </c>
      <c r="G1415" s="2" t="s">
        <v>6681</v>
      </c>
      <c r="H1415" s="2" t="s">
        <v>6681</v>
      </c>
      <c r="I1415" s="2" t="s">
        <v>6681</v>
      </c>
      <c r="J1415" s="2" t="s">
        <v>1554</v>
      </c>
      <c r="K1415" s="2" t="s">
        <v>253</v>
      </c>
      <c r="L1415" s="3">
        <v>26.4</v>
      </c>
      <c r="M1415" s="3">
        <v>27.72</v>
      </c>
      <c r="N1415" s="3">
        <v>54.99</v>
      </c>
      <c r="O1415" s="2" t="s">
        <v>235</v>
      </c>
      <c r="P1415" s="2" t="s">
        <v>1019</v>
      </c>
      <c r="Q1415" s="2" t="s">
        <v>237</v>
      </c>
      <c r="R1415" s="2" t="s">
        <v>1020</v>
      </c>
      <c r="S1415" s="2" t="s">
        <v>231</v>
      </c>
      <c r="T1415" s="2" t="s">
        <v>231</v>
      </c>
      <c r="U1415" s="2" t="s">
        <v>231</v>
      </c>
      <c r="V1415" s="2" t="s">
        <v>239</v>
      </c>
      <c r="W1415" s="2" t="s">
        <v>231</v>
      </c>
      <c r="X1415" s="2" t="s">
        <v>231</v>
      </c>
      <c r="Y1415" s="2" t="s">
        <v>6682</v>
      </c>
      <c r="Z1415" s="4">
        <v>981</v>
      </c>
      <c r="AA1415" s="4">
        <f>=ROUNDDOWN(392.4,0)</f>
      </c>
      <c r="AB1415" s="5">
        <v>2.5</v>
      </c>
      <c r="AC1415" s="2" t="s">
        <v>231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231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 t="s">
        <v>231</v>
      </c>
      <c r="BD1415" s="8" t="s">
        <v>231</v>
      </c>
      <c r="BE1415" s="4" t="s">
        <v>231</v>
      </c>
      <c r="BF1415" s="8" t="s">
        <v>231</v>
      </c>
      <c r="BG1415" s="7" t="s">
        <v>231</v>
      </c>
      <c r="BH1415" s="7" t="s">
        <v>231</v>
      </c>
      <c r="BI1415" s="7"/>
      <c r="BJ1415" s="4">
        <v>1</v>
      </c>
      <c r="BK1415" s="8">
        <v>11.03</v>
      </c>
      <c r="BL1415" s="2" t="s">
        <v>2565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6685</v>
      </c>
      <c r="BV1415" s="2" t="s">
        <v>231</v>
      </c>
      <c r="BW1415" s="2" t="s">
        <v>231</v>
      </c>
      <c r="BX1415" s="2" t="s">
        <v>241</v>
      </c>
      <c r="BY1415" s="2" t="s">
        <v>277</v>
      </c>
      <c r="BZ1415" s="2" t="s">
        <v>243</v>
      </c>
      <c r="CA1415" s="2" t="s">
        <v>1680</v>
      </c>
      <c r="CB1415" s="2" t="s">
        <v>231</v>
      </c>
      <c r="CC1415" s="2" t="s">
        <v>244</v>
      </c>
      <c r="CD1415" s="2" t="s">
        <v>231</v>
      </c>
      <c r="CE1415" s="4">
        <v>478</v>
      </c>
      <c r="CF1415" s="4"/>
      <c r="CG1415" s="4"/>
      <c r="CH1415" s="4"/>
      <c r="CI1415" s="4">
        <v>503</v>
      </c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</row>
    <row r="1416">
      <c r="A1416" s="2" t="s">
        <v>6686</v>
      </c>
      <c r="B1416" s="2" t="s">
        <v>226</v>
      </c>
      <c r="C1416" s="2" t="s">
        <v>631</v>
      </c>
      <c r="D1416" s="2" t="s">
        <v>1549</v>
      </c>
      <c r="E1416" s="2" t="s">
        <v>1550</v>
      </c>
      <c r="F1416" s="2" t="s">
        <v>6681</v>
      </c>
      <c r="G1416" s="2" t="s">
        <v>6681</v>
      </c>
      <c r="H1416" s="2" t="s">
        <v>6681</v>
      </c>
      <c r="I1416" s="2" t="s">
        <v>6681</v>
      </c>
      <c r="J1416" s="2" t="s">
        <v>1554</v>
      </c>
      <c r="K1416" s="2" t="s">
        <v>306</v>
      </c>
      <c r="L1416" s="3">
        <v>26.4</v>
      </c>
      <c r="M1416" s="3">
        <v>27.72</v>
      </c>
      <c r="N1416" s="3">
        <v>54.99</v>
      </c>
      <c r="O1416" s="2" t="s">
        <v>235</v>
      </c>
      <c r="P1416" s="2" t="s">
        <v>1019</v>
      </c>
      <c r="Q1416" s="2" t="s">
        <v>237</v>
      </c>
      <c r="R1416" s="2" t="s">
        <v>1020</v>
      </c>
      <c r="S1416" s="2" t="s">
        <v>231</v>
      </c>
      <c r="T1416" s="2" t="s">
        <v>231</v>
      </c>
      <c r="U1416" s="2" t="s">
        <v>231</v>
      </c>
      <c r="V1416" s="2" t="s">
        <v>239</v>
      </c>
      <c r="W1416" s="2" t="s">
        <v>231</v>
      </c>
      <c r="X1416" s="2" t="s">
        <v>231</v>
      </c>
      <c r="Y1416" s="2" t="s">
        <v>6682</v>
      </c>
      <c r="Z1416" s="4">
        <v>570</v>
      </c>
      <c r="AA1416" s="4">
        <f>=ROUNDDOWN(38,0)</f>
      </c>
      <c r="AB1416" s="5">
        <v>15</v>
      </c>
      <c r="AC1416" s="2" t="s">
        <v>231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231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 t="s">
        <v>231</v>
      </c>
      <c r="BD1416" s="8" t="s">
        <v>231</v>
      </c>
      <c r="BE1416" s="4" t="s">
        <v>231</v>
      </c>
      <c r="BF1416" s="8" t="s">
        <v>231</v>
      </c>
      <c r="BG1416" s="7" t="s">
        <v>231</v>
      </c>
      <c r="BH1416" s="7" t="s">
        <v>231</v>
      </c>
      <c r="BI1416" s="7"/>
      <c r="BJ1416" s="4"/>
      <c r="BK1416" s="8"/>
      <c r="BL1416" s="2" t="s">
        <v>231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6687</v>
      </c>
      <c r="BV1416" s="2" t="s">
        <v>231</v>
      </c>
      <c r="BW1416" s="2" t="s">
        <v>231</v>
      </c>
      <c r="BX1416" s="2" t="s">
        <v>241</v>
      </c>
      <c r="BY1416" s="2" t="s">
        <v>277</v>
      </c>
      <c r="BZ1416" s="2" t="s">
        <v>243</v>
      </c>
      <c r="CA1416" s="2" t="s">
        <v>1680</v>
      </c>
      <c r="CB1416" s="2" t="s">
        <v>231</v>
      </c>
      <c r="CC1416" s="2" t="s">
        <v>244</v>
      </c>
      <c r="CD1416" s="2" t="s">
        <v>231</v>
      </c>
      <c r="CE1416" s="4">
        <v>570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</row>
    <row r="1417">
      <c r="A1417" s="2" t="s">
        <v>6688</v>
      </c>
      <c r="B1417" s="2" t="s">
        <v>226</v>
      </c>
      <c r="C1417" s="2" t="s">
        <v>631</v>
      </c>
      <c r="D1417" s="2" t="s">
        <v>1549</v>
      </c>
      <c r="E1417" s="2" t="s">
        <v>1550</v>
      </c>
      <c r="F1417" s="2" t="s">
        <v>6681</v>
      </c>
      <c r="G1417" s="2" t="s">
        <v>6681</v>
      </c>
      <c r="H1417" s="2" t="s">
        <v>6681</v>
      </c>
      <c r="I1417" s="2" t="s">
        <v>6681</v>
      </c>
      <c r="J1417" s="2" t="s">
        <v>1554</v>
      </c>
      <c r="K1417" s="2" t="s">
        <v>255</v>
      </c>
      <c r="L1417" s="3">
        <v>26.4</v>
      </c>
      <c r="M1417" s="3">
        <v>27.72</v>
      </c>
      <c r="N1417" s="3">
        <v>54.99</v>
      </c>
      <c r="O1417" s="2" t="s">
        <v>235</v>
      </c>
      <c r="P1417" s="2" t="s">
        <v>1019</v>
      </c>
      <c r="Q1417" s="2" t="s">
        <v>237</v>
      </c>
      <c r="R1417" s="2" t="s">
        <v>1020</v>
      </c>
      <c r="S1417" s="2" t="s">
        <v>231</v>
      </c>
      <c r="T1417" s="2" t="s">
        <v>231</v>
      </c>
      <c r="U1417" s="2" t="s">
        <v>231</v>
      </c>
      <c r="V1417" s="2" t="s">
        <v>239</v>
      </c>
      <c r="W1417" s="2" t="s">
        <v>231</v>
      </c>
      <c r="X1417" s="2" t="s">
        <v>231</v>
      </c>
      <c r="Y1417" s="2" t="s">
        <v>6682</v>
      </c>
      <c r="Z1417" s="4">
        <v>936</v>
      </c>
      <c r="AA1417" s="4">
        <f>=ROUNDDOWN({0},0)</f>
      </c>
      <c r="AB1417" s="5"/>
      <c r="AC1417" s="2" t="s">
        <v>231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231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231</v>
      </c>
      <c r="BD1417" s="8" t="s">
        <v>231</v>
      </c>
      <c r="BE1417" s="4" t="s">
        <v>231</v>
      </c>
      <c r="BF1417" s="8" t="s">
        <v>231</v>
      </c>
      <c r="BG1417" s="7" t="s">
        <v>231</v>
      </c>
      <c r="BH1417" s="7" t="s">
        <v>231</v>
      </c>
      <c r="BI1417" s="7"/>
      <c r="BJ1417" s="4"/>
      <c r="BK1417" s="8"/>
      <c r="BL1417" s="2" t="s">
        <v>1022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6689</v>
      </c>
      <c r="BV1417" s="2" t="s">
        <v>231</v>
      </c>
      <c r="BW1417" s="2" t="s">
        <v>231</v>
      </c>
      <c r="BX1417" s="2" t="s">
        <v>241</v>
      </c>
      <c r="BY1417" s="2" t="s">
        <v>277</v>
      </c>
      <c r="BZ1417" s="2" t="s">
        <v>243</v>
      </c>
      <c r="CA1417" s="2" t="s">
        <v>1680</v>
      </c>
      <c r="CB1417" s="2" t="s">
        <v>231</v>
      </c>
      <c r="CC1417" s="2" t="s">
        <v>244</v>
      </c>
      <c r="CD1417" s="2" t="s">
        <v>231</v>
      </c>
      <c r="CE1417" s="4">
        <v>936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</row>
    <row r="1418">
      <c r="A1418" s="2" t="s">
        <v>6690</v>
      </c>
      <c r="B1418" s="2" t="s">
        <v>226</v>
      </c>
      <c r="C1418" s="2" t="s">
        <v>631</v>
      </c>
      <c r="D1418" s="2" t="s">
        <v>3885</v>
      </c>
      <c r="E1418" s="2" t="s">
        <v>3886</v>
      </c>
      <c r="F1418" s="2" t="s">
        <v>6691</v>
      </c>
      <c r="G1418" s="2" t="s">
        <v>6691</v>
      </c>
      <c r="H1418" s="2" t="s">
        <v>6691</v>
      </c>
      <c r="I1418" s="2" t="s">
        <v>6692</v>
      </c>
      <c r="J1418" s="2" t="s">
        <v>293</v>
      </c>
      <c r="K1418" s="2" t="s">
        <v>319</v>
      </c>
      <c r="L1418" s="3">
        <v>64.79</v>
      </c>
      <c r="M1418" s="3">
        <v>68.03</v>
      </c>
      <c r="N1418" s="3">
        <v>119.99</v>
      </c>
      <c r="O1418" s="2" t="s">
        <v>243</v>
      </c>
      <c r="P1418" s="2" t="s">
        <v>1332</v>
      </c>
      <c r="Q1418" s="2" t="s">
        <v>237</v>
      </c>
      <c r="R1418" s="2" t="s">
        <v>231</v>
      </c>
      <c r="S1418" s="2" t="s">
        <v>6693</v>
      </c>
      <c r="T1418" s="2" t="s">
        <v>472</v>
      </c>
      <c r="U1418" s="2" t="s">
        <v>231</v>
      </c>
      <c r="V1418" s="2" t="s">
        <v>239</v>
      </c>
      <c r="W1418" s="2" t="s">
        <v>273</v>
      </c>
      <c r="X1418" s="2" t="s">
        <v>231</v>
      </c>
      <c r="Y1418" s="2" t="s">
        <v>6694</v>
      </c>
      <c r="Z1418" s="4"/>
      <c r="AA1418" s="4">
        <f>=ROUNDDOWN({0},0)</f>
      </c>
      <c r="AB1418" s="5">
        <v>275</v>
      </c>
      <c r="AC1418" s="2" t="s">
        <v>6141</v>
      </c>
      <c r="AD1418" s="4">
        <v>1430</v>
      </c>
      <c r="AE1418" s="4">
        <v>6550</v>
      </c>
      <c r="AF1418" s="6">
        <v>65</v>
      </c>
      <c r="AG1418" s="6"/>
      <c r="AH1418" s="7">
        <v>0</v>
      </c>
      <c r="AI1418" s="4"/>
      <c r="AJ1418" s="4">
        <f>=ROUNDDOWN({0},0)</f>
      </c>
      <c r="AK1418" s="5"/>
      <c r="AL1418" s="2" t="s">
        <v>231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/>
      <c r="BD1418" s="8"/>
      <c r="BE1418" s="4"/>
      <c r="BF1418" s="8"/>
      <c r="BG1418" s="7"/>
      <c r="BH1418" s="7"/>
      <c r="BI1418" s="7"/>
      <c r="BJ1418" s="4">
        <v>6</v>
      </c>
      <c r="BK1418" s="8">
        <v>404.7</v>
      </c>
      <c r="BL1418" s="2" t="s">
        <v>1020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6695</v>
      </c>
      <c r="BV1418" s="2" t="s">
        <v>231</v>
      </c>
      <c r="BW1418" s="2" t="s">
        <v>231</v>
      </c>
      <c r="BX1418" s="2" t="s">
        <v>4138</v>
      </c>
      <c r="BY1418" s="2" t="s">
        <v>277</v>
      </c>
      <c r="BZ1418" s="2" t="s">
        <v>243</v>
      </c>
      <c r="CA1418" s="2" t="s">
        <v>1633</v>
      </c>
      <c r="CB1418" s="2" t="s">
        <v>6696</v>
      </c>
      <c r="CC1418" s="2" t="s">
        <v>244</v>
      </c>
      <c r="CD1418" s="2" t="s">
        <v>231</v>
      </c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>
        <v>1430</v>
      </c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>
        <v>2900</v>
      </c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>
        <v>2220</v>
      </c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</row>
    <row r="1419">
      <c r="A1419" s="2" t="s">
        <v>6697</v>
      </c>
      <c r="B1419" s="2" t="s">
        <v>226</v>
      </c>
      <c r="C1419" s="2" t="s">
        <v>631</v>
      </c>
      <c r="D1419" s="2" t="s">
        <v>1549</v>
      </c>
      <c r="E1419" s="2" t="s">
        <v>3949</v>
      </c>
      <c r="F1419" s="2" t="s">
        <v>6698</v>
      </c>
      <c r="G1419" s="2" t="s">
        <v>6698</v>
      </c>
      <c r="H1419" s="2" t="s">
        <v>231</v>
      </c>
      <c r="I1419" s="2" t="s">
        <v>229</v>
      </c>
      <c r="J1419" s="2" t="s">
        <v>318</v>
      </c>
      <c r="K1419" s="2" t="s">
        <v>269</v>
      </c>
      <c r="L1419" s="3">
        <v>54.64</v>
      </c>
      <c r="M1419" s="3">
        <v>57.37</v>
      </c>
      <c r="N1419" s="3">
        <v>104.99</v>
      </c>
      <c r="O1419" s="2" t="s">
        <v>243</v>
      </c>
      <c r="P1419" s="2" t="s">
        <v>1281</v>
      </c>
      <c r="Q1419" s="2" t="s">
        <v>237</v>
      </c>
      <c r="R1419" s="2" t="s">
        <v>231</v>
      </c>
      <c r="S1419" s="2" t="s">
        <v>6699</v>
      </c>
      <c r="T1419" s="2" t="s">
        <v>970</v>
      </c>
      <c r="U1419" s="2" t="s">
        <v>231</v>
      </c>
      <c r="V1419" s="2" t="s">
        <v>239</v>
      </c>
      <c r="W1419" s="2" t="s">
        <v>273</v>
      </c>
      <c r="X1419" s="2" t="s">
        <v>231</v>
      </c>
      <c r="Y1419" s="2" t="s">
        <v>274</v>
      </c>
      <c r="Z1419" s="4"/>
      <c r="AA1419" s="4">
        <f>=ROUNDDOWN({0},0)</f>
      </c>
      <c r="AB1419" s="5">
        <v>17</v>
      </c>
      <c r="AC1419" s="2" t="s">
        <v>3723</v>
      </c>
      <c r="AD1419" s="4">
        <v>150</v>
      </c>
      <c r="AE1419" s="4">
        <v>510</v>
      </c>
      <c r="AF1419" s="6">
        <v>65</v>
      </c>
      <c r="AG1419" s="6"/>
      <c r="AH1419" s="7">
        <v>0</v>
      </c>
      <c r="AI1419" s="4"/>
      <c r="AJ1419" s="4">
        <f>=ROUNDDOWN({0},0)</f>
      </c>
      <c r="AK1419" s="5"/>
      <c r="AL1419" s="2" t="s">
        <v>231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231</v>
      </c>
      <c r="AW1419" s="8" t="s">
        <v>231</v>
      </c>
      <c r="AX1419" s="4" t="s">
        <v>231</v>
      </c>
      <c r="AY1419" s="8" t="s">
        <v>231</v>
      </c>
      <c r="AZ1419" s="7" t="s">
        <v>231</v>
      </c>
      <c r="BA1419" s="7" t="s">
        <v>231</v>
      </c>
      <c r="BB1419" s="7"/>
      <c r="BC1419" s="4" t="s">
        <v>231</v>
      </c>
      <c r="BD1419" s="8" t="s">
        <v>231</v>
      </c>
      <c r="BE1419" s="4" t="s">
        <v>231</v>
      </c>
      <c r="BF1419" s="8" t="s">
        <v>231</v>
      </c>
      <c r="BG1419" s="7" t="s">
        <v>231</v>
      </c>
      <c r="BH1419" s="7" t="s">
        <v>231</v>
      </c>
      <c r="BI1419" s="7"/>
      <c r="BJ1419" s="4"/>
      <c r="BK1419" s="8"/>
      <c r="BL1419" s="2" t="s">
        <v>6700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6701</v>
      </c>
      <c r="BV1419" s="2" t="s">
        <v>231</v>
      </c>
      <c r="BW1419" s="2" t="s">
        <v>231</v>
      </c>
      <c r="BX1419" s="2" t="s">
        <v>231</v>
      </c>
      <c r="BY1419" s="2" t="s">
        <v>277</v>
      </c>
      <c r="BZ1419" s="2" t="s">
        <v>243</v>
      </c>
      <c r="CA1419" s="2" t="s">
        <v>1633</v>
      </c>
      <c r="CB1419" s="2" t="s">
        <v>607</v>
      </c>
      <c r="CC1419" s="2" t="s">
        <v>244</v>
      </c>
      <c r="CD1419" s="2" t="s">
        <v>231</v>
      </c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>
        <v>150</v>
      </c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>
        <v>150</v>
      </c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>
        <v>210</v>
      </c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</row>
    <row r="1420">
      <c r="A1420" s="2" t="s">
        <v>6702</v>
      </c>
      <c r="B1420" s="2" t="s">
        <v>226</v>
      </c>
      <c r="C1420" s="2" t="s">
        <v>631</v>
      </c>
      <c r="D1420" s="2" t="s">
        <v>1549</v>
      </c>
      <c r="E1420" s="2" t="s">
        <v>3949</v>
      </c>
      <c r="F1420" s="2" t="s">
        <v>6698</v>
      </c>
      <c r="G1420" s="2" t="s">
        <v>6698</v>
      </c>
      <c r="H1420" s="2" t="s">
        <v>231</v>
      </c>
      <c r="I1420" s="2" t="s">
        <v>229</v>
      </c>
      <c r="J1420" s="2" t="s">
        <v>281</v>
      </c>
      <c r="K1420" s="2" t="s">
        <v>269</v>
      </c>
      <c r="L1420" s="3">
        <v>59.61</v>
      </c>
      <c r="M1420" s="3">
        <v>62.59</v>
      </c>
      <c r="N1420" s="3">
        <v>114.99</v>
      </c>
      <c r="O1420" s="2" t="s">
        <v>243</v>
      </c>
      <c r="P1420" s="2" t="s">
        <v>1281</v>
      </c>
      <c r="Q1420" s="2" t="s">
        <v>237</v>
      </c>
      <c r="R1420" s="2" t="s">
        <v>231</v>
      </c>
      <c r="S1420" s="2" t="s">
        <v>6699</v>
      </c>
      <c r="T1420" s="2" t="s">
        <v>970</v>
      </c>
      <c r="U1420" s="2" t="s">
        <v>231</v>
      </c>
      <c r="V1420" s="2" t="s">
        <v>239</v>
      </c>
      <c r="W1420" s="2" t="s">
        <v>273</v>
      </c>
      <c r="X1420" s="2" t="s">
        <v>231</v>
      </c>
      <c r="Y1420" s="2" t="s">
        <v>274</v>
      </c>
      <c r="Z1420" s="4"/>
      <c r="AA1420" s="4">
        <f>=ROUNDDOWN({0},0)</f>
      </c>
      <c r="AB1420" s="5">
        <v>24.8</v>
      </c>
      <c r="AC1420" s="2" t="s">
        <v>3723</v>
      </c>
      <c r="AD1420" s="4">
        <v>150</v>
      </c>
      <c r="AE1420" s="4">
        <v>300</v>
      </c>
      <c r="AF1420" s="6">
        <v>65</v>
      </c>
      <c r="AG1420" s="6"/>
      <c r="AH1420" s="7">
        <v>0</v>
      </c>
      <c r="AI1420" s="4"/>
      <c r="AJ1420" s="4">
        <f>=ROUNDDOWN({0},0)</f>
      </c>
      <c r="AK1420" s="5"/>
      <c r="AL1420" s="2" t="s">
        <v>231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231</v>
      </c>
      <c r="AW1420" s="8" t="s">
        <v>231</v>
      </c>
      <c r="AX1420" s="4" t="s">
        <v>231</v>
      </c>
      <c r="AY1420" s="8" t="s">
        <v>231</v>
      </c>
      <c r="AZ1420" s="7" t="s">
        <v>231</v>
      </c>
      <c r="BA1420" s="7" t="s">
        <v>231</v>
      </c>
      <c r="BB1420" s="7"/>
      <c r="BC1420" s="4" t="s">
        <v>231</v>
      </c>
      <c r="BD1420" s="8" t="s">
        <v>231</v>
      </c>
      <c r="BE1420" s="4" t="s">
        <v>231</v>
      </c>
      <c r="BF1420" s="8" t="s">
        <v>231</v>
      </c>
      <c r="BG1420" s="7" t="s">
        <v>231</v>
      </c>
      <c r="BH1420" s="7" t="s">
        <v>231</v>
      </c>
      <c r="BI1420" s="7"/>
      <c r="BJ1420" s="4"/>
      <c r="BK1420" s="8"/>
      <c r="BL1420" s="2" t="s">
        <v>4429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6703</v>
      </c>
      <c r="BV1420" s="2" t="s">
        <v>231</v>
      </c>
      <c r="BW1420" s="2" t="s">
        <v>231</v>
      </c>
      <c r="BX1420" s="2" t="s">
        <v>231</v>
      </c>
      <c r="BY1420" s="2" t="s">
        <v>277</v>
      </c>
      <c r="BZ1420" s="2" t="s">
        <v>243</v>
      </c>
      <c r="CA1420" s="2" t="s">
        <v>1633</v>
      </c>
      <c r="CB1420" s="2" t="s">
        <v>602</v>
      </c>
      <c r="CC1420" s="2" t="s">
        <v>244</v>
      </c>
      <c r="CD1420" s="2" t="s">
        <v>231</v>
      </c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>
        <v>150</v>
      </c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>
        <v>150</v>
      </c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</row>
    <row r="1421">
      <c r="A1421" s="2" t="s">
        <v>6704</v>
      </c>
      <c r="B1421" s="2" t="s">
        <v>226</v>
      </c>
      <c r="C1421" s="2" t="s">
        <v>631</v>
      </c>
      <c r="D1421" s="2" t="s">
        <v>1549</v>
      </c>
      <c r="E1421" s="2" t="s">
        <v>3949</v>
      </c>
      <c r="F1421" s="2" t="s">
        <v>6698</v>
      </c>
      <c r="G1421" s="2" t="s">
        <v>6698</v>
      </c>
      <c r="H1421" s="2" t="s">
        <v>231</v>
      </c>
      <c r="I1421" s="2" t="s">
        <v>229</v>
      </c>
      <c r="J1421" s="2" t="s">
        <v>293</v>
      </c>
      <c r="K1421" s="2" t="s">
        <v>269</v>
      </c>
      <c r="L1421" s="3">
        <v>79.48</v>
      </c>
      <c r="M1421" s="3">
        <v>83.45</v>
      </c>
      <c r="N1421" s="3">
        <v>154.99</v>
      </c>
      <c r="O1421" s="2" t="s">
        <v>243</v>
      </c>
      <c r="P1421" s="2" t="s">
        <v>1281</v>
      </c>
      <c r="Q1421" s="2" t="s">
        <v>237</v>
      </c>
      <c r="R1421" s="2" t="s">
        <v>231</v>
      </c>
      <c r="S1421" s="2" t="s">
        <v>6699</v>
      </c>
      <c r="T1421" s="2" t="s">
        <v>970</v>
      </c>
      <c r="U1421" s="2" t="s">
        <v>231</v>
      </c>
      <c r="V1421" s="2" t="s">
        <v>239</v>
      </c>
      <c r="W1421" s="2" t="s">
        <v>273</v>
      </c>
      <c r="X1421" s="2" t="s">
        <v>231</v>
      </c>
      <c r="Y1421" s="2" t="s">
        <v>6705</v>
      </c>
      <c r="Z1421" s="4">
        <v>95</v>
      </c>
      <c r="AA1421" s="4">
        <f>=ROUNDDOWN(2.30024213075061,0)</f>
      </c>
      <c r="AB1421" s="5">
        <v>41.3</v>
      </c>
      <c r="AC1421" s="2" t="s">
        <v>2049</v>
      </c>
      <c r="AD1421" s="4">
        <v>150</v>
      </c>
      <c r="AE1421" s="4">
        <v>320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231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231</v>
      </c>
      <c r="AW1421" s="8" t="s">
        <v>231</v>
      </c>
      <c r="AX1421" s="4" t="s">
        <v>231</v>
      </c>
      <c r="AY1421" s="8" t="s">
        <v>231</v>
      </c>
      <c r="AZ1421" s="7" t="s">
        <v>231</v>
      </c>
      <c r="BA1421" s="7" t="s">
        <v>231</v>
      </c>
      <c r="BB1421" s="7"/>
      <c r="BC1421" s="4" t="s">
        <v>231</v>
      </c>
      <c r="BD1421" s="8" t="s">
        <v>231</v>
      </c>
      <c r="BE1421" s="4" t="s">
        <v>231</v>
      </c>
      <c r="BF1421" s="8" t="s">
        <v>231</v>
      </c>
      <c r="BG1421" s="7" t="s">
        <v>231</v>
      </c>
      <c r="BH1421" s="7" t="s">
        <v>231</v>
      </c>
      <c r="BI1421" s="7"/>
      <c r="BJ1421" s="4">
        <v>18</v>
      </c>
      <c r="BK1421" s="8">
        <v>1657.04</v>
      </c>
      <c r="BL1421" s="2" t="s">
        <v>6706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6707</v>
      </c>
      <c r="BV1421" s="2" t="s">
        <v>231</v>
      </c>
      <c r="BW1421" s="2" t="s">
        <v>231</v>
      </c>
      <c r="BX1421" s="2" t="s">
        <v>231</v>
      </c>
      <c r="BY1421" s="2" t="s">
        <v>277</v>
      </c>
      <c r="BZ1421" s="2" t="s">
        <v>243</v>
      </c>
      <c r="CA1421" s="2" t="s">
        <v>1633</v>
      </c>
      <c r="CB1421" s="2" t="s">
        <v>467</v>
      </c>
      <c r="CC1421" s="2" t="s">
        <v>244</v>
      </c>
      <c r="CD1421" s="2" t="s">
        <v>231</v>
      </c>
      <c r="CE1421" s="4">
        <v>95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>
        <v>150</v>
      </c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>
        <v>170</v>
      </c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</row>
    <row r="1422">
      <c r="A1422" s="2" t="s">
        <v>6708</v>
      </c>
      <c r="B1422" s="2" t="s">
        <v>226</v>
      </c>
      <c r="C1422" s="2" t="s">
        <v>631</v>
      </c>
      <c r="D1422" s="2" t="s">
        <v>1549</v>
      </c>
      <c r="E1422" s="2" t="s">
        <v>3949</v>
      </c>
      <c r="F1422" s="2" t="s">
        <v>6698</v>
      </c>
      <c r="G1422" s="2" t="s">
        <v>6698</v>
      </c>
      <c r="H1422" s="2" t="s">
        <v>231</v>
      </c>
      <c r="I1422" s="2" t="s">
        <v>229</v>
      </c>
      <c r="J1422" s="2" t="s">
        <v>302</v>
      </c>
      <c r="K1422" s="2" t="s">
        <v>269</v>
      </c>
      <c r="L1422" s="3">
        <v>89.41</v>
      </c>
      <c r="M1422" s="3">
        <v>93.88</v>
      </c>
      <c r="N1422" s="3">
        <v>174.99</v>
      </c>
      <c r="O1422" s="2" t="s">
        <v>243</v>
      </c>
      <c r="P1422" s="2" t="s">
        <v>1281</v>
      </c>
      <c r="Q1422" s="2" t="s">
        <v>237</v>
      </c>
      <c r="R1422" s="2" t="s">
        <v>231</v>
      </c>
      <c r="S1422" s="2" t="s">
        <v>6699</v>
      </c>
      <c r="T1422" s="2" t="s">
        <v>970</v>
      </c>
      <c r="U1422" s="2" t="s">
        <v>231</v>
      </c>
      <c r="V1422" s="2" t="s">
        <v>239</v>
      </c>
      <c r="W1422" s="2" t="s">
        <v>273</v>
      </c>
      <c r="X1422" s="2" t="s">
        <v>231</v>
      </c>
      <c r="Y1422" s="2" t="s">
        <v>6709</v>
      </c>
      <c r="Z1422" s="4">
        <v>415</v>
      </c>
      <c r="AA1422" s="4">
        <f>=ROUNDDOWN(5.22012578616352,0)</f>
      </c>
      <c r="AB1422" s="5">
        <v>79.5</v>
      </c>
      <c r="AC1422" s="2" t="s">
        <v>231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231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231</v>
      </c>
      <c r="AW1422" s="8" t="s">
        <v>231</v>
      </c>
      <c r="AX1422" s="4" t="s">
        <v>231</v>
      </c>
      <c r="AY1422" s="8" t="s">
        <v>231</v>
      </c>
      <c r="AZ1422" s="7" t="s">
        <v>231</v>
      </c>
      <c r="BA1422" s="7" t="s">
        <v>231</v>
      </c>
      <c r="BB1422" s="7"/>
      <c r="BC1422" s="4" t="s">
        <v>231</v>
      </c>
      <c r="BD1422" s="8" t="s">
        <v>231</v>
      </c>
      <c r="BE1422" s="4" t="s">
        <v>231</v>
      </c>
      <c r="BF1422" s="8" t="s">
        <v>231</v>
      </c>
      <c r="BG1422" s="7" t="s">
        <v>231</v>
      </c>
      <c r="BH1422" s="7" t="s">
        <v>231</v>
      </c>
      <c r="BI1422" s="7"/>
      <c r="BJ1422" s="4">
        <v>44</v>
      </c>
      <c r="BK1422" s="8">
        <v>4643.41</v>
      </c>
      <c r="BL1422" s="2" t="s">
        <v>6710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6711</v>
      </c>
      <c r="BV1422" s="2" t="s">
        <v>231</v>
      </c>
      <c r="BW1422" s="2" t="s">
        <v>231</v>
      </c>
      <c r="BX1422" s="2" t="s">
        <v>231</v>
      </c>
      <c r="BY1422" s="2" t="s">
        <v>277</v>
      </c>
      <c r="BZ1422" s="2" t="s">
        <v>243</v>
      </c>
      <c r="CA1422" s="2" t="s">
        <v>1633</v>
      </c>
      <c r="CB1422" s="2" t="s">
        <v>467</v>
      </c>
      <c r="CC1422" s="2" t="s">
        <v>244</v>
      </c>
      <c r="CD1422" s="2" t="s">
        <v>231</v>
      </c>
      <c r="CE1422" s="4">
        <v>415</v>
      </c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</row>
    <row r="1423">
      <c r="A1423" s="2" t="s">
        <v>6712</v>
      </c>
      <c r="B1423" s="2" t="s">
        <v>226</v>
      </c>
      <c r="C1423" s="2" t="s">
        <v>631</v>
      </c>
      <c r="D1423" s="2" t="s">
        <v>1549</v>
      </c>
      <c r="E1423" s="2" t="s">
        <v>1550</v>
      </c>
      <c r="F1423" s="2" t="s">
        <v>6698</v>
      </c>
      <c r="G1423" s="2" t="s">
        <v>6698</v>
      </c>
      <c r="H1423" s="2" t="s">
        <v>231</v>
      </c>
      <c r="I1423" s="2" t="s">
        <v>2589</v>
      </c>
      <c r="J1423" s="2" t="s">
        <v>2845</v>
      </c>
      <c r="K1423" s="2" t="s">
        <v>269</v>
      </c>
      <c r="L1423" s="3">
        <v>36.8</v>
      </c>
      <c r="M1423" s="3">
        <v>38.64</v>
      </c>
      <c r="N1423" s="3">
        <v>79.99</v>
      </c>
      <c r="O1423" s="2" t="s">
        <v>243</v>
      </c>
      <c r="P1423" s="2" t="s">
        <v>1281</v>
      </c>
      <c r="Q1423" s="2" t="s">
        <v>237</v>
      </c>
      <c r="R1423" s="2" t="s">
        <v>231</v>
      </c>
      <c r="S1423" s="2" t="s">
        <v>6713</v>
      </c>
      <c r="T1423" s="2" t="s">
        <v>970</v>
      </c>
      <c r="U1423" s="2" t="s">
        <v>231</v>
      </c>
      <c r="V1423" s="2" t="s">
        <v>239</v>
      </c>
      <c r="W1423" s="2" t="s">
        <v>273</v>
      </c>
      <c r="X1423" s="2" t="s">
        <v>231</v>
      </c>
      <c r="Y1423" s="2" t="s">
        <v>274</v>
      </c>
      <c r="Z1423" s="4"/>
      <c r="AA1423" s="4">
        <f>=ROUNDDOWN({0},0)</f>
      </c>
      <c r="AB1423" s="5">
        <v>52.3</v>
      </c>
      <c r="AC1423" s="2" t="s">
        <v>2262</v>
      </c>
      <c r="AD1423" s="4">
        <v>100</v>
      </c>
      <c r="AE1423" s="4">
        <v>710</v>
      </c>
      <c r="AF1423" s="6">
        <v>65</v>
      </c>
      <c r="AG1423" s="6"/>
      <c r="AH1423" s="7">
        <v>0</v>
      </c>
      <c r="AI1423" s="4"/>
      <c r="AJ1423" s="4">
        <f>=ROUNDDOWN({0},0)</f>
      </c>
      <c r="AK1423" s="5"/>
      <c r="AL1423" s="2" t="s">
        <v>231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231</v>
      </c>
      <c r="AW1423" s="8" t="s">
        <v>231</v>
      </c>
      <c r="AX1423" s="4" t="s">
        <v>231</v>
      </c>
      <c r="AY1423" s="8" t="s">
        <v>231</v>
      </c>
      <c r="AZ1423" s="7" t="s">
        <v>231</v>
      </c>
      <c r="BA1423" s="7" t="s">
        <v>231</v>
      </c>
      <c r="BB1423" s="7"/>
      <c r="BC1423" s="4" t="s">
        <v>231</v>
      </c>
      <c r="BD1423" s="8" t="s">
        <v>231</v>
      </c>
      <c r="BE1423" s="4" t="s">
        <v>231</v>
      </c>
      <c r="BF1423" s="8" t="s">
        <v>231</v>
      </c>
      <c r="BG1423" s="7" t="s">
        <v>231</v>
      </c>
      <c r="BH1423" s="7" t="s">
        <v>231</v>
      </c>
      <c r="BI1423" s="7"/>
      <c r="BJ1423" s="4"/>
      <c r="BK1423" s="8"/>
      <c r="BL1423" s="2" t="s">
        <v>6714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6715</v>
      </c>
      <c r="BV1423" s="2" t="s">
        <v>231</v>
      </c>
      <c r="BW1423" s="2" t="s">
        <v>231</v>
      </c>
      <c r="BX1423" s="2" t="s">
        <v>231</v>
      </c>
      <c r="BY1423" s="2" t="s">
        <v>277</v>
      </c>
      <c r="BZ1423" s="2" t="s">
        <v>243</v>
      </c>
      <c r="CA1423" s="2" t="s">
        <v>1633</v>
      </c>
      <c r="CB1423" s="2" t="s">
        <v>467</v>
      </c>
      <c r="CC1423" s="2" t="s">
        <v>244</v>
      </c>
      <c r="CD1423" s="2" t="s">
        <v>231</v>
      </c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>
        <v>100</v>
      </c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>
        <v>250</v>
      </c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>
        <v>360</v>
      </c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</row>
    <row r="1424">
      <c r="A1424" s="2" t="s">
        <v>6716</v>
      </c>
      <c r="B1424" s="2" t="s">
        <v>226</v>
      </c>
      <c r="C1424" s="2" t="s">
        <v>631</v>
      </c>
      <c r="D1424" s="2" t="s">
        <v>1549</v>
      </c>
      <c r="E1424" s="2" t="s">
        <v>3949</v>
      </c>
      <c r="F1424" s="2" t="s">
        <v>6698</v>
      </c>
      <c r="G1424" s="2" t="s">
        <v>6698</v>
      </c>
      <c r="H1424" s="2" t="s">
        <v>231</v>
      </c>
      <c r="I1424" s="2" t="s">
        <v>229</v>
      </c>
      <c r="J1424" s="2" t="s">
        <v>318</v>
      </c>
      <c r="K1424" s="2" t="s">
        <v>1655</v>
      </c>
      <c r="L1424" s="3">
        <v>54.64</v>
      </c>
      <c r="M1424" s="3">
        <v>57.37</v>
      </c>
      <c r="N1424" s="3">
        <v>104.99</v>
      </c>
      <c r="O1424" s="2" t="s">
        <v>243</v>
      </c>
      <c r="P1424" s="2" t="s">
        <v>341</v>
      </c>
      <c r="Q1424" s="2" t="s">
        <v>237</v>
      </c>
      <c r="R1424" s="2" t="s">
        <v>231</v>
      </c>
      <c r="S1424" s="2" t="s">
        <v>6717</v>
      </c>
      <c r="T1424" s="2" t="s">
        <v>970</v>
      </c>
      <c r="U1424" s="2" t="s">
        <v>231</v>
      </c>
      <c r="V1424" s="2" t="s">
        <v>239</v>
      </c>
      <c r="W1424" s="2" t="s">
        <v>273</v>
      </c>
      <c r="X1424" s="2" t="s">
        <v>231</v>
      </c>
      <c r="Y1424" s="2" t="s">
        <v>6718</v>
      </c>
      <c r="Z1424" s="4"/>
      <c r="AA1424" s="4">
        <f>=ROUNDDOWN({0},0)</f>
      </c>
      <c r="AB1424" s="5">
        <v>4</v>
      </c>
      <c r="AC1424" s="2" t="s">
        <v>231</v>
      </c>
      <c r="AD1424" s="4"/>
      <c r="AE1424" s="4"/>
      <c r="AF1424" s="6">
        <v>65</v>
      </c>
      <c r="AG1424" s="6"/>
      <c r="AH1424" s="7">
        <v>0</v>
      </c>
      <c r="AI1424" s="4"/>
      <c r="AJ1424" s="4">
        <f>=ROUNDDOWN({0},0)</f>
      </c>
      <c r="AK1424" s="5"/>
      <c r="AL1424" s="2" t="s">
        <v>231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231</v>
      </c>
      <c r="AW1424" s="8" t="s">
        <v>231</v>
      </c>
      <c r="AX1424" s="4" t="s">
        <v>231</v>
      </c>
      <c r="AY1424" s="8" t="s">
        <v>231</v>
      </c>
      <c r="AZ1424" s="7" t="s">
        <v>231</v>
      </c>
      <c r="BA1424" s="7" t="s">
        <v>231</v>
      </c>
      <c r="BB1424" s="7"/>
      <c r="BC1424" s="4" t="s">
        <v>231</v>
      </c>
      <c r="BD1424" s="8" t="s">
        <v>231</v>
      </c>
      <c r="BE1424" s="4" t="s">
        <v>231</v>
      </c>
      <c r="BF1424" s="8" t="s">
        <v>231</v>
      </c>
      <c r="BG1424" s="7" t="s">
        <v>231</v>
      </c>
      <c r="BH1424" s="7" t="s">
        <v>231</v>
      </c>
      <c r="BI1424" s="7"/>
      <c r="BJ1424" s="4"/>
      <c r="BK1424" s="8"/>
      <c r="BL1424" s="2" t="s">
        <v>6719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6720</v>
      </c>
      <c r="BV1424" s="2" t="s">
        <v>231</v>
      </c>
      <c r="BW1424" s="2" t="s">
        <v>231</v>
      </c>
      <c r="BX1424" s="2" t="s">
        <v>1360</v>
      </c>
      <c r="BY1424" s="2" t="s">
        <v>277</v>
      </c>
      <c r="BZ1424" s="2" t="s">
        <v>243</v>
      </c>
      <c r="CA1424" s="2" t="s">
        <v>1633</v>
      </c>
      <c r="CB1424" s="2" t="s">
        <v>467</v>
      </c>
      <c r="CC1424" s="2" t="s">
        <v>244</v>
      </c>
      <c r="CD1424" s="2" t="s">
        <v>231</v>
      </c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</row>
    <row r="1425">
      <c r="A1425" s="2" t="s">
        <v>6721</v>
      </c>
      <c r="B1425" s="2" t="s">
        <v>226</v>
      </c>
      <c r="C1425" s="2" t="s">
        <v>631</v>
      </c>
      <c r="D1425" s="2" t="s">
        <v>1549</v>
      </c>
      <c r="E1425" s="2" t="s">
        <v>3949</v>
      </c>
      <c r="F1425" s="2" t="s">
        <v>6698</v>
      </c>
      <c r="G1425" s="2" t="s">
        <v>6698</v>
      </c>
      <c r="H1425" s="2" t="s">
        <v>231</v>
      </c>
      <c r="I1425" s="2" t="s">
        <v>229</v>
      </c>
      <c r="J1425" s="2" t="s">
        <v>281</v>
      </c>
      <c r="K1425" s="2" t="s">
        <v>1655</v>
      </c>
      <c r="L1425" s="3">
        <v>59.61</v>
      </c>
      <c r="M1425" s="3">
        <v>62.59</v>
      </c>
      <c r="N1425" s="3">
        <v>114.99</v>
      </c>
      <c r="O1425" s="2" t="s">
        <v>243</v>
      </c>
      <c r="P1425" s="2" t="s">
        <v>270</v>
      </c>
      <c r="Q1425" s="2" t="s">
        <v>237</v>
      </c>
      <c r="R1425" s="2" t="s">
        <v>231</v>
      </c>
      <c r="S1425" s="2" t="s">
        <v>6717</v>
      </c>
      <c r="T1425" s="2" t="s">
        <v>970</v>
      </c>
      <c r="U1425" s="2" t="s">
        <v>231</v>
      </c>
      <c r="V1425" s="2" t="s">
        <v>239</v>
      </c>
      <c r="W1425" s="2" t="s">
        <v>273</v>
      </c>
      <c r="X1425" s="2" t="s">
        <v>231</v>
      </c>
      <c r="Y1425" s="2" t="s">
        <v>274</v>
      </c>
      <c r="Z1425" s="4">
        <v>199</v>
      </c>
      <c r="AA1425" s="4">
        <f>=ROUNDDOWN(16.5833333333333,0)</f>
      </c>
      <c r="AB1425" s="5">
        <v>12</v>
      </c>
      <c r="AC1425" s="2" t="s">
        <v>231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231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231</v>
      </c>
      <c r="AW1425" s="8" t="s">
        <v>231</v>
      </c>
      <c r="AX1425" s="4" t="s">
        <v>231</v>
      </c>
      <c r="AY1425" s="8" t="s">
        <v>231</v>
      </c>
      <c r="AZ1425" s="7" t="s">
        <v>231</v>
      </c>
      <c r="BA1425" s="7" t="s">
        <v>231</v>
      </c>
      <c r="BB1425" s="7"/>
      <c r="BC1425" s="4" t="s">
        <v>231</v>
      </c>
      <c r="BD1425" s="8" t="s">
        <v>231</v>
      </c>
      <c r="BE1425" s="4" t="s">
        <v>231</v>
      </c>
      <c r="BF1425" s="8" t="s">
        <v>231</v>
      </c>
      <c r="BG1425" s="7" t="s">
        <v>231</v>
      </c>
      <c r="BH1425" s="7" t="s">
        <v>231</v>
      </c>
      <c r="BI1425" s="7"/>
      <c r="BJ1425" s="4">
        <v>9</v>
      </c>
      <c r="BK1425" s="8">
        <v>563.04</v>
      </c>
      <c r="BL1425" s="2" t="s">
        <v>3767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6722</v>
      </c>
      <c r="BV1425" s="2" t="s">
        <v>231</v>
      </c>
      <c r="BW1425" s="2" t="s">
        <v>231</v>
      </c>
      <c r="BX1425" s="2" t="s">
        <v>231</v>
      </c>
      <c r="BY1425" s="2" t="s">
        <v>277</v>
      </c>
      <c r="BZ1425" s="2" t="s">
        <v>243</v>
      </c>
      <c r="CA1425" s="2" t="s">
        <v>1633</v>
      </c>
      <c r="CB1425" s="2" t="s">
        <v>6723</v>
      </c>
      <c r="CC1425" s="2" t="s">
        <v>244</v>
      </c>
      <c r="CD1425" s="2" t="s">
        <v>231</v>
      </c>
      <c r="CE1425" s="4"/>
      <c r="CF1425" s="4"/>
      <c r="CG1425" s="4"/>
      <c r="CH1425" s="4"/>
      <c r="CI1425" s="4">
        <v>199</v>
      </c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</row>
    <row r="1426">
      <c r="A1426" s="2" t="s">
        <v>6724</v>
      </c>
      <c r="B1426" s="2" t="s">
        <v>226</v>
      </c>
      <c r="C1426" s="2" t="s">
        <v>631</v>
      </c>
      <c r="D1426" s="2" t="s">
        <v>1549</v>
      </c>
      <c r="E1426" s="2" t="s">
        <v>3949</v>
      </c>
      <c r="F1426" s="2" t="s">
        <v>6698</v>
      </c>
      <c r="G1426" s="2" t="s">
        <v>6698</v>
      </c>
      <c r="H1426" s="2" t="s">
        <v>231</v>
      </c>
      <c r="I1426" s="2" t="s">
        <v>229</v>
      </c>
      <c r="J1426" s="2" t="s">
        <v>293</v>
      </c>
      <c r="K1426" s="2" t="s">
        <v>1655</v>
      </c>
      <c r="L1426" s="3">
        <v>79.48</v>
      </c>
      <c r="M1426" s="3">
        <v>83.45</v>
      </c>
      <c r="N1426" s="3">
        <v>154.99</v>
      </c>
      <c r="O1426" s="2" t="s">
        <v>243</v>
      </c>
      <c r="P1426" s="2" t="s">
        <v>270</v>
      </c>
      <c r="Q1426" s="2" t="s">
        <v>237</v>
      </c>
      <c r="R1426" s="2" t="s">
        <v>231</v>
      </c>
      <c r="S1426" s="2" t="s">
        <v>6717</v>
      </c>
      <c r="T1426" s="2" t="s">
        <v>970</v>
      </c>
      <c r="U1426" s="2" t="s">
        <v>231</v>
      </c>
      <c r="V1426" s="2" t="s">
        <v>239</v>
      </c>
      <c r="W1426" s="2" t="s">
        <v>273</v>
      </c>
      <c r="X1426" s="2" t="s">
        <v>231</v>
      </c>
      <c r="Y1426" s="2" t="s">
        <v>274</v>
      </c>
      <c r="Z1426" s="4">
        <v>272</v>
      </c>
      <c r="AA1426" s="4">
        <f>=ROUNDDOWN(27.2,0)</f>
      </c>
      <c r="AB1426" s="5">
        <v>10</v>
      </c>
      <c r="AC1426" s="2" t="s">
        <v>231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231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231</v>
      </c>
      <c r="AW1426" s="8" t="s">
        <v>231</v>
      </c>
      <c r="AX1426" s="4" t="s">
        <v>231</v>
      </c>
      <c r="AY1426" s="8" t="s">
        <v>231</v>
      </c>
      <c r="AZ1426" s="7" t="s">
        <v>231</v>
      </c>
      <c r="BA1426" s="7" t="s">
        <v>231</v>
      </c>
      <c r="BB1426" s="7"/>
      <c r="BC1426" s="4" t="s">
        <v>231</v>
      </c>
      <c r="BD1426" s="8" t="s">
        <v>231</v>
      </c>
      <c r="BE1426" s="4" t="s">
        <v>231</v>
      </c>
      <c r="BF1426" s="8" t="s">
        <v>231</v>
      </c>
      <c r="BG1426" s="7" t="s">
        <v>231</v>
      </c>
      <c r="BH1426" s="7" t="s">
        <v>231</v>
      </c>
      <c r="BI1426" s="7"/>
      <c r="BJ1426" s="4">
        <v>7</v>
      </c>
      <c r="BK1426" s="8">
        <v>603.95</v>
      </c>
      <c r="BL1426" s="2" t="s">
        <v>365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6725</v>
      </c>
      <c r="BV1426" s="2" t="s">
        <v>231</v>
      </c>
      <c r="BW1426" s="2" t="s">
        <v>231</v>
      </c>
      <c r="BX1426" s="2" t="s">
        <v>231</v>
      </c>
      <c r="BY1426" s="2" t="s">
        <v>277</v>
      </c>
      <c r="BZ1426" s="2" t="s">
        <v>243</v>
      </c>
      <c r="CA1426" s="2" t="s">
        <v>1633</v>
      </c>
      <c r="CB1426" s="2" t="s">
        <v>467</v>
      </c>
      <c r="CC1426" s="2" t="s">
        <v>244</v>
      </c>
      <c r="CD1426" s="2" t="s">
        <v>231</v>
      </c>
      <c r="CE1426" s="4">
        <v>272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</row>
    <row r="1427">
      <c r="A1427" s="2" t="s">
        <v>6726</v>
      </c>
      <c r="B1427" s="2" t="s">
        <v>226</v>
      </c>
      <c r="C1427" s="2" t="s">
        <v>631</v>
      </c>
      <c r="D1427" s="2" t="s">
        <v>1549</v>
      </c>
      <c r="E1427" s="2" t="s">
        <v>3949</v>
      </c>
      <c r="F1427" s="2" t="s">
        <v>6698</v>
      </c>
      <c r="G1427" s="2" t="s">
        <v>6698</v>
      </c>
      <c r="H1427" s="2" t="s">
        <v>231</v>
      </c>
      <c r="I1427" s="2" t="s">
        <v>229</v>
      </c>
      <c r="J1427" s="2" t="s">
        <v>318</v>
      </c>
      <c r="K1427" s="2" t="s">
        <v>253</v>
      </c>
      <c r="L1427" s="3">
        <v>54.64</v>
      </c>
      <c r="M1427" s="3">
        <v>57.37</v>
      </c>
      <c r="N1427" s="3">
        <v>104.99</v>
      </c>
      <c r="O1427" s="2" t="s">
        <v>243</v>
      </c>
      <c r="P1427" s="2" t="s">
        <v>1332</v>
      </c>
      <c r="Q1427" s="2" t="s">
        <v>237</v>
      </c>
      <c r="R1427" s="2" t="s">
        <v>231</v>
      </c>
      <c r="S1427" s="2" t="s">
        <v>6727</v>
      </c>
      <c r="T1427" s="2" t="s">
        <v>970</v>
      </c>
      <c r="U1427" s="2" t="s">
        <v>231</v>
      </c>
      <c r="V1427" s="2" t="s">
        <v>239</v>
      </c>
      <c r="W1427" s="2" t="s">
        <v>273</v>
      </c>
      <c r="X1427" s="2" t="s">
        <v>231</v>
      </c>
      <c r="Y1427" s="2" t="s">
        <v>6709</v>
      </c>
      <c r="Z1427" s="4">
        <v>65</v>
      </c>
      <c r="AA1427" s="4">
        <f>=ROUNDDOWN(1.47727272727273,0)</f>
      </c>
      <c r="AB1427" s="5">
        <v>44</v>
      </c>
      <c r="AC1427" s="2" t="s">
        <v>2262</v>
      </c>
      <c r="AD1427" s="4">
        <v>150</v>
      </c>
      <c r="AE1427" s="4">
        <v>390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231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231</v>
      </c>
      <c r="AW1427" s="8" t="s">
        <v>231</v>
      </c>
      <c r="AX1427" s="4" t="s">
        <v>231</v>
      </c>
      <c r="AY1427" s="8" t="s">
        <v>231</v>
      </c>
      <c r="AZ1427" s="7" t="s">
        <v>231</v>
      </c>
      <c r="BA1427" s="7" t="s">
        <v>231</v>
      </c>
      <c r="BB1427" s="7"/>
      <c r="BC1427" s="4" t="s">
        <v>231</v>
      </c>
      <c r="BD1427" s="8" t="s">
        <v>231</v>
      </c>
      <c r="BE1427" s="4" t="s">
        <v>231</v>
      </c>
      <c r="BF1427" s="8" t="s">
        <v>231</v>
      </c>
      <c r="BG1427" s="7" t="s">
        <v>231</v>
      </c>
      <c r="BH1427" s="7" t="s">
        <v>231</v>
      </c>
      <c r="BI1427" s="7"/>
      <c r="BJ1427" s="4">
        <v>23</v>
      </c>
      <c r="BK1427" s="8">
        <v>1346.62</v>
      </c>
      <c r="BL1427" s="2" t="s">
        <v>6728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6729</v>
      </c>
      <c r="BV1427" s="2" t="s">
        <v>231</v>
      </c>
      <c r="BW1427" s="2" t="s">
        <v>231</v>
      </c>
      <c r="BX1427" s="2" t="s">
        <v>231</v>
      </c>
      <c r="BY1427" s="2" t="s">
        <v>277</v>
      </c>
      <c r="BZ1427" s="2" t="s">
        <v>243</v>
      </c>
      <c r="CA1427" s="2" t="s">
        <v>284</v>
      </c>
      <c r="CB1427" s="2" t="s">
        <v>6730</v>
      </c>
      <c r="CC1427" s="2" t="s">
        <v>244</v>
      </c>
      <c r="CD1427" s="2" t="s">
        <v>231</v>
      </c>
      <c r="CE1427" s="4">
        <v>65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>
        <v>150</v>
      </c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>
        <v>240</v>
      </c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</row>
    <row r="1428">
      <c r="A1428" s="2" t="s">
        <v>6731</v>
      </c>
      <c r="B1428" s="2" t="s">
        <v>226</v>
      </c>
      <c r="C1428" s="2" t="s">
        <v>631</v>
      </c>
      <c r="D1428" s="2" t="s">
        <v>1549</v>
      </c>
      <c r="E1428" s="2" t="s">
        <v>3949</v>
      </c>
      <c r="F1428" s="2" t="s">
        <v>6698</v>
      </c>
      <c r="G1428" s="2" t="s">
        <v>6698</v>
      </c>
      <c r="H1428" s="2" t="s">
        <v>231</v>
      </c>
      <c r="I1428" s="2" t="s">
        <v>229</v>
      </c>
      <c r="J1428" s="2" t="s">
        <v>281</v>
      </c>
      <c r="K1428" s="2" t="s">
        <v>253</v>
      </c>
      <c r="L1428" s="3">
        <v>59.61</v>
      </c>
      <c r="M1428" s="3">
        <v>62.59</v>
      </c>
      <c r="N1428" s="3">
        <v>114.99</v>
      </c>
      <c r="O1428" s="2" t="s">
        <v>243</v>
      </c>
      <c r="P1428" s="2" t="s">
        <v>1332</v>
      </c>
      <c r="Q1428" s="2" t="s">
        <v>237</v>
      </c>
      <c r="R1428" s="2" t="s">
        <v>231</v>
      </c>
      <c r="S1428" s="2" t="s">
        <v>6727</v>
      </c>
      <c r="T1428" s="2" t="s">
        <v>970</v>
      </c>
      <c r="U1428" s="2" t="s">
        <v>231</v>
      </c>
      <c r="V1428" s="2" t="s">
        <v>239</v>
      </c>
      <c r="W1428" s="2" t="s">
        <v>273</v>
      </c>
      <c r="X1428" s="2" t="s">
        <v>231</v>
      </c>
      <c r="Y1428" s="2" t="s">
        <v>2817</v>
      </c>
      <c r="Z1428" s="4"/>
      <c r="AA1428" s="4">
        <f>=ROUNDDOWN({0},0)</f>
      </c>
      <c r="AB1428" s="5">
        <v>18</v>
      </c>
      <c r="AC1428" s="2" t="s">
        <v>3723</v>
      </c>
      <c r="AD1428" s="4">
        <v>150</v>
      </c>
      <c r="AE1428" s="4">
        <v>450</v>
      </c>
      <c r="AF1428" s="6">
        <v>65</v>
      </c>
      <c r="AG1428" s="6"/>
      <c r="AH1428" s="7">
        <v>0</v>
      </c>
      <c r="AI1428" s="4"/>
      <c r="AJ1428" s="4">
        <f>=ROUNDDOWN({0},0)</f>
      </c>
      <c r="AK1428" s="5"/>
      <c r="AL1428" s="2" t="s">
        <v>231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231</v>
      </c>
      <c r="AW1428" s="8" t="s">
        <v>231</v>
      </c>
      <c r="AX1428" s="4" t="s">
        <v>231</v>
      </c>
      <c r="AY1428" s="8" t="s">
        <v>231</v>
      </c>
      <c r="AZ1428" s="7" t="s">
        <v>231</v>
      </c>
      <c r="BA1428" s="7" t="s">
        <v>231</v>
      </c>
      <c r="BB1428" s="7"/>
      <c r="BC1428" s="4" t="s">
        <v>231</v>
      </c>
      <c r="BD1428" s="8" t="s">
        <v>231</v>
      </c>
      <c r="BE1428" s="4" t="s">
        <v>231</v>
      </c>
      <c r="BF1428" s="8" t="s">
        <v>231</v>
      </c>
      <c r="BG1428" s="7" t="s">
        <v>231</v>
      </c>
      <c r="BH1428" s="7" t="s">
        <v>231</v>
      </c>
      <c r="BI1428" s="7"/>
      <c r="BJ1428" s="4"/>
      <c r="BK1428" s="8"/>
      <c r="BL1428" s="2" t="s">
        <v>6732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6733</v>
      </c>
      <c r="BV1428" s="2" t="s">
        <v>231</v>
      </c>
      <c r="BW1428" s="2" t="s">
        <v>231</v>
      </c>
      <c r="BX1428" s="2" t="s">
        <v>231</v>
      </c>
      <c r="BY1428" s="2" t="s">
        <v>277</v>
      </c>
      <c r="BZ1428" s="2" t="s">
        <v>243</v>
      </c>
      <c r="CA1428" s="2" t="s">
        <v>284</v>
      </c>
      <c r="CB1428" s="2" t="s">
        <v>6734</v>
      </c>
      <c r="CC1428" s="2" t="s">
        <v>244</v>
      </c>
      <c r="CD1428" s="2" t="s">
        <v>231</v>
      </c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>
        <v>150</v>
      </c>
      <c r="EK1428" s="4"/>
      <c r="EL1428" s="4"/>
      <c r="EM1428" s="4"/>
      <c r="EN1428" s="4"/>
      <c r="EO1428" s="4"/>
      <c r="EP1428" s="4"/>
      <c r="EQ1428" s="4">
        <v>150</v>
      </c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>
        <v>150</v>
      </c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</row>
    <row r="1429">
      <c r="A1429" s="2" t="s">
        <v>6735</v>
      </c>
      <c r="B1429" s="2" t="s">
        <v>226</v>
      </c>
      <c r="C1429" s="2" t="s">
        <v>631</v>
      </c>
      <c r="D1429" s="2" t="s">
        <v>1549</v>
      </c>
      <c r="E1429" s="2" t="s">
        <v>3949</v>
      </c>
      <c r="F1429" s="2" t="s">
        <v>6698</v>
      </c>
      <c r="G1429" s="2" t="s">
        <v>6698</v>
      </c>
      <c r="H1429" s="2" t="s">
        <v>231</v>
      </c>
      <c r="I1429" s="2" t="s">
        <v>229</v>
      </c>
      <c r="J1429" s="2" t="s">
        <v>302</v>
      </c>
      <c r="K1429" s="2" t="s">
        <v>253</v>
      </c>
      <c r="L1429" s="3">
        <v>89.41</v>
      </c>
      <c r="M1429" s="3">
        <v>93.88</v>
      </c>
      <c r="N1429" s="3">
        <v>174.99</v>
      </c>
      <c r="O1429" s="2" t="s">
        <v>243</v>
      </c>
      <c r="P1429" s="2" t="s">
        <v>1332</v>
      </c>
      <c r="Q1429" s="2" t="s">
        <v>237</v>
      </c>
      <c r="R1429" s="2" t="s">
        <v>231</v>
      </c>
      <c r="S1429" s="2" t="s">
        <v>6727</v>
      </c>
      <c r="T1429" s="2" t="s">
        <v>970</v>
      </c>
      <c r="U1429" s="2" t="s">
        <v>231</v>
      </c>
      <c r="V1429" s="2" t="s">
        <v>239</v>
      </c>
      <c r="W1429" s="2" t="s">
        <v>273</v>
      </c>
      <c r="X1429" s="2" t="s">
        <v>231</v>
      </c>
      <c r="Y1429" s="2" t="s">
        <v>274</v>
      </c>
      <c r="Z1429" s="4">
        <v>390</v>
      </c>
      <c r="AA1429" s="4">
        <f>=ROUNDDOWN(2.68965517241379,0)</f>
      </c>
      <c r="AB1429" s="5">
        <v>145</v>
      </c>
      <c r="AC1429" s="2" t="s">
        <v>2262</v>
      </c>
      <c r="AD1429" s="4">
        <v>300</v>
      </c>
      <c r="AE1429" s="4">
        <v>1090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231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231</v>
      </c>
      <c r="AW1429" s="8" t="s">
        <v>231</v>
      </c>
      <c r="AX1429" s="4" t="s">
        <v>231</v>
      </c>
      <c r="AY1429" s="8" t="s">
        <v>231</v>
      </c>
      <c r="AZ1429" s="7" t="s">
        <v>231</v>
      </c>
      <c r="BA1429" s="7" t="s">
        <v>231</v>
      </c>
      <c r="BB1429" s="7"/>
      <c r="BC1429" s="4" t="s">
        <v>231</v>
      </c>
      <c r="BD1429" s="8" t="s">
        <v>231</v>
      </c>
      <c r="BE1429" s="4" t="s">
        <v>231</v>
      </c>
      <c r="BF1429" s="8" t="s">
        <v>231</v>
      </c>
      <c r="BG1429" s="7" t="s">
        <v>231</v>
      </c>
      <c r="BH1429" s="7" t="s">
        <v>231</v>
      </c>
      <c r="BI1429" s="7"/>
      <c r="BJ1429" s="4">
        <v>164</v>
      </c>
      <c r="BK1429" s="8">
        <v>17395.49</v>
      </c>
      <c r="BL1429" s="2" t="s">
        <v>6736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6737</v>
      </c>
      <c r="BV1429" s="2" t="s">
        <v>231</v>
      </c>
      <c r="BW1429" s="2" t="s">
        <v>231</v>
      </c>
      <c r="BX1429" s="2" t="s">
        <v>231</v>
      </c>
      <c r="BY1429" s="2" t="s">
        <v>277</v>
      </c>
      <c r="BZ1429" s="2" t="s">
        <v>243</v>
      </c>
      <c r="CA1429" s="2" t="s">
        <v>1633</v>
      </c>
      <c r="CB1429" s="2" t="s">
        <v>6738</v>
      </c>
      <c r="CC1429" s="2" t="s">
        <v>244</v>
      </c>
      <c r="CD1429" s="2" t="s">
        <v>231</v>
      </c>
      <c r="CE1429" s="4">
        <v>348</v>
      </c>
      <c r="CF1429" s="4"/>
      <c r="CG1429" s="4"/>
      <c r="CH1429" s="4"/>
      <c r="CI1429" s="4">
        <v>42</v>
      </c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>
        <v>300</v>
      </c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>
        <v>250</v>
      </c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>
        <v>540</v>
      </c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</row>
    <row r="1430">
      <c r="A1430" s="2" t="s">
        <v>6739</v>
      </c>
      <c r="B1430" s="2" t="s">
        <v>226</v>
      </c>
      <c r="C1430" s="2" t="s">
        <v>631</v>
      </c>
      <c r="D1430" s="2" t="s">
        <v>1549</v>
      </c>
      <c r="E1430" s="2" t="s">
        <v>3949</v>
      </c>
      <c r="F1430" s="2" t="s">
        <v>6698</v>
      </c>
      <c r="G1430" s="2" t="s">
        <v>6698</v>
      </c>
      <c r="H1430" s="2" t="s">
        <v>231</v>
      </c>
      <c r="I1430" s="2" t="s">
        <v>229</v>
      </c>
      <c r="J1430" s="2" t="s">
        <v>281</v>
      </c>
      <c r="K1430" s="2" t="s">
        <v>2457</v>
      </c>
      <c r="L1430" s="3">
        <v>59.61</v>
      </c>
      <c r="M1430" s="3">
        <v>62.59</v>
      </c>
      <c r="N1430" s="3">
        <v>114.99</v>
      </c>
      <c r="O1430" s="2" t="s">
        <v>243</v>
      </c>
      <c r="P1430" s="2" t="s">
        <v>270</v>
      </c>
      <c r="Q1430" s="2" t="s">
        <v>237</v>
      </c>
      <c r="R1430" s="2" t="s">
        <v>231</v>
      </c>
      <c r="S1430" s="2" t="s">
        <v>6740</v>
      </c>
      <c r="T1430" s="2" t="s">
        <v>970</v>
      </c>
      <c r="U1430" s="2" t="s">
        <v>231</v>
      </c>
      <c r="V1430" s="2" t="s">
        <v>239</v>
      </c>
      <c r="W1430" s="2" t="s">
        <v>273</v>
      </c>
      <c r="X1430" s="2" t="s">
        <v>231</v>
      </c>
      <c r="Y1430" s="2" t="s">
        <v>6741</v>
      </c>
      <c r="Z1430" s="4"/>
      <c r="AA1430" s="4">
        <f>=ROUNDDOWN({0},0)</f>
      </c>
      <c r="AB1430" s="5">
        <v>20</v>
      </c>
      <c r="AC1430" s="2" t="s">
        <v>3723</v>
      </c>
      <c r="AD1430" s="4">
        <v>150</v>
      </c>
      <c r="AE1430" s="4">
        <v>500</v>
      </c>
      <c r="AF1430" s="6">
        <v>65</v>
      </c>
      <c r="AG1430" s="6"/>
      <c r="AH1430" s="7">
        <v>0</v>
      </c>
      <c r="AI1430" s="4"/>
      <c r="AJ1430" s="4">
        <f>=ROUNDDOWN({0},0)</f>
      </c>
      <c r="AK1430" s="5"/>
      <c r="AL1430" s="2" t="s">
        <v>231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231</v>
      </c>
      <c r="AW1430" s="8" t="s">
        <v>231</v>
      </c>
      <c r="AX1430" s="4" t="s">
        <v>231</v>
      </c>
      <c r="AY1430" s="8" t="s">
        <v>231</v>
      </c>
      <c r="AZ1430" s="7" t="s">
        <v>231</v>
      </c>
      <c r="BA1430" s="7" t="s">
        <v>231</v>
      </c>
      <c r="BB1430" s="7"/>
      <c r="BC1430" s="4" t="s">
        <v>231</v>
      </c>
      <c r="BD1430" s="8" t="s">
        <v>231</v>
      </c>
      <c r="BE1430" s="4" t="s">
        <v>231</v>
      </c>
      <c r="BF1430" s="8" t="s">
        <v>231</v>
      </c>
      <c r="BG1430" s="7" t="s">
        <v>231</v>
      </c>
      <c r="BH1430" s="7" t="s">
        <v>231</v>
      </c>
      <c r="BI1430" s="7"/>
      <c r="BJ1430" s="4"/>
      <c r="BK1430" s="8"/>
      <c r="BL1430" s="2" t="s">
        <v>1020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6742</v>
      </c>
      <c r="BV1430" s="2" t="s">
        <v>231</v>
      </c>
      <c r="BW1430" s="2" t="s">
        <v>231</v>
      </c>
      <c r="BX1430" s="2" t="s">
        <v>231</v>
      </c>
      <c r="BY1430" s="2" t="s">
        <v>277</v>
      </c>
      <c r="BZ1430" s="2" t="s">
        <v>243</v>
      </c>
      <c r="CA1430" s="2" t="s">
        <v>5466</v>
      </c>
      <c r="CB1430" s="2" t="s">
        <v>4201</v>
      </c>
      <c r="CC1430" s="2" t="s">
        <v>244</v>
      </c>
      <c r="CD1430" s="2" t="s">
        <v>231</v>
      </c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>
        <v>150</v>
      </c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>
        <v>180</v>
      </c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>
        <v>170</v>
      </c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</row>
    <row r="1431">
      <c r="A1431" s="2" t="s">
        <v>6743</v>
      </c>
      <c r="B1431" s="2" t="s">
        <v>226</v>
      </c>
      <c r="C1431" s="2" t="s">
        <v>631</v>
      </c>
      <c r="D1431" s="2" t="s">
        <v>1549</v>
      </c>
      <c r="E1431" s="2" t="s">
        <v>3949</v>
      </c>
      <c r="F1431" s="2" t="s">
        <v>6698</v>
      </c>
      <c r="G1431" s="2" t="s">
        <v>6698</v>
      </c>
      <c r="H1431" s="2" t="s">
        <v>231</v>
      </c>
      <c r="I1431" s="2" t="s">
        <v>229</v>
      </c>
      <c r="J1431" s="2" t="s">
        <v>293</v>
      </c>
      <c r="K1431" s="2" t="s">
        <v>2457</v>
      </c>
      <c r="L1431" s="3">
        <v>79.48</v>
      </c>
      <c r="M1431" s="3">
        <v>83.45</v>
      </c>
      <c r="N1431" s="3">
        <v>154.99</v>
      </c>
      <c r="O1431" s="2" t="s">
        <v>243</v>
      </c>
      <c r="P1431" s="2" t="s">
        <v>270</v>
      </c>
      <c r="Q1431" s="2" t="s">
        <v>237</v>
      </c>
      <c r="R1431" s="2" t="s">
        <v>231</v>
      </c>
      <c r="S1431" s="2" t="s">
        <v>6740</v>
      </c>
      <c r="T1431" s="2" t="s">
        <v>970</v>
      </c>
      <c r="U1431" s="2" t="s">
        <v>231</v>
      </c>
      <c r="V1431" s="2" t="s">
        <v>239</v>
      </c>
      <c r="W1431" s="2" t="s">
        <v>273</v>
      </c>
      <c r="X1431" s="2" t="s">
        <v>231</v>
      </c>
      <c r="Y1431" s="2" t="s">
        <v>274</v>
      </c>
      <c r="Z1431" s="4">
        <v>17</v>
      </c>
      <c r="AA1431" s="4">
        <f>=ROUNDDOWN(0.894736842105263,0)</f>
      </c>
      <c r="AB1431" s="5">
        <v>19</v>
      </c>
      <c r="AC1431" s="2" t="s">
        <v>3723</v>
      </c>
      <c r="AD1431" s="4">
        <v>150</v>
      </c>
      <c r="AE1431" s="4">
        <v>320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231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231</v>
      </c>
      <c r="AW1431" s="8" t="s">
        <v>231</v>
      </c>
      <c r="AX1431" s="4" t="s">
        <v>231</v>
      </c>
      <c r="AY1431" s="8" t="s">
        <v>231</v>
      </c>
      <c r="AZ1431" s="7" t="s">
        <v>231</v>
      </c>
      <c r="BA1431" s="7" t="s">
        <v>231</v>
      </c>
      <c r="BB1431" s="7"/>
      <c r="BC1431" s="4" t="s">
        <v>231</v>
      </c>
      <c r="BD1431" s="8" t="s">
        <v>231</v>
      </c>
      <c r="BE1431" s="4" t="s">
        <v>231</v>
      </c>
      <c r="BF1431" s="8" t="s">
        <v>231</v>
      </c>
      <c r="BG1431" s="7" t="s">
        <v>231</v>
      </c>
      <c r="BH1431" s="7" t="s">
        <v>231</v>
      </c>
      <c r="BI1431" s="7"/>
      <c r="BJ1431" s="4">
        <v>5</v>
      </c>
      <c r="BK1431" s="8">
        <v>424.33</v>
      </c>
      <c r="BL1431" s="2" t="s">
        <v>6744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6745</v>
      </c>
      <c r="BV1431" s="2" t="s">
        <v>231</v>
      </c>
      <c r="BW1431" s="2" t="s">
        <v>231</v>
      </c>
      <c r="BX1431" s="2" t="s">
        <v>231</v>
      </c>
      <c r="BY1431" s="2" t="s">
        <v>277</v>
      </c>
      <c r="BZ1431" s="2" t="s">
        <v>243</v>
      </c>
      <c r="CA1431" s="2" t="s">
        <v>5466</v>
      </c>
      <c r="CB1431" s="2" t="s">
        <v>6746</v>
      </c>
      <c r="CC1431" s="2" t="s">
        <v>244</v>
      </c>
      <c r="CD1431" s="2" t="s">
        <v>231</v>
      </c>
      <c r="CE1431" s="4">
        <v>17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>
        <v>150</v>
      </c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>
        <v>170</v>
      </c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</row>
    <row r="1432">
      <c r="A1432" s="2" t="s">
        <v>6747</v>
      </c>
      <c r="B1432" s="2" t="s">
        <v>226</v>
      </c>
      <c r="C1432" s="2" t="s">
        <v>631</v>
      </c>
      <c r="D1432" s="2" t="s">
        <v>1549</v>
      </c>
      <c r="E1432" s="2" t="s">
        <v>3949</v>
      </c>
      <c r="F1432" s="2" t="s">
        <v>6698</v>
      </c>
      <c r="G1432" s="2" t="s">
        <v>6698</v>
      </c>
      <c r="H1432" s="2" t="s">
        <v>231</v>
      </c>
      <c r="I1432" s="2" t="s">
        <v>229</v>
      </c>
      <c r="J1432" s="2" t="s">
        <v>318</v>
      </c>
      <c r="K1432" s="2" t="s">
        <v>306</v>
      </c>
      <c r="L1432" s="3">
        <v>54.64</v>
      </c>
      <c r="M1432" s="3">
        <v>57.37</v>
      </c>
      <c r="N1432" s="3">
        <v>104.99</v>
      </c>
      <c r="O1432" s="2" t="s">
        <v>243</v>
      </c>
      <c r="P1432" s="2" t="s">
        <v>1281</v>
      </c>
      <c r="Q1432" s="2" t="s">
        <v>237</v>
      </c>
      <c r="R1432" s="2" t="s">
        <v>231</v>
      </c>
      <c r="S1432" s="2" t="s">
        <v>6748</v>
      </c>
      <c r="T1432" s="2" t="s">
        <v>970</v>
      </c>
      <c r="U1432" s="2" t="s">
        <v>231</v>
      </c>
      <c r="V1432" s="2" t="s">
        <v>239</v>
      </c>
      <c r="W1432" s="2" t="s">
        <v>273</v>
      </c>
      <c r="X1432" s="2" t="s">
        <v>231</v>
      </c>
      <c r="Y1432" s="2" t="s">
        <v>274</v>
      </c>
      <c r="Z1432" s="4"/>
      <c r="AA1432" s="4">
        <f>=ROUNDDOWN({0},0)</f>
      </c>
      <c r="AB1432" s="5">
        <v>13.6</v>
      </c>
      <c r="AC1432" s="2" t="s">
        <v>3723</v>
      </c>
      <c r="AD1432" s="4">
        <v>160</v>
      </c>
      <c r="AE1432" s="4">
        <v>310</v>
      </c>
      <c r="AF1432" s="6">
        <v>65</v>
      </c>
      <c r="AG1432" s="6"/>
      <c r="AH1432" s="7">
        <v>0</v>
      </c>
      <c r="AI1432" s="4"/>
      <c r="AJ1432" s="4">
        <f>=ROUNDDOWN({0},0)</f>
      </c>
      <c r="AK1432" s="5"/>
      <c r="AL1432" s="2" t="s">
        <v>231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231</v>
      </c>
      <c r="AW1432" s="8" t="s">
        <v>231</v>
      </c>
      <c r="AX1432" s="4" t="s">
        <v>231</v>
      </c>
      <c r="AY1432" s="8" t="s">
        <v>231</v>
      </c>
      <c r="AZ1432" s="7" t="s">
        <v>231</v>
      </c>
      <c r="BA1432" s="7" t="s">
        <v>231</v>
      </c>
      <c r="BB1432" s="7"/>
      <c r="BC1432" s="4" t="s">
        <v>231</v>
      </c>
      <c r="BD1432" s="8" t="s">
        <v>231</v>
      </c>
      <c r="BE1432" s="4" t="s">
        <v>231</v>
      </c>
      <c r="BF1432" s="8" t="s">
        <v>231</v>
      </c>
      <c r="BG1432" s="7" t="s">
        <v>231</v>
      </c>
      <c r="BH1432" s="7" t="s">
        <v>231</v>
      </c>
      <c r="BI1432" s="7"/>
      <c r="BJ1432" s="4"/>
      <c r="BK1432" s="8"/>
      <c r="BL1432" s="2" t="s">
        <v>6749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6750</v>
      </c>
      <c r="BV1432" s="2" t="s">
        <v>231</v>
      </c>
      <c r="BW1432" s="2" t="s">
        <v>231</v>
      </c>
      <c r="BX1432" s="2" t="s">
        <v>231</v>
      </c>
      <c r="BY1432" s="2" t="s">
        <v>277</v>
      </c>
      <c r="BZ1432" s="2" t="s">
        <v>243</v>
      </c>
      <c r="CA1432" s="2" t="s">
        <v>5466</v>
      </c>
      <c r="CB1432" s="2" t="s">
        <v>6751</v>
      </c>
      <c r="CC1432" s="2" t="s">
        <v>244</v>
      </c>
      <c r="CD1432" s="2" t="s">
        <v>231</v>
      </c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>
        <v>160</v>
      </c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>
        <v>150</v>
      </c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</row>
    <row r="1433">
      <c r="A1433" s="2" t="s">
        <v>6752</v>
      </c>
      <c r="B1433" s="2" t="s">
        <v>226</v>
      </c>
      <c r="C1433" s="2" t="s">
        <v>631</v>
      </c>
      <c r="D1433" s="2" t="s">
        <v>1549</v>
      </c>
      <c r="E1433" s="2" t="s">
        <v>3949</v>
      </c>
      <c r="F1433" s="2" t="s">
        <v>6698</v>
      </c>
      <c r="G1433" s="2" t="s">
        <v>6698</v>
      </c>
      <c r="H1433" s="2" t="s">
        <v>231</v>
      </c>
      <c r="I1433" s="2" t="s">
        <v>229</v>
      </c>
      <c r="J1433" s="2" t="s">
        <v>281</v>
      </c>
      <c r="K1433" s="2" t="s">
        <v>306</v>
      </c>
      <c r="L1433" s="3">
        <v>59.61</v>
      </c>
      <c r="M1433" s="3">
        <v>62.59</v>
      </c>
      <c r="N1433" s="3">
        <v>114.99</v>
      </c>
      <c r="O1433" s="2" t="s">
        <v>243</v>
      </c>
      <c r="P1433" s="2" t="s">
        <v>871</v>
      </c>
      <c r="Q1433" s="2" t="s">
        <v>237</v>
      </c>
      <c r="R1433" s="2" t="s">
        <v>231</v>
      </c>
      <c r="S1433" s="2" t="s">
        <v>6748</v>
      </c>
      <c r="T1433" s="2" t="s">
        <v>970</v>
      </c>
      <c r="U1433" s="2" t="s">
        <v>231</v>
      </c>
      <c r="V1433" s="2" t="s">
        <v>239</v>
      </c>
      <c r="W1433" s="2" t="s">
        <v>273</v>
      </c>
      <c r="X1433" s="2" t="s">
        <v>231</v>
      </c>
      <c r="Y1433" s="2" t="s">
        <v>6709</v>
      </c>
      <c r="Z1433" s="4"/>
      <c r="AA1433" s="4">
        <f>=ROUNDDOWN({0},0)</f>
      </c>
      <c r="AB1433" s="5">
        <v>18</v>
      </c>
      <c r="AC1433" s="2" t="s">
        <v>3723</v>
      </c>
      <c r="AD1433" s="4">
        <v>150</v>
      </c>
      <c r="AE1433" s="4">
        <v>450</v>
      </c>
      <c r="AF1433" s="6">
        <v>65</v>
      </c>
      <c r="AG1433" s="6"/>
      <c r="AH1433" s="7">
        <v>0</v>
      </c>
      <c r="AI1433" s="4"/>
      <c r="AJ1433" s="4">
        <f>=ROUNDDOWN({0},0)</f>
      </c>
      <c r="AK1433" s="5"/>
      <c r="AL1433" s="2" t="s">
        <v>231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231</v>
      </c>
      <c r="AW1433" s="8" t="s">
        <v>231</v>
      </c>
      <c r="AX1433" s="4" t="s">
        <v>231</v>
      </c>
      <c r="AY1433" s="8" t="s">
        <v>231</v>
      </c>
      <c r="AZ1433" s="7" t="s">
        <v>231</v>
      </c>
      <c r="BA1433" s="7" t="s">
        <v>231</v>
      </c>
      <c r="BB1433" s="7"/>
      <c r="BC1433" s="4" t="s">
        <v>231</v>
      </c>
      <c r="BD1433" s="8" t="s">
        <v>231</v>
      </c>
      <c r="BE1433" s="4" t="s">
        <v>231</v>
      </c>
      <c r="BF1433" s="8" t="s">
        <v>231</v>
      </c>
      <c r="BG1433" s="7" t="s">
        <v>231</v>
      </c>
      <c r="BH1433" s="7" t="s">
        <v>231</v>
      </c>
      <c r="BI1433" s="7"/>
      <c r="BJ1433" s="4"/>
      <c r="BK1433" s="8"/>
      <c r="BL1433" s="2" t="s">
        <v>6753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6754</v>
      </c>
      <c r="BV1433" s="2" t="s">
        <v>231</v>
      </c>
      <c r="BW1433" s="2" t="s">
        <v>231</v>
      </c>
      <c r="BX1433" s="2" t="s">
        <v>231</v>
      </c>
      <c r="BY1433" s="2" t="s">
        <v>277</v>
      </c>
      <c r="BZ1433" s="2" t="s">
        <v>243</v>
      </c>
      <c r="CA1433" s="2" t="s">
        <v>5466</v>
      </c>
      <c r="CB1433" s="2" t="s">
        <v>4963</v>
      </c>
      <c r="CC1433" s="2" t="s">
        <v>244</v>
      </c>
      <c r="CD1433" s="2" t="s">
        <v>231</v>
      </c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>
        <v>150</v>
      </c>
      <c r="EK1433" s="4"/>
      <c r="EL1433" s="4"/>
      <c r="EM1433" s="4"/>
      <c r="EN1433" s="4"/>
      <c r="EO1433" s="4"/>
      <c r="EP1433" s="4"/>
      <c r="EQ1433" s="4">
        <v>150</v>
      </c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>
        <v>150</v>
      </c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</row>
    <row r="1434">
      <c r="A1434" s="2" t="s">
        <v>6755</v>
      </c>
      <c r="B1434" s="2" t="s">
        <v>226</v>
      </c>
      <c r="C1434" s="2" t="s">
        <v>631</v>
      </c>
      <c r="D1434" s="2" t="s">
        <v>1549</v>
      </c>
      <c r="E1434" s="2" t="s">
        <v>3949</v>
      </c>
      <c r="F1434" s="2" t="s">
        <v>6698</v>
      </c>
      <c r="G1434" s="2" t="s">
        <v>6698</v>
      </c>
      <c r="H1434" s="2" t="s">
        <v>231</v>
      </c>
      <c r="I1434" s="2" t="s">
        <v>229</v>
      </c>
      <c r="J1434" s="2" t="s">
        <v>293</v>
      </c>
      <c r="K1434" s="2" t="s">
        <v>306</v>
      </c>
      <c r="L1434" s="3">
        <v>79.48</v>
      </c>
      <c r="M1434" s="3">
        <v>83.45</v>
      </c>
      <c r="N1434" s="3">
        <v>154.99</v>
      </c>
      <c r="O1434" s="2" t="s">
        <v>243</v>
      </c>
      <c r="P1434" s="2" t="s">
        <v>871</v>
      </c>
      <c r="Q1434" s="2" t="s">
        <v>237</v>
      </c>
      <c r="R1434" s="2" t="s">
        <v>231</v>
      </c>
      <c r="S1434" s="2" t="s">
        <v>6748</v>
      </c>
      <c r="T1434" s="2" t="s">
        <v>970</v>
      </c>
      <c r="U1434" s="2" t="s">
        <v>231</v>
      </c>
      <c r="V1434" s="2" t="s">
        <v>239</v>
      </c>
      <c r="W1434" s="2" t="s">
        <v>273</v>
      </c>
      <c r="X1434" s="2" t="s">
        <v>231</v>
      </c>
      <c r="Y1434" s="2" t="s">
        <v>274</v>
      </c>
      <c r="Z1434" s="4">
        <v>3</v>
      </c>
      <c r="AA1434" s="4">
        <f>=ROUNDDOWN(0.0763358778625954,0)</f>
      </c>
      <c r="AB1434" s="5">
        <v>39.3</v>
      </c>
      <c r="AC1434" s="2" t="s">
        <v>3723</v>
      </c>
      <c r="AD1434" s="4">
        <v>150</v>
      </c>
      <c r="AE1434" s="4">
        <v>470</v>
      </c>
      <c r="AF1434" s="6">
        <v>65</v>
      </c>
      <c r="AG1434" s="6"/>
      <c r="AH1434" s="7">
        <v>0.9355</v>
      </c>
      <c r="AI1434" s="4"/>
      <c r="AJ1434" s="4">
        <f>=ROUNDDOWN({0},0)</f>
      </c>
      <c r="AK1434" s="5"/>
      <c r="AL1434" s="2" t="s">
        <v>231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231</v>
      </c>
      <c r="AW1434" s="8" t="s">
        <v>231</v>
      </c>
      <c r="AX1434" s="4" t="s">
        <v>231</v>
      </c>
      <c r="AY1434" s="8" t="s">
        <v>231</v>
      </c>
      <c r="AZ1434" s="7" t="s">
        <v>231</v>
      </c>
      <c r="BA1434" s="7" t="s">
        <v>231</v>
      </c>
      <c r="BB1434" s="7"/>
      <c r="BC1434" s="4" t="s">
        <v>231</v>
      </c>
      <c r="BD1434" s="8" t="s">
        <v>231</v>
      </c>
      <c r="BE1434" s="4" t="s">
        <v>231</v>
      </c>
      <c r="BF1434" s="8" t="s">
        <v>231</v>
      </c>
      <c r="BG1434" s="7" t="s">
        <v>231</v>
      </c>
      <c r="BH1434" s="7" t="s">
        <v>231</v>
      </c>
      <c r="BI1434" s="7"/>
      <c r="BJ1434" s="4">
        <v>19</v>
      </c>
      <c r="BK1434" s="8">
        <v>1636.8</v>
      </c>
      <c r="BL1434" s="2" t="s">
        <v>6756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6757</v>
      </c>
      <c r="BV1434" s="2" t="s">
        <v>231</v>
      </c>
      <c r="BW1434" s="2" t="s">
        <v>231</v>
      </c>
      <c r="BX1434" s="2" t="s">
        <v>231</v>
      </c>
      <c r="BY1434" s="2" t="s">
        <v>277</v>
      </c>
      <c r="BZ1434" s="2" t="s">
        <v>243</v>
      </c>
      <c r="CA1434" s="2" t="s">
        <v>5466</v>
      </c>
      <c r="CB1434" s="2" t="s">
        <v>5471</v>
      </c>
      <c r="CC1434" s="2" t="s">
        <v>244</v>
      </c>
      <c r="CD1434" s="2" t="s">
        <v>231</v>
      </c>
      <c r="CE1434" s="4">
        <v>3</v>
      </c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>
        <v>150</v>
      </c>
      <c r="EK1434" s="4"/>
      <c r="EL1434" s="4"/>
      <c r="EM1434" s="4"/>
      <c r="EN1434" s="4"/>
      <c r="EO1434" s="4"/>
      <c r="EP1434" s="4"/>
      <c r="EQ1434" s="4">
        <v>160</v>
      </c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>
        <v>160</v>
      </c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</row>
    <row r="1435">
      <c r="A1435" s="2" t="s">
        <v>6758</v>
      </c>
      <c r="B1435" s="2" t="s">
        <v>226</v>
      </c>
      <c r="C1435" s="2" t="s">
        <v>631</v>
      </c>
      <c r="D1435" s="2" t="s">
        <v>1549</v>
      </c>
      <c r="E1435" s="2" t="s">
        <v>3949</v>
      </c>
      <c r="F1435" s="2" t="s">
        <v>6698</v>
      </c>
      <c r="G1435" s="2" t="s">
        <v>6698</v>
      </c>
      <c r="H1435" s="2" t="s">
        <v>231</v>
      </c>
      <c r="I1435" s="2" t="s">
        <v>229</v>
      </c>
      <c r="J1435" s="2" t="s">
        <v>281</v>
      </c>
      <c r="K1435" s="2" t="s">
        <v>778</v>
      </c>
      <c r="L1435" s="3">
        <v>59.61</v>
      </c>
      <c r="M1435" s="3">
        <v>62.59</v>
      </c>
      <c r="N1435" s="3">
        <v>114.99</v>
      </c>
      <c r="O1435" s="2" t="s">
        <v>243</v>
      </c>
      <c r="P1435" s="2" t="s">
        <v>270</v>
      </c>
      <c r="Q1435" s="2" t="s">
        <v>237</v>
      </c>
      <c r="R1435" s="2" t="s">
        <v>231</v>
      </c>
      <c r="S1435" s="2" t="s">
        <v>6759</v>
      </c>
      <c r="T1435" s="2" t="s">
        <v>1630</v>
      </c>
      <c r="U1435" s="2" t="s">
        <v>327</v>
      </c>
      <c r="V1435" s="2" t="s">
        <v>239</v>
      </c>
      <c r="W1435" s="2" t="s">
        <v>273</v>
      </c>
      <c r="X1435" s="2" t="s">
        <v>231</v>
      </c>
      <c r="Y1435" s="2" t="s">
        <v>6760</v>
      </c>
      <c r="Z1435" s="4">
        <v>148</v>
      </c>
      <c r="AA1435" s="4">
        <f>=ROUNDDOWN(7.47474747474747,0)</f>
      </c>
      <c r="AB1435" s="5">
        <v>19.8</v>
      </c>
      <c r="AC1435" s="2" t="s">
        <v>2049</v>
      </c>
      <c r="AD1435" s="4">
        <v>190</v>
      </c>
      <c r="AE1435" s="4">
        <v>190</v>
      </c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231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231</v>
      </c>
      <c r="AW1435" s="8" t="s">
        <v>231</v>
      </c>
      <c r="AX1435" s="4" t="s">
        <v>231</v>
      </c>
      <c r="AY1435" s="8" t="s">
        <v>231</v>
      </c>
      <c r="AZ1435" s="7" t="s">
        <v>231</v>
      </c>
      <c r="BA1435" s="7" t="s">
        <v>231</v>
      </c>
      <c r="BB1435" s="7"/>
      <c r="BC1435" s="4" t="s">
        <v>231</v>
      </c>
      <c r="BD1435" s="8" t="s">
        <v>231</v>
      </c>
      <c r="BE1435" s="4" t="s">
        <v>231</v>
      </c>
      <c r="BF1435" s="8" t="s">
        <v>231</v>
      </c>
      <c r="BG1435" s="7" t="s">
        <v>231</v>
      </c>
      <c r="BH1435" s="7" t="s">
        <v>231</v>
      </c>
      <c r="BI1435" s="7"/>
      <c r="BJ1435" s="4">
        <v>22</v>
      </c>
      <c r="BK1435" s="8">
        <v>1510.85</v>
      </c>
      <c r="BL1435" s="2" t="s">
        <v>6761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6762</v>
      </c>
      <c r="BV1435" s="2" t="s">
        <v>231</v>
      </c>
      <c r="BW1435" s="2" t="s">
        <v>231</v>
      </c>
      <c r="BX1435" s="2" t="s">
        <v>231</v>
      </c>
      <c r="BY1435" s="2" t="s">
        <v>277</v>
      </c>
      <c r="BZ1435" s="2" t="s">
        <v>243</v>
      </c>
      <c r="CA1435" s="2" t="s">
        <v>6760</v>
      </c>
      <c r="CB1435" s="2" t="s">
        <v>6763</v>
      </c>
      <c r="CC1435" s="2" t="s">
        <v>244</v>
      </c>
      <c r="CD1435" s="2" t="s">
        <v>231</v>
      </c>
      <c r="CE1435" s="4">
        <v>148</v>
      </c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>
        <v>190</v>
      </c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</row>
    <row r="1436">
      <c r="A1436" s="2" t="s">
        <v>6764</v>
      </c>
      <c r="B1436" s="2" t="s">
        <v>226</v>
      </c>
      <c r="C1436" s="2" t="s">
        <v>631</v>
      </c>
      <c r="D1436" s="2" t="s">
        <v>1549</v>
      </c>
      <c r="E1436" s="2" t="s">
        <v>3949</v>
      </c>
      <c r="F1436" s="2" t="s">
        <v>6698</v>
      </c>
      <c r="G1436" s="2" t="s">
        <v>6698</v>
      </c>
      <c r="H1436" s="2" t="s">
        <v>231</v>
      </c>
      <c r="I1436" s="2" t="s">
        <v>229</v>
      </c>
      <c r="J1436" s="2" t="s">
        <v>302</v>
      </c>
      <c r="K1436" s="2" t="s">
        <v>778</v>
      </c>
      <c r="L1436" s="3">
        <v>89.41</v>
      </c>
      <c r="M1436" s="3">
        <v>93.88</v>
      </c>
      <c r="N1436" s="3">
        <v>174.99</v>
      </c>
      <c r="O1436" s="2" t="s">
        <v>243</v>
      </c>
      <c r="P1436" s="2" t="s">
        <v>270</v>
      </c>
      <c r="Q1436" s="2" t="s">
        <v>237</v>
      </c>
      <c r="R1436" s="2" t="s">
        <v>231</v>
      </c>
      <c r="S1436" s="2" t="s">
        <v>6759</v>
      </c>
      <c r="T1436" s="2" t="s">
        <v>1630</v>
      </c>
      <c r="U1436" s="2" t="s">
        <v>327</v>
      </c>
      <c r="V1436" s="2" t="s">
        <v>239</v>
      </c>
      <c r="W1436" s="2" t="s">
        <v>273</v>
      </c>
      <c r="X1436" s="2" t="s">
        <v>231</v>
      </c>
      <c r="Y1436" s="2" t="s">
        <v>6765</v>
      </c>
      <c r="Z1436" s="4">
        <v>299</v>
      </c>
      <c r="AA1436" s="4">
        <f>=ROUNDDOWN(23,0)</f>
      </c>
      <c r="AB1436" s="5">
        <v>13</v>
      </c>
      <c r="AC1436" s="2" t="s">
        <v>231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231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231</v>
      </c>
      <c r="AW1436" s="8" t="s">
        <v>231</v>
      </c>
      <c r="AX1436" s="4" t="s">
        <v>231</v>
      </c>
      <c r="AY1436" s="8" t="s">
        <v>231</v>
      </c>
      <c r="AZ1436" s="7" t="s">
        <v>231</v>
      </c>
      <c r="BA1436" s="7" t="s">
        <v>231</v>
      </c>
      <c r="BB1436" s="7"/>
      <c r="BC1436" s="4" t="s">
        <v>231</v>
      </c>
      <c r="BD1436" s="8" t="s">
        <v>231</v>
      </c>
      <c r="BE1436" s="4" t="s">
        <v>231</v>
      </c>
      <c r="BF1436" s="8" t="s">
        <v>231</v>
      </c>
      <c r="BG1436" s="7" t="s">
        <v>231</v>
      </c>
      <c r="BH1436" s="7" t="s">
        <v>231</v>
      </c>
      <c r="BI1436" s="7"/>
      <c r="BJ1436" s="4">
        <v>11</v>
      </c>
      <c r="BK1436" s="8">
        <v>1148.02</v>
      </c>
      <c r="BL1436" s="2" t="s">
        <v>6766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6767</v>
      </c>
      <c r="BV1436" s="2" t="s">
        <v>231</v>
      </c>
      <c r="BW1436" s="2" t="s">
        <v>231</v>
      </c>
      <c r="BX1436" s="2" t="s">
        <v>231</v>
      </c>
      <c r="BY1436" s="2" t="s">
        <v>277</v>
      </c>
      <c r="BZ1436" s="2" t="s">
        <v>243</v>
      </c>
      <c r="CA1436" s="2" t="s">
        <v>6765</v>
      </c>
      <c r="CB1436" s="2" t="s">
        <v>6768</v>
      </c>
      <c r="CC1436" s="2" t="s">
        <v>244</v>
      </c>
      <c r="CD1436" s="2" t="s">
        <v>231</v>
      </c>
      <c r="CE1436" s="4">
        <v>299</v>
      </c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</row>
    <row r="1437">
      <c r="A1437" s="2" t="s">
        <v>6769</v>
      </c>
      <c r="B1437" s="2" t="s">
        <v>226</v>
      </c>
      <c r="C1437" s="2" t="s">
        <v>631</v>
      </c>
      <c r="D1437" s="2" t="s">
        <v>1549</v>
      </c>
      <c r="E1437" s="2" t="s">
        <v>1550</v>
      </c>
      <c r="F1437" s="2" t="s">
        <v>6698</v>
      </c>
      <c r="G1437" s="2" t="s">
        <v>6698</v>
      </c>
      <c r="H1437" s="2" t="s">
        <v>231</v>
      </c>
      <c r="I1437" s="2" t="s">
        <v>2589</v>
      </c>
      <c r="J1437" s="2" t="s">
        <v>2845</v>
      </c>
      <c r="K1437" s="2" t="s">
        <v>778</v>
      </c>
      <c r="L1437" s="3">
        <v>36.8</v>
      </c>
      <c r="M1437" s="3">
        <v>38.64</v>
      </c>
      <c r="N1437" s="3">
        <v>79.99</v>
      </c>
      <c r="O1437" s="2" t="s">
        <v>243</v>
      </c>
      <c r="P1437" s="2" t="s">
        <v>270</v>
      </c>
      <c r="Q1437" s="2" t="s">
        <v>237</v>
      </c>
      <c r="R1437" s="2" t="s">
        <v>231</v>
      </c>
      <c r="S1437" s="2" t="s">
        <v>6759</v>
      </c>
      <c r="T1437" s="2" t="s">
        <v>1630</v>
      </c>
      <c r="U1437" s="2" t="s">
        <v>327</v>
      </c>
      <c r="V1437" s="2" t="s">
        <v>239</v>
      </c>
      <c r="W1437" s="2" t="s">
        <v>273</v>
      </c>
      <c r="X1437" s="2" t="s">
        <v>231</v>
      </c>
      <c r="Y1437" s="2" t="s">
        <v>6760</v>
      </c>
      <c r="Z1437" s="4">
        <v>415</v>
      </c>
      <c r="AA1437" s="4">
        <f>=ROUNDDOWN(50.609756097561,0)</f>
      </c>
      <c r="AB1437" s="5">
        <v>8.2</v>
      </c>
      <c r="AC1437" s="2" t="s">
        <v>2049</v>
      </c>
      <c r="AD1437" s="4">
        <v>230</v>
      </c>
      <c r="AE1437" s="4">
        <v>650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231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231</v>
      </c>
      <c r="AW1437" s="8" t="s">
        <v>231</v>
      </c>
      <c r="AX1437" s="4" t="s">
        <v>231</v>
      </c>
      <c r="AY1437" s="8" t="s">
        <v>231</v>
      </c>
      <c r="AZ1437" s="7" t="s">
        <v>231</v>
      </c>
      <c r="BA1437" s="7" t="s">
        <v>231</v>
      </c>
      <c r="BB1437" s="7"/>
      <c r="BC1437" s="4" t="s">
        <v>231</v>
      </c>
      <c r="BD1437" s="8" t="s">
        <v>231</v>
      </c>
      <c r="BE1437" s="4" t="s">
        <v>231</v>
      </c>
      <c r="BF1437" s="8" t="s">
        <v>231</v>
      </c>
      <c r="BG1437" s="7" t="s">
        <v>231</v>
      </c>
      <c r="BH1437" s="7" t="s">
        <v>231</v>
      </c>
      <c r="BI1437" s="7"/>
      <c r="BJ1437" s="4">
        <v>19</v>
      </c>
      <c r="BK1437" s="8">
        <v>768.5</v>
      </c>
      <c r="BL1437" s="2" t="s">
        <v>6770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6771</v>
      </c>
      <c r="BV1437" s="2" t="s">
        <v>231</v>
      </c>
      <c r="BW1437" s="2" t="s">
        <v>231</v>
      </c>
      <c r="BX1437" s="2" t="s">
        <v>231</v>
      </c>
      <c r="BY1437" s="2" t="s">
        <v>277</v>
      </c>
      <c r="BZ1437" s="2" t="s">
        <v>243</v>
      </c>
      <c r="CA1437" s="2" t="s">
        <v>6760</v>
      </c>
      <c r="CB1437" s="2" t="s">
        <v>6763</v>
      </c>
      <c r="CC1437" s="2" t="s">
        <v>244</v>
      </c>
      <c r="CD1437" s="2" t="s">
        <v>231</v>
      </c>
      <c r="CE1437" s="4">
        <v>415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>
        <v>230</v>
      </c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>
        <v>420</v>
      </c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</row>
    <row r="1438">
      <c r="A1438" s="2" t="s">
        <v>6772</v>
      </c>
      <c r="B1438" s="2" t="s">
        <v>226</v>
      </c>
      <c r="C1438" s="2" t="s">
        <v>631</v>
      </c>
      <c r="D1438" s="2" t="s">
        <v>1549</v>
      </c>
      <c r="E1438" s="2" t="s">
        <v>3949</v>
      </c>
      <c r="F1438" s="2" t="s">
        <v>6698</v>
      </c>
      <c r="G1438" s="2" t="s">
        <v>6698</v>
      </c>
      <c r="H1438" s="2" t="s">
        <v>231</v>
      </c>
      <c r="I1438" s="2" t="s">
        <v>229</v>
      </c>
      <c r="J1438" s="2" t="s">
        <v>318</v>
      </c>
      <c r="K1438" s="2" t="s">
        <v>1513</v>
      </c>
      <c r="L1438" s="3">
        <v>54.64</v>
      </c>
      <c r="M1438" s="3">
        <v>57.37</v>
      </c>
      <c r="N1438" s="3">
        <v>104.99</v>
      </c>
      <c r="O1438" s="2" t="s">
        <v>243</v>
      </c>
      <c r="P1438" s="2" t="s">
        <v>341</v>
      </c>
      <c r="Q1438" s="2" t="s">
        <v>237</v>
      </c>
      <c r="R1438" s="2" t="s">
        <v>231</v>
      </c>
      <c r="S1438" s="2" t="s">
        <v>6773</v>
      </c>
      <c r="T1438" s="2" t="s">
        <v>970</v>
      </c>
      <c r="U1438" s="2" t="s">
        <v>231</v>
      </c>
      <c r="V1438" s="2" t="s">
        <v>239</v>
      </c>
      <c r="W1438" s="2" t="s">
        <v>273</v>
      </c>
      <c r="X1438" s="2" t="s">
        <v>231</v>
      </c>
      <c r="Y1438" s="2" t="s">
        <v>1027</v>
      </c>
      <c r="Z1438" s="4">
        <v>282</v>
      </c>
      <c r="AA1438" s="4">
        <f>=ROUNDDOWN(56.4,0)</f>
      </c>
      <c r="AB1438" s="5">
        <v>5</v>
      </c>
      <c r="AC1438" s="2" t="s">
        <v>231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231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231</v>
      </c>
      <c r="AW1438" s="8" t="s">
        <v>231</v>
      </c>
      <c r="AX1438" s="4" t="s">
        <v>231</v>
      </c>
      <c r="AY1438" s="8" t="s">
        <v>231</v>
      </c>
      <c r="AZ1438" s="7" t="s">
        <v>231</v>
      </c>
      <c r="BA1438" s="7" t="s">
        <v>231</v>
      </c>
      <c r="BB1438" s="7"/>
      <c r="BC1438" s="4" t="s">
        <v>231</v>
      </c>
      <c r="BD1438" s="8" t="s">
        <v>231</v>
      </c>
      <c r="BE1438" s="4" t="s">
        <v>231</v>
      </c>
      <c r="BF1438" s="8" t="s">
        <v>231</v>
      </c>
      <c r="BG1438" s="7" t="s">
        <v>231</v>
      </c>
      <c r="BH1438" s="7" t="s">
        <v>231</v>
      </c>
      <c r="BI1438" s="7"/>
      <c r="BJ1438" s="4">
        <v>11</v>
      </c>
      <c r="BK1438" s="8">
        <v>675.18</v>
      </c>
      <c r="BL1438" s="2" t="s">
        <v>384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6774</v>
      </c>
      <c r="BV1438" s="2" t="s">
        <v>231</v>
      </c>
      <c r="BW1438" s="2" t="s">
        <v>231</v>
      </c>
      <c r="BX1438" s="2" t="s">
        <v>1360</v>
      </c>
      <c r="BY1438" s="2" t="s">
        <v>277</v>
      </c>
      <c r="BZ1438" s="2" t="s">
        <v>243</v>
      </c>
      <c r="CA1438" s="2" t="s">
        <v>1633</v>
      </c>
      <c r="CB1438" s="2" t="s">
        <v>467</v>
      </c>
      <c r="CC1438" s="2" t="s">
        <v>244</v>
      </c>
      <c r="CD1438" s="2" t="s">
        <v>231</v>
      </c>
      <c r="CE1438" s="4">
        <v>42</v>
      </c>
      <c r="CF1438" s="4"/>
      <c r="CG1438" s="4"/>
      <c r="CH1438" s="4"/>
      <c r="CI1438" s="4">
        <v>240</v>
      </c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</row>
    <row r="1439">
      <c r="A1439" s="2" t="s">
        <v>6775</v>
      </c>
      <c r="B1439" s="2" t="s">
        <v>226</v>
      </c>
      <c r="C1439" s="2" t="s">
        <v>631</v>
      </c>
      <c r="D1439" s="2" t="s">
        <v>1549</v>
      </c>
      <c r="E1439" s="2" t="s">
        <v>3949</v>
      </c>
      <c r="F1439" s="2" t="s">
        <v>6698</v>
      </c>
      <c r="G1439" s="2" t="s">
        <v>6698</v>
      </c>
      <c r="H1439" s="2" t="s">
        <v>231</v>
      </c>
      <c r="I1439" s="2" t="s">
        <v>229</v>
      </c>
      <c r="J1439" s="2" t="s">
        <v>293</v>
      </c>
      <c r="K1439" s="2" t="s">
        <v>1513</v>
      </c>
      <c r="L1439" s="3">
        <v>79.48</v>
      </c>
      <c r="M1439" s="3">
        <v>83.45</v>
      </c>
      <c r="N1439" s="3">
        <v>154.99</v>
      </c>
      <c r="O1439" s="2" t="s">
        <v>243</v>
      </c>
      <c r="P1439" s="2" t="s">
        <v>270</v>
      </c>
      <c r="Q1439" s="2" t="s">
        <v>237</v>
      </c>
      <c r="R1439" s="2" t="s">
        <v>231</v>
      </c>
      <c r="S1439" s="2" t="s">
        <v>6773</v>
      </c>
      <c r="T1439" s="2" t="s">
        <v>970</v>
      </c>
      <c r="U1439" s="2" t="s">
        <v>231</v>
      </c>
      <c r="V1439" s="2" t="s">
        <v>239</v>
      </c>
      <c r="W1439" s="2" t="s">
        <v>273</v>
      </c>
      <c r="X1439" s="2" t="s">
        <v>231</v>
      </c>
      <c r="Y1439" s="2" t="s">
        <v>274</v>
      </c>
      <c r="Z1439" s="4">
        <v>211</v>
      </c>
      <c r="AA1439" s="4">
        <f>=ROUNDDOWN(11.7222222222222,0)</f>
      </c>
      <c r="AB1439" s="5">
        <v>18</v>
      </c>
      <c r="AC1439" s="2" t="s">
        <v>231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231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231</v>
      </c>
      <c r="AW1439" s="8" t="s">
        <v>231</v>
      </c>
      <c r="AX1439" s="4" t="s">
        <v>231</v>
      </c>
      <c r="AY1439" s="8" t="s">
        <v>231</v>
      </c>
      <c r="AZ1439" s="7" t="s">
        <v>231</v>
      </c>
      <c r="BA1439" s="7" t="s">
        <v>231</v>
      </c>
      <c r="BB1439" s="7"/>
      <c r="BC1439" s="4" t="s">
        <v>231</v>
      </c>
      <c r="BD1439" s="8" t="s">
        <v>231</v>
      </c>
      <c r="BE1439" s="4" t="s">
        <v>231</v>
      </c>
      <c r="BF1439" s="8" t="s">
        <v>231</v>
      </c>
      <c r="BG1439" s="7" t="s">
        <v>231</v>
      </c>
      <c r="BH1439" s="7" t="s">
        <v>231</v>
      </c>
      <c r="BI1439" s="7"/>
      <c r="BJ1439" s="4">
        <v>6</v>
      </c>
      <c r="BK1439" s="8">
        <v>570.18</v>
      </c>
      <c r="BL1439" s="2" t="s">
        <v>1020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6776</v>
      </c>
      <c r="BV1439" s="2" t="s">
        <v>231</v>
      </c>
      <c r="BW1439" s="2" t="s">
        <v>231</v>
      </c>
      <c r="BX1439" s="2" t="s">
        <v>231</v>
      </c>
      <c r="BY1439" s="2" t="s">
        <v>277</v>
      </c>
      <c r="BZ1439" s="2" t="s">
        <v>243</v>
      </c>
      <c r="CA1439" s="2" t="s">
        <v>1633</v>
      </c>
      <c r="CB1439" s="2" t="s">
        <v>467</v>
      </c>
      <c r="CC1439" s="2" t="s">
        <v>244</v>
      </c>
      <c r="CD1439" s="2" t="s">
        <v>231</v>
      </c>
      <c r="CE1439" s="4">
        <v>211</v>
      </c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</row>
    <row r="1440">
      <c r="A1440" s="2" t="s">
        <v>6777</v>
      </c>
      <c r="B1440" s="2" t="s">
        <v>226</v>
      </c>
      <c r="C1440" s="2" t="s">
        <v>631</v>
      </c>
      <c r="D1440" s="2" t="s">
        <v>1549</v>
      </c>
      <c r="E1440" s="2" t="s">
        <v>3949</v>
      </c>
      <c r="F1440" s="2" t="s">
        <v>6698</v>
      </c>
      <c r="G1440" s="2" t="s">
        <v>6698</v>
      </c>
      <c r="H1440" s="2" t="s">
        <v>231</v>
      </c>
      <c r="I1440" s="2" t="s">
        <v>229</v>
      </c>
      <c r="J1440" s="2" t="s">
        <v>302</v>
      </c>
      <c r="K1440" s="2" t="s">
        <v>1513</v>
      </c>
      <c r="L1440" s="3">
        <v>89.41</v>
      </c>
      <c r="M1440" s="3">
        <v>93.88</v>
      </c>
      <c r="N1440" s="3">
        <v>174.99</v>
      </c>
      <c r="O1440" s="2" t="s">
        <v>243</v>
      </c>
      <c r="P1440" s="2" t="s">
        <v>270</v>
      </c>
      <c r="Q1440" s="2" t="s">
        <v>237</v>
      </c>
      <c r="R1440" s="2" t="s">
        <v>231</v>
      </c>
      <c r="S1440" s="2" t="s">
        <v>6773</v>
      </c>
      <c r="T1440" s="2" t="s">
        <v>970</v>
      </c>
      <c r="U1440" s="2" t="s">
        <v>231</v>
      </c>
      <c r="V1440" s="2" t="s">
        <v>239</v>
      </c>
      <c r="W1440" s="2" t="s">
        <v>273</v>
      </c>
      <c r="X1440" s="2" t="s">
        <v>231</v>
      </c>
      <c r="Y1440" s="2" t="s">
        <v>6778</v>
      </c>
      <c r="Z1440" s="4">
        <v>291</v>
      </c>
      <c r="AA1440" s="4">
        <f>=ROUNDDOWN(8.81818181818182,0)</f>
      </c>
      <c r="AB1440" s="5">
        <v>33</v>
      </c>
      <c r="AC1440" s="2" t="s">
        <v>231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231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231</v>
      </c>
      <c r="AW1440" s="8" t="s">
        <v>231</v>
      </c>
      <c r="AX1440" s="4" t="s">
        <v>231</v>
      </c>
      <c r="AY1440" s="8" t="s">
        <v>231</v>
      </c>
      <c r="AZ1440" s="7" t="s">
        <v>231</v>
      </c>
      <c r="BA1440" s="7" t="s">
        <v>231</v>
      </c>
      <c r="BB1440" s="7"/>
      <c r="BC1440" s="4" t="s">
        <v>231</v>
      </c>
      <c r="BD1440" s="8" t="s">
        <v>231</v>
      </c>
      <c r="BE1440" s="4" t="s">
        <v>231</v>
      </c>
      <c r="BF1440" s="8" t="s">
        <v>231</v>
      </c>
      <c r="BG1440" s="7" t="s">
        <v>231</v>
      </c>
      <c r="BH1440" s="7" t="s">
        <v>231</v>
      </c>
      <c r="BI1440" s="7"/>
      <c r="BJ1440" s="4">
        <v>30</v>
      </c>
      <c r="BK1440" s="8">
        <v>3120.05</v>
      </c>
      <c r="BL1440" s="2" t="s">
        <v>6779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6780</v>
      </c>
      <c r="BV1440" s="2" t="s">
        <v>231</v>
      </c>
      <c r="BW1440" s="2" t="s">
        <v>231</v>
      </c>
      <c r="BX1440" s="2" t="s">
        <v>231</v>
      </c>
      <c r="BY1440" s="2" t="s">
        <v>277</v>
      </c>
      <c r="BZ1440" s="2" t="s">
        <v>243</v>
      </c>
      <c r="CA1440" s="2" t="s">
        <v>1633</v>
      </c>
      <c r="CB1440" s="2" t="s">
        <v>467</v>
      </c>
      <c r="CC1440" s="2" t="s">
        <v>244</v>
      </c>
      <c r="CD1440" s="2" t="s">
        <v>231</v>
      </c>
      <c r="CE1440" s="4">
        <v>291</v>
      </c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</row>
    <row r="1441">
      <c r="A1441" s="2" t="s">
        <v>6781</v>
      </c>
      <c r="B1441" s="2" t="s">
        <v>226</v>
      </c>
      <c r="C1441" s="2" t="s">
        <v>631</v>
      </c>
      <c r="D1441" s="2" t="s">
        <v>1549</v>
      </c>
      <c r="E1441" s="2" t="s">
        <v>3949</v>
      </c>
      <c r="F1441" s="2" t="s">
        <v>6698</v>
      </c>
      <c r="G1441" s="2" t="s">
        <v>6698</v>
      </c>
      <c r="H1441" s="2" t="s">
        <v>231</v>
      </c>
      <c r="I1441" s="2" t="s">
        <v>229</v>
      </c>
      <c r="J1441" s="2" t="s">
        <v>281</v>
      </c>
      <c r="K1441" s="2" t="s">
        <v>1146</v>
      </c>
      <c r="L1441" s="3">
        <v>59.61</v>
      </c>
      <c r="M1441" s="3">
        <v>62.59</v>
      </c>
      <c r="N1441" s="3">
        <v>114.99</v>
      </c>
      <c r="O1441" s="2" t="s">
        <v>243</v>
      </c>
      <c r="P1441" s="2" t="s">
        <v>1281</v>
      </c>
      <c r="Q1441" s="2" t="s">
        <v>237</v>
      </c>
      <c r="R1441" s="2" t="s">
        <v>231</v>
      </c>
      <c r="S1441" s="2" t="s">
        <v>6782</v>
      </c>
      <c r="T1441" s="2" t="s">
        <v>970</v>
      </c>
      <c r="U1441" s="2" t="s">
        <v>231</v>
      </c>
      <c r="V1441" s="2" t="s">
        <v>239</v>
      </c>
      <c r="W1441" s="2" t="s">
        <v>273</v>
      </c>
      <c r="X1441" s="2" t="s">
        <v>231</v>
      </c>
      <c r="Y1441" s="2" t="s">
        <v>274</v>
      </c>
      <c r="Z1441" s="4">
        <v>206</v>
      </c>
      <c r="AA1441" s="4">
        <f>=ROUNDDOWN(13.8255033557047,0)</f>
      </c>
      <c r="AB1441" s="5">
        <v>14.9</v>
      </c>
      <c r="AC1441" s="2" t="s">
        <v>2049</v>
      </c>
      <c r="AD1441" s="4">
        <v>160</v>
      </c>
      <c r="AE1441" s="4">
        <v>160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231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231</v>
      </c>
      <c r="AW1441" s="8" t="s">
        <v>231</v>
      </c>
      <c r="AX1441" s="4" t="s">
        <v>231</v>
      </c>
      <c r="AY1441" s="8" t="s">
        <v>231</v>
      </c>
      <c r="AZ1441" s="7" t="s">
        <v>231</v>
      </c>
      <c r="BA1441" s="7" t="s">
        <v>231</v>
      </c>
      <c r="BB1441" s="7"/>
      <c r="BC1441" s="4" t="s">
        <v>231</v>
      </c>
      <c r="BD1441" s="8" t="s">
        <v>231</v>
      </c>
      <c r="BE1441" s="4" t="s">
        <v>231</v>
      </c>
      <c r="BF1441" s="8" t="s">
        <v>231</v>
      </c>
      <c r="BG1441" s="7" t="s">
        <v>231</v>
      </c>
      <c r="BH1441" s="7" t="s">
        <v>231</v>
      </c>
      <c r="BI1441" s="7"/>
      <c r="BJ1441" s="4">
        <v>15</v>
      </c>
      <c r="BK1441" s="8">
        <v>966.75</v>
      </c>
      <c r="BL1441" s="2" t="s">
        <v>3607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6783</v>
      </c>
      <c r="BV1441" s="2" t="s">
        <v>231</v>
      </c>
      <c r="BW1441" s="2" t="s">
        <v>231</v>
      </c>
      <c r="BX1441" s="2" t="s">
        <v>231</v>
      </c>
      <c r="BY1441" s="2" t="s">
        <v>277</v>
      </c>
      <c r="BZ1441" s="2" t="s">
        <v>243</v>
      </c>
      <c r="CA1441" s="2" t="s">
        <v>1633</v>
      </c>
      <c r="CB1441" s="2" t="s">
        <v>6784</v>
      </c>
      <c r="CC1441" s="2" t="s">
        <v>244</v>
      </c>
      <c r="CD1441" s="2" t="s">
        <v>231</v>
      </c>
      <c r="CE1441" s="4"/>
      <c r="CF1441" s="4"/>
      <c r="CG1441" s="4"/>
      <c r="CH1441" s="4"/>
      <c r="CI1441" s="4">
        <v>206</v>
      </c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>
        <v>160</v>
      </c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</row>
    <row r="1442">
      <c r="A1442" s="2" t="s">
        <v>6785</v>
      </c>
      <c r="B1442" s="2" t="s">
        <v>226</v>
      </c>
      <c r="C1442" s="2" t="s">
        <v>631</v>
      </c>
      <c r="D1442" s="2" t="s">
        <v>1549</v>
      </c>
      <c r="E1442" s="2" t="s">
        <v>3949</v>
      </c>
      <c r="F1442" s="2" t="s">
        <v>6698</v>
      </c>
      <c r="G1442" s="2" t="s">
        <v>6698</v>
      </c>
      <c r="H1442" s="2" t="s">
        <v>231</v>
      </c>
      <c r="I1442" s="2" t="s">
        <v>229</v>
      </c>
      <c r="J1442" s="2" t="s">
        <v>293</v>
      </c>
      <c r="K1442" s="2" t="s">
        <v>1146</v>
      </c>
      <c r="L1442" s="3">
        <v>79.48</v>
      </c>
      <c r="M1442" s="3">
        <v>83.45</v>
      </c>
      <c r="N1442" s="3">
        <v>154.99</v>
      </c>
      <c r="O1442" s="2" t="s">
        <v>243</v>
      </c>
      <c r="P1442" s="2" t="s">
        <v>1281</v>
      </c>
      <c r="Q1442" s="2" t="s">
        <v>237</v>
      </c>
      <c r="R1442" s="2" t="s">
        <v>231</v>
      </c>
      <c r="S1442" s="2" t="s">
        <v>6782</v>
      </c>
      <c r="T1442" s="2" t="s">
        <v>970</v>
      </c>
      <c r="U1442" s="2" t="s">
        <v>231</v>
      </c>
      <c r="V1442" s="2" t="s">
        <v>239</v>
      </c>
      <c r="W1442" s="2" t="s">
        <v>273</v>
      </c>
      <c r="X1442" s="2" t="s">
        <v>231</v>
      </c>
      <c r="Y1442" s="2" t="s">
        <v>274</v>
      </c>
      <c r="Z1442" s="4">
        <v>386</v>
      </c>
      <c r="AA1442" s="4">
        <f>=ROUNDDOWN(8.77272727272727,0)</f>
      </c>
      <c r="AB1442" s="5">
        <v>44</v>
      </c>
      <c r="AC1442" s="2" t="s">
        <v>2049</v>
      </c>
      <c r="AD1442" s="4">
        <v>150</v>
      </c>
      <c r="AE1442" s="4">
        <v>150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231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231</v>
      </c>
      <c r="AW1442" s="8" t="s">
        <v>231</v>
      </c>
      <c r="AX1442" s="4" t="s">
        <v>231</v>
      </c>
      <c r="AY1442" s="8" t="s">
        <v>231</v>
      </c>
      <c r="AZ1442" s="7" t="s">
        <v>231</v>
      </c>
      <c r="BA1442" s="7" t="s">
        <v>231</v>
      </c>
      <c r="BB1442" s="7"/>
      <c r="BC1442" s="4" t="s">
        <v>231</v>
      </c>
      <c r="BD1442" s="8" t="s">
        <v>231</v>
      </c>
      <c r="BE1442" s="4" t="s">
        <v>231</v>
      </c>
      <c r="BF1442" s="8" t="s">
        <v>231</v>
      </c>
      <c r="BG1442" s="7" t="s">
        <v>231</v>
      </c>
      <c r="BH1442" s="7" t="s">
        <v>231</v>
      </c>
      <c r="BI1442" s="7"/>
      <c r="BJ1442" s="4">
        <v>23</v>
      </c>
      <c r="BK1442" s="8">
        <v>2082.32</v>
      </c>
      <c r="BL1442" s="2" t="s">
        <v>6786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6787</v>
      </c>
      <c r="BV1442" s="2" t="s">
        <v>231</v>
      </c>
      <c r="BW1442" s="2" t="s">
        <v>231</v>
      </c>
      <c r="BX1442" s="2" t="s">
        <v>231</v>
      </c>
      <c r="BY1442" s="2" t="s">
        <v>277</v>
      </c>
      <c r="BZ1442" s="2" t="s">
        <v>243</v>
      </c>
      <c r="CA1442" s="2" t="s">
        <v>1633</v>
      </c>
      <c r="CB1442" s="2" t="s">
        <v>6788</v>
      </c>
      <c r="CC1442" s="2" t="s">
        <v>244</v>
      </c>
      <c r="CD1442" s="2" t="s">
        <v>231</v>
      </c>
      <c r="CE1442" s="4">
        <v>386</v>
      </c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>
        <v>150</v>
      </c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</row>
    <row r="1443">
      <c r="A1443" s="2" t="s">
        <v>6789</v>
      </c>
      <c r="B1443" s="2" t="s">
        <v>226</v>
      </c>
      <c r="C1443" s="2" t="s">
        <v>631</v>
      </c>
      <c r="D1443" s="2" t="s">
        <v>1549</v>
      </c>
      <c r="E1443" s="2" t="s">
        <v>3949</v>
      </c>
      <c r="F1443" s="2" t="s">
        <v>6698</v>
      </c>
      <c r="G1443" s="2" t="s">
        <v>6698</v>
      </c>
      <c r="H1443" s="2" t="s">
        <v>231</v>
      </c>
      <c r="I1443" s="2" t="s">
        <v>229</v>
      </c>
      <c r="J1443" s="2" t="s">
        <v>302</v>
      </c>
      <c r="K1443" s="2" t="s">
        <v>1146</v>
      </c>
      <c r="L1443" s="3">
        <v>89.41</v>
      </c>
      <c r="M1443" s="3">
        <v>93.88</v>
      </c>
      <c r="N1443" s="3">
        <v>174.99</v>
      </c>
      <c r="O1443" s="2" t="s">
        <v>243</v>
      </c>
      <c r="P1443" s="2" t="s">
        <v>1281</v>
      </c>
      <c r="Q1443" s="2" t="s">
        <v>237</v>
      </c>
      <c r="R1443" s="2" t="s">
        <v>231</v>
      </c>
      <c r="S1443" s="2" t="s">
        <v>6782</v>
      </c>
      <c r="T1443" s="2" t="s">
        <v>970</v>
      </c>
      <c r="U1443" s="2" t="s">
        <v>231</v>
      </c>
      <c r="V1443" s="2" t="s">
        <v>239</v>
      </c>
      <c r="W1443" s="2" t="s">
        <v>273</v>
      </c>
      <c r="X1443" s="2" t="s">
        <v>231</v>
      </c>
      <c r="Y1443" s="2" t="s">
        <v>274</v>
      </c>
      <c r="Z1443" s="4">
        <v>145</v>
      </c>
      <c r="AA1443" s="4">
        <f>=ROUNDDOWN(2.10449927431059,0)</f>
      </c>
      <c r="AB1443" s="5">
        <v>68.9</v>
      </c>
      <c r="AC1443" s="2" t="s">
        <v>2049</v>
      </c>
      <c r="AD1443" s="4">
        <v>160</v>
      </c>
      <c r="AE1443" s="4">
        <v>310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231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231</v>
      </c>
      <c r="AW1443" s="8" t="s">
        <v>231</v>
      </c>
      <c r="AX1443" s="4" t="s">
        <v>231</v>
      </c>
      <c r="AY1443" s="8" t="s">
        <v>231</v>
      </c>
      <c r="AZ1443" s="7" t="s">
        <v>231</v>
      </c>
      <c r="BA1443" s="7" t="s">
        <v>231</v>
      </c>
      <c r="BB1443" s="7"/>
      <c r="BC1443" s="4" t="s">
        <v>231</v>
      </c>
      <c r="BD1443" s="8" t="s">
        <v>231</v>
      </c>
      <c r="BE1443" s="4" t="s">
        <v>231</v>
      </c>
      <c r="BF1443" s="8" t="s">
        <v>231</v>
      </c>
      <c r="BG1443" s="7" t="s">
        <v>231</v>
      </c>
      <c r="BH1443" s="7" t="s">
        <v>231</v>
      </c>
      <c r="BI1443" s="7"/>
      <c r="BJ1443" s="4">
        <v>73</v>
      </c>
      <c r="BK1443" s="8">
        <v>7696.22</v>
      </c>
      <c r="BL1443" s="2" t="s">
        <v>6790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6791</v>
      </c>
      <c r="BV1443" s="2" t="s">
        <v>231</v>
      </c>
      <c r="BW1443" s="2" t="s">
        <v>231</v>
      </c>
      <c r="BX1443" s="2" t="s">
        <v>231</v>
      </c>
      <c r="BY1443" s="2" t="s">
        <v>277</v>
      </c>
      <c r="BZ1443" s="2" t="s">
        <v>243</v>
      </c>
      <c r="CA1443" s="2" t="s">
        <v>1633</v>
      </c>
      <c r="CB1443" s="2" t="s">
        <v>6792</v>
      </c>
      <c r="CC1443" s="2" t="s">
        <v>244</v>
      </c>
      <c r="CD1443" s="2" t="s">
        <v>231</v>
      </c>
      <c r="CE1443" s="4">
        <v>55</v>
      </c>
      <c r="CF1443" s="4"/>
      <c r="CG1443" s="4"/>
      <c r="CH1443" s="4"/>
      <c r="CI1443" s="4">
        <v>90</v>
      </c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>
        <v>160</v>
      </c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>
        <v>150</v>
      </c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</row>
    <row r="1444">
      <c r="A1444" s="2" t="s">
        <v>6793</v>
      </c>
      <c r="B1444" s="2" t="s">
        <v>226</v>
      </c>
      <c r="C1444" s="2" t="s">
        <v>631</v>
      </c>
      <c r="D1444" s="2" t="s">
        <v>1549</v>
      </c>
      <c r="E1444" s="2" t="s">
        <v>3949</v>
      </c>
      <c r="F1444" s="2" t="s">
        <v>6698</v>
      </c>
      <c r="G1444" s="2" t="s">
        <v>6698</v>
      </c>
      <c r="H1444" s="2" t="s">
        <v>231</v>
      </c>
      <c r="I1444" s="2" t="s">
        <v>229</v>
      </c>
      <c r="J1444" s="2" t="s">
        <v>281</v>
      </c>
      <c r="K1444" s="2" t="s">
        <v>723</v>
      </c>
      <c r="L1444" s="3">
        <v>59.61</v>
      </c>
      <c r="M1444" s="3">
        <v>62.59</v>
      </c>
      <c r="N1444" s="3">
        <v>114.99</v>
      </c>
      <c r="O1444" s="2" t="s">
        <v>243</v>
      </c>
      <c r="P1444" s="2" t="s">
        <v>341</v>
      </c>
      <c r="Q1444" s="2" t="s">
        <v>237</v>
      </c>
      <c r="R1444" s="2" t="s">
        <v>231</v>
      </c>
      <c r="S1444" s="2" t="s">
        <v>6794</v>
      </c>
      <c r="T1444" s="2" t="s">
        <v>1630</v>
      </c>
      <c r="U1444" s="2" t="s">
        <v>327</v>
      </c>
      <c r="V1444" s="2" t="s">
        <v>239</v>
      </c>
      <c r="W1444" s="2" t="s">
        <v>273</v>
      </c>
      <c r="X1444" s="2" t="s">
        <v>231</v>
      </c>
      <c r="Y1444" s="2" t="s">
        <v>6760</v>
      </c>
      <c r="Z1444" s="4">
        <v>266</v>
      </c>
      <c r="AA1444" s="4">
        <f>=ROUNDDOWN(38,0)</f>
      </c>
      <c r="AB1444" s="5">
        <v>7</v>
      </c>
      <c r="AC1444" s="2" t="s">
        <v>231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231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231</v>
      </c>
      <c r="AW1444" s="8" t="s">
        <v>231</v>
      </c>
      <c r="AX1444" s="4" t="s">
        <v>231</v>
      </c>
      <c r="AY1444" s="8" t="s">
        <v>231</v>
      </c>
      <c r="AZ1444" s="7" t="s">
        <v>231</v>
      </c>
      <c r="BA1444" s="7" t="s">
        <v>231</v>
      </c>
      <c r="BB1444" s="7"/>
      <c r="BC1444" s="4" t="s">
        <v>231</v>
      </c>
      <c r="BD1444" s="8" t="s">
        <v>231</v>
      </c>
      <c r="BE1444" s="4" t="s">
        <v>231</v>
      </c>
      <c r="BF1444" s="8" t="s">
        <v>231</v>
      </c>
      <c r="BG1444" s="7" t="s">
        <v>231</v>
      </c>
      <c r="BH1444" s="7" t="s">
        <v>231</v>
      </c>
      <c r="BI1444" s="7"/>
      <c r="BJ1444" s="4">
        <v>6</v>
      </c>
      <c r="BK1444" s="8">
        <v>408.08</v>
      </c>
      <c r="BL1444" s="2" t="s">
        <v>374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6795</v>
      </c>
      <c r="BV1444" s="2" t="s">
        <v>231</v>
      </c>
      <c r="BW1444" s="2" t="s">
        <v>231</v>
      </c>
      <c r="BX1444" s="2" t="s">
        <v>1360</v>
      </c>
      <c r="BY1444" s="2" t="s">
        <v>277</v>
      </c>
      <c r="BZ1444" s="2" t="s">
        <v>243</v>
      </c>
      <c r="CA1444" s="2" t="s">
        <v>6760</v>
      </c>
      <c r="CB1444" s="2" t="s">
        <v>6796</v>
      </c>
      <c r="CC1444" s="2" t="s">
        <v>244</v>
      </c>
      <c r="CD1444" s="2" t="s">
        <v>231</v>
      </c>
      <c r="CE1444" s="4">
        <v>266</v>
      </c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</row>
    <row r="1445">
      <c r="A1445" s="2" t="s">
        <v>6797</v>
      </c>
      <c r="B1445" s="2" t="s">
        <v>226</v>
      </c>
      <c r="C1445" s="2" t="s">
        <v>631</v>
      </c>
      <c r="D1445" s="2" t="s">
        <v>1549</v>
      </c>
      <c r="E1445" s="2" t="s">
        <v>1550</v>
      </c>
      <c r="F1445" s="2" t="s">
        <v>6698</v>
      </c>
      <c r="G1445" s="2" t="s">
        <v>6698</v>
      </c>
      <c r="H1445" s="2" t="s">
        <v>231</v>
      </c>
      <c r="I1445" s="2" t="s">
        <v>2589</v>
      </c>
      <c r="J1445" s="2" t="s">
        <v>2845</v>
      </c>
      <c r="K1445" s="2" t="s">
        <v>723</v>
      </c>
      <c r="L1445" s="3">
        <v>36.8</v>
      </c>
      <c r="M1445" s="3">
        <v>38.64</v>
      </c>
      <c r="N1445" s="3">
        <v>79.99</v>
      </c>
      <c r="O1445" s="2" t="s">
        <v>243</v>
      </c>
      <c r="P1445" s="2" t="s">
        <v>270</v>
      </c>
      <c r="Q1445" s="2" t="s">
        <v>237</v>
      </c>
      <c r="R1445" s="2" t="s">
        <v>231</v>
      </c>
      <c r="S1445" s="2" t="s">
        <v>6794</v>
      </c>
      <c r="T1445" s="2" t="s">
        <v>1630</v>
      </c>
      <c r="U1445" s="2" t="s">
        <v>327</v>
      </c>
      <c r="V1445" s="2" t="s">
        <v>239</v>
      </c>
      <c r="W1445" s="2" t="s">
        <v>273</v>
      </c>
      <c r="X1445" s="2" t="s">
        <v>231</v>
      </c>
      <c r="Y1445" s="2" t="s">
        <v>6760</v>
      </c>
      <c r="Z1445" s="4">
        <v>227</v>
      </c>
      <c r="AA1445" s="4">
        <f>=ROUNDDOWN(33.3823529411765,0)</f>
      </c>
      <c r="AB1445" s="5">
        <v>6.8</v>
      </c>
      <c r="AC1445" s="2" t="s">
        <v>3723</v>
      </c>
      <c r="AD1445" s="4">
        <v>150</v>
      </c>
      <c r="AE1445" s="4">
        <v>740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231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231</v>
      </c>
      <c r="AW1445" s="8" t="s">
        <v>231</v>
      </c>
      <c r="AX1445" s="4" t="s">
        <v>231</v>
      </c>
      <c r="AY1445" s="8" t="s">
        <v>231</v>
      </c>
      <c r="AZ1445" s="7" t="s">
        <v>231</v>
      </c>
      <c r="BA1445" s="7" t="s">
        <v>231</v>
      </c>
      <c r="BB1445" s="7"/>
      <c r="BC1445" s="4" t="s">
        <v>231</v>
      </c>
      <c r="BD1445" s="8" t="s">
        <v>231</v>
      </c>
      <c r="BE1445" s="4" t="s">
        <v>231</v>
      </c>
      <c r="BF1445" s="8" t="s">
        <v>231</v>
      </c>
      <c r="BG1445" s="7" t="s">
        <v>231</v>
      </c>
      <c r="BH1445" s="7" t="s">
        <v>231</v>
      </c>
      <c r="BI1445" s="7"/>
      <c r="BJ1445" s="4">
        <v>11</v>
      </c>
      <c r="BK1445" s="8">
        <v>444.25</v>
      </c>
      <c r="BL1445" s="2" t="s">
        <v>6798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6799</v>
      </c>
      <c r="BV1445" s="2" t="s">
        <v>231</v>
      </c>
      <c r="BW1445" s="2" t="s">
        <v>231</v>
      </c>
      <c r="BX1445" s="2" t="s">
        <v>231</v>
      </c>
      <c r="BY1445" s="2" t="s">
        <v>277</v>
      </c>
      <c r="BZ1445" s="2" t="s">
        <v>243</v>
      </c>
      <c r="CA1445" s="2" t="s">
        <v>6760</v>
      </c>
      <c r="CB1445" s="2" t="s">
        <v>6763</v>
      </c>
      <c r="CC1445" s="2" t="s">
        <v>244</v>
      </c>
      <c r="CD1445" s="2" t="s">
        <v>231</v>
      </c>
      <c r="CE1445" s="4">
        <v>227</v>
      </c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>
        <v>150</v>
      </c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>
        <v>240</v>
      </c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>
        <v>350</v>
      </c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</row>
    <row r="1446">
      <c r="A1446" s="2" t="s">
        <v>6800</v>
      </c>
      <c r="B1446" s="2" t="s">
        <v>226</v>
      </c>
      <c r="C1446" s="2" t="s">
        <v>631</v>
      </c>
      <c r="D1446" s="2" t="s">
        <v>1549</v>
      </c>
      <c r="E1446" s="2" t="s">
        <v>1550</v>
      </c>
      <c r="F1446" s="2" t="s">
        <v>6801</v>
      </c>
      <c r="G1446" s="2" t="s">
        <v>6801</v>
      </c>
      <c r="H1446" s="2" t="s">
        <v>6801</v>
      </c>
      <c r="I1446" s="2" t="s">
        <v>2589</v>
      </c>
      <c r="J1446" s="2" t="s">
        <v>2845</v>
      </c>
      <c r="K1446" s="2" t="s">
        <v>985</v>
      </c>
      <c r="L1446" s="3">
        <v>38.4</v>
      </c>
      <c r="M1446" s="3">
        <v>40.32</v>
      </c>
      <c r="N1446" s="3">
        <v>79.99</v>
      </c>
      <c r="O1446" s="2" t="s">
        <v>243</v>
      </c>
      <c r="P1446" s="2" t="s">
        <v>4057</v>
      </c>
      <c r="Q1446" s="2" t="s">
        <v>237</v>
      </c>
      <c r="R1446" s="2" t="s">
        <v>231</v>
      </c>
      <c r="S1446" s="2" t="s">
        <v>6802</v>
      </c>
      <c r="T1446" s="2" t="s">
        <v>1630</v>
      </c>
      <c r="U1446" s="2" t="s">
        <v>231</v>
      </c>
      <c r="V1446" s="2" t="s">
        <v>987</v>
      </c>
      <c r="W1446" s="2" t="s">
        <v>273</v>
      </c>
      <c r="X1446" s="2" t="s">
        <v>792</v>
      </c>
      <c r="Y1446" s="2" t="s">
        <v>274</v>
      </c>
      <c r="Z1446" s="4"/>
      <c r="AA1446" s="4">
        <f>=ROUNDDOWN({0},0)</f>
      </c>
      <c r="AB1446" s="5">
        <v>111</v>
      </c>
      <c r="AC1446" s="2" t="s">
        <v>3723</v>
      </c>
      <c r="AD1446" s="4">
        <v>600</v>
      </c>
      <c r="AE1446" s="4">
        <v>3590</v>
      </c>
      <c r="AF1446" s="6">
        <v>65</v>
      </c>
      <c r="AG1446" s="6"/>
      <c r="AH1446" s="7">
        <v>0</v>
      </c>
      <c r="AI1446" s="4"/>
      <c r="AJ1446" s="4">
        <f>=ROUNDDOWN({0},0)</f>
      </c>
      <c r="AK1446" s="5"/>
      <c r="AL1446" s="2" t="s">
        <v>231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 t="s">
        <v>231</v>
      </c>
      <c r="BD1446" s="8" t="s">
        <v>231</v>
      </c>
      <c r="BE1446" s="4" t="s">
        <v>231</v>
      </c>
      <c r="BF1446" s="8" t="s">
        <v>231</v>
      </c>
      <c r="BG1446" s="7" t="s">
        <v>231</v>
      </c>
      <c r="BH1446" s="7" t="s">
        <v>231</v>
      </c>
      <c r="BI1446" s="7"/>
      <c r="BJ1446" s="4"/>
      <c r="BK1446" s="8"/>
      <c r="BL1446" s="2" t="s">
        <v>6803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6804</v>
      </c>
      <c r="BV1446" s="2" t="s">
        <v>231</v>
      </c>
      <c r="BW1446" s="2" t="s">
        <v>231</v>
      </c>
      <c r="BX1446" s="2" t="s">
        <v>231</v>
      </c>
      <c r="BY1446" s="2" t="s">
        <v>277</v>
      </c>
      <c r="BZ1446" s="2" t="s">
        <v>243</v>
      </c>
      <c r="CA1446" s="2" t="s">
        <v>1633</v>
      </c>
      <c r="CB1446" s="2" t="s">
        <v>6805</v>
      </c>
      <c r="CC1446" s="2" t="s">
        <v>244</v>
      </c>
      <c r="CD1446" s="2" t="s">
        <v>231</v>
      </c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>
        <v>600</v>
      </c>
      <c r="EK1446" s="4"/>
      <c r="EL1446" s="4"/>
      <c r="EM1446" s="4"/>
      <c r="EN1446" s="4"/>
      <c r="EO1446" s="4"/>
      <c r="EP1446" s="4"/>
      <c r="EQ1446" s="4">
        <v>520</v>
      </c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>
        <v>1000</v>
      </c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>
        <v>1470</v>
      </c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</row>
    <row r="1447">
      <c r="A1447" s="2" t="s">
        <v>6806</v>
      </c>
      <c r="B1447" s="2" t="s">
        <v>226</v>
      </c>
      <c r="C1447" s="2" t="s">
        <v>631</v>
      </c>
      <c r="D1447" s="2" t="s">
        <v>1549</v>
      </c>
      <c r="E1447" s="2" t="s">
        <v>1550</v>
      </c>
      <c r="F1447" s="2" t="s">
        <v>6801</v>
      </c>
      <c r="G1447" s="2" t="s">
        <v>6801</v>
      </c>
      <c r="H1447" s="2" t="s">
        <v>6801</v>
      </c>
      <c r="I1447" s="2" t="s">
        <v>2589</v>
      </c>
      <c r="J1447" s="2" t="s">
        <v>2845</v>
      </c>
      <c r="K1447" s="2" t="s">
        <v>294</v>
      </c>
      <c r="L1447" s="3">
        <v>38.4</v>
      </c>
      <c r="M1447" s="3">
        <v>40.32</v>
      </c>
      <c r="N1447" s="3">
        <v>79.99</v>
      </c>
      <c r="O1447" s="2" t="s">
        <v>243</v>
      </c>
      <c r="P1447" s="2" t="s">
        <v>341</v>
      </c>
      <c r="Q1447" s="2" t="s">
        <v>237</v>
      </c>
      <c r="R1447" s="2" t="s">
        <v>231</v>
      </c>
      <c r="S1447" s="2" t="s">
        <v>6807</v>
      </c>
      <c r="T1447" s="2" t="s">
        <v>1630</v>
      </c>
      <c r="U1447" s="2" t="s">
        <v>231</v>
      </c>
      <c r="V1447" s="2" t="s">
        <v>987</v>
      </c>
      <c r="W1447" s="2" t="s">
        <v>273</v>
      </c>
      <c r="X1447" s="2" t="s">
        <v>792</v>
      </c>
      <c r="Y1447" s="2" t="s">
        <v>274</v>
      </c>
      <c r="Z1447" s="4">
        <v>701</v>
      </c>
      <c r="AA1447" s="4">
        <f>=ROUNDDOWN(58.4166666666667,0)</f>
      </c>
      <c r="AB1447" s="5">
        <v>12</v>
      </c>
      <c r="AC1447" s="2" t="s">
        <v>231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231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231</v>
      </c>
      <c r="BD1447" s="8" t="s">
        <v>231</v>
      </c>
      <c r="BE1447" s="4" t="s">
        <v>231</v>
      </c>
      <c r="BF1447" s="8" t="s">
        <v>231</v>
      </c>
      <c r="BG1447" s="7" t="s">
        <v>231</v>
      </c>
      <c r="BH1447" s="7" t="s">
        <v>231</v>
      </c>
      <c r="BI1447" s="7"/>
      <c r="BJ1447" s="4">
        <v>6</v>
      </c>
      <c r="BK1447" s="8">
        <v>220.78</v>
      </c>
      <c r="BL1447" s="2" t="s">
        <v>6808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6809</v>
      </c>
      <c r="BV1447" s="2" t="s">
        <v>231</v>
      </c>
      <c r="BW1447" s="2" t="s">
        <v>231</v>
      </c>
      <c r="BX1447" s="2" t="s">
        <v>1360</v>
      </c>
      <c r="BY1447" s="2" t="s">
        <v>277</v>
      </c>
      <c r="BZ1447" s="2" t="s">
        <v>243</v>
      </c>
      <c r="CA1447" s="2" t="s">
        <v>2052</v>
      </c>
      <c r="CB1447" s="2" t="s">
        <v>4302</v>
      </c>
      <c r="CC1447" s="2" t="s">
        <v>244</v>
      </c>
      <c r="CD1447" s="2" t="s">
        <v>231</v>
      </c>
      <c r="CE1447" s="4">
        <v>701</v>
      </c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</row>
    <row r="1448">
      <c r="A1448" s="2" t="s">
        <v>6810</v>
      </c>
      <c r="B1448" s="2" t="s">
        <v>226</v>
      </c>
      <c r="C1448" s="2" t="s">
        <v>631</v>
      </c>
      <c r="D1448" s="2" t="s">
        <v>1549</v>
      </c>
      <c r="E1448" s="2" t="s">
        <v>1550</v>
      </c>
      <c r="F1448" s="2" t="s">
        <v>6801</v>
      </c>
      <c r="G1448" s="2" t="s">
        <v>6801</v>
      </c>
      <c r="H1448" s="2" t="s">
        <v>6801</v>
      </c>
      <c r="I1448" s="2" t="s">
        <v>2589</v>
      </c>
      <c r="J1448" s="2" t="s">
        <v>2845</v>
      </c>
      <c r="K1448" s="2" t="s">
        <v>2457</v>
      </c>
      <c r="L1448" s="3">
        <v>38.4</v>
      </c>
      <c r="M1448" s="3">
        <v>40.32</v>
      </c>
      <c r="N1448" s="3">
        <v>79.99</v>
      </c>
      <c r="O1448" s="2" t="s">
        <v>243</v>
      </c>
      <c r="P1448" s="2" t="s">
        <v>1332</v>
      </c>
      <c r="Q1448" s="2" t="s">
        <v>237</v>
      </c>
      <c r="R1448" s="2" t="s">
        <v>231</v>
      </c>
      <c r="S1448" s="2" t="s">
        <v>6811</v>
      </c>
      <c r="T1448" s="2" t="s">
        <v>1630</v>
      </c>
      <c r="U1448" s="2" t="s">
        <v>231</v>
      </c>
      <c r="V1448" s="2" t="s">
        <v>987</v>
      </c>
      <c r="W1448" s="2" t="s">
        <v>273</v>
      </c>
      <c r="X1448" s="2" t="s">
        <v>792</v>
      </c>
      <c r="Y1448" s="2" t="s">
        <v>4469</v>
      </c>
      <c r="Z1448" s="4"/>
      <c r="AA1448" s="4">
        <f>=ROUNDDOWN({0},0)</f>
      </c>
      <c r="AB1448" s="5">
        <v>65</v>
      </c>
      <c r="AC1448" s="2" t="s">
        <v>3723</v>
      </c>
      <c r="AD1448" s="4">
        <v>620</v>
      </c>
      <c r="AE1448" s="4">
        <v>2120</v>
      </c>
      <c r="AF1448" s="6">
        <v>65</v>
      </c>
      <c r="AG1448" s="6"/>
      <c r="AH1448" s="7">
        <v>0</v>
      </c>
      <c r="AI1448" s="4"/>
      <c r="AJ1448" s="4">
        <f>=ROUNDDOWN({0},0)</f>
      </c>
      <c r="AK1448" s="5"/>
      <c r="AL1448" s="2" t="s">
        <v>231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231</v>
      </c>
      <c r="BD1448" s="8" t="s">
        <v>231</v>
      </c>
      <c r="BE1448" s="4" t="s">
        <v>231</v>
      </c>
      <c r="BF1448" s="8" t="s">
        <v>231</v>
      </c>
      <c r="BG1448" s="7" t="s">
        <v>231</v>
      </c>
      <c r="BH1448" s="7" t="s">
        <v>231</v>
      </c>
      <c r="BI1448" s="7"/>
      <c r="BJ1448" s="4"/>
      <c r="BK1448" s="8"/>
      <c r="BL1448" s="2" t="s">
        <v>6812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6813</v>
      </c>
      <c r="BV1448" s="2" t="s">
        <v>231</v>
      </c>
      <c r="BW1448" s="2" t="s">
        <v>231</v>
      </c>
      <c r="BX1448" s="2" t="s">
        <v>231</v>
      </c>
      <c r="BY1448" s="2" t="s">
        <v>277</v>
      </c>
      <c r="BZ1448" s="2" t="s">
        <v>243</v>
      </c>
      <c r="CA1448" s="2" t="s">
        <v>1633</v>
      </c>
      <c r="CB1448" s="2" t="s">
        <v>6814</v>
      </c>
      <c r="CC1448" s="2" t="s">
        <v>244</v>
      </c>
      <c r="CD1448" s="2" t="s">
        <v>231</v>
      </c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>
        <v>620</v>
      </c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>
        <v>620</v>
      </c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>
        <v>880</v>
      </c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</row>
    <row r="1449">
      <c r="A1449" s="2" t="s">
        <v>6815</v>
      </c>
      <c r="B1449" s="2" t="s">
        <v>226</v>
      </c>
      <c r="C1449" s="2" t="s">
        <v>631</v>
      </c>
      <c r="D1449" s="2" t="s">
        <v>1549</v>
      </c>
      <c r="E1449" s="2" t="s">
        <v>1550</v>
      </c>
      <c r="F1449" s="2" t="s">
        <v>6801</v>
      </c>
      <c r="G1449" s="2" t="s">
        <v>6801</v>
      </c>
      <c r="H1449" s="2" t="s">
        <v>6801</v>
      </c>
      <c r="I1449" s="2" t="s">
        <v>2589</v>
      </c>
      <c r="J1449" s="2" t="s">
        <v>2845</v>
      </c>
      <c r="K1449" s="2" t="s">
        <v>1677</v>
      </c>
      <c r="L1449" s="3">
        <v>38.4</v>
      </c>
      <c r="M1449" s="3">
        <v>40.32</v>
      </c>
      <c r="N1449" s="3">
        <v>79.99</v>
      </c>
      <c r="O1449" s="2" t="s">
        <v>243</v>
      </c>
      <c r="P1449" s="2" t="s">
        <v>341</v>
      </c>
      <c r="Q1449" s="2" t="s">
        <v>237</v>
      </c>
      <c r="R1449" s="2" t="s">
        <v>231</v>
      </c>
      <c r="S1449" s="2" t="s">
        <v>6816</v>
      </c>
      <c r="T1449" s="2" t="s">
        <v>1630</v>
      </c>
      <c r="U1449" s="2" t="s">
        <v>231</v>
      </c>
      <c r="V1449" s="2" t="s">
        <v>987</v>
      </c>
      <c r="W1449" s="2" t="s">
        <v>273</v>
      </c>
      <c r="X1449" s="2" t="s">
        <v>792</v>
      </c>
      <c r="Y1449" s="2" t="s">
        <v>6817</v>
      </c>
      <c r="Z1449" s="4">
        <v>609</v>
      </c>
      <c r="AA1449" s="4">
        <f>=ROUNDDOWN(27.6818181818182,0)</f>
      </c>
      <c r="AB1449" s="5">
        <v>22</v>
      </c>
      <c r="AC1449" s="2" t="s">
        <v>231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231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231</v>
      </c>
      <c r="BD1449" s="8" t="s">
        <v>231</v>
      </c>
      <c r="BE1449" s="4" t="s">
        <v>231</v>
      </c>
      <c r="BF1449" s="8" t="s">
        <v>231</v>
      </c>
      <c r="BG1449" s="7" t="s">
        <v>231</v>
      </c>
      <c r="BH1449" s="7" t="s">
        <v>231</v>
      </c>
      <c r="BI1449" s="7"/>
      <c r="BJ1449" s="4">
        <v>27</v>
      </c>
      <c r="BK1449" s="8">
        <v>1056.09</v>
      </c>
      <c r="BL1449" s="2" t="s">
        <v>6195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6818</v>
      </c>
      <c r="BV1449" s="2" t="s">
        <v>231</v>
      </c>
      <c r="BW1449" s="2" t="s">
        <v>231</v>
      </c>
      <c r="BX1449" s="2" t="s">
        <v>1360</v>
      </c>
      <c r="BY1449" s="2" t="s">
        <v>277</v>
      </c>
      <c r="BZ1449" s="2" t="s">
        <v>243</v>
      </c>
      <c r="CA1449" s="2" t="s">
        <v>2491</v>
      </c>
      <c r="CB1449" s="2" t="s">
        <v>336</v>
      </c>
      <c r="CC1449" s="2" t="s">
        <v>244</v>
      </c>
      <c r="CD1449" s="2" t="s">
        <v>231</v>
      </c>
      <c r="CE1449" s="4">
        <v>609</v>
      </c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</row>
    <row r="1450">
      <c r="A1450" s="2" t="s">
        <v>6819</v>
      </c>
      <c r="B1450" s="2" t="s">
        <v>226</v>
      </c>
      <c r="C1450" s="2" t="s">
        <v>631</v>
      </c>
      <c r="D1450" s="2" t="s">
        <v>1549</v>
      </c>
      <c r="E1450" s="2" t="s">
        <v>1550</v>
      </c>
      <c r="F1450" s="2" t="s">
        <v>6801</v>
      </c>
      <c r="G1450" s="2" t="s">
        <v>6801</v>
      </c>
      <c r="H1450" s="2" t="s">
        <v>6801</v>
      </c>
      <c r="I1450" s="2" t="s">
        <v>2589</v>
      </c>
      <c r="J1450" s="2" t="s">
        <v>2845</v>
      </c>
      <c r="K1450" s="2" t="s">
        <v>1146</v>
      </c>
      <c r="L1450" s="3">
        <v>38.4</v>
      </c>
      <c r="M1450" s="3">
        <v>40.32</v>
      </c>
      <c r="N1450" s="3">
        <v>79.99</v>
      </c>
      <c r="O1450" s="2" t="s">
        <v>243</v>
      </c>
      <c r="P1450" s="2" t="s">
        <v>341</v>
      </c>
      <c r="Q1450" s="2" t="s">
        <v>237</v>
      </c>
      <c r="R1450" s="2" t="s">
        <v>231</v>
      </c>
      <c r="S1450" s="2" t="s">
        <v>6820</v>
      </c>
      <c r="T1450" s="2" t="s">
        <v>1630</v>
      </c>
      <c r="U1450" s="2" t="s">
        <v>231</v>
      </c>
      <c r="V1450" s="2" t="s">
        <v>987</v>
      </c>
      <c r="W1450" s="2" t="s">
        <v>273</v>
      </c>
      <c r="X1450" s="2" t="s">
        <v>792</v>
      </c>
      <c r="Y1450" s="2" t="s">
        <v>274</v>
      </c>
      <c r="Z1450" s="4">
        <v>1424</v>
      </c>
      <c r="AA1450" s="4">
        <f>=ROUNDDOWN(109.538461538462,0)</f>
      </c>
      <c r="AB1450" s="5">
        <v>13</v>
      </c>
      <c r="AC1450" s="2" t="s">
        <v>231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231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231</v>
      </c>
      <c r="BD1450" s="8" t="s">
        <v>231</v>
      </c>
      <c r="BE1450" s="4" t="s">
        <v>231</v>
      </c>
      <c r="BF1450" s="8" t="s">
        <v>231</v>
      </c>
      <c r="BG1450" s="7" t="s">
        <v>231</v>
      </c>
      <c r="BH1450" s="7" t="s">
        <v>231</v>
      </c>
      <c r="BI1450" s="7"/>
      <c r="BJ1450" s="4">
        <v>9</v>
      </c>
      <c r="BK1450" s="8">
        <v>356.07</v>
      </c>
      <c r="BL1450" s="2" t="s">
        <v>6821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6822</v>
      </c>
      <c r="BV1450" s="2" t="s">
        <v>231</v>
      </c>
      <c r="BW1450" s="2" t="s">
        <v>231</v>
      </c>
      <c r="BX1450" s="2" t="s">
        <v>1360</v>
      </c>
      <c r="BY1450" s="2" t="s">
        <v>277</v>
      </c>
      <c r="BZ1450" s="2" t="s">
        <v>243</v>
      </c>
      <c r="CA1450" s="2" t="s">
        <v>1633</v>
      </c>
      <c r="CB1450" s="2" t="s">
        <v>6805</v>
      </c>
      <c r="CC1450" s="2" t="s">
        <v>244</v>
      </c>
      <c r="CD1450" s="2" t="s">
        <v>231</v>
      </c>
      <c r="CE1450" s="4">
        <v>1424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</row>
    <row r="1451">
      <c r="A1451" s="2" t="s">
        <v>6823</v>
      </c>
      <c r="B1451" s="2" t="s">
        <v>226</v>
      </c>
      <c r="C1451" s="2" t="s">
        <v>631</v>
      </c>
      <c r="D1451" s="2" t="s">
        <v>1549</v>
      </c>
      <c r="E1451" s="2" t="s">
        <v>3949</v>
      </c>
      <c r="F1451" s="2" t="s">
        <v>6824</v>
      </c>
      <c r="G1451" s="2" t="s">
        <v>6824</v>
      </c>
      <c r="H1451" s="2" t="s">
        <v>6824</v>
      </c>
      <c r="I1451" s="2" t="s">
        <v>229</v>
      </c>
      <c r="J1451" s="2" t="s">
        <v>281</v>
      </c>
      <c r="K1451" s="2" t="s">
        <v>985</v>
      </c>
      <c r="L1451" s="3">
        <v>52.8</v>
      </c>
      <c r="M1451" s="3">
        <v>55.44</v>
      </c>
      <c r="N1451" s="3">
        <v>109.99</v>
      </c>
      <c r="O1451" s="2" t="s">
        <v>243</v>
      </c>
      <c r="P1451" s="2" t="s">
        <v>871</v>
      </c>
      <c r="Q1451" s="2" t="s">
        <v>237</v>
      </c>
      <c r="R1451" s="2" t="s">
        <v>231</v>
      </c>
      <c r="S1451" s="2" t="s">
        <v>6825</v>
      </c>
      <c r="T1451" s="2" t="s">
        <v>1630</v>
      </c>
      <c r="U1451" s="2" t="s">
        <v>327</v>
      </c>
      <c r="V1451" s="2" t="s">
        <v>239</v>
      </c>
      <c r="W1451" s="2" t="s">
        <v>273</v>
      </c>
      <c r="X1451" s="2" t="s">
        <v>231</v>
      </c>
      <c r="Y1451" s="2" t="s">
        <v>1342</v>
      </c>
      <c r="Z1451" s="4"/>
      <c r="AA1451" s="4">
        <f>=ROUNDDOWN({0},0)</f>
      </c>
      <c r="AB1451" s="5">
        <v>23</v>
      </c>
      <c r="AC1451" s="2" t="s">
        <v>3723</v>
      </c>
      <c r="AD1451" s="4">
        <v>150</v>
      </c>
      <c r="AE1451" s="4">
        <v>570</v>
      </c>
      <c r="AF1451" s="6">
        <v>65</v>
      </c>
      <c r="AG1451" s="6"/>
      <c r="AH1451" s="7">
        <v>0</v>
      </c>
      <c r="AI1451" s="4"/>
      <c r="AJ1451" s="4">
        <f>=ROUNDDOWN({0},0)</f>
      </c>
      <c r="AK1451" s="5"/>
      <c r="AL1451" s="2" t="s">
        <v>231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231</v>
      </c>
      <c r="BD1451" s="8" t="s">
        <v>231</v>
      </c>
      <c r="BE1451" s="4" t="s">
        <v>231</v>
      </c>
      <c r="BF1451" s="8" t="s">
        <v>231</v>
      </c>
      <c r="BG1451" s="7" t="s">
        <v>231</v>
      </c>
      <c r="BH1451" s="7" t="s">
        <v>231</v>
      </c>
      <c r="BI1451" s="7"/>
      <c r="BJ1451" s="4"/>
      <c r="BK1451" s="8"/>
      <c r="BL1451" s="2" t="s">
        <v>6826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6827</v>
      </c>
      <c r="BV1451" s="2" t="s">
        <v>231</v>
      </c>
      <c r="BW1451" s="2" t="s">
        <v>231</v>
      </c>
      <c r="BX1451" s="2" t="s">
        <v>231</v>
      </c>
      <c r="BY1451" s="2" t="s">
        <v>277</v>
      </c>
      <c r="BZ1451" s="2" t="s">
        <v>243</v>
      </c>
      <c r="CA1451" s="2" t="s">
        <v>6828</v>
      </c>
      <c r="CB1451" s="2" t="s">
        <v>6829</v>
      </c>
      <c r="CC1451" s="2" t="s">
        <v>244</v>
      </c>
      <c r="CD1451" s="2" t="s">
        <v>231</v>
      </c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>
        <v>150</v>
      </c>
      <c r="EK1451" s="4"/>
      <c r="EL1451" s="4"/>
      <c r="EM1451" s="4"/>
      <c r="EN1451" s="4"/>
      <c r="EO1451" s="4"/>
      <c r="EP1451" s="4"/>
      <c r="EQ1451" s="4">
        <v>100</v>
      </c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>
        <v>120</v>
      </c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>
        <v>200</v>
      </c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</row>
    <row r="1452">
      <c r="A1452" s="2" t="s">
        <v>6830</v>
      </c>
      <c r="B1452" s="2" t="s">
        <v>226</v>
      </c>
      <c r="C1452" s="2" t="s">
        <v>631</v>
      </c>
      <c r="D1452" s="2" t="s">
        <v>1549</v>
      </c>
      <c r="E1452" s="2" t="s">
        <v>3949</v>
      </c>
      <c r="F1452" s="2" t="s">
        <v>6824</v>
      </c>
      <c r="G1452" s="2" t="s">
        <v>6824</v>
      </c>
      <c r="H1452" s="2" t="s">
        <v>6824</v>
      </c>
      <c r="I1452" s="2" t="s">
        <v>229</v>
      </c>
      <c r="J1452" s="2" t="s">
        <v>281</v>
      </c>
      <c r="K1452" s="2" t="s">
        <v>294</v>
      </c>
      <c r="L1452" s="3">
        <v>52.8</v>
      </c>
      <c r="M1452" s="3">
        <v>55.44</v>
      </c>
      <c r="N1452" s="3">
        <v>109.99</v>
      </c>
      <c r="O1452" s="2" t="s">
        <v>243</v>
      </c>
      <c r="P1452" s="2" t="s">
        <v>1281</v>
      </c>
      <c r="Q1452" s="2" t="s">
        <v>237</v>
      </c>
      <c r="R1452" s="2" t="s">
        <v>231</v>
      </c>
      <c r="S1452" s="2" t="s">
        <v>6831</v>
      </c>
      <c r="T1452" s="2" t="s">
        <v>1630</v>
      </c>
      <c r="U1452" s="2" t="s">
        <v>327</v>
      </c>
      <c r="V1452" s="2" t="s">
        <v>239</v>
      </c>
      <c r="W1452" s="2" t="s">
        <v>273</v>
      </c>
      <c r="X1452" s="2" t="s">
        <v>231</v>
      </c>
      <c r="Y1452" s="2" t="s">
        <v>1342</v>
      </c>
      <c r="Z1452" s="4"/>
      <c r="AA1452" s="4">
        <f>=ROUNDDOWN({0},0)</f>
      </c>
      <c r="AB1452" s="5">
        <v>18</v>
      </c>
      <c r="AC1452" s="2" t="s">
        <v>3723</v>
      </c>
      <c r="AD1452" s="4">
        <v>150</v>
      </c>
      <c r="AE1452" s="4">
        <v>450</v>
      </c>
      <c r="AF1452" s="6">
        <v>65</v>
      </c>
      <c r="AG1452" s="6"/>
      <c r="AH1452" s="7">
        <v>0</v>
      </c>
      <c r="AI1452" s="4"/>
      <c r="AJ1452" s="4">
        <f>=ROUNDDOWN({0},0)</f>
      </c>
      <c r="AK1452" s="5"/>
      <c r="AL1452" s="2" t="s">
        <v>231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231</v>
      </c>
      <c r="AW1452" s="8" t="s">
        <v>231</v>
      </c>
      <c r="AX1452" s="4" t="s">
        <v>231</v>
      </c>
      <c r="AY1452" s="8" t="s">
        <v>231</v>
      </c>
      <c r="AZ1452" s="7" t="s">
        <v>231</v>
      </c>
      <c r="BA1452" s="7" t="s">
        <v>231</v>
      </c>
      <c r="BB1452" s="7"/>
      <c r="BC1452" s="4" t="s">
        <v>231</v>
      </c>
      <c r="BD1452" s="8" t="s">
        <v>231</v>
      </c>
      <c r="BE1452" s="4" t="s">
        <v>231</v>
      </c>
      <c r="BF1452" s="8" t="s">
        <v>231</v>
      </c>
      <c r="BG1452" s="7" t="s">
        <v>231</v>
      </c>
      <c r="BH1452" s="7" t="s">
        <v>231</v>
      </c>
      <c r="BI1452" s="7"/>
      <c r="BJ1452" s="4"/>
      <c r="BK1452" s="8"/>
      <c r="BL1452" s="2" t="s">
        <v>231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6832</v>
      </c>
      <c r="BV1452" s="2" t="s">
        <v>231</v>
      </c>
      <c r="BW1452" s="2" t="s">
        <v>231</v>
      </c>
      <c r="BX1452" s="2" t="s">
        <v>231</v>
      </c>
      <c r="BY1452" s="2" t="s">
        <v>277</v>
      </c>
      <c r="BZ1452" s="2" t="s">
        <v>243</v>
      </c>
      <c r="CA1452" s="2" t="s">
        <v>6828</v>
      </c>
      <c r="CB1452" s="2" t="s">
        <v>6833</v>
      </c>
      <c r="CC1452" s="2" t="s">
        <v>244</v>
      </c>
      <c r="CD1452" s="2" t="s">
        <v>231</v>
      </c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>
        <v>150</v>
      </c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>
        <v>150</v>
      </c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>
        <v>150</v>
      </c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</row>
    <row r="1453">
      <c r="A1453" s="2" t="s">
        <v>6834</v>
      </c>
      <c r="B1453" s="2" t="s">
        <v>226</v>
      </c>
      <c r="C1453" s="2" t="s">
        <v>631</v>
      </c>
      <c r="D1453" s="2" t="s">
        <v>1549</v>
      </c>
      <c r="E1453" s="2" t="s">
        <v>3949</v>
      </c>
      <c r="F1453" s="2" t="s">
        <v>6824</v>
      </c>
      <c r="G1453" s="2" t="s">
        <v>6824</v>
      </c>
      <c r="H1453" s="2" t="s">
        <v>6824</v>
      </c>
      <c r="I1453" s="2" t="s">
        <v>229</v>
      </c>
      <c r="J1453" s="2" t="s">
        <v>293</v>
      </c>
      <c r="K1453" s="2" t="s">
        <v>294</v>
      </c>
      <c r="L1453" s="3">
        <v>73.5</v>
      </c>
      <c r="M1453" s="3">
        <v>77.18</v>
      </c>
      <c r="N1453" s="3">
        <v>149.99</v>
      </c>
      <c r="O1453" s="2" t="s">
        <v>243</v>
      </c>
      <c r="P1453" s="2" t="s">
        <v>1281</v>
      </c>
      <c r="Q1453" s="2" t="s">
        <v>237</v>
      </c>
      <c r="R1453" s="2" t="s">
        <v>231</v>
      </c>
      <c r="S1453" s="2" t="s">
        <v>6831</v>
      </c>
      <c r="T1453" s="2" t="s">
        <v>1630</v>
      </c>
      <c r="U1453" s="2" t="s">
        <v>327</v>
      </c>
      <c r="V1453" s="2" t="s">
        <v>239</v>
      </c>
      <c r="W1453" s="2" t="s">
        <v>273</v>
      </c>
      <c r="X1453" s="2" t="s">
        <v>231</v>
      </c>
      <c r="Y1453" s="2" t="s">
        <v>1342</v>
      </c>
      <c r="Z1453" s="4">
        <v>224</v>
      </c>
      <c r="AA1453" s="4">
        <f>=ROUNDDOWN(10.6666666666667,0)</f>
      </c>
      <c r="AB1453" s="5">
        <v>21</v>
      </c>
      <c r="AC1453" s="2" t="s">
        <v>2049</v>
      </c>
      <c r="AD1453" s="4">
        <v>150</v>
      </c>
      <c r="AE1453" s="4">
        <v>300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231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231</v>
      </c>
      <c r="AW1453" s="8" t="s">
        <v>231</v>
      </c>
      <c r="AX1453" s="4" t="s">
        <v>231</v>
      </c>
      <c r="AY1453" s="8" t="s">
        <v>231</v>
      </c>
      <c r="AZ1453" s="7" t="s">
        <v>231</v>
      </c>
      <c r="BA1453" s="7" t="s">
        <v>231</v>
      </c>
      <c r="BB1453" s="7"/>
      <c r="BC1453" s="4" t="s">
        <v>231</v>
      </c>
      <c r="BD1453" s="8" t="s">
        <v>231</v>
      </c>
      <c r="BE1453" s="4" t="s">
        <v>231</v>
      </c>
      <c r="BF1453" s="8" t="s">
        <v>231</v>
      </c>
      <c r="BG1453" s="7" t="s">
        <v>231</v>
      </c>
      <c r="BH1453" s="7" t="s">
        <v>231</v>
      </c>
      <c r="BI1453" s="7"/>
      <c r="BJ1453" s="4">
        <v>14</v>
      </c>
      <c r="BK1453" s="8">
        <v>1158.76</v>
      </c>
      <c r="BL1453" s="2" t="s">
        <v>6835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6836</v>
      </c>
      <c r="BV1453" s="2" t="s">
        <v>231</v>
      </c>
      <c r="BW1453" s="2" t="s">
        <v>231</v>
      </c>
      <c r="BX1453" s="2" t="s">
        <v>231</v>
      </c>
      <c r="BY1453" s="2" t="s">
        <v>277</v>
      </c>
      <c r="BZ1453" s="2" t="s">
        <v>243</v>
      </c>
      <c r="CA1453" s="2" t="s">
        <v>6828</v>
      </c>
      <c r="CB1453" s="2" t="s">
        <v>5667</v>
      </c>
      <c r="CC1453" s="2" t="s">
        <v>244</v>
      </c>
      <c r="CD1453" s="2" t="s">
        <v>231</v>
      </c>
      <c r="CE1453" s="4">
        <v>224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>
        <v>150</v>
      </c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>
        <v>150</v>
      </c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</row>
    <row r="1454">
      <c r="A1454" s="2" t="s">
        <v>6837</v>
      </c>
      <c r="B1454" s="2" t="s">
        <v>226</v>
      </c>
      <c r="C1454" s="2" t="s">
        <v>631</v>
      </c>
      <c r="D1454" s="2" t="s">
        <v>1549</v>
      </c>
      <c r="E1454" s="2" t="s">
        <v>3949</v>
      </c>
      <c r="F1454" s="2" t="s">
        <v>6824</v>
      </c>
      <c r="G1454" s="2" t="s">
        <v>6824</v>
      </c>
      <c r="H1454" s="2" t="s">
        <v>6824</v>
      </c>
      <c r="I1454" s="2" t="s">
        <v>229</v>
      </c>
      <c r="J1454" s="2" t="s">
        <v>318</v>
      </c>
      <c r="K1454" s="2" t="s">
        <v>253</v>
      </c>
      <c r="L1454" s="3">
        <v>47</v>
      </c>
      <c r="M1454" s="3">
        <v>49.35</v>
      </c>
      <c r="N1454" s="3">
        <v>99.99</v>
      </c>
      <c r="O1454" s="2" t="s">
        <v>243</v>
      </c>
      <c r="P1454" s="2" t="s">
        <v>4057</v>
      </c>
      <c r="Q1454" s="2" t="s">
        <v>237</v>
      </c>
      <c r="R1454" s="2" t="s">
        <v>231</v>
      </c>
      <c r="S1454" s="2" t="s">
        <v>6838</v>
      </c>
      <c r="T1454" s="2" t="s">
        <v>1630</v>
      </c>
      <c r="U1454" s="2" t="s">
        <v>231</v>
      </c>
      <c r="V1454" s="2" t="s">
        <v>239</v>
      </c>
      <c r="W1454" s="2" t="s">
        <v>273</v>
      </c>
      <c r="X1454" s="2" t="s">
        <v>231</v>
      </c>
      <c r="Y1454" s="2" t="s">
        <v>274</v>
      </c>
      <c r="Z1454" s="4"/>
      <c r="AA1454" s="4">
        <f>=ROUNDDOWN({0},0)</f>
      </c>
      <c r="AB1454" s="5">
        <v>30</v>
      </c>
      <c r="AC1454" s="2" t="s">
        <v>3723</v>
      </c>
      <c r="AD1454" s="4">
        <v>180</v>
      </c>
      <c r="AE1454" s="4">
        <v>660</v>
      </c>
      <c r="AF1454" s="6">
        <v>65</v>
      </c>
      <c r="AG1454" s="6"/>
      <c r="AH1454" s="7">
        <v>0</v>
      </c>
      <c r="AI1454" s="4"/>
      <c r="AJ1454" s="4">
        <f>=ROUNDDOWN({0},0)</f>
      </c>
      <c r="AK1454" s="5"/>
      <c r="AL1454" s="2" t="s">
        <v>231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231</v>
      </c>
      <c r="AW1454" s="8" t="s">
        <v>231</v>
      </c>
      <c r="AX1454" s="4" t="s">
        <v>231</v>
      </c>
      <c r="AY1454" s="8" t="s">
        <v>231</v>
      </c>
      <c r="AZ1454" s="7" t="s">
        <v>231</v>
      </c>
      <c r="BA1454" s="7" t="s">
        <v>231</v>
      </c>
      <c r="BB1454" s="7"/>
      <c r="BC1454" s="4" t="s">
        <v>231</v>
      </c>
      <c r="BD1454" s="8" t="s">
        <v>231</v>
      </c>
      <c r="BE1454" s="4" t="s">
        <v>231</v>
      </c>
      <c r="BF1454" s="8" t="s">
        <v>231</v>
      </c>
      <c r="BG1454" s="7" t="s">
        <v>231</v>
      </c>
      <c r="BH1454" s="7" t="s">
        <v>231</v>
      </c>
      <c r="BI1454" s="7"/>
      <c r="BJ1454" s="4"/>
      <c r="BK1454" s="8"/>
      <c r="BL1454" s="2" t="s">
        <v>231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6839</v>
      </c>
      <c r="BV1454" s="2" t="s">
        <v>231</v>
      </c>
      <c r="BW1454" s="2" t="s">
        <v>231</v>
      </c>
      <c r="BX1454" s="2" t="s">
        <v>231</v>
      </c>
      <c r="BY1454" s="2" t="s">
        <v>277</v>
      </c>
      <c r="BZ1454" s="2" t="s">
        <v>243</v>
      </c>
      <c r="CA1454" s="2" t="s">
        <v>1633</v>
      </c>
      <c r="CB1454" s="2" t="s">
        <v>6840</v>
      </c>
      <c r="CC1454" s="2" t="s">
        <v>244</v>
      </c>
      <c r="CD1454" s="2" t="s">
        <v>231</v>
      </c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>
        <v>180</v>
      </c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>
        <v>270</v>
      </c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>
        <v>210</v>
      </c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</row>
    <row r="1455">
      <c r="A1455" s="2" t="s">
        <v>6841</v>
      </c>
      <c r="B1455" s="2" t="s">
        <v>226</v>
      </c>
      <c r="C1455" s="2" t="s">
        <v>631</v>
      </c>
      <c r="D1455" s="2" t="s">
        <v>1549</v>
      </c>
      <c r="E1455" s="2" t="s">
        <v>3949</v>
      </c>
      <c r="F1455" s="2" t="s">
        <v>6824</v>
      </c>
      <c r="G1455" s="2" t="s">
        <v>6824</v>
      </c>
      <c r="H1455" s="2" t="s">
        <v>6824</v>
      </c>
      <c r="I1455" s="2" t="s">
        <v>229</v>
      </c>
      <c r="J1455" s="2" t="s">
        <v>281</v>
      </c>
      <c r="K1455" s="2" t="s">
        <v>253</v>
      </c>
      <c r="L1455" s="3">
        <v>52.8</v>
      </c>
      <c r="M1455" s="3">
        <v>55.44</v>
      </c>
      <c r="N1455" s="3">
        <v>109.99</v>
      </c>
      <c r="O1455" s="2" t="s">
        <v>243</v>
      </c>
      <c r="P1455" s="2" t="s">
        <v>4057</v>
      </c>
      <c r="Q1455" s="2" t="s">
        <v>237</v>
      </c>
      <c r="R1455" s="2" t="s">
        <v>231</v>
      </c>
      <c r="S1455" s="2" t="s">
        <v>6838</v>
      </c>
      <c r="T1455" s="2" t="s">
        <v>1630</v>
      </c>
      <c r="U1455" s="2" t="s">
        <v>231</v>
      </c>
      <c r="V1455" s="2" t="s">
        <v>239</v>
      </c>
      <c r="W1455" s="2" t="s">
        <v>273</v>
      </c>
      <c r="X1455" s="2" t="s">
        <v>231</v>
      </c>
      <c r="Y1455" s="2" t="s">
        <v>2848</v>
      </c>
      <c r="Z1455" s="4"/>
      <c r="AA1455" s="4">
        <f>=ROUNDDOWN({0},0)</f>
      </c>
      <c r="AB1455" s="5">
        <v>43</v>
      </c>
      <c r="AC1455" s="2" t="s">
        <v>3723</v>
      </c>
      <c r="AD1455" s="4">
        <v>240</v>
      </c>
      <c r="AE1455" s="4">
        <v>880</v>
      </c>
      <c r="AF1455" s="6">
        <v>65</v>
      </c>
      <c r="AG1455" s="6"/>
      <c r="AH1455" s="7">
        <v>0</v>
      </c>
      <c r="AI1455" s="4"/>
      <c r="AJ1455" s="4">
        <f>=ROUNDDOWN({0},0)</f>
      </c>
      <c r="AK1455" s="5"/>
      <c r="AL1455" s="2" t="s">
        <v>231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231</v>
      </c>
      <c r="AW1455" s="8" t="s">
        <v>231</v>
      </c>
      <c r="AX1455" s="4" t="s">
        <v>231</v>
      </c>
      <c r="AY1455" s="8" t="s">
        <v>231</v>
      </c>
      <c r="AZ1455" s="7" t="s">
        <v>231</v>
      </c>
      <c r="BA1455" s="7" t="s">
        <v>231</v>
      </c>
      <c r="BB1455" s="7"/>
      <c r="BC1455" s="4" t="s">
        <v>231</v>
      </c>
      <c r="BD1455" s="8" t="s">
        <v>231</v>
      </c>
      <c r="BE1455" s="4" t="s">
        <v>231</v>
      </c>
      <c r="BF1455" s="8" t="s">
        <v>231</v>
      </c>
      <c r="BG1455" s="7" t="s">
        <v>231</v>
      </c>
      <c r="BH1455" s="7" t="s">
        <v>231</v>
      </c>
      <c r="BI1455" s="7"/>
      <c r="BJ1455" s="4"/>
      <c r="BK1455" s="8"/>
      <c r="BL1455" s="2" t="s">
        <v>231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6842</v>
      </c>
      <c r="BV1455" s="2" t="s">
        <v>231</v>
      </c>
      <c r="BW1455" s="2" t="s">
        <v>231</v>
      </c>
      <c r="BX1455" s="2" t="s">
        <v>231</v>
      </c>
      <c r="BY1455" s="2" t="s">
        <v>277</v>
      </c>
      <c r="BZ1455" s="2" t="s">
        <v>243</v>
      </c>
      <c r="CA1455" s="2" t="s">
        <v>1633</v>
      </c>
      <c r="CB1455" s="2" t="s">
        <v>6843</v>
      </c>
      <c r="CC1455" s="2" t="s">
        <v>244</v>
      </c>
      <c r="CD1455" s="2" t="s">
        <v>231</v>
      </c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>
        <v>240</v>
      </c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>
        <v>350</v>
      </c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>
        <v>290</v>
      </c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</row>
    <row r="1456">
      <c r="A1456" s="2" t="s">
        <v>6844</v>
      </c>
      <c r="B1456" s="2" t="s">
        <v>226</v>
      </c>
      <c r="C1456" s="2" t="s">
        <v>631</v>
      </c>
      <c r="D1456" s="2" t="s">
        <v>1549</v>
      </c>
      <c r="E1456" s="2" t="s">
        <v>3949</v>
      </c>
      <c r="F1456" s="2" t="s">
        <v>6824</v>
      </c>
      <c r="G1456" s="2" t="s">
        <v>6824</v>
      </c>
      <c r="H1456" s="2" t="s">
        <v>6824</v>
      </c>
      <c r="I1456" s="2" t="s">
        <v>229</v>
      </c>
      <c r="J1456" s="2" t="s">
        <v>318</v>
      </c>
      <c r="K1456" s="2" t="s">
        <v>306</v>
      </c>
      <c r="L1456" s="3">
        <v>47</v>
      </c>
      <c r="M1456" s="3">
        <v>49.35</v>
      </c>
      <c r="N1456" s="3">
        <v>99.99</v>
      </c>
      <c r="O1456" s="2" t="s">
        <v>243</v>
      </c>
      <c r="P1456" s="2" t="s">
        <v>4057</v>
      </c>
      <c r="Q1456" s="2" t="s">
        <v>237</v>
      </c>
      <c r="R1456" s="2" t="s">
        <v>231</v>
      </c>
      <c r="S1456" s="2" t="s">
        <v>6845</v>
      </c>
      <c r="T1456" s="2" t="s">
        <v>1630</v>
      </c>
      <c r="U1456" s="2" t="s">
        <v>231</v>
      </c>
      <c r="V1456" s="2" t="s">
        <v>239</v>
      </c>
      <c r="W1456" s="2" t="s">
        <v>273</v>
      </c>
      <c r="X1456" s="2" t="s">
        <v>231</v>
      </c>
      <c r="Y1456" s="2" t="s">
        <v>274</v>
      </c>
      <c r="Z1456" s="4"/>
      <c r="AA1456" s="4">
        <f>=ROUNDDOWN({0},0)</f>
      </c>
      <c r="AB1456" s="5">
        <v>26</v>
      </c>
      <c r="AC1456" s="2" t="s">
        <v>3723</v>
      </c>
      <c r="AD1456" s="4">
        <v>160</v>
      </c>
      <c r="AE1456" s="4">
        <v>570</v>
      </c>
      <c r="AF1456" s="6">
        <v>65</v>
      </c>
      <c r="AG1456" s="6"/>
      <c r="AH1456" s="7">
        <v>0</v>
      </c>
      <c r="AI1456" s="4"/>
      <c r="AJ1456" s="4">
        <f>=ROUNDDOWN({0},0)</f>
      </c>
      <c r="AK1456" s="5"/>
      <c r="AL1456" s="2" t="s">
        <v>231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231</v>
      </c>
      <c r="AW1456" s="8" t="s">
        <v>231</v>
      </c>
      <c r="AX1456" s="4" t="s">
        <v>231</v>
      </c>
      <c r="AY1456" s="8" t="s">
        <v>231</v>
      </c>
      <c r="AZ1456" s="7" t="s">
        <v>231</v>
      </c>
      <c r="BA1456" s="7" t="s">
        <v>231</v>
      </c>
      <c r="BB1456" s="7"/>
      <c r="BC1456" s="4" t="s">
        <v>231</v>
      </c>
      <c r="BD1456" s="8" t="s">
        <v>231</v>
      </c>
      <c r="BE1456" s="4" t="s">
        <v>231</v>
      </c>
      <c r="BF1456" s="8" t="s">
        <v>231</v>
      </c>
      <c r="BG1456" s="7" t="s">
        <v>231</v>
      </c>
      <c r="BH1456" s="7" t="s">
        <v>231</v>
      </c>
      <c r="BI1456" s="7"/>
      <c r="BJ1456" s="4"/>
      <c r="BK1456" s="8"/>
      <c r="BL1456" s="2" t="s">
        <v>231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6846</v>
      </c>
      <c r="BV1456" s="2" t="s">
        <v>231</v>
      </c>
      <c r="BW1456" s="2" t="s">
        <v>231</v>
      </c>
      <c r="BX1456" s="2" t="s">
        <v>231</v>
      </c>
      <c r="BY1456" s="2" t="s">
        <v>277</v>
      </c>
      <c r="BZ1456" s="2" t="s">
        <v>243</v>
      </c>
      <c r="CA1456" s="2" t="s">
        <v>1633</v>
      </c>
      <c r="CB1456" s="2" t="s">
        <v>484</v>
      </c>
      <c r="CC1456" s="2" t="s">
        <v>244</v>
      </c>
      <c r="CD1456" s="2" t="s">
        <v>231</v>
      </c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>
        <v>160</v>
      </c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>
        <v>230</v>
      </c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>
        <v>180</v>
      </c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</row>
    <row r="1457">
      <c r="A1457" s="2" t="s">
        <v>6847</v>
      </c>
      <c r="B1457" s="2" t="s">
        <v>226</v>
      </c>
      <c r="C1457" s="2" t="s">
        <v>631</v>
      </c>
      <c r="D1457" s="2" t="s">
        <v>1549</v>
      </c>
      <c r="E1457" s="2" t="s">
        <v>3949</v>
      </c>
      <c r="F1457" s="2" t="s">
        <v>6824</v>
      </c>
      <c r="G1457" s="2" t="s">
        <v>6824</v>
      </c>
      <c r="H1457" s="2" t="s">
        <v>6824</v>
      </c>
      <c r="I1457" s="2" t="s">
        <v>229</v>
      </c>
      <c r="J1457" s="2" t="s">
        <v>281</v>
      </c>
      <c r="K1457" s="2" t="s">
        <v>306</v>
      </c>
      <c r="L1457" s="3">
        <v>52.8</v>
      </c>
      <c r="M1457" s="3">
        <v>55.44</v>
      </c>
      <c r="N1457" s="3">
        <v>109.99</v>
      </c>
      <c r="O1457" s="2" t="s">
        <v>243</v>
      </c>
      <c r="P1457" s="2" t="s">
        <v>4057</v>
      </c>
      <c r="Q1457" s="2" t="s">
        <v>237</v>
      </c>
      <c r="R1457" s="2" t="s">
        <v>231</v>
      </c>
      <c r="S1457" s="2" t="s">
        <v>6845</v>
      </c>
      <c r="T1457" s="2" t="s">
        <v>1630</v>
      </c>
      <c r="U1457" s="2" t="s">
        <v>231</v>
      </c>
      <c r="V1457" s="2" t="s">
        <v>239</v>
      </c>
      <c r="W1457" s="2" t="s">
        <v>273</v>
      </c>
      <c r="X1457" s="2" t="s">
        <v>231</v>
      </c>
      <c r="Y1457" s="2" t="s">
        <v>274</v>
      </c>
      <c r="Z1457" s="4">
        <v>1</v>
      </c>
      <c r="AA1457" s="4">
        <f>=ROUNDDOWN(0.0294117647058824,0)</f>
      </c>
      <c r="AB1457" s="5">
        <v>34</v>
      </c>
      <c r="AC1457" s="2" t="s">
        <v>3723</v>
      </c>
      <c r="AD1457" s="4">
        <v>240</v>
      </c>
      <c r="AE1457" s="4">
        <v>880</v>
      </c>
      <c r="AF1457" s="6">
        <v>65</v>
      </c>
      <c r="AG1457" s="6"/>
      <c r="AH1457" s="7">
        <v>0</v>
      </c>
      <c r="AI1457" s="4"/>
      <c r="AJ1457" s="4">
        <f>=ROUNDDOWN({0},0)</f>
      </c>
      <c r="AK1457" s="5"/>
      <c r="AL1457" s="2" t="s">
        <v>231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231</v>
      </c>
      <c r="AW1457" s="8" t="s">
        <v>231</v>
      </c>
      <c r="AX1457" s="4" t="s">
        <v>231</v>
      </c>
      <c r="AY1457" s="8" t="s">
        <v>231</v>
      </c>
      <c r="AZ1457" s="7" t="s">
        <v>231</v>
      </c>
      <c r="BA1457" s="7" t="s">
        <v>231</v>
      </c>
      <c r="BB1457" s="7"/>
      <c r="BC1457" s="4" t="s">
        <v>231</v>
      </c>
      <c r="BD1457" s="8" t="s">
        <v>231</v>
      </c>
      <c r="BE1457" s="4" t="s">
        <v>231</v>
      </c>
      <c r="BF1457" s="8" t="s">
        <v>231</v>
      </c>
      <c r="BG1457" s="7" t="s">
        <v>231</v>
      </c>
      <c r="BH1457" s="7" t="s">
        <v>231</v>
      </c>
      <c r="BI1457" s="7"/>
      <c r="BJ1457" s="4"/>
      <c r="BK1457" s="8"/>
      <c r="BL1457" s="2" t="s">
        <v>231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6848</v>
      </c>
      <c r="BV1457" s="2" t="s">
        <v>231</v>
      </c>
      <c r="BW1457" s="2" t="s">
        <v>231</v>
      </c>
      <c r="BX1457" s="2" t="s">
        <v>231</v>
      </c>
      <c r="BY1457" s="2" t="s">
        <v>277</v>
      </c>
      <c r="BZ1457" s="2" t="s">
        <v>243</v>
      </c>
      <c r="CA1457" s="2" t="s">
        <v>1633</v>
      </c>
      <c r="CB1457" s="2" t="s">
        <v>6849</v>
      </c>
      <c r="CC1457" s="2" t="s">
        <v>244</v>
      </c>
      <c r="CD1457" s="2" t="s">
        <v>231</v>
      </c>
      <c r="CE1457" s="4"/>
      <c r="CF1457" s="4">
        <v>1</v>
      </c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>
        <v>240</v>
      </c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>
        <v>350</v>
      </c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>
        <v>290</v>
      </c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</row>
    <row r="1458">
      <c r="A1458" s="2" t="s">
        <v>6850</v>
      </c>
      <c r="B1458" s="2" t="s">
        <v>226</v>
      </c>
      <c r="C1458" s="2" t="s">
        <v>631</v>
      </c>
      <c r="D1458" s="2" t="s">
        <v>1549</v>
      </c>
      <c r="E1458" s="2" t="s">
        <v>3949</v>
      </c>
      <c r="F1458" s="2" t="s">
        <v>6824</v>
      </c>
      <c r="G1458" s="2" t="s">
        <v>6824</v>
      </c>
      <c r="H1458" s="2" t="s">
        <v>6824</v>
      </c>
      <c r="I1458" s="2" t="s">
        <v>229</v>
      </c>
      <c r="J1458" s="2" t="s">
        <v>318</v>
      </c>
      <c r="K1458" s="2" t="s">
        <v>1677</v>
      </c>
      <c r="L1458" s="3">
        <v>47</v>
      </c>
      <c r="M1458" s="3">
        <v>49.35</v>
      </c>
      <c r="N1458" s="3">
        <v>99.99</v>
      </c>
      <c r="O1458" s="2" t="s">
        <v>243</v>
      </c>
      <c r="P1458" s="2" t="s">
        <v>1281</v>
      </c>
      <c r="Q1458" s="2" t="s">
        <v>237</v>
      </c>
      <c r="R1458" s="2" t="s">
        <v>231</v>
      </c>
      <c r="S1458" s="2" t="s">
        <v>6851</v>
      </c>
      <c r="T1458" s="2" t="s">
        <v>1630</v>
      </c>
      <c r="U1458" s="2" t="s">
        <v>231</v>
      </c>
      <c r="V1458" s="2" t="s">
        <v>239</v>
      </c>
      <c r="W1458" s="2" t="s">
        <v>273</v>
      </c>
      <c r="X1458" s="2" t="s">
        <v>231</v>
      </c>
      <c r="Y1458" s="2" t="s">
        <v>274</v>
      </c>
      <c r="Z1458" s="4"/>
      <c r="AA1458" s="4">
        <f>=ROUNDDOWN({0},0)</f>
      </c>
      <c r="AB1458" s="5">
        <v>18</v>
      </c>
      <c r="AC1458" s="2" t="s">
        <v>3723</v>
      </c>
      <c r="AD1458" s="4">
        <v>150</v>
      </c>
      <c r="AE1458" s="4">
        <v>450</v>
      </c>
      <c r="AF1458" s="6">
        <v>65</v>
      </c>
      <c r="AG1458" s="6"/>
      <c r="AH1458" s="7">
        <v>0</v>
      </c>
      <c r="AI1458" s="4"/>
      <c r="AJ1458" s="4">
        <f>=ROUNDDOWN({0},0)</f>
      </c>
      <c r="AK1458" s="5"/>
      <c r="AL1458" s="2" t="s">
        <v>231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231</v>
      </c>
      <c r="AW1458" s="8" t="s">
        <v>231</v>
      </c>
      <c r="AX1458" s="4" t="s">
        <v>231</v>
      </c>
      <c r="AY1458" s="8" t="s">
        <v>231</v>
      </c>
      <c r="AZ1458" s="7" t="s">
        <v>231</v>
      </c>
      <c r="BA1458" s="7" t="s">
        <v>231</v>
      </c>
      <c r="BB1458" s="7"/>
      <c r="BC1458" s="4" t="s">
        <v>231</v>
      </c>
      <c r="BD1458" s="8" t="s">
        <v>231</v>
      </c>
      <c r="BE1458" s="4" t="s">
        <v>231</v>
      </c>
      <c r="BF1458" s="8" t="s">
        <v>231</v>
      </c>
      <c r="BG1458" s="7" t="s">
        <v>231</v>
      </c>
      <c r="BH1458" s="7" t="s">
        <v>231</v>
      </c>
      <c r="BI1458" s="7"/>
      <c r="BJ1458" s="4"/>
      <c r="BK1458" s="8"/>
      <c r="BL1458" s="2" t="s">
        <v>231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6852</v>
      </c>
      <c r="BV1458" s="2" t="s">
        <v>231</v>
      </c>
      <c r="BW1458" s="2" t="s">
        <v>231</v>
      </c>
      <c r="BX1458" s="2" t="s">
        <v>231</v>
      </c>
      <c r="BY1458" s="2" t="s">
        <v>277</v>
      </c>
      <c r="BZ1458" s="2" t="s">
        <v>243</v>
      </c>
      <c r="CA1458" s="2" t="s">
        <v>5466</v>
      </c>
      <c r="CB1458" s="2" t="s">
        <v>1667</v>
      </c>
      <c r="CC1458" s="2" t="s">
        <v>244</v>
      </c>
      <c r="CD1458" s="2" t="s">
        <v>231</v>
      </c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>
        <v>150</v>
      </c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>
        <v>150</v>
      </c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>
        <v>150</v>
      </c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</row>
    <row r="1459">
      <c r="A1459" s="2" t="s">
        <v>6853</v>
      </c>
      <c r="B1459" s="2" t="s">
        <v>226</v>
      </c>
      <c r="C1459" s="2" t="s">
        <v>631</v>
      </c>
      <c r="D1459" s="2" t="s">
        <v>1549</v>
      </c>
      <c r="E1459" s="2" t="s">
        <v>3949</v>
      </c>
      <c r="F1459" s="2" t="s">
        <v>6824</v>
      </c>
      <c r="G1459" s="2" t="s">
        <v>6824</v>
      </c>
      <c r="H1459" s="2" t="s">
        <v>6824</v>
      </c>
      <c r="I1459" s="2" t="s">
        <v>229</v>
      </c>
      <c r="J1459" s="2" t="s">
        <v>281</v>
      </c>
      <c r="K1459" s="2" t="s">
        <v>1677</v>
      </c>
      <c r="L1459" s="3">
        <v>52.8</v>
      </c>
      <c r="M1459" s="3">
        <v>55.44</v>
      </c>
      <c r="N1459" s="3">
        <v>109.99</v>
      </c>
      <c r="O1459" s="2" t="s">
        <v>243</v>
      </c>
      <c r="P1459" s="2" t="s">
        <v>1281</v>
      </c>
      <c r="Q1459" s="2" t="s">
        <v>237</v>
      </c>
      <c r="R1459" s="2" t="s">
        <v>231</v>
      </c>
      <c r="S1459" s="2" t="s">
        <v>6851</v>
      </c>
      <c r="T1459" s="2" t="s">
        <v>1630</v>
      </c>
      <c r="U1459" s="2" t="s">
        <v>231</v>
      </c>
      <c r="V1459" s="2" t="s">
        <v>239</v>
      </c>
      <c r="W1459" s="2" t="s">
        <v>273</v>
      </c>
      <c r="X1459" s="2" t="s">
        <v>231</v>
      </c>
      <c r="Y1459" s="2" t="s">
        <v>274</v>
      </c>
      <c r="Z1459" s="4"/>
      <c r="AA1459" s="4">
        <f>=ROUNDDOWN({0},0)</f>
      </c>
      <c r="AB1459" s="5">
        <v>25</v>
      </c>
      <c r="AC1459" s="2" t="s">
        <v>3723</v>
      </c>
      <c r="AD1459" s="4">
        <v>160</v>
      </c>
      <c r="AE1459" s="4">
        <v>600</v>
      </c>
      <c r="AF1459" s="6">
        <v>65</v>
      </c>
      <c r="AG1459" s="6"/>
      <c r="AH1459" s="7">
        <v>0</v>
      </c>
      <c r="AI1459" s="4"/>
      <c r="AJ1459" s="4">
        <f>=ROUNDDOWN({0},0)</f>
      </c>
      <c r="AK1459" s="5"/>
      <c r="AL1459" s="2" t="s">
        <v>231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231</v>
      </c>
      <c r="AW1459" s="8" t="s">
        <v>231</v>
      </c>
      <c r="AX1459" s="4" t="s">
        <v>231</v>
      </c>
      <c r="AY1459" s="8" t="s">
        <v>231</v>
      </c>
      <c r="AZ1459" s="7" t="s">
        <v>231</v>
      </c>
      <c r="BA1459" s="7" t="s">
        <v>231</v>
      </c>
      <c r="BB1459" s="7"/>
      <c r="BC1459" s="4" t="s">
        <v>231</v>
      </c>
      <c r="BD1459" s="8" t="s">
        <v>231</v>
      </c>
      <c r="BE1459" s="4" t="s">
        <v>231</v>
      </c>
      <c r="BF1459" s="8" t="s">
        <v>231</v>
      </c>
      <c r="BG1459" s="7" t="s">
        <v>231</v>
      </c>
      <c r="BH1459" s="7" t="s">
        <v>231</v>
      </c>
      <c r="BI1459" s="7"/>
      <c r="BJ1459" s="4"/>
      <c r="BK1459" s="8"/>
      <c r="BL1459" s="2" t="s">
        <v>6854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6855</v>
      </c>
      <c r="BV1459" s="2" t="s">
        <v>231</v>
      </c>
      <c r="BW1459" s="2" t="s">
        <v>231</v>
      </c>
      <c r="BX1459" s="2" t="s">
        <v>231</v>
      </c>
      <c r="BY1459" s="2" t="s">
        <v>277</v>
      </c>
      <c r="BZ1459" s="2" t="s">
        <v>243</v>
      </c>
      <c r="CA1459" s="2" t="s">
        <v>5466</v>
      </c>
      <c r="CB1459" s="2" t="s">
        <v>6856</v>
      </c>
      <c r="CC1459" s="2" t="s">
        <v>244</v>
      </c>
      <c r="CD1459" s="2" t="s">
        <v>231</v>
      </c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>
        <v>160</v>
      </c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>
        <v>240</v>
      </c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>
        <v>200</v>
      </c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</row>
    <row r="1460">
      <c r="A1460" s="2" t="s">
        <v>6857</v>
      </c>
      <c r="B1460" s="2" t="s">
        <v>226</v>
      </c>
      <c r="C1460" s="2" t="s">
        <v>631</v>
      </c>
      <c r="D1460" s="2" t="s">
        <v>1549</v>
      </c>
      <c r="E1460" s="2" t="s">
        <v>3949</v>
      </c>
      <c r="F1460" s="2" t="s">
        <v>6824</v>
      </c>
      <c r="G1460" s="2" t="s">
        <v>6824</v>
      </c>
      <c r="H1460" s="2" t="s">
        <v>6824</v>
      </c>
      <c r="I1460" s="2" t="s">
        <v>229</v>
      </c>
      <c r="J1460" s="2" t="s">
        <v>318</v>
      </c>
      <c r="K1460" s="2" t="s">
        <v>622</v>
      </c>
      <c r="L1460" s="3">
        <v>47</v>
      </c>
      <c r="M1460" s="3">
        <v>49.35</v>
      </c>
      <c r="N1460" s="3">
        <v>99.99</v>
      </c>
      <c r="O1460" s="2" t="s">
        <v>243</v>
      </c>
      <c r="P1460" s="2" t="s">
        <v>1332</v>
      </c>
      <c r="Q1460" s="2" t="s">
        <v>237</v>
      </c>
      <c r="R1460" s="2" t="s">
        <v>231</v>
      </c>
      <c r="S1460" s="2" t="s">
        <v>6858</v>
      </c>
      <c r="T1460" s="2" t="s">
        <v>1630</v>
      </c>
      <c r="U1460" s="2" t="s">
        <v>231</v>
      </c>
      <c r="V1460" s="2" t="s">
        <v>239</v>
      </c>
      <c r="W1460" s="2" t="s">
        <v>273</v>
      </c>
      <c r="X1460" s="2" t="s">
        <v>231</v>
      </c>
      <c r="Y1460" s="2" t="s">
        <v>2848</v>
      </c>
      <c r="Z1460" s="4"/>
      <c r="AA1460" s="4">
        <f>=ROUNDDOWN({0},0)</f>
      </c>
      <c r="AB1460" s="5">
        <v>23</v>
      </c>
      <c r="AC1460" s="2" t="s">
        <v>3723</v>
      </c>
      <c r="AD1460" s="4">
        <v>150</v>
      </c>
      <c r="AE1460" s="4">
        <v>510</v>
      </c>
      <c r="AF1460" s="6">
        <v>65</v>
      </c>
      <c r="AG1460" s="6"/>
      <c r="AH1460" s="7">
        <v>0</v>
      </c>
      <c r="AI1460" s="4"/>
      <c r="AJ1460" s="4">
        <f>=ROUNDDOWN({0},0)</f>
      </c>
      <c r="AK1460" s="5"/>
      <c r="AL1460" s="2" t="s">
        <v>231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231</v>
      </c>
      <c r="BD1460" s="8" t="s">
        <v>231</v>
      </c>
      <c r="BE1460" s="4" t="s">
        <v>231</v>
      </c>
      <c r="BF1460" s="8" t="s">
        <v>231</v>
      </c>
      <c r="BG1460" s="7" t="s">
        <v>231</v>
      </c>
      <c r="BH1460" s="7" t="s">
        <v>231</v>
      </c>
      <c r="BI1460" s="7"/>
      <c r="BJ1460" s="4"/>
      <c r="BK1460" s="8"/>
      <c r="BL1460" s="2" t="s">
        <v>231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6859</v>
      </c>
      <c r="BV1460" s="2" t="s">
        <v>231</v>
      </c>
      <c r="BW1460" s="2" t="s">
        <v>231</v>
      </c>
      <c r="BX1460" s="2" t="s">
        <v>231</v>
      </c>
      <c r="BY1460" s="2" t="s">
        <v>277</v>
      </c>
      <c r="BZ1460" s="2" t="s">
        <v>243</v>
      </c>
      <c r="CA1460" s="2" t="s">
        <v>1633</v>
      </c>
      <c r="CB1460" s="2" t="s">
        <v>6843</v>
      </c>
      <c r="CC1460" s="2" t="s">
        <v>244</v>
      </c>
      <c r="CD1460" s="2" t="s">
        <v>231</v>
      </c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>
        <v>150</v>
      </c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>
        <v>210</v>
      </c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>
        <v>150</v>
      </c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</row>
    <row r="1461">
      <c r="A1461" s="2" t="s">
        <v>6860</v>
      </c>
      <c r="B1461" s="2" t="s">
        <v>226</v>
      </c>
      <c r="C1461" s="2" t="s">
        <v>631</v>
      </c>
      <c r="D1461" s="2" t="s">
        <v>1549</v>
      </c>
      <c r="E1461" s="2" t="s">
        <v>3949</v>
      </c>
      <c r="F1461" s="2" t="s">
        <v>6824</v>
      </c>
      <c r="G1461" s="2" t="s">
        <v>6824</v>
      </c>
      <c r="H1461" s="2" t="s">
        <v>6824</v>
      </c>
      <c r="I1461" s="2" t="s">
        <v>229</v>
      </c>
      <c r="J1461" s="2" t="s">
        <v>318</v>
      </c>
      <c r="K1461" s="2" t="s">
        <v>6861</v>
      </c>
      <c r="L1461" s="3">
        <v>47</v>
      </c>
      <c r="M1461" s="3">
        <v>49.35</v>
      </c>
      <c r="N1461" s="3">
        <v>99.99</v>
      </c>
      <c r="O1461" s="2" t="s">
        <v>243</v>
      </c>
      <c r="P1461" s="2" t="s">
        <v>871</v>
      </c>
      <c r="Q1461" s="2" t="s">
        <v>237</v>
      </c>
      <c r="R1461" s="2" t="s">
        <v>231</v>
      </c>
      <c r="S1461" s="2" t="s">
        <v>6862</v>
      </c>
      <c r="T1461" s="2" t="s">
        <v>1630</v>
      </c>
      <c r="U1461" s="2" t="s">
        <v>231</v>
      </c>
      <c r="V1461" s="2" t="s">
        <v>239</v>
      </c>
      <c r="W1461" s="2" t="s">
        <v>273</v>
      </c>
      <c r="X1461" s="2" t="s">
        <v>231</v>
      </c>
      <c r="Y1461" s="2" t="s">
        <v>274</v>
      </c>
      <c r="Z1461" s="4"/>
      <c r="AA1461" s="4">
        <f>=ROUNDDOWN({0},0)</f>
      </c>
      <c r="AB1461" s="5">
        <v>20</v>
      </c>
      <c r="AC1461" s="2" t="s">
        <v>3723</v>
      </c>
      <c r="AD1461" s="4">
        <v>150</v>
      </c>
      <c r="AE1461" s="4">
        <v>460</v>
      </c>
      <c r="AF1461" s="6">
        <v>65</v>
      </c>
      <c r="AG1461" s="6"/>
      <c r="AH1461" s="7">
        <v>0</v>
      </c>
      <c r="AI1461" s="4"/>
      <c r="AJ1461" s="4">
        <f>=ROUNDDOWN({0},0)</f>
      </c>
      <c r="AK1461" s="5"/>
      <c r="AL1461" s="2" t="s">
        <v>231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231</v>
      </c>
      <c r="AW1461" s="8" t="s">
        <v>231</v>
      </c>
      <c r="AX1461" s="4" t="s">
        <v>231</v>
      </c>
      <c r="AY1461" s="8" t="s">
        <v>231</v>
      </c>
      <c r="AZ1461" s="7" t="s">
        <v>231</v>
      </c>
      <c r="BA1461" s="7" t="s">
        <v>231</v>
      </c>
      <c r="BB1461" s="7"/>
      <c r="BC1461" s="4" t="s">
        <v>231</v>
      </c>
      <c r="BD1461" s="8" t="s">
        <v>231</v>
      </c>
      <c r="BE1461" s="4" t="s">
        <v>231</v>
      </c>
      <c r="BF1461" s="8" t="s">
        <v>231</v>
      </c>
      <c r="BG1461" s="7" t="s">
        <v>231</v>
      </c>
      <c r="BH1461" s="7" t="s">
        <v>231</v>
      </c>
      <c r="BI1461" s="7"/>
      <c r="BJ1461" s="4"/>
      <c r="BK1461" s="8"/>
      <c r="BL1461" s="2" t="s">
        <v>6863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6864</v>
      </c>
      <c r="BV1461" s="2" t="s">
        <v>231</v>
      </c>
      <c r="BW1461" s="2" t="s">
        <v>231</v>
      </c>
      <c r="BX1461" s="2" t="s">
        <v>231</v>
      </c>
      <c r="BY1461" s="2" t="s">
        <v>277</v>
      </c>
      <c r="BZ1461" s="2" t="s">
        <v>243</v>
      </c>
      <c r="CA1461" s="2" t="s">
        <v>5466</v>
      </c>
      <c r="CB1461" s="2" t="s">
        <v>6856</v>
      </c>
      <c r="CC1461" s="2" t="s">
        <v>244</v>
      </c>
      <c r="CD1461" s="2" t="s">
        <v>231</v>
      </c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>
        <v>150</v>
      </c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>
        <v>160</v>
      </c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>
        <v>150</v>
      </c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</row>
    <row r="1462">
      <c r="A1462" s="2" t="s">
        <v>6865</v>
      </c>
      <c r="B1462" s="2" t="s">
        <v>226</v>
      </c>
      <c r="C1462" s="2" t="s">
        <v>631</v>
      </c>
      <c r="D1462" s="2" t="s">
        <v>1549</v>
      </c>
      <c r="E1462" s="2" t="s">
        <v>3949</v>
      </c>
      <c r="F1462" s="2" t="s">
        <v>6824</v>
      </c>
      <c r="G1462" s="2" t="s">
        <v>6824</v>
      </c>
      <c r="H1462" s="2" t="s">
        <v>6824</v>
      </c>
      <c r="I1462" s="2" t="s">
        <v>229</v>
      </c>
      <c r="J1462" s="2" t="s">
        <v>281</v>
      </c>
      <c r="K1462" s="2" t="s">
        <v>6861</v>
      </c>
      <c r="L1462" s="3">
        <v>52.8</v>
      </c>
      <c r="M1462" s="3">
        <v>55.44</v>
      </c>
      <c r="N1462" s="3">
        <v>109.99</v>
      </c>
      <c r="O1462" s="2" t="s">
        <v>243</v>
      </c>
      <c r="P1462" s="2" t="s">
        <v>871</v>
      </c>
      <c r="Q1462" s="2" t="s">
        <v>237</v>
      </c>
      <c r="R1462" s="2" t="s">
        <v>231</v>
      </c>
      <c r="S1462" s="2" t="s">
        <v>6862</v>
      </c>
      <c r="T1462" s="2" t="s">
        <v>1630</v>
      </c>
      <c r="U1462" s="2" t="s">
        <v>231</v>
      </c>
      <c r="V1462" s="2" t="s">
        <v>239</v>
      </c>
      <c r="W1462" s="2" t="s">
        <v>273</v>
      </c>
      <c r="X1462" s="2" t="s">
        <v>231</v>
      </c>
      <c r="Y1462" s="2" t="s">
        <v>274</v>
      </c>
      <c r="Z1462" s="4"/>
      <c r="AA1462" s="4">
        <f>=ROUNDDOWN({0},0)</f>
      </c>
      <c r="AB1462" s="5">
        <v>27</v>
      </c>
      <c r="AC1462" s="2" t="s">
        <v>3723</v>
      </c>
      <c r="AD1462" s="4">
        <v>170</v>
      </c>
      <c r="AE1462" s="4">
        <v>630</v>
      </c>
      <c r="AF1462" s="6">
        <v>65</v>
      </c>
      <c r="AG1462" s="6"/>
      <c r="AH1462" s="7">
        <v>0</v>
      </c>
      <c r="AI1462" s="4"/>
      <c r="AJ1462" s="4">
        <f>=ROUNDDOWN({0},0)</f>
      </c>
      <c r="AK1462" s="5"/>
      <c r="AL1462" s="2" t="s">
        <v>231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231</v>
      </c>
      <c r="AW1462" s="8" t="s">
        <v>231</v>
      </c>
      <c r="AX1462" s="4" t="s">
        <v>231</v>
      </c>
      <c r="AY1462" s="8" t="s">
        <v>231</v>
      </c>
      <c r="AZ1462" s="7" t="s">
        <v>231</v>
      </c>
      <c r="BA1462" s="7" t="s">
        <v>231</v>
      </c>
      <c r="BB1462" s="7"/>
      <c r="BC1462" s="4" t="s">
        <v>231</v>
      </c>
      <c r="BD1462" s="8" t="s">
        <v>231</v>
      </c>
      <c r="BE1462" s="4" t="s">
        <v>231</v>
      </c>
      <c r="BF1462" s="8" t="s">
        <v>231</v>
      </c>
      <c r="BG1462" s="7" t="s">
        <v>231</v>
      </c>
      <c r="BH1462" s="7" t="s">
        <v>231</v>
      </c>
      <c r="BI1462" s="7"/>
      <c r="BJ1462" s="4"/>
      <c r="BK1462" s="8"/>
      <c r="BL1462" s="2" t="s">
        <v>231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6866</v>
      </c>
      <c r="BV1462" s="2" t="s">
        <v>231</v>
      </c>
      <c r="BW1462" s="2" t="s">
        <v>231</v>
      </c>
      <c r="BX1462" s="2" t="s">
        <v>231</v>
      </c>
      <c r="BY1462" s="2" t="s">
        <v>277</v>
      </c>
      <c r="BZ1462" s="2" t="s">
        <v>243</v>
      </c>
      <c r="CA1462" s="2" t="s">
        <v>5466</v>
      </c>
      <c r="CB1462" s="2" t="s">
        <v>409</v>
      </c>
      <c r="CC1462" s="2" t="s">
        <v>244</v>
      </c>
      <c r="CD1462" s="2" t="s">
        <v>231</v>
      </c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>
        <v>170</v>
      </c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>
        <v>250</v>
      </c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>
        <v>210</v>
      </c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</row>
    <row r="1463">
      <c r="A1463" s="2" t="s">
        <v>6867</v>
      </c>
      <c r="B1463" s="2" t="s">
        <v>226</v>
      </c>
      <c r="C1463" s="2" t="s">
        <v>631</v>
      </c>
      <c r="D1463" s="2" t="s">
        <v>1549</v>
      </c>
      <c r="E1463" s="2" t="s">
        <v>3949</v>
      </c>
      <c r="F1463" s="2" t="s">
        <v>6824</v>
      </c>
      <c r="G1463" s="2" t="s">
        <v>6824</v>
      </c>
      <c r="H1463" s="2" t="s">
        <v>6824</v>
      </c>
      <c r="I1463" s="2" t="s">
        <v>229</v>
      </c>
      <c r="J1463" s="2" t="s">
        <v>318</v>
      </c>
      <c r="K1463" s="2" t="s">
        <v>723</v>
      </c>
      <c r="L1463" s="3">
        <v>47</v>
      </c>
      <c r="M1463" s="3">
        <v>49.35</v>
      </c>
      <c r="N1463" s="3">
        <v>99.99</v>
      </c>
      <c r="O1463" s="2" t="s">
        <v>243</v>
      </c>
      <c r="P1463" s="2" t="s">
        <v>270</v>
      </c>
      <c r="Q1463" s="2" t="s">
        <v>237</v>
      </c>
      <c r="R1463" s="2" t="s">
        <v>231</v>
      </c>
      <c r="S1463" s="2" t="s">
        <v>6868</v>
      </c>
      <c r="T1463" s="2" t="s">
        <v>1630</v>
      </c>
      <c r="U1463" s="2" t="s">
        <v>327</v>
      </c>
      <c r="V1463" s="2" t="s">
        <v>239</v>
      </c>
      <c r="W1463" s="2" t="s">
        <v>273</v>
      </c>
      <c r="X1463" s="2" t="s">
        <v>231</v>
      </c>
      <c r="Y1463" s="2" t="s">
        <v>6760</v>
      </c>
      <c r="Z1463" s="4"/>
      <c r="AA1463" s="4">
        <f>=ROUNDDOWN({0},0)</f>
      </c>
      <c r="AB1463" s="5">
        <v>13</v>
      </c>
      <c r="AC1463" s="2" t="s">
        <v>3723</v>
      </c>
      <c r="AD1463" s="4">
        <v>150</v>
      </c>
      <c r="AE1463" s="4">
        <v>300</v>
      </c>
      <c r="AF1463" s="6">
        <v>65</v>
      </c>
      <c r="AG1463" s="6"/>
      <c r="AH1463" s="7">
        <v>0</v>
      </c>
      <c r="AI1463" s="4"/>
      <c r="AJ1463" s="4">
        <f>=ROUNDDOWN({0},0)</f>
      </c>
      <c r="AK1463" s="5"/>
      <c r="AL1463" s="2" t="s">
        <v>231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231</v>
      </c>
      <c r="BD1463" s="8" t="s">
        <v>231</v>
      </c>
      <c r="BE1463" s="4" t="s">
        <v>231</v>
      </c>
      <c r="BF1463" s="8" t="s">
        <v>231</v>
      </c>
      <c r="BG1463" s="7" t="s">
        <v>231</v>
      </c>
      <c r="BH1463" s="7" t="s">
        <v>231</v>
      </c>
      <c r="BI1463" s="7"/>
      <c r="BJ1463" s="4">
        <v>2</v>
      </c>
      <c r="BK1463" s="8">
        <v>105.82</v>
      </c>
      <c r="BL1463" s="2" t="s">
        <v>6869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6870</v>
      </c>
      <c r="BV1463" s="2" t="s">
        <v>231</v>
      </c>
      <c r="BW1463" s="2" t="s">
        <v>231</v>
      </c>
      <c r="BX1463" s="2" t="s">
        <v>231</v>
      </c>
      <c r="BY1463" s="2" t="s">
        <v>277</v>
      </c>
      <c r="BZ1463" s="2" t="s">
        <v>243</v>
      </c>
      <c r="CA1463" s="2" t="s">
        <v>6760</v>
      </c>
      <c r="CB1463" s="2" t="s">
        <v>6871</v>
      </c>
      <c r="CC1463" s="2" t="s">
        <v>244</v>
      </c>
      <c r="CD1463" s="2" t="s">
        <v>231</v>
      </c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>
        <v>150</v>
      </c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>
        <v>150</v>
      </c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</row>
    <row r="1464">
      <c r="A1464" s="2" t="s">
        <v>6872</v>
      </c>
      <c r="B1464" s="2" t="s">
        <v>226</v>
      </c>
      <c r="C1464" s="2" t="s">
        <v>1299</v>
      </c>
      <c r="D1464" s="2" t="s">
        <v>1549</v>
      </c>
      <c r="E1464" s="2" t="s">
        <v>3949</v>
      </c>
      <c r="F1464" s="2" t="s">
        <v>6873</v>
      </c>
      <c r="G1464" s="2" t="s">
        <v>6873</v>
      </c>
      <c r="H1464" s="2" t="s">
        <v>231</v>
      </c>
      <c r="I1464" s="2" t="s">
        <v>229</v>
      </c>
      <c r="J1464" s="2" t="s">
        <v>293</v>
      </c>
      <c r="K1464" s="2" t="s">
        <v>1655</v>
      </c>
      <c r="L1464" s="3">
        <v>79.48</v>
      </c>
      <c r="M1464" s="3">
        <v>83.45</v>
      </c>
      <c r="N1464" s="3">
        <v>159.99</v>
      </c>
      <c r="O1464" s="2" t="s">
        <v>243</v>
      </c>
      <c r="P1464" s="2" t="s">
        <v>1985</v>
      </c>
      <c r="Q1464" s="2" t="s">
        <v>237</v>
      </c>
      <c r="R1464" s="2" t="s">
        <v>231</v>
      </c>
      <c r="S1464" s="2" t="s">
        <v>6874</v>
      </c>
      <c r="T1464" s="2" t="s">
        <v>970</v>
      </c>
      <c r="U1464" s="2" t="s">
        <v>231</v>
      </c>
      <c r="V1464" s="2" t="s">
        <v>239</v>
      </c>
      <c r="W1464" s="2" t="s">
        <v>273</v>
      </c>
      <c r="X1464" s="2" t="s">
        <v>231</v>
      </c>
      <c r="Y1464" s="2" t="s">
        <v>274</v>
      </c>
      <c r="Z1464" s="4">
        <v>281</v>
      </c>
      <c r="AA1464" s="4">
        <f>=ROUNDDOWN(46.8333333333333,0)</f>
      </c>
      <c r="AB1464" s="5">
        <v>6</v>
      </c>
      <c r="AC1464" s="2" t="s">
        <v>231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231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231</v>
      </c>
      <c r="AW1464" s="8" t="s">
        <v>231</v>
      </c>
      <c r="AX1464" s="4" t="s">
        <v>231</v>
      </c>
      <c r="AY1464" s="8" t="s">
        <v>231</v>
      </c>
      <c r="AZ1464" s="7" t="s">
        <v>231</v>
      </c>
      <c r="BA1464" s="7" t="s">
        <v>231</v>
      </c>
      <c r="BB1464" s="7"/>
      <c r="BC1464" s="4" t="s">
        <v>231</v>
      </c>
      <c r="BD1464" s="8" t="s">
        <v>231</v>
      </c>
      <c r="BE1464" s="4" t="s">
        <v>231</v>
      </c>
      <c r="BF1464" s="8" t="s">
        <v>231</v>
      </c>
      <c r="BG1464" s="7" t="s">
        <v>231</v>
      </c>
      <c r="BH1464" s="7" t="s">
        <v>231</v>
      </c>
      <c r="BI1464" s="7"/>
      <c r="BJ1464" s="4">
        <v>1</v>
      </c>
      <c r="BK1464" s="8">
        <v>82.07</v>
      </c>
      <c r="BL1464" s="2" t="s">
        <v>1423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6875</v>
      </c>
      <c r="BV1464" s="2" t="s">
        <v>231</v>
      </c>
      <c r="BW1464" s="2" t="s">
        <v>231</v>
      </c>
      <c r="BX1464" s="2" t="s">
        <v>4138</v>
      </c>
      <c r="BY1464" s="2" t="s">
        <v>277</v>
      </c>
      <c r="BZ1464" s="2" t="s">
        <v>243</v>
      </c>
      <c r="CA1464" s="2" t="s">
        <v>1779</v>
      </c>
      <c r="CB1464" s="2" t="s">
        <v>6876</v>
      </c>
      <c r="CC1464" s="2" t="s">
        <v>244</v>
      </c>
      <c r="CD1464" s="2" t="s">
        <v>231</v>
      </c>
      <c r="CE1464" s="4">
        <v>281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</row>
    <row r="1465">
      <c r="A1465" s="2" t="s">
        <v>6877</v>
      </c>
      <c r="B1465" s="2" t="s">
        <v>226</v>
      </c>
      <c r="C1465" s="2" t="s">
        <v>1299</v>
      </c>
      <c r="D1465" s="2" t="s">
        <v>1549</v>
      </c>
      <c r="E1465" s="2" t="s">
        <v>3949</v>
      </c>
      <c r="F1465" s="2" t="s">
        <v>6873</v>
      </c>
      <c r="G1465" s="2" t="s">
        <v>6873</v>
      </c>
      <c r="H1465" s="2" t="s">
        <v>231</v>
      </c>
      <c r="I1465" s="2" t="s">
        <v>229</v>
      </c>
      <c r="J1465" s="2" t="s">
        <v>302</v>
      </c>
      <c r="K1465" s="2" t="s">
        <v>1655</v>
      </c>
      <c r="L1465" s="3">
        <v>89.42</v>
      </c>
      <c r="M1465" s="3">
        <v>93.89</v>
      </c>
      <c r="N1465" s="3">
        <v>179.99</v>
      </c>
      <c r="O1465" s="2" t="s">
        <v>243</v>
      </c>
      <c r="P1465" s="2" t="s">
        <v>1985</v>
      </c>
      <c r="Q1465" s="2" t="s">
        <v>237</v>
      </c>
      <c r="R1465" s="2" t="s">
        <v>231</v>
      </c>
      <c r="S1465" s="2" t="s">
        <v>6874</v>
      </c>
      <c r="T1465" s="2" t="s">
        <v>970</v>
      </c>
      <c r="U1465" s="2" t="s">
        <v>231</v>
      </c>
      <c r="V1465" s="2" t="s">
        <v>239</v>
      </c>
      <c r="W1465" s="2" t="s">
        <v>273</v>
      </c>
      <c r="X1465" s="2" t="s">
        <v>231</v>
      </c>
      <c r="Y1465" s="2" t="s">
        <v>274</v>
      </c>
      <c r="Z1465" s="4">
        <v>264</v>
      </c>
      <c r="AA1465" s="4">
        <f>=ROUNDDOWN(88,0)</f>
      </c>
      <c r="AB1465" s="5">
        <v>3</v>
      </c>
      <c r="AC1465" s="2" t="s">
        <v>231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231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231</v>
      </c>
      <c r="AW1465" s="8" t="s">
        <v>231</v>
      </c>
      <c r="AX1465" s="4" t="s">
        <v>231</v>
      </c>
      <c r="AY1465" s="8" t="s">
        <v>231</v>
      </c>
      <c r="AZ1465" s="7" t="s">
        <v>231</v>
      </c>
      <c r="BA1465" s="7" t="s">
        <v>231</v>
      </c>
      <c r="BB1465" s="7"/>
      <c r="BC1465" s="4" t="s">
        <v>231</v>
      </c>
      <c r="BD1465" s="8" t="s">
        <v>231</v>
      </c>
      <c r="BE1465" s="4" t="s">
        <v>231</v>
      </c>
      <c r="BF1465" s="8" t="s">
        <v>231</v>
      </c>
      <c r="BG1465" s="7" t="s">
        <v>231</v>
      </c>
      <c r="BH1465" s="7" t="s">
        <v>231</v>
      </c>
      <c r="BI1465" s="7"/>
      <c r="BJ1465" s="4">
        <v>2</v>
      </c>
      <c r="BK1465" s="8">
        <v>216.11</v>
      </c>
      <c r="BL1465" s="2" t="s">
        <v>6878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6879</v>
      </c>
      <c r="BV1465" s="2" t="s">
        <v>231</v>
      </c>
      <c r="BW1465" s="2" t="s">
        <v>231</v>
      </c>
      <c r="BX1465" s="2" t="s">
        <v>4138</v>
      </c>
      <c r="BY1465" s="2" t="s">
        <v>277</v>
      </c>
      <c r="BZ1465" s="2" t="s">
        <v>243</v>
      </c>
      <c r="CA1465" s="2" t="s">
        <v>1779</v>
      </c>
      <c r="CB1465" s="2" t="s">
        <v>2052</v>
      </c>
      <c r="CC1465" s="2" t="s">
        <v>244</v>
      </c>
      <c r="CD1465" s="2" t="s">
        <v>231</v>
      </c>
      <c r="CE1465" s="4">
        <v>264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</row>
    <row r="1466">
      <c r="A1466" s="2" t="s">
        <v>6880</v>
      </c>
      <c r="B1466" s="2" t="s">
        <v>226</v>
      </c>
      <c r="C1466" s="2" t="s">
        <v>1299</v>
      </c>
      <c r="D1466" s="2" t="s">
        <v>1549</v>
      </c>
      <c r="E1466" s="2" t="s">
        <v>3949</v>
      </c>
      <c r="F1466" s="2" t="s">
        <v>6873</v>
      </c>
      <c r="G1466" s="2" t="s">
        <v>6873</v>
      </c>
      <c r="H1466" s="2" t="s">
        <v>231</v>
      </c>
      <c r="I1466" s="2" t="s">
        <v>229</v>
      </c>
      <c r="J1466" s="2" t="s">
        <v>318</v>
      </c>
      <c r="K1466" s="2" t="s">
        <v>2722</v>
      </c>
      <c r="L1466" s="3">
        <v>54.64</v>
      </c>
      <c r="M1466" s="3">
        <v>57.37</v>
      </c>
      <c r="N1466" s="3">
        <v>109.99</v>
      </c>
      <c r="O1466" s="2" t="s">
        <v>243</v>
      </c>
      <c r="P1466" s="2" t="s">
        <v>270</v>
      </c>
      <c r="Q1466" s="2" t="s">
        <v>237</v>
      </c>
      <c r="R1466" s="2" t="s">
        <v>231</v>
      </c>
      <c r="S1466" s="2" t="s">
        <v>6881</v>
      </c>
      <c r="T1466" s="2" t="s">
        <v>970</v>
      </c>
      <c r="U1466" s="2" t="s">
        <v>231</v>
      </c>
      <c r="V1466" s="2" t="s">
        <v>239</v>
      </c>
      <c r="W1466" s="2" t="s">
        <v>273</v>
      </c>
      <c r="X1466" s="2" t="s">
        <v>231</v>
      </c>
      <c r="Y1466" s="2" t="s">
        <v>274</v>
      </c>
      <c r="Z1466" s="4">
        <v>102</v>
      </c>
      <c r="AA1466" s="4">
        <f>=ROUNDDOWN(25.5,0)</f>
      </c>
      <c r="AB1466" s="5">
        <v>4</v>
      </c>
      <c r="AC1466" s="2" t="s">
        <v>231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231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231</v>
      </c>
      <c r="AW1466" s="8" t="s">
        <v>231</v>
      </c>
      <c r="AX1466" s="4" t="s">
        <v>231</v>
      </c>
      <c r="AY1466" s="8" t="s">
        <v>231</v>
      </c>
      <c r="AZ1466" s="7" t="s">
        <v>231</v>
      </c>
      <c r="BA1466" s="7" t="s">
        <v>231</v>
      </c>
      <c r="BB1466" s="7"/>
      <c r="BC1466" s="4" t="s">
        <v>231</v>
      </c>
      <c r="BD1466" s="8" t="s">
        <v>231</v>
      </c>
      <c r="BE1466" s="4" t="s">
        <v>231</v>
      </c>
      <c r="BF1466" s="8" t="s">
        <v>231</v>
      </c>
      <c r="BG1466" s="7" t="s">
        <v>231</v>
      </c>
      <c r="BH1466" s="7" t="s">
        <v>231</v>
      </c>
      <c r="BI1466" s="7"/>
      <c r="BJ1466" s="4"/>
      <c r="BK1466" s="8"/>
      <c r="BL1466" s="2" t="s">
        <v>465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6882</v>
      </c>
      <c r="BV1466" s="2" t="s">
        <v>231</v>
      </c>
      <c r="BW1466" s="2" t="s">
        <v>231</v>
      </c>
      <c r="BX1466" s="2" t="s">
        <v>4138</v>
      </c>
      <c r="BY1466" s="2" t="s">
        <v>277</v>
      </c>
      <c r="BZ1466" s="2" t="s">
        <v>243</v>
      </c>
      <c r="CA1466" s="2" t="s">
        <v>1779</v>
      </c>
      <c r="CB1466" s="2" t="s">
        <v>6876</v>
      </c>
      <c r="CC1466" s="2" t="s">
        <v>244</v>
      </c>
      <c r="CD1466" s="2" t="s">
        <v>231</v>
      </c>
      <c r="CE1466" s="4">
        <v>102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</row>
    <row r="1467">
      <c r="A1467" s="2" t="s">
        <v>6883</v>
      </c>
      <c r="B1467" s="2" t="s">
        <v>226</v>
      </c>
      <c r="C1467" s="2" t="s">
        <v>1299</v>
      </c>
      <c r="D1467" s="2" t="s">
        <v>1549</v>
      </c>
      <c r="E1467" s="2" t="s">
        <v>3949</v>
      </c>
      <c r="F1467" s="2" t="s">
        <v>6873</v>
      </c>
      <c r="G1467" s="2" t="s">
        <v>6873</v>
      </c>
      <c r="H1467" s="2" t="s">
        <v>231</v>
      </c>
      <c r="I1467" s="2" t="s">
        <v>229</v>
      </c>
      <c r="J1467" s="2" t="s">
        <v>293</v>
      </c>
      <c r="K1467" s="2" t="s">
        <v>2722</v>
      </c>
      <c r="L1467" s="3">
        <v>79.48</v>
      </c>
      <c r="M1467" s="3">
        <v>83.45</v>
      </c>
      <c r="N1467" s="3">
        <v>159.99</v>
      </c>
      <c r="O1467" s="2" t="s">
        <v>243</v>
      </c>
      <c r="P1467" s="2" t="s">
        <v>270</v>
      </c>
      <c r="Q1467" s="2" t="s">
        <v>237</v>
      </c>
      <c r="R1467" s="2" t="s">
        <v>231</v>
      </c>
      <c r="S1467" s="2" t="s">
        <v>6881</v>
      </c>
      <c r="T1467" s="2" t="s">
        <v>970</v>
      </c>
      <c r="U1467" s="2" t="s">
        <v>231</v>
      </c>
      <c r="V1467" s="2" t="s">
        <v>239</v>
      </c>
      <c r="W1467" s="2" t="s">
        <v>273</v>
      </c>
      <c r="X1467" s="2" t="s">
        <v>231</v>
      </c>
      <c r="Y1467" s="2" t="s">
        <v>274</v>
      </c>
      <c r="Z1467" s="4">
        <v>247</v>
      </c>
      <c r="AA1467" s="4">
        <f>=ROUNDDOWN(41.1666666666667,0)</f>
      </c>
      <c r="AB1467" s="5">
        <v>6</v>
      </c>
      <c r="AC1467" s="2" t="s">
        <v>231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231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231</v>
      </c>
      <c r="AW1467" s="8" t="s">
        <v>231</v>
      </c>
      <c r="AX1467" s="4" t="s">
        <v>231</v>
      </c>
      <c r="AY1467" s="8" t="s">
        <v>231</v>
      </c>
      <c r="AZ1467" s="7" t="s">
        <v>231</v>
      </c>
      <c r="BA1467" s="7" t="s">
        <v>231</v>
      </c>
      <c r="BB1467" s="7"/>
      <c r="BC1467" s="4" t="s">
        <v>231</v>
      </c>
      <c r="BD1467" s="8" t="s">
        <v>231</v>
      </c>
      <c r="BE1467" s="4" t="s">
        <v>231</v>
      </c>
      <c r="BF1467" s="8" t="s">
        <v>231</v>
      </c>
      <c r="BG1467" s="7" t="s">
        <v>231</v>
      </c>
      <c r="BH1467" s="7" t="s">
        <v>231</v>
      </c>
      <c r="BI1467" s="7"/>
      <c r="BJ1467" s="4"/>
      <c r="BK1467" s="8"/>
      <c r="BL1467" s="2" t="s">
        <v>465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6884</v>
      </c>
      <c r="BV1467" s="2" t="s">
        <v>231</v>
      </c>
      <c r="BW1467" s="2" t="s">
        <v>231</v>
      </c>
      <c r="BX1467" s="2" t="s">
        <v>4138</v>
      </c>
      <c r="BY1467" s="2" t="s">
        <v>277</v>
      </c>
      <c r="BZ1467" s="2" t="s">
        <v>243</v>
      </c>
      <c r="CA1467" s="2" t="s">
        <v>1779</v>
      </c>
      <c r="CB1467" s="2" t="s">
        <v>6885</v>
      </c>
      <c r="CC1467" s="2" t="s">
        <v>244</v>
      </c>
      <c r="CD1467" s="2" t="s">
        <v>231</v>
      </c>
      <c r="CE1467" s="4">
        <v>247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</row>
    <row r="1468">
      <c r="A1468" s="2" t="s">
        <v>6886</v>
      </c>
      <c r="B1468" s="2" t="s">
        <v>226</v>
      </c>
      <c r="C1468" s="2" t="s">
        <v>1299</v>
      </c>
      <c r="D1468" s="2" t="s">
        <v>1549</v>
      </c>
      <c r="E1468" s="2" t="s">
        <v>1550</v>
      </c>
      <c r="F1468" s="2" t="s">
        <v>6873</v>
      </c>
      <c r="G1468" s="2" t="s">
        <v>6873</v>
      </c>
      <c r="H1468" s="2" t="s">
        <v>231</v>
      </c>
      <c r="I1468" s="2" t="s">
        <v>2589</v>
      </c>
      <c r="J1468" s="2" t="s">
        <v>2845</v>
      </c>
      <c r="K1468" s="2" t="s">
        <v>253</v>
      </c>
      <c r="L1468" s="3">
        <v>37.72</v>
      </c>
      <c r="M1468" s="3">
        <v>39.61</v>
      </c>
      <c r="N1468" s="3">
        <v>81.99</v>
      </c>
      <c r="O1468" s="2" t="s">
        <v>243</v>
      </c>
      <c r="P1468" s="2" t="s">
        <v>270</v>
      </c>
      <c r="Q1468" s="2" t="s">
        <v>237</v>
      </c>
      <c r="R1468" s="2" t="s">
        <v>231</v>
      </c>
      <c r="S1468" s="2" t="s">
        <v>6887</v>
      </c>
      <c r="T1468" s="2" t="s">
        <v>970</v>
      </c>
      <c r="U1468" s="2" t="s">
        <v>231</v>
      </c>
      <c r="V1468" s="2" t="s">
        <v>239</v>
      </c>
      <c r="W1468" s="2" t="s">
        <v>273</v>
      </c>
      <c r="X1468" s="2" t="s">
        <v>231</v>
      </c>
      <c r="Y1468" s="2" t="s">
        <v>274</v>
      </c>
      <c r="Z1468" s="4"/>
      <c r="AA1468" s="4">
        <f>=ROUNDDOWN({0},0)</f>
      </c>
      <c r="AB1468" s="5">
        <v>48</v>
      </c>
      <c r="AC1468" s="2" t="s">
        <v>3723</v>
      </c>
      <c r="AD1468" s="4">
        <v>310</v>
      </c>
      <c r="AE1468" s="4">
        <v>1480</v>
      </c>
      <c r="AF1468" s="6">
        <v>65</v>
      </c>
      <c r="AG1468" s="6"/>
      <c r="AH1468" s="7">
        <v>0</v>
      </c>
      <c r="AI1468" s="4"/>
      <c r="AJ1468" s="4">
        <f>=ROUNDDOWN({0},0)</f>
      </c>
      <c r="AK1468" s="5"/>
      <c r="AL1468" s="2" t="s">
        <v>231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231</v>
      </c>
      <c r="BD1468" s="8" t="s">
        <v>231</v>
      </c>
      <c r="BE1468" s="4" t="s">
        <v>231</v>
      </c>
      <c r="BF1468" s="8" t="s">
        <v>231</v>
      </c>
      <c r="BG1468" s="7" t="s">
        <v>231</v>
      </c>
      <c r="BH1468" s="7" t="s">
        <v>231</v>
      </c>
      <c r="BI1468" s="7"/>
      <c r="BJ1468" s="4"/>
      <c r="BK1468" s="8"/>
      <c r="BL1468" s="2" t="s">
        <v>4558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6888</v>
      </c>
      <c r="BV1468" s="2" t="s">
        <v>231</v>
      </c>
      <c r="BW1468" s="2" t="s">
        <v>231</v>
      </c>
      <c r="BX1468" s="2" t="s">
        <v>241</v>
      </c>
      <c r="BY1468" s="2" t="s">
        <v>277</v>
      </c>
      <c r="BZ1468" s="2" t="s">
        <v>243</v>
      </c>
      <c r="CA1468" s="2" t="s">
        <v>1779</v>
      </c>
      <c r="CB1468" s="2" t="s">
        <v>6746</v>
      </c>
      <c r="CC1468" s="2" t="s">
        <v>244</v>
      </c>
      <c r="CD1468" s="2" t="s">
        <v>231</v>
      </c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>
        <v>310</v>
      </c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>
        <v>510</v>
      </c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>
        <v>660</v>
      </c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</row>
    <row r="1469">
      <c r="A1469" s="2" t="s">
        <v>6889</v>
      </c>
      <c r="B1469" s="2" t="s">
        <v>226</v>
      </c>
      <c r="C1469" s="2" t="s">
        <v>1299</v>
      </c>
      <c r="D1469" s="2" t="s">
        <v>1549</v>
      </c>
      <c r="E1469" s="2" t="s">
        <v>3949</v>
      </c>
      <c r="F1469" s="2" t="s">
        <v>6873</v>
      </c>
      <c r="G1469" s="2" t="s">
        <v>6873</v>
      </c>
      <c r="H1469" s="2" t="s">
        <v>231</v>
      </c>
      <c r="I1469" s="2" t="s">
        <v>229</v>
      </c>
      <c r="J1469" s="2" t="s">
        <v>318</v>
      </c>
      <c r="K1469" s="2" t="s">
        <v>2457</v>
      </c>
      <c r="L1469" s="3">
        <v>54.64</v>
      </c>
      <c r="M1469" s="3">
        <v>57.37</v>
      </c>
      <c r="N1469" s="3">
        <v>109.99</v>
      </c>
      <c r="O1469" s="2" t="s">
        <v>243</v>
      </c>
      <c r="P1469" s="2" t="s">
        <v>270</v>
      </c>
      <c r="Q1469" s="2" t="s">
        <v>237</v>
      </c>
      <c r="R1469" s="2" t="s">
        <v>231</v>
      </c>
      <c r="S1469" s="2" t="s">
        <v>6890</v>
      </c>
      <c r="T1469" s="2" t="s">
        <v>970</v>
      </c>
      <c r="U1469" s="2" t="s">
        <v>231</v>
      </c>
      <c r="V1469" s="2" t="s">
        <v>239</v>
      </c>
      <c r="W1469" s="2" t="s">
        <v>273</v>
      </c>
      <c r="X1469" s="2" t="s">
        <v>231</v>
      </c>
      <c r="Y1469" s="2" t="s">
        <v>274</v>
      </c>
      <c r="Z1469" s="4">
        <v>201</v>
      </c>
      <c r="AA1469" s="4">
        <f>=ROUNDDOWN(67,0)</f>
      </c>
      <c r="AB1469" s="5">
        <v>3</v>
      </c>
      <c r="AC1469" s="2" t="s">
        <v>231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231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231</v>
      </c>
      <c r="AW1469" s="8" t="s">
        <v>231</v>
      </c>
      <c r="AX1469" s="4" t="s">
        <v>231</v>
      </c>
      <c r="AY1469" s="8" t="s">
        <v>231</v>
      </c>
      <c r="AZ1469" s="7" t="s">
        <v>231</v>
      </c>
      <c r="BA1469" s="7" t="s">
        <v>231</v>
      </c>
      <c r="BB1469" s="7"/>
      <c r="BC1469" s="4" t="s">
        <v>231</v>
      </c>
      <c r="BD1469" s="8" t="s">
        <v>231</v>
      </c>
      <c r="BE1469" s="4" t="s">
        <v>231</v>
      </c>
      <c r="BF1469" s="8" t="s">
        <v>231</v>
      </c>
      <c r="BG1469" s="7" t="s">
        <v>231</v>
      </c>
      <c r="BH1469" s="7" t="s">
        <v>231</v>
      </c>
      <c r="BI1469" s="7"/>
      <c r="BJ1469" s="4"/>
      <c r="BK1469" s="8"/>
      <c r="BL1469" s="2" t="s">
        <v>6891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6892</v>
      </c>
      <c r="BV1469" s="2" t="s">
        <v>231</v>
      </c>
      <c r="BW1469" s="2" t="s">
        <v>231</v>
      </c>
      <c r="BX1469" s="2" t="s">
        <v>4138</v>
      </c>
      <c r="BY1469" s="2" t="s">
        <v>277</v>
      </c>
      <c r="BZ1469" s="2" t="s">
        <v>243</v>
      </c>
      <c r="CA1469" s="2" t="s">
        <v>1779</v>
      </c>
      <c r="CB1469" s="2" t="s">
        <v>6893</v>
      </c>
      <c r="CC1469" s="2" t="s">
        <v>244</v>
      </c>
      <c r="CD1469" s="2" t="s">
        <v>231</v>
      </c>
      <c r="CE1469" s="4">
        <v>201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</row>
    <row r="1470">
      <c r="A1470" s="2" t="s">
        <v>6894</v>
      </c>
      <c r="B1470" s="2" t="s">
        <v>226</v>
      </c>
      <c r="C1470" s="2" t="s">
        <v>1299</v>
      </c>
      <c r="D1470" s="2" t="s">
        <v>1549</v>
      </c>
      <c r="E1470" s="2" t="s">
        <v>3949</v>
      </c>
      <c r="F1470" s="2" t="s">
        <v>6873</v>
      </c>
      <c r="G1470" s="2" t="s">
        <v>6873</v>
      </c>
      <c r="H1470" s="2" t="s">
        <v>231</v>
      </c>
      <c r="I1470" s="2" t="s">
        <v>229</v>
      </c>
      <c r="J1470" s="2" t="s">
        <v>281</v>
      </c>
      <c r="K1470" s="2" t="s">
        <v>2457</v>
      </c>
      <c r="L1470" s="3">
        <v>59.61</v>
      </c>
      <c r="M1470" s="3">
        <v>62.59</v>
      </c>
      <c r="N1470" s="3">
        <v>119.99</v>
      </c>
      <c r="O1470" s="2" t="s">
        <v>243</v>
      </c>
      <c r="P1470" s="2" t="s">
        <v>270</v>
      </c>
      <c r="Q1470" s="2" t="s">
        <v>237</v>
      </c>
      <c r="R1470" s="2" t="s">
        <v>231</v>
      </c>
      <c r="S1470" s="2" t="s">
        <v>6890</v>
      </c>
      <c r="T1470" s="2" t="s">
        <v>970</v>
      </c>
      <c r="U1470" s="2" t="s">
        <v>231</v>
      </c>
      <c r="V1470" s="2" t="s">
        <v>239</v>
      </c>
      <c r="W1470" s="2" t="s">
        <v>273</v>
      </c>
      <c r="X1470" s="2" t="s">
        <v>231</v>
      </c>
      <c r="Y1470" s="2" t="s">
        <v>274</v>
      </c>
      <c r="Z1470" s="4">
        <v>352</v>
      </c>
      <c r="AA1470" s="4">
        <f>=ROUNDDOWN(88,0)</f>
      </c>
      <c r="AB1470" s="5">
        <v>4</v>
      </c>
      <c r="AC1470" s="2" t="s">
        <v>231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231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231</v>
      </c>
      <c r="AW1470" s="8" t="s">
        <v>231</v>
      </c>
      <c r="AX1470" s="4" t="s">
        <v>231</v>
      </c>
      <c r="AY1470" s="8" t="s">
        <v>231</v>
      </c>
      <c r="AZ1470" s="7" t="s">
        <v>231</v>
      </c>
      <c r="BA1470" s="7" t="s">
        <v>231</v>
      </c>
      <c r="BB1470" s="7"/>
      <c r="BC1470" s="4" t="s">
        <v>231</v>
      </c>
      <c r="BD1470" s="8" t="s">
        <v>231</v>
      </c>
      <c r="BE1470" s="4" t="s">
        <v>231</v>
      </c>
      <c r="BF1470" s="8" t="s">
        <v>231</v>
      </c>
      <c r="BG1470" s="7" t="s">
        <v>231</v>
      </c>
      <c r="BH1470" s="7" t="s">
        <v>231</v>
      </c>
      <c r="BI1470" s="7"/>
      <c r="BJ1470" s="4"/>
      <c r="BK1470" s="8"/>
      <c r="BL1470" s="2" t="s">
        <v>937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6895</v>
      </c>
      <c r="BV1470" s="2" t="s">
        <v>231</v>
      </c>
      <c r="BW1470" s="2" t="s">
        <v>231</v>
      </c>
      <c r="BX1470" s="2" t="s">
        <v>4138</v>
      </c>
      <c r="BY1470" s="2" t="s">
        <v>277</v>
      </c>
      <c r="BZ1470" s="2" t="s">
        <v>243</v>
      </c>
      <c r="CA1470" s="2" t="s">
        <v>1779</v>
      </c>
      <c r="CB1470" s="2" t="s">
        <v>409</v>
      </c>
      <c r="CC1470" s="2" t="s">
        <v>244</v>
      </c>
      <c r="CD1470" s="2" t="s">
        <v>231</v>
      </c>
      <c r="CE1470" s="4">
        <v>352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</row>
    <row r="1471">
      <c r="A1471" s="2" t="s">
        <v>6896</v>
      </c>
      <c r="B1471" s="2" t="s">
        <v>226</v>
      </c>
      <c r="C1471" s="2" t="s">
        <v>1299</v>
      </c>
      <c r="D1471" s="2" t="s">
        <v>1549</v>
      </c>
      <c r="E1471" s="2" t="s">
        <v>3949</v>
      </c>
      <c r="F1471" s="2" t="s">
        <v>6873</v>
      </c>
      <c r="G1471" s="2" t="s">
        <v>6873</v>
      </c>
      <c r="H1471" s="2" t="s">
        <v>231</v>
      </c>
      <c r="I1471" s="2" t="s">
        <v>229</v>
      </c>
      <c r="J1471" s="2" t="s">
        <v>302</v>
      </c>
      <c r="K1471" s="2" t="s">
        <v>2457</v>
      </c>
      <c r="L1471" s="3">
        <v>89.42</v>
      </c>
      <c r="M1471" s="3">
        <v>93.89</v>
      </c>
      <c r="N1471" s="3">
        <v>179.99</v>
      </c>
      <c r="O1471" s="2" t="s">
        <v>243</v>
      </c>
      <c r="P1471" s="2" t="s">
        <v>270</v>
      </c>
      <c r="Q1471" s="2" t="s">
        <v>237</v>
      </c>
      <c r="R1471" s="2" t="s">
        <v>231</v>
      </c>
      <c r="S1471" s="2" t="s">
        <v>6890</v>
      </c>
      <c r="T1471" s="2" t="s">
        <v>970</v>
      </c>
      <c r="U1471" s="2" t="s">
        <v>231</v>
      </c>
      <c r="V1471" s="2" t="s">
        <v>239</v>
      </c>
      <c r="W1471" s="2" t="s">
        <v>273</v>
      </c>
      <c r="X1471" s="2" t="s">
        <v>231</v>
      </c>
      <c r="Y1471" s="2" t="s">
        <v>274</v>
      </c>
      <c r="Z1471" s="4">
        <v>512</v>
      </c>
      <c r="AA1471" s="4">
        <f>=ROUNDDOWN(73.1428571428571,0)</f>
      </c>
      <c r="AB1471" s="5">
        <v>7</v>
      </c>
      <c r="AC1471" s="2" t="s">
        <v>231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231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231</v>
      </c>
      <c r="AW1471" s="8" t="s">
        <v>231</v>
      </c>
      <c r="AX1471" s="4" t="s">
        <v>231</v>
      </c>
      <c r="AY1471" s="8" t="s">
        <v>231</v>
      </c>
      <c r="AZ1471" s="7" t="s">
        <v>231</v>
      </c>
      <c r="BA1471" s="7" t="s">
        <v>231</v>
      </c>
      <c r="BB1471" s="7"/>
      <c r="BC1471" s="4" t="s">
        <v>231</v>
      </c>
      <c r="BD1471" s="8" t="s">
        <v>231</v>
      </c>
      <c r="BE1471" s="4" t="s">
        <v>231</v>
      </c>
      <c r="BF1471" s="8" t="s">
        <v>231</v>
      </c>
      <c r="BG1471" s="7" t="s">
        <v>231</v>
      </c>
      <c r="BH1471" s="7" t="s">
        <v>231</v>
      </c>
      <c r="BI1471" s="7"/>
      <c r="BJ1471" s="4">
        <v>1</v>
      </c>
      <c r="BK1471" s="8">
        <v>98.75</v>
      </c>
      <c r="BL1471" s="2" t="s">
        <v>3968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6897</v>
      </c>
      <c r="BV1471" s="2" t="s">
        <v>231</v>
      </c>
      <c r="BW1471" s="2" t="s">
        <v>231</v>
      </c>
      <c r="BX1471" s="2" t="s">
        <v>4138</v>
      </c>
      <c r="BY1471" s="2" t="s">
        <v>277</v>
      </c>
      <c r="BZ1471" s="2" t="s">
        <v>243</v>
      </c>
      <c r="CA1471" s="2" t="s">
        <v>1779</v>
      </c>
      <c r="CB1471" s="2" t="s">
        <v>6898</v>
      </c>
      <c r="CC1471" s="2" t="s">
        <v>244</v>
      </c>
      <c r="CD1471" s="2" t="s">
        <v>231</v>
      </c>
      <c r="CE1471" s="4">
        <v>512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</row>
    <row r="1472">
      <c r="A1472" s="2" t="s">
        <v>6899</v>
      </c>
      <c r="B1472" s="2" t="s">
        <v>226</v>
      </c>
      <c r="C1472" s="2" t="s">
        <v>1299</v>
      </c>
      <c r="D1472" s="2" t="s">
        <v>1549</v>
      </c>
      <c r="E1472" s="2" t="s">
        <v>1550</v>
      </c>
      <c r="F1472" s="2" t="s">
        <v>6873</v>
      </c>
      <c r="G1472" s="2" t="s">
        <v>6873</v>
      </c>
      <c r="H1472" s="2" t="s">
        <v>231</v>
      </c>
      <c r="I1472" s="2" t="s">
        <v>2589</v>
      </c>
      <c r="J1472" s="2" t="s">
        <v>2845</v>
      </c>
      <c r="K1472" s="2" t="s">
        <v>2457</v>
      </c>
      <c r="L1472" s="3">
        <v>37.72</v>
      </c>
      <c r="M1472" s="3">
        <v>39.61</v>
      </c>
      <c r="N1472" s="3">
        <v>81.99</v>
      </c>
      <c r="O1472" s="2" t="s">
        <v>235</v>
      </c>
      <c r="P1472" s="2" t="s">
        <v>341</v>
      </c>
      <c r="Q1472" s="2" t="s">
        <v>237</v>
      </c>
      <c r="R1472" s="2" t="s">
        <v>231</v>
      </c>
      <c r="S1472" s="2" t="s">
        <v>6900</v>
      </c>
      <c r="T1472" s="2" t="s">
        <v>970</v>
      </c>
      <c r="U1472" s="2" t="s">
        <v>231</v>
      </c>
      <c r="V1472" s="2" t="s">
        <v>239</v>
      </c>
      <c r="W1472" s="2" t="s">
        <v>273</v>
      </c>
      <c r="X1472" s="2" t="s">
        <v>231</v>
      </c>
      <c r="Y1472" s="2" t="s">
        <v>274</v>
      </c>
      <c r="Z1472" s="4"/>
      <c r="AA1472" s="4">
        <f>=ROUNDDOWN({0},0)</f>
      </c>
      <c r="AB1472" s="5">
        <v>19</v>
      </c>
      <c r="AC1472" s="2" t="s">
        <v>231</v>
      </c>
      <c r="AD1472" s="4"/>
      <c r="AE1472" s="4"/>
      <c r="AF1472" s="6">
        <v>65</v>
      </c>
      <c r="AG1472" s="6"/>
      <c r="AH1472" s="7">
        <v>0</v>
      </c>
      <c r="AI1472" s="4"/>
      <c r="AJ1472" s="4">
        <f>=ROUNDDOWN({0},0)</f>
      </c>
      <c r="AK1472" s="5"/>
      <c r="AL1472" s="2" t="s">
        <v>231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231</v>
      </c>
      <c r="AW1472" s="8" t="s">
        <v>231</v>
      </c>
      <c r="AX1472" s="4" t="s">
        <v>231</v>
      </c>
      <c r="AY1472" s="8" t="s">
        <v>231</v>
      </c>
      <c r="AZ1472" s="7" t="s">
        <v>231</v>
      </c>
      <c r="BA1472" s="7" t="s">
        <v>231</v>
      </c>
      <c r="BB1472" s="7"/>
      <c r="BC1472" s="4" t="s">
        <v>231</v>
      </c>
      <c r="BD1472" s="8" t="s">
        <v>231</v>
      </c>
      <c r="BE1472" s="4" t="s">
        <v>231</v>
      </c>
      <c r="BF1472" s="8" t="s">
        <v>231</v>
      </c>
      <c r="BG1472" s="7" t="s">
        <v>231</v>
      </c>
      <c r="BH1472" s="7" t="s">
        <v>231</v>
      </c>
      <c r="BI1472" s="7"/>
      <c r="BJ1472" s="4"/>
      <c r="BK1472" s="8"/>
      <c r="BL1472" s="2" t="s">
        <v>2215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6901</v>
      </c>
      <c r="BV1472" s="2" t="s">
        <v>231</v>
      </c>
      <c r="BW1472" s="2" t="s">
        <v>231</v>
      </c>
      <c r="BX1472" s="2" t="s">
        <v>1360</v>
      </c>
      <c r="BY1472" s="2" t="s">
        <v>277</v>
      </c>
      <c r="BZ1472" s="2" t="s">
        <v>243</v>
      </c>
      <c r="CA1472" s="2" t="s">
        <v>1779</v>
      </c>
      <c r="CB1472" s="2" t="s">
        <v>418</v>
      </c>
      <c r="CC1472" s="2" t="s">
        <v>244</v>
      </c>
      <c r="CD1472" s="2" t="s">
        <v>231</v>
      </c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</row>
    <row r="1473">
      <c r="A1473" s="2" t="s">
        <v>6902</v>
      </c>
      <c r="B1473" s="2" t="s">
        <v>226</v>
      </c>
      <c r="C1473" s="2" t="s">
        <v>1299</v>
      </c>
      <c r="D1473" s="2" t="s">
        <v>1549</v>
      </c>
      <c r="E1473" s="2" t="s">
        <v>3949</v>
      </c>
      <c r="F1473" s="2" t="s">
        <v>6873</v>
      </c>
      <c r="G1473" s="2" t="s">
        <v>6873</v>
      </c>
      <c r="H1473" s="2" t="s">
        <v>231</v>
      </c>
      <c r="I1473" s="2" t="s">
        <v>229</v>
      </c>
      <c r="J1473" s="2" t="s">
        <v>281</v>
      </c>
      <c r="K1473" s="2" t="s">
        <v>306</v>
      </c>
      <c r="L1473" s="3">
        <v>59.61</v>
      </c>
      <c r="M1473" s="3">
        <v>62.59</v>
      </c>
      <c r="N1473" s="3">
        <v>119.99</v>
      </c>
      <c r="O1473" s="2" t="s">
        <v>243</v>
      </c>
      <c r="P1473" s="2" t="s">
        <v>270</v>
      </c>
      <c r="Q1473" s="2" t="s">
        <v>237</v>
      </c>
      <c r="R1473" s="2" t="s">
        <v>231</v>
      </c>
      <c r="S1473" s="2" t="s">
        <v>6903</v>
      </c>
      <c r="T1473" s="2" t="s">
        <v>970</v>
      </c>
      <c r="U1473" s="2" t="s">
        <v>231</v>
      </c>
      <c r="V1473" s="2" t="s">
        <v>239</v>
      </c>
      <c r="W1473" s="2" t="s">
        <v>273</v>
      </c>
      <c r="X1473" s="2" t="s">
        <v>231</v>
      </c>
      <c r="Y1473" s="2" t="s">
        <v>274</v>
      </c>
      <c r="Z1473" s="4">
        <v>346</v>
      </c>
      <c r="AA1473" s="4">
        <f>=ROUNDDOWN(86.5,0)</f>
      </c>
      <c r="AB1473" s="5">
        <v>4</v>
      </c>
      <c r="AC1473" s="2" t="s">
        <v>231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231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 t="s">
        <v>231</v>
      </c>
      <c r="BD1473" s="8" t="s">
        <v>231</v>
      </c>
      <c r="BE1473" s="4" t="s">
        <v>231</v>
      </c>
      <c r="BF1473" s="8" t="s">
        <v>231</v>
      </c>
      <c r="BG1473" s="7" t="s">
        <v>231</v>
      </c>
      <c r="BH1473" s="7" t="s">
        <v>231</v>
      </c>
      <c r="BI1473" s="7"/>
      <c r="BJ1473" s="4">
        <v>1</v>
      </c>
      <c r="BK1473" s="8">
        <v>62.59</v>
      </c>
      <c r="BL1473" s="2" t="s">
        <v>1206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6904</v>
      </c>
      <c r="BV1473" s="2" t="s">
        <v>231</v>
      </c>
      <c r="BW1473" s="2" t="s">
        <v>231</v>
      </c>
      <c r="BX1473" s="2" t="s">
        <v>4138</v>
      </c>
      <c r="BY1473" s="2" t="s">
        <v>277</v>
      </c>
      <c r="BZ1473" s="2" t="s">
        <v>243</v>
      </c>
      <c r="CA1473" s="2" t="s">
        <v>1779</v>
      </c>
      <c r="CB1473" s="2" t="s">
        <v>4302</v>
      </c>
      <c r="CC1473" s="2" t="s">
        <v>244</v>
      </c>
      <c r="CD1473" s="2" t="s">
        <v>231</v>
      </c>
      <c r="CE1473" s="4">
        <v>346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</row>
    <row r="1474">
      <c r="A1474" s="2" t="s">
        <v>6905</v>
      </c>
      <c r="B1474" s="2" t="s">
        <v>226</v>
      </c>
      <c r="C1474" s="2" t="s">
        <v>1299</v>
      </c>
      <c r="D1474" s="2" t="s">
        <v>1549</v>
      </c>
      <c r="E1474" s="2" t="s">
        <v>1550</v>
      </c>
      <c r="F1474" s="2" t="s">
        <v>6873</v>
      </c>
      <c r="G1474" s="2" t="s">
        <v>6873</v>
      </c>
      <c r="H1474" s="2" t="s">
        <v>231</v>
      </c>
      <c r="I1474" s="2" t="s">
        <v>2589</v>
      </c>
      <c r="J1474" s="2" t="s">
        <v>2845</v>
      </c>
      <c r="K1474" s="2" t="s">
        <v>1513</v>
      </c>
      <c r="L1474" s="3">
        <v>37.72</v>
      </c>
      <c r="M1474" s="3">
        <v>39.61</v>
      </c>
      <c r="N1474" s="3">
        <v>81.99</v>
      </c>
      <c r="O1474" s="2" t="s">
        <v>243</v>
      </c>
      <c r="P1474" s="2" t="s">
        <v>270</v>
      </c>
      <c r="Q1474" s="2" t="s">
        <v>237</v>
      </c>
      <c r="R1474" s="2" t="s">
        <v>231</v>
      </c>
      <c r="S1474" s="2" t="s">
        <v>6906</v>
      </c>
      <c r="T1474" s="2" t="s">
        <v>970</v>
      </c>
      <c r="U1474" s="2" t="s">
        <v>231</v>
      </c>
      <c r="V1474" s="2" t="s">
        <v>239</v>
      </c>
      <c r="W1474" s="2" t="s">
        <v>273</v>
      </c>
      <c r="X1474" s="2" t="s">
        <v>231</v>
      </c>
      <c r="Y1474" s="2" t="s">
        <v>274</v>
      </c>
      <c r="Z1474" s="4"/>
      <c r="AA1474" s="4">
        <f>=ROUNDDOWN({0},0)</f>
      </c>
      <c r="AB1474" s="5">
        <v>20</v>
      </c>
      <c r="AC1474" s="2" t="s">
        <v>3723</v>
      </c>
      <c r="AD1474" s="4">
        <v>150</v>
      </c>
      <c r="AE1474" s="4">
        <v>750</v>
      </c>
      <c r="AF1474" s="6">
        <v>65</v>
      </c>
      <c r="AG1474" s="6"/>
      <c r="AH1474" s="7">
        <v>0</v>
      </c>
      <c r="AI1474" s="4"/>
      <c r="AJ1474" s="4">
        <f>=ROUNDDOWN({0},0)</f>
      </c>
      <c r="AK1474" s="5"/>
      <c r="AL1474" s="2" t="s">
        <v>231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 t="s">
        <v>231</v>
      </c>
      <c r="BD1474" s="8" t="s">
        <v>231</v>
      </c>
      <c r="BE1474" s="4" t="s">
        <v>231</v>
      </c>
      <c r="BF1474" s="8" t="s">
        <v>231</v>
      </c>
      <c r="BG1474" s="7" t="s">
        <v>231</v>
      </c>
      <c r="BH1474" s="7" t="s">
        <v>231</v>
      </c>
      <c r="BI1474" s="7"/>
      <c r="BJ1474" s="4"/>
      <c r="BK1474" s="8"/>
      <c r="BL1474" s="2" t="s">
        <v>1358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6907</v>
      </c>
      <c r="BV1474" s="2" t="s">
        <v>231</v>
      </c>
      <c r="BW1474" s="2" t="s">
        <v>231</v>
      </c>
      <c r="BX1474" s="2" t="s">
        <v>231</v>
      </c>
      <c r="BY1474" s="2" t="s">
        <v>277</v>
      </c>
      <c r="BZ1474" s="2" t="s">
        <v>243</v>
      </c>
      <c r="CA1474" s="2" t="s">
        <v>1779</v>
      </c>
      <c r="CB1474" s="2" t="s">
        <v>6908</v>
      </c>
      <c r="CC1474" s="2" t="s">
        <v>244</v>
      </c>
      <c r="CD1474" s="2" t="s">
        <v>231</v>
      </c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>
        <v>150</v>
      </c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>
        <v>270</v>
      </c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>
        <v>330</v>
      </c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</row>
    <row r="1475">
      <c r="A1475" s="2" t="s">
        <v>6909</v>
      </c>
      <c r="B1475" s="2" t="s">
        <v>226</v>
      </c>
      <c r="C1475" s="2" t="s">
        <v>1299</v>
      </c>
      <c r="D1475" s="2" t="s">
        <v>1549</v>
      </c>
      <c r="E1475" s="2" t="s">
        <v>3949</v>
      </c>
      <c r="F1475" s="2" t="s">
        <v>6873</v>
      </c>
      <c r="G1475" s="2" t="s">
        <v>6873</v>
      </c>
      <c r="H1475" s="2" t="s">
        <v>231</v>
      </c>
      <c r="I1475" s="2" t="s">
        <v>229</v>
      </c>
      <c r="J1475" s="2" t="s">
        <v>281</v>
      </c>
      <c r="K1475" s="2" t="s">
        <v>6861</v>
      </c>
      <c r="L1475" s="3">
        <v>59.61</v>
      </c>
      <c r="M1475" s="3">
        <v>62.59</v>
      </c>
      <c r="N1475" s="3">
        <v>119.99</v>
      </c>
      <c r="O1475" s="2" t="s">
        <v>243</v>
      </c>
      <c r="P1475" s="2" t="s">
        <v>270</v>
      </c>
      <c r="Q1475" s="2" t="s">
        <v>237</v>
      </c>
      <c r="R1475" s="2" t="s">
        <v>231</v>
      </c>
      <c r="S1475" s="2" t="s">
        <v>6910</v>
      </c>
      <c r="T1475" s="2" t="s">
        <v>970</v>
      </c>
      <c r="U1475" s="2" t="s">
        <v>231</v>
      </c>
      <c r="V1475" s="2" t="s">
        <v>239</v>
      </c>
      <c r="W1475" s="2" t="s">
        <v>273</v>
      </c>
      <c r="X1475" s="2" t="s">
        <v>231</v>
      </c>
      <c r="Y1475" s="2" t="s">
        <v>274</v>
      </c>
      <c r="Z1475" s="4">
        <v>313</v>
      </c>
      <c r="AA1475" s="4">
        <f>=ROUNDDOWN(156.5,0)</f>
      </c>
      <c r="AB1475" s="5">
        <v>2</v>
      </c>
      <c r="AC1475" s="2" t="s">
        <v>231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231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 t="s">
        <v>231</v>
      </c>
      <c r="BD1475" s="8" t="s">
        <v>231</v>
      </c>
      <c r="BE1475" s="4" t="s">
        <v>231</v>
      </c>
      <c r="BF1475" s="8" t="s">
        <v>231</v>
      </c>
      <c r="BG1475" s="7" t="s">
        <v>231</v>
      </c>
      <c r="BH1475" s="7" t="s">
        <v>231</v>
      </c>
      <c r="BI1475" s="7"/>
      <c r="BJ1475" s="4"/>
      <c r="BK1475" s="8"/>
      <c r="BL1475" s="2" t="s">
        <v>231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6911</v>
      </c>
      <c r="BV1475" s="2" t="s">
        <v>231</v>
      </c>
      <c r="BW1475" s="2" t="s">
        <v>231</v>
      </c>
      <c r="BX1475" s="2" t="s">
        <v>4138</v>
      </c>
      <c r="BY1475" s="2" t="s">
        <v>277</v>
      </c>
      <c r="BZ1475" s="2" t="s">
        <v>243</v>
      </c>
      <c r="CA1475" s="2" t="s">
        <v>1779</v>
      </c>
      <c r="CB1475" s="2" t="s">
        <v>6912</v>
      </c>
      <c r="CC1475" s="2" t="s">
        <v>244</v>
      </c>
      <c r="CD1475" s="2" t="s">
        <v>231</v>
      </c>
      <c r="CE1475" s="4">
        <v>313</v>
      </c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</row>
    <row r="1476">
      <c r="A1476" s="2" t="s">
        <v>6913</v>
      </c>
      <c r="B1476" s="2" t="s">
        <v>226</v>
      </c>
      <c r="C1476" s="2" t="s">
        <v>1299</v>
      </c>
      <c r="D1476" s="2" t="s">
        <v>1549</v>
      </c>
      <c r="E1476" s="2" t="s">
        <v>3949</v>
      </c>
      <c r="F1476" s="2" t="s">
        <v>6873</v>
      </c>
      <c r="G1476" s="2" t="s">
        <v>6873</v>
      </c>
      <c r="H1476" s="2" t="s">
        <v>231</v>
      </c>
      <c r="I1476" s="2" t="s">
        <v>229</v>
      </c>
      <c r="J1476" s="2" t="s">
        <v>318</v>
      </c>
      <c r="K1476" s="2" t="s">
        <v>1146</v>
      </c>
      <c r="L1476" s="3">
        <v>54.64</v>
      </c>
      <c r="M1476" s="3">
        <v>57.37</v>
      </c>
      <c r="N1476" s="3">
        <v>109.99</v>
      </c>
      <c r="O1476" s="2" t="s">
        <v>243</v>
      </c>
      <c r="P1476" s="2" t="s">
        <v>270</v>
      </c>
      <c r="Q1476" s="2" t="s">
        <v>237</v>
      </c>
      <c r="R1476" s="2" t="s">
        <v>231</v>
      </c>
      <c r="S1476" s="2" t="s">
        <v>6914</v>
      </c>
      <c r="T1476" s="2" t="s">
        <v>970</v>
      </c>
      <c r="U1476" s="2" t="s">
        <v>231</v>
      </c>
      <c r="V1476" s="2" t="s">
        <v>239</v>
      </c>
      <c r="W1476" s="2" t="s">
        <v>273</v>
      </c>
      <c r="X1476" s="2" t="s">
        <v>231</v>
      </c>
      <c r="Y1476" s="2" t="s">
        <v>274</v>
      </c>
      <c r="Z1476" s="4">
        <v>234</v>
      </c>
      <c r="AA1476" s="4">
        <f>=ROUNDDOWN(78,0)</f>
      </c>
      <c r="AB1476" s="5">
        <v>3</v>
      </c>
      <c r="AC1476" s="2" t="s">
        <v>231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231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231</v>
      </c>
      <c r="AW1476" s="8" t="s">
        <v>231</v>
      </c>
      <c r="AX1476" s="4" t="s">
        <v>231</v>
      </c>
      <c r="AY1476" s="8" t="s">
        <v>231</v>
      </c>
      <c r="AZ1476" s="7" t="s">
        <v>231</v>
      </c>
      <c r="BA1476" s="7" t="s">
        <v>231</v>
      </c>
      <c r="BB1476" s="7"/>
      <c r="BC1476" s="4" t="s">
        <v>231</v>
      </c>
      <c r="BD1476" s="8" t="s">
        <v>231</v>
      </c>
      <c r="BE1476" s="4" t="s">
        <v>231</v>
      </c>
      <c r="BF1476" s="8" t="s">
        <v>231</v>
      </c>
      <c r="BG1476" s="7" t="s">
        <v>231</v>
      </c>
      <c r="BH1476" s="7" t="s">
        <v>231</v>
      </c>
      <c r="BI1476" s="7"/>
      <c r="BJ1476" s="4">
        <v>1</v>
      </c>
      <c r="BK1476" s="8">
        <v>51.54</v>
      </c>
      <c r="BL1476" s="2" t="s">
        <v>4229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6915</v>
      </c>
      <c r="BV1476" s="2" t="s">
        <v>231</v>
      </c>
      <c r="BW1476" s="2" t="s">
        <v>231</v>
      </c>
      <c r="BX1476" s="2" t="s">
        <v>4138</v>
      </c>
      <c r="BY1476" s="2" t="s">
        <v>277</v>
      </c>
      <c r="BZ1476" s="2" t="s">
        <v>243</v>
      </c>
      <c r="CA1476" s="2" t="s">
        <v>1779</v>
      </c>
      <c r="CB1476" s="2" t="s">
        <v>6916</v>
      </c>
      <c r="CC1476" s="2" t="s">
        <v>244</v>
      </c>
      <c r="CD1476" s="2" t="s">
        <v>231</v>
      </c>
      <c r="CE1476" s="4">
        <v>234</v>
      </c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</row>
    <row r="1477">
      <c r="A1477" s="2" t="s">
        <v>6917</v>
      </c>
      <c r="B1477" s="2" t="s">
        <v>226</v>
      </c>
      <c r="C1477" s="2" t="s">
        <v>1299</v>
      </c>
      <c r="D1477" s="2" t="s">
        <v>1549</v>
      </c>
      <c r="E1477" s="2" t="s">
        <v>3949</v>
      </c>
      <c r="F1477" s="2" t="s">
        <v>6873</v>
      </c>
      <c r="G1477" s="2" t="s">
        <v>6873</v>
      </c>
      <c r="H1477" s="2" t="s">
        <v>231</v>
      </c>
      <c r="I1477" s="2" t="s">
        <v>229</v>
      </c>
      <c r="J1477" s="2" t="s">
        <v>281</v>
      </c>
      <c r="K1477" s="2" t="s">
        <v>1146</v>
      </c>
      <c r="L1477" s="3">
        <v>59.61</v>
      </c>
      <c r="M1477" s="3">
        <v>62.59</v>
      </c>
      <c r="N1477" s="3">
        <v>119.99</v>
      </c>
      <c r="O1477" s="2" t="s">
        <v>243</v>
      </c>
      <c r="P1477" s="2" t="s">
        <v>270</v>
      </c>
      <c r="Q1477" s="2" t="s">
        <v>237</v>
      </c>
      <c r="R1477" s="2" t="s">
        <v>231</v>
      </c>
      <c r="S1477" s="2" t="s">
        <v>6914</v>
      </c>
      <c r="T1477" s="2" t="s">
        <v>970</v>
      </c>
      <c r="U1477" s="2" t="s">
        <v>231</v>
      </c>
      <c r="V1477" s="2" t="s">
        <v>239</v>
      </c>
      <c r="W1477" s="2" t="s">
        <v>273</v>
      </c>
      <c r="X1477" s="2" t="s">
        <v>231</v>
      </c>
      <c r="Y1477" s="2" t="s">
        <v>274</v>
      </c>
      <c r="Z1477" s="4">
        <v>290</v>
      </c>
      <c r="AA1477" s="4">
        <f>=ROUNDDOWN(145,0)</f>
      </c>
      <c r="AB1477" s="5">
        <v>2</v>
      </c>
      <c r="AC1477" s="2" t="s">
        <v>231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231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231</v>
      </c>
      <c r="AW1477" s="8" t="s">
        <v>231</v>
      </c>
      <c r="AX1477" s="4" t="s">
        <v>231</v>
      </c>
      <c r="AY1477" s="8" t="s">
        <v>231</v>
      </c>
      <c r="AZ1477" s="7" t="s">
        <v>231</v>
      </c>
      <c r="BA1477" s="7" t="s">
        <v>231</v>
      </c>
      <c r="BB1477" s="7"/>
      <c r="BC1477" s="4" t="s">
        <v>231</v>
      </c>
      <c r="BD1477" s="8" t="s">
        <v>231</v>
      </c>
      <c r="BE1477" s="4" t="s">
        <v>231</v>
      </c>
      <c r="BF1477" s="8" t="s">
        <v>231</v>
      </c>
      <c r="BG1477" s="7" t="s">
        <v>231</v>
      </c>
      <c r="BH1477" s="7" t="s">
        <v>231</v>
      </c>
      <c r="BI1477" s="7"/>
      <c r="BJ1477" s="4">
        <v>1</v>
      </c>
      <c r="BK1477" s="8">
        <v>65.84</v>
      </c>
      <c r="BL1477" s="2" t="s">
        <v>3968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6918</v>
      </c>
      <c r="BV1477" s="2" t="s">
        <v>231</v>
      </c>
      <c r="BW1477" s="2" t="s">
        <v>231</v>
      </c>
      <c r="BX1477" s="2" t="s">
        <v>4138</v>
      </c>
      <c r="BY1477" s="2" t="s">
        <v>277</v>
      </c>
      <c r="BZ1477" s="2" t="s">
        <v>243</v>
      </c>
      <c r="CA1477" s="2" t="s">
        <v>1779</v>
      </c>
      <c r="CB1477" s="2" t="s">
        <v>6402</v>
      </c>
      <c r="CC1477" s="2" t="s">
        <v>244</v>
      </c>
      <c r="CD1477" s="2" t="s">
        <v>231</v>
      </c>
      <c r="CE1477" s="4">
        <v>290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</row>
    <row r="1478">
      <c r="A1478" s="2" t="s">
        <v>6919</v>
      </c>
      <c r="B1478" s="2" t="s">
        <v>226</v>
      </c>
      <c r="C1478" s="2" t="s">
        <v>1299</v>
      </c>
      <c r="D1478" s="2" t="s">
        <v>1549</v>
      </c>
      <c r="E1478" s="2" t="s">
        <v>3949</v>
      </c>
      <c r="F1478" s="2" t="s">
        <v>6873</v>
      </c>
      <c r="G1478" s="2" t="s">
        <v>6873</v>
      </c>
      <c r="H1478" s="2" t="s">
        <v>231</v>
      </c>
      <c r="I1478" s="2" t="s">
        <v>229</v>
      </c>
      <c r="J1478" s="2" t="s">
        <v>293</v>
      </c>
      <c r="K1478" s="2" t="s">
        <v>1146</v>
      </c>
      <c r="L1478" s="3">
        <v>79.48</v>
      </c>
      <c r="M1478" s="3">
        <v>83.45</v>
      </c>
      <c r="N1478" s="3">
        <v>159.99</v>
      </c>
      <c r="O1478" s="2" t="s">
        <v>243</v>
      </c>
      <c r="P1478" s="2" t="s">
        <v>270</v>
      </c>
      <c r="Q1478" s="2" t="s">
        <v>237</v>
      </c>
      <c r="R1478" s="2" t="s">
        <v>231</v>
      </c>
      <c r="S1478" s="2" t="s">
        <v>6914</v>
      </c>
      <c r="T1478" s="2" t="s">
        <v>970</v>
      </c>
      <c r="U1478" s="2" t="s">
        <v>231</v>
      </c>
      <c r="V1478" s="2" t="s">
        <v>239</v>
      </c>
      <c r="W1478" s="2" t="s">
        <v>273</v>
      </c>
      <c r="X1478" s="2" t="s">
        <v>231</v>
      </c>
      <c r="Y1478" s="2" t="s">
        <v>274</v>
      </c>
      <c r="Z1478" s="4">
        <v>495</v>
      </c>
      <c r="AA1478" s="4">
        <f>=ROUNDDOWN(70.7142857142857,0)</f>
      </c>
      <c r="AB1478" s="5">
        <v>7</v>
      </c>
      <c r="AC1478" s="2" t="s">
        <v>231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231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231</v>
      </c>
      <c r="AW1478" s="8" t="s">
        <v>231</v>
      </c>
      <c r="AX1478" s="4" t="s">
        <v>231</v>
      </c>
      <c r="AY1478" s="8" t="s">
        <v>231</v>
      </c>
      <c r="AZ1478" s="7" t="s">
        <v>231</v>
      </c>
      <c r="BA1478" s="7" t="s">
        <v>231</v>
      </c>
      <c r="BB1478" s="7"/>
      <c r="BC1478" s="4" t="s">
        <v>231</v>
      </c>
      <c r="BD1478" s="8" t="s">
        <v>231</v>
      </c>
      <c r="BE1478" s="4" t="s">
        <v>231</v>
      </c>
      <c r="BF1478" s="8" t="s">
        <v>231</v>
      </c>
      <c r="BG1478" s="7" t="s">
        <v>231</v>
      </c>
      <c r="BH1478" s="7" t="s">
        <v>231</v>
      </c>
      <c r="BI1478" s="7"/>
      <c r="BJ1478" s="4">
        <v>1</v>
      </c>
      <c r="BK1478" s="8">
        <v>70.93</v>
      </c>
      <c r="BL1478" s="2" t="s">
        <v>6920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6921</v>
      </c>
      <c r="BV1478" s="2" t="s">
        <v>231</v>
      </c>
      <c r="BW1478" s="2" t="s">
        <v>231</v>
      </c>
      <c r="BX1478" s="2" t="s">
        <v>4138</v>
      </c>
      <c r="BY1478" s="2" t="s">
        <v>277</v>
      </c>
      <c r="BZ1478" s="2" t="s">
        <v>243</v>
      </c>
      <c r="CA1478" s="2" t="s">
        <v>1779</v>
      </c>
      <c r="CB1478" s="2" t="s">
        <v>6922</v>
      </c>
      <c r="CC1478" s="2" t="s">
        <v>244</v>
      </c>
      <c r="CD1478" s="2" t="s">
        <v>231</v>
      </c>
      <c r="CE1478" s="4">
        <v>435</v>
      </c>
      <c r="CF1478" s="4">
        <v>60</v>
      </c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</row>
    <row r="1479">
      <c r="A1479" s="2" t="s">
        <v>6923</v>
      </c>
      <c r="B1479" s="2" t="s">
        <v>226</v>
      </c>
      <c r="C1479" s="2" t="s">
        <v>1299</v>
      </c>
      <c r="D1479" s="2" t="s">
        <v>1549</v>
      </c>
      <c r="E1479" s="2" t="s">
        <v>1550</v>
      </c>
      <c r="F1479" s="2" t="s">
        <v>6873</v>
      </c>
      <c r="G1479" s="2" t="s">
        <v>6873</v>
      </c>
      <c r="H1479" s="2" t="s">
        <v>231</v>
      </c>
      <c r="I1479" s="2" t="s">
        <v>2589</v>
      </c>
      <c r="J1479" s="2" t="s">
        <v>2845</v>
      </c>
      <c r="K1479" s="2" t="s">
        <v>1146</v>
      </c>
      <c r="L1479" s="3">
        <v>37.72</v>
      </c>
      <c r="M1479" s="3">
        <v>39.61</v>
      </c>
      <c r="N1479" s="3">
        <v>81.99</v>
      </c>
      <c r="O1479" s="2" t="s">
        <v>243</v>
      </c>
      <c r="P1479" s="2" t="s">
        <v>270</v>
      </c>
      <c r="Q1479" s="2" t="s">
        <v>237</v>
      </c>
      <c r="R1479" s="2" t="s">
        <v>231</v>
      </c>
      <c r="S1479" s="2" t="s">
        <v>6924</v>
      </c>
      <c r="T1479" s="2" t="s">
        <v>970</v>
      </c>
      <c r="U1479" s="2" t="s">
        <v>231</v>
      </c>
      <c r="V1479" s="2" t="s">
        <v>239</v>
      </c>
      <c r="W1479" s="2" t="s">
        <v>273</v>
      </c>
      <c r="X1479" s="2" t="s">
        <v>231</v>
      </c>
      <c r="Y1479" s="2" t="s">
        <v>274</v>
      </c>
      <c r="Z1479" s="4"/>
      <c r="AA1479" s="4">
        <f>=ROUNDDOWN({0},0)</f>
      </c>
      <c r="AB1479" s="5">
        <v>22</v>
      </c>
      <c r="AC1479" s="2" t="s">
        <v>3723</v>
      </c>
      <c r="AD1479" s="4">
        <v>150</v>
      </c>
      <c r="AE1479" s="4">
        <v>750</v>
      </c>
      <c r="AF1479" s="6">
        <v>65</v>
      </c>
      <c r="AG1479" s="6"/>
      <c r="AH1479" s="7">
        <v>0</v>
      </c>
      <c r="AI1479" s="4"/>
      <c r="AJ1479" s="4">
        <f>=ROUNDDOWN({0},0)</f>
      </c>
      <c r="AK1479" s="5"/>
      <c r="AL1479" s="2" t="s">
        <v>231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231</v>
      </c>
      <c r="AW1479" s="8" t="s">
        <v>231</v>
      </c>
      <c r="AX1479" s="4" t="s">
        <v>231</v>
      </c>
      <c r="AY1479" s="8" t="s">
        <v>231</v>
      </c>
      <c r="AZ1479" s="7" t="s">
        <v>231</v>
      </c>
      <c r="BA1479" s="7" t="s">
        <v>231</v>
      </c>
      <c r="BB1479" s="7"/>
      <c r="BC1479" s="4" t="s">
        <v>231</v>
      </c>
      <c r="BD1479" s="8" t="s">
        <v>231</v>
      </c>
      <c r="BE1479" s="4" t="s">
        <v>231</v>
      </c>
      <c r="BF1479" s="8" t="s">
        <v>231</v>
      </c>
      <c r="BG1479" s="7" t="s">
        <v>231</v>
      </c>
      <c r="BH1479" s="7" t="s">
        <v>231</v>
      </c>
      <c r="BI1479" s="7"/>
      <c r="BJ1479" s="4"/>
      <c r="BK1479" s="8"/>
      <c r="BL1479" s="2" t="s">
        <v>6925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6926</v>
      </c>
      <c r="BV1479" s="2" t="s">
        <v>231</v>
      </c>
      <c r="BW1479" s="2" t="s">
        <v>231</v>
      </c>
      <c r="BX1479" s="2" t="s">
        <v>231</v>
      </c>
      <c r="BY1479" s="2" t="s">
        <v>277</v>
      </c>
      <c r="BZ1479" s="2" t="s">
        <v>243</v>
      </c>
      <c r="CA1479" s="2" t="s">
        <v>1779</v>
      </c>
      <c r="CB1479" s="2" t="s">
        <v>4723</v>
      </c>
      <c r="CC1479" s="2" t="s">
        <v>244</v>
      </c>
      <c r="CD1479" s="2" t="s">
        <v>231</v>
      </c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>
        <v>150</v>
      </c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>
        <v>270</v>
      </c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>
        <v>330</v>
      </c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</row>
    <row r="1480">
      <c r="A1480" s="2" t="s">
        <v>6927</v>
      </c>
      <c r="B1480" s="2" t="s">
        <v>226</v>
      </c>
      <c r="C1480" s="2" t="s">
        <v>1017</v>
      </c>
      <c r="D1480" s="2" t="s">
        <v>1549</v>
      </c>
      <c r="E1480" s="2" t="s">
        <v>6928</v>
      </c>
      <c r="F1480" s="2" t="s">
        <v>6929</v>
      </c>
      <c r="G1480" s="2" t="s">
        <v>6929</v>
      </c>
      <c r="H1480" s="2" t="s">
        <v>6929</v>
      </c>
      <c r="I1480" s="2" t="s">
        <v>6930</v>
      </c>
      <c r="J1480" s="2" t="s">
        <v>6678</v>
      </c>
      <c r="K1480" s="2" t="s">
        <v>253</v>
      </c>
      <c r="L1480" s="3">
        <v>31.67</v>
      </c>
      <c r="M1480" s="3">
        <v>33.25</v>
      </c>
      <c r="N1480" s="3">
        <v>54.99</v>
      </c>
      <c r="O1480" s="2" t="s">
        <v>235</v>
      </c>
      <c r="P1480" s="2" t="s">
        <v>1019</v>
      </c>
      <c r="Q1480" s="2" t="s">
        <v>237</v>
      </c>
      <c r="R1480" s="2" t="s">
        <v>1020</v>
      </c>
      <c r="S1480" s="2" t="s">
        <v>6931</v>
      </c>
      <c r="T1480" s="2" t="s">
        <v>970</v>
      </c>
      <c r="U1480" s="2" t="s">
        <v>791</v>
      </c>
      <c r="V1480" s="2" t="s">
        <v>239</v>
      </c>
      <c r="W1480" s="2" t="s">
        <v>273</v>
      </c>
      <c r="X1480" s="2" t="s">
        <v>971</v>
      </c>
      <c r="Y1480" s="2" t="s">
        <v>6932</v>
      </c>
      <c r="Z1480" s="4">
        <v>377</v>
      </c>
      <c r="AA1480" s="4">
        <f>=ROUNDDOWN(8.51015801354402,0)</f>
      </c>
      <c r="AB1480" s="5">
        <v>44.3</v>
      </c>
      <c r="AC1480" s="2" t="s">
        <v>231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231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/>
      <c r="BD1480" s="8"/>
      <c r="BE1480" s="4"/>
      <c r="BF1480" s="8"/>
      <c r="BG1480" s="7"/>
      <c r="BH1480" s="7"/>
      <c r="BI1480" s="7"/>
      <c r="BJ1480" s="4">
        <v>63</v>
      </c>
      <c r="BK1480" s="8">
        <v>1302.84</v>
      </c>
      <c r="BL1480" s="2" t="s">
        <v>3050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6933</v>
      </c>
      <c r="BV1480" s="2" t="s">
        <v>231</v>
      </c>
      <c r="BW1480" s="2" t="s">
        <v>231</v>
      </c>
      <c r="BX1480" s="2" t="s">
        <v>241</v>
      </c>
      <c r="BY1480" s="2" t="s">
        <v>277</v>
      </c>
      <c r="BZ1480" s="2" t="s">
        <v>243</v>
      </c>
      <c r="CA1480" s="2" t="s">
        <v>6934</v>
      </c>
      <c r="CB1480" s="2" t="s">
        <v>2440</v>
      </c>
      <c r="CC1480" s="2" t="s">
        <v>244</v>
      </c>
      <c r="CD1480" s="2" t="s">
        <v>231</v>
      </c>
      <c r="CE1480" s="4">
        <v>377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</row>
    <row r="1481">
      <c r="A1481" s="2" t="s">
        <v>6935</v>
      </c>
      <c r="B1481" s="2" t="s">
        <v>262</v>
      </c>
      <c r="C1481" s="2" t="s">
        <v>965</v>
      </c>
      <c r="D1481" s="2" t="s">
        <v>654</v>
      </c>
      <c r="E1481" s="2" t="s">
        <v>1200</v>
      </c>
      <c r="F1481" s="2" t="s">
        <v>6936</v>
      </c>
      <c r="G1481" s="2" t="s">
        <v>6936</v>
      </c>
      <c r="H1481" s="2" t="s">
        <v>6936</v>
      </c>
      <c r="I1481" s="2" t="s">
        <v>6937</v>
      </c>
      <c r="J1481" s="2" t="s">
        <v>832</v>
      </c>
      <c r="K1481" s="2" t="s">
        <v>1136</v>
      </c>
      <c r="L1481" s="3">
        <v>35.71</v>
      </c>
      <c r="M1481" s="3">
        <v>37.5</v>
      </c>
      <c r="N1481" s="3">
        <v>74.99</v>
      </c>
      <c r="O1481" s="2" t="s">
        <v>243</v>
      </c>
      <c r="P1481" s="2" t="s">
        <v>270</v>
      </c>
      <c r="Q1481" s="2" t="s">
        <v>237</v>
      </c>
      <c r="R1481" s="2" t="s">
        <v>231</v>
      </c>
      <c r="S1481" s="2" t="s">
        <v>6938</v>
      </c>
      <c r="T1481" s="2" t="s">
        <v>472</v>
      </c>
      <c r="U1481" s="2" t="s">
        <v>327</v>
      </c>
      <c r="V1481" s="2" t="s">
        <v>239</v>
      </c>
      <c r="W1481" s="2" t="s">
        <v>273</v>
      </c>
      <c r="X1481" s="2" t="s">
        <v>231</v>
      </c>
      <c r="Y1481" s="2" t="s">
        <v>926</v>
      </c>
      <c r="Z1481" s="4">
        <v>168</v>
      </c>
      <c r="AA1481" s="4">
        <f>=ROUNDDOWN(33.6,0)</f>
      </c>
      <c r="AB1481" s="5">
        <v>5</v>
      </c>
      <c r="AC1481" s="2" t="s">
        <v>1128</v>
      </c>
      <c r="AD1481" s="4">
        <v>170</v>
      </c>
      <c r="AE1481" s="4">
        <v>240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231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231</v>
      </c>
      <c r="AW1481" s="8" t="s">
        <v>231</v>
      </c>
      <c r="AX1481" s="4" t="s">
        <v>231</v>
      </c>
      <c r="AY1481" s="8" t="s">
        <v>231</v>
      </c>
      <c r="AZ1481" s="7" t="s">
        <v>231</v>
      </c>
      <c r="BA1481" s="7" t="s">
        <v>231</v>
      </c>
      <c r="BB1481" s="7"/>
      <c r="BC1481" s="4" t="s">
        <v>231</v>
      </c>
      <c r="BD1481" s="8" t="s">
        <v>231</v>
      </c>
      <c r="BE1481" s="4" t="s">
        <v>231</v>
      </c>
      <c r="BF1481" s="8" t="s">
        <v>231</v>
      </c>
      <c r="BG1481" s="7" t="s">
        <v>231</v>
      </c>
      <c r="BH1481" s="7" t="s">
        <v>231</v>
      </c>
      <c r="BI1481" s="7"/>
      <c r="BJ1481" s="4">
        <v>5</v>
      </c>
      <c r="BK1481" s="8">
        <v>193.88</v>
      </c>
      <c r="BL1481" s="2" t="s">
        <v>1206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6939</v>
      </c>
      <c r="BV1481" s="2" t="s">
        <v>231</v>
      </c>
      <c r="BW1481" s="2" t="s">
        <v>231</v>
      </c>
      <c r="BX1481" s="2" t="s">
        <v>241</v>
      </c>
      <c r="BY1481" s="2" t="s">
        <v>277</v>
      </c>
      <c r="BZ1481" s="2" t="s">
        <v>243</v>
      </c>
      <c r="CA1481" s="2" t="s">
        <v>3776</v>
      </c>
      <c r="CB1481" s="2" t="s">
        <v>6940</v>
      </c>
      <c r="CC1481" s="2" t="s">
        <v>244</v>
      </c>
      <c r="CD1481" s="2" t="s">
        <v>231</v>
      </c>
      <c r="CE1481" s="4">
        <v>168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>
        <v>170</v>
      </c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>
        <v>70</v>
      </c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</row>
    <row r="1482">
      <c r="A1482" s="2" t="s">
        <v>6941</v>
      </c>
      <c r="B1482" s="2" t="s">
        <v>262</v>
      </c>
      <c r="C1482" s="2" t="s">
        <v>965</v>
      </c>
      <c r="D1482" s="2" t="s">
        <v>654</v>
      </c>
      <c r="E1482" s="2" t="s">
        <v>1200</v>
      </c>
      <c r="F1482" s="2" t="s">
        <v>6936</v>
      </c>
      <c r="G1482" s="2" t="s">
        <v>6936</v>
      </c>
      <c r="H1482" s="2" t="s">
        <v>6936</v>
      </c>
      <c r="I1482" s="2" t="s">
        <v>6937</v>
      </c>
      <c r="J1482" s="2" t="s">
        <v>658</v>
      </c>
      <c r="K1482" s="2" t="s">
        <v>1136</v>
      </c>
      <c r="L1482" s="3">
        <v>45.23</v>
      </c>
      <c r="M1482" s="3">
        <v>47.49</v>
      </c>
      <c r="N1482" s="3">
        <v>94.99</v>
      </c>
      <c r="O1482" s="2" t="s">
        <v>243</v>
      </c>
      <c r="P1482" s="2" t="s">
        <v>270</v>
      </c>
      <c r="Q1482" s="2" t="s">
        <v>237</v>
      </c>
      <c r="R1482" s="2" t="s">
        <v>231</v>
      </c>
      <c r="S1482" s="2" t="s">
        <v>6938</v>
      </c>
      <c r="T1482" s="2" t="s">
        <v>472</v>
      </c>
      <c r="U1482" s="2" t="s">
        <v>327</v>
      </c>
      <c r="V1482" s="2" t="s">
        <v>239</v>
      </c>
      <c r="W1482" s="2" t="s">
        <v>273</v>
      </c>
      <c r="X1482" s="2" t="s">
        <v>231</v>
      </c>
      <c r="Y1482" s="2" t="s">
        <v>926</v>
      </c>
      <c r="Z1482" s="4">
        <v>279</v>
      </c>
      <c r="AA1482" s="4">
        <f>=ROUNDDOWN(69.75,0)</f>
      </c>
      <c r="AB1482" s="5">
        <v>4</v>
      </c>
      <c r="AC1482" s="2" t="s">
        <v>1128</v>
      </c>
      <c r="AD1482" s="4">
        <v>130</v>
      </c>
      <c r="AE1482" s="4">
        <v>400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231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231</v>
      </c>
      <c r="AW1482" s="8" t="s">
        <v>231</v>
      </c>
      <c r="AX1482" s="4" t="s">
        <v>231</v>
      </c>
      <c r="AY1482" s="8" t="s">
        <v>231</v>
      </c>
      <c r="AZ1482" s="7" t="s">
        <v>231</v>
      </c>
      <c r="BA1482" s="7" t="s">
        <v>231</v>
      </c>
      <c r="BB1482" s="7"/>
      <c r="BC1482" s="4" t="s">
        <v>231</v>
      </c>
      <c r="BD1482" s="8" t="s">
        <v>231</v>
      </c>
      <c r="BE1482" s="4" t="s">
        <v>231</v>
      </c>
      <c r="BF1482" s="8" t="s">
        <v>231</v>
      </c>
      <c r="BG1482" s="7" t="s">
        <v>231</v>
      </c>
      <c r="BH1482" s="7" t="s">
        <v>231</v>
      </c>
      <c r="BI1482" s="7"/>
      <c r="BJ1482" s="4">
        <v>10</v>
      </c>
      <c r="BK1482" s="8">
        <v>467.8</v>
      </c>
      <c r="BL1482" s="2" t="s">
        <v>399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6942</v>
      </c>
      <c r="BV1482" s="2" t="s">
        <v>231</v>
      </c>
      <c r="BW1482" s="2" t="s">
        <v>231</v>
      </c>
      <c r="BX1482" s="2" t="s">
        <v>241</v>
      </c>
      <c r="BY1482" s="2" t="s">
        <v>277</v>
      </c>
      <c r="BZ1482" s="2" t="s">
        <v>243</v>
      </c>
      <c r="CA1482" s="2" t="s">
        <v>3776</v>
      </c>
      <c r="CB1482" s="2" t="s">
        <v>1964</v>
      </c>
      <c r="CC1482" s="2" t="s">
        <v>244</v>
      </c>
      <c r="CD1482" s="2" t="s">
        <v>231</v>
      </c>
      <c r="CE1482" s="4">
        <v>279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>
        <v>130</v>
      </c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>
        <v>270</v>
      </c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</row>
    <row r="1483">
      <c r="A1483" s="2" t="s">
        <v>6943</v>
      </c>
      <c r="B1483" s="2" t="s">
        <v>262</v>
      </c>
      <c r="C1483" s="2" t="s">
        <v>965</v>
      </c>
      <c r="D1483" s="2" t="s">
        <v>654</v>
      </c>
      <c r="E1483" s="2" t="s">
        <v>1200</v>
      </c>
      <c r="F1483" s="2" t="s">
        <v>6936</v>
      </c>
      <c r="G1483" s="2" t="s">
        <v>6936</v>
      </c>
      <c r="H1483" s="2" t="s">
        <v>6936</v>
      </c>
      <c r="I1483" s="2" t="s">
        <v>6937</v>
      </c>
      <c r="J1483" s="2" t="s">
        <v>669</v>
      </c>
      <c r="K1483" s="2" t="s">
        <v>1136</v>
      </c>
      <c r="L1483" s="3">
        <v>52.38</v>
      </c>
      <c r="M1483" s="3">
        <v>55</v>
      </c>
      <c r="N1483" s="3">
        <v>109.99</v>
      </c>
      <c r="O1483" s="2" t="s">
        <v>243</v>
      </c>
      <c r="P1483" s="2" t="s">
        <v>270</v>
      </c>
      <c r="Q1483" s="2" t="s">
        <v>237</v>
      </c>
      <c r="R1483" s="2" t="s">
        <v>231</v>
      </c>
      <c r="S1483" s="2" t="s">
        <v>6938</v>
      </c>
      <c r="T1483" s="2" t="s">
        <v>472</v>
      </c>
      <c r="U1483" s="2" t="s">
        <v>327</v>
      </c>
      <c r="V1483" s="2" t="s">
        <v>239</v>
      </c>
      <c r="W1483" s="2" t="s">
        <v>273</v>
      </c>
      <c r="X1483" s="2" t="s">
        <v>231</v>
      </c>
      <c r="Y1483" s="2" t="s">
        <v>926</v>
      </c>
      <c r="Z1483" s="4">
        <v>276</v>
      </c>
      <c r="AA1483" s="4">
        <f>=ROUNDDOWN(55.2,0)</f>
      </c>
      <c r="AB1483" s="5">
        <v>5</v>
      </c>
      <c r="AC1483" s="2" t="s">
        <v>1128</v>
      </c>
      <c r="AD1483" s="4">
        <v>90</v>
      </c>
      <c r="AE1483" s="4">
        <v>360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231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231</v>
      </c>
      <c r="AW1483" s="8" t="s">
        <v>231</v>
      </c>
      <c r="AX1483" s="4" t="s">
        <v>231</v>
      </c>
      <c r="AY1483" s="8" t="s">
        <v>231</v>
      </c>
      <c r="AZ1483" s="7" t="s">
        <v>231</v>
      </c>
      <c r="BA1483" s="7" t="s">
        <v>231</v>
      </c>
      <c r="BB1483" s="7"/>
      <c r="BC1483" s="4" t="s">
        <v>231</v>
      </c>
      <c r="BD1483" s="8" t="s">
        <v>231</v>
      </c>
      <c r="BE1483" s="4" t="s">
        <v>231</v>
      </c>
      <c r="BF1483" s="8" t="s">
        <v>231</v>
      </c>
      <c r="BG1483" s="7" t="s">
        <v>231</v>
      </c>
      <c r="BH1483" s="7" t="s">
        <v>231</v>
      </c>
      <c r="BI1483" s="7"/>
      <c r="BJ1483" s="4">
        <v>10</v>
      </c>
      <c r="BK1483" s="8">
        <v>584.65</v>
      </c>
      <c r="BL1483" s="2" t="s">
        <v>6944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6945</v>
      </c>
      <c r="BV1483" s="2" t="s">
        <v>231</v>
      </c>
      <c r="BW1483" s="2" t="s">
        <v>231</v>
      </c>
      <c r="BX1483" s="2" t="s">
        <v>241</v>
      </c>
      <c r="BY1483" s="2" t="s">
        <v>277</v>
      </c>
      <c r="BZ1483" s="2" t="s">
        <v>243</v>
      </c>
      <c r="CA1483" s="2" t="s">
        <v>3776</v>
      </c>
      <c r="CB1483" s="2" t="s">
        <v>3772</v>
      </c>
      <c r="CC1483" s="2" t="s">
        <v>244</v>
      </c>
      <c r="CD1483" s="2" t="s">
        <v>231</v>
      </c>
      <c r="CE1483" s="4">
        <v>276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>
        <v>90</v>
      </c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>
        <v>270</v>
      </c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</row>
    <row r="1484">
      <c r="A1484" s="2" t="s">
        <v>6946</v>
      </c>
      <c r="B1484" s="2" t="s">
        <v>262</v>
      </c>
      <c r="C1484" s="2" t="s">
        <v>965</v>
      </c>
      <c r="D1484" s="2" t="s">
        <v>654</v>
      </c>
      <c r="E1484" s="2" t="s">
        <v>1200</v>
      </c>
      <c r="F1484" s="2" t="s">
        <v>6936</v>
      </c>
      <c r="G1484" s="2" t="s">
        <v>6936</v>
      </c>
      <c r="H1484" s="2" t="s">
        <v>6936</v>
      </c>
      <c r="I1484" s="2" t="s">
        <v>6937</v>
      </c>
      <c r="J1484" s="2" t="s">
        <v>832</v>
      </c>
      <c r="K1484" s="2" t="s">
        <v>747</v>
      </c>
      <c r="L1484" s="3">
        <v>35.71</v>
      </c>
      <c r="M1484" s="3">
        <v>37.5</v>
      </c>
      <c r="N1484" s="3">
        <v>74.99</v>
      </c>
      <c r="O1484" s="2" t="s">
        <v>243</v>
      </c>
      <c r="P1484" s="2" t="s">
        <v>270</v>
      </c>
      <c r="Q1484" s="2" t="s">
        <v>237</v>
      </c>
      <c r="R1484" s="2" t="s">
        <v>231</v>
      </c>
      <c r="S1484" s="2" t="s">
        <v>6947</v>
      </c>
      <c r="T1484" s="2" t="s">
        <v>472</v>
      </c>
      <c r="U1484" s="2" t="s">
        <v>327</v>
      </c>
      <c r="V1484" s="2" t="s">
        <v>239</v>
      </c>
      <c r="W1484" s="2" t="s">
        <v>273</v>
      </c>
      <c r="X1484" s="2" t="s">
        <v>231</v>
      </c>
      <c r="Y1484" s="2" t="s">
        <v>926</v>
      </c>
      <c r="Z1484" s="4">
        <v>119</v>
      </c>
      <c r="AA1484" s="4">
        <f>=ROUNDDOWN(29.75,0)</f>
      </c>
      <c r="AB1484" s="5">
        <v>4</v>
      </c>
      <c r="AC1484" s="2" t="s">
        <v>1128</v>
      </c>
      <c r="AD1484" s="4">
        <v>230</v>
      </c>
      <c r="AE1484" s="4">
        <v>290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231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231</v>
      </c>
      <c r="AW1484" s="8" t="s">
        <v>231</v>
      </c>
      <c r="AX1484" s="4" t="s">
        <v>231</v>
      </c>
      <c r="AY1484" s="8" t="s">
        <v>231</v>
      </c>
      <c r="AZ1484" s="7" t="s">
        <v>231</v>
      </c>
      <c r="BA1484" s="7" t="s">
        <v>231</v>
      </c>
      <c r="BB1484" s="7"/>
      <c r="BC1484" s="4" t="s">
        <v>231</v>
      </c>
      <c r="BD1484" s="8" t="s">
        <v>231</v>
      </c>
      <c r="BE1484" s="4" t="s">
        <v>231</v>
      </c>
      <c r="BF1484" s="8" t="s">
        <v>231</v>
      </c>
      <c r="BG1484" s="7" t="s">
        <v>231</v>
      </c>
      <c r="BH1484" s="7" t="s">
        <v>231</v>
      </c>
      <c r="BI1484" s="7"/>
      <c r="BJ1484" s="4">
        <v>9</v>
      </c>
      <c r="BK1484" s="8">
        <v>364.5</v>
      </c>
      <c r="BL1484" s="2" t="s">
        <v>1358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6948</v>
      </c>
      <c r="BV1484" s="2" t="s">
        <v>231</v>
      </c>
      <c r="BW1484" s="2" t="s">
        <v>231</v>
      </c>
      <c r="BX1484" s="2" t="s">
        <v>241</v>
      </c>
      <c r="BY1484" s="2" t="s">
        <v>277</v>
      </c>
      <c r="BZ1484" s="2" t="s">
        <v>243</v>
      </c>
      <c r="CA1484" s="2" t="s">
        <v>3776</v>
      </c>
      <c r="CB1484" s="2" t="s">
        <v>450</v>
      </c>
      <c r="CC1484" s="2" t="s">
        <v>244</v>
      </c>
      <c r="CD1484" s="2" t="s">
        <v>231</v>
      </c>
      <c r="CE1484" s="4">
        <v>119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>
        <v>230</v>
      </c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>
        <v>60</v>
      </c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</row>
    <row r="1485">
      <c r="A1485" s="2" t="s">
        <v>6949</v>
      </c>
      <c r="B1485" s="2" t="s">
        <v>262</v>
      </c>
      <c r="C1485" s="2" t="s">
        <v>965</v>
      </c>
      <c r="D1485" s="2" t="s">
        <v>654</v>
      </c>
      <c r="E1485" s="2" t="s">
        <v>1200</v>
      </c>
      <c r="F1485" s="2" t="s">
        <v>6936</v>
      </c>
      <c r="G1485" s="2" t="s">
        <v>6936</v>
      </c>
      <c r="H1485" s="2" t="s">
        <v>6936</v>
      </c>
      <c r="I1485" s="2" t="s">
        <v>6937</v>
      </c>
      <c r="J1485" s="2" t="s">
        <v>658</v>
      </c>
      <c r="K1485" s="2" t="s">
        <v>747</v>
      </c>
      <c r="L1485" s="3">
        <v>45.23</v>
      </c>
      <c r="M1485" s="3">
        <v>47.49</v>
      </c>
      <c r="N1485" s="3">
        <v>94.99</v>
      </c>
      <c r="O1485" s="2" t="s">
        <v>243</v>
      </c>
      <c r="P1485" s="2" t="s">
        <v>270</v>
      </c>
      <c r="Q1485" s="2" t="s">
        <v>237</v>
      </c>
      <c r="R1485" s="2" t="s">
        <v>231</v>
      </c>
      <c r="S1485" s="2" t="s">
        <v>6947</v>
      </c>
      <c r="T1485" s="2" t="s">
        <v>472</v>
      </c>
      <c r="U1485" s="2" t="s">
        <v>327</v>
      </c>
      <c r="V1485" s="2" t="s">
        <v>239</v>
      </c>
      <c r="W1485" s="2" t="s">
        <v>273</v>
      </c>
      <c r="X1485" s="2" t="s">
        <v>231</v>
      </c>
      <c r="Y1485" s="2" t="s">
        <v>926</v>
      </c>
      <c r="Z1485" s="4">
        <v>203</v>
      </c>
      <c r="AA1485" s="4">
        <f>=ROUNDDOWN(40.6,0)</f>
      </c>
      <c r="AB1485" s="5">
        <v>5</v>
      </c>
      <c r="AC1485" s="2" t="s">
        <v>1128</v>
      </c>
      <c r="AD1485" s="4">
        <v>200</v>
      </c>
      <c r="AE1485" s="4">
        <v>340</v>
      </c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231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231</v>
      </c>
      <c r="AW1485" s="8" t="s">
        <v>231</v>
      </c>
      <c r="AX1485" s="4" t="s">
        <v>231</v>
      </c>
      <c r="AY1485" s="8" t="s">
        <v>231</v>
      </c>
      <c r="AZ1485" s="7" t="s">
        <v>231</v>
      </c>
      <c r="BA1485" s="7" t="s">
        <v>231</v>
      </c>
      <c r="BB1485" s="7"/>
      <c r="BC1485" s="4" t="s">
        <v>231</v>
      </c>
      <c r="BD1485" s="8" t="s">
        <v>231</v>
      </c>
      <c r="BE1485" s="4" t="s">
        <v>231</v>
      </c>
      <c r="BF1485" s="8" t="s">
        <v>231</v>
      </c>
      <c r="BG1485" s="7" t="s">
        <v>231</v>
      </c>
      <c r="BH1485" s="7" t="s">
        <v>231</v>
      </c>
      <c r="BI1485" s="7"/>
      <c r="BJ1485" s="4">
        <v>9</v>
      </c>
      <c r="BK1485" s="8">
        <v>429.8</v>
      </c>
      <c r="BL1485" s="2" t="s">
        <v>399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6950</v>
      </c>
      <c r="BV1485" s="2" t="s">
        <v>231</v>
      </c>
      <c r="BW1485" s="2" t="s">
        <v>231</v>
      </c>
      <c r="BX1485" s="2" t="s">
        <v>241</v>
      </c>
      <c r="BY1485" s="2" t="s">
        <v>277</v>
      </c>
      <c r="BZ1485" s="2" t="s">
        <v>243</v>
      </c>
      <c r="CA1485" s="2" t="s">
        <v>3776</v>
      </c>
      <c r="CB1485" s="2" t="s">
        <v>6951</v>
      </c>
      <c r="CC1485" s="2" t="s">
        <v>244</v>
      </c>
      <c r="CD1485" s="2" t="s">
        <v>231</v>
      </c>
      <c r="CE1485" s="4">
        <v>203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>
        <v>200</v>
      </c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>
        <v>140</v>
      </c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</row>
    <row r="1486">
      <c r="A1486" s="2" t="s">
        <v>6952</v>
      </c>
      <c r="B1486" s="2" t="s">
        <v>262</v>
      </c>
      <c r="C1486" s="2" t="s">
        <v>965</v>
      </c>
      <c r="D1486" s="2" t="s">
        <v>654</v>
      </c>
      <c r="E1486" s="2" t="s">
        <v>1200</v>
      </c>
      <c r="F1486" s="2" t="s">
        <v>6936</v>
      </c>
      <c r="G1486" s="2" t="s">
        <v>6936</v>
      </c>
      <c r="H1486" s="2" t="s">
        <v>6936</v>
      </c>
      <c r="I1486" s="2" t="s">
        <v>6937</v>
      </c>
      <c r="J1486" s="2" t="s">
        <v>669</v>
      </c>
      <c r="K1486" s="2" t="s">
        <v>747</v>
      </c>
      <c r="L1486" s="3">
        <v>52.38</v>
      </c>
      <c r="M1486" s="3">
        <v>55</v>
      </c>
      <c r="N1486" s="3">
        <v>109.99</v>
      </c>
      <c r="O1486" s="2" t="s">
        <v>243</v>
      </c>
      <c r="P1486" s="2" t="s">
        <v>270</v>
      </c>
      <c r="Q1486" s="2" t="s">
        <v>237</v>
      </c>
      <c r="R1486" s="2" t="s">
        <v>231</v>
      </c>
      <c r="S1486" s="2" t="s">
        <v>6947</v>
      </c>
      <c r="T1486" s="2" t="s">
        <v>472</v>
      </c>
      <c r="U1486" s="2" t="s">
        <v>327</v>
      </c>
      <c r="V1486" s="2" t="s">
        <v>239</v>
      </c>
      <c r="W1486" s="2" t="s">
        <v>273</v>
      </c>
      <c r="X1486" s="2" t="s">
        <v>231</v>
      </c>
      <c r="Y1486" s="2" t="s">
        <v>926</v>
      </c>
      <c r="Z1486" s="4">
        <v>212</v>
      </c>
      <c r="AA1486" s="4">
        <f>=ROUNDDOWN(53,0)</f>
      </c>
      <c r="AB1486" s="5">
        <v>4</v>
      </c>
      <c r="AC1486" s="2" t="s">
        <v>1128</v>
      </c>
      <c r="AD1486" s="4">
        <v>220</v>
      </c>
      <c r="AE1486" s="4">
        <v>370</v>
      </c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231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231</v>
      </c>
      <c r="AW1486" s="8" t="s">
        <v>231</v>
      </c>
      <c r="AX1486" s="4" t="s">
        <v>231</v>
      </c>
      <c r="AY1486" s="8" t="s">
        <v>231</v>
      </c>
      <c r="AZ1486" s="7" t="s">
        <v>231</v>
      </c>
      <c r="BA1486" s="7" t="s">
        <v>231</v>
      </c>
      <c r="BB1486" s="7"/>
      <c r="BC1486" s="4" t="s">
        <v>231</v>
      </c>
      <c r="BD1486" s="8" t="s">
        <v>231</v>
      </c>
      <c r="BE1486" s="4" t="s">
        <v>231</v>
      </c>
      <c r="BF1486" s="8" t="s">
        <v>231</v>
      </c>
      <c r="BG1486" s="7" t="s">
        <v>231</v>
      </c>
      <c r="BH1486" s="7" t="s">
        <v>231</v>
      </c>
      <c r="BI1486" s="7"/>
      <c r="BJ1486" s="4">
        <v>13</v>
      </c>
      <c r="BK1486" s="8">
        <v>765.6</v>
      </c>
      <c r="BL1486" s="2" t="s">
        <v>3763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6953</v>
      </c>
      <c r="BV1486" s="2" t="s">
        <v>231</v>
      </c>
      <c r="BW1486" s="2" t="s">
        <v>231</v>
      </c>
      <c r="BX1486" s="2" t="s">
        <v>241</v>
      </c>
      <c r="BY1486" s="2" t="s">
        <v>277</v>
      </c>
      <c r="BZ1486" s="2" t="s">
        <v>243</v>
      </c>
      <c r="CA1486" s="2" t="s">
        <v>3776</v>
      </c>
      <c r="CB1486" s="2" t="s">
        <v>1965</v>
      </c>
      <c r="CC1486" s="2" t="s">
        <v>244</v>
      </c>
      <c r="CD1486" s="2" t="s">
        <v>231</v>
      </c>
      <c r="CE1486" s="4">
        <v>212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>
        <v>220</v>
      </c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>
        <v>150</v>
      </c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</row>
    <row r="1487">
      <c r="A1487" s="2" t="s">
        <v>6954</v>
      </c>
      <c r="B1487" s="2" t="s">
        <v>262</v>
      </c>
      <c r="C1487" s="2" t="s">
        <v>965</v>
      </c>
      <c r="D1487" s="2" t="s">
        <v>654</v>
      </c>
      <c r="E1487" s="2" t="s">
        <v>1200</v>
      </c>
      <c r="F1487" s="2" t="s">
        <v>6936</v>
      </c>
      <c r="G1487" s="2" t="s">
        <v>6936</v>
      </c>
      <c r="H1487" s="2" t="s">
        <v>6936</v>
      </c>
      <c r="I1487" s="2" t="s">
        <v>6937</v>
      </c>
      <c r="J1487" s="2" t="s">
        <v>832</v>
      </c>
      <c r="K1487" s="2" t="s">
        <v>319</v>
      </c>
      <c r="L1487" s="3">
        <v>35.71</v>
      </c>
      <c r="M1487" s="3">
        <v>37.5</v>
      </c>
      <c r="N1487" s="3">
        <v>74.99</v>
      </c>
      <c r="O1487" s="2" t="s">
        <v>243</v>
      </c>
      <c r="P1487" s="2" t="s">
        <v>270</v>
      </c>
      <c r="Q1487" s="2" t="s">
        <v>237</v>
      </c>
      <c r="R1487" s="2" t="s">
        <v>231</v>
      </c>
      <c r="S1487" s="2" t="s">
        <v>6955</v>
      </c>
      <c r="T1487" s="2" t="s">
        <v>231</v>
      </c>
      <c r="U1487" s="2" t="s">
        <v>231</v>
      </c>
      <c r="V1487" s="2" t="s">
        <v>239</v>
      </c>
      <c r="W1487" s="2" t="s">
        <v>273</v>
      </c>
      <c r="X1487" s="2" t="s">
        <v>231</v>
      </c>
      <c r="Y1487" s="2" t="s">
        <v>1326</v>
      </c>
      <c r="Z1487" s="4">
        <v>376</v>
      </c>
      <c r="AA1487" s="4">
        <f>=ROUNDDOWN(26.8571428571429,0)</f>
      </c>
      <c r="AB1487" s="5">
        <v>14</v>
      </c>
      <c r="AC1487" s="2" t="s">
        <v>1664</v>
      </c>
      <c r="AD1487" s="4">
        <v>180</v>
      </c>
      <c r="AE1487" s="4">
        <v>250</v>
      </c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231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231</v>
      </c>
      <c r="AW1487" s="8" t="s">
        <v>231</v>
      </c>
      <c r="AX1487" s="4" t="s">
        <v>231</v>
      </c>
      <c r="AY1487" s="8" t="s">
        <v>231</v>
      </c>
      <c r="AZ1487" s="7" t="s">
        <v>231</v>
      </c>
      <c r="BA1487" s="7" t="s">
        <v>231</v>
      </c>
      <c r="BB1487" s="7"/>
      <c r="BC1487" s="4" t="s">
        <v>231</v>
      </c>
      <c r="BD1487" s="8" t="s">
        <v>231</v>
      </c>
      <c r="BE1487" s="4" t="s">
        <v>231</v>
      </c>
      <c r="BF1487" s="8" t="s">
        <v>231</v>
      </c>
      <c r="BG1487" s="7" t="s">
        <v>231</v>
      </c>
      <c r="BH1487" s="7" t="s">
        <v>231</v>
      </c>
      <c r="BI1487" s="7"/>
      <c r="BJ1487" s="4">
        <v>41</v>
      </c>
      <c r="BK1487" s="8">
        <v>1705.91</v>
      </c>
      <c r="BL1487" s="2" t="s">
        <v>4418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6956</v>
      </c>
      <c r="BV1487" s="2" t="s">
        <v>231</v>
      </c>
      <c r="BW1487" s="2" t="s">
        <v>231</v>
      </c>
      <c r="BX1487" s="2" t="s">
        <v>241</v>
      </c>
      <c r="BY1487" s="2" t="s">
        <v>277</v>
      </c>
      <c r="BZ1487" s="2" t="s">
        <v>243</v>
      </c>
      <c r="CA1487" s="2" t="s">
        <v>3543</v>
      </c>
      <c r="CB1487" s="2" t="s">
        <v>2317</v>
      </c>
      <c r="CC1487" s="2" t="s">
        <v>244</v>
      </c>
      <c r="CD1487" s="2" t="s">
        <v>231</v>
      </c>
      <c r="CE1487" s="4">
        <v>376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>
        <v>180</v>
      </c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>
        <v>70</v>
      </c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</row>
    <row r="1488">
      <c r="A1488" s="2" t="s">
        <v>6957</v>
      </c>
      <c r="B1488" s="2" t="s">
        <v>262</v>
      </c>
      <c r="C1488" s="2" t="s">
        <v>965</v>
      </c>
      <c r="D1488" s="2" t="s">
        <v>654</v>
      </c>
      <c r="E1488" s="2" t="s">
        <v>1200</v>
      </c>
      <c r="F1488" s="2" t="s">
        <v>6936</v>
      </c>
      <c r="G1488" s="2" t="s">
        <v>6936</v>
      </c>
      <c r="H1488" s="2" t="s">
        <v>6936</v>
      </c>
      <c r="I1488" s="2" t="s">
        <v>6937</v>
      </c>
      <c r="J1488" s="2" t="s">
        <v>669</v>
      </c>
      <c r="K1488" s="2" t="s">
        <v>319</v>
      </c>
      <c r="L1488" s="3">
        <v>52.38</v>
      </c>
      <c r="M1488" s="3">
        <v>55</v>
      </c>
      <c r="N1488" s="3">
        <v>109.99</v>
      </c>
      <c r="O1488" s="2" t="s">
        <v>243</v>
      </c>
      <c r="P1488" s="2" t="s">
        <v>1281</v>
      </c>
      <c r="Q1488" s="2" t="s">
        <v>237</v>
      </c>
      <c r="R1488" s="2" t="s">
        <v>231</v>
      </c>
      <c r="S1488" s="2" t="s">
        <v>6955</v>
      </c>
      <c r="T1488" s="2" t="s">
        <v>231</v>
      </c>
      <c r="U1488" s="2" t="s">
        <v>231</v>
      </c>
      <c r="V1488" s="2" t="s">
        <v>239</v>
      </c>
      <c r="W1488" s="2" t="s">
        <v>273</v>
      </c>
      <c r="X1488" s="2" t="s">
        <v>231</v>
      </c>
      <c r="Y1488" s="2" t="s">
        <v>1326</v>
      </c>
      <c r="Z1488" s="4">
        <v>288</v>
      </c>
      <c r="AA1488" s="4">
        <f>=ROUNDDOWN(12,0)</f>
      </c>
      <c r="AB1488" s="5">
        <v>24</v>
      </c>
      <c r="AC1488" s="2" t="s">
        <v>1128</v>
      </c>
      <c r="AD1488" s="4">
        <v>170</v>
      </c>
      <c r="AE1488" s="4">
        <v>370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231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231</v>
      </c>
      <c r="AW1488" s="8" t="s">
        <v>231</v>
      </c>
      <c r="AX1488" s="4" t="s">
        <v>231</v>
      </c>
      <c r="AY1488" s="8" t="s">
        <v>231</v>
      </c>
      <c r="AZ1488" s="7" t="s">
        <v>231</v>
      </c>
      <c r="BA1488" s="7" t="s">
        <v>231</v>
      </c>
      <c r="BB1488" s="7"/>
      <c r="BC1488" s="4" t="s">
        <v>231</v>
      </c>
      <c r="BD1488" s="8" t="s">
        <v>231</v>
      </c>
      <c r="BE1488" s="4" t="s">
        <v>231</v>
      </c>
      <c r="BF1488" s="8" t="s">
        <v>231</v>
      </c>
      <c r="BG1488" s="7" t="s">
        <v>231</v>
      </c>
      <c r="BH1488" s="7" t="s">
        <v>231</v>
      </c>
      <c r="BI1488" s="7"/>
      <c r="BJ1488" s="4">
        <v>84</v>
      </c>
      <c r="BK1488" s="8">
        <v>4991.51</v>
      </c>
      <c r="BL1488" s="2" t="s">
        <v>1477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6958</v>
      </c>
      <c r="BV1488" s="2" t="s">
        <v>231</v>
      </c>
      <c r="BW1488" s="2" t="s">
        <v>231</v>
      </c>
      <c r="BX1488" s="2" t="s">
        <v>241</v>
      </c>
      <c r="BY1488" s="2" t="s">
        <v>277</v>
      </c>
      <c r="BZ1488" s="2" t="s">
        <v>243</v>
      </c>
      <c r="CA1488" s="2" t="s">
        <v>3543</v>
      </c>
      <c r="CB1488" s="2" t="s">
        <v>6959</v>
      </c>
      <c r="CC1488" s="2" t="s">
        <v>244</v>
      </c>
      <c r="CD1488" s="2" t="s">
        <v>231</v>
      </c>
      <c r="CE1488" s="4">
        <v>288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>
        <v>170</v>
      </c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>
        <v>130</v>
      </c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>
        <v>70</v>
      </c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</row>
    <row r="1489">
      <c r="A1489" s="2" t="s">
        <v>6960</v>
      </c>
      <c r="B1489" s="2" t="s">
        <v>801</v>
      </c>
      <c r="C1489" s="2" t="s">
        <v>815</v>
      </c>
      <c r="D1489" s="2" t="s">
        <v>803</v>
      </c>
      <c r="E1489" s="2" t="s">
        <v>804</v>
      </c>
      <c r="F1489" s="2" t="s">
        <v>6961</v>
      </c>
      <c r="G1489" s="2" t="s">
        <v>6961</v>
      </c>
      <c r="H1489" s="2" t="s">
        <v>6961</v>
      </c>
      <c r="I1489" s="2" t="s">
        <v>6962</v>
      </c>
      <c r="J1489" s="2" t="s">
        <v>807</v>
      </c>
      <c r="K1489" s="2" t="s">
        <v>1181</v>
      </c>
      <c r="L1489" s="3">
        <v>116.24</v>
      </c>
      <c r="M1489" s="3">
        <v>122.05</v>
      </c>
      <c r="N1489" s="3">
        <v>264.99</v>
      </c>
      <c r="O1489" s="2" t="s">
        <v>243</v>
      </c>
      <c r="P1489" s="2" t="s">
        <v>270</v>
      </c>
      <c r="Q1489" s="2" t="s">
        <v>237</v>
      </c>
      <c r="R1489" s="2" t="s">
        <v>231</v>
      </c>
      <c r="S1489" s="2" t="s">
        <v>231</v>
      </c>
      <c r="T1489" s="2" t="s">
        <v>231</v>
      </c>
      <c r="U1489" s="2" t="s">
        <v>327</v>
      </c>
      <c r="V1489" s="2" t="s">
        <v>662</v>
      </c>
      <c r="W1489" s="2" t="s">
        <v>2500</v>
      </c>
      <c r="X1489" s="2" t="s">
        <v>231</v>
      </c>
      <c r="Y1489" s="2" t="s">
        <v>1182</v>
      </c>
      <c r="Z1489" s="4">
        <v>56</v>
      </c>
      <c r="AA1489" s="4">
        <f>=ROUNDDOWN(29.4736842105263,0)</f>
      </c>
      <c r="AB1489" s="5">
        <v>1.9</v>
      </c>
      <c r="AC1489" s="2" t="s">
        <v>1754</v>
      </c>
      <c r="AD1489" s="4">
        <v>100</v>
      </c>
      <c r="AE1489" s="4">
        <v>100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231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 t="s">
        <v>231</v>
      </c>
      <c r="BD1489" s="8" t="s">
        <v>231</v>
      </c>
      <c r="BE1489" s="4" t="s">
        <v>231</v>
      </c>
      <c r="BF1489" s="8" t="s">
        <v>231</v>
      </c>
      <c r="BG1489" s="7" t="s">
        <v>231</v>
      </c>
      <c r="BH1489" s="7" t="s">
        <v>231</v>
      </c>
      <c r="BI1489" s="7"/>
      <c r="BJ1489" s="4">
        <v>3</v>
      </c>
      <c r="BK1489" s="8">
        <v>393.17</v>
      </c>
      <c r="BL1489" s="2" t="s">
        <v>6963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6964</v>
      </c>
      <c r="BV1489" s="2" t="s">
        <v>231</v>
      </c>
      <c r="BW1489" s="2" t="s">
        <v>231</v>
      </c>
      <c r="BX1489" s="2" t="s">
        <v>231</v>
      </c>
      <c r="BY1489" s="2" t="s">
        <v>277</v>
      </c>
      <c r="BZ1489" s="2" t="s">
        <v>243</v>
      </c>
      <c r="CA1489" s="2" t="s">
        <v>6965</v>
      </c>
      <c r="CB1489" s="2" t="s">
        <v>3268</v>
      </c>
      <c r="CC1489" s="2" t="s">
        <v>244</v>
      </c>
      <c r="CD1489" s="2" t="s">
        <v>231</v>
      </c>
      <c r="CE1489" s="4"/>
      <c r="CF1489" s="4">
        <v>56</v>
      </c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>
        <v>100</v>
      </c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</row>
    <row r="1490">
      <c r="A1490" s="2" t="s">
        <v>6966</v>
      </c>
      <c r="B1490" s="2" t="s">
        <v>1004</v>
      </c>
      <c r="C1490" s="2" t="s">
        <v>653</v>
      </c>
      <c r="D1490" s="2" t="s">
        <v>1922</v>
      </c>
      <c r="E1490" s="2" t="s">
        <v>1923</v>
      </c>
      <c r="F1490" s="2" t="s">
        <v>6961</v>
      </c>
      <c r="G1490" s="2" t="s">
        <v>6961</v>
      </c>
      <c r="H1490" s="2" t="s">
        <v>6961</v>
      </c>
      <c r="I1490" s="2" t="s">
        <v>6967</v>
      </c>
      <c r="J1490" s="2" t="s">
        <v>807</v>
      </c>
      <c r="K1490" s="2" t="s">
        <v>1848</v>
      </c>
      <c r="L1490" s="3">
        <v>118.13</v>
      </c>
      <c r="M1490" s="3">
        <v>124.04</v>
      </c>
      <c r="N1490" s="3">
        <v>249</v>
      </c>
      <c r="O1490" s="2" t="s">
        <v>243</v>
      </c>
      <c r="P1490" s="2" t="s">
        <v>270</v>
      </c>
      <c r="Q1490" s="2" t="s">
        <v>237</v>
      </c>
      <c r="R1490" s="2" t="s">
        <v>231</v>
      </c>
      <c r="S1490" s="2" t="s">
        <v>6968</v>
      </c>
      <c r="T1490" s="2" t="s">
        <v>231</v>
      </c>
      <c r="U1490" s="2" t="s">
        <v>231</v>
      </c>
      <c r="V1490" s="2" t="s">
        <v>239</v>
      </c>
      <c r="W1490" s="2" t="s">
        <v>676</v>
      </c>
      <c r="X1490" s="2" t="s">
        <v>231</v>
      </c>
      <c r="Y1490" s="2" t="s">
        <v>274</v>
      </c>
      <c r="Z1490" s="4">
        <v>92</v>
      </c>
      <c r="AA1490" s="4">
        <f>=ROUNDDOWN(10.2222222222222,0)</f>
      </c>
      <c r="AB1490" s="5">
        <v>9</v>
      </c>
      <c r="AC1490" s="2" t="s">
        <v>2082</v>
      </c>
      <c r="AD1490" s="4">
        <v>100</v>
      </c>
      <c r="AE1490" s="4">
        <v>100</v>
      </c>
      <c r="AF1490" s="6">
        <v>66</v>
      </c>
      <c r="AG1490" s="6">
        <v>49</v>
      </c>
      <c r="AH1490" s="7">
        <v>0.2581</v>
      </c>
      <c r="AI1490" s="4"/>
      <c r="AJ1490" s="4">
        <f>=ROUNDDOWN({0},0)</f>
      </c>
      <c r="AK1490" s="5"/>
      <c r="AL1490" s="2" t="s">
        <v>231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231</v>
      </c>
      <c r="BD1490" s="8" t="s">
        <v>231</v>
      </c>
      <c r="BE1490" s="4" t="s">
        <v>231</v>
      </c>
      <c r="BF1490" s="8" t="s">
        <v>231</v>
      </c>
      <c r="BG1490" s="7" t="s">
        <v>231</v>
      </c>
      <c r="BH1490" s="7" t="s">
        <v>231</v>
      </c>
      <c r="BI1490" s="7"/>
      <c r="BJ1490" s="4">
        <v>1</v>
      </c>
      <c r="BK1490" s="8">
        <v>118.53</v>
      </c>
      <c r="BL1490" s="2" t="s">
        <v>2343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6969</v>
      </c>
      <c r="BV1490" s="2" t="s">
        <v>231</v>
      </c>
      <c r="BW1490" s="2" t="s">
        <v>231</v>
      </c>
      <c r="BX1490" s="2" t="s">
        <v>231</v>
      </c>
      <c r="BY1490" s="2" t="s">
        <v>277</v>
      </c>
      <c r="BZ1490" s="2" t="s">
        <v>243</v>
      </c>
      <c r="CA1490" s="2" t="s">
        <v>2881</v>
      </c>
      <c r="CB1490" s="2" t="s">
        <v>2488</v>
      </c>
      <c r="CC1490" s="2" t="s">
        <v>244</v>
      </c>
      <c r="CD1490" s="2" t="s">
        <v>231</v>
      </c>
      <c r="CE1490" s="4"/>
      <c r="CF1490" s="4">
        <v>92</v>
      </c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>
        <v>100</v>
      </c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</row>
    <row r="1491">
      <c r="A1491" s="2" t="s">
        <v>6970</v>
      </c>
      <c r="B1491" s="2" t="s">
        <v>1004</v>
      </c>
      <c r="C1491" s="2" t="s">
        <v>653</v>
      </c>
      <c r="D1491" s="2" t="s">
        <v>1922</v>
      </c>
      <c r="E1491" s="2" t="s">
        <v>1923</v>
      </c>
      <c r="F1491" s="2" t="s">
        <v>6961</v>
      </c>
      <c r="G1491" s="2" t="s">
        <v>6961</v>
      </c>
      <c r="H1491" s="2" t="s">
        <v>6961</v>
      </c>
      <c r="I1491" s="2" t="s">
        <v>6967</v>
      </c>
      <c r="J1491" s="2" t="s">
        <v>807</v>
      </c>
      <c r="K1491" s="2" t="s">
        <v>747</v>
      </c>
      <c r="L1491" s="3">
        <v>118.13</v>
      </c>
      <c r="M1491" s="3">
        <v>124.04</v>
      </c>
      <c r="N1491" s="3">
        <v>249</v>
      </c>
      <c r="O1491" s="2" t="s">
        <v>243</v>
      </c>
      <c r="P1491" s="2" t="s">
        <v>341</v>
      </c>
      <c r="Q1491" s="2" t="s">
        <v>237</v>
      </c>
      <c r="R1491" s="2" t="s">
        <v>231</v>
      </c>
      <c r="S1491" s="2" t="s">
        <v>231</v>
      </c>
      <c r="T1491" s="2" t="s">
        <v>231</v>
      </c>
      <c r="U1491" s="2" t="s">
        <v>327</v>
      </c>
      <c r="V1491" s="2" t="s">
        <v>239</v>
      </c>
      <c r="W1491" s="2" t="s">
        <v>676</v>
      </c>
      <c r="X1491" s="2" t="s">
        <v>792</v>
      </c>
      <c r="Y1491" s="2" t="s">
        <v>6971</v>
      </c>
      <c r="Z1491" s="4">
        <v>44</v>
      </c>
      <c r="AA1491" s="4">
        <f>=ROUNDDOWN(22,0)</f>
      </c>
      <c r="AB1491" s="5">
        <v>2</v>
      </c>
      <c r="AC1491" s="2" t="s">
        <v>231</v>
      </c>
      <c r="AD1491" s="4"/>
      <c r="AE1491" s="4"/>
      <c r="AF1491" s="6">
        <v>66</v>
      </c>
      <c r="AG1491" s="6"/>
      <c r="AH1491" s="7">
        <v>1</v>
      </c>
      <c r="AI1491" s="4"/>
      <c r="AJ1491" s="4">
        <f>=ROUNDDOWN({0},0)</f>
      </c>
      <c r="AK1491" s="5"/>
      <c r="AL1491" s="2" t="s">
        <v>231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 t="s">
        <v>231</v>
      </c>
      <c r="BD1491" s="8" t="s">
        <v>231</v>
      </c>
      <c r="BE1491" s="4" t="s">
        <v>231</v>
      </c>
      <c r="BF1491" s="8" t="s">
        <v>231</v>
      </c>
      <c r="BG1491" s="7" t="s">
        <v>231</v>
      </c>
      <c r="BH1491" s="7" t="s">
        <v>231</v>
      </c>
      <c r="BI1491" s="7"/>
      <c r="BJ1491" s="4">
        <v>1</v>
      </c>
      <c r="BK1491" s="8">
        <v>118.53</v>
      </c>
      <c r="BL1491" s="2" t="s">
        <v>2343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6972</v>
      </c>
      <c r="BV1491" s="2" t="s">
        <v>231</v>
      </c>
      <c r="BW1491" s="2" t="s">
        <v>231</v>
      </c>
      <c r="BX1491" s="2" t="s">
        <v>231</v>
      </c>
      <c r="BY1491" s="2" t="s">
        <v>277</v>
      </c>
      <c r="BZ1491" s="2" t="s">
        <v>243</v>
      </c>
      <c r="CA1491" s="2" t="s">
        <v>741</v>
      </c>
      <c r="CB1491" s="2" t="s">
        <v>6973</v>
      </c>
      <c r="CC1491" s="2" t="s">
        <v>244</v>
      </c>
      <c r="CD1491" s="2" t="s">
        <v>231</v>
      </c>
      <c r="CE1491" s="4"/>
      <c r="CF1491" s="4">
        <v>43</v>
      </c>
      <c r="CG1491" s="4"/>
      <c r="CH1491" s="4"/>
      <c r="CI1491" s="4">
        <v>1</v>
      </c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</row>
    <row r="1492">
      <c r="A1492" s="2" t="s">
        <v>6974</v>
      </c>
      <c r="B1492" s="2" t="s">
        <v>847</v>
      </c>
      <c r="C1492" s="2" t="s">
        <v>815</v>
      </c>
      <c r="D1492" s="2" t="s">
        <v>2003</v>
      </c>
      <c r="E1492" s="2" t="s">
        <v>6975</v>
      </c>
      <c r="F1492" s="2" t="s">
        <v>6976</v>
      </c>
      <c r="G1492" s="2" t="s">
        <v>6976</v>
      </c>
      <c r="H1492" s="2" t="s">
        <v>6976</v>
      </c>
      <c r="I1492" s="2" t="s">
        <v>6977</v>
      </c>
      <c r="J1492" s="2" t="s">
        <v>807</v>
      </c>
      <c r="K1492" s="2" t="s">
        <v>2312</v>
      </c>
      <c r="L1492" s="3">
        <v>52.62</v>
      </c>
      <c r="M1492" s="3">
        <v>55.25</v>
      </c>
      <c r="N1492" s="3">
        <v>110.49</v>
      </c>
      <c r="O1492" s="2" t="s">
        <v>243</v>
      </c>
      <c r="P1492" s="2" t="s">
        <v>270</v>
      </c>
      <c r="Q1492" s="2" t="s">
        <v>237</v>
      </c>
      <c r="R1492" s="2" t="s">
        <v>231</v>
      </c>
      <c r="S1492" s="2" t="s">
        <v>6978</v>
      </c>
      <c r="T1492" s="2" t="s">
        <v>231</v>
      </c>
      <c r="U1492" s="2" t="s">
        <v>327</v>
      </c>
      <c r="V1492" s="2" t="s">
        <v>1828</v>
      </c>
      <c r="W1492" s="2" t="s">
        <v>1829</v>
      </c>
      <c r="X1492" s="2" t="s">
        <v>231</v>
      </c>
      <c r="Y1492" s="2" t="s">
        <v>3087</v>
      </c>
      <c r="Z1492" s="4">
        <v>74</v>
      </c>
      <c r="AA1492" s="4">
        <f>=ROUNDDOWN(15.7446808510638,0)</f>
      </c>
      <c r="AB1492" s="5">
        <v>4.7</v>
      </c>
      <c r="AC1492" s="2" t="s">
        <v>6979</v>
      </c>
      <c r="AD1492" s="4">
        <v>100</v>
      </c>
      <c r="AE1492" s="4">
        <v>100</v>
      </c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231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/>
      <c r="BD1492" s="8"/>
      <c r="BE1492" s="4"/>
      <c r="BF1492" s="8"/>
      <c r="BG1492" s="7"/>
      <c r="BH1492" s="7"/>
      <c r="BI1492" s="7"/>
      <c r="BJ1492" s="4">
        <v>26</v>
      </c>
      <c r="BK1492" s="8">
        <v>1621.95</v>
      </c>
      <c r="BL1492" s="2" t="s">
        <v>6980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6981</v>
      </c>
      <c r="BV1492" s="2" t="s">
        <v>231</v>
      </c>
      <c r="BW1492" s="2" t="s">
        <v>231</v>
      </c>
      <c r="BX1492" s="2" t="s">
        <v>231</v>
      </c>
      <c r="BY1492" s="2" t="s">
        <v>277</v>
      </c>
      <c r="BZ1492" s="2" t="s">
        <v>243</v>
      </c>
      <c r="CA1492" s="2" t="s">
        <v>3087</v>
      </c>
      <c r="CB1492" s="2" t="s">
        <v>5015</v>
      </c>
      <c r="CC1492" s="2" t="s">
        <v>244</v>
      </c>
      <c r="CD1492" s="2" t="s">
        <v>231</v>
      </c>
      <c r="CE1492" s="4"/>
      <c r="CF1492" s="4">
        <v>74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>
        <v>100</v>
      </c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</row>
    <row r="1493">
      <c r="A1493" s="2" t="s">
        <v>6982</v>
      </c>
      <c r="B1493" s="2" t="s">
        <v>1004</v>
      </c>
      <c r="C1493" s="2" t="s">
        <v>815</v>
      </c>
      <c r="D1493" s="2" t="s">
        <v>1917</v>
      </c>
      <c r="E1493" s="2" t="s">
        <v>2495</v>
      </c>
      <c r="F1493" s="2" t="s">
        <v>6983</v>
      </c>
      <c r="G1493" s="2" t="s">
        <v>6983</v>
      </c>
      <c r="H1493" s="2" t="s">
        <v>6983</v>
      </c>
      <c r="I1493" s="2" t="s">
        <v>1918</v>
      </c>
      <c r="J1493" s="2" t="s">
        <v>807</v>
      </c>
      <c r="K1493" s="2" t="s">
        <v>6984</v>
      </c>
      <c r="L1493" s="3">
        <v>85</v>
      </c>
      <c r="M1493" s="3">
        <v>89.25</v>
      </c>
      <c r="N1493" s="3">
        <v>179</v>
      </c>
      <c r="O1493" s="2" t="s">
        <v>235</v>
      </c>
      <c r="P1493" s="2" t="s">
        <v>341</v>
      </c>
      <c r="Q1493" s="2" t="s">
        <v>237</v>
      </c>
      <c r="R1493" s="2" t="s">
        <v>231</v>
      </c>
      <c r="S1493" s="2" t="s">
        <v>231</v>
      </c>
      <c r="T1493" s="2" t="s">
        <v>231</v>
      </c>
      <c r="U1493" s="2" t="s">
        <v>327</v>
      </c>
      <c r="V1493" s="2" t="s">
        <v>662</v>
      </c>
      <c r="W1493" s="2" t="s">
        <v>808</v>
      </c>
      <c r="X1493" s="2" t="s">
        <v>2500</v>
      </c>
      <c r="Y1493" s="2" t="s">
        <v>6985</v>
      </c>
      <c r="Z1493" s="4">
        <v>183</v>
      </c>
      <c r="AA1493" s="4">
        <f>=ROUNDDOWN({0},0)</f>
      </c>
      <c r="AB1493" s="5"/>
      <c r="AC1493" s="2" t="s">
        <v>231</v>
      </c>
      <c r="AD1493" s="4"/>
      <c r="AE1493" s="4"/>
      <c r="AF1493" s="6">
        <v>66</v>
      </c>
      <c r="AG1493" s="6"/>
      <c r="AH1493" s="7">
        <v>1</v>
      </c>
      <c r="AI1493" s="4"/>
      <c r="AJ1493" s="4">
        <f>=ROUNDDOWN({0},0)</f>
      </c>
      <c r="AK1493" s="5"/>
      <c r="AL1493" s="2" t="s">
        <v>231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/>
      <c r="BD1493" s="8"/>
      <c r="BE1493" s="4"/>
      <c r="BF1493" s="8"/>
      <c r="BG1493" s="7"/>
      <c r="BH1493" s="7"/>
      <c r="BI1493" s="7"/>
      <c r="BJ1493" s="4"/>
      <c r="BK1493" s="8"/>
      <c r="BL1493" s="2" t="s">
        <v>1306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6986</v>
      </c>
      <c r="BV1493" s="2" t="s">
        <v>231</v>
      </c>
      <c r="BW1493" s="2" t="s">
        <v>231</v>
      </c>
      <c r="BX1493" s="2" t="s">
        <v>231</v>
      </c>
      <c r="BY1493" s="2" t="s">
        <v>277</v>
      </c>
      <c r="BZ1493" s="2" t="s">
        <v>243</v>
      </c>
      <c r="CA1493" s="2" t="s">
        <v>6987</v>
      </c>
      <c r="CB1493" s="2" t="s">
        <v>6988</v>
      </c>
      <c r="CC1493" s="2" t="s">
        <v>244</v>
      </c>
      <c r="CD1493" s="2" t="s">
        <v>231</v>
      </c>
      <c r="CE1493" s="4"/>
      <c r="CF1493" s="4">
        <v>183</v>
      </c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</row>
    <row r="1494">
      <c r="A1494" s="2" t="s">
        <v>6989</v>
      </c>
      <c r="B1494" s="2" t="s">
        <v>262</v>
      </c>
      <c r="C1494" s="2" t="s">
        <v>263</v>
      </c>
      <c r="D1494" s="2" t="s">
        <v>264</v>
      </c>
      <c r="E1494" s="2" t="s">
        <v>3915</v>
      </c>
      <c r="F1494" s="2" t="s">
        <v>6990</v>
      </c>
      <c r="G1494" s="2" t="s">
        <v>6991</v>
      </c>
      <c r="H1494" s="2" t="s">
        <v>6991</v>
      </c>
      <c r="I1494" s="2" t="s">
        <v>6992</v>
      </c>
      <c r="J1494" s="2" t="s">
        <v>318</v>
      </c>
      <c r="K1494" s="2" t="s">
        <v>319</v>
      </c>
      <c r="L1494" s="3">
        <v>10.91</v>
      </c>
      <c r="M1494" s="3">
        <v>11.46</v>
      </c>
      <c r="N1494" s="3">
        <v>20.99</v>
      </c>
      <c r="O1494" s="2" t="s">
        <v>243</v>
      </c>
      <c r="P1494" s="2" t="s">
        <v>270</v>
      </c>
      <c r="Q1494" s="2" t="s">
        <v>237</v>
      </c>
      <c r="R1494" s="2" t="s">
        <v>231</v>
      </c>
      <c r="S1494" s="2" t="s">
        <v>6993</v>
      </c>
      <c r="T1494" s="2" t="s">
        <v>472</v>
      </c>
      <c r="U1494" s="2" t="s">
        <v>231</v>
      </c>
      <c r="V1494" s="2" t="s">
        <v>239</v>
      </c>
      <c r="W1494" s="2" t="s">
        <v>273</v>
      </c>
      <c r="X1494" s="2" t="s">
        <v>231</v>
      </c>
      <c r="Y1494" s="2" t="s">
        <v>274</v>
      </c>
      <c r="Z1494" s="4">
        <v>348</v>
      </c>
      <c r="AA1494" s="4">
        <f>=ROUNDDOWN(26.7692307692308,0)</f>
      </c>
      <c r="AB1494" s="5">
        <v>13</v>
      </c>
      <c r="AC1494" s="2" t="s">
        <v>5150</v>
      </c>
      <c r="AD1494" s="4">
        <v>100</v>
      </c>
      <c r="AE1494" s="4">
        <v>130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231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/>
      <c r="BD1494" s="8"/>
      <c r="BE1494" s="4"/>
      <c r="BF1494" s="8"/>
      <c r="BG1494" s="7"/>
      <c r="BH1494" s="7"/>
      <c r="BI1494" s="7"/>
      <c r="BJ1494" s="4">
        <v>62</v>
      </c>
      <c r="BK1494" s="8">
        <v>841.51</v>
      </c>
      <c r="BL1494" s="2" t="s">
        <v>6994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6995</v>
      </c>
      <c r="BV1494" s="2" t="s">
        <v>231</v>
      </c>
      <c r="BW1494" s="2" t="s">
        <v>231</v>
      </c>
      <c r="BX1494" s="2" t="s">
        <v>231</v>
      </c>
      <c r="BY1494" s="2" t="s">
        <v>277</v>
      </c>
      <c r="BZ1494" s="2" t="s">
        <v>243</v>
      </c>
      <c r="CA1494" s="2" t="s">
        <v>284</v>
      </c>
      <c r="CB1494" s="2" t="s">
        <v>467</v>
      </c>
      <c r="CC1494" s="2" t="s">
        <v>244</v>
      </c>
      <c r="CD1494" s="2" t="s">
        <v>231</v>
      </c>
      <c r="CE1494" s="4">
        <v>348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>
        <v>100</v>
      </c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>
        <v>30</v>
      </c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</row>
    <row r="1495">
      <c r="A1495" s="2" t="s">
        <v>6996</v>
      </c>
      <c r="B1495" s="2" t="s">
        <v>1004</v>
      </c>
      <c r="C1495" s="2" t="s">
        <v>288</v>
      </c>
      <c r="D1495" s="2" t="s">
        <v>1689</v>
      </c>
      <c r="E1495" s="2" t="s">
        <v>1690</v>
      </c>
      <c r="F1495" s="2" t="s">
        <v>6997</v>
      </c>
      <c r="G1495" s="2" t="s">
        <v>6998</v>
      </c>
      <c r="H1495" s="2" t="s">
        <v>6999</v>
      </c>
      <c r="I1495" s="2" t="s">
        <v>7000</v>
      </c>
      <c r="J1495" s="2" t="s">
        <v>807</v>
      </c>
      <c r="K1495" s="2" t="s">
        <v>253</v>
      </c>
      <c r="L1495" s="3">
        <v>158.36</v>
      </c>
      <c r="M1495" s="3">
        <v>166.28</v>
      </c>
      <c r="N1495" s="3">
        <v>329</v>
      </c>
      <c r="O1495" s="2" t="s">
        <v>243</v>
      </c>
      <c r="P1495" s="2" t="s">
        <v>1985</v>
      </c>
      <c r="Q1495" s="2" t="s">
        <v>237</v>
      </c>
      <c r="R1495" s="2" t="s">
        <v>231</v>
      </c>
      <c r="S1495" s="2" t="s">
        <v>7001</v>
      </c>
      <c r="T1495" s="2" t="s">
        <v>231</v>
      </c>
      <c r="U1495" s="2" t="s">
        <v>231</v>
      </c>
      <c r="V1495" s="2" t="s">
        <v>239</v>
      </c>
      <c r="W1495" s="2" t="s">
        <v>691</v>
      </c>
      <c r="X1495" s="2" t="s">
        <v>231</v>
      </c>
      <c r="Y1495" s="2" t="s">
        <v>274</v>
      </c>
      <c r="Z1495" s="4">
        <v>128</v>
      </c>
      <c r="AA1495" s="4">
        <f>=ROUNDDOWN(42.6666666666667,0)</f>
      </c>
      <c r="AB1495" s="5">
        <v>3</v>
      </c>
      <c r="AC1495" s="2" t="s">
        <v>231</v>
      </c>
      <c r="AD1495" s="4"/>
      <c r="AE1495" s="4"/>
      <c r="AF1495" s="6">
        <v>66</v>
      </c>
      <c r="AG1495" s="6">
        <v>49</v>
      </c>
      <c r="AH1495" s="7">
        <v>1</v>
      </c>
      <c r="AI1495" s="4"/>
      <c r="AJ1495" s="4">
        <f>=ROUNDDOWN({0},0)</f>
      </c>
      <c r="AK1495" s="5"/>
      <c r="AL1495" s="2" t="s">
        <v>231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/>
      <c r="BD1495" s="8"/>
      <c r="BE1495" s="4"/>
      <c r="BF1495" s="8"/>
      <c r="BG1495" s="7"/>
      <c r="BH1495" s="7"/>
      <c r="BI1495" s="7"/>
      <c r="BJ1495" s="4">
        <v>19</v>
      </c>
      <c r="BK1495" s="8">
        <v>2248.67</v>
      </c>
      <c r="BL1495" s="2" t="s">
        <v>7002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7003</v>
      </c>
      <c r="BV1495" s="2" t="s">
        <v>231</v>
      </c>
      <c r="BW1495" s="2" t="s">
        <v>231</v>
      </c>
      <c r="BX1495" s="2" t="s">
        <v>241</v>
      </c>
      <c r="BY1495" s="2" t="s">
        <v>277</v>
      </c>
      <c r="BZ1495" s="2" t="s">
        <v>243</v>
      </c>
      <c r="CA1495" s="2" t="s">
        <v>284</v>
      </c>
      <c r="CB1495" s="2" t="s">
        <v>7004</v>
      </c>
      <c r="CC1495" s="2" t="s">
        <v>244</v>
      </c>
      <c r="CD1495" s="2" t="s">
        <v>231</v>
      </c>
      <c r="CE1495" s="4"/>
      <c r="CF1495" s="4">
        <v>119</v>
      </c>
      <c r="CG1495" s="4"/>
      <c r="CH1495" s="4"/>
      <c r="CI1495" s="4">
        <v>9</v>
      </c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</row>
    <row r="1496">
      <c r="A1496" s="2" t="s">
        <v>7005</v>
      </c>
      <c r="B1496" s="2" t="s">
        <v>226</v>
      </c>
      <c r="C1496" s="2" t="s">
        <v>288</v>
      </c>
      <c r="D1496" s="2" t="s">
        <v>654</v>
      </c>
      <c r="E1496" s="2" t="s">
        <v>890</v>
      </c>
      <c r="F1496" s="2" t="s">
        <v>7006</v>
      </c>
      <c r="G1496" s="2" t="s">
        <v>1844</v>
      </c>
      <c r="H1496" s="2" t="s">
        <v>1844</v>
      </c>
      <c r="I1496" s="2" t="s">
        <v>7007</v>
      </c>
      <c r="J1496" s="2" t="s">
        <v>318</v>
      </c>
      <c r="K1496" s="2" t="s">
        <v>1322</v>
      </c>
      <c r="L1496" s="3">
        <v>26.28</v>
      </c>
      <c r="M1496" s="3">
        <v>27.59</v>
      </c>
      <c r="N1496" s="3">
        <v>59.99</v>
      </c>
      <c r="O1496" s="2" t="s">
        <v>243</v>
      </c>
      <c r="P1496" s="2" t="s">
        <v>270</v>
      </c>
      <c r="Q1496" s="2" t="s">
        <v>237</v>
      </c>
      <c r="R1496" s="2" t="s">
        <v>231</v>
      </c>
      <c r="S1496" s="2" t="s">
        <v>7008</v>
      </c>
      <c r="T1496" s="2" t="s">
        <v>970</v>
      </c>
      <c r="U1496" s="2" t="s">
        <v>791</v>
      </c>
      <c r="V1496" s="2" t="s">
        <v>391</v>
      </c>
      <c r="W1496" s="2" t="s">
        <v>896</v>
      </c>
      <c r="X1496" s="2" t="s">
        <v>971</v>
      </c>
      <c r="Y1496" s="2" t="s">
        <v>7009</v>
      </c>
      <c r="Z1496" s="4">
        <v>56</v>
      </c>
      <c r="AA1496" s="4">
        <f>=ROUNDDOWN(46.6666666666667,0)</f>
      </c>
      <c r="AB1496" s="5">
        <v>1.2</v>
      </c>
      <c r="AC1496" s="2" t="s">
        <v>1537</v>
      </c>
      <c r="AD1496" s="4">
        <v>40</v>
      </c>
      <c r="AE1496" s="4">
        <v>40</v>
      </c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231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231</v>
      </c>
      <c r="AW1496" s="8" t="s">
        <v>231</v>
      </c>
      <c r="AX1496" s="4" t="s">
        <v>231</v>
      </c>
      <c r="AY1496" s="8" t="s">
        <v>231</v>
      </c>
      <c r="AZ1496" s="7" t="s">
        <v>231</v>
      </c>
      <c r="BA1496" s="7" t="s">
        <v>231</v>
      </c>
      <c r="BB1496" s="7"/>
      <c r="BC1496" s="4" t="s">
        <v>231</v>
      </c>
      <c r="BD1496" s="8" t="s">
        <v>231</v>
      </c>
      <c r="BE1496" s="4" t="s">
        <v>231</v>
      </c>
      <c r="BF1496" s="8" t="s">
        <v>231</v>
      </c>
      <c r="BG1496" s="7" t="s">
        <v>231</v>
      </c>
      <c r="BH1496" s="7" t="s">
        <v>231</v>
      </c>
      <c r="BI1496" s="7"/>
      <c r="BJ1496" s="4">
        <v>2</v>
      </c>
      <c r="BK1496" s="8">
        <v>49.66</v>
      </c>
      <c r="BL1496" s="2" t="s">
        <v>5542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7010</v>
      </c>
      <c r="BV1496" s="2" t="s">
        <v>231</v>
      </c>
      <c r="BW1496" s="2" t="s">
        <v>231</v>
      </c>
      <c r="BX1496" s="2" t="s">
        <v>231</v>
      </c>
      <c r="BY1496" s="2" t="s">
        <v>277</v>
      </c>
      <c r="BZ1496" s="2" t="s">
        <v>243</v>
      </c>
      <c r="CA1496" s="2" t="s">
        <v>3071</v>
      </c>
      <c r="CB1496" s="2" t="s">
        <v>446</v>
      </c>
      <c r="CC1496" s="2" t="s">
        <v>244</v>
      </c>
      <c r="CD1496" s="2" t="s">
        <v>231</v>
      </c>
      <c r="CE1496" s="4">
        <v>56</v>
      </c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>
        <v>40</v>
      </c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</row>
    <row r="1497">
      <c r="A1497" s="2" t="s">
        <v>7011</v>
      </c>
      <c r="B1497" s="2" t="s">
        <v>226</v>
      </c>
      <c r="C1497" s="2" t="s">
        <v>288</v>
      </c>
      <c r="D1497" s="2" t="s">
        <v>654</v>
      </c>
      <c r="E1497" s="2" t="s">
        <v>890</v>
      </c>
      <c r="F1497" s="2" t="s">
        <v>7006</v>
      </c>
      <c r="G1497" s="2" t="s">
        <v>1844</v>
      </c>
      <c r="H1497" s="2" t="s">
        <v>1844</v>
      </c>
      <c r="I1497" s="2" t="s">
        <v>7007</v>
      </c>
      <c r="J1497" s="2" t="s">
        <v>658</v>
      </c>
      <c r="K1497" s="2" t="s">
        <v>1322</v>
      </c>
      <c r="L1497" s="3">
        <v>33.33</v>
      </c>
      <c r="M1497" s="3">
        <v>35</v>
      </c>
      <c r="N1497" s="3">
        <v>69.99</v>
      </c>
      <c r="O1497" s="2" t="s">
        <v>243</v>
      </c>
      <c r="P1497" s="2" t="s">
        <v>270</v>
      </c>
      <c r="Q1497" s="2" t="s">
        <v>237</v>
      </c>
      <c r="R1497" s="2" t="s">
        <v>231</v>
      </c>
      <c r="S1497" s="2" t="s">
        <v>7008</v>
      </c>
      <c r="T1497" s="2" t="s">
        <v>970</v>
      </c>
      <c r="U1497" s="2" t="s">
        <v>835</v>
      </c>
      <c r="V1497" s="2" t="s">
        <v>391</v>
      </c>
      <c r="W1497" s="2" t="s">
        <v>896</v>
      </c>
      <c r="X1497" s="2" t="s">
        <v>971</v>
      </c>
      <c r="Y1497" s="2" t="s">
        <v>7009</v>
      </c>
      <c r="Z1497" s="4">
        <v>25</v>
      </c>
      <c r="AA1497" s="4">
        <f>=ROUNDDOWN(5,0)</f>
      </c>
      <c r="AB1497" s="5">
        <v>5</v>
      </c>
      <c r="AC1497" s="2" t="s">
        <v>1537</v>
      </c>
      <c r="AD1497" s="4">
        <v>60</v>
      </c>
      <c r="AE1497" s="4">
        <v>190</v>
      </c>
      <c r="AF1497" s="6">
        <v>65</v>
      </c>
      <c r="AG1497" s="6"/>
      <c r="AH1497" s="7">
        <v>0.7419</v>
      </c>
      <c r="AI1497" s="4"/>
      <c r="AJ1497" s="4">
        <f>=ROUNDDOWN({0},0)</f>
      </c>
      <c r="AK1497" s="5"/>
      <c r="AL1497" s="2" t="s">
        <v>231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231</v>
      </c>
      <c r="AW1497" s="8" t="s">
        <v>231</v>
      </c>
      <c r="AX1497" s="4" t="s">
        <v>231</v>
      </c>
      <c r="AY1497" s="8" t="s">
        <v>231</v>
      </c>
      <c r="AZ1497" s="7" t="s">
        <v>231</v>
      </c>
      <c r="BA1497" s="7" t="s">
        <v>231</v>
      </c>
      <c r="BB1497" s="7"/>
      <c r="BC1497" s="4" t="s">
        <v>231</v>
      </c>
      <c r="BD1497" s="8" t="s">
        <v>231</v>
      </c>
      <c r="BE1497" s="4" t="s">
        <v>231</v>
      </c>
      <c r="BF1497" s="8" t="s">
        <v>231</v>
      </c>
      <c r="BG1497" s="7" t="s">
        <v>231</v>
      </c>
      <c r="BH1497" s="7" t="s">
        <v>231</v>
      </c>
      <c r="BI1497" s="7"/>
      <c r="BJ1497" s="4">
        <v>32</v>
      </c>
      <c r="BK1497" s="8">
        <v>1095.68</v>
      </c>
      <c r="BL1497" s="2" t="s">
        <v>7012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7013</v>
      </c>
      <c r="BV1497" s="2" t="s">
        <v>231</v>
      </c>
      <c r="BW1497" s="2" t="s">
        <v>231</v>
      </c>
      <c r="BX1497" s="2" t="s">
        <v>231</v>
      </c>
      <c r="BY1497" s="2" t="s">
        <v>277</v>
      </c>
      <c r="BZ1497" s="2" t="s">
        <v>243</v>
      </c>
      <c r="CA1497" s="2" t="s">
        <v>3071</v>
      </c>
      <c r="CB1497" s="2" t="s">
        <v>1612</v>
      </c>
      <c r="CC1497" s="2" t="s">
        <v>244</v>
      </c>
      <c r="CD1497" s="2" t="s">
        <v>231</v>
      </c>
      <c r="CE1497" s="4">
        <v>25</v>
      </c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>
        <v>60</v>
      </c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>
        <v>130</v>
      </c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</row>
    <row r="1498">
      <c r="A1498" s="2" t="s">
        <v>7014</v>
      </c>
      <c r="B1498" s="2" t="s">
        <v>226</v>
      </c>
      <c r="C1498" s="2" t="s">
        <v>288</v>
      </c>
      <c r="D1498" s="2" t="s">
        <v>654</v>
      </c>
      <c r="E1498" s="2" t="s">
        <v>890</v>
      </c>
      <c r="F1498" s="2" t="s">
        <v>7006</v>
      </c>
      <c r="G1498" s="2" t="s">
        <v>1844</v>
      </c>
      <c r="H1498" s="2" t="s">
        <v>1844</v>
      </c>
      <c r="I1498" s="2" t="s">
        <v>7007</v>
      </c>
      <c r="J1498" s="2" t="s">
        <v>669</v>
      </c>
      <c r="K1498" s="2" t="s">
        <v>1322</v>
      </c>
      <c r="L1498" s="3">
        <v>38.09</v>
      </c>
      <c r="M1498" s="3">
        <v>39.99</v>
      </c>
      <c r="N1498" s="3">
        <v>79.99</v>
      </c>
      <c r="O1498" s="2" t="s">
        <v>243</v>
      </c>
      <c r="P1498" s="2" t="s">
        <v>270</v>
      </c>
      <c r="Q1498" s="2" t="s">
        <v>237</v>
      </c>
      <c r="R1498" s="2" t="s">
        <v>231</v>
      </c>
      <c r="S1498" s="2" t="s">
        <v>7008</v>
      </c>
      <c r="T1498" s="2" t="s">
        <v>970</v>
      </c>
      <c r="U1498" s="2" t="s">
        <v>835</v>
      </c>
      <c r="V1498" s="2" t="s">
        <v>391</v>
      </c>
      <c r="W1498" s="2" t="s">
        <v>896</v>
      </c>
      <c r="X1498" s="2" t="s">
        <v>971</v>
      </c>
      <c r="Y1498" s="2" t="s">
        <v>7009</v>
      </c>
      <c r="Z1498" s="4">
        <v>3</v>
      </c>
      <c r="AA1498" s="4">
        <f>=ROUNDDOWN(0.3,0)</f>
      </c>
      <c r="AB1498" s="5">
        <v>10</v>
      </c>
      <c r="AC1498" s="2" t="s">
        <v>701</v>
      </c>
      <c r="AD1498" s="4">
        <v>50</v>
      </c>
      <c r="AE1498" s="4">
        <v>240</v>
      </c>
      <c r="AF1498" s="6">
        <v>65</v>
      </c>
      <c r="AG1498" s="6"/>
      <c r="AH1498" s="7">
        <v>0</v>
      </c>
      <c r="AI1498" s="4"/>
      <c r="AJ1498" s="4">
        <f>=ROUNDDOWN({0},0)</f>
      </c>
      <c r="AK1498" s="5"/>
      <c r="AL1498" s="2" t="s">
        <v>231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231</v>
      </c>
      <c r="AW1498" s="8" t="s">
        <v>231</v>
      </c>
      <c r="AX1498" s="4" t="s">
        <v>231</v>
      </c>
      <c r="AY1498" s="8" t="s">
        <v>231</v>
      </c>
      <c r="AZ1498" s="7" t="s">
        <v>231</v>
      </c>
      <c r="BA1498" s="7" t="s">
        <v>231</v>
      </c>
      <c r="BB1498" s="7"/>
      <c r="BC1498" s="4" t="s">
        <v>231</v>
      </c>
      <c r="BD1498" s="8" t="s">
        <v>231</v>
      </c>
      <c r="BE1498" s="4" t="s">
        <v>231</v>
      </c>
      <c r="BF1498" s="8" t="s">
        <v>231</v>
      </c>
      <c r="BG1498" s="7" t="s">
        <v>231</v>
      </c>
      <c r="BH1498" s="7" t="s">
        <v>231</v>
      </c>
      <c r="BI1498" s="7"/>
      <c r="BJ1498" s="4"/>
      <c r="BK1498" s="8"/>
      <c r="BL1498" s="2" t="s">
        <v>231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7015</v>
      </c>
      <c r="BV1498" s="2" t="s">
        <v>231</v>
      </c>
      <c r="BW1498" s="2" t="s">
        <v>231</v>
      </c>
      <c r="BX1498" s="2" t="s">
        <v>231</v>
      </c>
      <c r="BY1498" s="2" t="s">
        <v>277</v>
      </c>
      <c r="BZ1498" s="2" t="s">
        <v>243</v>
      </c>
      <c r="CA1498" s="2" t="s">
        <v>3071</v>
      </c>
      <c r="CB1498" s="2" t="s">
        <v>1737</v>
      </c>
      <c r="CC1498" s="2" t="s">
        <v>244</v>
      </c>
      <c r="CD1498" s="2" t="s">
        <v>231</v>
      </c>
      <c r="CE1498" s="4">
        <v>3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>
        <v>50</v>
      </c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>
        <v>90</v>
      </c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>
        <v>100</v>
      </c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</row>
    <row r="1499">
      <c r="A1499" s="2" t="s">
        <v>7016</v>
      </c>
      <c r="B1499" s="2" t="s">
        <v>1004</v>
      </c>
      <c r="C1499" s="2" t="s">
        <v>815</v>
      </c>
      <c r="D1499" s="2" t="s">
        <v>1837</v>
      </c>
      <c r="E1499" s="2" t="s">
        <v>6476</v>
      </c>
      <c r="F1499" s="2" t="s">
        <v>7017</v>
      </c>
      <c r="G1499" s="2" t="s">
        <v>7017</v>
      </c>
      <c r="H1499" s="2" t="s">
        <v>7017</v>
      </c>
      <c r="I1499" s="2" t="s">
        <v>7018</v>
      </c>
      <c r="J1499" s="2" t="s">
        <v>807</v>
      </c>
      <c r="K1499" s="2" t="s">
        <v>1496</v>
      </c>
      <c r="L1499" s="3">
        <v>189</v>
      </c>
      <c r="M1499" s="3">
        <v>198.45</v>
      </c>
      <c r="N1499" s="3">
        <v>399</v>
      </c>
      <c r="O1499" s="2" t="s">
        <v>243</v>
      </c>
      <c r="P1499" s="2" t="s">
        <v>270</v>
      </c>
      <c r="Q1499" s="2" t="s">
        <v>237</v>
      </c>
      <c r="R1499" s="2" t="s">
        <v>231</v>
      </c>
      <c r="S1499" s="2" t="s">
        <v>231</v>
      </c>
      <c r="T1499" s="2" t="s">
        <v>231</v>
      </c>
      <c r="U1499" s="2" t="s">
        <v>327</v>
      </c>
      <c r="V1499" s="2" t="s">
        <v>662</v>
      </c>
      <c r="W1499" s="2" t="s">
        <v>691</v>
      </c>
      <c r="X1499" s="2" t="s">
        <v>231</v>
      </c>
      <c r="Y1499" s="2" t="s">
        <v>2346</v>
      </c>
      <c r="Z1499" s="4">
        <v>27</v>
      </c>
      <c r="AA1499" s="4">
        <f>=ROUNDDOWN(6.75,0)</f>
      </c>
      <c r="AB1499" s="5">
        <v>4</v>
      </c>
      <c r="AC1499" s="2" t="s">
        <v>2251</v>
      </c>
      <c r="AD1499" s="4">
        <v>100</v>
      </c>
      <c r="AE1499" s="4">
        <v>100</v>
      </c>
      <c r="AF1499" s="6">
        <v>66</v>
      </c>
      <c r="AG1499" s="6"/>
      <c r="AH1499" s="7">
        <v>1</v>
      </c>
      <c r="AI1499" s="4"/>
      <c r="AJ1499" s="4">
        <f>=ROUNDDOWN({0},0)</f>
      </c>
      <c r="AK1499" s="5"/>
      <c r="AL1499" s="2" t="s">
        <v>231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/>
      <c r="BD1499" s="8"/>
      <c r="BE1499" s="4"/>
      <c r="BF1499" s="8"/>
      <c r="BG1499" s="7"/>
      <c r="BH1499" s="7"/>
      <c r="BI1499" s="7"/>
      <c r="BJ1499" s="4">
        <v>9</v>
      </c>
      <c r="BK1499" s="8">
        <v>1646.32</v>
      </c>
      <c r="BL1499" s="2" t="s">
        <v>810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7019</v>
      </c>
      <c r="BV1499" s="2" t="s">
        <v>231</v>
      </c>
      <c r="BW1499" s="2" t="s">
        <v>231</v>
      </c>
      <c r="BX1499" s="2" t="s">
        <v>241</v>
      </c>
      <c r="BY1499" s="2" t="s">
        <v>277</v>
      </c>
      <c r="BZ1499" s="2" t="s">
        <v>243</v>
      </c>
      <c r="CA1499" s="2" t="s">
        <v>2074</v>
      </c>
      <c r="CB1499" s="2" t="s">
        <v>7020</v>
      </c>
      <c r="CC1499" s="2" t="s">
        <v>244</v>
      </c>
      <c r="CD1499" s="2" t="s">
        <v>231</v>
      </c>
      <c r="CE1499" s="4"/>
      <c r="CF1499" s="4">
        <v>27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>
        <v>100</v>
      </c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</row>
    <row r="1500">
      <c r="A1500" s="2" t="s">
        <v>7021</v>
      </c>
      <c r="B1500" s="2" t="s">
        <v>262</v>
      </c>
      <c r="C1500" s="2" t="s">
        <v>288</v>
      </c>
      <c r="D1500" s="2" t="s">
        <v>654</v>
      </c>
      <c r="E1500" s="2" t="s">
        <v>1212</v>
      </c>
      <c r="F1500" s="2" t="s">
        <v>7022</v>
      </c>
      <c r="G1500" s="2" t="s">
        <v>7022</v>
      </c>
      <c r="H1500" s="2" t="s">
        <v>7022</v>
      </c>
      <c r="I1500" s="2" t="s">
        <v>3750</v>
      </c>
      <c r="J1500" s="2" t="s">
        <v>832</v>
      </c>
      <c r="K1500" s="2" t="s">
        <v>319</v>
      </c>
      <c r="L1500" s="3">
        <v>18.28</v>
      </c>
      <c r="M1500" s="3">
        <v>19.19</v>
      </c>
      <c r="N1500" s="3">
        <v>39.99</v>
      </c>
      <c r="O1500" s="2" t="s">
        <v>243</v>
      </c>
      <c r="P1500" s="2" t="s">
        <v>270</v>
      </c>
      <c r="Q1500" s="2" t="s">
        <v>237</v>
      </c>
      <c r="R1500" s="2" t="s">
        <v>231</v>
      </c>
      <c r="S1500" s="2" t="s">
        <v>7023</v>
      </c>
      <c r="T1500" s="2" t="s">
        <v>472</v>
      </c>
      <c r="U1500" s="2" t="s">
        <v>327</v>
      </c>
      <c r="V1500" s="2" t="s">
        <v>987</v>
      </c>
      <c r="W1500" s="2" t="s">
        <v>273</v>
      </c>
      <c r="X1500" s="2" t="s">
        <v>691</v>
      </c>
      <c r="Y1500" s="2" t="s">
        <v>1878</v>
      </c>
      <c r="Z1500" s="4">
        <v>106</v>
      </c>
      <c r="AA1500" s="4">
        <f>=ROUNDDOWN(26.5,0)</f>
      </c>
      <c r="AB1500" s="5">
        <v>4</v>
      </c>
      <c r="AC1500" s="2" t="s">
        <v>1315</v>
      </c>
      <c r="AD1500" s="4">
        <v>40</v>
      </c>
      <c r="AE1500" s="4">
        <v>80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231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231</v>
      </c>
      <c r="AW1500" s="8" t="s">
        <v>231</v>
      </c>
      <c r="AX1500" s="4" t="s">
        <v>231</v>
      </c>
      <c r="AY1500" s="8" t="s">
        <v>231</v>
      </c>
      <c r="AZ1500" s="7" t="s">
        <v>231</v>
      </c>
      <c r="BA1500" s="7" t="s">
        <v>231</v>
      </c>
      <c r="BB1500" s="7"/>
      <c r="BC1500" s="4" t="s">
        <v>231</v>
      </c>
      <c r="BD1500" s="8" t="s">
        <v>231</v>
      </c>
      <c r="BE1500" s="4" t="s">
        <v>231</v>
      </c>
      <c r="BF1500" s="8" t="s">
        <v>231</v>
      </c>
      <c r="BG1500" s="7" t="s">
        <v>231</v>
      </c>
      <c r="BH1500" s="7" t="s">
        <v>231</v>
      </c>
      <c r="BI1500" s="7"/>
      <c r="BJ1500" s="4">
        <v>3</v>
      </c>
      <c r="BK1500" s="8">
        <v>61.61</v>
      </c>
      <c r="BL1500" s="2" t="s">
        <v>1358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7024</v>
      </c>
      <c r="BV1500" s="2" t="s">
        <v>231</v>
      </c>
      <c r="BW1500" s="2" t="s">
        <v>231</v>
      </c>
      <c r="BX1500" s="2" t="s">
        <v>231</v>
      </c>
      <c r="BY1500" s="2" t="s">
        <v>277</v>
      </c>
      <c r="BZ1500" s="2" t="s">
        <v>243</v>
      </c>
      <c r="CA1500" s="2" t="s">
        <v>3687</v>
      </c>
      <c r="CB1500" s="2" t="s">
        <v>2683</v>
      </c>
      <c r="CC1500" s="2" t="s">
        <v>244</v>
      </c>
      <c r="CD1500" s="2" t="s">
        <v>231</v>
      </c>
      <c r="CE1500" s="4">
        <v>106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>
        <v>40</v>
      </c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>
        <v>40</v>
      </c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</row>
    <row r="1501">
      <c r="A1501" s="2" t="s">
        <v>7025</v>
      </c>
      <c r="B1501" s="2" t="s">
        <v>262</v>
      </c>
      <c r="C1501" s="2" t="s">
        <v>288</v>
      </c>
      <c r="D1501" s="2" t="s">
        <v>654</v>
      </c>
      <c r="E1501" s="2" t="s">
        <v>1212</v>
      </c>
      <c r="F1501" s="2" t="s">
        <v>7022</v>
      </c>
      <c r="G1501" s="2" t="s">
        <v>7022</v>
      </c>
      <c r="H1501" s="2" t="s">
        <v>7022</v>
      </c>
      <c r="I1501" s="2" t="s">
        <v>3750</v>
      </c>
      <c r="J1501" s="2" t="s">
        <v>658</v>
      </c>
      <c r="K1501" s="2" t="s">
        <v>319</v>
      </c>
      <c r="L1501" s="3">
        <v>22.85</v>
      </c>
      <c r="M1501" s="3">
        <v>23.99</v>
      </c>
      <c r="N1501" s="3">
        <v>49.99</v>
      </c>
      <c r="O1501" s="2" t="s">
        <v>243</v>
      </c>
      <c r="P1501" s="2" t="s">
        <v>270</v>
      </c>
      <c r="Q1501" s="2" t="s">
        <v>237</v>
      </c>
      <c r="R1501" s="2" t="s">
        <v>231</v>
      </c>
      <c r="S1501" s="2" t="s">
        <v>7023</v>
      </c>
      <c r="T1501" s="2" t="s">
        <v>472</v>
      </c>
      <c r="U1501" s="2" t="s">
        <v>327</v>
      </c>
      <c r="V1501" s="2" t="s">
        <v>987</v>
      </c>
      <c r="W1501" s="2" t="s">
        <v>273</v>
      </c>
      <c r="X1501" s="2" t="s">
        <v>691</v>
      </c>
      <c r="Y1501" s="2" t="s">
        <v>948</v>
      </c>
      <c r="Z1501" s="4">
        <v>1</v>
      </c>
      <c r="AA1501" s="4">
        <f>=ROUNDDOWN(0.125,0)</f>
      </c>
      <c r="AB1501" s="5">
        <v>8</v>
      </c>
      <c r="AC1501" s="2" t="s">
        <v>1315</v>
      </c>
      <c r="AD1501" s="4">
        <v>190</v>
      </c>
      <c r="AE1501" s="4">
        <v>340</v>
      </c>
      <c r="AF1501" s="6">
        <v>65</v>
      </c>
      <c r="AG1501" s="6"/>
      <c r="AH1501" s="7">
        <v>0</v>
      </c>
      <c r="AI1501" s="4"/>
      <c r="AJ1501" s="4">
        <f>=ROUNDDOWN({0},0)</f>
      </c>
      <c r="AK1501" s="5"/>
      <c r="AL1501" s="2" t="s">
        <v>231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231</v>
      </c>
      <c r="AW1501" s="8" t="s">
        <v>231</v>
      </c>
      <c r="AX1501" s="4" t="s">
        <v>231</v>
      </c>
      <c r="AY1501" s="8" t="s">
        <v>231</v>
      </c>
      <c r="AZ1501" s="7" t="s">
        <v>231</v>
      </c>
      <c r="BA1501" s="7" t="s">
        <v>231</v>
      </c>
      <c r="BB1501" s="7"/>
      <c r="BC1501" s="4" t="s">
        <v>231</v>
      </c>
      <c r="BD1501" s="8" t="s">
        <v>231</v>
      </c>
      <c r="BE1501" s="4" t="s">
        <v>231</v>
      </c>
      <c r="BF1501" s="8" t="s">
        <v>231</v>
      </c>
      <c r="BG1501" s="7" t="s">
        <v>231</v>
      </c>
      <c r="BH1501" s="7" t="s">
        <v>231</v>
      </c>
      <c r="BI1501" s="7"/>
      <c r="BJ1501" s="4">
        <v>3</v>
      </c>
      <c r="BK1501" s="8">
        <v>73.89</v>
      </c>
      <c r="BL1501" s="2" t="s">
        <v>2849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7026</v>
      </c>
      <c r="BV1501" s="2" t="s">
        <v>231</v>
      </c>
      <c r="BW1501" s="2" t="s">
        <v>231</v>
      </c>
      <c r="BX1501" s="2" t="s">
        <v>231</v>
      </c>
      <c r="BY1501" s="2" t="s">
        <v>277</v>
      </c>
      <c r="BZ1501" s="2" t="s">
        <v>243</v>
      </c>
      <c r="CA1501" s="2" t="s">
        <v>3687</v>
      </c>
      <c r="CB1501" s="2" t="s">
        <v>3127</v>
      </c>
      <c r="CC1501" s="2" t="s">
        <v>244</v>
      </c>
      <c r="CD1501" s="2" t="s">
        <v>231</v>
      </c>
      <c r="CE1501" s="4">
        <v>1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>
        <v>190</v>
      </c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>
        <v>150</v>
      </c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</row>
    <row r="1502">
      <c r="A1502" s="2" t="s">
        <v>7027</v>
      </c>
      <c r="B1502" s="2" t="s">
        <v>824</v>
      </c>
      <c r="C1502" s="2" t="s">
        <v>1017</v>
      </c>
      <c r="D1502" s="2" t="s">
        <v>1462</v>
      </c>
      <c r="E1502" s="2" t="s">
        <v>1463</v>
      </c>
      <c r="F1502" s="2" t="s">
        <v>7028</v>
      </c>
      <c r="G1502" s="2" t="s">
        <v>231</v>
      </c>
      <c r="H1502" s="2" t="s">
        <v>231</v>
      </c>
      <c r="I1502" s="2" t="s">
        <v>7029</v>
      </c>
      <c r="J1502" s="2" t="s">
        <v>318</v>
      </c>
      <c r="K1502" s="2" t="s">
        <v>2125</v>
      </c>
      <c r="L1502" s="3">
        <v>21.64</v>
      </c>
      <c r="M1502" s="3">
        <v>22.72</v>
      </c>
      <c r="N1502" s="3">
        <v>39.99</v>
      </c>
      <c r="O1502" s="2" t="s">
        <v>243</v>
      </c>
      <c r="P1502" s="2" t="s">
        <v>1019</v>
      </c>
      <c r="Q1502" s="2" t="s">
        <v>237</v>
      </c>
      <c r="R1502" s="2" t="s">
        <v>1020</v>
      </c>
      <c r="S1502" s="2" t="s">
        <v>231</v>
      </c>
      <c r="T1502" s="2" t="s">
        <v>231</v>
      </c>
      <c r="U1502" s="2" t="s">
        <v>791</v>
      </c>
      <c r="V1502" s="2" t="s">
        <v>662</v>
      </c>
      <c r="W1502" s="2" t="s">
        <v>231</v>
      </c>
      <c r="X1502" s="2" t="s">
        <v>231</v>
      </c>
      <c r="Y1502" s="2" t="s">
        <v>5639</v>
      </c>
      <c r="Z1502" s="4">
        <v>44</v>
      </c>
      <c r="AA1502" s="4">
        <f>=ROUNDDOWN(24.4444444444444,0)</f>
      </c>
      <c r="AB1502" s="5">
        <v>1.8</v>
      </c>
      <c r="AC1502" s="2" t="s">
        <v>231</v>
      </c>
      <c r="AD1502" s="4"/>
      <c r="AE1502" s="4"/>
      <c r="AF1502" s="6">
        <v>64</v>
      </c>
      <c r="AG1502" s="6"/>
      <c r="AH1502" s="7">
        <v>1</v>
      </c>
      <c r="AI1502" s="4"/>
      <c r="AJ1502" s="4">
        <f>=ROUNDDOWN({0},0)</f>
      </c>
      <c r="AK1502" s="5"/>
      <c r="AL1502" s="2" t="s">
        <v>231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231</v>
      </c>
      <c r="AW1502" s="8" t="s">
        <v>231</v>
      </c>
      <c r="AX1502" s="4" t="s">
        <v>231</v>
      </c>
      <c r="AY1502" s="8" t="s">
        <v>231</v>
      </c>
      <c r="AZ1502" s="7" t="s">
        <v>231</v>
      </c>
      <c r="BA1502" s="7" t="s">
        <v>231</v>
      </c>
      <c r="BB1502" s="7"/>
      <c r="BC1502" s="4" t="s">
        <v>231</v>
      </c>
      <c r="BD1502" s="8" t="s">
        <v>231</v>
      </c>
      <c r="BE1502" s="4" t="s">
        <v>231</v>
      </c>
      <c r="BF1502" s="8" t="s">
        <v>231</v>
      </c>
      <c r="BG1502" s="7" t="s">
        <v>231</v>
      </c>
      <c r="BH1502" s="7" t="s">
        <v>231</v>
      </c>
      <c r="BI1502" s="7"/>
      <c r="BJ1502" s="4">
        <v>12</v>
      </c>
      <c r="BK1502" s="8">
        <v>283.08</v>
      </c>
      <c r="BL1502" s="2" t="s">
        <v>1020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7030</v>
      </c>
      <c r="BV1502" s="2" t="s">
        <v>231</v>
      </c>
      <c r="BW1502" s="2" t="s">
        <v>231</v>
      </c>
      <c r="BX1502" s="2" t="s">
        <v>241</v>
      </c>
      <c r="BY1502" s="2" t="s">
        <v>277</v>
      </c>
      <c r="BZ1502" s="2" t="s">
        <v>243</v>
      </c>
      <c r="CA1502" s="2" t="s">
        <v>1680</v>
      </c>
      <c r="CB1502" s="2" t="s">
        <v>231</v>
      </c>
      <c r="CC1502" s="2" t="s">
        <v>244</v>
      </c>
      <c r="CD1502" s="2" t="s">
        <v>231</v>
      </c>
      <c r="CE1502" s="4">
        <v>44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</row>
    <row r="1503">
      <c r="A1503" s="2" t="s">
        <v>7031</v>
      </c>
      <c r="B1503" s="2" t="s">
        <v>824</v>
      </c>
      <c r="C1503" s="2" t="s">
        <v>1017</v>
      </c>
      <c r="D1503" s="2" t="s">
        <v>1462</v>
      </c>
      <c r="E1503" s="2" t="s">
        <v>1463</v>
      </c>
      <c r="F1503" s="2" t="s">
        <v>7028</v>
      </c>
      <c r="G1503" s="2" t="s">
        <v>231</v>
      </c>
      <c r="H1503" s="2" t="s">
        <v>231</v>
      </c>
      <c r="I1503" s="2" t="s">
        <v>7029</v>
      </c>
      <c r="J1503" s="2" t="s">
        <v>293</v>
      </c>
      <c r="K1503" s="2" t="s">
        <v>2125</v>
      </c>
      <c r="L1503" s="3">
        <v>25.87</v>
      </c>
      <c r="M1503" s="3">
        <v>27.16</v>
      </c>
      <c r="N1503" s="3">
        <v>44.99</v>
      </c>
      <c r="O1503" s="2" t="s">
        <v>243</v>
      </c>
      <c r="P1503" s="2" t="s">
        <v>1019</v>
      </c>
      <c r="Q1503" s="2" t="s">
        <v>237</v>
      </c>
      <c r="R1503" s="2" t="s">
        <v>1020</v>
      </c>
      <c r="S1503" s="2" t="s">
        <v>231</v>
      </c>
      <c r="T1503" s="2" t="s">
        <v>231</v>
      </c>
      <c r="U1503" s="2" t="s">
        <v>835</v>
      </c>
      <c r="V1503" s="2" t="s">
        <v>662</v>
      </c>
      <c r="W1503" s="2" t="s">
        <v>231</v>
      </c>
      <c r="X1503" s="2" t="s">
        <v>231</v>
      </c>
      <c r="Y1503" s="2" t="s">
        <v>5639</v>
      </c>
      <c r="Z1503" s="4">
        <v>231</v>
      </c>
      <c r="AA1503" s="4">
        <f>=ROUNDDOWN(288.75,0)</f>
      </c>
      <c r="AB1503" s="5">
        <v>0.8</v>
      </c>
      <c r="AC1503" s="2" t="s">
        <v>231</v>
      </c>
      <c r="AD1503" s="4"/>
      <c r="AE1503" s="4"/>
      <c r="AF1503" s="6">
        <v>64</v>
      </c>
      <c r="AG1503" s="6"/>
      <c r="AH1503" s="7">
        <v>1</v>
      </c>
      <c r="AI1503" s="4"/>
      <c r="AJ1503" s="4">
        <f>=ROUNDDOWN({0},0)</f>
      </c>
      <c r="AK1503" s="5"/>
      <c r="AL1503" s="2" t="s">
        <v>231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231</v>
      </c>
      <c r="AW1503" s="8" t="s">
        <v>231</v>
      </c>
      <c r="AX1503" s="4" t="s">
        <v>231</v>
      </c>
      <c r="AY1503" s="8" t="s">
        <v>231</v>
      </c>
      <c r="AZ1503" s="7" t="s">
        <v>231</v>
      </c>
      <c r="BA1503" s="7" t="s">
        <v>231</v>
      </c>
      <c r="BB1503" s="7"/>
      <c r="BC1503" s="4" t="s">
        <v>231</v>
      </c>
      <c r="BD1503" s="8" t="s">
        <v>231</v>
      </c>
      <c r="BE1503" s="4" t="s">
        <v>231</v>
      </c>
      <c r="BF1503" s="8" t="s">
        <v>231</v>
      </c>
      <c r="BG1503" s="7" t="s">
        <v>231</v>
      </c>
      <c r="BH1503" s="7" t="s">
        <v>231</v>
      </c>
      <c r="BI1503" s="7"/>
      <c r="BJ1503" s="4">
        <v>3</v>
      </c>
      <c r="BK1503" s="8">
        <v>84.6</v>
      </c>
      <c r="BL1503" s="2" t="s">
        <v>1020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7032</v>
      </c>
      <c r="BV1503" s="2" t="s">
        <v>231</v>
      </c>
      <c r="BW1503" s="2" t="s">
        <v>231</v>
      </c>
      <c r="BX1503" s="2" t="s">
        <v>241</v>
      </c>
      <c r="BY1503" s="2" t="s">
        <v>277</v>
      </c>
      <c r="BZ1503" s="2" t="s">
        <v>243</v>
      </c>
      <c r="CA1503" s="2" t="s">
        <v>1680</v>
      </c>
      <c r="CB1503" s="2" t="s">
        <v>231</v>
      </c>
      <c r="CC1503" s="2" t="s">
        <v>244</v>
      </c>
      <c r="CD1503" s="2" t="s">
        <v>231</v>
      </c>
      <c r="CE1503" s="4"/>
      <c r="CF1503" s="4"/>
      <c r="CG1503" s="4"/>
      <c r="CH1503" s="4"/>
      <c r="CI1503" s="4">
        <v>231</v>
      </c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</row>
    <row r="1504">
      <c r="A1504" s="2" t="s">
        <v>7033</v>
      </c>
      <c r="B1504" s="2" t="s">
        <v>1186</v>
      </c>
      <c r="C1504" s="2" t="s">
        <v>1299</v>
      </c>
      <c r="D1504" s="2" t="s">
        <v>1462</v>
      </c>
      <c r="E1504" s="2" t="s">
        <v>7034</v>
      </c>
      <c r="F1504" s="2" t="s">
        <v>2835</v>
      </c>
      <c r="G1504" s="2" t="s">
        <v>2835</v>
      </c>
      <c r="H1504" s="2" t="s">
        <v>2835</v>
      </c>
      <c r="I1504" s="2" t="s">
        <v>7035</v>
      </c>
      <c r="J1504" s="2" t="s">
        <v>669</v>
      </c>
      <c r="K1504" s="2" t="s">
        <v>1491</v>
      </c>
      <c r="L1504" s="3">
        <v>59.42</v>
      </c>
      <c r="M1504" s="3">
        <v>62.39</v>
      </c>
      <c r="N1504" s="3">
        <v>129.99</v>
      </c>
      <c r="O1504" s="2" t="s">
        <v>235</v>
      </c>
      <c r="P1504" s="2" t="s">
        <v>341</v>
      </c>
      <c r="Q1504" s="2" t="s">
        <v>237</v>
      </c>
      <c r="R1504" s="2" t="s">
        <v>231</v>
      </c>
      <c r="S1504" s="2" t="s">
        <v>7036</v>
      </c>
      <c r="T1504" s="2" t="s">
        <v>362</v>
      </c>
      <c r="U1504" s="2" t="s">
        <v>835</v>
      </c>
      <c r="V1504" s="2" t="s">
        <v>987</v>
      </c>
      <c r="W1504" s="2" t="s">
        <v>897</v>
      </c>
      <c r="X1504" s="2" t="s">
        <v>971</v>
      </c>
      <c r="Y1504" s="2" t="s">
        <v>7037</v>
      </c>
      <c r="Z1504" s="4">
        <v>142</v>
      </c>
      <c r="AA1504" s="4">
        <f>=ROUNDDOWN(118.333333333333,0)</f>
      </c>
      <c r="AB1504" s="5">
        <v>1.2</v>
      </c>
      <c r="AC1504" s="2" t="s">
        <v>231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231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/>
      <c r="BD1504" s="8"/>
      <c r="BE1504" s="4"/>
      <c r="BF1504" s="8"/>
      <c r="BG1504" s="7"/>
      <c r="BH1504" s="7"/>
      <c r="BI1504" s="7"/>
      <c r="BJ1504" s="4">
        <v>5</v>
      </c>
      <c r="BK1504" s="8">
        <v>233.04</v>
      </c>
      <c r="BL1504" s="2" t="s">
        <v>3758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7038</v>
      </c>
      <c r="BV1504" s="2" t="s">
        <v>231</v>
      </c>
      <c r="BW1504" s="2" t="s">
        <v>231</v>
      </c>
      <c r="BX1504" s="2" t="s">
        <v>231</v>
      </c>
      <c r="BY1504" s="2" t="s">
        <v>277</v>
      </c>
      <c r="BZ1504" s="2" t="s">
        <v>243</v>
      </c>
      <c r="CA1504" s="2" t="s">
        <v>7039</v>
      </c>
      <c r="CB1504" s="2" t="s">
        <v>7040</v>
      </c>
      <c r="CC1504" s="2" t="s">
        <v>244</v>
      </c>
      <c r="CD1504" s="2" t="s">
        <v>231</v>
      </c>
      <c r="CE1504" s="4">
        <v>142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</row>
    <row r="1505">
      <c r="A1505" s="2" t="s">
        <v>7041</v>
      </c>
      <c r="B1505" s="2" t="s">
        <v>226</v>
      </c>
      <c r="C1505" s="2" t="s">
        <v>1299</v>
      </c>
      <c r="D1505" s="2" t="s">
        <v>654</v>
      </c>
      <c r="E1505" s="2" t="s">
        <v>655</v>
      </c>
      <c r="F1505" s="2" t="s">
        <v>7042</v>
      </c>
      <c r="G1505" s="2" t="s">
        <v>7042</v>
      </c>
      <c r="H1505" s="2" t="s">
        <v>7042</v>
      </c>
      <c r="I1505" s="2" t="s">
        <v>5146</v>
      </c>
      <c r="J1505" s="2" t="s">
        <v>318</v>
      </c>
      <c r="K1505" s="2" t="s">
        <v>7043</v>
      </c>
      <c r="L1505" s="3">
        <v>28.57</v>
      </c>
      <c r="M1505" s="3">
        <v>30</v>
      </c>
      <c r="N1505" s="3">
        <v>59.99</v>
      </c>
      <c r="O1505" s="2" t="s">
        <v>235</v>
      </c>
      <c r="P1505" s="2" t="s">
        <v>341</v>
      </c>
      <c r="Q1505" s="2" t="s">
        <v>237</v>
      </c>
      <c r="R1505" s="2" t="s">
        <v>231</v>
      </c>
      <c r="S1505" s="2" t="s">
        <v>7044</v>
      </c>
      <c r="T1505" s="2" t="s">
        <v>5671</v>
      </c>
      <c r="U1505" s="2" t="s">
        <v>835</v>
      </c>
      <c r="V1505" s="2" t="s">
        <v>1304</v>
      </c>
      <c r="W1505" s="2" t="s">
        <v>971</v>
      </c>
      <c r="X1505" s="2" t="s">
        <v>676</v>
      </c>
      <c r="Y1505" s="2" t="s">
        <v>7045</v>
      </c>
      <c r="Z1505" s="4">
        <v>96</v>
      </c>
      <c r="AA1505" s="4">
        <f>=ROUNDDOWN(106.666666666667,0)</f>
      </c>
      <c r="AB1505" s="5">
        <v>0.9</v>
      </c>
      <c r="AC1505" s="2" t="s">
        <v>231</v>
      </c>
      <c r="AD1505" s="4"/>
      <c r="AE1505" s="4"/>
      <c r="AF1505" s="6">
        <v>66</v>
      </c>
      <c r="AG1505" s="6"/>
      <c r="AH1505" s="7">
        <v>1</v>
      </c>
      <c r="AI1505" s="4"/>
      <c r="AJ1505" s="4">
        <f>=ROUNDDOWN({0},0)</f>
      </c>
      <c r="AK1505" s="5"/>
      <c r="AL1505" s="2" t="s">
        <v>231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/>
      <c r="BD1505" s="8"/>
      <c r="BE1505" s="4"/>
      <c r="BF1505" s="8"/>
      <c r="BG1505" s="7"/>
      <c r="BH1505" s="7"/>
      <c r="BI1505" s="7"/>
      <c r="BJ1505" s="4">
        <v>3</v>
      </c>
      <c r="BK1505" s="8">
        <v>96.3</v>
      </c>
      <c r="BL1505" s="2" t="s">
        <v>587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7046</v>
      </c>
      <c r="BV1505" s="2" t="s">
        <v>231</v>
      </c>
      <c r="BW1505" s="2" t="s">
        <v>231</v>
      </c>
      <c r="BX1505" s="2" t="s">
        <v>231</v>
      </c>
      <c r="BY1505" s="2" t="s">
        <v>277</v>
      </c>
      <c r="BZ1505" s="2" t="s">
        <v>243</v>
      </c>
      <c r="CA1505" s="2" t="s">
        <v>7047</v>
      </c>
      <c r="CB1505" s="2" t="s">
        <v>7048</v>
      </c>
      <c r="CC1505" s="2" t="s">
        <v>244</v>
      </c>
      <c r="CD1505" s="2" t="s">
        <v>231</v>
      </c>
      <c r="CE1505" s="4">
        <v>96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</row>
    <row r="1506">
      <c r="A1506" s="2" t="s">
        <v>7049</v>
      </c>
      <c r="B1506" s="2" t="s">
        <v>847</v>
      </c>
      <c r="C1506" s="2" t="s">
        <v>1051</v>
      </c>
      <c r="D1506" s="2" t="s">
        <v>848</v>
      </c>
      <c r="E1506" s="2" t="s">
        <v>849</v>
      </c>
      <c r="F1506" s="2" t="s">
        <v>7050</v>
      </c>
      <c r="G1506" s="2" t="s">
        <v>7050</v>
      </c>
      <c r="H1506" s="2" t="s">
        <v>7050</v>
      </c>
      <c r="I1506" s="2" t="s">
        <v>7051</v>
      </c>
      <c r="J1506" s="2" t="s">
        <v>807</v>
      </c>
      <c r="K1506" s="2" t="s">
        <v>852</v>
      </c>
      <c r="L1506" s="3">
        <v>27.2</v>
      </c>
      <c r="M1506" s="3">
        <v>28.56</v>
      </c>
      <c r="N1506" s="3">
        <v>59.49</v>
      </c>
      <c r="O1506" s="2" t="s">
        <v>243</v>
      </c>
      <c r="P1506" s="2" t="s">
        <v>341</v>
      </c>
      <c r="Q1506" s="2" t="s">
        <v>237</v>
      </c>
      <c r="R1506" s="2" t="s">
        <v>231</v>
      </c>
      <c r="S1506" s="2" t="s">
        <v>231</v>
      </c>
      <c r="T1506" s="2" t="s">
        <v>231</v>
      </c>
      <c r="U1506" s="2" t="s">
        <v>791</v>
      </c>
      <c r="V1506" s="2" t="s">
        <v>662</v>
      </c>
      <c r="W1506" s="2" t="s">
        <v>273</v>
      </c>
      <c r="X1506" s="2" t="s">
        <v>231</v>
      </c>
      <c r="Y1506" s="2" t="s">
        <v>7052</v>
      </c>
      <c r="Z1506" s="4">
        <v>61</v>
      </c>
      <c r="AA1506" s="4">
        <f>=ROUNDDOWN(30.5,0)</f>
      </c>
      <c r="AB1506" s="5">
        <v>2</v>
      </c>
      <c r="AC1506" s="2" t="s">
        <v>231</v>
      </c>
      <c r="AD1506" s="4"/>
      <c r="AE1506" s="4"/>
      <c r="AF1506" s="6">
        <v>63</v>
      </c>
      <c r="AG1506" s="6"/>
      <c r="AH1506" s="7">
        <v>1</v>
      </c>
      <c r="AI1506" s="4"/>
      <c r="AJ1506" s="4">
        <f>=ROUNDDOWN({0},0)</f>
      </c>
      <c r="AK1506" s="5"/>
      <c r="AL1506" s="2" t="s">
        <v>231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/>
      <c r="BD1506" s="8"/>
      <c r="BE1506" s="4"/>
      <c r="BF1506" s="8"/>
      <c r="BG1506" s="7"/>
      <c r="BH1506" s="7"/>
      <c r="BI1506" s="7"/>
      <c r="BJ1506" s="4">
        <v>15</v>
      </c>
      <c r="BK1506" s="8">
        <v>470.47</v>
      </c>
      <c r="BL1506" s="2" t="s">
        <v>7053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7054</v>
      </c>
      <c r="BV1506" s="2" t="s">
        <v>231</v>
      </c>
      <c r="BW1506" s="2" t="s">
        <v>231</v>
      </c>
      <c r="BX1506" s="2" t="s">
        <v>231</v>
      </c>
      <c r="BY1506" s="2" t="s">
        <v>277</v>
      </c>
      <c r="BZ1506" s="2" t="s">
        <v>243</v>
      </c>
      <c r="CA1506" s="2" t="s">
        <v>7055</v>
      </c>
      <c r="CB1506" s="2" t="s">
        <v>231</v>
      </c>
      <c r="CC1506" s="2" t="s">
        <v>244</v>
      </c>
      <c r="CD1506" s="2" t="s">
        <v>231</v>
      </c>
      <c r="CE1506" s="4"/>
      <c r="CF1506" s="4">
        <v>61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</row>
    <row r="1507">
      <c r="A1507" s="2" t="s">
        <v>7056</v>
      </c>
      <c r="B1507" s="2" t="s">
        <v>1186</v>
      </c>
      <c r="C1507" s="2" t="s">
        <v>1299</v>
      </c>
      <c r="D1507" s="2" t="s">
        <v>1624</v>
      </c>
      <c r="E1507" s="2" t="s">
        <v>1625</v>
      </c>
      <c r="F1507" s="2" t="s">
        <v>7057</v>
      </c>
      <c r="G1507" s="2" t="s">
        <v>7057</v>
      </c>
      <c r="H1507" s="2" t="s">
        <v>7057</v>
      </c>
      <c r="I1507" s="2" t="s">
        <v>7058</v>
      </c>
      <c r="J1507" s="2" t="s">
        <v>1628</v>
      </c>
      <c r="K1507" s="2" t="s">
        <v>1513</v>
      </c>
      <c r="L1507" s="3">
        <v>22.05</v>
      </c>
      <c r="M1507" s="3">
        <v>23.15</v>
      </c>
      <c r="N1507" s="3">
        <v>44.99</v>
      </c>
      <c r="O1507" s="2" t="s">
        <v>243</v>
      </c>
      <c r="P1507" s="2" t="s">
        <v>270</v>
      </c>
      <c r="Q1507" s="2" t="s">
        <v>237</v>
      </c>
      <c r="R1507" s="2" t="s">
        <v>231</v>
      </c>
      <c r="S1507" s="2" t="s">
        <v>7059</v>
      </c>
      <c r="T1507" s="2" t="s">
        <v>231</v>
      </c>
      <c r="U1507" s="2" t="s">
        <v>231</v>
      </c>
      <c r="V1507" s="2" t="s">
        <v>1304</v>
      </c>
      <c r="W1507" s="2" t="s">
        <v>897</v>
      </c>
      <c r="X1507" s="2" t="s">
        <v>273</v>
      </c>
      <c r="Y1507" s="2" t="s">
        <v>274</v>
      </c>
      <c r="Z1507" s="4">
        <v>373</v>
      </c>
      <c r="AA1507" s="4">
        <f>=ROUNDDOWN(21.9411764705882,0)</f>
      </c>
      <c r="AB1507" s="5">
        <v>17</v>
      </c>
      <c r="AC1507" s="2" t="s">
        <v>477</v>
      </c>
      <c r="AD1507" s="4">
        <v>240</v>
      </c>
      <c r="AE1507" s="4">
        <v>1220</v>
      </c>
      <c r="AF1507" s="6">
        <v>69</v>
      </c>
      <c r="AG1507" s="6"/>
      <c r="AH1507" s="7">
        <v>1</v>
      </c>
      <c r="AI1507" s="4"/>
      <c r="AJ1507" s="4">
        <f>=ROUNDDOWN({0},0)</f>
      </c>
      <c r="AK1507" s="5"/>
      <c r="AL1507" s="2" t="s">
        <v>231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/>
      <c r="BD1507" s="8"/>
      <c r="BE1507" s="4"/>
      <c r="BF1507" s="8"/>
      <c r="BG1507" s="7"/>
      <c r="BH1507" s="7"/>
      <c r="BI1507" s="7"/>
      <c r="BJ1507" s="4">
        <v>25</v>
      </c>
      <c r="BK1507" s="8">
        <v>578.31</v>
      </c>
      <c r="BL1507" s="2" t="s">
        <v>7060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7061</v>
      </c>
      <c r="BV1507" s="2" t="s">
        <v>231</v>
      </c>
      <c r="BW1507" s="2" t="s">
        <v>231</v>
      </c>
      <c r="BX1507" s="2" t="s">
        <v>231</v>
      </c>
      <c r="BY1507" s="2" t="s">
        <v>277</v>
      </c>
      <c r="BZ1507" s="2" t="s">
        <v>243</v>
      </c>
      <c r="CA1507" s="2" t="s">
        <v>1271</v>
      </c>
      <c r="CB1507" s="2" t="s">
        <v>5314</v>
      </c>
      <c r="CC1507" s="2" t="s">
        <v>244</v>
      </c>
      <c r="CD1507" s="2" t="s">
        <v>231</v>
      </c>
      <c r="CE1507" s="4">
        <v>373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>
        <v>240</v>
      </c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>
        <v>370</v>
      </c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>
        <v>400</v>
      </c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>
        <v>210</v>
      </c>
      <c r="HF1507" s="4"/>
      <c r="HG1507" s="4"/>
      <c r="HH1507" s="4"/>
      <c r="HI1507" s="4"/>
      <c r="HJ1507" s="4"/>
      <c r="HK1507" s="4"/>
      <c r="HL1507" s="4"/>
    </row>
    <row r="1508">
      <c r="A1508" s="2" t="s">
        <v>7062</v>
      </c>
      <c r="B1508" s="2" t="s">
        <v>1004</v>
      </c>
      <c r="C1508" s="2" t="s">
        <v>653</v>
      </c>
      <c r="D1508" s="2" t="s">
        <v>1922</v>
      </c>
      <c r="E1508" s="2" t="s">
        <v>1923</v>
      </c>
      <c r="F1508" s="2" t="s">
        <v>7063</v>
      </c>
      <c r="G1508" s="2" t="s">
        <v>231</v>
      </c>
      <c r="H1508" s="2" t="s">
        <v>231</v>
      </c>
      <c r="I1508" s="2" t="s">
        <v>7064</v>
      </c>
      <c r="J1508" s="2" t="s">
        <v>807</v>
      </c>
      <c r="K1508" s="2" t="s">
        <v>253</v>
      </c>
      <c r="L1508" s="3">
        <v>256.03</v>
      </c>
      <c r="M1508" s="3">
        <v>268.83</v>
      </c>
      <c r="N1508" s="3">
        <v>529</v>
      </c>
      <c r="O1508" s="2" t="s">
        <v>243</v>
      </c>
      <c r="P1508" s="2" t="s">
        <v>270</v>
      </c>
      <c r="Q1508" s="2" t="s">
        <v>237</v>
      </c>
      <c r="R1508" s="2" t="s">
        <v>231</v>
      </c>
      <c r="S1508" s="2" t="s">
        <v>231</v>
      </c>
      <c r="T1508" s="2" t="s">
        <v>231</v>
      </c>
      <c r="U1508" s="2" t="s">
        <v>231</v>
      </c>
      <c r="V1508" s="2" t="s">
        <v>239</v>
      </c>
      <c r="W1508" s="2" t="s">
        <v>676</v>
      </c>
      <c r="X1508" s="2" t="s">
        <v>231</v>
      </c>
      <c r="Y1508" s="2" t="s">
        <v>1078</v>
      </c>
      <c r="Z1508" s="4">
        <v>404</v>
      </c>
      <c r="AA1508" s="4">
        <f>=ROUNDDOWN(50.5,0)</f>
      </c>
      <c r="AB1508" s="5">
        <v>8</v>
      </c>
      <c r="AC1508" s="2" t="s">
        <v>231</v>
      </c>
      <c r="AD1508" s="4"/>
      <c r="AE1508" s="4"/>
      <c r="AF1508" s="6">
        <v>66</v>
      </c>
      <c r="AG1508" s="6">
        <v>49</v>
      </c>
      <c r="AH1508" s="7">
        <v>1</v>
      </c>
      <c r="AI1508" s="4"/>
      <c r="AJ1508" s="4">
        <f>=ROUNDDOWN({0},0)</f>
      </c>
      <c r="AK1508" s="5"/>
      <c r="AL1508" s="2" t="s">
        <v>231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/>
      <c r="BD1508" s="8"/>
      <c r="BE1508" s="4"/>
      <c r="BF1508" s="8"/>
      <c r="BG1508" s="7"/>
      <c r="BH1508" s="7"/>
      <c r="BI1508" s="7"/>
      <c r="BJ1508" s="4">
        <v>32</v>
      </c>
      <c r="BK1508" s="8">
        <v>7534.86</v>
      </c>
      <c r="BL1508" s="2" t="s">
        <v>7065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7066</v>
      </c>
      <c r="BV1508" s="2" t="s">
        <v>231</v>
      </c>
      <c r="BW1508" s="2" t="s">
        <v>231</v>
      </c>
      <c r="BX1508" s="2" t="s">
        <v>231</v>
      </c>
      <c r="BY1508" s="2" t="s">
        <v>277</v>
      </c>
      <c r="BZ1508" s="2" t="s">
        <v>243</v>
      </c>
      <c r="CA1508" s="2" t="s">
        <v>4389</v>
      </c>
      <c r="CB1508" s="2" t="s">
        <v>6538</v>
      </c>
      <c r="CC1508" s="2" t="s">
        <v>244</v>
      </c>
      <c r="CD1508" s="2" t="s">
        <v>231</v>
      </c>
      <c r="CE1508" s="4"/>
      <c r="CF1508" s="4">
        <v>404</v>
      </c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</row>
    <row r="1509">
      <c r="A1509" s="2" t="s">
        <v>7067</v>
      </c>
      <c r="B1509" s="2" t="s">
        <v>1004</v>
      </c>
      <c r="C1509" s="2" t="s">
        <v>288</v>
      </c>
      <c r="D1509" s="2" t="s">
        <v>1689</v>
      </c>
      <c r="E1509" s="2" t="s">
        <v>2538</v>
      </c>
      <c r="F1509" s="2" t="s">
        <v>7068</v>
      </c>
      <c r="G1509" s="2" t="s">
        <v>3936</v>
      </c>
      <c r="H1509" s="2" t="s">
        <v>5096</v>
      </c>
      <c r="I1509" s="2" t="s">
        <v>7069</v>
      </c>
      <c r="J1509" s="2" t="s">
        <v>807</v>
      </c>
      <c r="K1509" s="2" t="s">
        <v>269</v>
      </c>
      <c r="L1509" s="3">
        <v>205</v>
      </c>
      <c r="M1509" s="3">
        <v>215.25</v>
      </c>
      <c r="N1509" s="3">
        <v>429</v>
      </c>
      <c r="O1509" s="2" t="s">
        <v>235</v>
      </c>
      <c r="P1509" s="2" t="s">
        <v>341</v>
      </c>
      <c r="Q1509" s="2" t="s">
        <v>237</v>
      </c>
      <c r="R1509" s="2" t="s">
        <v>231</v>
      </c>
      <c r="S1509" s="2" t="s">
        <v>231</v>
      </c>
      <c r="T1509" s="2" t="s">
        <v>231</v>
      </c>
      <c r="U1509" s="2" t="s">
        <v>327</v>
      </c>
      <c r="V1509" s="2" t="s">
        <v>662</v>
      </c>
      <c r="W1509" s="2" t="s">
        <v>691</v>
      </c>
      <c r="X1509" s="2" t="s">
        <v>808</v>
      </c>
      <c r="Y1509" s="2" t="s">
        <v>7070</v>
      </c>
      <c r="Z1509" s="4">
        <v>197</v>
      </c>
      <c r="AA1509" s="4">
        <f>=ROUNDDOWN(197,0)</f>
      </c>
      <c r="AB1509" s="5">
        <v>1</v>
      </c>
      <c r="AC1509" s="2" t="s">
        <v>231</v>
      </c>
      <c r="AD1509" s="4"/>
      <c r="AE1509" s="4"/>
      <c r="AF1509" s="6">
        <v>66</v>
      </c>
      <c r="AG1509" s="6"/>
      <c r="AH1509" s="7">
        <v>1</v>
      </c>
      <c r="AI1509" s="4"/>
      <c r="AJ1509" s="4">
        <f>=ROUNDDOWN({0},0)</f>
      </c>
      <c r="AK1509" s="5"/>
      <c r="AL1509" s="2" t="s">
        <v>231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/>
      <c r="BD1509" s="8"/>
      <c r="BE1509" s="4"/>
      <c r="BF1509" s="8"/>
      <c r="BG1509" s="7"/>
      <c r="BH1509" s="7"/>
      <c r="BI1509" s="7"/>
      <c r="BJ1509" s="4">
        <v>2</v>
      </c>
      <c r="BK1509" s="8">
        <v>406.82</v>
      </c>
      <c r="BL1509" s="2" t="s">
        <v>6344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7071</v>
      </c>
      <c r="BV1509" s="2" t="s">
        <v>231</v>
      </c>
      <c r="BW1509" s="2" t="s">
        <v>231</v>
      </c>
      <c r="BX1509" s="2" t="s">
        <v>231</v>
      </c>
      <c r="BY1509" s="2" t="s">
        <v>277</v>
      </c>
      <c r="BZ1509" s="2" t="s">
        <v>243</v>
      </c>
      <c r="CA1509" s="2" t="s">
        <v>2294</v>
      </c>
      <c r="CB1509" s="2" t="s">
        <v>7072</v>
      </c>
      <c r="CC1509" s="2" t="s">
        <v>244</v>
      </c>
      <c r="CD1509" s="2" t="s">
        <v>231</v>
      </c>
      <c r="CE1509" s="4"/>
      <c r="CF1509" s="4">
        <v>197</v>
      </c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</row>
    <row r="1510">
      <c r="A1510" s="2" t="s">
        <v>7073</v>
      </c>
      <c r="B1510" s="2" t="s">
        <v>1186</v>
      </c>
      <c r="C1510" s="2" t="s">
        <v>288</v>
      </c>
      <c r="D1510" s="2" t="s">
        <v>654</v>
      </c>
      <c r="E1510" s="2" t="s">
        <v>655</v>
      </c>
      <c r="F1510" s="2" t="s">
        <v>7074</v>
      </c>
      <c r="G1510" s="2" t="s">
        <v>7075</v>
      </c>
      <c r="H1510" s="2" t="s">
        <v>7076</v>
      </c>
      <c r="I1510" s="2" t="s">
        <v>7077</v>
      </c>
      <c r="J1510" s="2" t="s">
        <v>669</v>
      </c>
      <c r="K1510" s="2" t="s">
        <v>1394</v>
      </c>
      <c r="L1510" s="3">
        <v>41.14</v>
      </c>
      <c r="M1510" s="3">
        <v>43.2</v>
      </c>
      <c r="N1510" s="3">
        <v>89.99</v>
      </c>
      <c r="O1510" s="2" t="s">
        <v>243</v>
      </c>
      <c r="P1510" s="2" t="s">
        <v>236</v>
      </c>
      <c r="Q1510" s="2" t="s">
        <v>237</v>
      </c>
      <c r="R1510" s="2" t="s">
        <v>231</v>
      </c>
      <c r="S1510" s="2" t="s">
        <v>7078</v>
      </c>
      <c r="T1510" s="2" t="s">
        <v>472</v>
      </c>
      <c r="U1510" s="2" t="s">
        <v>298</v>
      </c>
      <c r="V1510" s="2" t="s">
        <v>987</v>
      </c>
      <c r="W1510" s="2" t="s">
        <v>1745</v>
      </c>
      <c r="X1510" s="2" t="s">
        <v>2541</v>
      </c>
      <c r="Y1510" s="2" t="s">
        <v>5803</v>
      </c>
      <c r="Z1510" s="4">
        <v>217</v>
      </c>
      <c r="AA1510" s="4">
        <f>=ROUNDDOWN(16.6923076923077,0)</f>
      </c>
      <c r="AB1510" s="5">
        <v>13</v>
      </c>
      <c r="AC1510" s="2" t="s">
        <v>7079</v>
      </c>
      <c r="AD1510" s="4">
        <v>310</v>
      </c>
      <c r="AE1510" s="4">
        <v>310</v>
      </c>
      <c r="AF1510" s="6">
        <v>69</v>
      </c>
      <c r="AG1510" s="6"/>
      <c r="AH1510" s="7">
        <v>1</v>
      </c>
      <c r="AI1510" s="4"/>
      <c r="AJ1510" s="4">
        <f>=ROUNDDOWN({0},0)</f>
      </c>
      <c r="AK1510" s="5"/>
      <c r="AL1510" s="2" t="s">
        <v>231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231</v>
      </c>
      <c r="AW1510" s="8" t="s">
        <v>231</v>
      </c>
      <c r="AX1510" s="4" t="s">
        <v>231</v>
      </c>
      <c r="AY1510" s="8" t="s">
        <v>231</v>
      </c>
      <c r="AZ1510" s="7" t="s">
        <v>231</v>
      </c>
      <c r="BA1510" s="7" t="s">
        <v>231</v>
      </c>
      <c r="BB1510" s="7" t="s">
        <v>231</v>
      </c>
      <c r="BC1510" s="4" t="s">
        <v>231</v>
      </c>
      <c r="BD1510" s="8" t="s">
        <v>231</v>
      </c>
      <c r="BE1510" s="4" t="s">
        <v>231</v>
      </c>
      <c r="BF1510" s="8" t="s">
        <v>231</v>
      </c>
      <c r="BG1510" s="7" t="s">
        <v>231</v>
      </c>
      <c r="BH1510" s="7" t="s">
        <v>231</v>
      </c>
      <c r="BI1510" s="7"/>
      <c r="BJ1510" s="4">
        <v>13</v>
      </c>
      <c r="BK1510" s="8">
        <v>589.5</v>
      </c>
      <c r="BL1510" s="2" t="s">
        <v>810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7080</v>
      </c>
      <c r="BV1510" s="2" t="s">
        <v>231</v>
      </c>
      <c r="BW1510" s="2" t="s">
        <v>231</v>
      </c>
      <c r="BX1510" s="2" t="s">
        <v>241</v>
      </c>
      <c r="BY1510" s="2" t="s">
        <v>277</v>
      </c>
      <c r="BZ1510" s="2" t="s">
        <v>243</v>
      </c>
      <c r="CA1510" s="2" t="s">
        <v>2635</v>
      </c>
      <c r="CB1510" s="2" t="s">
        <v>6597</v>
      </c>
      <c r="CC1510" s="2" t="s">
        <v>244</v>
      </c>
      <c r="CD1510" s="2" t="s">
        <v>231</v>
      </c>
      <c r="CE1510" s="4">
        <v>217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>
        <v>310</v>
      </c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</row>
    <row r="1511">
      <c r="A1511" s="2" t="s">
        <v>7081</v>
      </c>
      <c r="B1511" s="2" t="s">
        <v>1186</v>
      </c>
      <c r="C1511" s="2" t="s">
        <v>288</v>
      </c>
      <c r="D1511" s="2" t="s">
        <v>826</v>
      </c>
      <c r="E1511" s="2" t="s">
        <v>827</v>
      </c>
      <c r="F1511" s="2" t="s">
        <v>7074</v>
      </c>
      <c r="G1511" s="2" t="s">
        <v>7075</v>
      </c>
      <c r="H1511" s="2" t="s">
        <v>7076</v>
      </c>
      <c r="I1511" s="2" t="s">
        <v>7082</v>
      </c>
      <c r="J1511" s="2" t="s">
        <v>669</v>
      </c>
      <c r="K1511" s="2" t="s">
        <v>1394</v>
      </c>
      <c r="L1511" s="3">
        <v>27.42</v>
      </c>
      <c r="M1511" s="3">
        <v>28.79</v>
      </c>
      <c r="N1511" s="3">
        <v>59.99</v>
      </c>
      <c r="O1511" s="2" t="s">
        <v>243</v>
      </c>
      <c r="P1511" s="2" t="s">
        <v>236</v>
      </c>
      <c r="Q1511" s="2" t="s">
        <v>237</v>
      </c>
      <c r="R1511" s="2" t="s">
        <v>231</v>
      </c>
      <c r="S1511" s="2" t="s">
        <v>7078</v>
      </c>
      <c r="T1511" s="2" t="s">
        <v>472</v>
      </c>
      <c r="U1511" s="2" t="s">
        <v>298</v>
      </c>
      <c r="V1511" s="2" t="s">
        <v>987</v>
      </c>
      <c r="W1511" s="2" t="s">
        <v>1745</v>
      </c>
      <c r="X1511" s="2" t="s">
        <v>2541</v>
      </c>
      <c r="Y1511" s="2" t="s">
        <v>5803</v>
      </c>
      <c r="Z1511" s="4">
        <v>66</v>
      </c>
      <c r="AA1511" s="4">
        <f>=ROUNDDOWN(16.5,0)</f>
      </c>
      <c r="AB1511" s="5">
        <v>4</v>
      </c>
      <c r="AC1511" s="2" t="s">
        <v>7079</v>
      </c>
      <c r="AD1511" s="4">
        <v>90</v>
      </c>
      <c r="AE1511" s="4">
        <v>90</v>
      </c>
      <c r="AF1511" s="6">
        <v>69</v>
      </c>
      <c r="AG1511" s="6"/>
      <c r="AH1511" s="7">
        <v>1</v>
      </c>
      <c r="AI1511" s="4"/>
      <c r="AJ1511" s="4">
        <f>=ROUNDDOWN({0},0)</f>
      </c>
      <c r="AK1511" s="5"/>
      <c r="AL1511" s="2" t="s">
        <v>231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231</v>
      </c>
      <c r="AW1511" s="8" t="s">
        <v>231</v>
      </c>
      <c r="AX1511" s="4" t="s">
        <v>231</v>
      </c>
      <c r="AY1511" s="8" t="s">
        <v>231</v>
      </c>
      <c r="AZ1511" s="7" t="s">
        <v>231</v>
      </c>
      <c r="BA1511" s="7" t="s">
        <v>231</v>
      </c>
      <c r="BB1511" s="7" t="s">
        <v>231</v>
      </c>
      <c r="BC1511" s="4" t="s">
        <v>231</v>
      </c>
      <c r="BD1511" s="8" t="s">
        <v>231</v>
      </c>
      <c r="BE1511" s="4" t="s">
        <v>231</v>
      </c>
      <c r="BF1511" s="8" t="s">
        <v>231</v>
      </c>
      <c r="BG1511" s="7" t="s">
        <v>231</v>
      </c>
      <c r="BH1511" s="7" t="s">
        <v>231</v>
      </c>
      <c r="BI1511" s="7"/>
      <c r="BJ1511" s="4">
        <v>11</v>
      </c>
      <c r="BK1511" s="8">
        <v>314.65</v>
      </c>
      <c r="BL1511" s="2" t="s">
        <v>2347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7083</v>
      </c>
      <c r="BV1511" s="2" t="s">
        <v>231</v>
      </c>
      <c r="BW1511" s="2" t="s">
        <v>231</v>
      </c>
      <c r="BX1511" s="2" t="s">
        <v>241</v>
      </c>
      <c r="BY1511" s="2" t="s">
        <v>277</v>
      </c>
      <c r="BZ1511" s="2" t="s">
        <v>243</v>
      </c>
      <c r="CA1511" s="2" t="s">
        <v>6409</v>
      </c>
      <c r="CB1511" s="2" t="s">
        <v>1434</v>
      </c>
      <c r="CC1511" s="2" t="s">
        <v>244</v>
      </c>
      <c r="CD1511" s="2" t="s">
        <v>231</v>
      </c>
      <c r="CE1511" s="4">
        <v>66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>
        <v>90</v>
      </c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</row>
    <row r="1512">
      <c r="A1512" s="2" t="s">
        <v>7084</v>
      </c>
      <c r="B1512" s="2" t="s">
        <v>2695</v>
      </c>
      <c r="C1512" s="2" t="s">
        <v>815</v>
      </c>
      <c r="D1512" s="2" t="s">
        <v>2696</v>
      </c>
      <c r="E1512" s="2" t="s">
        <v>2697</v>
      </c>
      <c r="F1512" s="2" t="s">
        <v>7085</v>
      </c>
      <c r="G1512" s="2" t="s">
        <v>231</v>
      </c>
      <c r="H1512" s="2" t="s">
        <v>231</v>
      </c>
      <c r="I1512" s="2" t="s">
        <v>7086</v>
      </c>
      <c r="J1512" s="2" t="s">
        <v>7087</v>
      </c>
      <c r="K1512" s="2" t="s">
        <v>269</v>
      </c>
      <c r="L1512" s="3">
        <v>16.84</v>
      </c>
      <c r="M1512" s="3">
        <v>17.68</v>
      </c>
      <c r="N1512" s="3">
        <v>49.99</v>
      </c>
      <c r="O1512" s="2" t="s">
        <v>243</v>
      </c>
      <c r="P1512" s="2" t="s">
        <v>241</v>
      </c>
      <c r="Q1512" s="2" t="s">
        <v>237</v>
      </c>
      <c r="R1512" s="2" t="s">
        <v>231</v>
      </c>
      <c r="S1512" s="2" t="s">
        <v>231</v>
      </c>
      <c r="T1512" s="2" t="s">
        <v>231</v>
      </c>
      <c r="U1512" s="2" t="s">
        <v>231</v>
      </c>
      <c r="V1512" s="2" t="s">
        <v>239</v>
      </c>
      <c r="W1512" s="2" t="s">
        <v>231</v>
      </c>
      <c r="X1512" s="2" t="s">
        <v>231</v>
      </c>
      <c r="Y1512" s="2" t="s">
        <v>6612</v>
      </c>
      <c r="Z1512" s="4"/>
      <c r="AA1512" s="4">
        <f>=ROUNDDOWN({0},0)</f>
      </c>
      <c r="AB1512" s="5">
        <v>21.7</v>
      </c>
      <c r="AC1512" s="2" t="s">
        <v>636</v>
      </c>
      <c r="AD1512" s="4">
        <v>600</v>
      </c>
      <c r="AE1512" s="4">
        <v>600</v>
      </c>
      <c r="AF1512" s="6"/>
      <c r="AG1512" s="6">
        <v>73</v>
      </c>
      <c r="AH1512" s="7">
        <v>0.0323</v>
      </c>
      <c r="AI1512" s="4"/>
      <c r="AJ1512" s="4">
        <f>=ROUNDDOWN({0},0)</f>
      </c>
      <c r="AK1512" s="5"/>
      <c r="AL1512" s="2" t="s">
        <v>231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 t="s">
        <v>231</v>
      </c>
      <c r="BD1512" s="8" t="s">
        <v>231</v>
      </c>
      <c r="BE1512" s="4" t="s">
        <v>231</v>
      </c>
      <c r="BF1512" s="8" t="s">
        <v>231</v>
      </c>
      <c r="BG1512" s="7" t="s">
        <v>231</v>
      </c>
      <c r="BH1512" s="7" t="s">
        <v>231</v>
      </c>
      <c r="BI1512" s="7"/>
      <c r="BJ1512" s="4">
        <v>1</v>
      </c>
      <c r="BK1512" s="8">
        <v>24.99</v>
      </c>
      <c r="BL1512" s="2" t="s">
        <v>4671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7088</v>
      </c>
      <c r="BV1512" s="2" t="s">
        <v>231</v>
      </c>
      <c r="BW1512" s="2" t="s">
        <v>231</v>
      </c>
      <c r="BX1512" s="2" t="s">
        <v>241</v>
      </c>
      <c r="BY1512" s="2" t="s">
        <v>277</v>
      </c>
      <c r="BZ1512" s="2" t="s">
        <v>243</v>
      </c>
      <c r="CA1512" s="2" t="s">
        <v>7089</v>
      </c>
      <c r="CB1512" s="2" t="s">
        <v>5956</v>
      </c>
      <c r="CC1512" s="2" t="s">
        <v>244</v>
      </c>
      <c r="CD1512" s="2" t="s">
        <v>231</v>
      </c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>
        <v>600</v>
      </c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</row>
    <row r="1513">
      <c r="A1513" s="2" t="s">
        <v>7090</v>
      </c>
      <c r="B1513" s="2" t="s">
        <v>2695</v>
      </c>
      <c r="C1513" s="2" t="s">
        <v>815</v>
      </c>
      <c r="D1513" s="2" t="s">
        <v>2696</v>
      </c>
      <c r="E1513" s="2" t="s">
        <v>2697</v>
      </c>
      <c r="F1513" s="2" t="s">
        <v>7085</v>
      </c>
      <c r="G1513" s="2" t="s">
        <v>231</v>
      </c>
      <c r="H1513" s="2" t="s">
        <v>231</v>
      </c>
      <c r="I1513" s="2" t="s">
        <v>7091</v>
      </c>
      <c r="J1513" s="2" t="s">
        <v>7092</v>
      </c>
      <c r="K1513" s="2" t="s">
        <v>7093</v>
      </c>
      <c r="L1513" s="3">
        <v>18.5</v>
      </c>
      <c r="M1513" s="3">
        <v>19.43</v>
      </c>
      <c r="N1513" s="3">
        <v>48.99</v>
      </c>
      <c r="O1513" s="2" t="s">
        <v>243</v>
      </c>
      <c r="P1513" s="2" t="s">
        <v>241</v>
      </c>
      <c r="Q1513" s="2" t="s">
        <v>237</v>
      </c>
      <c r="R1513" s="2" t="s">
        <v>231</v>
      </c>
      <c r="S1513" s="2" t="s">
        <v>231</v>
      </c>
      <c r="T1513" s="2" t="s">
        <v>231</v>
      </c>
      <c r="U1513" s="2" t="s">
        <v>231</v>
      </c>
      <c r="V1513" s="2" t="s">
        <v>239</v>
      </c>
      <c r="W1513" s="2" t="s">
        <v>231</v>
      </c>
      <c r="X1513" s="2" t="s">
        <v>231</v>
      </c>
      <c r="Y1513" s="2" t="s">
        <v>331</v>
      </c>
      <c r="Z1513" s="4"/>
      <c r="AA1513" s="4">
        <f>=ROUNDDOWN({0},0)</f>
      </c>
      <c r="AB1513" s="5">
        <v>10</v>
      </c>
      <c r="AC1513" s="2" t="s">
        <v>636</v>
      </c>
      <c r="AD1513" s="4">
        <v>400</v>
      </c>
      <c r="AE1513" s="4">
        <v>400</v>
      </c>
      <c r="AF1513" s="6"/>
      <c r="AG1513" s="6">
        <v>73</v>
      </c>
      <c r="AH1513" s="7">
        <v>0.3871</v>
      </c>
      <c r="AI1513" s="4"/>
      <c r="AJ1513" s="4">
        <f>=ROUNDDOWN({0},0)</f>
      </c>
      <c r="AK1513" s="5"/>
      <c r="AL1513" s="2" t="s">
        <v>231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231</v>
      </c>
      <c r="AW1513" s="8" t="s">
        <v>231</v>
      </c>
      <c r="AX1513" s="4" t="s">
        <v>231</v>
      </c>
      <c r="AY1513" s="8" t="s">
        <v>231</v>
      </c>
      <c r="AZ1513" s="7" t="s">
        <v>231</v>
      </c>
      <c r="BA1513" s="7" t="s">
        <v>231</v>
      </c>
      <c r="BB1513" s="7"/>
      <c r="BC1513" s="4" t="s">
        <v>231</v>
      </c>
      <c r="BD1513" s="8" t="s">
        <v>231</v>
      </c>
      <c r="BE1513" s="4" t="s">
        <v>231</v>
      </c>
      <c r="BF1513" s="8" t="s">
        <v>231</v>
      </c>
      <c r="BG1513" s="7" t="s">
        <v>231</v>
      </c>
      <c r="BH1513" s="7" t="s">
        <v>231</v>
      </c>
      <c r="BI1513" s="7"/>
      <c r="BJ1513" s="4">
        <v>2</v>
      </c>
      <c r="BK1513" s="8">
        <v>37</v>
      </c>
      <c r="BL1513" s="2" t="s">
        <v>1423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7094</v>
      </c>
      <c r="BV1513" s="2" t="s">
        <v>231</v>
      </c>
      <c r="BW1513" s="2" t="s">
        <v>231</v>
      </c>
      <c r="BX1513" s="2" t="s">
        <v>241</v>
      </c>
      <c r="BY1513" s="2" t="s">
        <v>277</v>
      </c>
      <c r="BZ1513" s="2" t="s">
        <v>243</v>
      </c>
      <c r="CA1513" s="2" t="s">
        <v>231</v>
      </c>
      <c r="CB1513" s="2" t="s">
        <v>231</v>
      </c>
      <c r="CC1513" s="2" t="s">
        <v>244</v>
      </c>
      <c r="CD1513" s="2" t="s">
        <v>231</v>
      </c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>
        <v>400</v>
      </c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</row>
    <row r="1514">
      <c r="A1514" s="2" t="s">
        <v>7095</v>
      </c>
      <c r="B1514" s="2" t="s">
        <v>2695</v>
      </c>
      <c r="C1514" s="2" t="s">
        <v>815</v>
      </c>
      <c r="D1514" s="2" t="s">
        <v>2696</v>
      </c>
      <c r="E1514" s="2" t="s">
        <v>2697</v>
      </c>
      <c r="F1514" s="2" t="s">
        <v>7085</v>
      </c>
      <c r="G1514" s="2" t="s">
        <v>231</v>
      </c>
      <c r="H1514" s="2" t="s">
        <v>231</v>
      </c>
      <c r="I1514" s="2" t="s">
        <v>7091</v>
      </c>
      <c r="J1514" s="2" t="s">
        <v>7087</v>
      </c>
      <c r="K1514" s="2" t="s">
        <v>7093</v>
      </c>
      <c r="L1514" s="3">
        <v>18.5</v>
      </c>
      <c r="M1514" s="3">
        <v>19.43</v>
      </c>
      <c r="N1514" s="3">
        <v>49.99</v>
      </c>
      <c r="O1514" s="2" t="s">
        <v>243</v>
      </c>
      <c r="P1514" s="2" t="s">
        <v>241</v>
      </c>
      <c r="Q1514" s="2" t="s">
        <v>237</v>
      </c>
      <c r="R1514" s="2" t="s">
        <v>231</v>
      </c>
      <c r="S1514" s="2" t="s">
        <v>231</v>
      </c>
      <c r="T1514" s="2" t="s">
        <v>231</v>
      </c>
      <c r="U1514" s="2" t="s">
        <v>231</v>
      </c>
      <c r="V1514" s="2" t="s">
        <v>239</v>
      </c>
      <c r="W1514" s="2" t="s">
        <v>231</v>
      </c>
      <c r="X1514" s="2" t="s">
        <v>231</v>
      </c>
      <c r="Y1514" s="2" t="s">
        <v>331</v>
      </c>
      <c r="Z1514" s="4">
        <v>2</v>
      </c>
      <c r="AA1514" s="4">
        <f>=ROUNDDOWN(0.181818181818182,0)</f>
      </c>
      <c r="AB1514" s="5">
        <v>11</v>
      </c>
      <c r="AC1514" s="2" t="s">
        <v>636</v>
      </c>
      <c r="AD1514" s="4">
        <v>400</v>
      </c>
      <c r="AE1514" s="4">
        <v>400</v>
      </c>
      <c r="AF1514" s="6"/>
      <c r="AG1514" s="6">
        <v>73</v>
      </c>
      <c r="AH1514" s="7">
        <v>1</v>
      </c>
      <c r="AI1514" s="4"/>
      <c r="AJ1514" s="4">
        <f>=ROUNDDOWN({0},0)</f>
      </c>
      <c r="AK1514" s="5"/>
      <c r="AL1514" s="2" t="s">
        <v>231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231</v>
      </c>
      <c r="AW1514" s="8" t="s">
        <v>231</v>
      </c>
      <c r="AX1514" s="4" t="s">
        <v>231</v>
      </c>
      <c r="AY1514" s="8" t="s">
        <v>231</v>
      </c>
      <c r="AZ1514" s="7" t="s">
        <v>231</v>
      </c>
      <c r="BA1514" s="7" t="s">
        <v>231</v>
      </c>
      <c r="BB1514" s="7"/>
      <c r="BC1514" s="4" t="s">
        <v>231</v>
      </c>
      <c r="BD1514" s="8" t="s">
        <v>231</v>
      </c>
      <c r="BE1514" s="4" t="s">
        <v>231</v>
      </c>
      <c r="BF1514" s="8" t="s">
        <v>231</v>
      </c>
      <c r="BG1514" s="7" t="s">
        <v>231</v>
      </c>
      <c r="BH1514" s="7" t="s">
        <v>231</v>
      </c>
      <c r="BI1514" s="7"/>
      <c r="BJ1514" s="4">
        <v>9</v>
      </c>
      <c r="BK1514" s="8">
        <v>166.5</v>
      </c>
      <c r="BL1514" s="2" t="s">
        <v>1423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7096</v>
      </c>
      <c r="BV1514" s="2" t="s">
        <v>231</v>
      </c>
      <c r="BW1514" s="2" t="s">
        <v>231</v>
      </c>
      <c r="BX1514" s="2" t="s">
        <v>241</v>
      </c>
      <c r="BY1514" s="2" t="s">
        <v>277</v>
      </c>
      <c r="BZ1514" s="2" t="s">
        <v>243</v>
      </c>
      <c r="CA1514" s="2" t="s">
        <v>231</v>
      </c>
      <c r="CB1514" s="2" t="s">
        <v>231</v>
      </c>
      <c r="CC1514" s="2" t="s">
        <v>244</v>
      </c>
      <c r="CD1514" s="2" t="s">
        <v>231</v>
      </c>
      <c r="CE1514" s="4">
        <v>2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>
        <v>400</v>
      </c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</row>
    <row r="1515">
      <c r="A1515" s="2" t="s">
        <v>7097</v>
      </c>
      <c r="B1515" s="2" t="s">
        <v>2695</v>
      </c>
      <c r="C1515" s="2" t="s">
        <v>815</v>
      </c>
      <c r="D1515" s="2" t="s">
        <v>2696</v>
      </c>
      <c r="E1515" s="2" t="s">
        <v>2697</v>
      </c>
      <c r="F1515" s="2" t="s">
        <v>7085</v>
      </c>
      <c r="G1515" s="2" t="s">
        <v>231</v>
      </c>
      <c r="H1515" s="2" t="s">
        <v>231</v>
      </c>
      <c r="I1515" s="2" t="s">
        <v>7086</v>
      </c>
      <c r="J1515" s="2" t="s">
        <v>7092</v>
      </c>
      <c r="K1515" s="2" t="s">
        <v>319</v>
      </c>
      <c r="L1515" s="3">
        <v>16.84</v>
      </c>
      <c r="M1515" s="3">
        <v>17.68</v>
      </c>
      <c r="N1515" s="3">
        <v>48.99</v>
      </c>
      <c r="O1515" s="2" t="s">
        <v>243</v>
      </c>
      <c r="P1515" s="2" t="s">
        <v>241</v>
      </c>
      <c r="Q1515" s="2" t="s">
        <v>237</v>
      </c>
      <c r="R1515" s="2" t="s">
        <v>231</v>
      </c>
      <c r="S1515" s="2" t="s">
        <v>231</v>
      </c>
      <c r="T1515" s="2" t="s">
        <v>231</v>
      </c>
      <c r="U1515" s="2" t="s">
        <v>231</v>
      </c>
      <c r="V1515" s="2" t="s">
        <v>239</v>
      </c>
      <c r="W1515" s="2" t="s">
        <v>231</v>
      </c>
      <c r="X1515" s="2" t="s">
        <v>231</v>
      </c>
      <c r="Y1515" s="2" t="s">
        <v>6612</v>
      </c>
      <c r="Z1515" s="4"/>
      <c r="AA1515" s="4">
        <f>=ROUNDDOWN({0},0)</f>
      </c>
      <c r="AB1515" s="5">
        <v>8.7</v>
      </c>
      <c r="AC1515" s="2" t="s">
        <v>636</v>
      </c>
      <c r="AD1515" s="4">
        <v>700</v>
      </c>
      <c r="AE1515" s="4">
        <v>700</v>
      </c>
      <c r="AF1515" s="6"/>
      <c r="AG1515" s="6">
        <v>73</v>
      </c>
      <c r="AH1515" s="7">
        <v>0</v>
      </c>
      <c r="AI1515" s="4"/>
      <c r="AJ1515" s="4">
        <f>=ROUNDDOWN({0},0)</f>
      </c>
      <c r="AK1515" s="5"/>
      <c r="AL1515" s="2" t="s">
        <v>231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231</v>
      </c>
      <c r="AW1515" s="8" t="s">
        <v>231</v>
      </c>
      <c r="AX1515" s="4" t="s">
        <v>231</v>
      </c>
      <c r="AY1515" s="8" t="s">
        <v>231</v>
      </c>
      <c r="AZ1515" s="7" t="s">
        <v>231</v>
      </c>
      <c r="BA1515" s="7" t="s">
        <v>231</v>
      </c>
      <c r="BB1515" s="7"/>
      <c r="BC1515" s="4" t="s">
        <v>231</v>
      </c>
      <c r="BD1515" s="8" t="s">
        <v>231</v>
      </c>
      <c r="BE1515" s="4" t="s">
        <v>231</v>
      </c>
      <c r="BF1515" s="8" t="s">
        <v>231</v>
      </c>
      <c r="BG1515" s="7" t="s">
        <v>231</v>
      </c>
      <c r="BH1515" s="7" t="s">
        <v>231</v>
      </c>
      <c r="BI1515" s="7"/>
      <c r="BJ1515" s="4"/>
      <c r="BK1515" s="8"/>
      <c r="BL1515" s="2" t="s">
        <v>1423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7098</v>
      </c>
      <c r="BV1515" s="2" t="s">
        <v>231</v>
      </c>
      <c r="BW1515" s="2" t="s">
        <v>231</v>
      </c>
      <c r="BX1515" s="2" t="s">
        <v>241</v>
      </c>
      <c r="BY1515" s="2" t="s">
        <v>277</v>
      </c>
      <c r="BZ1515" s="2" t="s">
        <v>243</v>
      </c>
      <c r="CA1515" s="2" t="s">
        <v>6021</v>
      </c>
      <c r="CB1515" s="2" t="s">
        <v>7099</v>
      </c>
      <c r="CC1515" s="2" t="s">
        <v>244</v>
      </c>
      <c r="CD1515" s="2" t="s">
        <v>231</v>
      </c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>
        <v>700</v>
      </c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</row>
    <row r="1516">
      <c r="A1516" s="2" t="s">
        <v>7100</v>
      </c>
      <c r="B1516" s="2" t="s">
        <v>2695</v>
      </c>
      <c r="C1516" s="2" t="s">
        <v>815</v>
      </c>
      <c r="D1516" s="2" t="s">
        <v>2696</v>
      </c>
      <c r="E1516" s="2" t="s">
        <v>2697</v>
      </c>
      <c r="F1516" s="2" t="s">
        <v>7085</v>
      </c>
      <c r="G1516" s="2" t="s">
        <v>231</v>
      </c>
      <c r="H1516" s="2" t="s">
        <v>231</v>
      </c>
      <c r="I1516" s="2" t="s">
        <v>7086</v>
      </c>
      <c r="J1516" s="2" t="s">
        <v>7087</v>
      </c>
      <c r="K1516" s="2" t="s">
        <v>319</v>
      </c>
      <c r="L1516" s="3">
        <v>16.84</v>
      </c>
      <c r="M1516" s="3">
        <v>17.68</v>
      </c>
      <c r="N1516" s="3">
        <v>48.99</v>
      </c>
      <c r="O1516" s="2" t="s">
        <v>243</v>
      </c>
      <c r="P1516" s="2" t="s">
        <v>241</v>
      </c>
      <c r="Q1516" s="2" t="s">
        <v>237</v>
      </c>
      <c r="R1516" s="2" t="s">
        <v>231</v>
      </c>
      <c r="S1516" s="2" t="s">
        <v>231</v>
      </c>
      <c r="T1516" s="2" t="s">
        <v>231</v>
      </c>
      <c r="U1516" s="2" t="s">
        <v>231</v>
      </c>
      <c r="V1516" s="2" t="s">
        <v>239</v>
      </c>
      <c r="W1516" s="2" t="s">
        <v>231</v>
      </c>
      <c r="X1516" s="2" t="s">
        <v>231</v>
      </c>
      <c r="Y1516" s="2" t="s">
        <v>6612</v>
      </c>
      <c r="Z1516" s="4"/>
      <c r="AA1516" s="4">
        <f>=ROUNDDOWN({0},0)</f>
      </c>
      <c r="AB1516" s="5">
        <v>22.1</v>
      </c>
      <c r="AC1516" s="2" t="s">
        <v>636</v>
      </c>
      <c r="AD1516" s="4">
        <v>700</v>
      </c>
      <c r="AE1516" s="4">
        <v>700</v>
      </c>
      <c r="AF1516" s="6"/>
      <c r="AG1516" s="6">
        <v>73</v>
      </c>
      <c r="AH1516" s="7">
        <v>0</v>
      </c>
      <c r="AI1516" s="4"/>
      <c r="AJ1516" s="4">
        <f>=ROUNDDOWN({0},0)</f>
      </c>
      <c r="AK1516" s="5"/>
      <c r="AL1516" s="2" t="s">
        <v>231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231</v>
      </c>
      <c r="AW1516" s="8" t="s">
        <v>231</v>
      </c>
      <c r="AX1516" s="4" t="s">
        <v>231</v>
      </c>
      <c r="AY1516" s="8" t="s">
        <v>231</v>
      </c>
      <c r="AZ1516" s="7" t="s">
        <v>231</v>
      </c>
      <c r="BA1516" s="7" t="s">
        <v>231</v>
      </c>
      <c r="BB1516" s="7"/>
      <c r="BC1516" s="4" t="s">
        <v>231</v>
      </c>
      <c r="BD1516" s="8" t="s">
        <v>231</v>
      </c>
      <c r="BE1516" s="4" t="s">
        <v>231</v>
      </c>
      <c r="BF1516" s="8" t="s">
        <v>231</v>
      </c>
      <c r="BG1516" s="7" t="s">
        <v>231</v>
      </c>
      <c r="BH1516" s="7" t="s">
        <v>231</v>
      </c>
      <c r="BI1516" s="7"/>
      <c r="BJ1516" s="4"/>
      <c r="BK1516" s="8"/>
      <c r="BL1516" s="2" t="s">
        <v>1423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7101</v>
      </c>
      <c r="BV1516" s="2" t="s">
        <v>231</v>
      </c>
      <c r="BW1516" s="2" t="s">
        <v>231</v>
      </c>
      <c r="BX1516" s="2" t="s">
        <v>241</v>
      </c>
      <c r="BY1516" s="2" t="s">
        <v>277</v>
      </c>
      <c r="BZ1516" s="2" t="s">
        <v>243</v>
      </c>
      <c r="CA1516" s="2" t="s">
        <v>6021</v>
      </c>
      <c r="CB1516" s="2" t="s">
        <v>7099</v>
      </c>
      <c r="CC1516" s="2" t="s">
        <v>244</v>
      </c>
      <c r="CD1516" s="2" t="s">
        <v>231</v>
      </c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>
        <v>700</v>
      </c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</row>
    <row r="1517">
      <c r="A1517" s="2" t="s">
        <v>7102</v>
      </c>
      <c r="B1517" s="2" t="s">
        <v>2695</v>
      </c>
      <c r="C1517" s="2" t="s">
        <v>815</v>
      </c>
      <c r="D1517" s="2" t="s">
        <v>2696</v>
      </c>
      <c r="E1517" s="2" t="s">
        <v>2697</v>
      </c>
      <c r="F1517" s="2" t="s">
        <v>7103</v>
      </c>
      <c r="G1517" s="2" t="s">
        <v>7103</v>
      </c>
      <c r="H1517" s="2" t="s">
        <v>7103</v>
      </c>
      <c r="I1517" s="2" t="s">
        <v>7104</v>
      </c>
      <c r="J1517" s="2" t="s">
        <v>7092</v>
      </c>
      <c r="K1517" s="2" t="s">
        <v>7105</v>
      </c>
      <c r="L1517" s="3">
        <v>20.17</v>
      </c>
      <c r="M1517" s="3">
        <v>21.18</v>
      </c>
      <c r="N1517" s="3"/>
      <c r="O1517" s="2" t="s">
        <v>243</v>
      </c>
      <c r="P1517" s="2" t="s">
        <v>341</v>
      </c>
      <c r="Q1517" s="2" t="s">
        <v>237</v>
      </c>
      <c r="R1517" s="2" t="s">
        <v>231</v>
      </c>
      <c r="S1517" s="2" t="s">
        <v>231</v>
      </c>
      <c r="T1517" s="2" t="s">
        <v>231</v>
      </c>
      <c r="U1517" s="2" t="s">
        <v>327</v>
      </c>
      <c r="V1517" s="2" t="s">
        <v>662</v>
      </c>
      <c r="W1517" s="2" t="s">
        <v>231</v>
      </c>
      <c r="X1517" s="2" t="s">
        <v>231</v>
      </c>
      <c r="Y1517" s="2" t="s">
        <v>1412</v>
      </c>
      <c r="Z1517" s="4">
        <v>819</v>
      </c>
      <c r="AA1517" s="4">
        <f>=ROUNDDOWN(132.096774193548,0)</f>
      </c>
      <c r="AB1517" s="5">
        <v>6.2</v>
      </c>
      <c r="AC1517" s="2" t="s">
        <v>231</v>
      </c>
      <c r="AD1517" s="4"/>
      <c r="AE1517" s="4"/>
      <c r="AF1517" s="6"/>
      <c r="AG1517" s="6"/>
      <c r="AH1517" s="7">
        <v>1</v>
      </c>
      <c r="AI1517" s="4"/>
      <c r="AJ1517" s="4">
        <f>=ROUNDDOWN({0},0)</f>
      </c>
      <c r="AK1517" s="5"/>
      <c r="AL1517" s="2" t="s">
        <v>231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/>
      <c r="AW1517" s="8"/>
      <c r="AX1517" s="4"/>
      <c r="AY1517" s="8"/>
      <c r="AZ1517" s="7"/>
      <c r="BA1517" s="7"/>
      <c r="BB1517" s="7"/>
      <c r="BC1517" s="4" t="s">
        <v>231</v>
      </c>
      <c r="BD1517" s="8" t="s">
        <v>231</v>
      </c>
      <c r="BE1517" s="4" t="s">
        <v>231</v>
      </c>
      <c r="BF1517" s="8" t="s">
        <v>231</v>
      </c>
      <c r="BG1517" s="7" t="s">
        <v>231</v>
      </c>
      <c r="BH1517" s="7" t="s">
        <v>231</v>
      </c>
      <c r="BI1517" s="7"/>
      <c r="BJ1517" s="4">
        <v>21</v>
      </c>
      <c r="BK1517" s="8">
        <v>324.79</v>
      </c>
      <c r="BL1517" s="2" t="s">
        <v>1206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7106</v>
      </c>
      <c r="BV1517" s="2" t="s">
        <v>231</v>
      </c>
      <c r="BW1517" s="2" t="s">
        <v>231</v>
      </c>
      <c r="BX1517" s="2" t="s">
        <v>241</v>
      </c>
      <c r="BY1517" s="2" t="s">
        <v>277</v>
      </c>
      <c r="BZ1517" s="2" t="s">
        <v>243</v>
      </c>
      <c r="CA1517" s="2" t="s">
        <v>960</v>
      </c>
      <c r="CB1517" s="2" t="s">
        <v>231</v>
      </c>
      <c r="CC1517" s="2" t="s">
        <v>244</v>
      </c>
      <c r="CD1517" s="2" t="s">
        <v>231</v>
      </c>
      <c r="CE1517" s="4"/>
      <c r="CF1517" s="4"/>
      <c r="CG1517" s="4"/>
      <c r="CH1517" s="4"/>
      <c r="CI1517" s="4">
        <v>819</v>
      </c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</row>
    <row r="1518">
      <c r="A1518" s="2" t="s">
        <v>7107</v>
      </c>
      <c r="B1518" s="2" t="s">
        <v>2695</v>
      </c>
      <c r="C1518" s="2" t="s">
        <v>815</v>
      </c>
      <c r="D1518" s="2" t="s">
        <v>2696</v>
      </c>
      <c r="E1518" s="2" t="s">
        <v>2697</v>
      </c>
      <c r="F1518" s="2" t="s">
        <v>7103</v>
      </c>
      <c r="G1518" s="2" t="s">
        <v>7103</v>
      </c>
      <c r="H1518" s="2" t="s">
        <v>7103</v>
      </c>
      <c r="I1518" s="2" t="s">
        <v>7104</v>
      </c>
      <c r="J1518" s="2" t="s">
        <v>7092</v>
      </c>
      <c r="K1518" s="2" t="s">
        <v>7108</v>
      </c>
      <c r="L1518" s="3">
        <v>20.17</v>
      </c>
      <c r="M1518" s="3">
        <v>21.18</v>
      </c>
      <c r="N1518" s="3"/>
      <c r="O1518" s="2" t="s">
        <v>243</v>
      </c>
      <c r="P1518" s="2" t="s">
        <v>341</v>
      </c>
      <c r="Q1518" s="2" t="s">
        <v>237</v>
      </c>
      <c r="R1518" s="2" t="s">
        <v>231</v>
      </c>
      <c r="S1518" s="2" t="s">
        <v>231</v>
      </c>
      <c r="T1518" s="2" t="s">
        <v>231</v>
      </c>
      <c r="U1518" s="2" t="s">
        <v>327</v>
      </c>
      <c r="V1518" s="2" t="s">
        <v>662</v>
      </c>
      <c r="W1518" s="2" t="s">
        <v>231</v>
      </c>
      <c r="X1518" s="2" t="s">
        <v>231</v>
      </c>
      <c r="Y1518" s="2" t="s">
        <v>1412</v>
      </c>
      <c r="Z1518" s="4">
        <v>734</v>
      </c>
      <c r="AA1518" s="4">
        <f>=ROUNDDOWN(138.490566037736,0)</f>
      </c>
      <c r="AB1518" s="5">
        <v>5.3</v>
      </c>
      <c r="AC1518" s="2" t="s">
        <v>231</v>
      </c>
      <c r="AD1518" s="4"/>
      <c r="AE1518" s="4"/>
      <c r="AF1518" s="6"/>
      <c r="AG1518" s="6"/>
      <c r="AH1518" s="7">
        <v>1</v>
      </c>
      <c r="AI1518" s="4"/>
      <c r="AJ1518" s="4">
        <f>=ROUNDDOWN({0},0)</f>
      </c>
      <c r="AK1518" s="5"/>
      <c r="AL1518" s="2" t="s">
        <v>231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231</v>
      </c>
      <c r="AW1518" s="8" t="s">
        <v>231</v>
      </c>
      <c r="AX1518" s="4" t="s">
        <v>231</v>
      </c>
      <c r="AY1518" s="8" t="s">
        <v>231</v>
      </c>
      <c r="AZ1518" s="7" t="s">
        <v>231</v>
      </c>
      <c r="BA1518" s="7" t="s">
        <v>231</v>
      </c>
      <c r="BB1518" s="7"/>
      <c r="BC1518" s="4" t="s">
        <v>231</v>
      </c>
      <c r="BD1518" s="8" t="s">
        <v>231</v>
      </c>
      <c r="BE1518" s="4" t="s">
        <v>231</v>
      </c>
      <c r="BF1518" s="8" t="s">
        <v>231</v>
      </c>
      <c r="BG1518" s="7" t="s">
        <v>231</v>
      </c>
      <c r="BH1518" s="7" t="s">
        <v>231</v>
      </c>
      <c r="BI1518" s="7"/>
      <c r="BJ1518" s="4">
        <v>17</v>
      </c>
      <c r="BK1518" s="8">
        <v>254.83</v>
      </c>
      <c r="BL1518" s="2" t="s">
        <v>1423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7109</v>
      </c>
      <c r="BV1518" s="2" t="s">
        <v>231</v>
      </c>
      <c r="BW1518" s="2" t="s">
        <v>231</v>
      </c>
      <c r="BX1518" s="2" t="s">
        <v>241</v>
      </c>
      <c r="BY1518" s="2" t="s">
        <v>277</v>
      </c>
      <c r="BZ1518" s="2" t="s">
        <v>243</v>
      </c>
      <c r="CA1518" s="2" t="s">
        <v>960</v>
      </c>
      <c r="CB1518" s="2" t="s">
        <v>3347</v>
      </c>
      <c r="CC1518" s="2" t="s">
        <v>244</v>
      </c>
      <c r="CD1518" s="2" t="s">
        <v>231</v>
      </c>
      <c r="CE1518" s="4"/>
      <c r="CF1518" s="4"/>
      <c r="CG1518" s="4"/>
      <c r="CH1518" s="4"/>
      <c r="CI1518" s="4">
        <v>734</v>
      </c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</row>
    <row r="1519">
      <c r="A1519" s="2" t="s">
        <v>7110</v>
      </c>
      <c r="B1519" s="2" t="s">
        <v>2695</v>
      </c>
      <c r="C1519" s="2" t="s">
        <v>815</v>
      </c>
      <c r="D1519" s="2" t="s">
        <v>2696</v>
      </c>
      <c r="E1519" s="2" t="s">
        <v>2697</v>
      </c>
      <c r="F1519" s="2" t="s">
        <v>7103</v>
      </c>
      <c r="G1519" s="2" t="s">
        <v>7103</v>
      </c>
      <c r="H1519" s="2" t="s">
        <v>7103</v>
      </c>
      <c r="I1519" s="2" t="s">
        <v>7104</v>
      </c>
      <c r="J1519" s="2" t="s">
        <v>7087</v>
      </c>
      <c r="K1519" s="2" t="s">
        <v>7108</v>
      </c>
      <c r="L1519" s="3">
        <v>20.17</v>
      </c>
      <c r="M1519" s="3">
        <v>21.18</v>
      </c>
      <c r="N1519" s="3"/>
      <c r="O1519" s="2" t="s">
        <v>243</v>
      </c>
      <c r="P1519" s="2" t="s">
        <v>341</v>
      </c>
      <c r="Q1519" s="2" t="s">
        <v>237</v>
      </c>
      <c r="R1519" s="2" t="s">
        <v>231</v>
      </c>
      <c r="S1519" s="2" t="s">
        <v>231</v>
      </c>
      <c r="T1519" s="2" t="s">
        <v>231</v>
      </c>
      <c r="U1519" s="2" t="s">
        <v>327</v>
      </c>
      <c r="V1519" s="2" t="s">
        <v>662</v>
      </c>
      <c r="W1519" s="2" t="s">
        <v>231</v>
      </c>
      <c r="X1519" s="2" t="s">
        <v>231</v>
      </c>
      <c r="Y1519" s="2" t="s">
        <v>1412</v>
      </c>
      <c r="Z1519" s="4">
        <v>657</v>
      </c>
      <c r="AA1519" s="4">
        <f>=ROUNDDOWN(76.3953488372093,0)</f>
      </c>
      <c r="AB1519" s="5">
        <v>8.6</v>
      </c>
      <c r="AC1519" s="2" t="s">
        <v>231</v>
      </c>
      <c r="AD1519" s="4"/>
      <c r="AE1519" s="4"/>
      <c r="AF1519" s="6"/>
      <c r="AG1519" s="6"/>
      <c r="AH1519" s="7">
        <v>1</v>
      </c>
      <c r="AI1519" s="4"/>
      <c r="AJ1519" s="4">
        <f>=ROUNDDOWN({0},0)</f>
      </c>
      <c r="AK1519" s="5"/>
      <c r="AL1519" s="2" t="s">
        <v>231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231</v>
      </c>
      <c r="AW1519" s="8" t="s">
        <v>231</v>
      </c>
      <c r="AX1519" s="4" t="s">
        <v>231</v>
      </c>
      <c r="AY1519" s="8" t="s">
        <v>231</v>
      </c>
      <c r="AZ1519" s="7" t="s">
        <v>231</v>
      </c>
      <c r="BA1519" s="7" t="s">
        <v>231</v>
      </c>
      <c r="BB1519" s="7"/>
      <c r="BC1519" s="4" t="s">
        <v>231</v>
      </c>
      <c r="BD1519" s="8" t="s">
        <v>231</v>
      </c>
      <c r="BE1519" s="4" t="s">
        <v>231</v>
      </c>
      <c r="BF1519" s="8" t="s">
        <v>231</v>
      </c>
      <c r="BG1519" s="7" t="s">
        <v>231</v>
      </c>
      <c r="BH1519" s="7" t="s">
        <v>231</v>
      </c>
      <c r="BI1519" s="7"/>
      <c r="BJ1519" s="4">
        <v>32</v>
      </c>
      <c r="BK1519" s="8">
        <v>479.68</v>
      </c>
      <c r="BL1519" s="2" t="s">
        <v>1423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7111</v>
      </c>
      <c r="BV1519" s="2" t="s">
        <v>231</v>
      </c>
      <c r="BW1519" s="2" t="s">
        <v>231</v>
      </c>
      <c r="BX1519" s="2" t="s">
        <v>241</v>
      </c>
      <c r="BY1519" s="2" t="s">
        <v>277</v>
      </c>
      <c r="BZ1519" s="2" t="s">
        <v>243</v>
      </c>
      <c r="CA1519" s="2" t="s">
        <v>960</v>
      </c>
      <c r="CB1519" s="2" t="s">
        <v>231</v>
      </c>
      <c r="CC1519" s="2" t="s">
        <v>244</v>
      </c>
      <c r="CD1519" s="2" t="s">
        <v>231</v>
      </c>
      <c r="CE1519" s="4"/>
      <c r="CF1519" s="4"/>
      <c r="CG1519" s="4"/>
      <c r="CH1519" s="4"/>
      <c r="CI1519" s="4">
        <v>657</v>
      </c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</row>
    <row r="1520">
      <c r="A1520" s="2" t="s">
        <v>7112</v>
      </c>
      <c r="B1520" s="2" t="s">
        <v>2695</v>
      </c>
      <c r="C1520" s="2" t="s">
        <v>815</v>
      </c>
      <c r="D1520" s="2" t="s">
        <v>2696</v>
      </c>
      <c r="E1520" s="2" t="s">
        <v>2697</v>
      </c>
      <c r="F1520" s="2" t="s">
        <v>7103</v>
      </c>
      <c r="G1520" s="2" t="s">
        <v>7103</v>
      </c>
      <c r="H1520" s="2" t="s">
        <v>7103</v>
      </c>
      <c r="I1520" s="2" t="s">
        <v>7104</v>
      </c>
      <c r="J1520" s="2" t="s">
        <v>7092</v>
      </c>
      <c r="K1520" s="2" t="s">
        <v>7113</v>
      </c>
      <c r="L1520" s="3">
        <v>20.17</v>
      </c>
      <c r="M1520" s="3">
        <v>21.18</v>
      </c>
      <c r="N1520" s="3"/>
      <c r="O1520" s="2" t="s">
        <v>243</v>
      </c>
      <c r="P1520" s="2" t="s">
        <v>341</v>
      </c>
      <c r="Q1520" s="2" t="s">
        <v>237</v>
      </c>
      <c r="R1520" s="2" t="s">
        <v>231</v>
      </c>
      <c r="S1520" s="2" t="s">
        <v>231</v>
      </c>
      <c r="T1520" s="2" t="s">
        <v>231</v>
      </c>
      <c r="U1520" s="2" t="s">
        <v>327</v>
      </c>
      <c r="V1520" s="2" t="s">
        <v>662</v>
      </c>
      <c r="W1520" s="2" t="s">
        <v>231</v>
      </c>
      <c r="X1520" s="2" t="s">
        <v>231</v>
      </c>
      <c r="Y1520" s="2" t="s">
        <v>1412</v>
      </c>
      <c r="Z1520" s="4">
        <v>360</v>
      </c>
      <c r="AA1520" s="4">
        <f>=ROUNDDOWN(116.129032258065,0)</f>
      </c>
      <c r="AB1520" s="5">
        <v>3.1</v>
      </c>
      <c r="AC1520" s="2" t="s">
        <v>231</v>
      </c>
      <c r="AD1520" s="4"/>
      <c r="AE1520" s="4"/>
      <c r="AF1520" s="6"/>
      <c r="AG1520" s="6"/>
      <c r="AH1520" s="7">
        <v>1</v>
      </c>
      <c r="AI1520" s="4"/>
      <c r="AJ1520" s="4">
        <f>=ROUNDDOWN({0},0)</f>
      </c>
      <c r="AK1520" s="5"/>
      <c r="AL1520" s="2" t="s">
        <v>231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231</v>
      </c>
      <c r="BD1520" s="8" t="s">
        <v>231</v>
      </c>
      <c r="BE1520" s="4" t="s">
        <v>231</v>
      </c>
      <c r="BF1520" s="8" t="s">
        <v>231</v>
      </c>
      <c r="BG1520" s="7" t="s">
        <v>231</v>
      </c>
      <c r="BH1520" s="7" t="s">
        <v>231</v>
      </c>
      <c r="BI1520" s="7"/>
      <c r="BJ1520" s="4">
        <v>9</v>
      </c>
      <c r="BK1520" s="8">
        <v>154.91</v>
      </c>
      <c r="BL1520" s="2" t="s">
        <v>1206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7114</v>
      </c>
      <c r="BV1520" s="2" t="s">
        <v>231</v>
      </c>
      <c r="BW1520" s="2" t="s">
        <v>231</v>
      </c>
      <c r="BX1520" s="2" t="s">
        <v>241</v>
      </c>
      <c r="BY1520" s="2" t="s">
        <v>277</v>
      </c>
      <c r="BZ1520" s="2" t="s">
        <v>243</v>
      </c>
      <c r="CA1520" s="2" t="s">
        <v>960</v>
      </c>
      <c r="CB1520" s="2" t="s">
        <v>231</v>
      </c>
      <c r="CC1520" s="2" t="s">
        <v>244</v>
      </c>
      <c r="CD1520" s="2" t="s">
        <v>231</v>
      </c>
      <c r="CE1520" s="4"/>
      <c r="CF1520" s="4"/>
      <c r="CG1520" s="4"/>
      <c r="CH1520" s="4"/>
      <c r="CI1520" s="4">
        <v>360</v>
      </c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</row>
    <row r="1521">
      <c r="A1521" s="2" t="s">
        <v>7115</v>
      </c>
      <c r="B1521" s="2" t="s">
        <v>2695</v>
      </c>
      <c r="C1521" s="2" t="s">
        <v>815</v>
      </c>
      <c r="D1521" s="2" t="s">
        <v>2696</v>
      </c>
      <c r="E1521" s="2" t="s">
        <v>2697</v>
      </c>
      <c r="F1521" s="2" t="s">
        <v>7116</v>
      </c>
      <c r="G1521" s="2" t="s">
        <v>231</v>
      </c>
      <c r="H1521" s="2" t="s">
        <v>231</v>
      </c>
      <c r="I1521" s="2" t="s">
        <v>7117</v>
      </c>
      <c r="J1521" s="2" t="s">
        <v>3125</v>
      </c>
      <c r="K1521" s="2" t="s">
        <v>7093</v>
      </c>
      <c r="L1521" s="3">
        <v>9</v>
      </c>
      <c r="M1521" s="3">
        <v>9.45</v>
      </c>
      <c r="N1521" s="3">
        <v>38</v>
      </c>
      <c r="O1521" s="2" t="s">
        <v>243</v>
      </c>
      <c r="P1521" s="2" t="s">
        <v>341</v>
      </c>
      <c r="Q1521" s="2" t="s">
        <v>237</v>
      </c>
      <c r="R1521" s="2" t="s">
        <v>231</v>
      </c>
      <c r="S1521" s="2" t="s">
        <v>231</v>
      </c>
      <c r="T1521" s="2" t="s">
        <v>231</v>
      </c>
      <c r="U1521" s="2" t="s">
        <v>231</v>
      </c>
      <c r="V1521" s="2" t="s">
        <v>662</v>
      </c>
      <c r="W1521" s="2" t="s">
        <v>231</v>
      </c>
      <c r="X1521" s="2" t="s">
        <v>231</v>
      </c>
      <c r="Y1521" s="2" t="s">
        <v>331</v>
      </c>
      <c r="Z1521" s="4"/>
      <c r="AA1521" s="4">
        <f>=ROUNDDOWN({0},0)</f>
      </c>
      <c r="AB1521" s="5">
        <v>8.2</v>
      </c>
      <c r="AC1521" s="2" t="s">
        <v>636</v>
      </c>
      <c r="AD1521" s="4">
        <v>600</v>
      </c>
      <c r="AE1521" s="4">
        <v>600</v>
      </c>
      <c r="AF1521" s="6"/>
      <c r="AG1521" s="6"/>
      <c r="AH1521" s="7">
        <v>0</v>
      </c>
      <c r="AI1521" s="4"/>
      <c r="AJ1521" s="4">
        <f>=ROUNDDOWN({0},0)</f>
      </c>
      <c r="AK1521" s="5"/>
      <c r="AL1521" s="2" t="s">
        <v>231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 t="s">
        <v>231</v>
      </c>
      <c r="BD1521" s="8" t="s">
        <v>231</v>
      </c>
      <c r="BE1521" s="4" t="s">
        <v>231</v>
      </c>
      <c r="BF1521" s="8" t="s">
        <v>231</v>
      </c>
      <c r="BG1521" s="7" t="s">
        <v>231</v>
      </c>
      <c r="BH1521" s="7" t="s">
        <v>231</v>
      </c>
      <c r="BI1521" s="7"/>
      <c r="BJ1521" s="4"/>
      <c r="BK1521" s="8"/>
      <c r="BL1521" s="2" t="s">
        <v>231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7118</v>
      </c>
      <c r="BV1521" s="2" t="s">
        <v>231</v>
      </c>
      <c r="BW1521" s="2" t="s">
        <v>231</v>
      </c>
      <c r="BX1521" s="2" t="s">
        <v>241</v>
      </c>
      <c r="BY1521" s="2" t="s">
        <v>277</v>
      </c>
      <c r="BZ1521" s="2" t="s">
        <v>243</v>
      </c>
      <c r="CA1521" s="2" t="s">
        <v>2703</v>
      </c>
      <c r="CB1521" s="2" t="s">
        <v>231</v>
      </c>
      <c r="CC1521" s="2" t="s">
        <v>244</v>
      </c>
      <c r="CD1521" s="2" t="s">
        <v>231</v>
      </c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>
        <v>600</v>
      </c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</row>
    <row r="1522">
      <c r="A1522" s="2" t="s">
        <v>7119</v>
      </c>
      <c r="B1522" s="2" t="s">
        <v>2695</v>
      </c>
      <c r="C1522" s="2" t="s">
        <v>815</v>
      </c>
      <c r="D1522" s="2" t="s">
        <v>2696</v>
      </c>
      <c r="E1522" s="2" t="s">
        <v>2697</v>
      </c>
      <c r="F1522" s="2" t="s">
        <v>7116</v>
      </c>
      <c r="G1522" s="2" t="s">
        <v>231</v>
      </c>
      <c r="H1522" s="2" t="s">
        <v>231</v>
      </c>
      <c r="I1522" s="2" t="s">
        <v>7120</v>
      </c>
      <c r="J1522" s="2" t="s">
        <v>3125</v>
      </c>
      <c r="K1522" s="2" t="s">
        <v>7121</v>
      </c>
      <c r="L1522" s="3">
        <v>9</v>
      </c>
      <c r="M1522" s="3">
        <v>9.45</v>
      </c>
      <c r="N1522" s="3">
        <v>38</v>
      </c>
      <c r="O1522" s="2" t="s">
        <v>243</v>
      </c>
      <c r="P1522" s="2" t="s">
        <v>341</v>
      </c>
      <c r="Q1522" s="2" t="s">
        <v>237</v>
      </c>
      <c r="R1522" s="2" t="s">
        <v>231</v>
      </c>
      <c r="S1522" s="2" t="s">
        <v>231</v>
      </c>
      <c r="T1522" s="2" t="s">
        <v>231</v>
      </c>
      <c r="U1522" s="2" t="s">
        <v>231</v>
      </c>
      <c r="V1522" s="2" t="s">
        <v>662</v>
      </c>
      <c r="W1522" s="2" t="s">
        <v>231</v>
      </c>
      <c r="X1522" s="2" t="s">
        <v>231</v>
      </c>
      <c r="Y1522" s="2" t="s">
        <v>2907</v>
      </c>
      <c r="Z1522" s="4">
        <v>209</v>
      </c>
      <c r="AA1522" s="4">
        <f>=ROUNDDOWN(10.7731958762887,0)</f>
      </c>
      <c r="AB1522" s="5">
        <v>19.4</v>
      </c>
      <c r="AC1522" s="2" t="s">
        <v>636</v>
      </c>
      <c r="AD1522" s="4">
        <v>200</v>
      </c>
      <c r="AE1522" s="4">
        <v>200</v>
      </c>
      <c r="AF1522" s="6"/>
      <c r="AG1522" s="6"/>
      <c r="AH1522" s="7">
        <v>1</v>
      </c>
      <c r="AI1522" s="4"/>
      <c r="AJ1522" s="4">
        <f>=ROUNDDOWN({0},0)</f>
      </c>
      <c r="AK1522" s="5"/>
      <c r="AL1522" s="2" t="s">
        <v>231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231</v>
      </c>
      <c r="BD1522" s="8" t="s">
        <v>231</v>
      </c>
      <c r="BE1522" s="4" t="s">
        <v>231</v>
      </c>
      <c r="BF1522" s="8" t="s">
        <v>231</v>
      </c>
      <c r="BG1522" s="7" t="s">
        <v>231</v>
      </c>
      <c r="BH1522" s="7" t="s">
        <v>231</v>
      </c>
      <c r="BI1522" s="7"/>
      <c r="BJ1522" s="4">
        <v>30</v>
      </c>
      <c r="BK1522" s="8">
        <v>285</v>
      </c>
      <c r="BL1522" s="2" t="s">
        <v>1423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7122</v>
      </c>
      <c r="BV1522" s="2" t="s">
        <v>231</v>
      </c>
      <c r="BW1522" s="2" t="s">
        <v>231</v>
      </c>
      <c r="BX1522" s="2" t="s">
        <v>241</v>
      </c>
      <c r="BY1522" s="2" t="s">
        <v>277</v>
      </c>
      <c r="BZ1522" s="2" t="s">
        <v>243</v>
      </c>
      <c r="CA1522" s="2" t="s">
        <v>7123</v>
      </c>
      <c r="CB1522" s="2" t="s">
        <v>7124</v>
      </c>
      <c r="CC1522" s="2" t="s">
        <v>244</v>
      </c>
      <c r="CD1522" s="2" t="s">
        <v>231</v>
      </c>
      <c r="CE1522" s="4"/>
      <c r="CF1522" s="4"/>
      <c r="CG1522" s="4"/>
      <c r="CH1522" s="4"/>
      <c r="CI1522" s="4">
        <v>209</v>
      </c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>
        <v>200</v>
      </c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</row>
    <row r="1523">
      <c r="A1523" s="2" t="s">
        <v>7125</v>
      </c>
      <c r="B1523" s="2" t="s">
        <v>2695</v>
      </c>
      <c r="C1523" s="2" t="s">
        <v>815</v>
      </c>
      <c r="D1523" s="2" t="s">
        <v>2696</v>
      </c>
      <c r="E1523" s="2" t="s">
        <v>2697</v>
      </c>
      <c r="F1523" s="2" t="s">
        <v>7126</v>
      </c>
      <c r="G1523" s="2" t="s">
        <v>7126</v>
      </c>
      <c r="H1523" s="2" t="s">
        <v>7126</v>
      </c>
      <c r="I1523" s="2" t="s">
        <v>7127</v>
      </c>
      <c r="J1523" s="2" t="s">
        <v>3125</v>
      </c>
      <c r="K1523" s="2" t="s">
        <v>7105</v>
      </c>
      <c r="L1523" s="3">
        <v>10.48</v>
      </c>
      <c r="M1523" s="3">
        <v>11</v>
      </c>
      <c r="N1523" s="3"/>
      <c r="O1523" s="2" t="s">
        <v>243</v>
      </c>
      <c r="P1523" s="2" t="s">
        <v>341</v>
      </c>
      <c r="Q1523" s="2" t="s">
        <v>237</v>
      </c>
      <c r="R1523" s="2" t="s">
        <v>231</v>
      </c>
      <c r="S1523" s="2" t="s">
        <v>231</v>
      </c>
      <c r="T1523" s="2" t="s">
        <v>231</v>
      </c>
      <c r="U1523" s="2" t="s">
        <v>327</v>
      </c>
      <c r="V1523" s="2" t="s">
        <v>662</v>
      </c>
      <c r="W1523" s="2" t="s">
        <v>231</v>
      </c>
      <c r="X1523" s="2" t="s">
        <v>231</v>
      </c>
      <c r="Y1523" s="2" t="s">
        <v>1412</v>
      </c>
      <c r="Z1523" s="4">
        <v>316</v>
      </c>
      <c r="AA1523" s="4">
        <f>=ROUNDDOWN(85.4054054054054,0)</f>
      </c>
      <c r="AB1523" s="5">
        <v>3.7</v>
      </c>
      <c r="AC1523" s="2" t="s">
        <v>231</v>
      </c>
      <c r="AD1523" s="4"/>
      <c r="AE1523" s="4"/>
      <c r="AF1523" s="6"/>
      <c r="AG1523" s="6"/>
      <c r="AH1523" s="7">
        <v>1</v>
      </c>
      <c r="AI1523" s="4"/>
      <c r="AJ1523" s="4">
        <f>=ROUNDDOWN({0},0)</f>
      </c>
      <c r="AK1523" s="5"/>
      <c r="AL1523" s="2" t="s">
        <v>231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/>
      <c r="BD1523" s="8"/>
      <c r="BE1523" s="4"/>
      <c r="BF1523" s="8"/>
      <c r="BG1523" s="7"/>
      <c r="BH1523" s="7"/>
      <c r="BI1523" s="7"/>
      <c r="BJ1523" s="4">
        <v>6</v>
      </c>
      <c r="BK1523" s="8">
        <v>54.54</v>
      </c>
      <c r="BL1523" s="2" t="s">
        <v>1423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7128</v>
      </c>
      <c r="BV1523" s="2" t="s">
        <v>231</v>
      </c>
      <c r="BW1523" s="2" t="s">
        <v>231</v>
      </c>
      <c r="BX1523" s="2" t="s">
        <v>241</v>
      </c>
      <c r="BY1523" s="2" t="s">
        <v>277</v>
      </c>
      <c r="BZ1523" s="2" t="s">
        <v>243</v>
      </c>
      <c r="CA1523" s="2" t="s">
        <v>960</v>
      </c>
      <c r="CB1523" s="2" t="s">
        <v>231</v>
      </c>
      <c r="CC1523" s="2" t="s">
        <v>244</v>
      </c>
      <c r="CD1523" s="2" t="s">
        <v>231</v>
      </c>
      <c r="CE1523" s="4"/>
      <c r="CF1523" s="4"/>
      <c r="CG1523" s="4"/>
      <c r="CH1523" s="4"/>
      <c r="CI1523" s="4">
        <v>316</v>
      </c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</row>
    <row r="1524">
      <c r="A1524" s="2" t="s">
        <v>7129</v>
      </c>
      <c r="B1524" s="2" t="s">
        <v>2695</v>
      </c>
      <c r="C1524" s="2" t="s">
        <v>815</v>
      </c>
      <c r="D1524" s="2" t="s">
        <v>2696</v>
      </c>
      <c r="E1524" s="2" t="s">
        <v>2697</v>
      </c>
      <c r="F1524" s="2" t="s">
        <v>7130</v>
      </c>
      <c r="G1524" s="2" t="s">
        <v>231</v>
      </c>
      <c r="H1524" s="2" t="s">
        <v>231</v>
      </c>
      <c r="I1524" s="2" t="s">
        <v>7131</v>
      </c>
      <c r="J1524" s="2" t="s">
        <v>7092</v>
      </c>
      <c r="K1524" s="2" t="s">
        <v>7132</v>
      </c>
      <c r="L1524" s="3">
        <v>11</v>
      </c>
      <c r="M1524" s="3">
        <v>11.55</v>
      </c>
      <c r="N1524" s="3">
        <v>32.99</v>
      </c>
      <c r="O1524" s="2" t="s">
        <v>243</v>
      </c>
      <c r="P1524" s="2" t="s">
        <v>241</v>
      </c>
      <c r="Q1524" s="2" t="s">
        <v>237</v>
      </c>
      <c r="R1524" s="2" t="s">
        <v>231</v>
      </c>
      <c r="S1524" s="2" t="s">
        <v>231</v>
      </c>
      <c r="T1524" s="2" t="s">
        <v>231</v>
      </c>
      <c r="U1524" s="2" t="s">
        <v>231</v>
      </c>
      <c r="V1524" s="2" t="s">
        <v>662</v>
      </c>
      <c r="W1524" s="2" t="s">
        <v>231</v>
      </c>
      <c r="X1524" s="2" t="s">
        <v>231</v>
      </c>
      <c r="Y1524" s="2" t="s">
        <v>4594</v>
      </c>
      <c r="Z1524" s="4"/>
      <c r="AA1524" s="4">
        <f>=ROUNDDOWN({0},0)</f>
      </c>
      <c r="AB1524" s="5">
        <v>20</v>
      </c>
      <c r="AC1524" s="2" t="s">
        <v>3921</v>
      </c>
      <c r="AD1524" s="4">
        <v>420</v>
      </c>
      <c r="AE1524" s="4">
        <v>420</v>
      </c>
      <c r="AF1524" s="6"/>
      <c r="AG1524" s="6">
        <v>48</v>
      </c>
      <c r="AH1524" s="7">
        <v>0</v>
      </c>
      <c r="AI1524" s="4"/>
      <c r="AJ1524" s="4">
        <f>=ROUNDDOWN({0},0)</f>
      </c>
      <c r="AK1524" s="5"/>
      <c r="AL1524" s="2" t="s">
        <v>231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231</v>
      </c>
      <c r="AW1524" s="8" t="s">
        <v>231</v>
      </c>
      <c r="AX1524" s="4" t="s">
        <v>231</v>
      </c>
      <c r="AY1524" s="8" t="s">
        <v>231</v>
      </c>
      <c r="AZ1524" s="7" t="s">
        <v>231</v>
      </c>
      <c r="BA1524" s="7" t="s">
        <v>231</v>
      </c>
      <c r="BB1524" s="7"/>
      <c r="BC1524" s="4" t="s">
        <v>231</v>
      </c>
      <c r="BD1524" s="8" t="s">
        <v>231</v>
      </c>
      <c r="BE1524" s="4" t="s">
        <v>231</v>
      </c>
      <c r="BF1524" s="8" t="s">
        <v>231</v>
      </c>
      <c r="BG1524" s="7" t="s">
        <v>231</v>
      </c>
      <c r="BH1524" s="7" t="s">
        <v>231</v>
      </c>
      <c r="BI1524" s="7"/>
      <c r="BJ1524" s="4"/>
      <c r="BK1524" s="8"/>
      <c r="BL1524" s="2" t="s">
        <v>2565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7133</v>
      </c>
      <c r="BV1524" s="2" t="s">
        <v>231</v>
      </c>
      <c r="BW1524" s="2" t="s">
        <v>231</v>
      </c>
      <c r="BX1524" s="2" t="s">
        <v>241</v>
      </c>
      <c r="BY1524" s="2" t="s">
        <v>277</v>
      </c>
      <c r="BZ1524" s="2" t="s">
        <v>243</v>
      </c>
      <c r="CA1524" s="2" t="s">
        <v>231</v>
      </c>
      <c r="CB1524" s="2" t="s">
        <v>231</v>
      </c>
      <c r="CC1524" s="2" t="s">
        <v>244</v>
      </c>
      <c r="CD1524" s="2" t="s">
        <v>231</v>
      </c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>
        <v>420</v>
      </c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</row>
    <row r="1525">
      <c r="A1525" s="2" t="s">
        <v>7134</v>
      </c>
      <c r="B1525" s="2" t="s">
        <v>2695</v>
      </c>
      <c r="C1525" s="2" t="s">
        <v>815</v>
      </c>
      <c r="D1525" s="2" t="s">
        <v>2696</v>
      </c>
      <c r="E1525" s="2" t="s">
        <v>2697</v>
      </c>
      <c r="F1525" s="2" t="s">
        <v>7130</v>
      </c>
      <c r="G1525" s="2" t="s">
        <v>231</v>
      </c>
      <c r="H1525" s="2" t="s">
        <v>231</v>
      </c>
      <c r="I1525" s="2" t="s">
        <v>7131</v>
      </c>
      <c r="J1525" s="2" t="s">
        <v>7087</v>
      </c>
      <c r="K1525" s="2" t="s">
        <v>7132</v>
      </c>
      <c r="L1525" s="3">
        <v>11</v>
      </c>
      <c r="M1525" s="3">
        <v>11.55</v>
      </c>
      <c r="N1525" s="3">
        <v>32.99</v>
      </c>
      <c r="O1525" s="2" t="s">
        <v>243</v>
      </c>
      <c r="P1525" s="2" t="s">
        <v>241</v>
      </c>
      <c r="Q1525" s="2" t="s">
        <v>237</v>
      </c>
      <c r="R1525" s="2" t="s">
        <v>231</v>
      </c>
      <c r="S1525" s="2" t="s">
        <v>231</v>
      </c>
      <c r="T1525" s="2" t="s">
        <v>231</v>
      </c>
      <c r="U1525" s="2" t="s">
        <v>231</v>
      </c>
      <c r="V1525" s="2" t="s">
        <v>662</v>
      </c>
      <c r="W1525" s="2" t="s">
        <v>231</v>
      </c>
      <c r="X1525" s="2" t="s">
        <v>231</v>
      </c>
      <c r="Y1525" s="2" t="s">
        <v>4594</v>
      </c>
      <c r="Z1525" s="4"/>
      <c r="AA1525" s="4">
        <f>=ROUNDDOWN({0},0)</f>
      </c>
      <c r="AB1525" s="5">
        <v>3</v>
      </c>
      <c r="AC1525" s="2" t="s">
        <v>3921</v>
      </c>
      <c r="AD1525" s="4">
        <v>420</v>
      </c>
      <c r="AE1525" s="4">
        <v>420</v>
      </c>
      <c r="AF1525" s="6"/>
      <c r="AG1525" s="6">
        <v>48</v>
      </c>
      <c r="AH1525" s="7">
        <v>0</v>
      </c>
      <c r="AI1525" s="4"/>
      <c r="AJ1525" s="4">
        <f>=ROUNDDOWN({0},0)</f>
      </c>
      <c r="AK1525" s="5"/>
      <c r="AL1525" s="2" t="s">
        <v>231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231</v>
      </c>
      <c r="AW1525" s="8" t="s">
        <v>231</v>
      </c>
      <c r="AX1525" s="4" t="s">
        <v>231</v>
      </c>
      <c r="AY1525" s="8" t="s">
        <v>231</v>
      </c>
      <c r="AZ1525" s="7" t="s">
        <v>231</v>
      </c>
      <c r="BA1525" s="7" t="s">
        <v>231</v>
      </c>
      <c r="BB1525" s="7"/>
      <c r="BC1525" s="4" t="s">
        <v>231</v>
      </c>
      <c r="BD1525" s="8" t="s">
        <v>231</v>
      </c>
      <c r="BE1525" s="4" t="s">
        <v>231</v>
      </c>
      <c r="BF1525" s="8" t="s">
        <v>231</v>
      </c>
      <c r="BG1525" s="7" t="s">
        <v>231</v>
      </c>
      <c r="BH1525" s="7" t="s">
        <v>231</v>
      </c>
      <c r="BI1525" s="7"/>
      <c r="BJ1525" s="4"/>
      <c r="BK1525" s="8"/>
      <c r="BL1525" s="2" t="s">
        <v>4671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7135</v>
      </c>
      <c r="BV1525" s="2" t="s">
        <v>231</v>
      </c>
      <c r="BW1525" s="2" t="s">
        <v>231</v>
      </c>
      <c r="BX1525" s="2" t="s">
        <v>241</v>
      </c>
      <c r="BY1525" s="2" t="s">
        <v>277</v>
      </c>
      <c r="BZ1525" s="2" t="s">
        <v>243</v>
      </c>
      <c r="CA1525" s="2" t="s">
        <v>231</v>
      </c>
      <c r="CB1525" s="2" t="s">
        <v>231</v>
      </c>
      <c r="CC1525" s="2" t="s">
        <v>244</v>
      </c>
      <c r="CD1525" s="2" t="s">
        <v>231</v>
      </c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>
        <v>420</v>
      </c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</row>
    <row r="1526">
      <c r="A1526" s="2" t="s">
        <v>7136</v>
      </c>
      <c r="B1526" s="2" t="s">
        <v>2695</v>
      </c>
      <c r="C1526" s="2" t="s">
        <v>815</v>
      </c>
      <c r="D1526" s="2" t="s">
        <v>2696</v>
      </c>
      <c r="E1526" s="2" t="s">
        <v>2697</v>
      </c>
      <c r="F1526" s="2" t="s">
        <v>7137</v>
      </c>
      <c r="G1526" s="2" t="s">
        <v>231</v>
      </c>
      <c r="H1526" s="2" t="s">
        <v>231</v>
      </c>
      <c r="I1526" s="2" t="s">
        <v>7138</v>
      </c>
      <c r="J1526" s="2" t="s">
        <v>7087</v>
      </c>
      <c r="K1526" s="2" t="s">
        <v>7121</v>
      </c>
      <c r="L1526" s="3">
        <v>12.71</v>
      </c>
      <c r="M1526" s="3">
        <v>13.35</v>
      </c>
      <c r="N1526" s="3">
        <v>29.99</v>
      </c>
      <c r="O1526" s="2" t="s">
        <v>243</v>
      </c>
      <c r="P1526" s="2" t="s">
        <v>241</v>
      </c>
      <c r="Q1526" s="2" t="s">
        <v>237</v>
      </c>
      <c r="R1526" s="2" t="s">
        <v>231</v>
      </c>
      <c r="S1526" s="2" t="s">
        <v>231</v>
      </c>
      <c r="T1526" s="2" t="s">
        <v>231</v>
      </c>
      <c r="U1526" s="2" t="s">
        <v>231</v>
      </c>
      <c r="V1526" s="2" t="s">
        <v>1192</v>
      </c>
      <c r="W1526" s="2" t="s">
        <v>231</v>
      </c>
      <c r="X1526" s="2" t="s">
        <v>231</v>
      </c>
      <c r="Y1526" s="2" t="s">
        <v>7139</v>
      </c>
      <c r="Z1526" s="4">
        <v>275</v>
      </c>
      <c r="AA1526" s="4">
        <f>=ROUNDDOWN(55,0)</f>
      </c>
      <c r="AB1526" s="5">
        <v>5</v>
      </c>
      <c r="AC1526" s="2" t="s">
        <v>231</v>
      </c>
      <c r="AD1526" s="4"/>
      <c r="AE1526" s="4"/>
      <c r="AF1526" s="6"/>
      <c r="AG1526" s="6">
        <v>48</v>
      </c>
      <c r="AH1526" s="7">
        <v>1</v>
      </c>
      <c r="AI1526" s="4"/>
      <c r="AJ1526" s="4">
        <f>=ROUNDDOWN({0},0)</f>
      </c>
      <c r="AK1526" s="5"/>
      <c r="AL1526" s="2" t="s">
        <v>231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231</v>
      </c>
      <c r="BD1526" s="8" t="s">
        <v>231</v>
      </c>
      <c r="BE1526" s="4" t="s">
        <v>231</v>
      </c>
      <c r="BF1526" s="8" t="s">
        <v>231</v>
      </c>
      <c r="BG1526" s="7" t="s">
        <v>231</v>
      </c>
      <c r="BH1526" s="7" t="s">
        <v>231</v>
      </c>
      <c r="BI1526" s="7"/>
      <c r="BJ1526" s="4">
        <v>33</v>
      </c>
      <c r="BK1526" s="8">
        <v>424.05</v>
      </c>
      <c r="BL1526" s="2" t="s">
        <v>4671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7140</v>
      </c>
      <c r="BV1526" s="2" t="s">
        <v>231</v>
      </c>
      <c r="BW1526" s="2" t="s">
        <v>231</v>
      </c>
      <c r="BX1526" s="2" t="s">
        <v>241</v>
      </c>
      <c r="BY1526" s="2" t="s">
        <v>277</v>
      </c>
      <c r="BZ1526" s="2" t="s">
        <v>243</v>
      </c>
      <c r="CA1526" s="2" t="s">
        <v>7141</v>
      </c>
      <c r="CB1526" s="2" t="s">
        <v>231</v>
      </c>
      <c r="CC1526" s="2" t="s">
        <v>244</v>
      </c>
      <c r="CD1526" s="2" t="s">
        <v>231</v>
      </c>
      <c r="CE1526" s="4"/>
      <c r="CF1526" s="4"/>
      <c r="CG1526" s="4"/>
      <c r="CH1526" s="4"/>
      <c r="CI1526" s="4">
        <v>275</v>
      </c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</row>
    <row r="1527">
      <c r="A1527" s="2" t="s">
        <v>7142</v>
      </c>
      <c r="B1527" s="2" t="s">
        <v>2695</v>
      </c>
      <c r="C1527" s="2" t="s">
        <v>815</v>
      </c>
      <c r="D1527" s="2" t="s">
        <v>2696</v>
      </c>
      <c r="E1527" s="2" t="s">
        <v>2697</v>
      </c>
      <c r="F1527" s="2" t="s">
        <v>7137</v>
      </c>
      <c r="G1527" s="2" t="s">
        <v>231</v>
      </c>
      <c r="H1527" s="2" t="s">
        <v>231</v>
      </c>
      <c r="I1527" s="2" t="s">
        <v>7138</v>
      </c>
      <c r="J1527" s="2" t="s">
        <v>7092</v>
      </c>
      <c r="K1527" s="2" t="s">
        <v>7143</v>
      </c>
      <c r="L1527" s="3">
        <v>12.71</v>
      </c>
      <c r="M1527" s="3">
        <v>13.35</v>
      </c>
      <c r="N1527" s="3">
        <v>29.99</v>
      </c>
      <c r="O1527" s="2" t="s">
        <v>243</v>
      </c>
      <c r="P1527" s="2" t="s">
        <v>241</v>
      </c>
      <c r="Q1527" s="2" t="s">
        <v>237</v>
      </c>
      <c r="R1527" s="2" t="s">
        <v>231</v>
      </c>
      <c r="S1527" s="2" t="s">
        <v>231</v>
      </c>
      <c r="T1527" s="2" t="s">
        <v>231</v>
      </c>
      <c r="U1527" s="2" t="s">
        <v>231</v>
      </c>
      <c r="V1527" s="2" t="s">
        <v>662</v>
      </c>
      <c r="W1527" s="2" t="s">
        <v>231</v>
      </c>
      <c r="X1527" s="2" t="s">
        <v>231</v>
      </c>
      <c r="Y1527" s="2" t="s">
        <v>7139</v>
      </c>
      <c r="Z1527" s="4"/>
      <c r="AA1527" s="4">
        <f>=ROUNDDOWN({0},0)</f>
      </c>
      <c r="AB1527" s="5">
        <v>5</v>
      </c>
      <c r="AC1527" s="2" t="s">
        <v>231</v>
      </c>
      <c r="AD1527" s="4"/>
      <c r="AE1527" s="4"/>
      <c r="AF1527" s="6"/>
      <c r="AG1527" s="6">
        <v>48</v>
      </c>
      <c r="AH1527" s="7">
        <v>0</v>
      </c>
      <c r="AI1527" s="4"/>
      <c r="AJ1527" s="4">
        <f>=ROUNDDOWN({0},0)</f>
      </c>
      <c r="AK1527" s="5"/>
      <c r="AL1527" s="2" t="s">
        <v>231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231</v>
      </c>
      <c r="AW1527" s="8" t="s">
        <v>231</v>
      </c>
      <c r="AX1527" s="4" t="s">
        <v>231</v>
      </c>
      <c r="AY1527" s="8" t="s">
        <v>231</v>
      </c>
      <c r="AZ1527" s="7" t="s">
        <v>231</v>
      </c>
      <c r="BA1527" s="7" t="s">
        <v>231</v>
      </c>
      <c r="BB1527" s="7"/>
      <c r="BC1527" s="4" t="s">
        <v>231</v>
      </c>
      <c r="BD1527" s="8" t="s">
        <v>231</v>
      </c>
      <c r="BE1527" s="4" t="s">
        <v>231</v>
      </c>
      <c r="BF1527" s="8" t="s">
        <v>231</v>
      </c>
      <c r="BG1527" s="7" t="s">
        <v>231</v>
      </c>
      <c r="BH1527" s="7" t="s">
        <v>231</v>
      </c>
      <c r="BI1527" s="7"/>
      <c r="BJ1527" s="4"/>
      <c r="BK1527" s="8"/>
      <c r="BL1527" s="2" t="s">
        <v>4671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7144</v>
      </c>
      <c r="BV1527" s="2" t="s">
        <v>231</v>
      </c>
      <c r="BW1527" s="2" t="s">
        <v>231</v>
      </c>
      <c r="BX1527" s="2" t="s">
        <v>241</v>
      </c>
      <c r="BY1527" s="2" t="s">
        <v>277</v>
      </c>
      <c r="BZ1527" s="2" t="s">
        <v>243</v>
      </c>
      <c r="CA1527" s="2" t="s">
        <v>231</v>
      </c>
      <c r="CB1527" s="2" t="s">
        <v>231</v>
      </c>
      <c r="CC1527" s="2" t="s">
        <v>244</v>
      </c>
      <c r="CD1527" s="2" t="s">
        <v>231</v>
      </c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</row>
    <row r="1528">
      <c r="A1528" s="2" t="s">
        <v>7145</v>
      </c>
      <c r="B1528" s="2" t="s">
        <v>2695</v>
      </c>
      <c r="C1528" s="2" t="s">
        <v>815</v>
      </c>
      <c r="D1528" s="2" t="s">
        <v>2696</v>
      </c>
      <c r="E1528" s="2" t="s">
        <v>2697</v>
      </c>
      <c r="F1528" s="2" t="s">
        <v>7137</v>
      </c>
      <c r="G1528" s="2" t="s">
        <v>231</v>
      </c>
      <c r="H1528" s="2" t="s">
        <v>231</v>
      </c>
      <c r="I1528" s="2" t="s">
        <v>7138</v>
      </c>
      <c r="J1528" s="2" t="s">
        <v>7087</v>
      </c>
      <c r="K1528" s="2" t="s">
        <v>7143</v>
      </c>
      <c r="L1528" s="3">
        <v>12.71</v>
      </c>
      <c r="M1528" s="3">
        <v>13.35</v>
      </c>
      <c r="N1528" s="3">
        <v>29.99</v>
      </c>
      <c r="O1528" s="2" t="s">
        <v>243</v>
      </c>
      <c r="P1528" s="2" t="s">
        <v>241</v>
      </c>
      <c r="Q1528" s="2" t="s">
        <v>237</v>
      </c>
      <c r="R1528" s="2" t="s">
        <v>231</v>
      </c>
      <c r="S1528" s="2" t="s">
        <v>231</v>
      </c>
      <c r="T1528" s="2" t="s">
        <v>231</v>
      </c>
      <c r="U1528" s="2" t="s">
        <v>231</v>
      </c>
      <c r="V1528" s="2" t="s">
        <v>662</v>
      </c>
      <c r="W1528" s="2" t="s">
        <v>231</v>
      </c>
      <c r="X1528" s="2" t="s">
        <v>231</v>
      </c>
      <c r="Y1528" s="2" t="s">
        <v>7139</v>
      </c>
      <c r="Z1528" s="4"/>
      <c r="AA1528" s="4">
        <f>=ROUNDDOWN({0},0)</f>
      </c>
      <c r="AB1528" s="5">
        <v>5</v>
      </c>
      <c r="AC1528" s="2" t="s">
        <v>231</v>
      </c>
      <c r="AD1528" s="4"/>
      <c r="AE1528" s="4"/>
      <c r="AF1528" s="6"/>
      <c r="AG1528" s="6">
        <v>48</v>
      </c>
      <c r="AH1528" s="7">
        <v>0</v>
      </c>
      <c r="AI1528" s="4"/>
      <c r="AJ1528" s="4">
        <f>=ROUNDDOWN({0},0)</f>
      </c>
      <c r="AK1528" s="5"/>
      <c r="AL1528" s="2" t="s">
        <v>231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231</v>
      </c>
      <c r="AW1528" s="8" t="s">
        <v>231</v>
      </c>
      <c r="AX1528" s="4" t="s">
        <v>231</v>
      </c>
      <c r="AY1528" s="8" t="s">
        <v>231</v>
      </c>
      <c r="AZ1528" s="7" t="s">
        <v>231</v>
      </c>
      <c r="BA1528" s="7" t="s">
        <v>231</v>
      </c>
      <c r="BB1528" s="7"/>
      <c r="BC1528" s="4" t="s">
        <v>231</v>
      </c>
      <c r="BD1528" s="8" t="s">
        <v>231</v>
      </c>
      <c r="BE1528" s="4" t="s">
        <v>231</v>
      </c>
      <c r="BF1528" s="8" t="s">
        <v>231</v>
      </c>
      <c r="BG1528" s="7" t="s">
        <v>231</v>
      </c>
      <c r="BH1528" s="7" t="s">
        <v>231</v>
      </c>
      <c r="BI1528" s="7"/>
      <c r="BJ1528" s="4"/>
      <c r="BK1528" s="8"/>
      <c r="BL1528" s="2" t="s">
        <v>4671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7146</v>
      </c>
      <c r="BV1528" s="2" t="s">
        <v>231</v>
      </c>
      <c r="BW1528" s="2" t="s">
        <v>231</v>
      </c>
      <c r="BX1528" s="2" t="s">
        <v>241</v>
      </c>
      <c r="BY1528" s="2" t="s">
        <v>277</v>
      </c>
      <c r="BZ1528" s="2" t="s">
        <v>243</v>
      </c>
      <c r="CA1528" s="2" t="s">
        <v>7141</v>
      </c>
      <c r="CB1528" s="2" t="s">
        <v>231</v>
      </c>
      <c r="CC1528" s="2" t="s">
        <v>244</v>
      </c>
      <c r="CD1528" s="2" t="s">
        <v>231</v>
      </c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</row>
    <row r="1529">
      <c r="A1529" s="2" t="s">
        <v>7147</v>
      </c>
      <c r="B1529" s="2" t="s">
        <v>2695</v>
      </c>
      <c r="C1529" s="2" t="s">
        <v>815</v>
      </c>
      <c r="D1529" s="2" t="s">
        <v>2696</v>
      </c>
      <c r="E1529" s="2" t="s">
        <v>2697</v>
      </c>
      <c r="F1529" s="2" t="s">
        <v>7137</v>
      </c>
      <c r="G1529" s="2" t="s">
        <v>231</v>
      </c>
      <c r="H1529" s="2" t="s">
        <v>231</v>
      </c>
      <c r="I1529" s="2" t="s">
        <v>7138</v>
      </c>
      <c r="J1529" s="2" t="s">
        <v>7092</v>
      </c>
      <c r="K1529" s="2" t="s">
        <v>7148</v>
      </c>
      <c r="L1529" s="3">
        <v>12.71</v>
      </c>
      <c r="M1529" s="3">
        <v>13.35</v>
      </c>
      <c r="N1529" s="3">
        <v>29.99</v>
      </c>
      <c r="O1529" s="2" t="s">
        <v>243</v>
      </c>
      <c r="P1529" s="2" t="s">
        <v>241</v>
      </c>
      <c r="Q1529" s="2" t="s">
        <v>237</v>
      </c>
      <c r="R1529" s="2" t="s">
        <v>231</v>
      </c>
      <c r="S1529" s="2" t="s">
        <v>231</v>
      </c>
      <c r="T1529" s="2" t="s">
        <v>231</v>
      </c>
      <c r="U1529" s="2" t="s">
        <v>231</v>
      </c>
      <c r="V1529" s="2" t="s">
        <v>1444</v>
      </c>
      <c r="W1529" s="2" t="s">
        <v>231</v>
      </c>
      <c r="X1529" s="2" t="s">
        <v>231</v>
      </c>
      <c r="Y1529" s="2" t="s">
        <v>2295</v>
      </c>
      <c r="Z1529" s="4">
        <v>59</v>
      </c>
      <c r="AA1529" s="4">
        <f>=ROUNDDOWN(7.46835443037975,0)</f>
      </c>
      <c r="AB1529" s="5">
        <v>7.9</v>
      </c>
      <c r="AC1529" s="2" t="s">
        <v>231</v>
      </c>
      <c r="AD1529" s="4"/>
      <c r="AE1529" s="4"/>
      <c r="AF1529" s="6"/>
      <c r="AG1529" s="6">
        <v>48</v>
      </c>
      <c r="AH1529" s="7">
        <v>1</v>
      </c>
      <c r="AI1529" s="4"/>
      <c r="AJ1529" s="4">
        <f>=ROUNDDOWN({0},0)</f>
      </c>
      <c r="AK1529" s="5"/>
      <c r="AL1529" s="2" t="s">
        <v>231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231</v>
      </c>
      <c r="AW1529" s="8" t="s">
        <v>231</v>
      </c>
      <c r="AX1529" s="4" t="s">
        <v>231</v>
      </c>
      <c r="AY1529" s="8" t="s">
        <v>231</v>
      </c>
      <c r="AZ1529" s="7" t="s">
        <v>231</v>
      </c>
      <c r="BA1529" s="7" t="s">
        <v>231</v>
      </c>
      <c r="BB1529" s="7"/>
      <c r="BC1529" s="4" t="s">
        <v>231</v>
      </c>
      <c r="BD1529" s="8" t="s">
        <v>231</v>
      </c>
      <c r="BE1529" s="4" t="s">
        <v>231</v>
      </c>
      <c r="BF1529" s="8" t="s">
        <v>231</v>
      </c>
      <c r="BG1529" s="7" t="s">
        <v>231</v>
      </c>
      <c r="BH1529" s="7" t="s">
        <v>231</v>
      </c>
      <c r="BI1529" s="7"/>
      <c r="BJ1529" s="4">
        <v>15</v>
      </c>
      <c r="BK1529" s="8">
        <v>192.75</v>
      </c>
      <c r="BL1529" s="2" t="s">
        <v>4671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7149</v>
      </c>
      <c r="BV1529" s="2" t="s">
        <v>231</v>
      </c>
      <c r="BW1529" s="2" t="s">
        <v>231</v>
      </c>
      <c r="BX1529" s="2" t="s">
        <v>241</v>
      </c>
      <c r="BY1529" s="2" t="s">
        <v>277</v>
      </c>
      <c r="BZ1529" s="2" t="s">
        <v>243</v>
      </c>
      <c r="CA1529" s="2" t="s">
        <v>7141</v>
      </c>
      <c r="CB1529" s="2" t="s">
        <v>231</v>
      </c>
      <c r="CC1529" s="2" t="s">
        <v>244</v>
      </c>
      <c r="CD1529" s="2" t="s">
        <v>231</v>
      </c>
      <c r="CE1529" s="4"/>
      <c r="CF1529" s="4"/>
      <c r="CG1529" s="4"/>
      <c r="CH1529" s="4"/>
      <c r="CI1529" s="4">
        <v>59</v>
      </c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</row>
    <row r="1530">
      <c r="A1530" s="2" t="s">
        <v>7150</v>
      </c>
      <c r="B1530" s="2" t="s">
        <v>2695</v>
      </c>
      <c r="C1530" s="2" t="s">
        <v>815</v>
      </c>
      <c r="D1530" s="2" t="s">
        <v>2696</v>
      </c>
      <c r="E1530" s="2" t="s">
        <v>2697</v>
      </c>
      <c r="F1530" s="2" t="s">
        <v>7137</v>
      </c>
      <c r="G1530" s="2" t="s">
        <v>231</v>
      </c>
      <c r="H1530" s="2" t="s">
        <v>231</v>
      </c>
      <c r="I1530" s="2" t="s">
        <v>7138</v>
      </c>
      <c r="J1530" s="2" t="s">
        <v>7087</v>
      </c>
      <c r="K1530" s="2" t="s">
        <v>7148</v>
      </c>
      <c r="L1530" s="3">
        <v>12.71</v>
      </c>
      <c r="M1530" s="3">
        <v>13.35</v>
      </c>
      <c r="N1530" s="3">
        <v>29.99</v>
      </c>
      <c r="O1530" s="2" t="s">
        <v>243</v>
      </c>
      <c r="P1530" s="2" t="s">
        <v>241</v>
      </c>
      <c r="Q1530" s="2" t="s">
        <v>237</v>
      </c>
      <c r="R1530" s="2" t="s">
        <v>231</v>
      </c>
      <c r="S1530" s="2" t="s">
        <v>231</v>
      </c>
      <c r="T1530" s="2" t="s">
        <v>231</v>
      </c>
      <c r="U1530" s="2" t="s">
        <v>231</v>
      </c>
      <c r="V1530" s="2" t="s">
        <v>1444</v>
      </c>
      <c r="W1530" s="2" t="s">
        <v>231</v>
      </c>
      <c r="X1530" s="2" t="s">
        <v>231</v>
      </c>
      <c r="Y1530" s="2" t="s">
        <v>2295</v>
      </c>
      <c r="Z1530" s="4">
        <v>256</v>
      </c>
      <c r="AA1530" s="4">
        <f>=ROUNDDOWN(64,0)</f>
      </c>
      <c r="AB1530" s="5">
        <v>4</v>
      </c>
      <c r="AC1530" s="2" t="s">
        <v>231</v>
      </c>
      <c r="AD1530" s="4"/>
      <c r="AE1530" s="4"/>
      <c r="AF1530" s="6"/>
      <c r="AG1530" s="6">
        <v>48</v>
      </c>
      <c r="AH1530" s="7">
        <v>1</v>
      </c>
      <c r="AI1530" s="4"/>
      <c r="AJ1530" s="4">
        <f>=ROUNDDOWN({0},0)</f>
      </c>
      <c r="AK1530" s="5"/>
      <c r="AL1530" s="2" t="s">
        <v>231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231</v>
      </c>
      <c r="AW1530" s="8" t="s">
        <v>231</v>
      </c>
      <c r="AX1530" s="4" t="s">
        <v>231</v>
      </c>
      <c r="AY1530" s="8" t="s">
        <v>231</v>
      </c>
      <c r="AZ1530" s="7" t="s">
        <v>231</v>
      </c>
      <c r="BA1530" s="7" t="s">
        <v>231</v>
      </c>
      <c r="BB1530" s="7"/>
      <c r="BC1530" s="4" t="s">
        <v>231</v>
      </c>
      <c r="BD1530" s="8" t="s">
        <v>231</v>
      </c>
      <c r="BE1530" s="4" t="s">
        <v>231</v>
      </c>
      <c r="BF1530" s="8" t="s">
        <v>231</v>
      </c>
      <c r="BG1530" s="7" t="s">
        <v>231</v>
      </c>
      <c r="BH1530" s="7" t="s">
        <v>231</v>
      </c>
      <c r="BI1530" s="7"/>
      <c r="BJ1530" s="4">
        <v>21</v>
      </c>
      <c r="BK1530" s="8">
        <v>269.85</v>
      </c>
      <c r="BL1530" s="2" t="s">
        <v>4671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7151</v>
      </c>
      <c r="BV1530" s="2" t="s">
        <v>231</v>
      </c>
      <c r="BW1530" s="2" t="s">
        <v>231</v>
      </c>
      <c r="BX1530" s="2" t="s">
        <v>241</v>
      </c>
      <c r="BY1530" s="2" t="s">
        <v>277</v>
      </c>
      <c r="BZ1530" s="2" t="s">
        <v>243</v>
      </c>
      <c r="CA1530" s="2" t="s">
        <v>7141</v>
      </c>
      <c r="CB1530" s="2" t="s">
        <v>7152</v>
      </c>
      <c r="CC1530" s="2" t="s">
        <v>244</v>
      </c>
      <c r="CD1530" s="2" t="s">
        <v>231</v>
      </c>
      <c r="CE1530" s="4"/>
      <c r="CF1530" s="4"/>
      <c r="CG1530" s="4"/>
      <c r="CH1530" s="4"/>
      <c r="CI1530" s="4">
        <v>256</v>
      </c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</row>
    <row r="1531">
      <c r="A1531" s="2" t="s">
        <v>7153</v>
      </c>
      <c r="B1531" s="2" t="s">
        <v>2695</v>
      </c>
      <c r="C1531" s="2" t="s">
        <v>815</v>
      </c>
      <c r="D1531" s="2" t="s">
        <v>2696</v>
      </c>
      <c r="E1531" s="2" t="s">
        <v>2697</v>
      </c>
      <c r="F1531" s="2" t="s">
        <v>7137</v>
      </c>
      <c r="G1531" s="2" t="s">
        <v>231</v>
      </c>
      <c r="H1531" s="2" t="s">
        <v>231</v>
      </c>
      <c r="I1531" s="2" t="s">
        <v>7138</v>
      </c>
      <c r="J1531" s="2" t="s">
        <v>7092</v>
      </c>
      <c r="K1531" s="2" t="s">
        <v>7154</v>
      </c>
      <c r="L1531" s="3">
        <v>12.71</v>
      </c>
      <c r="M1531" s="3">
        <v>13.35</v>
      </c>
      <c r="N1531" s="3">
        <v>29.99</v>
      </c>
      <c r="O1531" s="2" t="s">
        <v>243</v>
      </c>
      <c r="P1531" s="2" t="s">
        <v>241</v>
      </c>
      <c r="Q1531" s="2" t="s">
        <v>237</v>
      </c>
      <c r="R1531" s="2" t="s">
        <v>231</v>
      </c>
      <c r="S1531" s="2" t="s">
        <v>231</v>
      </c>
      <c r="T1531" s="2" t="s">
        <v>231</v>
      </c>
      <c r="U1531" s="2" t="s">
        <v>231</v>
      </c>
      <c r="V1531" s="2" t="s">
        <v>1192</v>
      </c>
      <c r="W1531" s="2" t="s">
        <v>231</v>
      </c>
      <c r="X1531" s="2" t="s">
        <v>231</v>
      </c>
      <c r="Y1531" s="2" t="s">
        <v>2295</v>
      </c>
      <c r="Z1531" s="4">
        <v>233</v>
      </c>
      <c r="AA1531" s="4">
        <f>=ROUNDDOWN(38.8333333333333,0)</f>
      </c>
      <c r="AB1531" s="5">
        <v>6</v>
      </c>
      <c r="AC1531" s="2" t="s">
        <v>231</v>
      </c>
      <c r="AD1531" s="4"/>
      <c r="AE1531" s="4"/>
      <c r="AF1531" s="6"/>
      <c r="AG1531" s="6">
        <v>48</v>
      </c>
      <c r="AH1531" s="7">
        <v>1</v>
      </c>
      <c r="AI1531" s="4"/>
      <c r="AJ1531" s="4">
        <f>=ROUNDDOWN({0},0)</f>
      </c>
      <c r="AK1531" s="5"/>
      <c r="AL1531" s="2" t="s">
        <v>231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231</v>
      </c>
      <c r="AW1531" s="8" t="s">
        <v>231</v>
      </c>
      <c r="AX1531" s="4" t="s">
        <v>231</v>
      </c>
      <c r="AY1531" s="8" t="s">
        <v>231</v>
      </c>
      <c r="AZ1531" s="7" t="s">
        <v>231</v>
      </c>
      <c r="BA1531" s="7" t="s">
        <v>231</v>
      </c>
      <c r="BB1531" s="7"/>
      <c r="BC1531" s="4" t="s">
        <v>231</v>
      </c>
      <c r="BD1531" s="8" t="s">
        <v>231</v>
      </c>
      <c r="BE1531" s="4" t="s">
        <v>231</v>
      </c>
      <c r="BF1531" s="8" t="s">
        <v>231</v>
      </c>
      <c r="BG1531" s="7" t="s">
        <v>231</v>
      </c>
      <c r="BH1531" s="7" t="s">
        <v>231</v>
      </c>
      <c r="BI1531" s="7"/>
      <c r="BJ1531" s="4">
        <v>18</v>
      </c>
      <c r="BK1531" s="8">
        <v>231.3</v>
      </c>
      <c r="BL1531" s="2" t="s">
        <v>4671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7155</v>
      </c>
      <c r="BV1531" s="2" t="s">
        <v>231</v>
      </c>
      <c r="BW1531" s="2" t="s">
        <v>231</v>
      </c>
      <c r="BX1531" s="2" t="s">
        <v>241</v>
      </c>
      <c r="BY1531" s="2" t="s">
        <v>277</v>
      </c>
      <c r="BZ1531" s="2" t="s">
        <v>243</v>
      </c>
      <c r="CA1531" s="2" t="s">
        <v>7141</v>
      </c>
      <c r="CB1531" s="2" t="s">
        <v>231</v>
      </c>
      <c r="CC1531" s="2" t="s">
        <v>244</v>
      </c>
      <c r="CD1531" s="2" t="s">
        <v>231</v>
      </c>
      <c r="CE1531" s="4"/>
      <c r="CF1531" s="4"/>
      <c r="CG1531" s="4"/>
      <c r="CH1531" s="4"/>
      <c r="CI1531" s="4">
        <v>233</v>
      </c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</row>
    <row r="1532">
      <c r="A1532" s="2" t="s">
        <v>7156</v>
      </c>
      <c r="B1532" s="2" t="s">
        <v>2695</v>
      </c>
      <c r="C1532" s="2" t="s">
        <v>815</v>
      </c>
      <c r="D1532" s="2" t="s">
        <v>2696</v>
      </c>
      <c r="E1532" s="2" t="s">
        <v>2697</v>
      </c>
      <c r="F1532" s="2" t="s">
        <v>7137</v>
      </c>
      <c r="G1532" s="2" t="s">
        <v>231</v>
      </c>
      <c r="H1532" s="2" t="s">
        <v>231</v>
      </c>
      <c r="I1532" s="2" t="s">
        <v>7138</v>
      </c>
      <c r="J1532" s="2" t="s">
        <v>7087</v>
      </c>
      <c r="K1532" s="2" t="s">
        <v>7154</v>
      </c>
      <c r="L1532" s="3">
        <v>12.71</v>
      </c>
      <c r="M1532" s="3">
        <v>13.35</v>
      </c>
      <c r="N1532" s="3">
        <v>29.99</v>
      </c>
      <c r="O1532" s="2" t="s">
        <v>243</v>
      </c>
      <c r="P1532" s="2" t="s">
        <v>241</v>
      </c>
      <c r="Q1532" s="2" t="s">
        <v>237</v>
      </c>
      <c r="R1532" s="2" t="s">
        <v>231</v>
      </c>
      <c r="S1532" s="2" t="s">
        <v>231</v>
      </c>
      <c r="T1532" s="2" t="s">
        <v>231</v>
      </c>
      <c r="U1532" s="2" t="s">
        <v>231</v>
      </c>
      <c r="V1532" s="2" t="s">
        <v>1192</v>
      </c>
      <c r="W1532" s="2" t="s">
        <v>231</v>
      </c>
      <c r="X1532" s="2" t="s">
        <v>231</v>
      </c>
      <c r="Y1532" s="2" t="s">
        <v>2295</v>
      </c>
      <c r="Z1532" s="4">
        <v>428</v>
      </c>
      <c r="AA1532" s="4">
        <f>=ROUNDDOWN(71.3333333333333,0)</f>
      </c>
      <c r="AB1532" s="5">
        <v>6</v>
      </c>
      <c r="AC1532" s="2" t="s">
        <v>231</v>
      </c>
      <c r="AD1532" s="4"/>
      <c r="AE1532" s="4"/>
      <c r="AF1532" s="6"/>
      <c r="AG1532" s="6">
        <v>48</v>
      </c>
      <c r="AH1532" s="7">
        <v>1</v>
      </c>
      <c r="AI1532" s="4"/>
      <c r="AJ1532" s="4">
        <f>=ROUNDDOWN({0},0)</f>
      </c>
      <c r="AK1532" s="5"/>
      <c r="AL1532" s="2" t="s">
        <v>231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231</v>
      </c>
      <c r="AW1532" s="8" t="s">
        <v>231</v>
      </c>
      <c r="AX1532" s="4" t="s">
        <v>231</v>
      </c>
      <c r="AY1532" s="8" t="s">
        <v>231</v>
      </c>
      <c r="AZ1532" s="7" t="s">
        <v>231</v>
      </c>
      <c r="BA1532" s="7" t="s">
        <v>231</v>
      </c>
      <c r="BB1532" s="7"/>
      <c r="BC1532" s="4" t="s">
        <v>231</v>
      </c>
      <c r="BD1532" s="8" t="s">
        <v>231</v>
      </c>
      <c r="BE1532" s="4" t="s">
        <v>231</v>
      </c>
      <c r="BF1532" s="8" t="s">
        <v>231</v>
      </c>
      <c r="BG1532" s="7" t="s">
        <v>231</v>
      </c>
      <c r="BH1532" s="7" t="s">
        <v>231</v>
      </c>
      <c r="BI1532" s="7"/>
      <c r="BJ1532" s="4">
        <v>16</v>
      </c>
      <c r="BK1532" s="8">
        <v>205.6</v>
      </c>
      <c r="BL1532" s="2" t="s">
        <v>4671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7157</v>
      </c>
      <c r="BV1532" s="2" t="s">
        <v>231</v>
      </c>
      <c r="BW1532" s="2" t="s">
        <v>231</v>
      </c>
      <c r="BX1532" s="2" t="s">
        <v>241</v>
      </c>
      <c r="BY1532" s="2" t="s">
        <v>277</v>
      </c>
      <c r="BZ1532" s="2" t="s">
        <v>243</v>
      </c>
      <c r="CA1532" s="2" t="s">
        <v>7141</v>
      </c>
      <c r="CB1532" s="2" t="s">
        <v>231</v>
      </c>
      <c r="CC1532" s="2" t="s">
        <v>244</v>
      </c>
      <c r="CD1532" s="2" t="s">
        <v>231</v>
      </c>
      <c r="CE1532" s="4"/>
      <c r="CF1532" s="4"/>
      <c r="CG1532" s="4"/>
      <c r="CH1532" s="4"/>
      <c r="CI1532" s="4">
        <v>428</v>
      </c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</row>
    <row r="1533">
      <c r="A1533" s="2" t="s">
        <v>7158</v>
      </c>
      <c r="B1533" s="2" t="s">
        <v>2695</v>
      </c>
      <c r="C1533" s="2" t="s">
        <v>815</v>
      </c>
      <c r="D1533" s="2" t="s">
        <v>2696</v>
      </c>
      <c r="E1533" s="2" t="s">
        <v>2697</v>
      </c>
      <c r="F1533" s="2" t="s">
        <v>7159</v>
      </c>
      <c r="G1533" s="2" t="s">
        <v>231</v>
      </c>
      <c r="H1533" s="2" t="s">
        <v>231</v>
      </c>
      <c r="I1533" s="2" t="s">
        <v>7160</v>
      </c>
      <c r="J1533" s="2" t="s">
        <v>7161</v>
      </c>
      <c r="K1533" s="2" t="s">
        <v>7162</v>
      </c>
      <c r="L1533" s="3">
        <v>19.21</v>
      </c>
      <c r="M1533" s="3">
        <v>20.17</v>
      </c>
      <c r="N1533" s="3">
        <v>29.99</v>
      </c>
      <c r="O1533" s="2" t="s">
        <v>243</v>
      </c>
      <c r="P1533" s="2" t="s">
        <v>241</v>
      </c>
      <c r="Q1533" s="2" t="s">
        <v>237</v>
      </c>
      <c r="R1533" s="2" t="s">
        <v>231</v>
      </c>
      <c r="S1533" s="2" t="s">
        <v>231</v>
      </c>
      <c r="T1533" s="2" t="s">
        <v>231</v>
      </c>
      <c r="U1533" s="2" t="s">
        <v>231</v>
      </c>
      <c r="V1533" s="2" t="s">
        <v>662</v>
      </c>
      <c r="W1533" s="2" t="s">
        <v>231</v>
      </c>
      <c r="X1533" s="2" t="s">
        <v>231</v>
      </c>
      <c r="Y1533" s="2" t="s">
        <v>2701</v>
      </c>
      <c r="Z1533" s="4">
        <v>31</v>
      </c>
      <c r="AA1533" s="4">
        <f>=ROUNDDOWN(7.75,0)</f>
      </c>
      <c r="AB1533" s="5">
        <v>4</v>
      </c>
      <c r="AC1533" s="2" t="s">
        <v>3921</v>
      </c>
      <c r="AD1533" s="4">
        <v>320</v>
      </c>
      <c r="AE1533" s="4">
        <v>320</v>
      </c>
      <c r="AF1533" s="6"/>
      <c r="AG1533" s="6">
        <v>48</v>
      </c>
      <c r="AH1533" s="7">
        <v>1</v>
      </c>
      <c r="AI1533" s="4"/>
      <c r="AJ1533" s="4">
        <f>=ROUNDDOWN({0},0)</f>
      </c>
      <c r="AK1533" s="5"/>
      <c r="AL1533" s="2" t="s">
        <v>231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231</v>
      </c>
      <c r="AW1533" s="8" t="s">
        <v>231</v>
      </c>
      <c r="AX1533" s="4" t="s">
        <v>231</v>
      </c>
      <c r="AY1533" s="8" t="s">
        <v>231</v>
      </c>
      <c r="AZ1533" s="7" t="s">
        <v>231</v>
      </c>
      <c r="BA1533" s="7" t="s">
        <v>231</v>
      </c>
      <c r="BB1533" s="7"/>
      <c r="BC1533" s="4" t="s">
        <v>231</v>
      </c>
      <c r="BD1533" s="8" t="s">
        <v>231</v>
      </c>
      <c r="BE1533" s="4" t="s">
        <v>231</v>
      </c>
      <c r="BF1533" s="8" t="s">
        <v>231</v>
      </c>
      <c r="BG1533" s="7" t="s">
        <v>231</v>
      </c>
      <c r="BH1533" s="7" t="s">
        <v>231</v>
      </c>
      <c r="BI1533" s="7"/>
      <c r="BJ1533" s="4">
        <v>6</v>
      </c>
      <c r="BK1533" s="8">
        <v>98.8</v>
      </c>
      <c r="BL1533" s="2" t="s">
        <v>4671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7163</v>
      </c>
      <c r="BV1533" s="2" t="s">
        <v>231</v>
      </c>
      <c r="BW1533" s="2" t="s">
        <v>231</v>
      </c>
      <c r="BX1533" s="2" t="s">
        <v>241</v>
      </c>
      <c r="BY1533" s="2" t="s">
        <v>277</v>
      </c>
      <c r="BZ1533" s="2" t="s">
        <v>243</v>
      </c>
      <c r="CA1533" s="2" t="s">
        <v>960</v>
      </c>
      <c r="CB1533" s="2" t="s">
        <v>231</v>
      </c>
      <c r="CC1533" s="2" t="s">
        <v>244</v>
      </c>
      <c r="CD1533" s="2" t="s">
        <v>231</v>
      </c>
      <c r="CE1533" s="4"/>
      <c r="CF1533" s="4"/>
      <c r="CG1533" s="4"/>
      <c r="CH1533" s="4"/>
      <c r="CI1533" s="4">
        <v>31</v>
      </c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>
        <v>320</v>
      </c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</row>
    <row r="1534">
      <c r="A1534" s="2" t="s">
        <v>7164</v>
      </c>
      <c r="B1534" s="2" t="s">
        <v>2695</v>
      </c>
      <c r="C1534" s="2" t="s">
        <v>815</v>
      </c>
      <c r="D1534" s="2" t="s">
        <v>2696</v>
      </c>
      <c r="E1534" s="2" t="s">
        <v>2697</v>
      </c>
      <c r="F1534" s="2" t="s">
        <v>7159</v>
      </c>
      <c r="G1534" s="2" t="s">
        <v>231</v>
      </c>
      <c r="H1534" s="2" t="s">
        <v>231</v>
      </c>
      <c r="I1534" s="2" t="s">
        <v>7160</v>
      </c>
      <c r="J1534" s="2" t="s">
        <v>2699</v>
      </c>
      <c r="K1534" s="2" t="s">
        <v>7162</v>
      </c>
      <c r="L1534" s="3">
        <v>19.21</v>
      </c>
      <c r="M1534" s="3">
        <v>20.17</v>
      </c>
      <c r="N1534" s="3">
        <v>29.99</v>
      </c>
      <c r="O1534" s="2" t="s">
        <v>243</v>
      </c>
      <c r="P1534" s="2" t="s">
        <v>241</v>
      </c>
      <c r="Q1534" s="2" t="s">
        <v>237</v>
      </c>
      <c r="R1534" s="2" t="s">
        <v>231</v>
      </c>
      <c r="S1534" s="2" t="s">
        <v>231</v>
      </c>
      <c r="T1534" s="2" t="s">
        <v>231</v>
      </c>
      <c r="U1534" s="2" t="s">
        <v>231</v>
      </c>
      <c r="V1534" s="2" t="s">
        <v>662</v>
      </c>
      <c r="W1534" s="2" t="s">
        <v>231</v>
      </c>
      <c r="X1534" s="2" t="s">
        <v>231</v>
      </c>
      <c r="Y1534" s="2" t="s">
        <v>2701</v>
      </c>
      <c r="Z1534" s="4">
        <v>139</v>
      </c>
      <c r="AA1534" s="4">
        <f>=ROUNDDOWN(27.8,0)</f>
      </c>
      <c r="AB1534" s="5">
        <v>5</v>
      </c>
      <c r="AC1534" s="2" t="s">
        <v>3921</v>
      </c>
      <c r="AD1534" s="4">
        <v>320</v>
      </c>
      <c r="AE1534" s="4">
        <v>320</v>
      </c>
      <c r="AF1534" s="6"/>
      <c r="AG1534" s="6">
        <v>48</v>
      </c>
      <c r="AH1534" s="7">
        <v>1</v>
      </c>
      <c r="AI1534" s="4"/>
      <c r="AJ1534" s="4">
        <f>=ROUNDDOWN({0},0)</f>
      </c>
      <c r="AK1534" s="5"/>
      <c r="AL1534" s="2" t="s">
        <v>231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231</v>
      </c>
      <c r="AW1534" s="8" t="s">
        <v>231</v>
      </c>
      <c r="AX1534" s="4" t="s">
        <v>231</v>
      </c>
      <c r="AY1534" s="8" t="s">
        <v>231</v>
      </c>
      <c r="AZ1534" s="7" t="s">
        <v>231</v>
      </c>
      <c r="BA1534" s="7" t="s">
        <v>231</v>
      </c>
      <c r="BB1534" s="7"/>
      <c r="BC1534" s="4" t="s">
        <v>231</v>
      </c>
      <c r="BD1534" s="8" t="s">
        <v>231</v>
      </c>
      <c r="BE1534" s="4" t="s">
        <v>231</v>
      </c>
      <c r="BF1534" s="8" t="s">
        <v>231</v>
      </c>
      <c r="BG1534" s="7" t="s">
        <v>231</v>
      </c>
      <c r="BH1534" s="7" t="s">
        <v>231</v>
      </c>
      <c r="BI1534" s="7"/>
      <c r="BJ1534" s="4">
        <v>3</v>
      </c>
      <c r="BK1534" s="8">
        <v>53.8</v>
      </c>
      <c r="BL1534" s="2" t="s">
        <v>4671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7165</v>
      </c>
      <c r="BV1534" s="2" t="s">
        <v>231</v>
      </c>
      <c r="BW1534" s="2" t="s">
        <v>231</v>
      </c>
      <c r="BX1534" s="2" t="s">
        <v>241</v>
      </c>
      <c r="BY1534" s="2" t="s">
        <v>277</v>
      </c>
      <c r="BZ1534" s="2" t="s">
        <v>243</v>
      </c>
      <c r="CA1534" s="2" t="s">
        <v>960</v>
      </c>
      <c r="CB1534" s="2" t="s">
        <v>231</v>
      </c>
      <c r="CC1534" s="2" t="s">
        <v>244</v>
      </c>
      <c r="CD1534" s="2" t="s">
        <v>231</v>
      </c>
      <c r="CE1534" s="4"/>
      <c r="CF1534" s="4"/>
      <c r="CG1534" s="4"/>
      <c r="CH1534" s="4"/>
      <c r="CI1534" s="4">
        <v>139</v>
      </c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>
        <v>320</v>
      </c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</row>
    <row r="1535">
      <c r="A1535" s="2" t="s">
        <v>7166</v>
      </c>
      <c r="B1535" s="2" t="s">
        <v>2695</v>
      </c>
      <c r="C1535" s="2" t="s">
        <v>815</v>
      </c>
      <c r="D1535" s="2" t="s">
        <v>2696</v>
      </c>
      <c r="E1535" s="2" t="s">
        <v>2697</v>
      </c>
      <c r="F1535" s="2" t="s">
        <v>7159</v>
      </c>
      <c r="G1535" s="2" t="s">
        <v>231</v>
      </c>
      <c r="H1535" s="2" t="s">
        <v>231</v>
      </c>
      <c r="I1535" s="2" t="s">
        <v>7160</v>
      </c>
      <c r="J1535" s="2" t="s">
        <v>1238</v>
      </c>
      <c r="K1535" s="2" t="s">
        <v>7162</v>
      </c>
      <c r="L1535" s="3">
        <v>19.21</v>
      </c>
      <c r="M1535" s="3">
        <v>20.17</v>
      </c>
      <c r="N1535" s="3">
        <v>29.99</v>
      </c>
      <c r="O1535" s="2" t="s">
        <v>243</v>
      </c>
      <c r="P1535" s="2" t="s">
        <v>241</v>
      </c>
      <c r="Q1535" s="2" t="s">
        <v>237</v>
      </c>
      <c r="R1535" s="2" t="s">
        <v>231</v>
      </c>
      <c r="S1535" s="2" t="s">
        <v>231</v>
      </c>
      <c r="T1535" s="2" t="s">
        <v>231</v>
      </c>
      <c r="U1535" s="2" t="s">
        <v>231</v>
      </c>
      <c r="V1535" s="2" t="s">
        <v>662</v>
      </c>
      <c r="W1535" s="2" t="s">
        <v>231</v>
      </c>
      <c r="X1535" s="2" t="s">
        <v>231</v>
      </c>
      <c r="Y1535" s="2" t="s">
        <v>2701</v>
      </c>
      <c r="Z1535" s="4"/>
      <c r="AA1535" s="4">
        <f>=ROUNDDOWN({0},0)</f>
      </c>
      <c r="AB1535" s="5">
        <v>13</v>
      </c>
      <c r="AC1535" s="2" t="s">
        <v>3921</v>
      </c>
      <c r="AD1535" s="4">
        <v>784</v>
      </c>
      <c r="AE1535" s="4">
        <v>784</v>
      </c>
      <c r="AF1535" s="6"/>
      <c r="AG1535" s="6">
        <v>48</v>
      </c>
      <c r="AH1535" s="7">
        <v>0</v>
      </c>
      <c r="AI1535" s="4"/>
      <c r="AJ1535" s="4">
        <f>=ROUNDDOWN({0},0)</f>
      </c>
      <c r="AK1535" s="5"/>
      <c r="AL1535" s="2" t="s">
        <v>231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231</v>
      </c>
      <c r="AW1535" s="8" t="s">
        <v>231</v>
      </c>
      <c r="AX1535" s="4" t="s">
        <v>231</v>
      </c>
      <c r="AY1535" s="8" t="s">
        <v>231</v>
      </c>
      <c r="AZ1535" s="7" t="s">
        <v>231</v>
      </c>
      <c r="BA1535" s="7" t="s">
        <v>231</v>
      </c>
      <c r="BB1535" s="7"/>
      <c r="BC1535" s="4" t="s">
        <v>231</v>
      </c>
      <c r="BD1535" s="8" t="s">
        <v>231</v>
      </c>
      <c r="BE1535" s="4" t="s">
        <v>231</v>
      </c>
      <c r="BF1535" s="8" t="s">
        <v>231</v>
      </c>
      <c r="BG1535" s="7" t="s">
        <v>231</v>
      </c>
      <c r="BH1535" s="7" t="s">
        <v>231</v>
      </c>
      <c r="BI1535" s="7"/>
      <c r="BJ1535" s="4"/>
      <c r="BK1535" s="8"/>
      <c r="BL1535" s="2" t="s">
        <v>231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7167</v>
      </c>
      <c r="BV1535" s="2" t="s">
        <v>231</v>
      </c>
      <c r="BW1535" s="2" t="s">
        <v>231</v>
      </c>
      <c r="BX1535" s="2" t="s">
        <v>241</v>
      </c>
      <c r="BY1535" s="2" t="s">
        <v>277</v>
      </c>
      <c r="BZ1535" s="2" t="s">
        <v>243</v>
      </c>
      <c r="CA1535" s="2" t="s">
        <v>231</v>
      </c>
      <c r="CB1535" s="2" t="s">
        <v>231</v>
      </c>
      <c r="CC1535" s="2" t="s">
        <v>244</v>
      </c>
      <c r="CD1535" s="2" t="s">
        <v>231</v>
      </c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>
        <v>784</v>
      </c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</row>
    <row r="1536">
      <c r="A1536" s="2" t="s">
        <v>7168</v>
      </c>
      <c r="B1536" s="2" t="s">
        <v>2695</v>
      </c>
      <c r="C1536" s="2" t="s">
        <v>815</v>
      </c>
      <c r="D1536" s="2" t="s">
        <v>2696</v>
      </c>
      <c r="E1536" s="2" t="s">
        <v>2697</v>
      </c>
      <c r="F1536" s="2" t="s">
        <v>7159</v>
      </c>
      <c r="G1536" s="2" t="s">
        <v>231</v>
      </c>
      <c r="H1536" s="2" t="s">
        <v>231</v>
      </c>
      <c r="I1536" s="2" t="s">
        <v>7160</v>
      </c>
      <c r="J1536" s="2" t="s">
        <v>1245</v>
      </c>
      <c r="K1536" s="2" t="s">
        <v>7162</v>
      </c>
      <c r="L1536" s="3">
        <v>19.21</v>
      </c>
      <c r="M1536" s="3">
        <v>20.17</v>
      </c>
      <c r="N1536" s="3">
        <v>29.99</v>
      </c>
      <c r="O1536" s="2" t="s">
        <v>243</v>
      </c>
      <c r="P1536" s="2" t="s">
        <v>241</v>
      </c>
      <c r="Q1536" s="2" t="s">
        <v>237</v>
      </c>
      <c r="R1536" s="2" t="s">
        <v>231</v>
      </c>
      <c r="S1536" s="2" t="s">
        <v>231</v>
      </c>
      <c r="T1536" s="2" t="s">
        <v>231</v>
      </c>
      <c r="U1536" s="2" t="s">
        <v>231</v>
      </c>
      <c r="V1536" s="2" t="s">
        <v>662</v>
      </c>
      <c r="W1536" s="2" t="s">
        <v>231</v>
      </c>
      <c r="X1536" s="2" t="s">
        <v>231</v>
      </c>
      <c r="Y1536" s="2" t="s">
        <v>2701</v>
      </c>
      <c r="Z1536" s="4"/>
      <c r="AA1536" s="4">
        <f>=ROUNDDOWN({0},0)</f>
      </c>
      <c r="AB1536" s="5">
        <v>11</v>
      </c>
      <c r="AC1536" s="2" t="s">
        <v>3921</v>
      </c>
      <c r="AD1536" s="4">
        <v>576</v>
      </c>
      <c r="AE1536" s="4">
        <v>576</v>
      </c>
      <c r="AF1536" s="6"/>
      <c r="AG1536" s="6">
        <v>48</v>
      </c>
      <c r="AH1536" s="7">
        <v>0</v>
      </c>
      <c r="AI1536" s="4"/>
      <c r="AJ1536" s="4">
        <f>=ROUNDDOWN({0},0)</f>
      </c>
      <c r="AK1536" s="5"/>
      <c r="AL1536" s="2" t="s">
        <v>231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231</v>
      </c>
      <c r="AW1536" s="8" t="s">
        <v>231</v>
      </c>
      <c r="AX1536" s="4" t="s">
        <v>231</v>
      </c>
      <c r="AY1536" s="8" t="s">
        <v>231</v>
      </c>
      <c r="AZ1536" s="7" t="s">
        <v>231</v>
      </c>
      <c r="BA1536" s="7" t="s">
        <v>231</v>
      </c>
      <c r="BB1536" s="7"/>
      <c r="BC1536" s="4" t="s">
        <v>231</v>
      </c>
      <c r="BD1536" s="8" t="s">
        <v>231</v>
      </c>
      <c r="BE1536" s="4" t="s">
        <v>231</v>
      </c>
      <c r="BF1536" s="8" t="s">
        <v>231</v>
      </c>
      <c r="BG1536" s="7" t="s">
        <v>231</v>
      </c>
      <c r="BH1536" s="7" t="s">
        <v>231</v>
      </c>
      <c r="BI1536" s="7"/>
      <c r="BJ1536" s="4"/>
      <c r="BK1536" s="8"/>
      <c r="BL1536" s="2" t="s">
        <v>231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7169</v>
      </c>
      <c r="BV1536" s="2" t="s">
        <v>231</v>
      </c>
      <c r="BW1536" s="2" t="s">
        <v>231</v>
      </c>
      <c r="BX1536" s="2" t="s">
        <v>241</v>
      </c>
      <c r="BY1536" s="2" t="s">
        <v>277</v>
      </c>
      <c r="BZ1536" s="2" t="s">
        <v>243</v>
      </c>
      <c r="CA1536" s="2" t="s">
        <v>231</v>
      </c>
      <c r="CB1536" s="2" t="s">
        <v>231</v>
      </c>
      <c r="CC1536" s="2" t="s">
        <v>244</v>
      </c>
      <c r="CD1536" s="2" t="s">
        <v>231</v>
      </c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>
        <v>576</v>
      </c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</row>
    <row r="1537">
      <c r="A1537" s="2" t="s">
        <v>7170</v>
      </c>
      <c r="B1537" s="2" t="s">
        <v>2695</v>
      </c>
      <c r="C1537" s="2" t="s">
        <v>815</v>
      </c>
      <c r="D1537" s="2" t="s">
        <v>2696</v>
      </c>
      <c r="E1537" s="2" t="s">
        <v>2697</v>
      </c>
      <c r="F1537" s="2" t="s">
        <v>7159</v>
      </c>
      <c r="G1537" s="2" t="s">
        <v>231</v>
      </c>
      <c r="H1537" s="2" t="s">
        <v>231</v>
      </c>
      <c r="I1537" s="2" t="s">
        <v>7160</v>
      </c>
      <c r="J1537" s="2" t="s">
        <v>1249</v>
      </c>
      <c r="K1537" s="2" t="s">
        <v>7162</v>
      </c>
      <c r="L1537" s="3">
        <v>19.21</v>
      </c>
      <c r="M1537" s="3">
        <v>20.17</v>
      </c>
      <c r="N1537" s="3">
        <v>29.99</v>
      </c>
      <c r="O1537" s="2" t="s">
        <v>243</v>
      </c>
      <c r="P1537" s="2" t="s">
        <v>241</v>
      </c>
      <c r="Q1537" s="2" t="s">
        <v>237</v>
      </c>
      <c r="R1537" s="2" t="s">
        <v>231</v>
      </c>
      <c r="S1537" s="2" t="s">
        <v>231</v>
      </c>
      <c r="T1537" s="2" t="s">
        <v>231</v>
      </c>
      <c r="U1537" s="2" t="s">
        <v>231</v>
      </c>
      <c r="V1537" s="2" t="s">
        <v>662</v>
      </c>
      <c r="W1537" s="2" t="s">
        <v>231</v>
      </c>
      <c r="X1537" s="2" t="s">
        <v>231</v>
      </c>
      <c r="Y1537" s="2" t="s">
        <v>2701</v>
      </c>
      <c r="Z1537" s="4"/>
      <c r="AA1537" s="4">
        <f>=ROUNDDOWN({0},0)</f>
      </c>
      <c r="AB1537" s="5">
        <v>8</v>
      </c>
      <c r="AC1537" s="2" t="s">
        <v>3921</v>
      </c>
      <c r="AD1537" s="4">
        <v>384</v>
      </c>
      <c r="AE1537" s="4">
        <v>384</v>
      </c>
      <c r="AF1537" s="6"/>
      <c r="AG1537" s="6">
        <v>48</v>
      </c>
      <c r="AH1537" s="7">
        <v>0</v>
      </c>
      <c r="AI1537" s="4"/>
      <c r="AJ1537" s="4">
        <f>=ROUNDDOWN({0},0)</f>
      </c>
      <c r="AK1537" s="5"/>
      <c r="AL1537" s="2" t="s">
        <v>231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231</v>
      </c>
      <c r="AW1537" s="8" t="s">
        <v>231</v>
      </c>
      <c r="AX1537" s="4" t="s">
        <v>231</v>
      </c>
      <c r="AY1537" s="8" t="s">
        <v>231</v>
      </c>
      <c r="AZ1537" s="7" t="s">
        <v>231</v>
      </c>
      <c r="BA1537" s="7" t="s">
        <v>231</v>
      </c>
      <c r="BB1537" s="7"/>
      <c r="BC1537" s="4" t="s">
        <v>231</v>
      </c>
      <c r="BD1537" s="8" t="s">
        <v>231</v>
      </c>
      <c r="BE1537" s="4" t="s">
        <v>231</v>
      </c>
      <c r="BF1537" s="8" t="s">
        <v>231</v>
      </c>
      <c r="BG1537" s="7" t="s">
        <v>231</v>
      </c>
      <c r="BH1537" s="7" t="s">
        <v>231</v>
      </c>
      <c r="BI1537" s="7"/>
      <c r="BJ1537" s="4"/>
      <c r="BK1537" s="8"/>
      <c r="BL1537" s="2" t="s">
        <v>231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7171</v>
      </c>
      <c r="BV1537" s="2" t="s">
        <v>231</v>
      </c>
      <c r="BW1537" s="2" t="s">
        <v>231</v>
      </c>
      <c r="BX1537" s="2" t="s">
        <v>241</v>
      </c>
      <c r="BY1537" s="2" t="s">
        <v>277</v>
      </c>
      <c r="BZ1537" s="2" t="s">
        <v>243</v>
      </c>
      <c r="CA1537" s="2" t="s">
        <v>231</v>
      </c>
      <c r="CB1537" s="2" t="s">
        <v>231</v>
      </c>
      <c r="CC1537" s="2" t="s">
        <v>244</v>
      </c>
      <c r="CD1537" s="2" t="s">
        <v>231</v>
      </c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>
        <v>384</v>
      </c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</row>
    <row r="1538">
      <c r="A1538" s="2" t="s">
        <v>7172</v>
      </c>
      <c r="B1538" s="2" t="s">
        <v>2695</v>
      </c>
      <c r="C1538" s="2" t="s">
        <v>815</v>
      </c>
      <c r="D1538" s="2" t="s">
        <v>2696</v>
      </c>
      <c r="E1538" s="2" t="s">
        <v>2697</v>
      </c>
      <c r="F1538" s="2" t="s">
        <v>7159</v>
      </c>
      <c r="G1538" s="2" t="s">
        <v>231</v>
      </c>
      <c r="H1538" s="2" t="s">
        <v>231</v>
      </c>
      <c r="I1538" s="2" t="s">
        <v>7160</v>
      </c>
      <c r="J1538" s="2" t="s">
        <v>7173</v>
      </c>
      <c r="K1538" s="2" t="s">
        <v>7162</v>
      </c>
      <c r="L1538" s="3">
        <v>19.21</v>
      </c>
      <c r="M1538" s="3">
        <v>20.17</v>
      </c>
      <c r="N1538" s="3">
        <v>29.99</v>
      </c>
      <c r="O1538" s="2" t="s">
        <v>243</v>
      </c>
      <c r="P1538" s="2" t="s">
        <v>241</v>
      </c>
      <c r="Q1538" s="2" t="s">
        <v>237</v>
      </c>
      <c r="R1538" s="2" t="s">
        <v>231</v>
      </c>
      <c r="S1538" s="2" t="s">
        <v>231</v>
      </c>
      <c r="T1538" s="2" t="s">
        <v>231</v>
      </c>
      <c r="U1538" s="2" t="s">
        <v>231</v>
      </c>
      <c r="V1538" s="2" t="s">
        <v>662</v>
      </c>
      <c r="W1538" s="2" t="s">
        <v>231</v>
      </c>
      <c r="X1538" s="2" t="s">
        <v>231</v>
      </c>
      <c r="Y1538" s="2" t="s">
        <v>2701</v>
      </c>
      <c r="Z1538" s="4"/>
      <c r="AA1538" s="4">
        <f>=ROUNDDOWN({0},0)</f>
      </c>
      <c r="AB1538" s="5">
        <v>8</v>
      </c>
      <c r="AC1538" s="2" t="s">
        <v>3921</v>
      </c>
      <c r="AD1538" s="4">
        <v>384</v>
      </c>
      <c r="AE1538" s="4">
        <v>384</v>
      </c>
      <c r="AF1538" s="6"/>
      <c r="AG1538" s="6">
        <v>48</v>
      </c>
      <c r="AH1538" s="7">
        <v>0</v>
      </c>
      <c r="AI1538" s="4"/>
      <c r="AJ1538" s="4">
        <f>=ROUNDDOWN({0},0)</f>
      </c>
      <c r="AK1538" s="5"/>
      <c r="AL1538" s="2" t="s">
        <v>231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231</v>
      </c>
      <c r="AW1538" s="8" t="s">
        <v>231</v>
      </c>
      <c r="AX1538" s="4" t="s">
        <v>231</v>
      </c>
      <c r="AY1538" s="8" t="s">
        <v>231</v>
      </c>
      <c r="AZ1538" s="7" t="s">
        <v>231</v>
      </c>
      <c r="BA1538" s="7" t="s">
        <v>231</v>
      </c>
      <c r="BB1538" s="7"/>
      <c r="BC1538" s="4" t="s">
        <v>231</v>
      </c>
      <c r="BD1538" s="8" t="s">
        <v>231</v>
      </c>
      <c r="BE1538" s="4" t="s">
        <v>231</v>
      </c>
      <c r="BF1538" s="8" t="s">
        <v>231</v>
      </c>
      <c r="BG1538" s="7" t="s">
        <v>231</v>
      </c>
      <c r="BH1538" s="7" t="s">
        <v>231</v>
      </c>
      <c r="BI1538" s="7"/>
      <c r="BJ1538" s="4"/>
      <c r="BK1538" s="8"/>
      <c r="BL1538" s="2" t="s">
        <v>231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7174</v>
      </c>
      <c r="BV1538" s="2" t="s">
        <v>231</v>
      </c>
      <c r="BW1538" s="2" t="s">
        <v>231</v>
      </c>
      <c r="BX1538" s="2" t="s">
        <v>241</v>
      </c>
      <c r="BY1538" s="2" t="s">
        <v>277</v>
      </c>
      <c r="BZ1538" s="2" t="s">
        <v>243</v>
      </c>
      <c r="CA1538" s="2" t="s">
        <v>960</v>
      </c>
      <c r="CB1538" s="2" t="s">
        <v>231</v>
      </c>
      <c r="CC1538" s="2" t="s">
        <v>244</v>
      </c>
      <c r="CD1538" s="2" t="s">
        <v>231</v>
      </c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>
        <v>384</v>
      </c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</row>
    <row r="1539">
      <c r="A1539" s="2" t="s">
        <v>7175</v>
      </c>
      <c r="B1539" s="2" t="s">
        <v>2695</v>
      </c>
      <c r="C1539" s="2" t="s">
        <v>815</v>
      </c>
      <c r="D1539" s="2" t="s">
        <v>2696</v>
      </c>
      <c r="E1539" s="2" t="s">
        <v>2697</v>
      </c>
      <c r="F1539" s="2" t="s">
        <v>7159</v>
      </c>
      <c r="G1539" s="2" t="s">
        <v>231</v>
      </c>
      <c r="H1539" s="2" t="s">
        <v>231</v>
      </c>
      <c r="I1539" s="2" t="s">
        <v>7160</v>
      </c>
      <c r="J1539" s="2" t="s">
        <v>7161</v>
      </c>
      <c r="K1539" s="2" t="s">
        <v>7176</v>
      </c>
      <c r="L1539" s="3">
        <v>19.21</v>
      </c>
      <c r="M1539" s="3">
        <v>20.17</v>
      </c>
      <c r="N1539" s="3">
        <v>29.99</v>
      </c>
      <c r="O1539" s="2" t="s">
        <v>243</v>
      </c>
      <c r="P1539" s="2" t="s">
        <v>241</v>
      </c>
      <c r="Q1539" s="2" t="s">
        <v>237</v>
      </c>
      <c r="R1539" s="2" t="s">
        <v>231</v>
      </c>
      <c r="S1539" s="2" t="s">
        <v>231</v>
      </c>
      <c r="T1539" s="2" t="s">
        <v>231</v>
      </c>
      <c r="U1539" s="2" t="s">
        <v>231</v>
      </c>
      <c r="V1539" s="2" t="s">
        <v>662</v>
      </c>
      <c r="W1539" s="2" t="s">
        <v>231</v>
      </c>
      <c r="X1539" s="2" t="s">
        <v>231</v>
      </c>
      <c r="Y1539" s="2" t="s">
        <v>2701</v>
      </c>
      <c r="Z1539" s="4">
        <v>38</v>
      </c>
      <c r="AA1539" s="4">
        <f>=ROUNDDOWN(9.5,0)</f>
      </c>
      <c r="AB1539" s="5">
        <v>4</v>
      </c>
      <c r="AC1539" s="2" t="s">
        <v>3921</v>
      </c>
      <c r="AD1539" s="4">
        <v>208</v>
      </c>
      <c r="AE1539" s="4">
        <v>208</v>
      </c>
      <c r="AF1539" s="6"/>
      <c r="AG1539" s="6">
        <v>48</v>
      </c>
      <c r="AH1539" s="7">
        <v>1</v>
      </c>
      <c r="AI1539" s="4"/>
      <c r="AJ1539" s="4">
        <f>=ROUNDDOWN({0},0)</f>
      </c>
      <c r="AK1539" s="5"/>
      <c r="AL1539" s="2" t="s">
        <v>231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231</v>
      </c>
      <c r="AW1539" s="8" t="s">
        <v>231</v>
      </c>
      <c r="AX1539" s="4" t="s">
        <v>231</v>
      </c>
      <c r="AY1539" s="8" t="s">
        <v>231</v>
      </c>
      <c r="AZ1539" s="7" t="s">
        <v>231</v>
      </c>
      <c r="BA1539" s="7" t="s">
        <v>231</v>
      </c>
      <c r="BB1539" s="7"/>
      <c r="BC1539" s="4" t="s">
        <v>231</v>
      </c>
      <c r="BD1539" s="8" t="s">
        <v>231</v>
      </c>
      <c r="BE1539" s="4" t="s">
        <v>231</v>
      </c>
      <c r="BF1539" s="8" t="s">
        <v>231</v>
      </c>
      <c r="BG1539" s="7" t="s">
        <v>231</v>
      </c>
      <c r="BH1539" s="7" t="s">
        <v>231</v>
      </c>
      <c r="BI1539" s="7"/>
      <c r="BJ1539" s="4">
        <v>3</v>
      </c>
      <c r="BK1539" s="8">
        <v>71.4</v>
      </c>
      <c r="BL1539" s="2" t="s">
        <v>1206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7177</v>
      </c>
      <c r="BV1539" s="2" t="s">
        <v>231</v>
      </c>
      <c r="BW1539" s="2" t="s">
        <v>231</v>
      </c>
      <c r="BX1539" s="2" t="s">
        <v>241</v>
      </c>
      <c r="BY1539" s="2" t="s">
        <v>277</v>
      </c>
      <c r="BZ1539" s="2" t="s">
        <v>243</v>
      </c>
      <c r="CA1539" s="2" t="s">
        <v>960</v>
      </c>
      <c r="CB1539" s="2" t="s">
        <v>231</v>
      </c>
      <c r="CC1539" s="2" t="s">
        <v>244</v>
      </c>
      <c r="CD1539" s="2" t="s">
        <v>231</v>
      </c>
      <c r="CE1539" s="4"/>
      <c r="CF1539" s="4"/>
      <c r="CG1539" s="4"/>
      <c r="CH1539" s="4"/>
      <c r="CI1539" s="4">
        <v>38</v>
      </c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>
        <v>208</v>
      </c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</row>
    <row r="1540">
      <c r="A1540" s="2" t="s">
        <v>7178</v>
      </c>
      <c r="B1540" s="2" t="s">
        <v>2695</v>
      </c>
      <c r="C1540" s="2" t="s">
        <v>815</v>
      </c>
      <c r="D1540" s="2" t="s">
        <v>2696</v>
      </c>
      <c r="E1540" s="2" t="s">
        <v>2697</v>
      </c>
      <c r="F1540" s="2" t="s">
        <v>7159</v>
      </c>
      <c r="G1540" s="2" t="s">
        <v>231</v>
      </c>
      <c r="H1540" s="2" t="s">
        <v>231</v>
      </c>
      <c r="I1540" s="2" t="s">
        <v>7160</v>
      </c>
      <c r="J1540" s="2" t="s">
        <v>2699</v>
      </c>
      <c r="K1540" s="2" t="s">
        <v>7176</v>
      </c>
      <c r="L1540" s="3">
        <v>19.21</v>
      </c>
      <c r="M1540" s="3">
        <v>20.17</v>
      </c>
      <c r="N1540" s="3">
        <v>29.99</v>
      </c>
      <c r="O1540" s="2" t="s">
        <v>243</v>
      </c>
      <c r="P1540" s="2" t="s">
        <v>241</v>
      </c>
      <c r="Q1540" s="2" t="s">
        <v>237</v>
      </c>
      <c r="R1540" s="2" t="s">
        <v>231</v>
      </c>
      <c r="S1540" s="2" t="s">
        <v>231</v>
      </c>
      <c r="T1540" s="2" t="s">
        <v>231</v>
      </c>
      <c r="U1540" s="2" t="s">
        <v>231</v>
      </c>
      <c r="V1540" s="2" t="s">
        <v>662</v>
      </c>
      <c r="W1540" s="2" t="s">
        <v>231</v>
      </c>
      <c r="X1540" s="2" t="s">
        <v>231</v>
      </c>
      <c r="Y1540" s="2" t="s">
        <v>2701</v>
      </c>
      <c r="Z1540" s="4">
        <v>109</v>
      </c>
      <c r="AA1540" s="4">
        <f>=ROUNDDOWN(21.8,0)</f>
      </c>
      <c r="AB1540" s="5">
        <v>5</v>
      </c>
      <c r="AC1540" s="2" t="s">
        <v>3921</v>
      </c>
      <c r="AD1540" s="4">
        <v>432</v>
      </c>
      <c r="AE1540" s="4">
        <v>432</v>
      </c>
      <c r="AF1540" s="6"/>
      <c r="AG1540" s="6">
        <v>48</v>
      </c>
      <c r="AH1540" s="7">
        <v>1</v>
      </c>
      <c r="AI1540" s="4"/>
      <c r="AJ1540" s="4">
        <f>=ROUNDDOWN({0},0)</f>
      </c>
      <c r="AK1540" s="5"/>
      <c r="AL1540" s="2" t="s">
        <v>231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231</v>
      </c>
      <c r="AW1540" s="8" t="s">
        <v>231</v>
      </c>
      <c r="AX1540" s="4" t="s">
        <v>231</v>
      </c>
      <c r="AY1540" s="8" t="s">
        <v>231</v>
      </c>
      <c r="AZ1540" s="7" t="s">
        <v>231</v>
      </c>
      <c r="BA1540" s="7" t="s">
        <v>231</v>
      </c>
      <c r="BB1540" s="7"/>
      <c r="BC1540" s="4" t="s">
        <v>231</v>
      </c>
      <c r="BD1540" s="8" t="s">
        <v>231</v>
      </c>
      <c r="BE1540" s="4" t="s">
        <v>231</v>
      </c>
      <c r="BF1540" s="8" t="s">
        <v>231</v>
      </c>
      <c r="BG1540" s="7" t="s">
        <v>231</v>
      </c>
      <c r="BH1540" s="7" t="s">
        <v>231</v>
      </c>
      <c r="BI1540" s="7"/>
      <c r="BJ1540" s="4">
        <v>5</v>
      </c>
      <c r="BK1540" s="8">
        <v>119</v>
      </c>
      <c r="BL1540" s="2" t="s">
        <v>4671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7179</v>
      </c>
      <c r="BV1540" s="2" t="s">
        <v>231</v>
      </c>
      <c r="BW1540" s="2" t="s">
        <v>231</v>
      </c>
      <c r="BX1540" s="2" t="s">
        <v>241</v>
      </c>
      <c r="BY1540" s="2" t="s">
        <v>277</v>
      </c>
      <c r="BZ1540" s="2" t="s">
        <v>243</v>
      </c>
      <c r="CA1540" s="2" t="s">
        <v>960</v>
      </c>
      <c r="CB1540" s="2" t="s">
        <v>231</v>
      </c>
      <c r="CC1540" s="2" t="s">
        <v>244</v>
      </c>
      <c r="CD1540" s="2" t="s">
        <v>231</v>
      </c>
      <c r="CE1540" s="4"/>
      <c r="CF1540" s="4"/>
      <c r="CG1540" s="4"/>
      <c r="CH1540" s="4"/>
      <c r="CI1540" s="4">
        <v>109</v>
      </c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>
        <v>432</v>
      </c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</row>
    <row r="1541">
      <c r="A1541" s="2" t="s">
        <v>7180</v>
      </c>
      <c r="B1541" s="2" t="s">
        <v>2695</v>
      </c>
      <c r="C1541" s="2" t="s">
        <v>815</v>
      </c>
      <c r="D1541" s="2" t="s">
        <v>2696</v>
      </c>
      <c r="E1541" s="2" t="s">
        <v>2697</v>
      </c>
      <c r="F1541" s="2" t="s">
        <v>7159</v>
      </c>
      <c r="G1541" s="2" t="s">
        <v>231</v>
      </c>
      <c r="H1541" s="2" t="s">
        <v>231</v>
      </c>
      <c r="I1541" s="2" t="s">
        <v>7160</v>
      </c>
      <c r="J1541" s="2" t="s">
        <v>1238</v>
      </c>
      <c r="K1541" s="2" t="s">
        <v>7176</v>
      </c>
      <c r="L1541" s="3">
        <v>19.21</v>
      </c>
      <c r="M1541" s="3">
        <v>20.17</v>
      </c>
      <c r="N1541" s="3">
        <v>29.99</v>
      </c>
      <c r="O1541" s="2" t="s">
        <v>243</v>
      </c>
      <c r="P1541" s="2" t="s">
        <v>241</v>
      </c>
      <c r="Q1541" s="2" t="s">
        <v>237</v>
      </c>
      <c r="R1541" s="2" t="s">
        <v>231</v>
      </c>
      <c r="S1541" s="2" t="s">
        <v>231</v>
      </c>
      <c r="T1541" s="2" t="s">
        <v>231</v>
      </c>
      <c r="U1541" s="2" t="s">
        <v>231</v>
      </c>
      <c r="V1541" s="2" t="s">
        <v>662</v>
      </c>
      <c r="W1541" s="2" t="s">
        <v>231</v>
      </c>
      <c r="X1541" s="2" t="s">
        <v>231</v>
      </c>
      <c r="Y1541" s="2" t="s">
        <v>2701</v>
      </c>
      <c r="Z1541" s="4">
        <v>28</v>
      </c>
      <c r="AA1541" s="4">
        <f>=ROUNDDOWN(3.5,0)</f>
      </c>
      <c r="AB1541" s="5">
        <v>8</v>
      </c>
      <c r="AC1541" s="2" t="s">
        <v>3921</v>
      </c>
      <c r="AD1541" s="4">
        <v>384</v>
      </c>
      <c r="AE1541" s="4">
        <v>384</v>
      </c>
      <c r="AF1541" s="6"/>
      <c r="AG1541" s="6">
        <v>48</v>
      </c>
      <c r="AH1541" s="7">
        <v>1</v>
      </c>
      <c r="AI1541" s="4"/>
      <c r="AJ1541" s="4">
        <f>=ROUNDDOWN({0},0)</f>
      </c>
      <c r="AK1541" s="5"/>
      <c r="AL1541" s="2" t="s">
        <v>231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231</v>
      </c>
      <c r="AW1541" s="8" t="s">
        <v>231</v>
      </c>
      <c r="AX1541" s="4" t="s">
        <v>231</v>
      </c>
      <c r="AY1541" s="8" t="s">
        <v>231</v>
      </c>
      <c r="AZ1541" s="7" t="s">
        <v>231</v>
      </c>
      <c r="BA1541" s="7" t="s">
        <v>231</v>
      </c>
      <c r="BB1541" s="7"/>
      <c r="BC1541" s="4" t="s">
        <v>231</v>
      </c>
      <c r="BD1541" s="8" t="s">
        <v>231</v>
      </c>
      <c r="BE1541" s="4" t="s">
        <v>231</v>
      </c>
      <c r="BF1541" s="8" t="s">
        <v>231</v>
      </c>
      <c r="BG1541" s="7" t="s">
        <v>231</v>
      </c>
      <c r="BH1541" s="7" t="s">
        <v>231</v>
      </c>
      <c r="BI1541" s="7"/>
      <c r="BJ1541" s="4">
        <v>12</v>
      </c>
      <c r="BK1541" s="8">
        <v>276.8</v>
      </c>
      <c r="BL1541" s="2" t="s">
        <v>4671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7181</v>
      </c>
      <c r="BV1541" s="2" t="s">
        <v>231</v>
      </c>
      <c r="BW1541" s="2" t="s">
        <v>231</v>
      </c>
      <c r="BX1541" s="2" t="s">
        <v>241</v>
      </c>
      <c r="BY1541" s="2" t="s">
        <v>277</v>
      </c>
      <c r="BZ1541" s="2" t="s">
        <v>243</v>
      </c>
      <c r="CA1541" s="2" t="s">
        <v>960</v>
      </c>
      <c r="CB1541" s="2" t="s">
        <v>7182</v>
      </c>
      <c r="CC1541" s="2" t="s">
        <v>244</v>
      </c>
      <c r="CD1541" s="2" t="s">
        <v>231</v>
      </c>
      <c r="CE1541" s="4"/>
      <c r="CF1541" s="4"/>
      <c r="CG1541" s="4"/>
      <c r="CH1541" s="4"/>
      <c r="CI1541" s="4">
        <v>28</v>
      </c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>
        <v>384</v>
      </c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</row>
    <row r="1542">
      <c r="A1542" s="2" t="s">
        <v>7183</v>
      </c>
      <c r="B1542" s="2" t="s">
        <v>2695</v>
      </c>
      <c r="C1542" s="2" t="s">
        <v>815</v>
      </c>
      <c r="D1542" s="2" t="s">
        <v>2696</v>
      </c>
      <c r="E1542" s="2" t="s">
        <v>2697</v>
      </c>
      <c r="F1542" s="2" t="s">
        <v>7159</v>
      </c>
      <c r="G1542" s="2" t="s">
        <v>231</v>
      </c>
      <c r="H1542" s="2" t="s">
        <v>231</v>
      </c>
      <c r="I1542" s="2" t="s">
        <v>7160</v>
      </c>
      <c r="J1542" s="2" t="s">
        <v>1245</v>
      </c>
      <c r="K1542" s="2" t="s">
        <v>7176</v>
      </c>
      <c r="L1542" s="3">
        <v>19.21</v>
      </c>
      <c r="M1542" s="3">
        <v>20.17</v>
      </c>
      <c r="N1542" s="3">
        <v>29.99</v>
      </c>
      <c r="O1542" s="2" t="s">
        <v>243</v>
      </c>
      <c r="P1542" s="2" t="s">
        <v>241</v>
      </c>
      <c r="Q1542" s="2" t="s">
        <v>237</v>
      </c>
      <c r="R1542" s="2" t="s">
        <v>231</v>
      </c>
      <c r="S1542" s="2" t="s">
        <v>231</v>
      </c>
      <c r="T1542" s="2" t="s">
        <v>231</v>
      </c>
      <c r="U1542" s="2" t="s">
        <v>231</v>
      </c>
      <c r="V1542" s="2" t="s">
        <v>662</v>
      </c>
      <c r="W1542" s="2" t="s">
        <v>231</v>
      </c>
      <c r="X1542" s="2" t="s">
        <v>231</v>
      </c>
      <c r="Y1542" s="2" t="s">
        <v>2701</v>
      </c>
      <c r="Z1542" s="4"/>
      <c r="AA1542" s="4">
        <f>=ROUNDDOWN({0},0)</f>
      </c>
      <c r="AB1542" s="5">
        <v>7</v>
      </c>
      <c r="AC1542" s="2" t="s">
        <v>3921</v>
      </c>
      <c r="AD1542" s="4">
        <v>384</v>
      </c>
      <c r="AE1542" s="4">
        <v>384</v>
      </c>
      <c r="AF1542" s="6"/>
      <c r="AG1542" s="6">
        <v>48</v>
      </c>
      <c r="AH1542" s="7">
        <v>0</v>
      </c>
      <c r="AI1542" s="4"/>
      <c r="AJ1542" s="4">
        <f>=ROUNDDOWN({0},0)</f>
      </c>
      <c r="AK1542" s="5"/>
      <c r="AL1542" s="2" t="s">
        <v>231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231</v>
      </c>
      <c r="AW1542" s="8" t="s">
        <v>231</v>
      </c>
      <c r="AX1542" s="4" t="s">
        <v>231</v>
      </c>
      <c r="AY1542" s="8" t="s">
        <v>231</v>
      </c>
      <c r="AZ1542" s="7" t="s">
        <v>231</v>
      </c>
      <c r="BA1542" s="7" t="s">
        <v>231</v>
      </c>
      <c r="BB1542" s="7"/>
      <c r="BC1542" s="4" t="s">
        <v>231</v>
      </c>
      <c r="BD1542" s="8" t="s">
        <v>231</v>
      </c>
      <c r="BE1542" s="4" t="s">
        <v>231</v>
      </c>
      <c r="BF1542" s="8" t="s">
        <v>231</v>
      </c>
      <c r="BG1542" s="7" t="s">
        <v>231</v>
      </c>
      <c r="BH1542" s="7" t="s">
        <v>231</v>
      </c>
      <c r="BI1542" s="7"/>
      <c r="BJ1542" s="4"/>
      <c r="BK1542" s="8"/>
      <c r="BL1542" s="2" t="s">
        <v>231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7184</v>
      </c>
      <c r="BV1542" s="2" t="s">
        <v>231</v>
      </c>
      <c r="BW1542" s="2" t="s">
        <v>231</v>
      </c>
      <c r="BX1542" s="2" t="s">
        <v>241</v>
      </c>
      <c r="BY1542" s="2" t="s">
        <v>277</v>
      </c>
      <c r="BZ1542" s="2" t="s">
        <v>243</v>
      </c>
      <c r="CA1542" s="2" t="s">
        <v>960</v>
      </c>
      <c r="CB1542" s="2" t="s">
        <v>5480</v>
      </c>
      <c r="CC1542" s="2" t="s">
        <v>244</v>
      </c>
      <c r="CD1542" s="2" t="s">
        <v>231</v>
      </c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>
        <v>384</v>
      </c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</row>
    <row r="1543">
      <c r="A1543" s="2" t="s">
        <v>7185</v>
      </c>
      <c r="B1543" s="2" t="s">
        <v>2695</v>
      </c>
      <c r="C1543" s="2" t="s">
        <v>815</v>
      </c>
      <c r="D1543" s="2" t="s">
        <v>2696</v>
      </c>
      <c r="E1543" s="2" t="s">
        <v>2697</v>
      </c>
      <c r="F1543" s="2" t="s">
        <v>7159</v>
      </c>
      <c r="G1543" s="2" t="s">
        <v>231</v>
      </c>
      <c r="H1543" s="2" t="s">
        <v>231</v>
      </c>
      <c r="I1543" s="2" t="s">
        <v>7160</v>
      </c>
      <c r="J1543" s="2" t="s">
        <v>1249</v>
      </c>
      <c r="K1543" s="2" t="s">
        <v>7176</v>
      </c>
      <c r="L1543" s="3">
        <v>19.21</v>
      </c>
      <c r="M1543" s="3">
        <v>20.17</v>
      </c>
      <c r="N1543" s="3">
        <v>29.99</v>
      </c>
      <c r="O1543" s="2" t="s">
        <v>243</v>
      </c>
      <c r="P1543" s="2" t="s">
        <v>241</v>
      </c>
      <c r="Q1543" s="2" t="s">
        <v>237</v>
      </c>
      <c r="R1543" s="2" t="s">
        <v>231</v>
      </c>
      <c r="S1543" s="2" t="s">
        <v>231</v>
      </c>
      <c r="T1543" s="2" t="s">
        <v>231</v>
      </c>
      <c r="U1543" s="2" t="s">
        <v>231</v>
      </c>
      <c r="V1543" s="2" t="s">
        <v>662</v>
      </c>
      <c r="W1543" s="2" t="s">
        <v>231</v>
      </c>
      <c r="X1543" s="2" t="s">
        <v>231</v>
      </c>
      <c r="Y1543" s="2" t="s">
        <v>2701</v>
      </c>
      <c r="Z1543" s="4"/>
      <c r="AA1543" s="4">
        <f>=ROUNDDOWN({0},0)</f>
      </c>
      <c r="AB1543" s="5">
        <v>8</v>
      </c>
      <c r="AC1543" s="2" t="s">
        <v>3921</v>
      </c>
      <c r="AD1543" s="4">
        <v>384</v>
      </c>
      <c r="AE1543" s="4">
        <v>384</v>
      </c>
      <c r="AF1543" s="6"/>
      <c r="AG1543" s="6">
        <v>48</v>
      </c>
      <c r="AH1543" s="7">
        <v>0</v>
      </c>
      <c r="AI1543" s="4"/>
      <c r="AJ1543" s="4">
        <f>=ROUNDDOWN({0},0)</f>
      </c>
      <c r="AK1543" s="5"/>
      <c r="AL1543" s="2" t="s">
        <v>231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231</v>
      </c>
      <c r="AW1543" s="8" t="s">
        <v>231</v>
      </c>
      <c r="AX1543" s="4" t="s">
        <v>231</v>
      </c>
      <c r="AY1543" s="8" t="s">
        <v>231</v>
      </c>
      <c r="AZ1543" s="7" t="s">
        <v>231</v>
      </c>
      <c r="BA1543" s="7" t="s">
        <v>231</v>
      </c>
      <c r="BB1543" s="7"/>
      <c r="BC1543" s="4" t="s">
        <v>231</v>
      </c>
      <c r="BD1543" s="8" t="s">
        <v>231</v>
      </c>
      <c r="BE1543" s="4" t="s">
        <v>231</v>
      </c>
      <c r="BF1543" s="8" t="s">
        <v>231</v>
      </c>
      <c r="BG1543" s="7" t="s">
        <v>231</v>
      </c>
      <c r="BH1543" s="7" t="s">
        <v>231</v>
      </c>
      <c r="BI1543" s="7"/>
      <c r="BJ1543" s="4"/>
      <c r="BK1543" s="8"/>
      <c r="BL1543" s="2" t="s">
        <v>231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7186</v>
      </c>
      <c r="BV1543" s="2" t="s">
        <v>231</v>
      </c>
      <c r="BW1543" s="2" t="s">
        <v>231</v>
      </c>
      <c r="BX1543" s="2" t="s">
        <v>241</v>
      </c>
      <c r="BY1543" s="2" t="s">
        <v>277</v>
      </c>
      <c r="BZ1543" s="2" t="s">
        <v>243</v>
      </c>
      <c r="CA1543" s="2" t="s">
        <v>960</v>
      </c>
      <c r="CB1543" s="2" t="s">
        <v>231</v>
      </c>
      <c r="CC1543" s="2" t="s">
        <v>244</v>
      </c>
      <c r="CD1543" s="2" t="s">
        <v>231</v>
      </c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>
        <v>384</v>
      </c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</row>
    <row r="1544">
      <c r="A1544" s="2" t="s">
        <v>7187</v>
      </c>
      <c r="B1544" s="2" t="s">
        <v>2695</v>
      </c>
      <c r="C1544" s="2" t="s">
        <v>815</v>
      </c>
      <c r="D1544" s="2" t="s">
        <v>2696</v>
      </c>
      <c r="E1544" s="2" t="s">
        <v>2697</v>
      </c>
      <c r="F1544" s="2" t="s">
        <v>7159</v>
      </c>
      <c r="G1544" s="2" t="s">
        <v>231</v>
      </c>
      <c r="H1544" s="2" t="s">
        <v>231</v>
      </c>
      <c r="I1544" s="2" t="s">
        <v>7160</v>
      </c>
      <c r="J1544" s="2" t="s">
        <v>7173</v>
      </c>
      <c r="K1544" s="2" t="s">
        <v>7176</v>
      </c>
      <c r="L1544" s="3">
        <v>19.21</v>
      </c>
      <c r="M1544" s="3">
        <v>20.17</v>
      </c>
      <c r="N1544" s="3">
        <v>29.99</v>
      </c>
      <c r="O1544" s="2" t="s">
        <v>243</v>
      </c>
      <c r="P1544" s="2" t="s">
        <v>241</v>
      </c>
      <c r="Q1544" s="2" t="s">
        <v>237</v>
      </c>
      <c r="R1544" s="2" t="s">
        <v>231</v>
      </c>
      <c r="S1544" s="2" t="s">
        <v>231</v>
      </c>
      <c r="T1544" s="2" t="s">
        <v>231</v>
      </c>
      <c r="U1544" s="2" t="s">
        <v>231</v>
      </c>
      <c r="V1544" s="2" t="s">
        <v>662</v>
      </c>
      <c r="W1544" s="2" t="s">
        <v>231</v>
      </c>
      <c r="X1544" s="2" t="s">
        <v>231</v>
      </c>
      <c r="Y1544" s="2" t="s">
        <v>2701</v>
      </c>
      <c r="Z1544" s="4"/>
      <c r="AA1544" s="4">
        <f>=ROUNDDOWN({0},0)</f>
      </c>
      <c r="AB1544" s="5">
        <v>9</v>
      </c>
      <c r="AC1544" s="2" t="s">
        <v>3921</v>
      </c>
      <c r="AD1544" s="4">
        <v>112</v>
      </c>
      <c r="AE1544" s="4">
        <v>112</v>
      </c>
      <c r="AF1544" s="6"/>
      <c r="AG1544" s="6">
        <v>48</v>
      </c>
      <c r="AH1544" s="7">
        <v>0</v>
      </c>
      <c r="AI1544" s="4"/>
      <c r="AJ1544" s="4">
        <f>=ROUNDDOWN({0},0)</f>
      </c>
      <c r="AK1544" s="5"/>
      <c r="AL1544" s="2" t="s">
        <v>231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231</v>
      </c>
      <c r="AW1544" s="8" t="s">
        <v>231</v>
      </c>
      <c r="AX1544" s="4" t="s">
        <v>231</v>
      </c>
      <c r="AY1544" s="8" t="s">
        <v>231</v>
      </c>
      <c r="AZ1544" s="7" t="s">
        <v>231</v>
      </c>
      <c r="BA1544" s="7" t="s">
        <v>231</v>
      </c>
      <c r="BB1544" s="7"/>
      <c r="BC1544" s="4" t="s">
        <v>231</v>
      </c>
      <c r="BD1544" s="8" t="s">
        <v>231</v>
      </c>
      <c r="BE1544" s="4" t="s">
        <v>231</v>
      </c>
      <c r="BF1544" s="8" t="s">
        <v>231</v>
      </c>
      <c r="BG1544" s="7" t="s">
        <v>231</v>
      </c>
      <c r="BH1544" s="7" t="s">
        <v>231</v>
      </c>
      <c r="BI1544" s="7"/>
      <c r="BJ1544" s="4"/>
      <c r="BK1544" s="8"/>
      <c r="BL1544" s="2" t="s">
        <v>2565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7188</v>
      </c>
      <c r="BV1544" s="2" t="s">
        <v>231</v>
      </c>
      <c r="BW1544" s="2" t="s">
        <v>231</v>
      </c>
      <c r="BX1544" s="2" t="s">
        <v>241</v>
      </c>
      <c r="BY1544" s="2" t="s">
        <v>277</v>
      </c>
      <c r="BZ1544" s="2" t="s">
        <v>243</v>
      </c>
      <c r="CA1544" s="2" t="s">
        <v>960</v>
      </c>
      <c r="CB1544" s="2" t="s">
        <v>3201</v>
      </c>
      <c r="CC1544" s="2" t="s">
        <v>244</v>
      </c>
      <c r="CD1544" s="2" t="s">
        <v>231</v>
      </c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>
        <v>112</v>
      </c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</row>
    <row r="1545">
      <c r="A1545" s="2" t="s">
        <v>7189</v>
      </c>
      <c r="B1545" s="2" t="s">
        <v>2695</v>
      </c>
      <c r="C1545" s="2" t="s">
        <v>815</v>
      </c>
      <c r="D1545" s="2" t="s">
        <v>2696</v>
      </c>
      <c r="E1545" s="2" t="s">
        <v>2697</v>
      </c>
      <c r="F1545" s="2" t="s">
        <v>7159</v>
      </c>
      <c r="G1545" s="2" t="s">
        <v>231</v>
      </c>
      <c r="H1545" s="2" t="s">
        <v>231</v>
      </c>
      <c r="I1545" s="2" t="s">
        <v>7160</v>
      </c>
      <c r="J1545" s="2" t="s">
        <v>7161</v>
      </c>
      <c r="K1545" s="2" t="s">
        <v>7190</v>
      </c>
      <c r="L1545" s="3">
        <v>19.21</v>
      </c>
      <c r="M1545" s="3">
        <v>20.17</v>
      </c>
      <c r="N1545" s="3">
        <v>29.99</v>
      </c>
      <c r="O1545" s="2" t="s">
        <v>243</v>
      </c>
      <c r="P1545" s="2" t="s">
        <v>241</v>
      </c>
      <c r="Q1545" s="2" t="s">
        <v>237</v>
      </c>
      <c r="R1545" s="2" t="s">
        <v>231</v>
      </c>
      <c r="S1545" s="2" t="s">
        <v>231</v>
      </c>
      <c r="T1545" s="2" t="s">
        <v>231</v>
      </c>
      <c r="U1545" s="2" t="s">
        <v>231</v>
      </c>
      <c r="V1545" s="2" t="s">
        <v>662</v>
      </c>
      <c r="W1545" s="2" t="s">
        <v>231</v>
      </c>
      <c r="X1545" s="2" t="s">
        <v>231</v>
      </c>
      <c r="Y1545" s="2" t="s">
        <v>2701</v>
      </c>
      <c r="Z1545" s="4">
        <v>63</v>
      </c>
      <c r="AA1545" s="4">
        <f>=ROUNDDOWN(15.75,0)</f>
      </c>
      <c r="AB1545" s="5">
        <v>4</v>
      </c>
      <c r="AC1545" s="2" t="s">
        <v>3921</v>
      </c>
      <c r="AD1545" s="4">
        <v>176</v>
      </c>
      <c r="AE1545" s="4">
        <v>176</v>
      </c>
      <c r="AF1545" s="6"/>
      <c r="AG1545" s="6">
        <v>48</v>
      </c>
      <c r="AH1545" s="7">
        <v>1</v>
      </c>
      <c r="AI1545" s="4"/>
      <c r="AJ1545" s="4">
        <f>=ROUNDDOWN({0},0)</f>
      </c>
      <c r="AK1545" s="5"/>
      <c r="AL1545" s="2" t="s">
        <v>231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231</v>
      </c>
      <c r="AW1545" s="8" t="s">
        <v>231</v>
      </c>
      <c r="AX1545" s="4" t="s">
        <v>231</v>
      </c>
      <c r="AY1545" s="8" t="s">
        <v>231</v>
      </c>
      <c r="AZ1545" s="7" t="s">
        <v>231</v>
      </c>
      <c r="BA1545" s="7" t="s">
        <v>231</v>
      </c>
      <c r="BB1545" s="7"/>
      <c r="BC1545" s="4" t="s">
        <v>231</v>
      </c>
      <c r="BD1545" s="8" t="s">
        <v>231</v>
      </c>
      <c r="BE1545" s="4" t="s">
        <v>231</v>
      </c>
      <c r="BF1545" s="8" t="s">
        <v>231</v>
      </c>
      <c r="BG1545" s="7" t="s">
        <v>231</v>
      </c>
      <c r="BH1545" s="7" t="s">
        <v>231</v>
      </c>
      <c r="BI1545" s="7"/>
      <c r="BJ1545" s="4">
        <v>3</v>
      </c>
      <c r="BK1545" s="8">
        <v>62.6</v>
      </c>
      <c r="BL1545" s="2" t="s">
        <v>4671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7191</v>
      </c>
      <c r="BV1545" s="2" t="s">
        <v>231</v>
      </c>
      <c r="BW1545" s="2" t="s">
        <v>231</v>
      </c>
      <c r="BX1545" s="2" t="s">
        <v>241</v>
      </c>
      <c r="BY1545" s="2" t="s">
        <v>277</v>
      </c>
      <c r="BZ1545" s="2" t="s">
        <v>243</v>
      </c>
      <c r="CA1545" s="2" t="s">
        <v>960</v>
      </c>
      <c r="CB1545" s="2" t="s">
        <v>231</v>
      </c>
      <c r="CC1545" s="2" t="s">
        <v>244</v>
      </c>
      <c r="CD1545" s="2" t="s">
        <v>231</v>
      </c>
      <c r="CE1545" s="4"/>
      <c r="CF1545" s="4"/>
      <c r="CG1545" s="4"/>
      <c r="CH1545" s="4"/>
      <c r="CI1545" s="4">
        <v>63</v>
      </c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>
        <v>176</v>
      </c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</row>
    <row r="1546">
      <c r="A1546" s="2" t="s">
        <v>7192</v>
      </c>
      <c r="B1546" s="2" t="s">
        <v>2695</v>
      </c>
      <c r="C1546" s="2" t="s">
        <v>815</v>
      </c>
      <c r="D1546" s="2" t="s">
        <v>2696</v>
      </c>
      <c r="E1546" s="2" t="s">
        <v>2697</v>
      </c>
      <c r="F1546" s="2" t="s">
        <v>7159</v>
      </c>
      <c r="G1546" s="2" t="s">
        <v>231</v>
      </c>
      <c r="H1546" s="2" t="s">
        <v>231</v>
      </c>
      <c r="I1546" s="2" t="s">
        <v>7160</v>
      </c>
      <c r="J1546" s="2" t="s">
        <v>1238</v>
      </c>
      <c r="K1546" s="2" t="s">
        <v>7190</v>
      </c>
      <c r="L1546" s="3">
        <v>19.21</v>
      </c>
      <c r="M1546" s="3">
        <v>20.17</v>
      </c>
      <c r="N1546" s="3">
        <v>29.99</v>
      </c>
      <c r="O1546" s="2" t="s">
        <v>243</v>
      </c>
      <c r="P1546" s="2" t="s">
        <v>241</v>
      </c>
      <c r="Q1546" s="2" t="s">
        <v>237</v>
      </c>
      <c r="R1546" s="2" t="s">
        <v>231</v>
      </c>
      <c r="S1546" s="2" t="s">
        <v>231</v>
      </c>
      <c r="T1546" s="2" t="s">
        <v>231</v>
      </c>
      <c r="U1546" s="2" t="s">
        <v>231</v>
      </c>
      <c r="V1546" s="2" t="s">
        <v>662</v>
      </c>
      <c r="W1546" s="2" t="s">
        <v>231</v>
      </c>
      <c r="X1546" s="2" t="s">
        <v>231</v>
      </c>
      <c r="Y1546" s="2" t="s">
        <v>2701</v>
      </c>
      <c r="Z1546" s="4">
        <v>61</v>
      </c>
      <c r="AA1546" s="4">
        <f>=ROUNDDOWN(5.08333333333333,0)</f>
      </c>
      <c r="AB1546" s="5">
        <v>12</v>
      </c>
      <c r="AC1546" s="2" t="s">
        <v>3921</v>
      </c>
      <c r="AD1546" s="4">
        <v>480</v>
      </c>
      <c r="AE1546" s="4">
        <v>480</v>
      </c>
      <c r="AF1546" s="6"/>
      <c r="AG1546" s="6">
        <v>48</v>
      </c>
      <c r="AH1546" s="7">
        <v>1</v>
      </c>
      <c r="AI1546" s="4"/>
      <c r="AJ1546" s="4">
        <f>=ROUNDDOWN({0},0)</f>
      </c>
      <c r="AK1546" s="5"/>
      <c r="AL1546" s="2" t="s">
        <v>231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231</v>
      </c>
      <c r="AW1546" s="8" t="s">
        <v>231</v>
      </c>
      <c r="AX1546" s="4" t="s">
        <v>231</v>
      </c>
      <c r="AY1546" s="8" t="s">
        <v>231</v>
      </c>
      <c r="AZ1546" s="7" t="s">
        <v>231</v>
      </c>
      <c r="BA1546" s="7" t="s">
        <v>231</v>
      </c>
      <c r="BB1546" s="7"/>
      <c r="BC1546" s="4" t="s">
        <v>231</v>
      </c>
      <c r="BD1546" s="8" t="s">
        <v>231</v>
      </c>
      <c r="BE1546" s="4" t="s">
        <v>231</v>
      </c>
      <c r="BF1546" s="8" t="s">
        <v>231</v>
      </c>
      <c r="BG1546" s="7" t="s">
        <v>231</v>
      </c>
      <c r="BH1546" s="7" t="s">
        <v>231</v>
      </c>
      <c r="BI1546" s="7"/>
      <c r="BJ1546" s="4">
        <v>11</v>
      </c>
      <c r="BK1546" s="8">
        <v>261.8</v>
      </c>
      <c r="BL1546" s="2" t="s">
        <v>4671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7193</v>
      </c>
      <c r="BV1546" s="2" t="s">
        <v>231</v>
      </c>
      <c r="BW1546" s="2" t="s">
        <v>231</v>
      </c>
      <c r="BX1546" s="2" t="s">
        <v>241</v>
      </c>
      <c r="BY1546" s="2" t="s">
        <v>277</v>
      </c>
      <c r="BZ1546" s="2" t="s">
        <v>243</v>
      </c>
      <c r="CA1546" s="2" t="s">
        <v>960</v>
      </c>
      <c r="CB1546" s="2" t="s">
        <v>1119</v>
      </c>
      <c r="CC1546" s="2" t="s">
        <v>244</v>
      </c>
      <c r="CD1546" s="2" t="s">
        <v>231</v>
      </c>
      <c r="CE1546" s="4"/>
      <c r="CF1546" s="4"/>
      <c r="CG1546" s="4"/>
      <c r="CH1546" s="4"/>
      <c r="CI1546" s="4">
        <v>61</v>
      </c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>
        <v>480</v>
      </c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</row>
    <row r="1547">
      <c r="A1547" s="2" t="s">
        <v>7194</v>
      </c>
      <c r="B1547" s="2" t="s">
        <v>2695</v>
      </c>
      <c r="C1547" s="2" t="s">
        <v>815</v>
      </c>
      <c r="D1547" s="2" t="s">
        <v>2696</v>
      </c>
      <c r="E1547" s="2" t="s">
        <v>2697</v>
      </c>
      <c r="F1547" s="2" t="s">
        <v>7159</v>
      </c>
      <c r="G1547" s="2" t="s">
        <v>231</v>
      </c>
      <c r="H1547" s="2" t="s">
        <v>231</v>
      </c>
      <c r="I1547" s="2" t="s">
        <v>7160</v>
      </c>
      <c r="J1547" s="2" t="s">
        <v>1245</v>
      </c>
      <c r="K1547" s="2" t="s">
        <v>7190</v>
      </c>
      <c r="L1547" s="3">
        <v>19.21</v>
      </c>
      <c r="M1547" s="3">
        <v>20.17</v>
      </c>
      <c r="N1547" s="3">
        <v>29.99</v>
      </c>
      <c r="O1547" s="2" t="s">
        <v>243</v>
      </c>
      <c r="P1547" s="2" t="s">
        <v>241</v>
      </c>
      <c r="Q1547" s="2" t="s">
        <v>237</v>
      </c>
      <c r="R1547" s="2" t="s">
        <v>231</v>
      </c>
      <c r="S1547" s="2" t="s">
        <v>231</v>
      </c>
      <c r="T1547" s="2" t="s">
        <v>231</v>
      </c>
      <c r="U1547" s="2" t="s">
        <v>231</v>
      </c>
      <c r="V1547" s="2" t="s">
        <v>662</v>
      </c>
      <c r="W1547" s="2" t="s">
        <v>231</v>
      </c>
      <c r="X1547" s="2" t="s">
        <v>231</v>
      </c>
      <c r="Y1547" s="2" t="s">
        <v>2701</v>
      </c>
      <c r="Z1547" s="4"/>
      <c r="AA1547" s="4">
        <f>=ROUNDDOWN({0},0)</f>
      </c>
      <c r="AB1547" s="5">
        <v>8</v>
      </c>
      <c r="AC1547" s="2" t="s">
        <v>3921</v>
      </c>
      <c r="AD1547" s="4">
        <v>480</v>
      </c>
      <c r="AE1547" s="4">
        <v>480</v>
      </c>
      <c r="AF1547" s="6"/>
      <c r="AG1547" s="6">
        <v>48</v>
      </c>
      <c r="AH1547" s="7">
        <v>0</v>
      </c>
      <c r="AI1547" s="4"/>
      <c r="AJ1547" s="4">
        <f>=ROUNDDOWN({0},0)</f>
      </c>
      <c r="AK1547" s="5"/>
      <c r="AL1547" s="2" t="s">
        <v>231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231</v>
      </c>
      <c r="AW1547" s="8" t="s">
        <v>231</v>
      </c>
      <c r="AX1547" s="4" t="s">
        <v>231</v>
      </c>
      <c r="AY1547" s="8" t="s">
        <v>231</v>
      </c>
      <c r="AZ1547" s="7" t="s">
        <v>231</v>
      </c>
      <c r="BA1547" s="7" t="s">
        <v>231</v>
      </c>
      <c r="BB1547" s="7"/>
      <c r="BC1547" s="4" t="s">
        <v>231</v>
      </c>
      <c r="BD1547" s="8" t="s">
        <v>231</v>
      </c>
      <c r="BE1547" s="4" t="s">
        <v>231</v>
      </c>
      <c r="BF1547" s="8" t="s">
        <v>231</v>
      </c>
      <c r="BG1547" s="7" t="s">
        <v>231</v>
      </c>
      <c r="BH1547" s="7" t="s">
        <v>231</v>
      </c>
      <c r="BI1547" s="7"/>
      <c r="BJ1547" s="4"/>
      <c r="BK1547" s="8"/>
      <c r="BL1547" s="2" t="s">
        <v>231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7195</v>
      </c>
      <c r="BV1547" s="2" t="s">
        <v>231</v>
      </c>
      <c r="BW1547" s="2" t="s">
        <v>231</v>
      </c>
      <c r="BX1547" s="2" t="s">
        <v>241</v>
      </c>
      <c r="BY1547" s="2" t="s">
        <v>277</v>
      </c>
      <c r="BZ1547" s="2" t="s">
        <v>243</v>
      </c>
      <c r="CA1547" s="2" t="s">
        <v>960</v>
      </c>
      <c r="CB1547" s="2" t="s">
        <v>231</v>
      </c>
      <c r="CC1547" s="2" t="s">
        <v>244</v>
      </c>
      <c r="CD1547" s="2" t="s">
        <v>231</v>
      </c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>
        <v>480</v>
      </c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</row>
    <row r="1548">
      <c r="A1548" s="2" t="s">
        <v>7196</v>
      </c>
      <c r="B1548" s="2" t="s">
        <v>2695</v>
      </c>
      <c r="C1548" s="2" t="s">
        <v>815</v>
      </c>
      <c r="D1548" s="2" t="s">
        <v>2696</v>
      </c>
      <c r="E1548" s="2" t="s">
        <v>2697</v>
      </c>
      <c r="F1548" s="2" t="s">
        <v>7159</v>
      </c>
      <c r="G1548" s="2" t="s">
        <v>231</v>
      </c>
      <c r="H1548" s="2" t="s">
        <v>231</v>
      </c>
      <c r="I1548" s="2" t="s">
        <v>7160</v>
      </c>
      <c r="J1548" s="2" t="s">
        <v>1249</v>
      </c>
      <c r="K1548" s="2" t="s">
        <v>7190</v>
      </c>
      <c r="L1548" s="3">
        <v>19.21</v>
      </c>
      <c r="M1548" s="3">
        <v>20.17</v>
      </c>
      <c r="N1548" s="3">
        <v>29.99</v>
      </c>
      <c r="O1548" s="2" t="s">
        <v>243</v>
      </c>
      <c r="P1548" s="2" t="s">
        <v>241</v>
      </c>
      <c r="Q1548" s="2" t="s">
        <v>237</v>
      </c>
      <c r="R1548" s="2" t="s">
        <v>231</v>
      </c>
      <c r="S1548" s="2" t="s">
        <v>231</v>
      </c>
      <c r="T1548" s="2" t="s">
        <v>231</v>
      </c>
      <c r="U1548" s="2" t="s">
        <v>231</v>
      </c>
      <c r="V1548" s="2" t="s">
        <v>662</v>
      </c>
      <c r="W1548" s="2" t="s">
        <v>231</v>
      </c>
      <c r="X1548" s="2" t="s">
        <v>231</v>
      </c>
      <c r="Y1548" s="2" t="s">
        <v>2701</v>
      </c>
      <c r="Z1548" s="4"/>
      <c r="AA1548" s="4">
        <f>=ROUNDDOWN({0},0)</f>
      </c>
      <c r="AB1548" s="5">
        <v>11</v>
      </c>
      <c r="AC1548" s="2" t="s">
        <v>3921</v>
      </c>
      <c r="AD1548" s="4">
        <v>480</v>
      </c>
      <c r="AE1548" s="4">
        <v>480</v>
      </c>
      <c r="AF1548" s="6"/>
      <c r="AG1548" s="6">
        <v>48</v>
      </c>
      <c r="AH1548" s="7">
        <v>0</v>
      </c>
      <c r="AI1548" s="4"/>
      <c r="AJ1548" s="4">
        <f>=ROUNDDOWN({0},0)</f>
      </c>
      <c r="AK1548" s="5"/>
      <c r="AL1548" s="2" t="s">
        <v>231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231</v>
      </c>
      <c r="AW1548" s="8" t="s">
        <v>231</v>
      </c>
      <c r="AX1548" s="4" t="s">
        <v>231</v>
      </c>
      <c r="AY1548" s="8" t="s">
        <v>231</v>
      </c>
      <c r="AZ1548" s="7" t="s">
        <v>231</v>
      </c>
      <c r="BA1548" s="7" t="s">
        <v>231</v>
      </c>
      <c r="BB1548" s="7"/>
      <c r="BC1548" s="4" t="s">
        <v>231</v>
      </c>
      <c r="BD1548" s="8" t="s">
        <v>231</v>
      </c>
      <c r="BE1548" s="4" t="s">
        <v>231</v>
      </c>
      <c r="BF1548" s="8" t="s">
        <v>231</v>
      </c>
      <c r="BG1548" s="7" t="s">
        <v>231</v>
      </c>
      <c r="BH1548" s="7" t="s">
        <v>231</v>
      </c>
      <c r="BI1548" s="7"/>
      <c r="BJ1548" s="4"/>
      <c r="BK1548" s="8"/>
      <c r="BL1548" s="2" t="s">
        <v>231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7197</v>
      </c>
      <c r="BV1548" s="2" t="s">
        <v>231</v>
      </c>
      <c r="BW1548" s="2" t="s">
        <v>231</v>
      </c>
      <c r="BX1548" s="2" t="s">
        <v>241</v>
      </c>
      <c r="BY1548" s="2" t="s">
        <v>277</v>
      </c>
      <c r="BZ1548" s="2" t="s">
        <v>243</v>
      </c>
      <c r="CA1548" s="2" t="s">
        <v>231</v>
      </c>
      <c r="CB1548" s="2" t="s">
        <v>231</v>
      </c>
      <c r="CC1548" s="2" t="s">
        <v>244</v>
      </c>
      <c r="CD1548" s="2" t="s">
        <v>231</v>
      </c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>
        <v>480</v>
      </c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</row>
    <row r="1549">
      <c r="A1549" s="2" t="s">
        <v>7198</v>
      </c>
      <c r="B1549" s="2" t="s">
        <v>2695</v>
      </c>
      <c r="C1549" s="2" t="s">
        <v>815</v>
      </c>
      <c r="D1549" s="2" t="s">
        <v>2696</v>
      </c>
      <c r="E1549" s="2" t="s">
        <v>2697</v>
      </c>
      <c r="F1549" s="2" t="s">
        <v>7159</v>
      </c>
      <c r="G1549" s="2" t="s">
        <v>231</v>
      </c>
      <c r="H1549" s="2" t="s">
        <v>231</v>
      </c>
      <c r="I1549" s="2" t="s">
        <v>7160</v>
      </c>
      <c r="J1549" s="2" t="s">
        <v>7173</v>
      </c>
      <c r="K1549" s="2" t="s">
        <v>7190</v>
      </c>
      <c r="L1549" s="3">
        <v>19.21</v>
      </c>
      <c r="M1549" s="3">
        <v>20.17</v>
      </c>
      <c r="N1549" s="3">
        <v>29.99</v>
      </c>
      <c r="O1549" s="2" t="s">
        <v>243</v>
      </c>
      <c r="P1549" s="2" t="s">
        <v>241</v>
      </c>
      <c r="Q1549" s="2" t="s">
        <v>237</v>
      </c>
      <c r="R1549" s="2" t="s">
        <v>231</v>
      </c>
      <c r="S1549" s="2" t="s">
        <v>231</v>
      </c>
      <c r="T1549" s="2" t="s">
        <v>231</v>
      </c>
      <c r="U1549" s="2" t="s">
        <v>231</v>
      </c>
      <c r="V1549" s="2" t="s">
        <v>662</v>
      </c>
      <c r="W1549" s="2" t="s">
        <v>231</v>
      </c>
      <c r="X1549" s="2" t="s">
        <v>231</v>
      </c>
      <c r="Y1549" s="2" t="s">
        <v>2701</v>
      </c>
      <c r="Z1549" s="4"/>
      <c r="AA1549" s="4">
        <f>=ROUNDDOWN({0},0)</f>
      </c>
      <c r="AB1549" s="5">
        <v>9</v>
      </c>
      <c r="AC1549" s="2" t="s">
        <v>3921</v>
      </c>
      <c r="AD1549" s="4">
        <v>440</v>
      </c>
      <c r="AE1549" s="4">
        <v>440</v>
      </c>
      <c r="AF1549" s="6"/>
      <c r="AG1549" s="6">
        <v>48</v>
      </c>
      <c r="AH1549" s="7">
        <v>0</v>
      </c>
      <c r="AI1549" s="4"/>
      <c r="AJ1549" s="4">
        <f>=ROUNDDOWN({0},0)</f>
      </c>
      <c r="AK1549" s="5"/>
      <c r="AL1549" s="2" t="s">
        <v>231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231</v>
      </c>
      <c r="AW1549" s="8" t="s">
        <v>231</v>
      </c>
      <c r="AX1549" s="4" t="s">
        <v>231</v>
      </c>
      <c r="AY1549" s="8" t="s">
        <v>231</v>
      </c>
      <c r="AZ1549" s="7" t="s">
        <v>231</v>
      </c>
      <c r="BA1549" s="7" t="s">
        <v>231</v>
      </c>
      <c r="BB1549" s="7"/>
      <c r="BC1549" s="4" t="s">
        <v>231</v>
      </c>
      <c r="BD1549" s="8" t="s">
        <v>231</v>
      </c>
      <c r="BE1549" s="4" t="s">
        <v>231</v>
      </c>
      <c r="BF1549" s="8" t="s">
        <v>231</v>
      </c>
      <c r="BG1549" s="7" t="s">
        <v>231</v>
      </c>
      <c r="BH1549" s="7" t="s">
        <v>231</v>
      </c>
      <c r="BI1549" s="7"/>
      <c r="BJ1549" s="4"/>
      <c r="BK1549" s="8"/>
      <c r="BL1549" s="2" t="s">
        <v>231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7199</v>
      </c>
      <c r="BV1549" s="2" t="s">
        <v>231</v>
      </c>
      <c r="BW1549" s="2" t="s">
        <v>231</v>
      </c>
      <c r="BX1549" s="2" t="s">
        <v>241</v>
      </c>
      <c r="BY1549" s="2" t="s">
        <v>277</v>
      </c>
      <c r="BZ1549" s="2" t="s">
        <v>243</v>
      </c>
      <c r="CA1549" s="2" t="s">
        <v>960</v>
      </c>
      <c r="CB1549" s="2" t="s">
        <v>231</v>
      </c>
      <c r="CC1549" s="2" t="s">
        <v>244</v>
      </c>
      <c r="CD1549" s="2" t="s">
        <v>231</v>
      </c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>
        <v>440</v>
      </c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</row>
    <row r="1550">
      <c r="A1550" s="2" t="s">
        <v>7200</v>
      </c>
      <c r="B1550" s="2" t="s">
        <v>2695</v>
      </c>
      <c r="C1550" s="2" t="s">
        <v>815</v>
      </c>
      <c r="D1550" s="2" t="s">
        <v>2696</v>
      </c>
      <c r="E1550" s="2" t="s">
        <v>2697</v>
      </c>
      <c r="F1550" s="2" t="s">
        <v>7201</v>
      </c>
      <c r="G1550" s="2" t="s">
        <v>7201</v>
      </c>
      <c r="H1550" s="2" t="s">
        <v>7201</v>
      </c>
      <c r="I1550" s="2" t="s">
        <v>7202</v>
      </c>
      <c r="J1550" s="2" t="s">
        <v>7203</v>
      </c>
      <c r="K1550" s="2" t="s">
        <v>7204</v>
      </c>
      <c r="L1550" s="3">
        <v>20.34</v>
      </c>
      <c r="M1550" s="3">
        <v>21.36</v>
      </c>
      <c r="N1550" s="3"/>
      <c r="O1550" s="2" t="s">
        <v>243</v>
      </c>
      <c r="P1550" s="2" t="s">
        <v>241</v>
      </c>
      <c r="Q1550" s="2" t="s">
        <v>237</v>
      </c>
      <c r="R1550" s="2" t="s">
        <v>231</v>
      </c>
      <c r="S1550" s="2" t="s">
        <v>231</v>
      </c>
      <c r="T1550" s="2" t="s">
        <v>231</v>
      </c>
      <c r="U1550" s="2" t="s">
        <v>327</v>
      </c>
      <c r="V1550" s="2" t="s">
        <v>662</v>
      </c>
      <c r="W1550" s="2" t="s">
        <v>231</v>
      </c>
      <c r="X1550" s="2" t="s">
        <v>231</v>
      </c>
      <c r="Y1550" s="2" t="s">
        <v>2196</v>
      </c>
      <c r="Z1550" s="4">
        <v>80</v>
      </c>
      <c r="AA1550" s="4">
        <f>=ROUNDDOWN(40,0)</f>
      </c>
      <c r="AB1550" s="5">
        <v>2</v>
      </c>
      <c r="AC1550" s="2" t="s">
        <v>636</v>
      </c>
      <c r="AD1550" s="4">
        <v>100</v>
      </c>
      <c r="AE1550" s="4">
        <v>100</v>
      </c>
      <c r="AF1550" s="6"/>
      <c r="AG1550" s="6">
        <v>73</v>
      </c>
      <c r="AH1550" s="7">
        <v>1</v>
      </c>
      <c r="AI1550" s="4"/>
      <c r="AJ1550" s="4">
        <f>=ROUNDDOWN({0},0)</f>
      </c>
      <c r="AK1550" s="5"/>
      <c r="AL1550" s="2" t="s">
        <v>231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231</v>
      </c>
      <c r="AW1550" s="8" t="s">
        <v>231</v>
      </c>
      <c r="AX1550" s="4" t="s">
        <v>231</v>
      </c>
      <c r="AY1550" s="8" t="s">
        <v>231</v>
      </c>
      <c r="AZ1550" s="7" t="s">
        <v>231</v>
      </c>
      <c r="BA1550" s="7" t="s">
        <v>231</v>
      </c>
      <c r="BB1550" s="7"/>
      <c r="BC1550" s="4" t="s">
        <v>231</v>
      </c>
      <c r="BD1550" s="8" t="s">
        <v>231</v>
      </c>
      <c r="BE1550" s="4" t="s">
        <v>231</v>
      </c>
      <c r="BF1550" s="8" t="s">
        <v>231</v>
      </c>
      <c r="BG1550" s="7" t="s">
        <v>231</v>
      </c>
      <c r="BH1550" s="7" t="s">
        <v>231</v>
      </c>
      <c r="BI1550" s="7"/>
      <c r="BJ1550" s="4">
        <v>5</v>
      </c>
      <c r="BK1550" s="8">
        <v>126</v>
      </c>
      <c r="BL1550" s="2" t="s">
        <v>1423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7205</v>
      </c>
      <c r="BV1550" s="2" t="s">
        <v>231</v>
      </c>
      <c r="BW1550" s="2" t="s">
        <v>231</v>
      </c>
      <c r="BX1550" s="2" t="s">
        <v>241</v>
      </c>
      <c r="BY1550" s="2" t="s">
        <v>277</v>
      </c>
      <c r="BZ1550" s="2" t="s">
        <v>243</v>
      </c>
      <c r="CA1550" s="2" t="s">
        <v>7141</v>
      </c>
      <c r="CB1550" s="2" t="s">
        <v>231</v>
      </c>
      <c r="CC1550" s="2" t="s">
        <v>244</v>
      </c>
      <c r="CD1550" s="2" t="s">
        <v>231</v>
      </c>
      <c r="CE1550" s="4"/>
      <c r="CF1550" s="4"/>
      <c r="CG1550" s="4"/>
      <c r="CH1550" s="4"/>
      <c r="CI1550" s="4">
        <v>80</v>
      </c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>
        <v>100</v>
      </c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</row>
    <row r="1551">
      <c r="A1551" s="2" t="s">
        <v>7206</v>
      </c>
      <c r="B1551" s="2" t="s">
        <v>2695</v>
      </c>
      <c r="C1551" s="2" t="s">
        <v>815</v>
      </c>
      <c r="D1551" s="2" t="s">
        <v>2696</v>
      </c>
      <c r="E1551" s="2" t="s">
        <v>2697</v>
      </c>
      <c r="F1551" s="2" t="s">
        <v>7201</v>
      </c>
      <c r="G1551" s="2" t="s">
        <v>7201</v>
      </c>
      <c r="H1551" s="2" t="s">
        <v>7201</v>
      </c>
      <c r="I1551" s="2" t="s">
        <v>7207</v>
      </c>
      <c r="J1551" s="2" t="s">
        <v>7208</v>
      </c>
      <c r="K1551" s="2" t="s">
        <v>7204</v>
      </c>
      <c r="L1551" s="3">
        <v>20.34</v>
      </c>
      <c r="M1551" s="3">
        <v>21.36</v>
      </c>
      <c r="N1551" s="3"/>
      <c r="O1551" s="2" t="s">
        <v>243</v>
      </c>
      <c r="P1551" s="2" t="s">
        <v>241</v>
      </c>
      <c r="Q1551" s="2" t="s">
        <v>237</v>
      </c>
      <c r="R1551" s="2" t="s">
        <v>231</v>
      </c>
      <c r="S1551" s="2" t="s">
        <v>231</v>
      </c>
      <c r="T1551" s="2" t="s">
        <v>231</v>
      </c>
      <c r="U1551" s="2" t="s">
        <v>327</v>
      </c>
      <c r="V1551" s="2" t="s">
        <v>662</v>
      </c>
      <c r="W1551" s="2" t="s">
        <v>231</v>
      </c>
      <c r="X1551" s="2" t="s">
        <v>231</v>
      </c>
      <c r="Y1551" s="2" t="s">
        <v>2196</v>
      </c>
      <c r="Z1551" s="4">
        <v>117</v>
      </c>
      <c r="AA1551" s="4">
        <f>=ROUNDDOWN(36.5625,0)</f>
      </c>
      <c r="AB1551" s="5">
        <v>3.2</v>
      </c>
      <c r="AC1551" s="2" t="s">
        <v>636</v>
      </c>
      <c r="AD1551" s="4">
        <v>200</v>
      </c>
      <c r="AE1551" s="4">
        <v>200</v>
      </c>
      <c r="AF1551" s="6"/>
      <c r="AG1551" s="6">
        <v>73</v>
      </c>
      <c r="AH1551" s="7">
        <v>1</v>
      </c>
      <c r="AI1551" s="4"/>
      <c r="AJ1551" s="4">
        <f>=ROUNDDOWN({0},0)</f>
      </c>
      <c r="AK1551" s="5"/>
      <c r="AL1551" s="2" t="s">
        <v>231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231</v>
      </c>
      <c r="AW1551" s="8" t="s">
        <v>231</v>
      </c>
      <c r="AX1551" s="4" t="s">
        <v>231</v>
      </c>
      <c r="AY1551" s="8" t="s">
        <v>231</v>
      </c>
      <c r="AZ1551" s="7" t="s">
        <v>231</v>
      </c>
      <c r="BA1551" s="7" t="s">
        <v>231</v>
      </c>
      <c r="BB1551" s="7"/>
      <c r="BC1551" s="4" t="s">
        <v>231</v>
      </c>
      <c r="BD1551" s="8" t="s">
        <v>231</v>
      </c>
      <c r="BE1551" s="4" t="s">
        <v>231</v>
      </c>
      <c r="BF1551" s="8" t="s">
        <v>231</v>
      </c>
      <c r="BG1551" s="7" t="s">
        <v>231</v>
      </c>
      <c r="BH1551" s="7" t="s">
        <v>231</v>
      </c>
      <c r="BI1551" s="7"/>
      <c r="BJ1551" s="4">
        <v>11</v>
      </c>
      <c r="BK1551" s="8">
        <v>277.2</v>
      </c>
      <c r="BL1551" s="2" t="s">
        <v>1423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7209</v>
      </c>
      <c r="BV1551" s="2" t="s">
        <v>231</v>
      </c>
      <c r="BW1551" s="2" t="s">
        <v>231</v>
      </c>
      <c r="BX1551" s="2" t="s">
        <v>241</v>
      </c>
      <c r="BY1551" s="2" t="s">
        <v>277</v>
      </c>
      <c r="BZ1551" s="2" t="s">
        <v>243</v>
      </c>
      <c r="CA1551" s="2" t="s">
        <v>7141</v>
      </c>
      <c r="CB1551" s="2" t="s">
        <v>1057</v>
      </c>
      <c r="CC1551" s="2" t="s">
        <v>244</v>
      </c>
      <c r="CD1551" s="2" t="s">
        <v>231</v>
      </c>
      <c r="CE1551" s="4"/>
      <c r="CF1551" s="4"/>
      <c r="CG1551" s="4"/>
      <c r="CH1551" s="4"/>
      <c r="CI1551" s="4">
        <v>117</v>
      </c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>
        <v>200</v>
      </c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</row>
    <row r="1552">
      <c r="A1552" s="2" t="s">
        <v>7210</v>
      </c>
      <c r="B1552" s="2" t="s">
        <v>2695</v>
      </c>
      <c r="C1552" s="2" t="s">
        <v>815</v>
      </c>
      <c r="D1552" s="2" t="s">
        <v>2696</v>
      </c>
      <c r="E1552" s="2" t="s">
        <v>2697</v>
      </c>
      <c r="F1552" s="2" t="s">
        <v>7201</v>
      </c>
      <c r="G1552" s="2" t="s">
        <v>7201</v>
      </c>
      <c r="H1552" s="2" t="s">
        <v>7201</v>
      </c>
      <c r="I1552" s="2" t="s">
        <v>7211</v>
      </c>
      <c r="J1552" s="2" t="s">
        <v>7212</v>
      </c>
      <c r="K1552" s="2" t="s">
        <v>7204</v>
      </c>
      <c r="L1552" s="3">
        <v>20.34</v>
      </c>
      <c r="M1552" s="3">
        <v>21.36</v>
      </c>
      <c r="N1552" s="3"/>
      <c r="O1552" s="2" t="s">
        <v>243</v>
      </c>
      <c r="P1552" s="2" t="s">
        <v>241</v>
      </c>
      <c r="Q1552" s="2" t="s">
        <v>237</v>
      </c>
      <c r="R1552" s="2" t="s">
        <v>231</v>
      </c>
      <c r="S1552" s="2" t="s">
        <v>231</v>
      </c>
      <c r="T1552" s="2" t="s">
        <v>231</v>
      </c>
      <c r="U1552" s="2" t="s">
        <v>327</v>
      </c>
      <c r="V1552" s="2" t="s">
        <v>662</v>
      </c>
      <c r="W1552" s="2" t="s">
        <v>231</v>
      </c>
      <c r="X1552" s="2" t="s">
        <v>231</v>
      </c>
      <c r="Y1552" s="2" t="s">
        <v>2196</v>
      </c>
      <c r="Z1552" s="4">
        <v>88</v>
      </c>
      <c r="AA1552" s="4">
        <f>=ROUNDDOWN(14.1935483870968,0)</f>
      </c>
      <c r="AB1552" s="5">
        <v>6.2</v>
      </c>
      <c r="AC1552" s="2" t="s">
        <v>636</v>
      </c>
      <c r="AD1552" s="4">
        <v>200</v>
      </c>
      <c r="AE1552" s="4">
        <v>200</v>
      </c>
      <c r="AF1552" s="6"/>
      <c r="AG1552" s="6">
        <v>73</v>
      </c>
      <c r="AH1552" s="7">
        <v>1</v>
      </c>
      <c r="AI1552" s="4"/>
      <c r="AJ1552" s="4">
        <f>=ROUNDDOWN({0},0)</f>
      </c>
      <c r="AK1552" s="5"/>
      <c r="AL1552" s="2" t="s">
        <v>231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231</v>
      </c>
      <c r="AW1552" s="8" t="s">
        <v>231</v>
      </c>
      <c r="AX1552" s="4" t="s">
        <v>231</v>
      </c>
      <c r="AY1552" s="8" t="s">
        <v>231</v>
      </c>
      <c r="AZ1552" s="7" t="s">
        <v>231</v>
      </c>
      <c r="BA1552" s="7" t="s">
        <v>231</v>
      </c>
      <c r="BB1552" s="7"/>
      <c r="BC1552" s="4" t="s">
        <v>231</v>
      </c>
      <c r="BD1552" s="8" t="s">
        <v>231</v>
      </c>
      <c r="BE1552" s="4" t="s">
        <v>231</v>
      </c>
      <c r="BF1552" s="8" t="s">
        <v>231</v>
      </c>
      <c r="BG1552" s="7" t="s">
        <v>231</v>
      </c>
      <c r="BH1552" s="7" t="s">
        <v>231</v>
      </c>
      <c r="BI1552" s="7"/>
      <c r="BJ1552" s="4">
        <v>10</v>
      </c>
      <c r="BK1552" s="8">
        <v>252</v>
      </c>
      <c r="BL1552" s="2" t="s">
        <v>4671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7213</v>
      </c>
      <c r="BV1552" s="2" t="s">
        <v>231</v>
      </c>
      <c r="BW1552" s="2" t="s">
        <v>231</v>
      </c>
      <c r="BX1552" s="2" t="s">
        <v>241</v>
      </c>
      <c r="BY1552" s="2" t="s">
        <v>277</v>
      </c>
      <c r="BZ1552" s="2" t="s">
        <v>243</v>
      </c>
      <c r="CA1552" s="2" t="s">
        <v>7141</v>
      </c>
      <c r="CB1552" s="2" t="s">
        <v>7152</v>
      </c>
      <c r="CC1552" s="2" t="s">
        <v>244</v>
      </c>
      <c r="CD1552" s="2" t="s">
        <v>231</v>
      </c>
      <c r="CE1552" s="4"/>
      <c r="CF1552" s="4"/>
      <c r="CG1552" s="4"/>
      <c r="CH1552" s="4"/>
      <c r="CI1552" s="4">
        <v>88</v>
      </c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>
        <v>200</v>
      </c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</row>
    <row r="1553">
      <c r="A1553" s="2" t="s">
        <v>7214</v>
      </c>
      <c r="B1553" s="2" t="s">
        <v>2695</v>
      </c>
      <c r="C1553" s="2" t="s">
        <v>815</v>
      </c>
      <c r="D1553" s="2" t="s">
        <v>2696</v>
      </c>
      <c r="E1553" s="2" t="s">
        <v>2697</v>
      </c>
      <c r="F1553" s="2" t="s">
        <v>7201</v>
      </c>
      <c r="G1553" s="2" t="s">
        <v>7201</v>
      </c>
      <c r="H1553" s="2" t="s">
        <v>7201</v>
      </c>
      <c r="I1553" s="2" t="s">
        <v>7215</v>
      </c>
      <c r="J1553" s="2" t="s">
        <v>7203</v>
      </c>
      <c r="K1553" s="2" t="s">
        <v>7216</v>
      </c>
      <c r="L1553" s="3">
        <v>20.34</v>
      </c>
      <c r="M1553" s="3">
        <v>21.36</v>
      </c>
      <c r="N1553" s="3">
        <v>44.99</v>
      </c>
      <c r="O1553" s="2" t="s">
        <v>243</v>
      </c>
      <c r="P1553" s="2" t="s">
        <v>241</v>
      </c>
      <c r="Q1553" s="2" t="s">
        <v>237</v>
      </c>
      <c r="R1553" s="2" t="s">
        <v>231</v>
      </c>
      <c r="S1553" s="2" t="s">
        <v>231</v>
      </c>
      <c r="T1553" s="2" t="s">
        <v>231</v>
      </c>
      <c r="U1553" s="2" t="s">
        <v>327</v>
      </c>
      <c r="V1553" s="2" t="s">
        <v>662</v>
      </c>
      <c r="W1553" s="2" t="s">
        <v>231</v>
      </c>
      <c r="X1553" s="2" t="s">
        <v>231</v>
      </c>
      <c r="Y1553" s="2" t="s">
        <v>945</v>
      </c>
      <c r="Z1553" s="4">
        <v>34</v>
      </c>
      <c r="AA1553" s="4">
        <f>=ROUNDDOWN(22.6666666666667,0)</f>
      </c>
      <c r="AB1553" s="5">
        <v>1.5</v>
      </c>
      <c r="AC1553" s="2" t="s">
        <v>636</v>
      </c>
      <c r="AD1553" s="4">
        <v>100</v>
      </c>
      <c r="AE1553" s="4">
        <v>100</v>
      </c>
      <c r="AF1553" s="6"/>
      <c r="AG1553" s="6">
        <v>73</v>
      </c>
      <c r="AH1553" s="7">
        <v>1</v>
      </c>
      <c r="AI1553" s="4"/>
      <c r="AJ1553" s="4">
        <f>=ROUNDDOWN({0},0)</f>
      </c>
      <c r="AK1553" s="5"/>
      <c r="AL1553" s="2" t="s">
        <v>231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231</v>
      </c>
      <c r="AW1553" s="8" t="s">
        <v>231</v>
      </c>
      <c r="AX1553" s="4" t="s">
        <v>231</v>
      </c>
      <c r="AY1553" s="8" t="s">
        <v>231</v>
      </c>
      <c r="AZ1553" s="7" t="s">
        <v>231</v>
      </c>
      <c r="BA1553" s="7" t="s">
        <v>231</v>
      </c>
      <c r="BB1553" s="7"/>
      <c r="BC1553" s="4" t="s">
        <v>231</v>
      </c>
      <c r="BD1553" s="8" t="s">
        <v>231</v>
      </c>
      <c r="BE1553" s="4" t="s">
        <v>231</v>
      </c>
      <c r="BF1553" s="8" t="s">
        <v>231</v>
      </c>
      <c r="BG1553" s="7" t="s">
        <v>231</v>
      </c>
      <c r="BH1553" s="7" t="s">
        <v>231</v>
      </c>
      <c r="BI1553" s="7"/>
      <c r="BJ1553" s="4">
        <v>1</v>
      </c>
      <c r="BK1553" s="8">
        <v>25.2</v>
      </c>
      <c r="BL1553" s="2" t="s">
        <v>1423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7217</v>
      </c>
      <c r="BV1553" s="2" t="s">
        <v>231</v>
      </c>
      <c r="BW1553" s="2" t="s">
        <v>231</v>
      </c>
      <c r="BX1553" s="2" t="s">
        <v>241</v>
      </c>
      <c r="BY1553" s="2" t="s">
        <v>277</v>
      </c>
      <c r="BZ1553" s="2" t="s">
        <v>243</v>
      </c>
      <c r="CA1553" s="2" t="s">
        <v>7141</v>
      </c>
      <c r="CB1553" s="2" t="s">
        <v>231</v>
      </c>
      <c r="CC1553" s="2" t="s">
        <v>244</v>
      </c>
      <c r="CD1553" s="2" t="s">
        <v>231</v>
      </c>
      <c r="CE1553" s="4"/>
      <c r="CF1553" s="4"/>
      <c r="CG1553" s="4"/>
      <c r="CH1553" s="4"/>
      <c r="CI1553" s="4">
        <v>34</v>
      </c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>
        <v>100</v>
      </c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</row>
    <row r="1554">
      <c r="A1554" s="2" t="s">
        <v>7218</v>
      </c>
      <c r="B1554" s="2" t="s">
        <v>2695</v>
      </c>
      <c r="C1554" s="2" t="s">
        <v>815</v>
      </c>
      <c r="D1554" s="2" t="s">
        <v>2696</v>
      </c>
      <c r="E1554" s="2" t="s">
        <v>2697</v>
      </c>
      <c r="F1554" s="2" t="s">
        <v>7201</v>
      </c>
      <c r="G1554" s="2" t="s">
        <v>7201</v>
      </c>
      <c r="H1554" s="2" t="s">
        <v>7201</v>
      </c>
      <c r="I1554" s="2" t="s">
        <v>7215</v>
      </c>
      <c r="J1554" s="2" t="s">
        <v>7208</v>
      </c>
      <c r="K1554" s="2" t="s">
        <v>7216</v>
      </c>
      <c r="L1554" s="3">
        <v>20.34</v>
      </c>
      <c r="M1554" s="3">
        <v>21.36</v>
      </c>
      <c r="N1554" s="3">
        <v>44.99</v>
      </c>
      <c r="O1554" s="2" t="s">
        <v>243</v>
      </c>
      <c r="P1554" s="2" t="s">
        <v>241</v>
      </c>
      <c r="Q1554" s="2" t="s">
        <v>237</v>
      </c>
      <c r="R1554" s="2" t="s">
        <v>231</v>
      </c>
      <c r="S1554" s="2" t="s">
        <v>231</v>
      </c>
      <c r="T1554" s="2" t="s">
        <v>231</v>
      </c>
      <c r="U1554" s="2" t="s">
        <v>327</v>
      </c>
      <c r="V1554" s="2" t="s">
        <v>662</v>
      </c>
      <c r="W1554" s="2" t="s">
        <v>231</v>
      </c>
      <c r="X1554" s="2" t="s">
        <v>231</v>
      </c>
      <c r="Y1554" s="2" t="s">
        <v>945</v>
      </c>
      <c r="Z1554" s="4">
        <v>159</v>
      </c>
      <c r="AA1554" s="4">
        <f>=ROUNDDOWN(106,0)</f>
      </c>
      <c r="AB1554" s="5">
        <v>1.5</v>
      </c>
      <c r="AC1554" s="2" t="s">
        <v>636</v>
      </c>
      <c r="AD1554" s="4">
        <v>200</v>
      </c>
      <c r="AE1554" s="4">
        <v>200</v>
      </c>
      <c r="AF1554" s="6"/>
      <c r="AG1554" s="6">
        <v>73</v>
      </c>
      <c r="AH1554" s="7">
        <v>1</v>
      </c>
      <c r="AI1554" s="4"/>
      <c r="AJ1554" s="4">
        <f>=ROUNDDOWN({0},0)</f>
      </c>
      <c r="AK1554" s="5"/>
      <c r="AL1554" s="2" t="s">
        <v>231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231</v>
      </c>
      <c r="AW1554" s="8" t="s">
        <v>231</v>
      </c>
      <c r="AX1554" s="4" t="s">
        <v>231</v>
      </c>
      <c r="AY1554" s="8" t="s">
        <v>231</v>
      </c>
      <c r="AZ1554" s="7" t="s">
        <v>231</v>
      </c>
      <c r="BA1554" s="7" t="s">
        <v>231</v>
      </c>
      <c r="BB1554" s="7"/>
      <c r="BC1554" s="4" t="s">
        <v>231</v>
      </c>
      <c r="BD1554" s="8" t="s">
        <v>231</v>
      </c>
      <c r="BE1554" s="4" t="s">
        <v>231</v>
      </c>
      <c r="BF1554" s="8" t="s">
        <v>231</v>
      </c>
      <c r="BG1554" s="7" t="s">
        <v>231</v>
      </c>
      <c r="BH1554" s="7" t="s">
        <v>231</v>
      </c>
      <c r="BI1554" s="7"/>
      <c r="BJ1554" s="4">
        <v>6</v>
      </c>
      <c r="BK1554" s="8">
        <v>151.2</v>
      </c>
      <c r="BL1554" s="2" t="s">
        <v>1423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7219</v>
      </c>
      <c r="BV1554" s="2" t="s">
        <v>231</v>
      </c>
      <c r="BW1554" s="2" t="s">
        <v>231</v>
      </c>
      <c r="BX1554" s="2" t="s">
        <v>241</v>
      </c>
      <c r="BY1554" s="2" t="s">
        <v>277</v>
      </c>
      <c r="BZ1554" s="2" t="s">
        <v>243</v>
      </c>
      <c r="CA1554" s="2" t="s">
        <v>7141</v>
      </c>
      <c r="CB1554" s="2" t="s">
        <v>5676</v>
      </c>
      <c r="CC1554" s="2" t="s">
        <v>244</v>
      </c>
      <c r="CD1554" s="2" t="s">
        <v>231</v>
      </c>
      <c r="CE1554" s="4"/>
      <c r="CF1554" s="4"/>
      <c r="CG1554" s="4"/>
      <c r="CH1554" s="4"/>
      <c r="CI1554" s="4">
        <v>159</v>
      </c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>
        <v>200</v>
      </c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</row>
    <row r="1555">
      <c r="A1555" s="2" t="s">
        <v>7220</v>
      </c>
      <c r="B1555" s="2" t="s">
        <v>2695</v>
      </c>
      <c r="C1555" s="2" t="s">
        <v>815</v>
      </c>
      <c r="D1555" s="2" t="s">
        <v>2696</v>
      </c>
      <c r="E1555" s="2" t="s">
        <v>2697</v>
      </c>
      <c r="F1555" s="2" t="s">
        <v>7201</v>
      </c>
      <c r="G1555" s="2" t="s">
        <v>7201</v>
      </c>
      <c r="H1555" s="2" t="s">
        <v>7201</v>
      </c>
      <c r="I1555" s="2" t="s">
        <v>7215</v>
      </c>
      <c r="J1555" s="2" t="s">
        <v>7203</v>
      </c>
      <c r="K1555" s="2" t="s">
        <v>7221</v>
      </c>
      <c r="L1555" s="3">
        <v>20.34</v>
      </c>
      <c r="M1555" s="3">
        <v>21.36</v>
      </c>
      <c r="N1555" s="3">
        <v>44.99</v>
      </c>
      <c r="O1555" s="2" t="s">
        <v>243</v>
      </c>
      <c r="P1555" s="2" t="s">
        <v>241</v>
      </c>
      <c r="Q1555" s="2" t="s">
        <v>237</v>
      </c>
      <c r="R1555" s="2" t="s">
        <v>231</v>
      </c>
      <c r="S1555" s="2" t="s">
        <v>231</v>
      </c>
      <c r="T1555" s="2" t="s">
        <v>231</v>
      </c>
      <c r="U1555" s="2" t="s">
        <v>327</v>
      </c>
      <c r="V1555" s="2" t="s">
        <v>662</v>
      </c>
      <c r="W1555" s="2" t="s">
        <v>231</v>
      </c>
      <c r="X1555" s="2" t="s">
        <v>231</v>
      </c>
      <c r="Y1555" s="2" t="s">
        <v>945</v>
      </c>
      <c r="Z1555" s="4"/>
      <c r="AA1555" s="4">
        <f>=ROUNDDOWN({0},0)</f>
      </c>
      <c r="AB1555" s="5">
        <v>4.5</v>
      </c>
      <c r="AC1555" s="2" t="s">
        <v>636</v>
      </c>
      <c r="AD1555" s="4">
        <v>80</v>
      </c>
      <c r="AE1555" s="4">
        <v>80</v>
      </c>
      <c r="AF1555" s="6"/>
      <c r="AG1555" s="6">
        <v>73</v>
      </c>
      <c r="AH1555" s="7">
        <v>0.9355</v>
      </c>
      <c r="AI1555" s="4"/>
      <c r="AJ1555" s="4">
        <f>=ROUNDDOWN({0},0)</f>
      </c>
      <c r="AK1555" s="5"/>
      <c r="AL1555" s="2" t="s">
        <v>231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231</v>
      </c>
      <c r="AW1555" s="8" t="s">
        <v>231</v>
      </c>
      <c r="AX1555" s="4" t="s">
        <v>231</v>
      </c>
      <c r="AY1555" s="8" t="s">
        <v>231</v>
      </c>
      <c r="AZ1555" s="7" t="s">
        <v>231</v>
      </c>
      <c r="BA1555" s="7" t="s">
        <v>231</v>
      </c>
      <c r="BB1555" s="7"/>
      <c r="BC1555" s="4" t="s">
        <v>231</v>
      </c>
      <c r="BD1555" s="8" t="s">
        <v>231</v>
      </c>
      <c r="BE1555" s="4" t="s">
        <v>231</v>
      </c>
      <c r="BF1555" s="8" t="s">
        <v>231</v>
      </c>
      <c r="BG1555" s="7" t="s">
        <v>231</v>
      </c>
      <c r="BH1555" s="7" t="s">
        <v>231</v>
      </c>
      <c r="BI1555" s="7"/>
      <c r="BJ1555" s="4">
        <v>3</v>
      </c>
      <c r="BK1555" s="8">
        <v>75.6</v>
      </c>
      <c r="BL1555" s="2" t="s">
        <v>1423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7222</v>
      </c>
      <c r="BV1555" s="2" t="s">
        <v>231</v>
      </c>
      <c r="BW1555" s="2" t="s">
        <v>231</v>
      </c>
      <c r="BX1555" s="2" t="s">
        <v>241</v>
      </c>
      <c r="BY1555" s="2" t="s">
        <v>277</v>
      </c>
      <c r="BZ1555" s="2" t="s">
        <v>243</v>
      </c>
      <c r="CA1555" s="2" t="s">
        <v>7141</v>
      </c>
      <c r="CB1555" s="2" t="s">
        <v>231</v>
      </c>
      <c r="CC1555" s="2" t="s">
        <v>244</v>
      </c>
      <c r="CD1555" s="2" t="s">
        <v>231</v>
      </c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>
        <v>80</v>
      </c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</row>
    <row r="1556">
      <c r="A1556" s="2" t="s">
        <v>7223</v>
      </c>
      <c r="B1556" s="2" t="s">
        <v>2695</v>
      </c>
      <c r="C1556" s="2" t="s">
        <v>815</v>
      </c>
      <c r="D1556" s="2" t="s">
        <v>2696</v>
      </c>
      <c r="E1556" s="2" t="s">
        <v>2697</v>
      </c>
      <c r="F1556" s="2" t="s">
        <v>7201</v>
      </c>
      <c r="G1556" s="2" t="s">
        <v>7201</v>
      </c>
      <c r="H1556" s="2" t="s">
        <v>7201</v>
      </c>
      <c r="I1556" s="2" t="s">
        <v>7215</v>
      </c>
      <c r="J1556" s="2" t="s">
        <v>7208</v>
      </c>
      <c r="K1556" s="2" t="s">
        <v>7221</v>
      </c>
      <c r="L1556" s="3">
        <v>20.34</v>
      </c>
      <c r="M1556" s="3">
        <v>21.36</v>
      </c>
      <c r="N1556" s="3">
        <v>44.99</v>
      </c>
      <c r="O1556" s="2" t="s">
        <v>243</v>
      </c>
      <c r="P1556" s="2" t="s">
        <v>241</v>
      </c>
      <c r="Q1556" s="2" t="s">
        <v>237</v>
      </c>
      <c r="R1556" s="2" t="s">
        <v>231</v>
      </c>
      <c r="S1556" s="2" t="s">
        <v>231</v>
      </c>
      <c r="T1556" s="2" t="s">
        <v>231</v>
      </c>
      <c r="U1556" s="2" t="s">
        <v>327</v>
      </c>
      <c r="V1556" s="2" t="s">
        <v>662</v>
      </c>
      <c r="W1556" s="2" t="s">
        <v>231</v>
      </c>
      <c r="X1556" s="2" t="s">
        <v>231</v>
      </c>
      <c r="Y1556" s="2" t="s">
        <v>945</v>
      </c>
      <c r="Z1556" s="4">
        <v>52</v>
      </c>
      <c r="AA1556" s="4">
        <f>=ROUNDDOWN(9.62962962962963,0)</f>
      </c>
      <c r="AB1556" s="5">
        <v>5.4</v>
      </c>
      <c r="AC1556" s="2" t="s">
        <v>636</v>
      </c>
      <c r="AD1556" s="4">
        <v>270</v>
      </c>
      <c r="AE1556" s="4">
        <v>270</v>
      </c>
      <c r="AF1556" s="6"/>
      <c r="AG1556" s="6">
        <v>73</v>
      </c>
      <c r="AH1556" s="7">
        <v>1</v>
      </c>
      <c r="AI1556" s="4"/>
      <c r="AJ1556" s="4">
        <f>=ROUNDDOWN({0},0)</f>
      </c>
      <c r="AK1556" s="5"/>
      <c r="AL1556" s="2" t="s">
        <v>231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231</v>
      </c>
      <c r="AW1556" s="8" t="s">
        <v>231</v>
      </c>
      <c r="AX1556" s="4" t="s">
        <v>231</v>
      </c>
      <c r="AY1556" s="8" t="s">
        <v>231</v>
      </c>
      <c r="AZ1556" s="7" t="s">
        <v>231</v>
      </c>
      <c r="BA1556" s="7" t="s">
        <v>231</v>
      </c>
      <c r="BB1556" s="7"/>
      <c r="BC1556" s="4" t="s">
        <v>231</v>
      </c>
      <c r="BD1556" s="8" t="s">
        <v>231</v>
      </c>
      <c r="BE1556" s="4" t="s">
        <v>231</v>
      </c>
      <c r="BF1556" s="8" t="s">
        <v>231</v>
      </c>
      <c r="BG1556" s="7" t="s">
        <v>231</v>
      </c>
      <c r="BH1556" s="7" t="s">
        <v>231</v>
      </c>
      <c r="BI1556" s="7"/>
      <c r="BJ1556" s="4">
        <v>12</v>
      </c>
      <c r="BK1556" s="8">
        <v>302.4</v>
      </c>
      <c r="BL1556" s="2" t="s">
        <v>4671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7224</v>
      </c>
      <c r="BV1556" s="2" t="s">
        <v>231</v>
      </c>
      <c r="BW1556" s="2" t="s">
        <v>231</v>
      </c>
      <c r="BX1556" s="2" t="s">
        <v>241</v>
      </c>
      <c r="BY1556" s="2" t="s">
        <v>277</v>
      </c>
      <c r="BZ1556" s="2" t="s">
        <v>243</v>
      </c>
      <c r="CA1556" s="2" t="s">
        <v>7141</v>
      </c>
      <c r="CB1556" s="2" t="s">
        <v>231</v>
      </c>
      <c r="CC1556" s="2" t="s">
        <v>244</v>
      </c>
      <c r="CD1556" s="2" t="s">
        <v>231</v>
      </c>
      <c r="CE1556" s="4"/>
      <c r="CF1556" s="4"/>
      <c r="CG1556" s="4"/>
      <c r="CH1556" s="4"/>
      <c r="CI1556" s="4">
        <v>52</v>
      </c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>
        <v>270</v>
      </c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</row>
    <row r="1557">
      <c r="A1557" s="2" t="s">
        <v>7225</v>
      </c>
      <c r="B1557" s="2" t="s">
        <v>2695</v>
      </c>
      <c r="C1557" s="2" t="s">
        <v>815</v>
      </c>
      <c r="D1557" s="2" t="s">
        <v>2696</v>
      </c>
      <c r="E1557" s="2" t="s">
        <v>2697</v>
      </c>
      <c r="F1557" s="2" t="s">
        <v>7201</v>
      </c>
      <c r="G1557" s="2" t="s">
        <v>7201</v>
      </c>
      <c r="H1557" s="2" t="s">
        <v>7201</v>
      </c>
      <c r="I1557" s="2" t="s">
        <v>7215</v>
      </c>
      <c r="J1557" s="2" t="s">
        <v>7212</v>
      </c>
      <c r="K1557" s="2" t="s">
        <v>7221</v>
      </c>
      <c r="L1557" s="3">
        <v>20.34</v>
      </c>
      <c r="M1557" s="3">
        <v>21.36</v>
      </c>
      <c r="N1557" s="3">
        <v>44.99</v>
      </c>
      <c r="O1557" s="2" t="s">
        <v>243</v>
      </c>
      <c r="P1557" s="2" t="s">
        <v>241</v>
      </c>
      <c r="Q1557" s="2" t="s">
        <v>237</v>
      </c>
      <c r="R1557" s="2" t="s">
        <v>231</v>
      </c>
      <c r="S1557" s="2" t="s">
        <v>231</v>
      </c>
      <c r="T1557" s="2" t="s">
        <v>231</v>
      </c>
      <c r="U1557" s="2" t="s">
        <v>327</v>
      </c>
      <c r="V1557" s="2" t="s">
        <v>662</v>
      </c>
      <c r="W1557" s="2" t="s">
        <v>231</v>
      </c>
      <c r="X1557" s="2" t="s">
        <v>231</v>
      </c>
      <c r="Y1557" s="2" t="s">
        <v>945</v>
      </c>
      <c r="Z1557" s="4">
        <v>91</v>
      </c>
      <c r="AA1557" s="4">
        <f>=ROUNDDOWN(16.5454545454545,0)</f>
      </c>
      <c r="AB1557" s="5">
        <v>5.5</v>
      </c>
      <c r="AC1557" s="2" t="s">
        <v>636</v>
      </c>
      <c r="AD1557" s="4">
        <v>200</v>
      </c>
      <c r="AE1557" s="4">
        <v>200</v>
      </c>
      <c r="AF1557" s="6"/>
      <c r="AG1557" s="6">
        <v>73</v>
      </c>
      <c r="AH1557" s="7">
        <v>1</v>
      </c>
      <c r="AI1557" s="4"/>
      <c r="AJ1557" s="4">
        <f>=ROUNDDOWN({0},0)</f>
      </c>
      <c r="AK1557" s="5"/>
      <c r="AL1557" s="2" t="s">
        <v>231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231</v>
      </c>
      <c r="AW1557" s="8" t="s">
        <v>231</v>
      </c>
      <c r="AX1557" s="4" t="s">
        <v>231</v>
      </c>
      <c r="AY1557" s="8" t="s">
        <v>231</v>
      </c>
      <c r="AZ1557" s="7" t="s">
        <v>231</v>
      </c>
      <c r="BA1557" s="7" t="s">
        <v>231</v>
      </c>
      <c r="BB1557" s="7"/>
      <c r="BC1557" s="4" t="s">
        <v>231</v>
      </c>
      <c r="BD1557" s="8" t="s">
        <v>231</v>
      </c>
      <c r="BE1557" s="4" t="s">
        <v>231</v>
      </c>
      <c r="BF1557" s="8" t="s">
        <v>231</v>
      </c>
      <c r="BG1557" s="7" t="s">
        <v>231</v>
      </c>
      <c r="BH1557" s="7" t="s">
        <v>231</v>
      </c>
      <c r="BI1557" s="7"/>
      <c r="BJ1557" s="4">
        <v>8</v>
      </c>
      <c r="BK1557" s="8">
        <v>201.6</v>
      </c>
      <c r="BL1557" s="2" t="s">
        <v>1423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7226</v>
      </c>
      <c r="BV1557" s="2" t="s">
        <v>231</v>
      </c>
      <c r="BW1557" s="2" t="s">
        <v>231</v>
      </c>
      <c r="BX1557" s="2" t="s">
        <v>241</v>
      </c>
      <c r="BY1557" s="2" t="s">
        <v>277</v>
      </c>
      <c r="BZ1557" s="2" t="s">
        <v>243</v>
      </c>
      <c r="CA1557" s="2" t="s">
        <v>7141</v>
      </c>
      <c r="CB1557" s="2" t="s">
        <v>231</v>
      </c>
      <c r="CC1557" s="2" t="s">
        <v>244</v>
      </c>
      <c r="CD1557" s="2" t="s">
        <v>231</v>
      </c>
      <c r="CE1557" s="4"/>
      <c r="CF1557" s="4"/>
      <c r="CG1557" s="4"/>
      <c r="CH1557" s="4"/>
      <c r="CI1557" s="4">
        <v>91</v>
      </c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>
        <v>200</v>
      </c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</row>
    <row r="1558">
      <c r="A1558" s="2" t="s">
        <v>7227</v>
      </c>
      <c r="B1558" s="2" t="s">
        <v>2695</v>
      </c>
      <c r="C1558" s="2" t="s">
        <v>815</v>
      </c>
      <c r="D1558" s="2" t="s">
        <v>2696</v>
      </c>
      <c r="E1558" s="2" t="s">
        <v>2697</v>
      </c>
      <c r="F1558" s="2" t="s">
        <v>7201</v>
      </c>
      <c r="G1558" s="2" t="s">
        <v>7201</v>
      </c>
      <c r="H1558" s="2" t="s">
        <v>7201</v>
      </c>
      <c r="I1558" s="2" t="s">
        <v>7215</v>
      </c>
      <c r="J1558" s="2" t="s">
        <v>7203</v>
      </c>
      <c r="K1558" s="2" t="s">
        <v>7228</v>
      </c>
      <c r="L1558" s="3">
        <v>20.34</v>
      </c>
      <c r="M1558" s="3">
        <v>21.36</v>
      </c>
      <c r="N1558" s="3">
        <v>44.99</v>
      </c>
      <c r="O1558" s="2" t="s">
        <v>243</v>
      </c>
      <c r="P1558" s="2" t="s">
        <v>241</v>
      </c>
      <c r="Q1558" s="2" t="s">
        <v>237</v>
      </c>
      <c r="R1558" s="2" t="s">
        <v>231</v>
      </c>
      <c r="S1558" s="2" t="s">
        <v>231</v>
      </c>
      <c r="T1558" s="2" t="s">
        <v>231</v>
      </c>
      <c r="U1558" s="2" t="s">
        <v>327</v>
      </c>
      <c r="V1558" s="2" t="s">
        <v>662</v>
      </c>
      <c r="W1558" s="2" t="s">
        <v>231</v>
      </c>
      <c r="X1558" s="2" t="s">
        <v>231</v>
      </c>
      <c r="Y1558" s="2" t="s">
        <v>945</v>
      </c>
      <c r="Z1558" s="4">
        <v>32</v>
      </c>
      <c r="AA1558" s="4">
        <f>=ROUNDDOWN(26.6666666666667,0)</f>
      </c>
      <c r="AB1558" s="5">
        <v>1.2</v>
      </c>
      <c r="AC1558" s="2" t="s">
        <v>636</v>
      </c>
      <c r="AD1558" s="4">
        <v>150</v>
      </c>
      <c r="AE1558" s="4">
        <v>150</v>
      </c>
      <c r="AF1558" s="6"/>
      <c r="AG1558" s="6">
        <v>73</v>
      </c>
      <c r="AH1558" s="7">
        <v>1</v>
      </c>
      <c r="AI1558" s="4"/>
      <c r="AJ1558" s="4">
        <f>=ROUNDDOWN({0},0)</f>
      </c>
      <c r="AK1558" s="5"/>
      <c r="AL1558" s="2" t="s">
        <v>231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231</v>
      </c>
      <c r="AW1558" s="8" t="s">
        <v>231</v>
      </c>
      <c r="AX1558" s="4" t="s">
        <v>231</v>
      </c>
      <c r="AY1558" s="8" t="s">
        <v>231</v>
      </c>
      <c r="AZ1558" s="7" t="s">
        <v>231</v>
      </c>
      <c r="BA1558" s="7" t="s">
        <v>231</v>
      </c>
      <c r="BB1558" s="7"/>
      <c r="BC1558" s="4" t="s">
        <v>231</v>
      </c>
      <c r="BD1558" s="8" t="s">
        <v>231</v>
      </c>
      <c r="BE1558" s="4" t="s">
        <v>231</v>
      </c>
      <c r="BF1558" s="8" t="s">
        <v>231</v>
      </c>
      <c r="BG1558" s="7" t="s">
        <v>231</v>
      </c>
      <c r="BH1558" s="7" t="s">
        <v>231</v>
      </c>
      <c r="BI1558" s="7"/>
      <c r="BJ1558" s="4">
        <v>2</v>
      </c>
      <c r="BK1558" s="8">
        <v>50.4</v>
      </c>
      <c r="BL1558" s="2" t="s">
        <v>1423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7229</v>
      </c>
      <c r="BV1558" s="2" t="s">
        <v>231</v>
      </c>
      <c r="BW1558" s="2" t="s">
        <v>231</v>
      </c>
      <c r="BX1558" s="2" t="s">
        <v>241</v>
      </c>
      <c r="BY1558" s="2" t="s">
        <v>277</v>
      </c>
      <c r="BZ1558" s="2" t="s">
        <v>243</v>
      </c>
      <c r="CA1558" s="2" t="s">
        <v>7141</v>
      </c>
      <c r="CB1558" s="2" t="s">
        <v>231</v>
      </c>
      <c r="CC1558" s="2" t="s">
        <v>244</v>
      </c>
      <c r="CD1558" s="2" t="s">
        <v>231</v>
      </c>
      <c r="CE1558" s="4"/>
      <c r="CF1558" s="4"/>
      <c r="CG1558" s="4"/>
      <c r="CH1558" s="4"/>
      <c r="CI1558" s="4">
        <v>32</v>
      </c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>
        <v>150</v>
      </c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</row>
    <row r="1559">
      <c r="A1559" s="2" t="s">
        <v>7230</v>
      </c>
      <c r="B1559" s="2" t="s">
        <v>2695</v>
      </c>
      <c r="C1559" s="2" t="s">
        <v>815</v>
      </c>
      <c r="D1559" s="2" t="s">
        <v>2696</v>
      </c>
      <c r="E1559" s="2" t="s">
        <v>2697</v>
      </c>
      <c r="F1559" s="2" t="s">
        <v>7201</v>
      </c>
      <c r="G1559" s="2" t="s">
        <v>7201</v>
      </c>
      <c r="H1559" s="2" t="s">
        <v>7201</v>
      </c>
      <c r="I1559" s="2" t="s">
        <v>7215</v>
      </c>
      <c r="J1559" s="2" t="s">
        <v>7208</v>
      </c>
      <c r="K1559" s="2" t="s">
        <v>7228</v>
      </c>
      <c r="L1559" s="3">
        <v>20.34</v>
      </c>
      <c r="M1559" s="3">
        <v>21.36</v>
      </c>
      <c r="N1559" s="3">
        <v>44.99</v>
      </c>
      <c r="O1559" s="2" t="s">
        <v>243</v>
      </c>
      <c r="P1559" s="2" t="s">
        <v>241</v>
      </c>
      <c r="Q1559" s="2" t="s">
        <v>237</v>
      </c>
      <c r="R1559" s="2" t="s">
        <v>231</v>
      </c>
      <c r="S1559" s="2" t="s">
        <v>231</v>
      </c>
      <c r="T1559" s="2" t="s">
        <v>231</v>
      </c>
      <c r="U1559" s="2" t="s">
        <v>327</v>
      </c>
      <c r="V1559" s="2" t="s">
        <v>662</v>
      </c>
      <c r="W1559" s="2" t="s">
        <v>231</v>
      </c>
      <c r="X1559" s="2" t="s">
        <v>231</v>
      </c>
      <c r="Y1559" s="2" t="s">
        <v>945</v>
      </c>
      <c r="Z1559" s="4">
        <v>227</v>
      </c>
      <c r="AA1559" s="4">
        <f>=ROUNDDOWN(32.4285714285714,0)</f>
      </c>
      <c r="AB1559" s="5">
        <v>7</v>
      </c>
      <c r="AC1559" s="2" t="s">
        <v>636</v>
      </c>
      <c r="AD1559" s="4">
        <v>400</v>
      </c>
      <c r="AE1559" s="4">
        <v>400</v>
      </c>
      <c r="AF1559" s="6"/>
      <c r="AG1559" s="6">
        <v>73</v>
      </c>
      <c r="AH1559" s="7">
        <v>1</v>
      </c>
      <c r="AI1559" s="4"/>
      <c r="AJ1559" s="4">
        <f>=ROUNDDOWN({0},0)</f>
      </c>
      <c r="AK1559" s="5"/>
      <c r="AL1559" s="2" t="s">
        <v>231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231</v>
      </c>
      <c r="AW1559" s="8" t="s">
        <v>231</v>
      </c>
      <c r="AX1559" s="4" t="s">
        <v>231</v>
      </c>
      <c r="AY1559" s="8" t="s">
        <v>231</v>
      </c>
      <c r="AZ1559" s="7" t="s">
        <v>231</v>
      </c>
      <c r="BA1559" s="7" t="s">
        <v>231</v>
      </c>
      <c r="BB1559" s="7"/>
      <c r="BC1559" s="4" t="s">
        <v>231</v>
      </c>
      <c r="BD1559" s="8" t="s">
        <v>231</v>
      </c>
      <c r="BE1559" s="4" t="s">
        <v>231</v>
      </c>
      <c r="BF1559" s="8" t="s">
        <v>231</v>
      </c>
      <c r="BG1559" s="7" t="s">
        <v>231</v>
      </c>
      <c r="BH1559" s="7" t="s">
        <v>231</v>
      </c>
      <c r="BI1559" s="7"/>
      <c r="BJ1559" s="4">
        <v>12</v>
      </c>
      <c r="BK1559" s="8">
        <v>302.4</v>
      </c>
      <c r="BL1559" s="2" t="s">
        <v>4671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7231</v>
      </c>
      <c r="BV1559" s="2" t="s">
        <v>231</v>
      </c>
      <c r="BW1559" s="2" t="s">
        <v>231</v>
      </c>
      <c r="BX1559" s="2" t="s">
        <v>241</v>
      </c>
      <c r="BY1559" s="2" t="s">
        <v>277</v>
      </c>
      <c r="BZ1559" s="2" t="s">
        <v>243</v>
      </c>
      <c r="CA1559" s="2" t="s">
        <v>7141</v>
      </c>
      <c r="CB1559" s="2" t="s">
        <v>231</v>
      </c>
      <c r="CC1559" s="2" t="s">
        <v>244</v>
      </c>
      <c r="CD1559" s="2" t="s">
        <v>231</v>
      </c>
      <c r="CE1559" s="4"/>
      <c r="CF1559" s="4"/>
      <c r="CG1559" s="4"/>
      <c r="CH1559" s="4"/>
      <c r="CI1559" s="4">
        <v>227</v>
      </c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>
        <v>400</v>
      </c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</row>
    <row r="1560">
      <c r="A1560" s="2" t="s">
        <v>7232</v>
      </c>
      <c r="B1560" s="2" t="s">
        <v>2695</v>
      </c>
      <c r="C1560" s="2" t="s">
        <v>815</v>
      </c>
      <c r="D1560" s="2" t="s">
        <v>2696</v>
      </c>
      <c r="E1560" s="2" t="s">
        <v>2697</v>
      </c>
      <c r="F1560" s="2" t="s">
        <v>7201</v>
      </c>
      <c r="G1560" s="2" t="s">
        <v>7201</v>
      </c>
      <c r="H1560" s="2" t="s">
        <v>7201</v>
      </c>
      <c r="I1560" s="2" t="s">
        <v>7215</v>
      </c>
      <c r="J1560" s="2" t="s">
        <v>7203</v>
      </c>
      <c r="K1560" s="2" t="s">
        <v>7233</v>
      </c>
      <c r="L1560" s="3">
        <v>20.34</v>
      </c>
      <c r="M1560" s="3">
        <v>21.36</v>
      </c>
      <c r="N1560" s="3">
        <v>44.99</v>
      </c>
      <c r="O1560" s="2" t="s">
        <v>243</v>
      </c>
      <c r="P1560" s="2" t="s">
        <v>241</v>
      </c>
      <c r="Q1560" s="2" t="s">
        <v>237</v>
      </c>
      <c r="R1560" s="2" t="s">
        <v>231</v>
      </c>
      <c r="S1560" s="2" t="s">
        <v>231</v>
      </c>
      <c r="T1560" s="2" t="s">
        <v>231</v>
      </c>
      <c r="U1560" s="2" t="s">
        <v>327</v>
      </c>
      <c r="V1560" s="2" t="s">
        <v>662</v>
      </c>
      <c r="W1560" s="2" t="s">
        <v>231</v>
      </c>
      <c r="X1560" s="2" t="s">
        <v>231</v>
      </c>
      <c r="Y1560" s="2" t="s">
        <v>945</v>
      </c>
      <c r="Z1560" s="4">
        <v>14</v>
      </c>
      <c r="AA1560" s="4">
        <f>=ROUNDDOWN(1.27272727272727,0)</f>
      </c>
      <c r="AB1560" s="5">
        <v>11</v>
      </c>
      <c r="AC1560" s="2" t="s">
        <v>636</v>
      </c>
      <c r="AD1560" s="4">
        <v>100</v>
      </c>
      <c r="AE1560" s="4">
        <v>100</v>
      </c>
      <c r="AF1560" s="6"/>
      <c r="AG1560" s="6">
        <v>73</v>
      </c>
      <c r="AH1560" s="7">
        <v>1</v>
      </c>
      <c r="AI1560" s="4"/>
      <c r="AJ1560" s="4">
        <f>=ROUNDDOWN({0},0)</f>
      </c>
      <c r="AK1560" s="5"/>
      <c r="AL1560" s="2" t="s">
        <v>231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231</v>
      </c>
      <c r="AW1560" s="8" t="s">
        <v>231</v>
      </c>
      <c r="AX1560" s="4" t="s">
        <v>231</v>
      </c>
      <c r="AY1560" s="8" t="s">
        <v>231</v>
      </c>
      <c r="AZ1560" s="7" t="s">
        <v>231</v>
      </c>
      <c r="BA1560" s="7" t="s">
        <v>231</v>
      </c>
      <c r="BB1560" s="7"/>
      <c r="BC1560" s="4" t="s">
        <v>231</v>
      </c>
      <c r="BD1560" s="8" t="s">
        <v>231</v>
      </c>
      <c r="BE1560" s="4" t="s">
        <v>231</v>
      </c>
      <c r="BF1560" s="8" t="s">
        <v>231</v>
      </c>
      <c r="BG1560" s="7" t="s">
        <v>231</v>
      </c>
      <c r="BH1560" s="7" t="s">
        <v>231</v>
      </c>
      <c r="BI1560" s="7"/>
      <c r="BJ1560" s="4">
        <v>2</v>
      </c>
      <c r="BK1560" s="8">
        <v>50.4</v>
      </c>
      <c r="BL1560" s="2" t="s">
        <v>1423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7234</v>
      </c>
      <c r="BV1560" s="2" t="s">
        <v>231</v>
      </c>
      <c r="BW1560" s="2" t="s">
        <v>231</v>
      </c>
      <c r="BX1560" s="2" t="s">
        <v>241</v>
      </c>
      <c r="BY1560" s="2" t="s">
        <v>277</v>
      </c>
      <c r="BZ1560" s="2" t="s">
        <v>243</v>
      </c>
      <c r="CA1560" s="2" t="s">
        <v>7141</v>
      </c>
      <c r="CB1560" s="2" t="s">
        <v>231</v>
      </c>
      <c r="CC1560" s="2" t="s">
        <v>244</v>
      </c>
      <c r="CD1560" s="2" t="s">
        <v>231</v>
      </c>
      <c r="CE1560" s="4"/>
      <c r="CF1560" s="4"/>
      <c r="CG1560" s="4"/>
      <c r="CH1560" s="4"/>
      <c r="CI1560" s="4">
        <v>14</v>
      </c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>
        <v>100</v>
      </c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</row>
    <row r="1561">
      <c r="A1561" s="2" t="s">
        <v>7235</v>
      </c>
      <c r="B1561" s="2" t="s">
        <v>2695</v>
      </c>
      <c r="C1561" s="2" t="s">
        <v>815</v>
      </c>
      <c r="D1561" s="2" t="s">
        <v>2696</v>
      </c>
      <c r="E1561" s="2" t="s">
        <v>2697</v>
      </c>
      <c r="F1561" s="2" t="s">
        <v>7201</v>
      </c>
      <c r="G1561" s="2" t="s">
        <v>7201</v>
      </c>
      <c r="H1561" s="2" t="s">
        <v>7201</v>
      </c>
      <c r="I1561" s="2" t="s">
        <v>7215</v>
      </c>
      <c r="J1561" s="2" t="s">
        <v>7208</v>
      </c>
      <c r="K1561" s="2" t="s">
        <v>7233</v>
      </c>
      <c r="L1561" s="3">
        <v>20.34</v>
      </c>
      <c r="M1561" s="3">
        <v>21.36</v>
      </c>
      <c r="N1561" s="3">
        <v>44.99</v>
      </c>
      <c r="O1561" s="2" t="s">
        <v>243</v>
      </c>
      <c r="P1561" s="2" t="s">
        <v>241</v>
      </c>
      <c r="Q1561" s="2" t="s">
        <v>237</v>
      </c>
      <c r="R1561" s="2" t="s">
        <v>231</v>
      </c>
      <c r="S1561" s="2" t="s">
        <v>231</v>
      </c>
      <c r="T1561" s="2" t="s">
        <v>231</v>
      </c>
      <c r="U1561" s="2" t="s">
        <v>327</v>
      </c>
      <c r="V1561" s="2" t="s">
        <v>662</v>
      </c>
      <c r="W1561" s="2" t="s">
        <v>231</v>
      </c>
      <c r="X1561" s="2" t="s">
        <v>231</v>
      </c>
      <c r="Y1561" s="2" t="s">
        <v>945</v>
      </c>
      <c r="Z1561" s="4">
        <v>70</v>
      </c>
      <c r="AA1561" s="4">
        <f>=ROUNDDOWN(14,0)</f>
      </c>
      <c r="AB1561" s="5">
        <v>5</v>
      </c>
      <c r="AC1561" s="2" t="s">
        <v>636</v>
      </c>
      <c r="AD1561" s="4">
        <v>300</v>
      </c>
      <c r="AE1561" s="4">
        <v>300</v>
      </c>
      <c r="AF1561" s="6"/>
      <c r="AG1561" s="6">
        <v>73</v>
      </c>
      <c r="AH1561" s="7">
        <v>1</v>
      </c>
      <c r="AI1561" s="4"/>
      <c r="AJ1561" s="4">
        <f>=ROUNDDOWN({0},0)</f>
      </c>
      <c r="AK1561" s="5"/>
      <c r="AL1561" s="2" t="s">
        <v>231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231</v>
      </c>
      <c r="AW1561" s="8" t="s">
        <v>231</v>
      </c>
      <c r="AX1561" s="4" t="s">
        <v>231</v>
      </c>
      <c r="AY1561" s="8" t="s">
        <v>231</v>
      </c>
      <c r="AZ1561" s="7" t="s">
        <v>231</v>
      </c>
      <c r="BA1561" s="7" t="s">
        <v>231</v>
      </c>
      <c r="BB1561" s="7"/>
      <c r="BC1561" s="4" t="s">
        <v>231</v>
      </c>
      <c r="BD1561" s="8" t="s">
        <v>231</v>
      </c>
      <c r="BE1561" s="4" t="s">
        <v>231</v>
      </c>
      <c r="BF1561" s="8" t="s">
        <v>231</v>
      </c>
      <c r="BG1561" s="7" t="s">
        <v>231</v>
      </c>
      <c r="BH1561" s="7" t="s">
        <v>231</v>
      </c>
      <c r="BI1561" s="7"/>
      <c r="BJ1561" s="4">
        <v>9</v>
      </c>
      <c r="BK1561" s="8">
        <v>226.8</v>
      </c>
      <c r="BL1561" s="2" t="s">
        <v>1423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7236</v>
      </c>
      <c r="BV1561" s="2" t="s">
        <v>231</v>
      </c>
      <c r="BW1561" s="2" t="s">
        <v>231</v>
      </c>
      <c r="BX1561" s="2" t="s">
        <v>241</v>
      </c>
      <c r="BY1561" s="2" t="s">
        <v>277</v>
      </c>
      <c r="BZ1561" s="2" t="s">
        <v>243</v>
      </c>
      <c r="CA1561" s="2" t="s">
        <v>7141</v>
      </c>
      <c r="CB1561" s="2" t="s">
        <v>7237</v>
      </c>
      <c r="CC1561" s="2" t="s">
        <v>244</v>
      </c>
      <c r="CD1561" s="2" t="s">
        <v>231</v>
      </c>
      <c r="CE1561" s="4"/>
      <c r="CF1561" s="4"/>
      <c r="CG1561" s="4"/>
      <c r="CH1561" s="4"/>
      <c r="CI1561" s="4">
        <v>70</v>
      </c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>
        <v>300</v>
      </c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</row>
    <row r="1562">
      <c r="A1562" s="2" t="s">
        <v>7238</v>
      </c>
      <c r="B1562" s="2" t="s">
        <v>2695</v>
      </c>
      <c r="C1562" s="2" t="s">
        <v>815</v>
      </c>
      <c r="D1562" s="2" t="s">
        <v>2696</v>
      </c>
      <c r="E1562" s="2" t="s">
        <v>2697</v>
      </c>
      <c r="F1562" s="2" t="s">
        <v>7201</v>
      </c>
      <c r="G1562" s="2" t="s">
        <v>7201</v>
      </c>
      <c r="H1562" s="2" t="s">
        <v>7201</v>
      </c>
      <c r="I1562" s="2" t="s">
        <v>7215</v>
      </c>
      <c r="J1562" s="2" t="s">
        <v>7212</v>
      </c>
      <c r="K1562" s="2" t="s">
        <v>7233</v>
      </c>
      <c r="L1562" s="3">
        <v>20.34</v>
      </c>
      <c r="M1562" s="3">
        <v>21.36</v>
      </c>
      <c r="N1562" s="3">
        <v>44.99</v>
      </c>
      <c r="O1562" s="2" t="s">
        <v>243</v>
      </c>
      <c r="P1562" s="2" t="s">
        <v>241</v>
      </c>
      <c r="Q1562" s="2" t="s">
        <v>237</v>
      </c>
      <c r="R1562" s="2" t="s">
        <v>231</v>
      </c>
      <c r="S1562" s="2" t="s">
        <v>231</v>
      </c>
      <c r="T1562" s="2" t="s">
        <v>231</v>
      </c>
      <c r="U1562" s="2" t="s">
        <v>327</v>
      </c>
      <c r="V1562" s="2" t="s">
        <v>662</v>
      </c>
      <c r="W1562" s="2" t="s">
        <v>231</v>
      </c>
      <c r="X1562" s="2" t="s">
        <v>231</v>
      </c>
      <c r="Y1562" s="2" t="s">
        <v>945</v>
      </c>
      <c r="Z1562" s="4">
        <v>49</v>
      </c>
      <c r="AA1562" s="4">
        <f>=ROUNDDOWN({0},0)</f>
      </c>
      <c r="AB1562" s="5">
        <v>3.4</v>
      </c>
      <c r="AC1562" s="2" t="s">
        <v>636</v>
      </c>
      <c r="AD1562" s="4">
        <v>300</v>
      </c>
      <c r="AE1562" s="4">
        <v>300</v>
      </c>
      <c r="AF1562" s="6"/>
      <c r="AG1562" s="6">
        <v>73</v>
      </c>
      <c r="AH1562" s="7">
        <v>1</v>
      </c>
      <c r="AI1562" s="4"/>
      <c r="AJ1562" s="4">
        <f>=ROUNDDOWN({0},0)</f>
      </c>
      <c r="AK1562" s="5"/>
      <c r="AL1562" s="2" t="s">
        <v>231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231</v>
      </c>
      <c r="AW1562" s="8" t="s">
        <v>231</v>
      </c>
      <c r="AX1562" s="4" t="s">
        <v>231</v>
      </c>
      <c r="AY1562" s="8" t="s">
        <v>231</v>
      </c>
      <c r="AZ1562" s="7" t="s">
        <v>231</v>
      </c>
      <c r="BA1562" s="7" t="s">
        <v>231</v>
      </c>
      <c r="BB1562" s="7"/>
      <c r="BC1562" s="4" t="s">
        <v>231</v>
      </c>
      <c r="BD1562" s="8" t="s">
        <v>231</v>
      </c>
      <c r="BE1562" s="4" t="s">
        <v>231</v>
      </c>
      <c r="BF1562" s="8" t="s">
        <v>231</v>
      </c>
      <c r="BG1562" s="7" t="s">
        <v>231</v>
      </c>
      <c r="BH1562" s="7" t="s">
        <v>231</v>
      </c>
      <c r="BI1562" s="7"/>
      <c r="BJ1562" s="4">
        <v>3</v>
      </c>
      <c r="BK1562" s="8">
        <v>75.6</v>
      </c>
      <c r="BL1562" s="2" t="s">
        <v>1423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7239</v>
      </c>
      <c r="BV1562" s="2" t="s">
        <v>231</v>
      </c>
      <c r="BW1562" s="2" t="s">
        <v>231</v>
      </c>
      <c r="BX1562" s="2" t="s">
        <v>241</v>
      </c>
      <c r="BY1562" s="2" t="s">
        <v>277</v>
      </c>
      <c r="BZ1562" s="2" t="s">
        <v>243</v>
      </c>
      <c r="CA1562" s="2" t="s">
        <v>7141</v>
      </c>
      <c r="CB1562" s="2" t="s">
        <v>7240</v>
      </c>
      <c r="CC1562" s="2" t="s">
        <v>244</v>
      </c>
      <c r="CD1562" s="2" t="s">
        <v>231</v>
      </c>
      <c r="CE1562" s="4"/>
      <c r="CF1562" s="4"/>
      <c r="CG1562" s="4"/>
      <c r="CH1562" s="4"/>
      <c r="CI1562" s="4">
        <v>49</v>
      </c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>
        <v>300</v>
      </c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</row>
    <row r="1563">
      <c r="A1563" s="2" t="s">
        <v>7241</v>
      </c>
      <c r="B1563" s="2" t="s">
        <v>2695</v>
      </c>
      <c r="C1563" s="2" t="s">
        <v>815</v>
      </c>
      <c r="D1563" s="2" t="s">
        <v>2696</v>
      </c>
      <c r="E1563" s="2" t="s">
        <v>2697</v>
      </c>
      <c r="F1563" s="2" t="s">
        <v>7201</v>
      </c>
      <c r="G1563" s="2" t="s">
        <v>7201</v>
      </c>
      <c r="H1563" s="2" t="s">
        <v>7201</v>
      </c>
      <c r="I1563" s="2" t="s">
        <v>7215</v>
      </c>
      <c r="J1563" s="2" t="s">
        <v>7208</v>
      </c>
      <c r="K1563" s="2" t="s">
        <v>7113</v>
      </c>
      <c r="L1563" s="3">
        <v>20.34</v>
      </c>
      <c r="M1563" s="3">
        <v>21.36</v>
      </c>
      <c r="N1563" s="3">
        <v>44.99</v>
      </c>
      <c r="O1563" s="2" t="s">
        <v>243</v>
      </c>
      <c r="P1563" s="2" t="s">
        <v>241</v>
      </c>
      <c r="Q1563" s="2" t="s">
        <v>237</v>
      </c>
      <c r="R1563" s="2" t="s">
        <v>231</v>
      </c>
      <c r="S1563" s="2" t="s">
        <v>231</v>
      </c>
      <c r="T1563" s="2" t="s">
        <v>231</v>
      </c>
      <c r="U1563" s="2" t="s">
        <v>327</v>
      </c>
      <c r="V1563" s="2" t="s">
        <v>662</v>
      </c>
      <c r="W1563" s="2" t="s">
        <v>231</v>
      </c>
      <c r="X1563" s="2" t="s">
        <v>231</v>
      </c>
      <c r="Y1563" s="2" t="s">
        <v>945</v>
      </c>
      <c r="Z1563" s="4"/>
      <c r="AA1563" s="4">
        <f>=ROUNDDOWN({0},0)</f>
      </c>
      <c r="AB1563" s="5">
        <v>2</v>
      </c>
      <c r="AC1563" s="2" t="s">
        <v>636</v>
      </c>
      <c r="AD1563" s="4">
        <v>300</v>
      </c>
      <c r="AE1563" s="4">
        <v>300</v>
      </c>
      <c r="AF1563" s="6"/>
      <c r="AG1563" s="6">
        <v>73</v>
      </c>
      <c r="AH1563" s="7">
        <v>0</v>
      </c>
      <c r="AI1563" s="4"/>
      <c r="AJ1563" s="4">
        <f>=ROUNDDOWN({0},0)</f>
      </c>
      <c r="AK1563" s="5"/>
      <c r="AL1563" s="2" t="s">
        <v>231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231</v>
      </c>
      <c r="AW1563" s="8" t="s">
        <v>231</v>
      </c>
      <c r="AX1563" s="4" t="s">
        <v>231</v>
      </c>
      <c r="AY1563" s="8" t="s">
        <v>231</v>
      </c>
      <c r="AZ1563" s="7" t="s">
        <v>231</v>
      </c>
      <c r="BA1563" s="7" t="s">
        <v>231</v>
      </c>
      <c r="BB1563" s="7"/>
      <c r="BC1563" s="4" t="s">
        <v>231</v>
      </c>
      <c r="BD1563" s="8" t="s">
        <v>231</v>
      </c>
      <c r="BE1563" s="4" t="s">
        <v>231</v>
      </c>
      <c r="BF1563" s="8" t="s">
        <v>231</v>
      </c>
      <c r="BG1563" s="7" t="s">
        <v>231</v>
      </c>
      <c r="BH1563" s="7" t="s">
        <v>231</v>
      </c>
      <c r="BI1563" s="7"/>
      <c r="BJ1563" s="4"/>
      <c r="BK1563" s="8"/>
      <c r="BL1563" s="2" t="s">
        <v>231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7242</v>
      </c>
      <c r="BV1563" s="2" t="s">
        <v>231</v>
      </c>
      <c r="BW1563" s="2" t="s">
        <v>231</v>
      </c>
      <c r="BX1563" s="2" t="s">
        <v>241</v>
      </c>
      <c r="BY1563" s="2" t="s">
        <v>277</v>
      </c>
      <c r="BZ1563" s="2" t="s">
        <v>243</v>
      </c>
      <c r="CA1563" s="2" t="s">
        <v>7141</v>
      </c>
      <c r="CB1563" s="2" t="s">
        <v>231</v>
      </c>
      <c r="CC1563" s="2" t="s">
        <v>244</v>
      </c>
      <c r="CD1563" s="2" t="s">
        <v>231</v>
      </c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>
        <v>300</v>
      </c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</row>
    <row r="1564">
      <c r="A1564" s="2" t="s">
        <v>7243</v>
      </c>
      <c r="B1564" s="2" t="s">
        <v>2695</v>
      </c>
      <c r="C1564" s="2" t="s">
        <v>815</v>
      </c>
      <c r="D1564" s="2" t="s">
        <v>2696</v>
      </c>
      <c r="E1564" s="2" t="s">
        <v>2697</v>
      </c>
      <c r="F1564" s="2" t="s">
        <v>7201</v>
      </c>
      <c r="G1564" s="2" t="s">
        <v>7201</v>
      </c>
      <c r="H1564" s="2" t="s">
        <v>7201</v>
      </c>
      <c r="I1564" s="2" t="s">
        <v>7215</v>
      </c>
      <c r="J1564" s="2" t="s">
        <v>7212</v>
      </c>
      <c r="K1564" s="2" t="s">
        <v>7113</v>
      </c>
      <c r="L1564" s="3">
        <v>20.34</v>
      </c>
      <c r="M1564" s="3">
        <v>21.36</v>
      </c>
      <c r="N1564" s="3">
        <v>44.99</v>
      </c>
      <c r="O1564" s="2" t="s">
        <v>243</v>
      </c>
      <c r="P1564" s="2" t="s">
        <v>241</v>
      </c>
      <c r="Q1564" s="2" t="s">
        <v>237</v>
      </c>
      <c r="R1564" s="2" t="s">
        <v>231</v>
      </c>
      <c r="S1564" s="2" t="s">
        <v>231</v>
      </c>
      <c r="T1564" s="2" t="s">
        <v>231</v>
      </c>
      <c r="U1564" s="2" t="s">
        <v>327</v>
      </c>
      <c r="V1564" s="2" t="s">
        <v>662</v>
      </c>
      <c r="W1564" s="2" t="s">
        <v>231</v>
      </c>
      <c r="X1564" s="2" t="s">
        <v>231</v>
      </c>
      <c r="Y1564" s="2" t="s">
        <v>945</v>
      </c>
      <c r="Z1564" s="4"/>
      <c r="AA1564" s="4">
        <f>=ROUNDDOWN({0},0)</f>
      </c>
      <c r="AB1564" s="5">
        <v>1</v>
      </c>
      <c r="AC1564" s="2" t="s">
        <v>636</v>
      </c>
      <c r="AD1564" s="4">
        <v>150</v>
      </c>
      <c r="AE1564" s="4">
        <v>150</v>
      </c>
      <c r="AF1564" s="6"/>
      <c r="AG1564" s="6">
        <v>73</v>
      </c>
      <c r="AH1564" s="7">
        <v>0</v>
      </c>
      <c r="AI1564" s="4"/>
      <c r="AJ1564" s="4">
        <f>=ROUNDDOWN({0},0)</f>
      </c>
      <c r="AK1564" s="5"/>
      <c r="AL1564" s="2" t="s">
        <v>231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231</v>
      </c>
      <c r="AW1564" s="8" t="s">
        <v>231</v>
      </c>
      <c r="AX1564" s="4" t="s">
        <v>231</v>
      </c>
      <c r="AY1564" s="8" t="s">
        <v>231</v>
      </c>
      <c r="AZ1564" s="7" t="s">
        <v>231</v>
      </c>
      <c r="BA1564" s="7" t="s">
        <v>231</v>
      </c>
      <c r="BB1564" s="7"/>
      <c r="BC1564" s="4" t="s">
        <v>231</v>
      </c>
      <c r="BD1564" s="8" t="s">
        <v>231</v>
      </c>
      <c r="BE1564" s="4" t="s">
        <v>231</v>
      </c>
      <c r="BF1564" s="8" t="s">
        <v>231</v>
      </c>
      <c r="BG1564" s="7" t="s">
        <v>231</v>
      </c>
      <c r="BH1564" s="7" t="s">
        <v>231</v>
      </c>
      <c r="BI1564" s="7"/>
      <c r="BJ1564" s="4"/>
      <c r="BK1564" s="8"/>
      <c r="BL1564" s="2" t="s">
        <v>231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7244</v>
      </c>
      <c r="BV1564" s="2" t="s">
        <v>231</v>
      </c>
      <c r="BW1564" s="2" t="s">
        <v>231</v>
      </c>
      <c r="BX1564" s="2" t="s">
        <v>241</v>
      </c>
      <c r="BY1564" s="2" t="s">
        <v>277</v>
      </c>
      <c r="BZ1564" s="2" t="s">
        <v>243</v>
      </c>
      <c r="CA1564" s="2" t="s">
        <v>7141</v>
      </c>
      <c r="CB1564" s="2" t="s">
        <v>231</v>
      </c>
      <c r="CC1564" s="2" t="s">
        <v>244</v>
      </c>
      <c r="CD1564" s="2" t="s">
        <v>231</v>
      </c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>
        <v>150</v>
      </c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</row>
    <row r="1565">
      <c r="A1565" s="2" t="s">
        <v>7245</v>
      </c>
      <c r="B1565" s="2" t="s">
        <v>1186</v>
      </c>
      <c r="C1565" s="2" t="s">
        <v>815</v>
      </c>
      <c r="D1565" s="2" t="s">
        <v>826</v>
      </c>
      <c r="E1565" s="2" t="s">
        <v>1060</v>
      </c>
      <c r="F1565" s="2" t="s">
        <v>7246</v>
      </c>
      <c r="G1565" s="2" t="s">
        <v>7246</v>
      </c>
      <c r="H1565" s="2" t="s">
        <v>7246</v>
      </c>
      <c r="I1565" s="2" t="s">
        <v>7247</v>
      </c>
      <c r="J1565" s="2" t="s">
        <v>669</v>
      </c>
      <c r="K1565" s="2" t="s">
        <v>486</v>
      </c>
      <c r="L1565" s="3">
        <v>65.55</v>
      </c>
      <c r="M1565" s="3">
        <v>68.83</v>
      </c>
      <c r="N1565" s="3">
        <v>139.99</v>
      </c>
      <c r="O1565" s="2" t="s">
        <v>243</v>
      </c>
      <c r="P1565" s="2" t="s">
        <v>270</v>
      </c>
      <c r="Q1565" s="2" t="s">
        <v>237</v>
      </c>
      <c r="R1565" s="2" t="s">
        <v>231</v>
      </c>
      <c r="S1565" s="2" t="s">
        <v>7248</v>
      </c>
      <c r="T1565" s="2" t="s">
        <v>362</v>
      </c>
      <c r="U1565" s="2" t="s">
        <v>835</v>
      </c>
      <c r="V1565" s="2" t="s">
        <v>3223</v>
      </c>
      <c r="W1565" s="2" t="s">
        <v>2541</v>
      </c>
      <c r="X1565" s="2" t="s">
        <v>1891</v>
      </c>
      <c r="Y1565" s="2" t="s">
        <v>7249</v>
      </c>
      <c r="Z1565" s="4">
        <v>104</v>
      </c>
      <c r="AA1565" s="4">
        <f>=ROUNDDOWN(34.6666666666667,0)</f>
      </c>
      <c r="AB1565" s="5">
        <v>3</v>
      </c>
      <c r="AC1565" s="2" t="s">
        <v>231</v>
      </c>
      <c r="AD1565" s="4"/>
      <c r="AE1565" s="4"/>
      <c r="AF1565" s="6">
        <v>69</v>
      </c>
      <c r="AG1565" s="6"/>
      <c r="AH1565" s="7">
        <v>1</v>
      </c>
      <c r="AI1565" s="4"/>
      <c r="AJ1565" s="4">
        <f>=ROUNDDOWN({0},0)</f>
      </c>
      <c r="AK1565" s="5"/>
      <c r="AL1565" s="2" t="s">
        <v>231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 t="s">
        <v>231</v>
      </c>
      <c r="BD1565" s="8" t="s">
        <v>231</v>
      </c>
      <c r="BE1565" s="4" t="s">
        <v>231</v>
      </c>
      <c r="BF1565" s="8" t="s">
        <v>231</v>
      </c>
      <c r="BG1565" s="7" t="s">
        <v>231</v>
      </c>
      <c r="BH1565" s="7" t="s">
        <v>231</v>
      </c>
      <c r="BI1565" s="7"/>
      <c r="BJ1565" s="4">
        <v>11</v>
      </c>
      <c r="BK1565" s="8">
        <v>767.3</v>
      </c>
      <c r="BL1565" s="2" t="s">
        <v>988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7250</v>
      </c>
      <c r="BV1565" s="2" t="s">
        <v>231</v>
      </c>
      <c r="BW1565" s="2" t="s">
        <v>231</v>
      </c>
      <c r="BX1565" s="2" t="s">
        <v>231</v>
      </c>
      <c r="BY1565" s="2" t="s">
        <v>277</v>
      </c>
      <c r="BZ1565" s="2" t="s">
        <v>243</v>
      </c>
      <c r="CA1565" s="2" t="s">
        <v>7249</v>
      </c>
      <c r="CB1565" s="2" t="s">
        <v>7251</v>
      </c>
      <c r="CC1565" s="2" t="s">
        <v>244</v>
      </c>
      <c r="CD1565" s="2" t="s">
        <v>231</v>
      </c>
      <c r="CE1565" s="4">
        <v>104</v>
      </c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</row>
    <row r="1566">
      <c r="A1566" s="2" t="s">
        <v>7252</v>
      </c>
      <c r="B1566" s="2" t="s">
        <v>1186</v>
      </c>
      <c r="C1566" s="2" t="s">
        <v>815</v>
      </c>
      <c r="D1566" s="2" t="s">
        <v>826</v>
      </c>
      <c r="E1566" s="2" t="s">
        <v>1060</v>
      </c>
      <c r="F1566" s="2" t="s">
        <v>7246</v>
      </c>
      <c r="G1566" s="2" t="s">
        <v>7246</v>
      </c>
      <c r="H1566" s="2" t="s">
        <v>7246</v>
      </c>
      <c r="I1566" s="2" t="s">
        <v>7247</v>
      </c>
      <c r="J1566" s="2" t="s">
        <v>658</v>
      </c>
      <c r="K1566" s="2" t="s">
        <v>234</v>
      </c>
      <c r="L1566" s="3">
        <v>51.3</v>
      </c>
      <c r="M1566" s="3">
        <v>53.86</v>
      </c>
      <c r="N1566" s="3">
        <v>109.99</v>
      </c>
      <c r="O1566" s="2" t="s">
        <v>243</v>
      </c>
      <c r="P1566" s="2" t="s">
        <v>270</v>
      </c>
      <c r="Q1566" s="2" t="s">
        <v>237</v>
      </c>
      <c r="R1566" s="2" t="s">
        <v>231</v>
      </c>
      <c r="S1566" s="2" t="s">
        <v>7253</v>
      </c>
      <c r="T1566" s="2" t="s">
        <v>362</v>
      </c>
      <c r="U1566" s="2" t="s">
        <v>835</v>
      </c>
      <c r="V1566" s="2" t="s">
        <v>3223</v>
      </c>
      <c r="W1566" s="2" t="s">
        <v>2541</v>
      </c>
      <c r="X1566" s="2" t="s">
        <v>1891</v>
      </c>
      <c r="Y1566" s="2" t="s">
        <v>7254</v>
      </c>
      <c r="Z1566" s="4">
        <v>357</v>
      </c>
      <c r="AA1566" s="4">
        <f>=ROUNDDOWN(44.625,0)</f>
      </c>
      <c r="AB1566" s="5">
        <v>8</v>
      </c>
      <c r="AC1566" s="2" t="s">
        <v>1580</v>
      </c>
      <c r="AD1566" s="4">
        <v>30</v>
      </c>
      <c r="AE1566" s="4">
        <v>30</v>
      </c>
      <c r="AF1566" s="6">
        <v>69</v>
      </c>
      <c r="AG1566" s="6">
        <v>77</v>
      </c>
      <c r="AH1566" s="7">
        <v>1</v>
      </c>
      <c r="AI1566" s="4"/>
      <c r="AJ1566" s="4">
        <f>=ROUNDDOWN({0},0)</f>
      </c>
      <c r="AK1566" s="5"/>
      <c r="AL1566" s="2" t="s">
        <v>231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231</v>
      </c>
      <c r="BD1566" s="8" t="s">
        <v>231</v>
      </c>
      <c r="BE1566" s="4" t="s">
        <v>231</v>
      </c>
      <c r="BF1566" s="8" t="s">
        <v>231</v>
      </c>
      <c r="BG1566" s="7" t="s">
        <v>231</v>
      </c>
      <c r="BH1566" s="7" t="s">
        <v>231</v>
      </c>
      <c r="BI1566" s="7"/>
      <c r="BJ1566" s="4">
        <v>13</v>
      </c>
      <c r="BK1566" s="8">
        <v>724.27</v>
      </c>
      <c r="BL1566" s="2" t="s">
        <v>7255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7256</v>
      </c>
      <c r="BV1566" s="2" t="s">
        <v>231</v>
      </c>
      <c r="BW1566" s="2" t="s">
        <v>231</v>
      </c>
      <c r="BX1566" s="2" t="s">
        <v>231</v>
      </c>
      <c r="BY1566" s="2" t="s">
        <v>277</v>
      </c>
      <c r="BZ1566" s="2" t="s">
        <v>243</v>
      </c>
      <c r="CA1566" s="2" t="s">
        <v>7254</v>
      </c>
      <c r="CB1566" s="2" t="s">
        <v>7257</v>
      </c>
      <c r="CC1566" s="2" t="s">
        <v>244</v>
      </c>
      <c r="CD1566" s="2" t="s">
        <v>231</v>
      </c>
      <c r="CE1566" s="4">
        <v>255</v>
      </c>
      <c r="CF1566" s="4"/>
      <c r="CG1566" s="4"/>
      <c r="CH1566" s="4"/>
      <c r="CI1566" s="4">
        <v>102</v>
      </c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>
        <v>30</v>
      </c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</row>
    <row r="1567">
      <c r="A1567" s="2" t="s">
        <v>7258</v>
      </c>
      <c r="B1567" s="2" t="s">
        <v>940</v>
      </c>
      <c r="C1567" s="2" t="s">
        <v>815</v>
      </c>
      <c r="D1567" s="2" t="s">
        <v>1533</v>
      </c>
      <c r="E1567" s="2" t="s">
        <v>1534</v>
      </c>
      <c r="F1567" s="2" t="s">
        <v>7246</v>
      </c>
      <c r="G1567" s="2" t="s">
        <v>7246</v>
      </c>
      <c r="H1567" s="2" t="s">
        <v>7246</v>
      </c>
      <c r="I1567" s="2" t="s">
        <v>7259</v>
      </c>
      <c r="J1567" s="2" t="s">
        <v>1536</v>
      </c>
      <c r="K1567" s="2" t="s">
        <v>659</v>
      </c>
      <c r="L1567" s="3">
        <v>22.33</v>
      </c>
      <c r="M1567" s="3">
        <v>23.45</v>
      </c>
      <c r="N1567" s="3">
        <v>46.99</v>
      </c>
      <c r="O1567" s="2" t="s">
        <v>243</v>
      </c>
      <c r="P1567" s="2" t="s">
        <v>236</v>
      </c>
      <c r="Q1567" s="2" t="s">
        <v>237</v>
      </c>
      <c r="R1567" s="2" t="s">
        <v>231</v>
      </c>
      <c r="S1567" s="2" t="s">
        <v>7260</v>
      </c>
      <c r="T1567" s="2" t="s">
        <v>362</v>
      </c>
      <c r="U1567" s="2" t="s">
        <v>327</v>
      </c>
      <c r="V1567" s="2" t="s">
        <v>987</v>
      </c>
      <c r="W1567" s="2" t="s">
        <v>808</v>
      </c>
      <c r="X1567" s="2" t="s">
        <v>1891</v>
      </c>
      <c r="Y1567" s="2" t="s">
        <v>636</v>
      </c>
      <c r="Z1567" s="4">
        <v>318</v>
      </c>
      <c r="AA1567" s="4">
        <f>=ROUNDDOWN(45.4285714285714,0)</f>
      </c>
      <c r="AB1567" s="5">
        <v>7</v>
      </c>
      <c r="AC1567" s="2" t="s">
        <v>231</v>
      </c>
      <c r="AD1567" s="4"/>
      <c r="AE1567" s="4"/>
      <c r="AF1567" s="6">
        <v>69</v>
      </c>
      <c r="AG1567" s="6"/>
      <c r="AH1567" s="7">
        <v>1</v>
      </c>
      <c r="AI1567" s="4"/>
      <c r="AJ1567" s="4">
        <f>=ROUNDDOWN({0},0)</f>
      </c>
      <c r="AK1567" s="5"/>
      <c r="AL1567" s="2" t="s">
        <v>231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 t="s">
        <v>231</v>
      </c>
      <c r="BD1567" s="8" t="s">
        <v>231</v>
      </c>
      <c r="BE1567" s="4" t="s">
        <v>231</v>
      </c>
      <c r="BF1567" s="8" t="s">
        <v>231</v>
      </c>
      <c r="BG1567" s="7" t="s">
        <v>231</v>
      </c>
      <c r="BH1567" s="7" t="s">
        <v>231</v>
      </c>
      <c r="BI1567" s="7"/>
      <c r="BJ1567" s="4">
        <v>1</v>
      </c>
      <c r="BK1567" s="8">
        <v>25.79</v>
      </c>
      <c r="BL1567" s="2" t="s">
        <v>1306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7261</v>
      </c>
      <c r="BV1567" s="2" t="s">
        <v>231</v>
      </c>
      <c r="BW1567" s="2" t="s">
        <v>231</v>
      </c>
      <c r="BX1567" s="2" t="s">
        <v>312</v>
      </c>
      <c r="BY1567" s="2" t="s">
        <v>277</v>
      </c>
      <c r="BZ1567" s="2" t="s">
        <v>243</v>
      </c>
      <c r="CA1567" s="2" t="s">
        <v>3693</v>
      </c>
      <c r="CB1567" s="2" t="s">
        <v>231</v>
      </c>
      <c r="CC1567" s="2" t="s">
        <v>244</v>
      </c>
      <c r="CD1567" s="2" t="s">
        <v>231</v>
      </c>
      <c r="CE1567" s="4">
        <v>318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</row>
    <row r="1568">
      <c r="A1568" s="2" t="s">
        <v>7262</v>
      </c>
      <c r="B1568" s="2" t="s">
        <v>847</v>
      </c>
      <c r="C1568" s="2" t="s">
        <v>867</v>
      </c>
      <c r="D1568" s="2" t="s">
        <v>2003</v>
      </c>
      <c r="E1568" s="2" t="s">
        <v>849</v>
      </c>
      <c r="F1568" s="2" t="s">
        <v>7263</v>
      </c>
      <c r="G1568" s="2" t="s">
        <v>7263</v>
      </c>
      <c r="H1568" s="2" t="s">
        <v>7263</v>
      </c>
      <c r="I1568" s="2" t="s">
        <v>7264</v>
      </c>
      <c r="J1568" s="2" t="s">
        <v>807</v>
      </c>
      <c r="K1568" s="2" t="s">
        <v>269</v>
      </c>
      <c r="L1568" s="3">
        <v>40.8</v>
      </c>
      <c r="M1568" s="3">
        <v>42.84</v>
      </c>
      <c r="N1568" s="3">
        <v>84.99</v>
      </c>
      <c r="O1568" s="2" t="s">
        <v>243</v>
      </c>
      <c r="P1568" s="2" t="s">
        <v>1985</v>
      </c>
      <c r="Q1568" s="2" t="s">
        <v>237</v>
      </c>
      <c r="R1568" s="2" t="s">
        <v>231</v>
      </c>
      <c r="S1568" s="2" t="s">
        <v>7265</v>
      </c>
      <c r="T1568" s="2" t="s">
        <v>231</v>
      </c>
      <c r="U1568" s="2" t="s">
        <v>327</v>
      </c>
      <c r="V1568" s="2" t="s">
        <v>363</v>
      </c>
      <c r="W1568" s="2" t="s">
        <v>691</v>
      </c>
      <c r="X1568" s="2" t="s">
        <v>1694</v>
      </c>
      <c r="Y1568" s="2" t="s">
        <v>3609</v>
      </c>
      <c r="Z1568" s="4">
        <v>43</v>
      </c>
      <c r="AA1568" s="4">
        <f>=ROUNDDOWN(11.3157894736842,0)</f>
      </c>
      <c r="AB1568" s="5">
        <v>3.8</v>
      </c>
      <c r="AC1568" s="2" t="s">
        <v>2082</v>
      </c>
      <c r="AD1568" s="4">
        <v>100</v>
      </c>
      <c r="AE1568" s="4">
        <v>100</v>
      </c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231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/>
      <c r="BD1568" s="8"/>
      <c r="BE1568" s="4"/>
      <c r="BF1568" s="8"/>
      <c r="BG1568" s="7"/>
      <c r="BH1568" s="7"/>
      <c r="BI1568" s="7"/>
      <c r="BJ1568" s="4">
        <v>22</v>
      </c>
      <c r="BK1568" s="8">
        <v>956.72</v>
      </c>
      <c r="BL1568" s="2" t="s">
        <v>7266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7267</v>
      </c>
      <c r="BV1568" s="2" t="s">
        <v>231</v>
      </c>
      <c r="BW1568" s="2" t="s">
        <v>231</v>
      </c>
      <c r="BX1568" s="2" t="s">
        <v>231</v>
      </c>
      <c r="BY1568" s="2" t="s">
        <v>277</v>
      </c>
      <c r="BZ1568" s="2" t="s">
        <v>243</v>
      </c>
      <c r="CA1568" s="2" t="s">
        <v>2011</v>
      </c>
      <c r="CB1568" s="2" t="s">
        <v>7268</v>
      </c>
      <c r="CC1568" s="2" t="s">
        <v>244</v>
      </c>
      <c r="CD1568" s="2" t="s">
        <v>231</v>
      </c>
      <c r="CE1568" s="4"/>
      <c r="CF1568" s="4">
        <v>43</v>
      </c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>
        <v>100</v>
      </c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</row>
    <row r="1569">
      <c r="A1569" s="2" t="s">
        <v>7269</v>
      </c>
      <c r="B1569" s="2" t="s">
        <v>992</v>
      </c>
      <c r="C1569" s="2" t="s">
        <v>288</v>
      </c>
      <c r="D1569" s="2" t="s">
        <v>993</v>
      </c>
      <c r="E1569" s="2" t="s">
        <v>2042</v>
      </c>
      <c r="F1569" s="2" t="s">
        <v>7270</v>
      </c>
      <c r="G1569" s="2" t="s">
        <v>7271</v>
      </c>
      <c r="H1569" s="2" t="s">
        <v>7272</v>
      </c>
      <c r="I1569" s="2" t="s">
        <v>7273</v>
      </c>
      <c r="J1569" s="2" t="s">
        <v>996</v>
      </c>
      <c r="K1569" s="2" t="s">
        <v>253</v>
      </c>
      <c r="L1569" s="3">
        <v>14.1</v>
      </c>
      <c r="M1569" s="3">
        <v>14.8</v>
      </c>
      <c r="N1569" s="3">
        <v>29.99</v>
      </c>
      <c r="O1569" s="2" t="s">
        <v>243</v>
      </c>
      <c r="P1569" s="2" t="s">
        <v>270</v>
      </c>
      <c r="Q1569" s="2" t="s">
        <v>237</v>
      </c>
      <c r="R1569" s="2" t="s">
        <v>231</v>
      </c>
      <c r="S1569" s="2" t="s">
        <v>7274</v>
      </c>
      <c r="T1569" s="2" t="s">
        <v>231</v>
      </c>
      <c r="U1569" s="2" t="s">
        <v>231</v>
      </c>
      <c r="V1569" s="2" t="s">
        <v>987</v>
      </c>
      <c r="W1569" s="2" t="s">
        <v>792</v>
      </c>
      <c r="X1569" s="2" t="s">
        <v>2042</v>
      </c>
      <c r="Y1569" s="2" t="s">
        <v>274</v>
      </c>
      <c r="Z1569" s="4">
        <v>201</v>
      </c>
      <c r="AA1569" s="4">
        <f>=ROUNDDOWN(47.8571428571429,0)</f>
      </c>
      <c r="AB1569" s="5">
        <v>4.2</v>
      </c>
      <c r="AC1569" s="2" t="s">
        <v>2082</v>
      </c>
      <c r="AD1569" s="4">
        <v>152</v>
      </c>
      <c r="AE1569" s="4">
        <v>152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231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231</v>
      </c>
      <c r="AW1569" s="8" t="s">
        <v>231</v>
      </c>
      <c r="AX1569" s="4" t="s">
        <v>231</v>
      </c>
      <c r="AY1569" s="8" t="s">
        <v>231</v>
      </c>
      <c r="AZ1569" s="7" t="s">
        <v>231</v>
      </c>
      <c r="BA1569" s="7" t="s">
        <v>231</v>
      </c>
      <c r="BB1569" s="7"/>
      <c r="BC1569" s="4" t="s">
        <v>231</v>
      </c>
      <c r="BD1569" s="8" t="s">
        <v>231</v>
      </c>
      <c r="BE1569" s="4" t="s">
        <v>231</v>
      </c>
      <c r="BF1569" s="8" t="s">
        <v>231</v>
      </c>
      <c r="BG1569" s="7" t="s">
        <v>231</v>
      </c>
      <c r="BH1569" s="7" t="s">
        <v>231</v>
      </c>
      <c r="BI1569" s="7"/>
      <c r="BJ1569" s="4">
        <v>18</v>
      </c>
      <c r="BK1569" s="8">
        <v>205.16</v>
      </c>
      <c r="BL1569" s="2" t="s">
        <v>7275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7276</v>
      </c>
      <c r="BV1569" s="2" t="s">
        <v>231</v>
      </c>
      <c r="BW1569" s="2" t="s">
        <v>231</v>
      </c>
      <c r="BX1569" s="2" t="s">
        <v>241</v>
      </c>
      <c r="BY1569" s="2" t="s">
        <v>277</v>
      </c>
      <c r="BZ1569" s="2" t="s">
        <v>243</v>
      </c>
      <c r="CA1569" s="2" t="s">
        <v>284</v>
      </c>
      <c r="CB1569" s="2" t="s">
        <v>551</v>
      </c>
      <c r="CC1569" s="2" t="s">
        <v>244</v>
      </c>
      <c r="CD1569" s="2" t="s">
        <v>231</v>
      </c>
      <c r="CE1569" s="4">
        <v>201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>
        <v>152</v>
      </c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</row>
    <row r="1570">
      <c r="A1570" s="2" t="s">
        <v>7277</v>
      </c>
      <c r="B1570" s="2" t="s">
        <v>992</v>
      </c>
      <c r="C1570" s="2" t="s">
        <v>288</v>
      </c>
      <c r="D1570" s="2" t="s">
        <v>993</v>
      </c>
      <c r="E1570" s="2" t="s">
        <v>7278</v>
      </c>
      <c r="F1570" s="2" t="s">
        <v>7270</v>
      </c>
      <c r="G1570" s="2" t="s">
        <v>7271</v>
      </c>
      <c r="H1570" s="2" t="s">
        <v>7272</v>
      </c>
      <c r="I1570" s="2" t="s">
        <v>7279</v>
      </c>
      <c r="J1570" s="2" t="s">
        <v>7280</v>
      </c>
      <c r="K1570" s="2" t="s">
        <v>253</v>
      </c>
      <c r="L1570" s="3">
        <v>21.15</v>
      </c>
      <c r="M1570" s="3">
        <v>22.21</v>
      </c>
      <c r="N1570" s="3">
        <v>44.99</v>
      </c>
      <c r="O1570" s="2" t="s">
        <v>243</v>
      </c>
      <c r="P1570" s="2" t="s">
        <v>341</v>
      </c>
      <c r="Q1570" s="2" t="s">
        <v>237</v>
      </c>
      <c r="R1570" s="2" t="s">
        <v>231</v>
      </c>
      <c r="S1570" s="2" t="s">
        <v>7274</v>
      </c>
      <c r="T1570" s="2" t="s">
        <v>231</v>
      </c>
      <c r="U1570" s="2" t="s">
        <v>231</v>
      </c>
      <c r="V1570" s="2" t="s">
        <v>987</v>
      </c>
      <c r="W1570" s="2" t="s">
        <v>792</v>
      </c>
      <c r="X1570" s="2" t="s">
        <v>231</v>
      </c>
      <c r="Y1570" s="2" t="s">
        <v>2488</v>
      </c>
      <c r="Z1570" s="4">
        <v>56</v>
      </c>
      <c r="AA1570" s="4">
        <f>=ROUNDDOWN(12.1739130434783,0)</f>
      </c>
      <c r="AB1570" s="5">
        <v>4.6</v>
      </c>
      <c r="AC1570" s="2" t="s">
        <v>231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231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231</v>
      </c>
      <c r="AW1570" s="8" t="s">
        <v>231</v>
      </c>
      <c r="AX1570" s="4" t="s">
        <v>231</v>
      </c>
      <c r="AY1570" s="8" t="s">
        <v>231</v>
      </c>
      <c r="AZ1570" s="7" t="s">
        <v>231</v>
      </c>
      <c r="BA1570" s="7" t="s">
        <v>231</v>
      </c>
      <c r="BB1570" s="7"/>
      <c r="BC1570" s="4" t="s">
        <v>231</v>
      </c>
      <c r="BD1570" s="8" t="s">
        <v>231</v>
      </c>
      <c r="BE1570" s="4" t="s">
        <v>231</v>
      </c>
      <c r="BF1570" s="8" t="s">
        <v>231</v>
      </c>
      <c r="BG1570" s="7" t="s">
        <v>231</v>
      </c>
      <c r="BH1570" s="7" t="s">
        <v>231</v>
      </c>
      <c r="BI1570" s="7"/>
      <c r="BJ1570" s="4">
        <v>26</v>
      </c>
      <c r="BK1570" s="8">
        <v>522.84</v>
      </c>
      <c r="BL1570" s="2" t="s">
        <v>7281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7282</v>
      </c>
      <c r="BV1570" s="2" t="s">
        <v>231</v>
      </c>
      <c r="BW1570" s="2" t="s">
        <v>231</v>
      </c>
      <c r="BX1570" s="2" t="s">
        <v>231</v>
      </c>
      <c r="BY1570" s="2" t="s">
        <v>277</v>
      </c>
      <c r="BZ1570" s="2" t="s">
        <v>243</v>
      </c>
      <c r="CA1570" s="2" t="s">
        <v>4300</v>
      </c>
      <c r="CB1570" s="2" t="s">
        <v>7283</v>
      </c>
      <c r="CC1570" s="2" t="s">
        <v>244</v>
      </c>
      <c r="CD1570" s="2" t="s">
        <v>231</v>
      </c>
      <c r="CE1570" s="4">
        <v>56</v>
      </c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</row>
    <row r="1571">
      <c r="A1571" s="2" t="s">
        <v>7284</v>
      </c>
      <c r="B1571" s="2" t="s">
        <v>992</v>
      </c>
      <c r="C1571" s="2" t="s">
        <v>288</v>
      </c>
      <c r="D1571" s="2" t="s">
        <v>993</v>
      </c>
      <c r="E1571" s="2" t="s">
        <v>2042</v>
      </c>
      <c r="F1571" s="2" t="s">
        <v>7270</v>
      </c>
      <c r="G1571" s="2" t="s">
        <v>7271</v>
      </c>
      <c r="H1571" s="2" t="s">
        <v>7272</v>
      </c>
      <c r="I1571" s="2" t="s">
        <v>7273</v>
      </c>
      <c r="J1571" s="2" t="s">
        <v>1586</v>
      </c>
      <c r="K1571" s="2" t="s">
        <v>306</v>
      </c>
      <c r="L1571" s="3">
        <v>16.45</v>
      </c>
      <c r="M1571" s="3">
        <v>17.27</v>
      </c>
      <c r="N1571" s="3">
        <v>34.99</v>
      </c>
      <c r="O1571" s="2" t="s">
        <v>243</v>
      </c>
      <c r="P1571" s="2" t="s">
        <v>270</v>
      </c>
      <c r="Q1571" s="2" t="s">
        <v>237</v>
      </c>
      <c r="R1571" s="2" t="s">
        <v>231</v>
      </c>
      <c r="S1571" s="2" t="s">
        <v>7285</v>
      </c>
      <c r="T1571" s="2" t="s">
        <v>231</v>
      </c>
      <c r="U1571" s="2" t="s">
        <v>231</v>
      </c>
      <c r="V1571" s="2" t="s">
        <v>987</v>
      </c>
      <c r="W1571" s="2" t="s">
        <v>792</v>
      </c>
      <c r="X1571" s="2" t="s">
        <v>2042</v>
      </c>
      <c r="Y1571" s="2" t="s">
        <v>274</v>
      </c>
      <c r="Z1571" s="4">
        <v>214</v>
      </c>
      <c r="AA1571" s="4">
        <f>=ROUNDDOWN(71.3333333333333,0)</f>
      </c>
      <c r="AB1571" s="5">
        <v>3</v>
      </c>
      <c r="AC1571" s="2" t="s">
        <v>231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231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231</v>
      </c>
      <c r="AW1571" s="8" t="s">
        <v>231</v>
      </c>
      <c r="AX1571" s="4" t="s">
        <v>231</v>
      </c>
      <c r="AY1571" s="8" t="s">
        <v>231</v>
      </c>
      <c r="AZ1571" s="7" t="s">
        <v>231</v>
      </c>
      <c r="BA1571" s="7" t="s">
        <v>231</v>
      </c>
      <c r="BB1571" s="7"/>
      <c r="BC1571" s="4" t="s">
        <v>231</v>
      </c>
      <c r="BD1571" s="8" t="s">
        <v>231</v>
      </c>
      <c r="BE1571" s="4" t="s">
        <v>231</v>
      </c>
      <c r="BF1571" s="8" t="s">
        <v>231</v>
      </c>
      <c r="BG1571" s="7" t="s">
        <v>231</v>
      </c>
      <c r="BH1571" s="7" t="s">
        <v>231</v>
      </c>
      <c r="BI1571" s="7"/>
      <c r="BJ1571" s="4">
        <v>2</v>
      </c>
      <c r="BK1571" s="8">
        <v>36.28</v>
      </c>
      <c r="BL1571" s="2" t="s">
        <v>7286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7287</v>
      </c>
      <c r="BV1571" s="2" t="s">
        <v>231</v>
      </c>
      <c r="BW1571" s="2" t="s">
        <v>231</v>
      </c>
      <c r="BX1571" s="2" t="s">
        <v>241</v>
      </c>
      <c r="BY1571" s="2" t="s">
        <v>277</v>
      </c>
      <c r="BZ1571" s="2" t="s">
        <v>243</v>
      </c>
      <c r="CA1571" s="2" t="s">
        <v>284</v>
      </c>
      <c r="CB1571" s="2" t="s">
        <v>7288</v>
      </c>
      <c r="CC1571" s="2" t="s">
        <v>244</v>
      </c>
      <c r="CD1571" s="2" t="s">
        <v>231</v>
      </c>
      <c r="CE1571" s="4">
        <v>214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</row>
    <row r="1572">
      <c r="A1572" s="2" t="s">
        <v>7289</v>
      </c>
      <c r="B1572" s="2" t="s">
        <v>992</v>
      </c>
      <c r="C1572" s="2" t="s">
        <v>288</v>
      </c>
      <c r="D1572" s="2" t="s">
        <v>1525</v>
      </c>
      <c r="E1572" s="2" t="s">
        <v>1526</v>
      </c>
      <c r="F1572" s="2" t="s">
        <v>7270</v>
      </c>
      <c r="G1572" s="2" t="s">
        <v>7271</v>
      </c>
      <c r="H1572" s="2" t="s">
        <v>7272</v>
      </c>
      <c r="I1572" s="2" t="s">
        <v>7290</v>
      </c>
      <c r="J1572" s="2" t="s">
        <v>2077</v>
      </c>
      <c r="K1572" s="2" t="s">
        <v>306</v>
      </c>
      <c r="L1572" s="3">
        <v>12.42</v>
      </c>
      <c r="M1572" s="3">
        <v>13.04</v>
      </c>
      <c r="N1572" s="3">
        <v>26.99</v>
      </c>
      <c r="O1572" s="2" t="s">
        <v>243</v>
      </c>
      <c r="P1572" s="2" t="s">
        <v>270</v>
      </c>
      <c r="Q1572" s="2" t="s">
        <v>237</v>
      </c>
      <c r="R1572" s="2" t="s">
        <v>231</v>
      </c>
      <c r="S1572" s="2" t="s">
        <v>7285</v>
      </c>
      <c r="T1572" s="2" t="s">
        <v>231</v>
      </c>
      <c r="U1572" s="2" t="s">
        <v>231</v>
      </c>
      <c r="V1572" s="2" t="s">
        <v>987</v>
      </c>
      <c r="W1572" s="2" t="s">
        <v>792</v>
      </c>
      <c r="X1572" s="2" t="s">
        <v>231</v>
      </c>
      <c r="Y1572" s="2" t="s">
        <v>2488</v>
      </c>
      <c r="Z1572" s="4">
        <v>332</v>
      </c>
      <c r="AA1572" s="4">
        <f>=ROUNDDOWN(20.75,0)</f>
      </c>
      <c r="AB1572" s="5">
        <v>16</v>
      </c>
      <c r="AC1572" s="2" t="s">
        <v>2049</v>
      </c>
      <c r="AD1572" s="4">
        <v>216</v>
      </c>
      <c r="AE1572" s="4">
        <v>216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231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231</v>
      </c>
      <c r="AW1572" s="8" t="s">
        <v>231</v>
      </c>
      <c r="AX1572" s="4" t="s">
        <v>231</v>
      </c>
      <c r="AY1572" s="8" t="s">
        <v>231</v>
      </c>
      <c r="AZ1572" s="7" t="s">
        <v>231</v>
      </c>
      <c r="BA1572" s="7" t="s">
        <v>231</v>
      </c>
      <c r="BB1572" s="7"/>
      <c r="BC1572" s="4" t="s">
        <v>231</v>
      </c>
      <c r="BD1572" s="8" t="s">
        <v>231</v>
      </c>
      <c r="BE1572" s="4" t="s">
        <v>231</v>
      </c>
      <c r="BF1572" s="8" t="s">
        <v>231</v>
      </c>
      <c r="BG1572" s="7" t="s">
        <v>231</v>
      </c>
      <c r="BH1572" s="7" t="s">
        <v>231</v>
      </c>
      <c r="BI1572" s="7"/>
      <c r="BJ1572" s="4">
        <v>64</v>
      </c>
      <c r="BK1572" s="8">
        <v>769.74</v>
      </c>
      <c r="BL1572" s="2" t="s">
        <v>7291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7292</v>
      </c>
      <c r="BV1572" s="2" t="s">
        <v>231</v>
      </c>
      <c r="BW1572" s="2" t="s">
        <v>231</v>
      </c>
      <c r="BX1572" s="2" t="s">
        <v>231</v>
      </c>
      <c r="BY1572" s="2" t="s">
        <v>277</v>
      </c>
      <c r="BZ1572" s="2" t="s">
        <v>243</v>
      </c>
      <c r="CA1572" s="2" t="s">
        <v>4300</v>
      </c>
      <c r="CB1572" s="2" t="s">
        <v>3276</v>
      </c>
      <c r="CC1572" s="2" t="s">
        <v>244</v>
      </c>
      <c r="CD1572" s="2" t="s">
        <v>231</v>
      </c>
      <c r="CE1572" s="4">
        <v>332</v>
      </c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>
        <v>216</v>
      </c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</row>
    <row r="1573">
      <c r="A1573" s="2" t="s">
        <v>7293</v>
      </c>
      <c r="B1573" s="2" t="s">
        <v>992</v>
      </c>
      <c r="C1573" s="2" t="s">
        <v>288</v>
      </c>
      <c r="D1573" s="2" t="s">
        <v>993</v>
      </c>
      <c r="E1573" s="2" t="s">
        <v>2042</v>
      </c>
      <c r="F1573" s="2" t="s">
        <v>7270</v>
      </c>
      <c r="G1573" s="2" t="s">
        <v>7271</v>
      </c>
      <c r="H1573" s="2" t="s">
        <v>7272</v>
      </c>
      <c r="I1573" s="2" t="s">
        <v>7273</v>
      </c>
      <c r="J1573" s="2" t="s">
        <v>1586</v>
      </c>
      <c r="K1573" s="2" t="s">
        <v>319</v>
      </c>
      <c r="L1573" s="3">
        <v>16.45</v>
      </c>
      <c r="M1573" s="3">
        <v>17.27</v>
      </c>
      <c r="N1573" s="3">
        <v>34.99</v>
      </c>
      <c r="O1573" s="2" t="s">
        <v>243</v>
      </c>
      <c r="P1573" s="2" t="s">
        <v>270</v>
      </c>
      <c r="Q1573" s="2" t="s">
        <v>237</v>
      </c>
      <c r="R1573" s="2" t="s">
        <v>231</v>
      </c>
      <c r="S1573" s="2" t="s">
        <v>7294</v>
      </c>
      <c r="T1573" s="2" t="s">
        <v>231</v>
      </c>
      <c r="U1573" s="2" t="s">
        <v>231</v>
      </c>
      <c r="V1573" s="2" t="s">
        <v>987</v>
      </c>
      <c r="W1573" s="2" t="s">
        <v>792</v>
      </c>
      <c r="X1573" s="2" t="s">
        <v>2042</v>
      </c>
      <c r="Y1573" s="2" t="s">
        <v>274</v>
      </c>
      <c r="Z1573" s="4">
        <v>152</v>
      </c>
      <c r="AA1573" s="4">
        <f>=ROUNDDOWN(38,0)</f>
      </c>
      <c r="AB1573" s="5">
        <v>4</v>
      </c>
      <c r="AC1573" s="2" t="s">
        <v>231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231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231</v>
      </c>
      <c r="AW1573" s="8" t="s">
        <v>231</v>
      </c>
      <c r="AX1573" s="4" t="s">
        <v>231</v>
      </c>
      <c r="AY1573" s="8" t="s">
        <v>231</v>
      </c>
      <c r="AZ1573" s="7" t="s">
        <v>231</v>
      </c>
      <c r="BA1573" s="7" t="s">
        <v>231</v>
      </c>
      <c r="BB1573" s="7"/>
      <c r="BC1573" s="4" t="s">
        <v>231</v>
      </c>
      <c r="BD1573" s="8" t="s">
        <v>231</v>
      </c>
      <c r="BE1573" s="4" t="s">
        <v>231</v>
      </c>
      <c r="BF1573" s="8" t="s">
        <v>231</v>
      </c>
      <c r="BG1573" s="7" t="s">
        <v>231</v>
      </c>
      <c r="BH1573" s="7" t="s">
        <v>231</v>
      </c>
      <c r="BI1573" s="7"/>
      <c r="BJ1573" s="4">
        <v>11</v>
      </c>
      <c r="BK1573" s="8">
        <v>163.75</v>
      </c>
      <c r="BL1573" s="2" t="s">
        <v>7295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7296</v>
      </c>
      <c r="BV1573" s="2" t="s">
        <v>231</v>
      </c>
      <c r="BW1573" s="2" t="s">
        <v>231</v>
      </c>
      <c r="BX1573" s="2" t="s">
        <v>241</v>
      </c>
      <c r="BY1573" s="2" t="s">
        <v>277</v>
      </c>
      <c r="BZ1573" s="2" t="s">
        <v>243</v>
      </c>
      <c r="CA1573" s="2" t="s">
        <v>284</v>
      </c>
      <c r="CB1573" s="2" t="s">
        <v>7297</v>
      </c>
      <c r="CC1573" s="2" t="s">
        <v>244</v>
      </c>
      <c r="CD1573" s="2" t="s">
        <v>231</v>
      </c>
      <c r="CE1573" s="4">
        <v>152</v>
      </c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</row>
    <row r="1574">
      <c r="A1574" s="2" t="s">
        <v>7298</v>
      </c>
      <c r="B1574" s="2" t="s">
        <v>992</v>
      </c>
      <c r="C1574" s="2" t="s">
        <v>288</v>
      </c>
      <c r="D1574" s="2" t="s">
        <v>993</v>
      </c>
      <c r="E1574" s="2" t="s">
        <v>7278</v>
      </c>
      <c r="F1574" s="2" t="s">
        <v>7270</v>
      </c>
      <c r="G1574" s="2" t="s">
        <v>7271</v>
      </c>
      <c r="H1574" s="2" t="s">
        <v>7272</v>
      </c>
      <c r="I1574" s="2" t="s">
        <v>7279</v>
      </c>
      <c r="J1574" s="2" t="s">
        <v>7280</v>
      </c>
      <c r="K1574" s="2" t="s">
        <v>319</v>
      </c>
      <c r="L1574" s="3">
        <v>21.15</v>
      </c>
      <c r="M1574" s="3">
        <v>22.21</v>
      </c>
      <c r="N1574" s="3">
        <v>44.99</v>
      </c>
      <c r="O1574" s="2" t="s">
        <v>243</v>
      </c>
      <c r="P1574" s="2" t="s">
        <v>270</v>
      </c>
      <c r="Q1574" s="2" t="s">
        <v>237</v>
      </c>
      <c r="R1574" s="2" t="s">
        <v>231</v>
      </c>
      <c r="S1574" s="2" t="s">
        <v>7294</v>
      </c>
      <c r="T1574" s="2" t="s">
        <v>231</v>
      </c>
      <c r="U1574" s="2" t="s">
        <v>231</v>
      </c>
      <c r="V1574" s="2" t="s">
        <v>987</v>
      </c>
      <c r="W1574" s="2" t="s">
        <v>792</v>
      </c>
      <c r="X1574" s="2" t="s">
        <v>231</v>
      </c>
      <c r="Y1574" s="2" t="s">
        <v>2488</v>
      </c>
      <c r="Z1574" s="4">
        <v>73</v>
      </c>
      <c r="AA1574" s="4">
        <f>=ROUNDDOWN(9.125,0)</f>
      </c>
      <c r="AB1574" s="5">
        <v>8</v>
      </c>
      <c r="AC1574" s="2" t="s">
        <v>2082</v>
      </c>
      <c r="AD1574" s="4">
        <v>180</v>
      </c>
      <c r="AE1574" s="4">
        <v>180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231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231</v>
      </c>
      <c r="AW1574" s="8" t="s">
        <v>231</v>
      </c>
      <c r="AX1574" s="4" t="s">
        <v>231</v>
      </c>
      <c r="AY1574" s="8" t="s">
        <v>231</v>
      </c>
      <c r="AZ1574" s="7" t="s">
        <v>231</v>
      </c>
      <c r="BA1574" s="7" t="s">
        <v>231</v>
      </c>
      <c r="BB1574" s="7"/>
      <c r="BC1574" s="4" t="s">
        <v>231</v>
      </c>
      <c r="BD1574" s="8" t="s">
        <v>231</v>
      </c>
      <c r="BE1574" s="4" t="s">
        <v>231</v>
      </c>
      <c r="BF1574" s="8" t="s">
        <v>231</v>
      </c>
      <c r="BG1574" s="7" t="s">
        <v>231</v>
      </c>
      <c r="BH1574" s="7" t="s">
        <v>231</v>
      </c>
      <c r="BI1574" s="7"/>
      <c r="BJ1574" s="4">
        <v>27</v>
      </c>
      <c r="BK1574" s="8">
        <v>614.31</v>
      </c>
      <c r="BL1574" s="2" t="s">
        <v>7299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7300</v>
      </c>
      <c r="BV1574" s="2" t="s">
        <v>231</v>
      </c>
      <c r="BW1574" s="2" t="s">
        <v>231</v>
      </c>
      <c r="BX1574" s="2" t="s">
        <v>231</v>
      </c>
      <c r="BY1574" s="2" t="s">
        <v>277</v>
      </c>
      <c r="BZ1574" s="2" t="s">
        <v>243</v>
      </c>
      <c r="CA1574" s="2" t="s">
        <v>4300</v>
      </c>
      <c r="CB1574" s="2" t="s">
        <v>5979</v>
      </c>
      <c r="CC1574" s="2" t="s">
        <v>244</v>
      </c>
      <c r="CD1574" s="2" t="s">
        <v>231</v>
      </c>
      <c r="CE1574" s="4">
        <v>73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>
        <v>180</v>
      </c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</row>
    <row r="1575">
      <c r="A1575" s="2" t="s">
        <v>7301</v>
      </c>
      <c r="B1575" s="2" t="s">
        <v>992</v>
      </c>
      <c r="C1575" s="2" t="s">
        <v>288</v>
      </c>
      <c r="D1575" s="2" t="s">
        <v>993</v>
      </c>
      <c r="E1575" s="2" t="s">
        <v>2042</v>
      </c>
      <c r="F1575" s="2" t="s">
        <v>7270</v>
      </c>
      <c r="G1575" s="2" t="s">
        <v>7271</v>
      </c>
      <c r="H1575" s="2" t="s">
        <v>7272</v>
      </c>
      <c r="I1575" s="2" t="s">
        <v>7273</v>
      </c>
      <c r="J1575" s="2" t="s">
        <v>996</v>
      </c>
      <c r="K1575" s="2" t="s">
        <v>7302</v>
      </c>
      <c r="L1575" s="3">
        <v>14.1</v>
      </c>
      <c r="M1575" s="3">
        <v>14.8</v>
      </c>
      <c r="N1575" s="3">
        <v>29.99</v>
      </c>
      <c r="O1575" s="2" t="s">
        <v>243</v>
      </c>
      <c r="P1575" s="2" t="s">
        <v>270</v>
      </c>
      <c r="Q1575" s="2" t="s">
        <v>237</v>
      </c>
      <c r="R1575" s="2" t="s">
        <v>231</v>
      </c>
      <c r="S1575" s="2" t="s">
        <v>7303</v>
      </c>
      <c r="T1575" s="2" t="s">
        <v>231</v>
      </c>
      <c r="U1575" s="2" t="s">
        <v>231</v>
      </c>
      <c r="V1575" s="2" t="s">
        <v>987</v>
      </c>
      <c r="W1575" s="2" t="s">
        <v>792</v>
      </c>
      <c r="X1575" s="2" t="s">
        <v>2042</v>
      </c>
      <c r="Y1575" s="2" t="s">
        <v>274</v>
      </c>
      <c r="Z1575" s="4">
        <v>348</v>
      </c>
      <c r="AA1575" s="4">
        <f>=ROUNDDOWN(38.6666666666667,0)</f>
      </c>
      <c r="AB1575" s="5">
        <v>9</v>
      </c>
      <c r="AC1575" s="2" t="s">
        <v>231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231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 t="s">
        <v>231</v>
      </c>
      <c r="BD1575" s="8" t="s">
        <v>231</v>
      </c>
      <c r="BE1575" s="4" t="s">
        <v>231</v>
      </c>
      <c r="BF1575" s="8" t="s">
        <v>231</v>
      </c>
      <c r="BG1575" s="7" t="s">
        <v>231</v>
      </c>
      <c r="BH1575" s="7" t="s">
        <v>231</v>
      </c>
      <c r="BI1575" s="7"/>
      <c r="BJ1575" s="4">
        <v>55</v>
      </c>
      <c r="BK1575" s="8">
        <v>658.98</v>
      </c>
      <c r="BL1575" s="2" t="s">
        <v>7304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7305</v>
      </c>
      <c r="BV1575" s="2" t="s">
        <v>231</v>
      </c>
      <c r="BW1575" s="2" t="s">
        <v>231</v>
      </c>
      <c r="BX1575" s="2" t="s">
        <v>241</v>
      </c>
      <c r="BY1575" s="2" t="s">
        <v>277</v>
      </c>
      <c r="BZ1575" s="2" t="s">
        <v>243</v>
      </c>
      <c r="CA1575" s="2" t="s">
        <v>284</v>
      </c>
      <c r="CB1575" s="2" t="s">
        <v>7297</v>
      </c>
      <c r="CC1575" s="2" t="s">
        <v>244</v>
      </c>
      <c r="CD1575" s="2" t="s">
        <v>231</v>
      </c>
      <c r="CE1575" s="4">
        <v>348</v>
      </c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</row>
    <row r="1576">
      <c r="A1576" s="2" t="s">
        <v>7306</v>
      </c>
      <c r="B1576" s="2" t="s">
        <v>824</v>
      </c>
      <c r="C1576" s="2" t="s">
        <v>3567</v>
      </c>
      <c r="D1576" s="2" t="s">
        <v>1462</v>
      </c>
      <c r="E1576" s="2" t="s">
        <v>1463</v>
      </c>
      <c r="F1576" s="2" t="s">
        <v>7271</v>
      </c>
      <c r="G1576" s="2" t="s">
        <v>7307</v>
      </c>
      <c r="H1576" s="2" t="s">
        <v>6605</v>
      </c>
      <c r="I1576" s="2" t="s">
        <v>7308</v>
      </c>
      <c r="J1576" s="2" t="s">
        <v>318</v>
      </c>
      <c r="K1576" s="2" t="s">
        <v>486</v>
      </c>
      <c r="L1576" s="3">
        <v>33.33</v>
      </c>
      <c r="M1576" s="3">
        <v>35</v>
      </c>
      <c r="N1576" s="3">
        <v>69.99</v>
      </c>
      <c r="O1576" s="2" t="s">
        <v>243</v>
      </c>
      <c r="P1576" s="2" t="s">
        <v>1985</v>
      </c>
      <c r="Q1576" s="2" t="s">
        <v>237</v>
      </c>
      <c r="R1576" s="2" t="s">
        <v>231</v>
      </c>
      <c r="S1576" s="2" t="s">
        <v>7309</v>
      </c>
      <c r="T1576" s="2" t="s">
        <v>362</v>
      </c>
      <c r="U1576" s="2" t="s">
        <v>791</v>
      </c>
      <c r="V1576" s="2" t="s">
        <v>1685</v>
      </c>
      <c r="W1576" s="2" t="s">
        <v>273</v>
      </c>
      <c r="X1576" s="2" t="s">
        <v>792</v>
      </c>
      <c r="Y1576" s="2" t="s">
        <v>3892</v>
      </c>
      <c r="Z1576" s="4">
        <v>194</v>
      </c>
      <c r="AA1576" s="4">
        <f>=ROUNDDOWN(40.4166666666667,0)</f>
      </c>
      <c r="AB1576" s="5">
        <v>4.8</v>
      </c>
      <c r="AC1576" s="2" t="s">
        <v>1754</v>
      </c>
      <c r="AD1576" s="4">
        <v>80</v>
      </c>
      <c r="AE1576" s="4">
        <v>80</v>
      </c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231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/>
      <c r="BD1576" s="8"/>
      <c r="BE1576" s="4"/>
      <c r="BF1576" s="8"/>
      <c r="BG1576" s="7"/>
      <c r="BH1576" s="7"/>
      <c r="BI1576" s="7"/>
      <c r="BJ1576" s="4">
        <v>29</v>
      </c>
      <c r="BK1576" s="8">
        <v>1087.62</v>
      </c>
      <c r="BL1576" s="2" t="s">
        <v>2050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7310</v>
      </c>
      <c r="BV1576" s="2" t="s">
        <v>231</v>
      </c>
      <c r="BW1576" s="2" t="s">
        <v>231</v>
      </c>
      <c r="BX1576" s="2" t="s">
        <v>231</v>
      </c>
      <c r="BY1576" s="2" t="s">
        <v>277</v>
      </c>
      <c r="BZ1576" s="2" t="s">
        <v>243</v>
      </c>
      <c r="CA1576" s="2" t="s">
        <v>7311</v>
      </c>
      <c r="CB1576" s="2" t="s">
        <v>1239</v>
      </c>
      <c r="CC1576" s="2" t="s">
        <v>244</v>
      </c>
      <c r="CD1576" s="2" t="s">
        <v>231</v>
      </c>
      <c r="CE1576" s="4">
        <v>194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>
        <v>80</v>
      </c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</row>
    <row r="1577">
      <c r="A1577" s="2" t="s">
        <v>7312</v>
      </c>
      <c r="B1577" s="2" t="s">
        <v>1004</v>
      </c>
      <c r="C1577" s="2" t="s">
        <v>288</v>
      </c>
      <c r="D1577" s="2" t="s">
        <v>1917</v>
      </c>
      <c r="E1577" s="2" t="s">
        <v>1918</v>
      </c>
      <c r="F1577" s="2" t="s">
        <v>7313</v>
      </c>
      <c r="G1577" s="2" t="s">
        <v>7314</v>
      </c>
      <c r="H1577" s="2" t="s">
        <v>7315</v>
      </c>
      <c r="I1577" s="2" t="s">
        <v>7316</v>
      </c>
      <c r="J1577" s="2" t="s">
        <v>807</v>
      </c>
      <c r="K1577" s="2" t="s">
        <v>5865</v>
      </c>
      <c r="L1577" s="3">
        <v>110</v>
      </c>
      <c r="M1577" s="3">
        <v>115.5</v>
      </c>
      <c r="N1577" s="3">
        <v>229</v>
      </c>
      <c r="O1577" s="2" t="s">
        <v>235</v>
      </c>
      <c r="P1577" s="2" t="s">
        <v>341</v>
      </c>
      <c r="Q1577" s="2" t="s">
        <v>237</v>
      </c>
      <c r="R1577" s="2" t="s">
        <v>231</v>
      </c>
      <c r="S1577" s="2" t="s">
        <v>231</v>
      </c>
      <c r="T1577" s="2" t="s">
        <v>231</v>
      </c>
      <c r="U1577" s="2" t="s">
        <v>327</v>
      </c>
      <c r="V1577" s="2" t="s">
        <v>239</v>
      </c>
      <c r="W1577" s="2" t="s">
        <v>691</v>
      </c>
      <c r="X1577" s="2" t="s">
        <v>808</v>
      </c>
      <c r="Y1577" s="2" t="s">
        <v>1447</v>
      </c>
      <c r="Z1577" s="4">
        <v>88</v>
      </c>
      <c r="AA1577" s="4">
        <f>=ROUNDDOWN(44,0)</f>
      </c>
      <c r="AB1577" s="5">
        <v>2</v>
      </c>
      <c r="AC1577" s="2" t="s">
        <v>231</v>
      </c>
      <c r="AD1577" s="4"/>
      <c r="AE1577" s="4"/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231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8</v>
      </c>
      <c r="BK1577" s="8">
        <v>986.34</v>
      </c>
      <c r="BL1577" s="2" t="s">
        <v>2225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7317</v>
      </c>
      <c r="BV1577" s="2" t="s">
        <v>231</v>
      </c>
      <c r="BW1577" s="2" t="s">
        <v>231</v>
      </c>
      <c r="BX1577" s="2" t="s">
        <v>231</v>
      </c>
      <c r="BY1577" s="2" t="s">
        <v>277</v>
      </c>
      <c r="BZ1577" s="2" t="s">
        <v>243</v>
      </c>
      <c r="CA1577" s="2" t="s">
        <v>1127</v>
      </c>
      <c r="CB1577" s="2" t="s">
        <v>7318</v>
      </c>
      <c r="CC1577" s="2" t="s">
        <v>244</v>
      </c>
      <c r="CD1577" s="2" t="s">
        <v>231</v>
      </c>
      <c r="CE1577" s="4"/>
      <c r="CF1577" s="4">
        <v>88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</row>
    <row r="1578">
      <c r="A1578" s="2" t="s">
        <v>7319</v>
      </c>
      <c r="B1578" s="2" t="s">
        <v>1004</v>
      </c>
      <c r="C1578" s="2" t="s">
        <v>867</v>
      </c>
      <c r="D1578" s="2" t="s">
        <v>1689</v>
      </c>
      <c r="E1578" s="2" t="s">
        <v>1690</v>
      </c>
      <c r="F1578" s="2" t="s">
        <v>3219</v>
      </c>
      <c r="G1578" s="2" t="s">
        <v>3219</v>
      </c>
      <c r="H1578" s="2" t="s">
        <v>3219</v>
      </c>
      <c r="I1578" s="2" t="s">
        <v>5074</v>
      </c>
      <c r="J1578" s="2" t="s">
        <v>807</v>
      </c>
      <c r="K1578" s="2" t="s">
        <v>2321</v>
      </c>
      <c r="L1578" s="3">
        <v>502.74</v>
      </c>
      <c r="M1578" s="3">
        <v>527.88</v>
      </c>
      <c r="N1578" s="3">
        <v>1079</v>
      </c>
      <c r="O1578" s="2" t="s">
        <v>243</v>
      </c>
      <c r="P1578" s="2" t="s">
        <v>1037</v>
      </c>
      <c r="Q1578" s="2" t="s">
        <v>237</v>
      </c>
      <c r="R1578" s="2" t="s">
        <v>16</v>
      </c>
      <c r="S1578" s="2" t="s">
        <v>7320</v>
      </c>
      <c r="T1578" s="2" t="s">
        <v>231</v>
      </c>
      <c r="U1578" s="2" t="s">
        <v>791</v>
      </c>
      <c r="V1578" s="2" t="s">
        <v>662</v>
      </c>
      <c r="W1578" s="2" t="s">
        <v>896</v>
      </c>
      <c r="X1578" s="2" t="s">
        <v>874</v>
      </c>
      <c r="Y1578" s="2" t="s">
        <v>7321</v>
      </c>
      <c r="Z1578" s="4">
        <v>98</v>
      </c>
      <c r="AA1578" s="4">
        <f>=ROUNDDOWN({0},0)</f>
      </c>
      <c r="AB1578" s="5"/>
      <c r="AC1578" s="2" t="s">
        <v>231</v>
      </c>
      <c r="AD1578" s="4"/>
      <c r="AE1578" s="4"/>
      <c r="AF1578" s="6"/>
      <c r="AG1578" s="6"/>
      <c r="AH1578" s="7">
        <v>1</v>
      </c>
      <c r="AI1578" s="4"/>
      <c r="AJ1578" s="4">
        <f>=ROUNDDOWN({0},0)</f>
      </c>
      <c r="AK1578" s="5"/>
      <c r="AL1578" s="2" t="s">
        <v>231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 t="s">
        <v>231</v>
      </c>
      <c r="BD1578" s="8" t="s">
        <v>231</v>
      </c>
      <c r="BE1578" s="4" t="s">
        <v>231</v>
      </c>
      <c r="BF1578" s="8" t="s">
        <v>231</v>
      </c>
      <c r="BG1578" s="7" t="s">
        <v>231</v>
      </c>
      <c r="BH1578" s="7" t="s">
        <v>231</v>
      </c>
      <c r="BI1578" s="7"/>
      <c r="BJ1578" s="4"/>
      <c r="BK1578" s="8"/>
      <c r="BL1578" s="2" t="s">
        <v>231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7322</v>
      </c>
      <c r="BV1578" s="2" t="s">
        <v>231</v>
      </c>
      <c r="BW1578" s="2" t="s">
        <v>231</v>
      </c>
      <c r="BX1578" s="2" t="s">
        <v>241</v>
      </c>
      <c r="BY1578" s="2" t="s">
        <v>277</v>
      </c>
      <c r="BZ1578" s="2" t="s">
        <v>243</v>
      </c>
      <c r="CA1578" s="2" t="s">
        <v>1041</v>
      </c>
      <c r="CB1578" s="2" t="s">
        <v>231</v>
      </c>
      <c r="CC1578" s="2" t="s">
        <v>244</v>
      </c>
      <c r="CD1578" s="2" t="s">
        <v>231</v>
      </c>
      <c r="CE1578" s="4"/>
      <c r="CF1578" s="4">
        <v>92</v>
      </c>
      <c r="CG1578" s="4"/>
      <c r="CH1578" s="4"/>
      <c r="CI1578" s="4">
        <v>6</v>
      </c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</row>
    <row r="1579">
      <c r="A1579" s="2" t="s">
        <v>7323</v>
      </c>
      <c r="B1579" s="2" t="s">
        <v>1004</v>
      </c>
      <c r="C1579" s="2" t="s">
        <v>867</v>
      </c>
      <c r="D1579" s="2" t="s">
        <v>1912</v>
      </c>
      <c r="E1579" s="2" t="s">
        <v>1913</v>
      </c>
      <c r="F1579" s="2" t="s">
        <v>3219</v>
      </c>
      <c r="G1579" s="2" t="s">
        <v>3219</v>
      </c>
      <c r="H1579" s="2" t="s">
        <v>3219</v>
      </c>
      <c r="I1579" s="2" t="s">
        <v>7324</v>
      </c>
      <c r="J1579" s="2" t="s">
        <v>807</v>
      </c>
      <c r="K1579" s="2" t="s">
        <v>1496</v>
      </c>
      <c r="L1579" s="3">
        <v>190</v>
      </c>
      <c r="M1579" s="3">
        <v>199.5</v>
      </c>
      <c r="N1579" s="3">
        <v>399</v>
      </c>
      <c r="O1579" s="2" t="s">
        <v>243</v>
      </c>
      <c r="P1579" s="2" t="s">
        <v>270</v>
      </c>
      <c r="Q1579" s="2" t="s">
        <v>237</v>
      </c>
      <c r="R1579" s="2" t="s">
        <v>231</v>
      </c>
      <c r="S1579" s="2" t="s">
        <v>231</v>
      </c>
      <c r="T1579" s="2" t="s">
        <v>231</v>
      </c>
      <c r="U1579" s="2" t="s">
        <v>327</v>
      </c>
      <c r="V1579" s="2" t="s">
        <v>239</v>
      </c>
      <c r="W1579" s="2" t="s">
        <v>896</v>
      </c>
      <c r="X1579" s="2" t="s">
        <v>874</v>
      </c>
      <c r="Y1579" s="2" t="s">
        <v>7325</v>
      </c>
      <c r="Z1579" s="4">
        <v>133</v>
      </c>
      <c r="AA1579" s="4">
        <f>=ROUNDDOWN(26.6,0)</f>
      </c>
      <c r="AB1579" s="5">
        <v>5</v>
      </c>
      <c r="AC1579" s="2" t="s">
        <v>231</v>
      </c>
      <c r="AD1579" s="4"/>
      <c r="AE1579" s="4"/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231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 t="s">
        <v>231</v>
      </c>
      <c r="BD1579" s="8" t="s">
        <v>231</v>
      </c>
      <c r="BE1579" s="4" t="s">
        <v>231</v>
      </c>
      <c r="BF1579" s="8" t="s">
        <v>231</v>
      </c>
      <c r="BG1579" s="7" t="s">
        <v>231</v>
      </c>
      <c r="BH1579" s="7" t="s">
        <v>231</v>
      </c>
      <c r="BI1579" s="7"/>
      <c r="BJ1579" s="4">
        <v>21</v>
      </c>
      <c r="BK1579" s="8">
        <v>4168.27</v>
      </c>
      <c r="BL1579" s="2" t="s">
        <v>7326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7327</v>
      </c>
      <c r="BV1579" s="2" t="s">
        <v>231</v>
      </c>
      <c r="BW1579" s="2" t="s">
        <v>231</v>
      </c>
      <c r="BX1579" s="2" t="s">
        <v>241</v>
      </c>
      <c r="BY1579" s="2" t="s">
        <v>277</v>
      </c>
      <c r="BZ1579" s="2" t="s">
        <v>243</v>
      </c>
      <c r="CA1579" s="2" t="s">
        <v>7328</v>
      </c>
      <c r="CB1579" s="2" t="s">
        <v>7329</v>
      </c>
      <c r="CC1579" s="2" t="s">
        <v>244</v>
      </c>
      <c r="CD1579" s="2" t="s">
        <v>231</v>
      </c>
      <c r="CE1579" s="4"/>
      <c r="CF1579" s="4">
        <v>133</v>
      </c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</row>
    <row r="1580">
      <c r="A1580" s="2" t="s">
        <v>7330</v>
      </c>
      <c r="B1580" s="2" t="s">
        <v>1186</v>
      </c>
      <c r="C1580" s="2" t="s">
        <v>815</v>
      </c>
      <c r="D1580" s="2" t="s">
        <v>3558</v>
      </c>
      <c r="E1580" s="2" t="s">
        <v>7331</v>
      </c>
      <c r="F1580" s="2" t="s">
        <v>3219</v>
      </c>
      <c r="G1580" s="2" t="s">
        <v>3219</v>
      </c>
      <c r="H1580" s="2" t="s">
        <v>3219</v>
      </c>
      <c r="I1580" s="2" t="s">
        <v>7332</v>
      </c>
      <c r="J1580" s="2" t="s">
        <v>3598</v>
      </c>
      <c r="K1580" s="2" t="s">
        <v>255</v>
      </c>
      <c r="L1580" s="3">
        <v>14.85</v>
      </c>
      <c r="M1580" s="3">
        <v>15.59</v>
      </c>
      <c r="N1580" s="3">
        <v>32.99</v>
      </c>
      <c r="O1580" s="2" t="s">
        <v>243</v>
      </c>
      <c r="P1580" s="2" t="s">
        <v>917</v>
      </c>
      <c r="Q1580" s="2" t="s">
        <v>237</v>
      </c>
      <c r="R1580" s="2" t="s">
        <v>231</v>
      </c>
      <c r="S1580" s="2" t="s">
        <v>7333</v>
      </c>
      <c r="T1580" s="2" t="s">
        <v>231</v>
      </c>
      <c r="U1580" s="2" t="s">
        <v>231</v>
      </c>
      <c r="V1580" s="2" t="s">
        <v>1890</v>
      </c>
      <c r="W1580" s="2" t="s">
        <v>273</v>
      </c>
      <c r="X1580" s="2" t="s">
        <v>808</v>
      </c>
      <c r="Y1580" s="2" t="s">
        <v>274</v>
      </c>
      <c r="Z1580" s="4"/>
      <c r="AA1580" s="4">
        <f>=ROUNDDOWN({0},0)</f>
      </c>
      <c r="AB1580" s="5">
        <v>2</v>
      </c>
      <c r="AC1580" s="2" t="s">
        <v>231</v>
      </c>
      <c r="AD1580" s="4"/>
      <c r="AE1580" s="4"/>
      <c r="AF1580" s="6">
        <v>65</v>
      </c>
      <c r="AG1580" s="6">
        <v>48</v>
      </c>
      <c r="AH1580" s="7">
        <v>0</v>
      </c>
      <c r="AI1580" s="4"/>
      <c r="AJ1580" s="4">
        <f>=ROUNDDOWN({0},0)</f>
      </c>
      <c r="AK1580" s="5"/>
      <c r="AL1580" s="2" t="s">
        <v>231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231</v>
      </c>
      <c r="BD1580" s="8" t="s">
        <v>231</v>
      </c>
      <c r="BE1580" s="4" t="s">
        <v>231</v>
      </c>
      <c r="BF1580" s="8" t="s">
        <v>231</v>
      </c>
      <c r="BG1580" s="7" t="s">
        <v>231</v>
      </c>
      <c r="BH1580" s="7" t="s">
        <v>231</v>
      </c>
      <c r="BI1580" s="7"/>
      <c r="BJ1580" s="4"/>
      <c r="BK1580" s="8"/>
      <c r="BL1580" s="2" t="s">
        <v>7334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7335</v>
      </c>
      <c r="BV1580" s="2" t="s">
        <v>231</v>
      </c>
      <c r="BW1580" s="2" t="s">
        <v>231</v>
      </c>
      <c r="BX1580" s="2" t="s">
        <v>231</v>
      </c>
      <c r="BY1580" s="2" t="s">
        <v>277</v>
      </c>
      <c r="BZ1580" s="2" t="s">
        <v>243</v>
      </c>
      <c r="CA1580" s="2" t="s">
        <v>284</v>
      </c>
      <c r="CB1580" s="2" t="s">
        <v>6696</v>
      </c>
      <c r="CC1580" s="2" t="s">
        <v>244</v>
      </c>
      <c r="CD1580" s="2" t="s">
        <v>231</v>
      </c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</row>
    <row r="1581">
      <c r="A1581" s="2" t="s">
        <v>7336</v>
      </c>
      <c r="B1581" s="2" t="s">
        <v>847</v>
      </c>
      <c r="C1581" s="2" t="s">
        <v>825</v>
      </c>
      <c r="D1581" s="2" t="s">
        <v>7337</v>
      </c>
      <c r="E1581" s="2" t="s">
        <v>7338</v>
      </c>
      <c r="F1581" s="2" t="s">
        <v>7339</v>
      </c>
      <c r="G1581" s="2" t="s">
        <v>7339</v>
      </c>
      <c r="H1581" s="2" t="s">
        <v>7339</v>
      </c>
      <c r="I1581" s="2" t="s">
        <v>7340</v>
      </c>
      <c r="J1581" s="2" t="s">
        <v>807</v>
      </c>
      <c r="K1581" s="2" t="s">
        <v>7341</v>
      </c>
      <c r="L1581" s="3">
        <v>30</v>
      </c>
      <c r="M1581" s="3">
        <v>31.5</v>
      </c>
      <c r="N1581" s="3">
        <v>69.99</v>
      </c>
      <c r="O1581" s="2" t="s">
        <v>235</v>
      </c>
      <c r="P1581" s="2" t="s">
        <v>341</v>
      </c>
      <c r="Q1581" s="2" t="s">
        <v>237</v>
      </c>
      <c r="R1581" s="2" t="s">
        <v>231</v>
      </c>
      <c r="S1581" s="2" t="s">
        <v>7342</v>
      </c>
      <c r="T1581" s="2" t="s">
        <v>231</v>
      </c>
      <c r="U1581" s="2" t="s">
        <v>791</v>
      </c>
      <c r="V1581" s="2" t="s">
        <v>4046</v>
      </c>
      <c r="W1581" s="2" t="s">
        <v>273</v>
      </c>
      <c r="X1581" s="2" t="s">
        <v>691</v>
      </c>
      <c r="Y1581" s="2" t="s">
        <v>7343</v>
      </c>
      <c r="Z1581" s="4">
        <v>49</v>
      </c>
      <c r="AA1581" s="4">
        <f>=ROUNDDOWN(245,0)</f>
      </c>
      <c r="AB1581" s="5">
        <v>0.2</v>
      </c>
      <c r="AC1581" s="2" t="s">
        <v>231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231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/>
      <c r="BD1581" s="8"/>
      <c r="BE1581" s="4"/>
      <c r="BF1581" s="8"/>
      <c r="BG1581" s="7"/>
      <c r="BH1581" s="7"/>
      <c r="BI1581" s="7"/>
      <c r="BJ1581" s="4">
        <v>1</v>
      </c>
      <c r="BK1581" s="8">
        <v>31.5</v>
      </c>
      <c r="BL1581" s="2" t="s">
        <v>7344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7345</v>
      </c>
      <c r="BV1581" s="2" t="s">
        <v>231</v>
      </c>
      <c r="BW1581" s="2" t="s">
        <v>231</v>
      </c>
      <c r="BX1581" s="2" t="s">
        <v>231</v>
      </c>
      <c r="BY1581" s="2" t="s">
        <v>277</v>
      </c>
      <c r="BZ1581" s="2" t="s">
        <v>243</v>
      </c>
      <c r="CA1581" s="2" t="s">
        <v>1992</v>
      </c>
      <c r="CB1581" s="2" t="s">
        <v>231</v>
      </c>
      <c r="CC1581" s="2" t="s">
        <v>244</v>
      </c>
      <c r="CD1581" s="2" t="s">
        <v>231</v>
      </c>
      <c r="CE1581" s="4"/>
      <c r="CF1581" s="4">
        <v>49</v>
      </c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</row>
    <row r="1582">
      <c r="A1582" s="2" t="s">
        <v>7346</v>
      </c>
      <c r="B1582" s="2" t="s">
        <v>1004</v>
      </c>
      <c r="C1582" s="2" t="s">
        <v>288</v>
      </c>
      <c r="D1582" s="2" t="s">
        <v>1912</v>
      </c>
      <c r="E1582" s="2" t="s">
        <v>1913</v>
      </c>
      <c r="F1582" s="2" t="s">
        <v>7347</v>
      </c>
      <c r="G1582" s="2" t="s">
        <v>7348</v>
      </c>
      <c r="H1582" s="2" t="s">
        <v>7349</v>
      </c>
      <c r="I1582" s="2" t="s">
        <v>7350</v>
      </c>
      <c r="J1582" s="2" t="s">
        <v>807</v>
      </c>
      <c r="K1582" s="2" t="s">
        <v>901</v>
      </c>
      <c r="L1582" s="3">
        <v>144.5</v>
      </c>
      <c r="M1582" s="3">
        <v>151.72</v>
      </c>
      <c r="N1582" s="3">
        <v>299</v>
      </c>
      <c r="O1582" s="2" t="s">
        <v>243</v>
      </c>
      <c r="P1582" s="2" t="s">
        <v>1985</v>
      </c>
      <c r="Q1582" s="2" t="s">
        <v>237</v>
      </c>
      <c r="R1582" s="2" t="s">
        <v>231</v>
      </c>
      <c r="S1582" s="2" t="s">
        <v>231</v>
      </c>
      <c r="T1582" s="2" t="s">
        <v>231</v>
      </c>
      <c r="U1582" s="2" t="s">
        <v>327</v>
      </c>
      <c r="V1582" s="2" t="s">
        <v>662</v>
      </c>
      <c r="W1582" s="2" t="s">
        <v>691</v>
      </c>
      <c r="X1582" s="2" t="s">
        <v>273</v>
      </c>
      <c r="Y1582" s="2" t="s">
        <v>2544</v>
      </c>
      <c r="Z1582" s="4">
        <v>121</v>
      </c>
      <c r="AA1582" s="4">
        <f>=ROUNDDOWN(24.2,0)</f>
      </c>
      <c r="AB1582" s="5">
        <v>5</v>
      </c>
      <c r="AC1582" s="2" t="s">
        <v>220</v>
      </c>
      <c r="AD1582" s="4">
        <v>100</v>
      </c>
      <c r="AE1582" s="4">
        <v>100</v>
      </c>
      <c r="AF1582" s="6">
        <v>74</v>
      </c>
      <c r="AG1582" s="6"/>
      <c r="AH1582" s="7">
        <v>1</v>
      </c>
      <c r="AI1582" s="4"/>
      <c r="AJ1582" s="4">
        <f>=ROUNDDOWN({0},0)</f>
      </c>
      <c r="AK1582" s="5"/>
      <c r="AL1582" s="2" t="s">
        <v>231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/>
      <c r="BD1582" s="8"/>
      <c r="BE1582" s="4"/>
      <c r="BF1582" s="8"/>
      <c r="BG1582" s="7"/>
      <c r="BH1582" s="7"/>
      <c r="BI1582" s="7"/>
      <c r="BJ1582" s="4">
        <v>16</v>
      </c>
      <c r="BK1582" s="8">
        <v>2519.01</v>
      </c>
      <c r="BL1582" s="2" t="s">
        <v>7351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7352</v>
      </c>
      <c r="BV1582" s="2" t="s">
        <v>231</v>
      </c>
      <c r="BW1582" s="2" t="s">
        <v>231</v>
      </c>
      <c r="BX1582" s="2" t="s">
        <v>241</v>
      </c>
      <c r="BY1582" s="2" t="s">
        <v>277</v>
      </c>
      <c r="BZ1582" s="2" t="s">
        <v>243</v>
      </c>
      <c r="CA1582" s="2" t="s">
        <v>7353</v>
      </c>
      <c r="CB1582" s="2" t="s">
        <v>2406</v>
      </c>
      <c r="CC1582" s="2" t="s">
        <v>244</v>
      </c>
      <c r="CD1582" s="2" t="s">
        <v>231</v>
      </c>
      <c r="CE1582" s="4"/>
      <c r="CF1582" s="4">
        <v>121</v>
      </c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>
        <v>100</v>
      </c>
      <c r="HD1582" s="4"/>
      <c r="HE1582" s="4"/>
      <c r="HF1582" s="4"/>
      <c r="HG1582" s="4"/>
      <c r="HH1582" s="4"/>
      <c r="HI1582" s="4"/>
      <c r="HJ1582" s="4"/>
      <c r="HK1582" s="4"/>
      <c r="HL1582" s="4"/>
    </row>
    <row r="1583">
      <c r="A1583" s="2" t="s">
        <v>7354</v>
      </c>
      <c r="B1583" s="2" t="s">
        <v>226</v>
      </c>
      <c r="C1583" s="2" t="s">
        <v>965</v>
      </c>
      <c r="D1583" s="2" t="s">
        <v>1549</v>
      </c>
      <c r="E1583" s="2" t="s">
        <v>1550</v>
      </c>
      <c r="F1583" s="2" t="s">
        <v>7355</v>
      </c>
      <c r="G1583" s="2" t="s">
        <v>7356</v>
      </c>
      <c r="H1583" s="2" t="s">
        <v>7356</v>
      </c>
      <c r="I1583" s="2" t="s">
        <v>7357</v>
      </c>
      <c r="J1583" s="2" t="s">
        <v>2845</v>
      </c>
      <c r="K1583" s="2" t="s">
        <v>1513</v>
      </c>
      <c r="L1583" s="3">
        <v>36</v>
      </c>
      <c r="M1583" s="3">
        <v>37.8</v>
      </c>
      <c r="N1583" s="3">
        <v>74.99</v>
      </c>
      <c r="O1583" s="2" t="s">
        <v>235</v>
      </c>
      <c r="P1583" s="2" t="s">
        <v>917</v>
      </c>
      <c r="Q1583" s="2" t="s">
        <v>237</v>
      </c>
      <c r="R1583" s="2" t="s">
        <v>231</v>
      </c>
      <c r="S1583" s="2" t="s">
        <v>7358</v>
      </c>
      <c r="T1583" s="2" t="s">
        <v>1630</v>
      </c>
      <c r="U1583" s="2" t="s">
        <v>327</v>
      </c>
      <c r="V1583" s="2" t="s">
        <v>1304</v>
      </c>
      <c r="W1583" s="2" t="s">
        <v>897</v>
      </c>
      <c r="X1583" s="2" t="s">
        <v>971</v>
      </c>
      <c r="Y1583" s="2" t="s">
        <v>2961</v>
      </c>
      <c r="Z1583" s="4">
        <v>307</v>
      </c>
      <c r="AA1583" s="4">
        <f>=ROUNDDOWN(30.7,0)</f>
      </c>
      <c r="AB1583" s="5">
        <v>10</v>
      </c>
      <c r="AC1583" s="2" t="s">
        <v>231</v>
      </c>
      <c r="AD1583" s="4"/>
      <c r="AE1583" s="4"/>
      <c r="AF1583" s="6">
        <v>61</v>
      </c>
      <c r="AG1583" s="6"/>
      <c r="AH1583" s="7">
        <v>1</v>
      </c>
      <c r="AI1583" s="4"/>
      <c r="AJ1583" s="4">
        <f>=ROUNDDOWN({0},0)</f>
      </c>
      <c r="AK1583" s="5"/>
      <c r="AL1583" s="2" t="s">
        <v>231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/>
      <c r="BD1583" s="8"/>
      <c r="BE1583" s="4"/>
      <c r="BF1583" s="8"/>
      <c r="BG1583" s="7"/>
      <c r="BH1583" s="7"/>
      <c r="BI1583" s="7"/>
      <c r="BJ1583" s="4">
        <v>7</v>
      </c>
      <c r="BK1583" s="8">
        <v>215.52</v>
      </c>
      <c r="BL1583" s="2" t="s">
        <v>3767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7359</v>
      </c>
      <c r="BV1583" s="2" t="s">
        <v>231</v>
      </c>
      <c r="BW1583" s="2" t="s">
        <v>231</v>
      </c>
      <c r="BX1583" s="2" t="s">
        <v>231</v>
      </c>
      <c r="BY1583" s="2" t="s">
        <v>277</v>
      </c>
      <c r="BZ1583" s="2" t="s">
        <v>243</v>
      </c>
      <c r="CA1583" s="2" t="s">
        <v>3640</v>
      </c>
      <c r="CB1583" s="2" t="s">
        <v>5002</v>
      </c>
      <c r="CC1583" s="2" t="s">
        <v>244</v>
      </c>
      <c r="CD1583" s="2" t="s">
        <v>231</v>
      </c>
      <c r="CE1583" s="4">
        <v>307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</row>
    <row r="1584">
      <c r="A1584" s="2" t="s">
        <v>7360</v>
      </c>
      <c r="B1584" s="2" t="s">
        <v>1004</v>
      </c>
      <c r="C1584" s="2" t="s">
        <v>867</v>
      </c>
      <c r="D1584" s="2" t="s">
        <v>1689</v>
      </c>
      <c r="E1584" s="2" t="s">
        <v>241</v>
      </c>
      <c r="F1584" s="2" t="s">
        <v>7361</v>
      </c>
      <c r="G1584" s="2" t="s">
        <v>7361</v>
      </c>
      <c r="H1584" s="2" t="s">
        <v>7361</v>
      </c>
      <c r="I1584" s="2" t="s">
        <v>6063</v>
      </c>
      <c r="J1584" s="2" t="s">
        <v>807</v>
      </c>
      <c r="K1584" s="2" t="s">
        <v>747</v>
      </c>
      <c r="L1584" s="3">
        <v>214.2</v>
      </c>
      <c r="M1584" s="3">
        <v>224.91</v>
      </c>
      <c r="N1584" s="3">
        <v>449</v>
      </c>
      <c r="O1584" s="2" t="s">
        <v>235</v>
      </c>
      <c r="P1584" s="2" t="s">
        <v>341</v>
      </c>
      <c r="Q1584" s="2" t="s">
        <v>237</v>
      </c>
      <c r="R1584" s="2" t="s">
        <v>231</v>
      </c>
      <c r="S1584" s="2" t="s">
        <v>231</v>
      </c>
      <c r="T1584" s="2" t="s">
        <v>231</v>
      </c>
      <c r="U1584" s="2" t="s">
        <v>327</v>
      </c>
      <c r="V1584" s="2" t="s">
        <v>662</v>
      </c>
      <c r="W1584" s="2" t="s">
        <v>792</v>
      </c>
      <c r="X1584" s="2" t="s">
        <v>874</v>
      </c>
      <c r="Y1584" s="2" t="s">
        <v>7362</v>
      </c>
      <c r="Z1584" s="4">
        <v>105</v>
      </c>
      <c r="AA1584" s="4">
        <f>=ROUNDDOWN(52.5,0)</f>
      </c>
      <c r="AB1584" s="5">
        <v>2</v>
      </c>
      <c r="AC1584" s="2" t="s">
        <v>231</v>
      </c>
      <c r="AD1584" s="4"/>
      <c r="AE1584" s="4"/>
      <c r="AF1584" s="6">
        <v>74</v>
      </c>
      <c r="AG1584" s="6"/>
      <c r="AH1584" s="7">
        <v>1</v>
      </c>
      <c r="AI1584" s="4"/>
      <c r="AJ1584" s="4">
        <f>=ROUNDDOWN({0},0)</f>
      </c>
      <c r="AK1584" s="5"/>
      <c r="AL1584" s="2" t="s">
        <v>231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/>
      <c r="BD1584" s="8"/>
      <c r="BE1584" s="4"/>
      <c r="BF1584" s="8"/>
      <c r="BG1584" s="7"/>
      <c r="BH1584" s="7"/>
      <c r="BI1584" s="7"/>
      <c r="BJ1584" s="4">
        <v>3</v>
      </c>
      <c r="BK1584" s="8">
        <v>851.66</v>
      </c>
      <c r="BL1584" s="2" t="s">
        <v>2225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7363</v>
      </c>
      <c r="BV1584" s="2" t="s">
        <v>231</v>
      </c>
      <c r="BW1584" s="2" t="s">
        <v>231</v>
      </c>
      <c r="BX1584" s="2" t="s">
        <v>231</v>
      </c>
      <c r="BY1584" s="2" t="s">
        <v>277</v>
      </c>
      <c r="BZ1584" s="2" t="s">
        <v>243</v>
      </c>
      <c r="CA1584" s="2" t="s">
        <v>7362</v>
      </c>
      <c r="CB1584" s="2" t="s">
        <v>7364</v>
      </c>
      <c r="CC1584" s="2" t="s">
        <v>244</v>
      </c>
      <c r="CD1584" s="2" t="s">
        <v>231</v>
      </c>
      <c r="CE1584" s="4"/>
      <c r="CF1584" s="4">
        <v>105</v>
      </c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</row>
    <row r="1585">
      <c r="A1585" s="2" t="s">
        <v>7365</v>
      </c>
      <c r="B1585" s="2" t="s">
        <v>1004</v>
      </c>
      <c r="C1585" s="2" t="s">
        <v>815</v>
      </c>
      <c r="D1585" s="2" t="s">
        <v>1295</v>
      </c>
      <c r="E1585" s="2" t="s">
        <v>2253</v>
      </c>
      <c r="F1585" s="2" t="s">
        <v>7366</v>
      </c>
      <c r="G1585" s="2" t="s">
        <v>7366</v>
      </c>
      <c r="H1585" s="2" t="s">
        <v>7366</v>
      </c>
      <c r="I1585" s="2" t="s">
        <v>7367</v>
      </c>
      <c r="J1585" s="2" t="s">
        <v>807</v>
      </c>
      <c r="K1585" s="2" t="s">
        <v>1496</v>
      </c>
      <c r="L1585" s="3">
        <v>430</v>
      </c>
      <c r="M1585" s="3">
        <v>451.5</v>
      </c>
      <c r="N1585" s="3">
        <v>899</v>
      </c>
      <c r="O1585" s="2" t="s">
        <v>243</v>
      </c>
      <c r="P1585" s="2" t="s">
        <v>236</v>
      </c>
      <c r="Q1585" s="2" t="s">
        <v>237</v>
      </c>
      <c r="R1585" s="2" t="s">
        <v>231</v>
      </c>
      <c r="S1585" s="2" t="s">
        <v>231</v>
      </c>
      <c r="T1585" s="2" t="s">
        <v>231</v>
      </c>
      <c r="U1585" s="2" t="s">
        <v>327</v>
      </c>
      <c r="V1585" s="2" t="s">
        <v>662</v>
      </c>
      <c r="W1585" s="2" t="s">
        <v>808</v>
      </c>
      <c r="X1585" s="2" t="s">
        <v>691</v>
      </c>
      <c r="Y1585" s="2" t="s">
        <v>2340</v>
      </c>
      <c r="Z1585" s="4">
        <v>123</v>
      </c>
      <c r="AA1585" s="4">
        <f>=ROUNDDOWN(111.818181818182,0)</f>
      </c>
      <c r="AB1585" s="5">
        <v>1.1</v>
      </c>
      <c r="AC1585" s="2" t="s">
        <v>231</v>
      </c>
      <c r="AD1585" s="4"/>
      <c r="AE1585" s="4"/>
      <c r="AF1585" s="6">
        <v>74</v>
      </c>
      <c r="AG1585" s="6"/>
      <c r="AH1585" s="7">
        <v>1</v>
      </c>
      <c r="AI1585" s="4"/>
      <c r="AJ1585" s="4">
        <f>=ROUNDDOWN({0},0)</f>
      </c>
      <c r="AK1585" s="5"/>
      <c r="AL1585" s="2" t="s">
        <v>231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/>
      <c r="BD1585" s="8"/>
      <c r="BE1585" s="4"/>
      <c r="BF1585" s="8"/>
      <c r="BG1585" s="7"/>
      <c r="BH1585" s="7"/>
      <c r="BI1585" s="7"/>
      <c r="BJ1585" s="4">
        <v>3</v>
      </c>
      <c r="BK1585" s="8">
        <v>1438.4</v>
      </c>
      <c r="BL1585" s="2" t="s">
        <v>5426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7368</v>
      </c>
      <c r="BV1585" s="2" t="s">
        <v>231</v>
      </c>
      <c r="BW1585" s="2" t="s">
        <v>231</v>
      </c>
      <c r="BX1585" s="2" t="s">
        <v>241</v>
      </c>
      <c r="BY1585" s="2" t="s">
        <v>277</v>
      </c>
      <c r="BZ1585" s="2" t="s">
        <v>243</v>
      </c>
      <c r="CA1585" s="2" t="s">
        <v>2990</v>
      </c>
      <c r="CB1585" s="2" t="s">
        <v>231</v>
      </c>
      <c r="CC1585" s="2" t="s">
        <v>244</v>
      </c>
      <c r="CD1585" s="2" t="s">
        <v>231</v>
      </c>
      <c r="CE1585" s="4"/>
      <c r="CF1585" s="4">
        <v>123</v>
      </c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</row>
    <row r="1586">
      <c r="A1586" s="2" t="s">
        <v>7369</v>
      </c>
      <c r="B1586" s="2" t="s">
        <v>824</v>
      </c>
      <c r="C1586" s="2" t="s">
        <v>825</v>
      </c>
      <c r="D1586" s="2" t="s">
        <v>826</v>
      </c>
      <c r="E1586" s="2" t="s">
        <v>1060</v>
      </c>
      <c r="F1586" s="2" t="s">
        <v>7370</v>
      </c>
      <c r="G1586" s="2" t="s">
        <v>3936</v>
      </c>
      <c r="H1586" s="2" t="s">
        <v>7371</v>
      </c>
      <c r="I1586" s="2" t="s">
        <v>7372</v>
      </c>
      <c r="J1586" s="2" t="s">
        <v>658</v>
      </c>
      <c r="K1586" s="2" t="s">
        <v>255</v>
      </c>
      <c r="L1586" s="3">
        <v>28.57</v>
      </c>
      <c r="M1586" s="3">
        <v>30</v>
      </c>
      <c r="N1586" s="3">
        <v>59.99</v>
      </c>
      <c r="O1586" s="2" t="s">
        <v>235</v>
      </c>
      <c r="P1586" s="2" t="s">
        <v>341</v>
      </c>
      <c r="Q1586" s="2" t="s">
        <v>237</v>
      </c>
      <c r="R1586" s="2" t="s">
        <v>231</v>
      </c>
      <c r="S1586" s="2" t="s">
        <v>7373</v>
      </c>
      <c r="T1586" s="2" t="s">
        <v>472</v>
      </c>
      <c r="U1586" s="2" t="s">
        <v>835</v>
      </c>
      <c r="V1586" s="2" t="s">
        <v>3942</v>
      </c>
      <c r="W1586" s="2" t="s">
        <v>691</v>
      </c>
      <c r="X1586" s="2" t="s">
        <v>273</v>
      </c>
      <c r="Y1586" s="2" t="s">
        <v>1643</v>
      </c>
      <c r="Z1586" s="4">
        <v>132</v>
      </c>
      <c r="AA1586" s="4">
        <f>=ROUNDDOWN(120,0)</f>
      </c>
      <c r="AB1586" s="5">
        <v>1.1</v>
      </c>
      <c r="AC1586" s="2" t="s">
        <v>231</v>
      </c>
      <c r="AD1586" s="4"/>
      <c r="AE1586" s="4"/>
      <c r="AF1586" s="6">
        <v>64</v>
      </c>
      <c r="AG1586" s="6"/>
      <c r="AH1586" s="7">
        <v>1</v>
      </c>
      <c r="AI1586" s="4"/>
      <c r="AJ1586" s="4">
        <f>=ROUNDDOWN({0},0)</f>
      </c>
      <c r="AK1586" s="5"/>
      <c r="AL1586" s="2" t="s">
        <v>231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 t="s">
        <v>231</v>
      </c>
      <c r="BD1586" s="8" t="s">
        <v>231</v>
      </c>
      <c r="BE1586" s="4" t="s">
        <v>231</v>
      </c>
      <c r="BF1586" s="8" t="s">
        <v>231</v>
      </c>
      <c r="BG1586" s="7" t="s">
        <v>231</v>
      </c>
      <c r="BH1586" s="7" t="s">
        <v>231</v>
      </c>
      <c r="BI1586" s="7"/>
      <c r="BJ1586" s="4">
        <v>5</v>
      </c>
      <c r="BK1586" s="8">
        <v>121.41</v>
      </c>
      <c r="BL1586" s="2" t="s">
        <v>393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7374</v>
      </c>
      <c r="BV1586" s="2" t="s">
        <v>231</v>
      </c>
      <c r="BW1586" s="2" t="s">
        <v>231</v>
      </c>
      <c r="BX1586" s="2" t="s">
        <v>231</v>
      </c>
      <c r="BY1586" s="2" t="s">
        <v>277</v>
      </c>
      <c r="BZ1586" s="2" t="s">
        <v>243</v>
      </c>
      <c r="CA1586" s="2" t="s">
        <v>5524</v>
      </c>
      <c r="CB1586" s="2" t="s">
        <v>7375</v>
      </c>
      <c r="CC1586" s="2" t="s">
        <v>244</v>
      </c>
      <c r="CD1586" s="2" t="s">
        <v>231</v>
      </c>
      <c r="CE1586" s="4">
        <v>132</v>
      </c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</row>
    <row r="1587">
      <c r="A1587" s="2" t="s">
        <v>7376</v>
      </c>
      <c r="B1587" s="2" t="s">
        <v>824</v>
      </c>
      <c r="C1587" s="2" t="s">
        <v>825</v>
      </c>
      <c r="D1587" s="2" t="s">
        <v>826</v>
      </c>
      <c r="E1587" s="2" t="s">
        <v>1060</v>
      </c>
      <c r="F1587" s="2" t="s">
        <v>7370</v>
      </c>
      <c r="G1587" s="2" t="s">
        <v>3936</v>
      </c>
      <c r="H1587" s="2" t="s">
        <v>7371</v>
      </c>
      <c r="I1587" s="2" t="s">
        <v>7372</v>
      </c>
      <c r="J1587" s="2" t="s">
        <v>658</v>
      </c>
      <c r="K1587" s="2" t="s">
        <v>319</v>
      </c>
      <c r="L1587" s="3">
        <v>28.57</v>
      </c>
      <c r="M1587" s="3">
        <v>30</v>
      </c>
      <c r="N1587" s="3">
        <v>59.99</v>
      </c>
      <c r="O1587" s="2" t="s">
        <v>235</v>
      </c>
      <c r="P1587" s="2" t="s">
        <v>341</v>
      </c>
      <c r="Q1587" s="2" t="s">
        <v>237</v>
      </c>
      <c r="R1587" s="2" t="s">
        <v>231</v>
      </c>
      <c r="S1587" s="2" t="s">
        <v>7377</v>
      </c>
      <c r="T1587" s="2" t="s">
        <v>472</v>
      </c>
      <c r="U1587" s="2" t="s">
        <v>835</v>
      </c>
      <c r="V1587" s="2" t="s">
        <v>3942</v>
      </c>
      <c r="W1587" s="2" t="s">
        <v>691</v>
      </c>
      <c r="X1587" s="2" t="s">
        <v>273</v>
      </c>
      <c r="Y1587" s="2" t="s">
        <v>1643</v>
      </c>
      <c r="Z1587" s="4">
        <v>130</v>
      </c>
      <c r="AA1587" s="4">
        <f>=ROUNDDOWN(68.4210526315789,0)</f>
      </c>
      <c r="AB1587" s="5">
        <v>1.9</v>
      </c>
      <c r="AC1587" s="2" t="s">
        <v>231</v>
      </c>
      <c r="AD1587" s="4"/>
      <c r="AE1587" s="4"/>
      <c r="AF1587" s="6">
        <v>64</v>
      </c>
      <c r="AG1587" s="6"/>
      <c r="AH1587" s="7">
        <v>1</v>
      </c>
      <c r="AI1587" s="4"/>
      <c r="AJ1587" s="4">
        <f>=ROUNDDOWN({0},0)</f>
      </c>
      <c r="AK1587" s="5"/>
      <c r="AL1587" s="2" t="s">
        <v>231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 t="s">
        <v>231</v>
      </c>
      <c r="BD1587" s="8" t="s">
        <v>231</v>
      </c>
      <c r="BE1587" s="4" t="s">
        <v>231</v>
      </c>
      <c r="BF1587" s="8" t="s">
        <v>231</v>
      </c>
      <c r="BG1587" s="7" t="s">
        <v>231</v>
      </c>
      <c r="BH1587" s="7" t="s">
        <v>231</v>
      </c>
      <c r="BI1587" s="7"/>
      <c r="BJ1587" s="4">
        <v>8</v>
      </c>
      <c r="BK1587" s="8">
        <v>175.32</v>
      </c>
      <c r="BL1587" s="2" t="s">
        <v>3882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7378</v>
      </c>
      <c r="BV1587" s="2" t="s">
        <v>231</v>
      </c>
      <c r="BW1587" s="2" t="s">
        <v>231</v>
      </c>
      <c r="BX1587" s="2" t="s">
        <v>231</v>
      </c>
      <c r="BY1587" s="2" t="s">
        <v>277</v>
      </c>
      <c r="BZ1587" s="2" t="s">
        <v>243</v>
      </c>
      <c r="CA1587" s="2" t="s">
        <v>5524</v>
      </c>
      <c r="CB1587" s="2" t="s">
        <v>920</v>
      </c>
      <c r="CC1587" s="2" t="s">
        <v>244</v>
      </c>
      <c r="CD1587" s="2" t="s">
        <v>231</v>
      </c>
      <c r="CE1587" s="4">
        <v>130</v>
      </c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</row>
    <row r="1588">
      <c r="A1588" s="2" t="s">
        <v>7379</v>
      </c>
      <c r="B1588" s="2" t="s">
        <v>226</v>
      </c>
      <c r="C1588" s="2" t="s">
        <v>288</v>
      </c>
      <c r="D1588" s="2" t="s">
        <v>654</v>
      </c>
      <c r="E1588" s="2" t="s">
        <v>890</v>
      </c>
      <c r="F1588" s="2" t="s">
        <v>7380</v>
      </c>
      <c r="G1588" s="2" t="s">
        <v>4974</v>
      </c>
      <c r="H1588" s="2" t="s">
        <v>4974</v>
      </c>
      <c r="I1588" s="2" t="s">
        <v>7381</v>
      </c>
      <c r="J1588" s="2" t="s">
        <v>658</v>
      </c>
      <c r="K1588" s="2" t="s">
        <v>294</v>
      </c>
      <c r="L1588" s="3">
        <v>47.61</v>
      </c>
      <c r="M1588" s="3">
        <v>49.99</v>
      </c>
      <c r="N1588" s="3">
        <v>99.99</v>
      </c>
      <c r="O1588" s="2" t="s">
        <v>243</v>
      </c>
      <c r="P1588" s="2" t="s">
        <v>236</v>
      </c>
      <c r="Q1588" s="2" t="s">
        <v>237</v>
      </c>
      <c r="R1588" s="2" t="s">
        <v>231</v>
      </c>
      <c r="S1588" s="2" t="s">
        <v>7382</v>
      </c>
      <c r="T1588" s="2" t="s">
        <v>895</v>
      </c>
      <c r="U1588" s="2" t="s">
        <v>835</v>
      </c>
      <c r="V1588" s="2" t="s">
        <v>391</v>
      </c>
      <c r="W1588" s="2" t="s">
        <v>299</v>
      </c>
      <c r="X1588" s="2" t="s">
        <v>896</v>
      </c>
      <c r="Y1588" s="2" t="s">
        <v>231</v>
      </c>
      <c r="Z1588" s="4"/>
      <c r="AA1588" s="4">
        <f>=ROUNDDOWN({0},0)</f>
      </c>
      <c r="AB1588" s="5">
        <v>11</v>
      </c>
      <c r="AC1588" s="2" t="s">
        <v>717</v>
      </c>
      <c r="AD1588" s="4">
        <v>160</v>
      </c>
      <c r="AE1588" s="4">
        <v>360</v>
      </c>
      <c r="AF1588" s="6">
        <v>65</v>
      </c>
      <c r="AG1588" s="6"/>
      <c r="AH1588" s="7">
        <v>0</v>
      </c>
      <c r="AI1588" s="4"/>
      <c r="AJ1588" s="4">
        <f>=ROUNDDOWN({0},0)</f>
      </c>
      <c r="AK1588" s="5"/>
      <c r="AL1588" s="2" t="s">
        <v>231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231</v>
      </c>
      <c r="AW1588" s="8" t="s">
        <v>231</v>
      </c>
      <c r="AX1588" s="4" t="s">
        <v>231</v>
      </c>
      <c r="AY1588" s="8" t="s">
        <v>231</v>
      </c>
      <c r="AZ1588" s="7" t="s">
        <v>231</v>
      </c>
      <c r="BA1588" s="7" t="s">
        <v>231</v>
      </c>
      <c r="BB1588" s="7"/>
      <c r="BC1588" s="4" t="s">
        <v>231</v>
      </c>
      <c r="BD1588" s="8" t="s">
        <v>231</v>
      </c>
      <c r="BE1588" s="4" t="s">
        <v>231</v>
      </c>
      <c r="BF1588" s="8" t="s">
        <v>231</v>
      </c>
      <c r="BG1588" s="7" t="s">
        <v>231</v>
      </c>
      <c r="BH1588" s="7" t="s">
        <v>231</v>
      </c>
      <c r="BI1588" s="7"/>
      <c r="BJ1588" s="4"/>
      <c r="BK1588" s="8"/>
      <c r="BL1588" s="2" t="s">
        <v>231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241</v>
      </c>
      <c r="BV1588" s="2" t="s">
        <v>231</v>
      </c>
      <c r="BW1588" s="2" t="s">
        <v>231</v>
      </c>
      <c r="BX1588" s="2" t="s">
        <v>241</v>
      </c>
      <c r="BY1588" s="2" t="s">
        <v>242</v>
      </c>
      <c r="BZ1588" s="2" t="s">
        <v>243</v>
      </c>
      <c r="CA1588" s="2" t="s">
        <v>231</v>
      </c>
      <c r="CB1588" s="2" t="s">
        <v>231</v>
      </c>
      <c r="CC1588" s="2" t="s">
        <v>244</v>
      </c>
      <c r="CD1588" s="2" t="s">
        <v>231</v>
      </c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>
        <v>160</v>
      </c>
      <c r="FB1588" s="4"/>
      <c r="FC1588" s="4"/>
      <c r="FD1588" s="4"/>
      <c r="FE1588" s="4"/>
      <c r="FF1588" s="4"/>
      <c r="FG1588" s="4"/>
      <c r="FH1588" s="4"/>
      <c r="FI1588" s="4">
        <v>200</v>
      </c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</row>
    <row r="1589">
      <c r="A1589" s="2" t="s">
        <v>7383</v>
      </c>
      <c r="B1589" s="2" t="s">
        <v>226</v>
      </c>
      <c r="C1589" s="2" t="s">
        <v>288</v>
      </c>
      <c r="D1589" s="2" t="s">
        <v>654</v>
      </c>
      <c r="E1589" s="2" t="s">
        <v>890</v>
      </c>
      <c r="F1589" s="2" t="s">
        <v>7380</v>
      </c>
      <c r="G1589" s="2" t="s">
        <v>4974</v>
      </c>
      <c r="H1589" s="2" t="s">
        <v>4974</v>
      </c>
      <c r="I1589" s="2" t="s">
        <v>7381</v>
      </c>
      <c r="J1589" s="2" t="s">
        <v>302</v>
      </c>
      <c r="K1589" s="2" t="s">
        <v>294</v>
      </c>
      <c r="L1589" s="3">
        <v>57.14</v>
      </c>
      <c r="M1589" s="3">
        <v>60</v>
      </c>
      <c r="N1589" s="3">
        <v>119.99</v>
      </c>
      <c r="O1589" s="2" t="s">
        <v>243</v>
      </c>
      <c r="P1589" s="2" t="s">
        <v>236</v>
      </c>
      <c r="Q1589" s="2" t="s">
        <v>237</v>
      </c>
      <c r="R1589" s="2" t="s">
        <v>231</v>
      </c>
      <c r="S1589" s="2" t="s">
        <v>7382</v>
      </c>
      <c r="T1589" s="2" t="s">
        <v>895</v>
      </c>
      <c r="U1589" s="2" t="s">
        <v>835</v>
      </c>
      <c r="V1589" s="2" t="s">
        <v>391</v>
      </c>
      <c r="W1589" s="2" t="s">
        <v>299</v>
      </c>
      <c r="X1589" s="2" t="s">
        <v>896</v>
      </c>
      <c r="Y1589" s="2" t="s">
        <v>231</v>
      </c>
      <c r="Z1589" s="4"/>
      <c r="AA1589" s="4">
        <f>=ROUNDDOWN({0},0)</f>
      </c>
      <c r="AB1589" s="5">
        <v>20</v>
      </c>
      <c r="AC1589" s="2" t="s">
        <v>717</v>
      </c>
      <c r="AD1589" s="4">
        <v>180</v>
      </c>
      <c r="AE1589" s="4">
        <v>440</v>
      </c>
      <c r="AF1589" s="6">
        <v>65</v>
      </c>
      <c r="AG1589" s="6"/>
      <c r="AH1589" s="7">
        <v>0</v>
      </c>
      <c r="AI1589" s="4"/>
      <c r="AJ1589" s="4">
        <f>=ROUNDDOWN({0},0)</f>
      </c>
      <c r="AK1589" s="5"/>
      <c r="AL1589" s="2" t="s">
        <v>231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231</v>
      </c>
      <c r="AW1589" s="8" t="s">
        <v>231</v>
      </c>
      <c r="AX1589" s="4" t="s">
        <v>231</v>
      </c>
      <c r="AY1589" s="8" t="s">
        <v>231</v>
      </c>
      <c r="AZ1589" s="7" t="s">
        <v>231</v>
      </c>
      <c r="BA1589" s="7" t="s">
        <v>231</v>
      </c>
      <c r="BB1589" s="7"/>
      <c r="BC1589" s="4" t="s">
        <v>231</v>
      </c>
      <c r="BD1589" s="8" t="s">
        <v>231</v>
      </c>
      <c r="BE1589" s="4" t="s">
        <v>231</v>
      </c>
      <c r="BF1589" s="8" t="s">
        <v>231</v>
      </c>
      <c r="BG1589" s="7" t="s">
        <v>231</v>
      </c>
      <c r="BH1589" s="7" t="s">
        <v>231</v>
      </c>
      <c r="BI1589" s="7"/>
      <c r="BJ1589" s="4"/>
      <c r="BK1589" s="8"/>
      <c r="BL1589" s="2" t="s">
        <v>231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241</v>
      </c>
      <c r="BV1589" s="2" t="s">
        <v>231</v>
      </c>
      <c r="BW1589" s="2" t="s">
        <v>231</v>
      </c>
      <c r="BX1589" s="2" t="s">
        <v>241</v>
      </c>
      <c r="BY1589" s="2" t="s">
        <v>242</v>
      </c>
      <c r="BZ1589" s="2" t="s">
        <v>243</v>
      </c>
      <c r="CA1589" s="2" t="s">
        <v>231</v>
      </c>
      <c r="CB1589" s="2" t="s">
        <v>231</v>
      </c>
      <c r="CC1589" s="2" t="s">
        <v>244</v>
      </c>
      <c r="CD1589" s="2" t="s">
        <v>231</v>
      </c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>
        <v>180</v>
      </c>
      <c r="FB1589" s="4"/>
      <c r="FC1589" s="4"/>
      <c r="FD1589" s="4"/>
      <c r="FE1589" s="4"/>
      <c r="FF1589" s="4"/>
      <c r="FG1589" s="4"/>
      <c r="FH1589" s="4"/>
      <c r="FI1589" s="4">
        <v>260</v>
      </c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</row>
    <row r="1590">
      <c r="A1590" s="2" t="s">
        <v>7384</v>
      </c>
      <c r="B1590" s="2" t="s">
        <v>1389</v>
      </c>
      <c r="C1590" s="2" t="s">
        <v>288</v>
      </c>
      <c r="D1590" s="2" t="s">
        <v>1389</v>
      </c>
      <c r="E1590" s="2" t="s">
        <v>1389</v>
      </c>
      <c r="F1590" s="2" t="s">
        <v>7380</v>
      </c>
      <c r="G1590" s="2" t="s">
        <v>7385</v>
      </c>
      <c r="H1590" s="2" t="s">
        <v>7386</v>
      </c>
      <c r="I1590" s="2" t="s">
        <v>7387</v>
      </c>
      <c r="J1590" s="2" t="s">
        <v>6119</v>
      </c>
      <c r="K1590" s="2" t="s">
        <v>7388</v>
      </c>
      <c r="L1590" s="3">
        <v>37</v>
      </c>
      <c r="M1590" s="3">
        <v>38.85</v>
      </c>
      <c r="N1590" s="3">
        <v>79.99</v>
      </c>
      <c r="O1590" s="2" t="s">
        <v>243</v>
      </c>
      <c r="P1590" s="2" t="s">
        <v>341</v>
      </c>
      <c r="Q1590" s="2" t="s">
        <v>237</v>
      </c>
      <c r="R1590" s="2" t="s">
        <v>231</v>
      </c>
      <c r="S1590" s="2" t="s">
        <v>7389</v>
      </c>
      <c r="T1590" s="2" t="s">
        <v>231</v>
      </c>
      <c r="U1590" s="2" t="s">
        <v>327</v>
      </c>
      <c r="V1590" s="2" t="s">
        <v>1986</v>
      </c>
      <c r="W1590" s="2" t="s">
        <v>676</v>
      </c>
      <c r="X1590" s="2" t="s">
        <v>231</v>
      </c>
      <c r="Y1590" s="2" t="s">
        <v>5855</v>
      </c>
      <c r="Z1590" s="4">
        <v>46</v>
      </c>
      <c r="AA1590" s="4">
        <f>=ROUNDDOWN(230,0)</f>
      </c>
      <c r="AB1590" s="5">
        <v>0.2</v>
      </c>
      <c r="AC1590" s="2" t="s">
        <v>231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231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231</v>
      </c>
      <c r="AW1590" s="8" t="s">
        <v>231</v>
      </c>
      <c r="AX1590" s="4" t="s">
        <v>231</v>
      </c>
      <c r="AY1590" s="8" t="s">
        <v>231</v>
      </c>
      <c r="AZ1590" s="7" t="s">
        <v>231</v>
      </c>
      <c r="BA1590" s="7" t="s">
        <v>231</v>
      </c>
      <c r="BB1590" s="7"/>
      <c r="BC1590" s="4" t="s">
        <v>231</v>
      </c>
      <c r="BD1590" s="8" t="s">
        <v>231</v>
      </c>
      <c r="BE1590" s="4" t="s">
        <v>231</v>
      </c>
      <c r="BF1590" s="8" t="s">
        <v>231</v>
      </c>
      <c r="BG1590" s="7" t="s">
        <v>231</v>
      </c>
      <c r="BH1590" s="7" t="s">
        <v>231</v>
      </c>
      <c r="BI1590" s="7"/>
      <c r="BJ1590" s="4">
        <v>2</v>
      </c>
      <c r="BK1590" s="8">
        <v>87.8</v>
      </c>
      <c r="BL1590" s="2" t="s">
        <v>1306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7390</v>
      </c>
      <c r="BV1590" s="2" t="s">
        <v>231</v>
      </c>
      <c r="BW1590" s="2" t="s">
        <v>231</v>
      </c>
      <c r="BX1590" s="2" t="s">
        <v>231</v>
      </c>
      <c r="BY1590" s="2" t="s">
        <v>277</v>
      </c>
      <c r="BZ1590" s="2" t="s">
        <v>243</v>
      </c>
      <c r="CA1590" s="2" t="s">
        <v>3339</v>
      </c>
      <c r="CB1590" s="2" t="s">
        <v>231</v>
      </c>
      <c r="CC1590" s="2" t="s">
        <v>244</v>
      </c>
      <c r="CD1590" s="2" t="s">
        <v>231</v>
      </c>
      <c r="CE1590" s="4"/>
      <c r="CF1590" s="4">
        <v>46</v>
      </c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</row>
    <row r="1591">
      <c r="A1591" s="2" t="s">
        <v>7391</v>
      </c>
      <c r="B1591" s="2" t="s">
        <v>1389</v>
      </c>
      <c r="C1591" s="2" t="s">
        <v>288</v>
      </c>
      <c r="D1591" s="2" t="s">
        <v>1389</v>
      </c>
      <c r="E1591" s="2" t="s">
        <v>1389</v>
      </c>
      <c r="F1591" s="2" t="s">
        <v>7380</v>
      </c>
      <c r="G1591" s="2" t="s">
        <v>7385</v>
      </c>
      <c r="H1591" s="2" t="s">
        <v>7386</v>
      </c>
      <c r="I1591" s="2" t="s">
        <v>7387</v>
      </c>
      <c r="J1591" s="2" t="s">
        <v>2030</v>
      </c>
      <c r="K1591" s="2" t="s">
        <v>7388</v>
      </c>
      <c r="L1591" s="3">
        <v>25.5</v>
      </c>
      <c r="M1591" s="3">
        <v>26.78</v>
      </c>
      <c r="N1591" s="3">
        <v>59.99</v>
      </c>
      <c r="O1591" s="2" t="s">
        <v>243</v>
      </c>
      <c r="P1591" s="2" t="s">
        <v>341</v>
      </c>
      <c r="Q1591" s="2" t="s">
        <v>237</v>
      </c>
      <c r="R1591" s="2" t="s">
        <v>231</v>
      </c>
      <c r="S1591" s="2" t="s">
        <v>7389</v>
      </c>
      <c r="T1591" s="2" t="s">
        <v>231</v>
      </c>
      <c r="U1591" s="2" t="s">
        <v>327</v>
      </c>
      <c r="V1591" s="2" t="s">
        <v>1986</v>
      </c>
      <c r="W1591" s="2" t="s">
        <v>676</v>
      </c>
      <c r="X1591" s="2" t="s">
        <v>231</v>
      </c>
      <c r="Y1591" s="2" t="s">
        <v>5855</v>
      </c>
      <c r="Z1591" s="4">
        <v>41</v>
      </c>
      <c r="AA1591" s="4">
        <f>=ROUNDDOWN({0},0)</f>
      </c>
      <c r="AB1591" s="5"/>
      <c r="AC1591" s="2" t="s">
        <v>231</v>
      </c>
      <c r="AD1591" s="4"/>
      <c r="AE1591" s="4"/>
      <c r="AF1591" s="6">
        <v>63</v>
      </c>
      <c r="AG1591" s="6"/>
      <c r="AH1591" s="7">
        <v>1</v>
      </c>
      <c r="AI1591" s="4"/>
      <c r="AJ1591" s="4">
        <f>=ROUNDDOWN({0},0)</f>
      </c>
      <c r="AK1591" s="5"/>
      <c r="AL1591" s="2" t="s">
        <v>231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231</v>
      </c>
      <c r="AW1591" s="8" t="s">
        <v>231</v>
      </c>
      <c r="AX1591" s="4" t="s">
        <v>231</v>
      </c>
      <c r="AY1591" s="8" t="s">
        <v>231</v>
      </c>
      <c r="AZ1591" s="7" t="s">
        <v>231</v>
      </c>
      <c r="BA1591" s="7" t="s">
        <v>231</v>
      </c>
      <c r="BB1591" s="7"/>
      <c r="BC1591" s="4" t="s">
        <v>231</v>
      </c>
      <c r="BD1591" s="8" t="s">
        <v>231</v>
      </c>
      <c r="BE1591" s="4" t="s">
        <v>231</v>
      </c>
      <c r="BF1591" s="8" t="s">
        <v>231</v>
      </c>
      <c r="BG1591" s="7" t="s">
        <v>231</v>
      </c>
      <c r="BH1591" s="7" t="s">
        <v>231</v>
      </c>
      <c r="BI1591" s="7"/>
      <c r="BJ1591" s="4"/>
      <c r="BK1591" s="8"/>
      <c r="BL1591" s="2" t="s">
        <v>937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7392</v>
      </c>
      <c r="BV1591" s="2" t="s">
        <v>231</v>
      </c>
      <c r="BW1591" s="2" t="s">
        <v>231</v>
      </c>
      <c r="BX1591" s="2" t="s">
        <v>231</v>
      </c>
      <c r="BY1591" s="2" t="s">
        <v>277</v>
      </c>
      <c r="BZ1591" s="2" t="s">
        <v>243</v>
      </c>
      <c r="CA1591" s="2" t="s">
        <v>3339</v>
      </c>
      <c r="CB1591" s="2" t="s">
        <v>231</v>
      </c>
      <c r="CC1591" s="2" t="s">
        <v>244</v>
      </c>
      <c r="CD1591" s="2" t="s">
        <v>231</v>
      </c>
      <c r="CE1591" s="4"/>
      <c r="CF1591" s="4">
        <v>41</v>
      </c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</row>
    <row r="1592">
      <c r="A1592" s="2" t="s">
        <v>7393</v>
      </c>
      <c r="B1592" s="2" t="s">
        <v>1389</v>
      </c>
      <c r="C1592" s="2" t="s">
        <v>288</v>
      </c>
      <c r="D1592" s="2" t="s">
        <v>1389</v>
      </c>
      <c r="E1592" s="2" t="s">
        <v>1389</v>
      </c>
      <c r="F1592" s="2" t="s">
        <v>7380</v>
      </c>
      <c r="G1592" s="2" t="s">
        <v>7385</v>
      </c>
      <c r="H1592" s="2" t="s">
        <v>7386</v>
      </c>
      <c r="I1592" s="2" t="s">
        <v>7387</v>
      </c>
      <c r="J1592" s="2" t="s">
        <v>1393</v>
      </c>
      <c r="K1592" s="2" t="s">
        <v>7388</v>
      </c>
      <c r="L1592" s="3">
        <v>70</v>
      </c>
      <c r="M1592" s="3">
        <v>73.5</v>
      </c>
      <c r="N1592" s="3">
        <v>159.99</v>
      </c>
      <c r="O1592" s="2" t="s">
        <v>243</v>
      </c>
      <c r="P1592" s="2" t="s">
        <v>341</v>
      </c>
      <c r="Q1592" s="2" t="s">
        <v>237</v>
      </c>
      <c r="R1592" s="2" t="s">
        <v>231</v>
      </c>
      <c r="S1592" s="2" t="s">
        <v>7389</v>
      </c>
      <c r="T1592" s="2" t="s">
        <v>231</v>
      </c>
      <c r="U1592" s="2" t="s">
        <v>327</v>
      </c>
      <c r="V1592" s="2" t="s">
        <v>1986</v>
      </c>
      <c r="W1592" s="2" t="s">
        <v>676</v>
      </c>
      <c r="X1592" s="2" t="s">
        <v>231</v>
      </c>
      <c r="Y1592" s="2" t="s">
        <v>5855</v>
      </c>
      <c r="Z1592" s="4">
        <v>43</v>
      </c>
      <c r="AA1592" s="4">
        <f>=ROUNDDOWN(430,0)</f>
      </c>
      <c r="AB1592" s="5">
        <v>0.1</v>
      </c>
      <c r="AC1592" s="2" t="s">
        <v>231</v>
      </c>
      <c r="AD1592" s="4"/>
      <c r="AE1592" s="4"/>
      <c r="AF1592" s="6">
        <v>63</v>
      </c>
      <c r="AG1592" s="6"/>
      <c r="AH1592" s="7">
        <v>1</v>
      </c>
      <c r="AI1592" s="4"/>
      <c r="AJ1592" s="4">
        <f>=ROUNDDOWN({0},0)</f>
      </c>
      <c r="AK1592" s="5"/>
      <c r="AL1592" s="2" t="s">
        <v>231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231</v>
      </c>
      <c r="AW1592" s="8" t="s">
        <v>231</v>
      </c>
      <c r="AX1592" s="4" t="s">
        <v>231</v>
      </c>
      <c r="AY1592" s="8" t="s">
        <v>231</v>
      </c>
      <c r="AZ1592" s="7" t="s">
        <v>231</v>
      </c>
      <c r="BA1592" s="7" t="s">
        <v>231</v>
      </c>
      <c r="BB1592" s="7"/>
      <c r="BC1592" s="4" t="s">
        <v>231</v>
      </c>
      <c r="BD1592" s="8" t="s">
        <v>231</v>
      </c>
      <c r="BE1592" s="4" t="s">
        <v>231</v>
      </c>
      <c r="BF1592" s="8" t="s">
        <v>231</v>
      </c>
      <c r="BG1592" s="7" t="s">
        <v>231</v>
      </c>
      <c r="BH1592" s="7" t="s">
        <v>231</v>
      </c>
      <c r="BI1592" s="7"/>
      <c r="BJ1592" s="4"/>
      <c r="BK1592" s="8"/>
      <c r="BL1592" s="2" t="s">
        <v>1306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7394</v>
      </c>
      <c r="BV1592" s="2" t="s">
        <v>231</v>
      </c>
      <c r="BW1592" s="2" t="s">
        <v>231</v>
      </c>
      <c r="BX1592" s="2" t="s">
        <v>231</v>
      </c>
      <c r="BY1592" s="2" t="s">
        <v>277</v>
      </c>
      <c r="BZ1592" s="2" t="s">
        <v>243</v>
      </c>
      <c r="CA1592" s="2" t="s">
        <v>3339</v>
      </c>
      <c r="CB1592" s="2" t="s">
        <v>231</v>
      </c>
      <c r="CC1592" s="2" t="s">
        <v>244</v>
      </c>
      <c r="CD1592" s="2" t="s">
        <v>231</v>
      </c>
      <c r="CE1592" s="4"/>
      <c r="CF1592" s="4">
        <v>43</v>
      </c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</row>
    <row r="1593">
      <c r="A1593" s="2" t="s">
        <v>7395</v>
      </c>
      <c r="B1593" s="2" t="s">
        <v>1389</v>
      </c>
      <c r="C1593" s="2" t="s">
        <v>288</v>
      </c>
      <c r="D1593" s="2" t="s">
        <v>1389</v>
      </c>
      <c r="E1593" s="2" t="s">
        <v>1389</v>
      </c>
      <c r="F1593" s="2" t="s">
        <v>7380</v>
      </c>
      <c r="G1593" s="2" t="s">
        <v>7385</v>
      </c>
      <c r="H1593" s="2" t="s">
        <v>7386</v>
      </c>
      <c r="I1593" s="2" t="s">
        <v>7387</v>
      </c>
      <c r="J1593" s="2" t="s">
        <v>2039</v>
      </c>
      <c r="K1593" s="2" t="s">
        <v>7388</v>
      </c>
      <c r="L1593" s="3">
        <v>150</v>
      </c>
      <c r="M1593" s="3">
        <v>157.5</v>
      </c>
      <c r="N1593" s="3">
        <v>319.98</v>
      </c>
      <c r="O1593" s="2" t="s">
        <v>243</v>
      </c>
      <c r="P1593" s="2" t="s">
        <v>341</v>
      </c>
      <c r="Q1593" s="2" t="s">
        <v>237</v>
      </c>
      <c r="R1593" s="2" t="s">
        <v>231</v>
      </c>
      <c r="S1593" s="2" t="s">
        <v>7389</v>
      </c>
      <c r="T1593" s="2" t="s">
        <v>231</v>
      </c>
      <c r="U1593" s="2" t="s">
        <v>327</v>
      </c>
      <c r="V1593" s="2" t="s">
        <v>1986</v>
      </c>
      <c r="W1593" s="2" t="s">
        <v>676</v>
      </c>
      <c r="X1593" s="2" t="s">
        <v>231</v>
      </c>
      <c r="Y1593" s="2" t="s">
        <v>5855</v>
      </c>
      <c r="Z1593" s="4">
        <v>98</v>
      </c>
      <c r="AA1593" s="4">
        <f>=ROUNDDOWN({0},0)</f>
      </c>
      <c r="AB1593" s="5"/>
      <c r="AC1593" s="2" t="s">
        <v>231</v>
      </c>
      <c r="AD1593" s="4"/>
      <c r="AE1593" s="4"/>
      <c r="AF1593" s="6">
        <v>63</v>
      </c>
      <c r="AG1593" s="6"/>
      <c r="AH1593" s="7">
        <v>1</v>
      </c>
      <c r="AI1593" s="4"/>
      <c r="AJ1593" s="4">
        <f>=ROUNDDOWN({0},0)</f>
      </c>
      <c r="AK1593" s="5"/>
      <c r="AL1593" s="2" t="s">
        <v>231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231</v>
      </c>
      <c r="AW1593" s="8" t="s">
        <v>231</v>
      </c>
      <c r="AX1593" s="4" t="s">
        <v>231</v>
      </c>
      <c r="AY1593" s="8" t="s">
        <v>231</v>
      </c>
      <c r="AZ1593" s="7" t="s">
        <v>231</v>
      </c>
      <c r="BA1593" s="7" t="s">
        <v>231</v>
      </c>
      <c r="BB1593" s="7"/>
      <c r="BC1593" s="4" t="s">
        <v>231</v>
      </c>
      <c r="BD1593" s="8" t="s">
        <v>231</v>
      </c>
      <c r="BE1593" s="4" t="s">
        <v>231</v>
      </c>
      <c r="BF1593" s="8" t="s">
        <v>231</v>
      </c>
      <c r="BG1593" s="7" t="s">
        <v>231</v>
      </c>
      <c r="BH1593" s="7" t="s">
        <v>231</v>
      </c>
      <c r="BI1593" s="7"/>
      <c r="BJ1593" s="4">
        <v>1</v>
      </c>
      <c r="BK1593" s="8">
        <v>172.5</v>
      </c>
      <c r="BL1593" s="2" t="s">
        <v>1020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7396</v>
      </c>
      <c r="BV1593" s="2" t="s">
        <v>231</v>
      </c>
      <c r="BW1593" s="2" t="s">
        <v>231</v>
      </c>
      <c r="BX1593" s="2" t="s">
        <v>231</v>
      </c>
      <c r="BY1593" s="2" t="s">
        <v>277</v>
      </c>
      <c r="BZ1593" s="2" t="s">
        <v>243</v>
      </c>
      <c r="CA1593" s="2" t="s">
        <v>3339</v>
      </c>
      <c r="CB1593" s="2" t="s">
        <v>231</v>
      </c>
      <c r="CC1593" s="2" t="s">
        <v>244</v>
      </c>
      <c r="CD1593" s="2" t="s">
        <v>231</v>
      </c>
      <c r="CE1593" s="4"/>
      <c r="CF1593" s="4">
        <v>98</v>
      </c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</row>
    <row r="1594">
      <c r="A1594" s="2" t="s">
        <v>7397</v>
      </c>
      <c r="B1594" s="2" t="s">
        <v>226</v>
      </c>
      <c r="C1594" s="2" t="s">
        <v>288</v>
      </c>
      <c r="D1594" s="2" t="s">
        <v>654</v>
      </c>
      <c r="E1594" s="2" t="s">
        <v>890</v>
      </c>
      <c r="F1594" s="2" t="s">
        <v>7380</v>
      </c>
      <c r="G1594" s="2" t="s">
        <v>4974</v>
      </c>
      <c r="H1594" s="2" t="s">
        <v>4974</v>
      </c>
      <c r="I1594" s="2" t="s">
        <v>7381</v>
      </c>
      <c r="J1594" s="2" t="s">
        <v>658</v>
      </c>
      <c r="K1594" s="2" t="s">
        <v>452</v>
      </c>
      <c r="L1594" s="3">
        <v>47.61</v>
      </c>
      <c r="M1594" s="3">
        <v>49.99</v>
      </c>
      <c r="N1594" s="3">
        <v>99.99</v>
      </c>
      <c r="O1594" s="2" t="s">
        <v>243</v>
      </c>
      <c r="P1594" s="2" t="s">
        <v>236</v>
      </c>
      <c r="Q1594" s="2" t="s">
        <v>237</v>
      </c>
      <c r="R1594" s="2" t="s">
        <v>231</v>
      </c>
      <c r="S1594" s="2" t="s">
        <v>7398</v>
      </c>
      <c r="T1594" s="2" t="s">
        <v>895</v>
      </c>
      <c r="U1594" s="2" t="s">
        <v>835</v>
      </c>
      <c r="V1594" s="2" t="s">
        <v>391</v>
      </c>
      <c r="W1594" s="2" t="s">
        <v>299</v>
      </c>
      <c r="X1594" s="2" t="s">
        <v>896</v>
      </c>
      <c r="Y1594" s="2" t="s">
        <v>231</v>
      </c>
      <c r="Z1594" s="4"/>
      <c r="AA1594" s="4">
        <f>=ROUNDDOWN({0},0)</f>
      </c>
      <c r="AB1594" s="5">
        <v>11</v>
      </c>
      <c r="AC1594" s="2" t="s">
        <v>717</v>
      </c>
      <c r="AD1594" s="4">
        <v>160</v>
      </c>
      <c r="AE1594" s="4">
        <v>360</v>
      </c>
      <c r="AF1594" s="6">
        <v>65</v>
      </c>
      <c r="AG1594" s="6"/>
      <c r="AH1594" s="7">
        <v>0</v>
      </c>
      <c r="AI1594" s="4"/>
      <c r="AJ1594" s="4">
        <f>=ROUNDDOWN({0},0)</f>
      </c>
      <c r="AK1594" s="5"/>
      <c r="AL1594" s="2" t="s">
        <v>231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231</v>
      </c>
      <c r="AW1594" s="8" t="s">
        <v>231</v>
      </c>
      <c r="AX1594" s="4" t="s">
        <v>231</v>
      </c>
      <c r="AY1594" s="8" t="s">
        <v>231</v>
      </c>
      <c r="AZ1594" s="7" t="s">
        <v>231</v>
      </c>
      <c r="BA1594" s="7" t="s">
        <v>231</v>
      </c>
      <c r="BB1594" s="7"/>
      <c r="BC1594" s="4" t="s">
        <v>231</v>
      </c>
      <c r="BD1594" s="8" t="s">
        <v>231</v>
      </c>
      <c r="BE1594" s="4" t="s">
        <v>231</v>
      </c>
      <c r="BF1594" s="8" t="s">
        <v>231</v>
      </c>
      <c r="BG1594" s="7" t="s">
        <v>231</v>
      </c>
      <c r="BH1594" s="7" t="s">
        <v>231</v>
      </c>
      <c r="BI1594" s="7"/>
      <c r="BJ1594" s="4"/>
      <c r="BK1594" s="8"/>
      <c r="BL1594" s="2" t="s">
        <v>231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241</v>
      </c>
      <c r="BV1594" s="2" t="s">
        <v>231</v>
      </c>
      <c r="BW1594" s="2" t="s">
        <v>231</v>
      </c>
      <c r="BX1594" s="2" t="s">
        <v>241</v>
      </c>
      <c r="BY1594" s="2" t="s">
        <v>242</v>
      </c>
      <c r="BZ1594" s="2" t="s">
        <v>243</v>
      </c>
      <c r="CA1594" s="2" t="s">
        <v>231</v>
      </c>
      <c r="CB1594" s="2" t="s">
        <v>231</v>
      </c>
      <c r="CC1594" s="2" t="s">
        <v>244</v>
      </c>
      <c r="CD1594" s="2" t="s">
        <v>231</v>
      </c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>
        <v>160</v>
      </c>
      <c r="FB1594" s="4"/>
      <c r="FC1594" s="4"/>
      <c r="FD1594" s="4"/>
      <c r="FE1594" s="4"/>
      <c r="FF1594" s="4"/>
      <c r="FG1594" s="4"/>
      <c r="FH1594" s="4"/>
      <c r="FI1594" s="4">
        <v>200</v>
      </c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</row>
    <row r="1595">
      <c r="A1595" s="2" t="s">
        <v>7399</v>
      </c>
      <c r="B1595" s="2" t="s">
        <v>226</v>
      </c>
      <c r="C1595" s="2" t="s">
        <v>288</v>
      </c>
      <c r="D1595" s="2" t="s">
        <v>654</v>
      </c>
      <c r="E1595" s="2" t="s">
        <v>890</v>
      </c>
      <c r="F1595" s="2" t="s">
        <v>7380</v>
      </c>
      <c r="G1595" s="2" t="s">
        <v>4974</v>
      </c>
      <c r="H1595" s="2" t="s">
        <v>4974</v>
      </c>
      <c r="I1595" s="2" t="s">
        <v>7381</v>
      </c>
      <c r="J1595" s="2" t="s">
        <v>302</v>
      </c>
      <c r="K1595" s="2" t="s">
        <v>452</v>
      </c>
      <c r="L1595" s="3">
        <v>57.14</v>
      </c>
      <c r="M1595" s="3">
        <v>60</v>
      </c>
      <c r="N1595" s="3">
        <v>119.99</v>
      </c>
      <c r="O1595" s="2" t="s">
        <v>243</v>
      </c>
      <c r="P1595" s="2" t="s">
        <v>236</v>
      </c>
      <c r="Q1595" s="2" t="s">
        <v>237</v>
      </c>
      <c r="R1595" s="2" t="s">
        <v>231</v>
      </c>
      <c r="S1595" s="2" t="s">
        <v>7398</v>
      </c>
      <c r="T1595" s="2" t="s">
        <v>895</v>
      </c>
      <c r="U1595" s="2" t="s">
        <v>835</v>
      </c>
      <c r="V1595" s="2" t="s">
        <v>391</v>
      </c>
      <c r="W1595" s="2" t="s">
        <v>299</v>
      </c>
      <c r="X1595" s="2" t="s">
        <v>896</v>
      </c>
      <c r="Y1595" s="2" t="s">
        <v>231</v>
      </c>
      <c r="Z1595" s="4"/>
      <c r="AA1595" s="4">
        <f>=ROUNDDOWN({0},0)</f>
      </c>
      <c r="AB1595" s="5">
        <v>10</v>
      </c>
      <c r="AC1595" s="2" t="s">
        <v>717</v>
      </c>
      <c r="AD1595" s="4">
        <v>180</v>
      </c>
      <c r="AE1595" s="4">
        <v>440</v>
      </c>
      <c r="AF1595" s="6">
        <v>65</v>
      </c>
      <c r="AG1595" s="6"/>
      <c r="AH1595" s="7">
        <v>0</v>
      </c>
      <c r="AI1595" s="4"/>
      <c r="AJ1595" s="4">
        <f>=ROUNDDOWN({0},0)</f>
      </c>
      <c r="AK1595" s="5"/>
      <c r="AL1595" s="2" t="s">
        <v>231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231</v>
      </c>
      <c r="AW1595" s="8" t="s">
        <v>231</v>
      </c>
      <c r="AX1595" s="4" t="s">
        <v>231</v>
      </c>
      <c r="AY1595" s="8" t="s">
        <v>231</v>
      </c>
      <c r="AZ1595" s="7" t="s">
        <v>231</v>
      </c>
      <c r="BA1595" s="7" t="s">
        <v>231</v>
      </c>
      <c r="BB1595" s="7"/>
      <c r="BC1595" s="4" t="s">
        <v>231</v>
      </c>
      <c r="BD1595" s="8" t="s">
        <v>231</v>
      </c>
      <c r="BE1595" s="4" t="s">
        <v>231</v>
      </c>
      <c r="BF1595" s="8" t="s">
        <v>231</v>
      </c>
      <c r="BG1595" s="7" t="s">
        <v>231</v>
      </c>
      <c r="BH1595" s="7" t="s">
        <v>231</v>
      </c>
      <c r="BI1595" s="7"/>
      <c r="BJ1595" s="4"/>
      <c r="BK1595" s="8"/>
      <c r="BL1595" s="2" t="s">
        <v>231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241</v>
      </c>
      <c r="BV1595" s="2" t="s">
        <v>231</v>
      </c>
      <c r="BW1595" s="2" t="s">
        <v>231</v>
      </c>
      <c r="BX1595" s="2" t="s">
        <v>241</v>
      </c>
      <c r="BY1595" s="2" t="s">
        <v>242</v>
      </c>
      <c r="BZ1595" s="2" t="s">
        <v>243</v>
      </c>
      <c r="CA1595" s="2" t="s">
        <v>231</v>
      </c>
      <c r="CB1595" s="2" t="s">
        <v>231</v>
      </c>
      <c r="CC1595" s="2" t="s">
        <v>244</v>
      </c>
      <c r="CD1595" s="2" t="s">
        <v>231</v>
      </c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>
        <v>180</v>
      </c>
      <c r="FB1595" s="4"/>
      <c r="FC1595" s="4"/>
      <c r="FD1595" s="4"/>
      <c r="FE1595" s="4"/>
      <c r="FF1595" s="4"/>
      <c r="FG1595" s="4"/>
      <c r="FH1595" s="4"/>
      <c r="FI1595" s="4">
        <v>260</v>
      </c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</row>
    <row r="1596">
      <c r="A1596" s="2" t="s">
        <v>7400</v>
      </c>
      <c r="B1596" s="2" t="s">
        <v>1186</v>
      </c>
      <c r="C1596" s="2" t="s">
        <v>631</v>
      </c>
      <c r="D1596" s="2" t="s">
        <v>654</v>
      </c>
      <c r="E1596" s="2" t="s">
        <v>655</v>
      </c>
      <c r="F1596" s="2" t="s">
        <v>6660</v>
      </c>
      <c r="G1596" s="2" t="s">
        <v>6660</v>
      </c>
      <c r="H1596" s="2" t="s">
        <v>6660</v>
      </c>
      <c r="I1596" s="2" t="s">
        <v>7401</v>
      </c>
      <c r="J1596" s="2" t="s">
        <v>658</v>
      </c>
      <c r="K1596" s="2" t="s">
        <v>253</v>
      </c>
      <c r="L1596" s="3">
        <v>52.38</v>
      </c>
      <c r="M1596" s="3">
        <v>55</v>
      </c>
      <c r="N1596" s="3">
        <v>109.99</v>
      </c>
      <c r="O1596" s="2" t="s">
        <v>243</v>
      </c>
      <c r="P1596" s="2" t="s">
        <v>917</v>
      </c>
      <c r="Q1596" s="2" t="s">
        <v>237</v>
      </c>
      <c r="R1596" s="2" t="s">
        <v>231</v>
      </c>
      <c r="S1596" s="2" t="s">
        <v>7402</v>
      </c>
      <c r="T1596" s="2" t="s">
        <v>3671</v>
      </c>
      <c r="U1596" s="2" t="s">
        <v>661</v>
      </c>
      <c r="V1596" s="2" t="s">
        <v>239</v>
      </c>
      <c r="W1596" s="2" t="s">
        <v>299</v>
      </c>
      <c r="X1596" s="2" t="s">
        <v>792</v>
      </c>
      <c r="Y1596" s="2" t="s">
        <v>7040</v>
      </c>
      <c r="Z1596" s="4"/>
      <c r="AA1596" s="4">
        <f>=ROUNDDOWN({0},0)</f>
      </c>
      <c r="AB1596" s="5">
        <v>2.5</v>
      </c>
      <c r="AC1596" s="2" t="s">
        <v>231</v>
      </c>
      <c r="AD1596" s="4"/>
      <c r="AE1596" s="4"/>
      <c r="AF1596" s="6"/>
      <c r="AG1596" s="6"/>
      <c r="AH1596" s="7">
        <v>0</v>
      </c>
      <c r="AI1596" s="4"/>
      <c r="AJ1596" s="4">
        <f>=ROUNDDOWN({0},0)</f>
      </c>
      <c r="AK1596" s="5"/>
      <c r="AL1596" s="2" t="s">
        <v>231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231</v>
      </c>
      <c r="AW1596" s="8" t="s">
        <v>231</v>
      </c>
      <c r="AX1596" s="4" t="s">
        <v>231</v>
      </c>
      <c r="AY1596" s="8" t="s">
        <v>231</v>
      </c>
      <c r="AZ1596" s="7" t="s">
        <v>231</v>
      </c>
      <c r="BA1596" s="7" t="s">
        <v>231</v>
      </c>
      <c r="BB1596" s="7"/>
      <c r="BC1596" s="4" t="s">
        <v>231</v>
      </c>
      <c r="BD1596" s="8" t="s">
        <v>231</v>
      </c>
      <c r="BE1596" s="4" t="s">
        <v>231</v>
      </c>
      <c r="BF1596" s="8" t="s">
        <v>231</v>
      </c>
      <c r="BG1596" s="7" t="s">
        <v>231</v>
      </c>
      <c r="BH1596" s="7" t="s">
        <v>231</v>
      </c>
      <c r="BI1596" s="7"/>
      <c r="BJ1596" s="4"/>
      <c r="BK1596" s="8"/>
      <c r="BL1596" s="2" t="s">
        <v>843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7403</v>
      </c>
      <c r="BV1596" s="2" t="s">
        <v>231</v>
      </c>
      <c r="BW1596" s="2" t="s">
        <v>231</v>
      </c>
      <c r="BX1596" s="2" t="s">
        <v>231</v>
      </c>
      <c r="BY1596" s="2" t="s">
        <v>277</v>
      </c>
      <c r="BZ1596" s="2" t="s">
        <v>243</v>
      </c>
      <c r="CA1596" s="2" t="s">
        <v>1470</v>
      </c>
      <c r="CB1596" s="2" t="s">
        <v>6465</v>
      </c>
      <c r="CC1596" s="2" t="s">
        <v>244</v>
      </c>
      <c r="CD1596" s="2" t="s">
        <v>231</v>
      </c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</row>
    <row r="1597">
      <c r="A1597" s="2" t="s">
        <v>7404</v>
      </c>
      <c r="B1597" s="2" t="s">
        <v>1186</v>
      </c>
      <c r="C1597" s="2" t="s">
        <v>631</v>
      </c>
      <c r="D1597" s="2" t="s">
        <v>654</v>
      </c>
      <c r="E1597" s="2" t="s">
        <v>655</v>
      </c>
      <c r="F1597" s="2" t="s">
        <v>6660</v>
      </c>
      <c r="G1597" s="2" t="s">
        <v>6660</v>
      </c>
      <c r="H1597" s="2" t="s">
        <v>6660</v>
      </c>
      <c r="I1597" s="2" t="s">
        <v>7401</v>
      </c>
      <c r="J1597" s="2" t="s">
        <v>669</v>
      </c>
      <c r="K1597" s="2" t="s">
        <v>253</v>
      </c>
      <c r="L1597" s="3">
        <v>57.14</v>
      </c>
      <c r="M1597" s="3">
        <v>60</v>
      </c>
      <c r="N1597" s="3">
        <v>119.99</v>
      </c>
      <c r="O1597" s="2" t="s">
        <v>243</v>
      </c>
      <c r="P1597" s="2" t="s">
        <v>341</v>
      </c>
      <c r="Q1597" s="2" t="s">
        <v>237</v>
      </c>
      <c r="R1597" s="2" t="s">
        <v>231</v>
      </c>
      <c r="S1597" s="2" t="s">
        <v>7402</v>
      </c>
      <c r="T1597" s="2" t="s">
        <v>3671</v>
      </c>
      <c r="U1597" s="2" t="s">
        <v>661</v>
      </c>
      <c r="V1597" s="2" t="s">
        <v>239</v>
      </c>
      <c r="W1597" s="2" t="s">
        <v>299</v>
      </c>
      <c r="X1597" s="2" t="s">
        <v>792</v>
      </c>
      <c r="Y1597" s="2" t="s">
        <v>7040</v>
      </c>
      <c r="Z1597" s="4"/>
      <c r="AA1597" s="4">
        <f>=ROUNDDOWN({0},0)</f>
      </c>
      <c r="AB1597" s="5"/>
      <c r="AC1597" s="2" t="s">
        <v>231</v>
      </c>
      <c r="AD1597" s="4"/>
      <c r="AE1597" s="4"/>
      <c r="AF1597" s="6"/>
      <c r="AG1597" s="6"/>
      <c r="AH1597" s="7">
        <v>0</v>
      </c>
      <c r="AI1597" s="4"/>
      <c r="AJ1597" s="4">
        <f>=ROUNDDOWN({0},0)</f>
      </c>
      <c r="AK1597" s="5"/>
      <c r="AL1597" s="2" t="s">
        <v>231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231</v>
      </c>
      <c r="AW1597" s="8" t="s">
        <v>231</v>
      </c>
      <c r="AX1597" s="4" t="s">
        <v>231</v>
      </c>
      <c r="AY1597" s="8" t="s">
        <v>231</v>
      </c>
      <c r="AZ1597" s="7" t="s">
        <v>231</v>
      </c>
      <c r="BA1597" s="7" t="s">
        <v>231</v>
      </c>
      <c r="BB1597" s="7"/>
      <c r="BC1597" s="4" t="s">
        <v>231</v>
      </c>
      <c r="BD1597" s="8" t="s">
        <v>231</v>
      </c>
      <c r="BE1597" s="4" t="s">
        <v>231</v>
      </c>
      <c r="BF1597" s="8" t="s">
        <v>231</v>
      </c>
      <c r="BG1597" s="7" t="s">
        <v>231</v>
      </c>
      <c r="BH1597" s="7" t="s">
        <v>231</v>
      </c>
      <c r="BI1597" s="7"/>
      <c r="BJ1597" s="4"/>
      <c r="BK1597" s="8"/>
      <c r="BL1597" s="2" t="s">
        <v>231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7405</v>
      </c>
      <c r="BV1597" s="2" t="s">
        <v>231</v>
      </c>
      <c r="BW1597" s="2" t="s">
        <v>231</v>
      </c>
      <c r="BX1597" s="2" t="s">
        <v>231</v>
      </c>
      <c r="BY1597" s="2" t="s">
        <v>277</v>
      </c>
      <c r="BZ1597" s="2" t="s">
        <v>243</v>
      </c>
      <c r="CA1597" s="2" t="s">
        <v>1470</v>
      </c>
      <c r="CB1597" s="2" t="s">
        <v>231</v>
      </c>
      <c r="CC1597" s="2" t="s">
        <v>244</v>
      </c>
      <c r="CD1597" s="2" t="s">
        <v>231</v>
      </c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</row>
    <row r="1598">
      <c r="A1598" s="2" t="s">
        <v>7406</v>
      </c>
      <c r="B1598" s="2" t="s">
        <v>1186</v>
      </c>
      <c r="C1598" s="2" t="s">
        <v>631</v>
      </c>
      <c r="D1598" s="2" t="s">
        <v>654</v>
      </c>
      <c r="E1598" s="2" t="s">
        <v>655</v>
      </c>
      <c r="F1598" s="2" t="s">
        <v>6660</v>
      </c>
      <c r="G1598" s="2" t="s">
        <v>6660</v>
      </c>
      <c r="H1598" s="2" t="s">
        <v>6660</v>
      </c>
      <c r="I1598" s="2" t="s">
        <v>7401</v>
      </c>
      <c r="J1598" s="2" t="s">
        <v>658</v>
      </c>
      <c r="K1598" s="2" t="s">
        <v>306</v>
      </c>
      <c r="L1598" s="3">
        <v>52.38</v>
      </c>
      <c r="M1598" s="3">
        <v>55</v>
      </c>
      <c r="N1598" s="3">
        <v>109.99</v>
      </c>
      <c r="O1598" s="2" t="s">
        <v>243</v>
      </c>
      <c r="P1598" s="2" t="s">
        <v>917</v>
      </c>
      <c r="Q1598" s="2" t="s">
        <v>237</v>
      </c>
      <c r="R1598" s="2" t="s">
        <v>231</v>
      </c>
      <c r="S1598" s="2" t="s">
        <v>7407</v>
      </c>
      <c r="T1598" s="2" t="s">
        <v>3671</v>
      </c>
      <c r="U1598" s="2" t="s">
        <v>661</v>
      </c>
      <c r="V1598" s="2" t="s">
        <v>239</v>
      </c>
      <c r="W1598" s="2" t="s">
        <v>299</v>
      </c>
      <c r="X1598" s="2" t="s">
        <v>792</v>
      </c>
      <c r="Y1598" s="2" t="s">
        <v>7408</v>
      </c>
      <c r="Z1598" s="4"/>
      <c r="AA1598" s="4">
        <f>=ROUNDDOWN({0},0)</f>
      </c>
      <c r="AB1598" s="5">
        <v>4.9</v>
      </c>
      <c r="AC1598" s="2" t="s">
        <v>231</v>
      </c>
      <c r="AD1598" s="4"/>
      <c r="AE1598" s="4"/>
      <c r="AF1598" s="6"/>
      <c r="AG1598" s="6"/>
      <c r="AH1598" s="7">
        <v>0</v>
      </c>
      <c r="AI1598" s="4"/>
      <c r="AJ1598" s="4">
        <f>=ROUNDDOWN({0},0)</f>
      </c>
      <c r="AK1598" s="5"/>
      <c r="AL1598" s="2" t="s">
        <v>231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231</v>
      </c>
      <c r="AW1598" s="8" t="s">
        <v>231</v>
      </c>
      <c r="AX1598" s="4" t="s">
        <v>231</v>
      </c>
      <c r="AY1598" s="8" t="s">
        <v>231</v>
      </c>
      <c r="AZ1598" s="7" t="s">
        <v>231</v>
      </c>
      <c r="BA1598" s="7" t="s">
        <v>231</v>
      </c>
      <c r="BB1598" s="7"/>
      <c r="BC1598" s="4" t="s">
        <v>231</v>
      </c>
      <c r="BD1598" s="8" t="s">
        <v>231</v>
      </c>
      <c r="BE1598" s="4" t="s">
        <v>231</v>
      </c>
      <c r="BF1598" s="8" t="s">
        <v>231</v>
      </c>
      <c r="BG1598" s="7" t="s">
        <v>231</v>
      </c>
      <c r="BH1598" s="7" t="s">
        <v>231</v>
      </c>
      <c r="BI1598" s="7"/>
      <c r="BJ1598" s="4"/>
      <c r="BK1598" s="8"/>
      <c r="BL1598" s="2" t="s">
        <v>7409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7410</v>
      </c>
      <c r="BV1598" s="2" t="s">
        <v>231</v>
      </c>
      <c r="BW1598" s="2" t="s">
        <v>231</v>
      </c>
      <c r="BX1598" s="2" t="s">
        <v>231</v>
      </c>
      <c r="BY1598" s="2" t="s">
        <v>277</v>
      </c>
      <c r="BZ1598" s="2" t="s">
        <v>243</v>
      </c>
      <c r="CA1598" s="2" t="s">
        <v>1470</v>
      </c>
      <c r="CB1598" s="2" t="s">
        <v>2753</v>
      </c>
      <c r="CC1598" s="2" t="s">
        <v>244</v>
      </c>
      <c r="CD1598" s="2" t="s">
        <v>231</v>
      </c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</row>
    <row r="1599">
      <c r="A1599" s="2" t="s">
        <v>7411</v>
      </c>
      <c r="B1599" s="2" t="s">
        <v>1186</v>
      </c>
      <c r="C1599" s="2" t="s">
        <v>631</v>
      </c>
      <c r="D1599" s="2" t="s">
        <v>654</v>
      </c>
      <c r="E1599" s="2" t="s">
        <v>655</v>
      </c>
      <c r="F1599" s="2" t="s">
        <v>6660</v>
      </c>
      <c r="G1599" s="2" t="s">
        <v>6660</v>
      </c>
      <c r="H1599" s="2" t="s">
        <v>6660</v>
      </c>
      <c r="I1599" s="2" t="s">
        <v>7401</v>
      </c>
      <c r="J1599" s="2" t="s">
        <v>669</v>
      </c>
      <c r="K1599" s="2" t="s">
        <v>306</v>
      </c>
      <c r="L1599" s="3">
        <v>57.14</v>
      </c>
      <c r="M1599" s="3">
        <v>60</v>
      </c>
      <c r="N1599" s="3">
        <v>119.99</v>
      </c>
      <c r="O1599" s="2" t="s">
        <v>243</v>
      </c>
      <c r="P1599" s="2" t="s">
        <v>341</v>
      </c>
      <c r="Q1599" s="2" t="s">
        <v>237</v>
      </c>
      <c r="R1599" s="2" t="s">
        <v>231</v>
      </c>
      <c r="S1599" s="2" t="s">
        <v>7407</v>
      </c>
      <c r="T1599" s="2" t="s">
        <v>3671</v>
      </c>
      <c r="U1599" s="2" t="s">
        <v>661</v>
      </c>
      <c r="V1599" s="2" t="s">
        <v>239</v>
      </c>
      <c r="W1599" s="2" t="s">
        <v>299</v>
      </c>
      <c r="X1599" s="2" t="s">
        <v>792</v>
      </c>
      <c r="Y1599" s="2" t="s">
        <v>7408</v>
      </c>
      <c r="Z1599" s="4"/>
      <c r="AA1599" s="4">
        <f>=ROUNDDOWN({0},0)</f>
      </c>
      <c r="AB1599" s="5">
        <v>0.5</v>
      </c>
      <c r="AC1599" s="2" t="s">
        <v>231</v>
      </c>
      <c r="AD1599" s="4"/>
      <c r="AE1599" s="4"/>
      <c r="AF1599" s="6"/>
      <c r="AG1599" s="6"/>
      <c r="AH1599" s="7">
        <v>0</v>
      </c>
      <c r="AI1599" s="4"/>
      <c r="AJ1599" s="4">
        <f>=ROUNDDOWN({0},0)</f>
      </c>
      <c r="AK1599" s="5"/>
      <c r="AL1599" s="2" t="s">
        <v>231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231</v>
      </c>
      <c r="AW1599" s="8" t="s">
        <v>231</v>
      </c>
      <c r="AX1599" s="4" t="s">
        <v>231</v>
      </c>
      <c r="AY1599" s="8" t="s">
        <v>231</v>
      </c>
      <c r="AZ1599" s="7" t="s">
        <v>231</v>
      </c>
      <c r="BA1599" s="7" t="s">
        <v>231</v>
      </c>
      <c r="BB1599" s="7"/>
      <c r="BC1599" s="4" t="s">
        <v>231</v>
      </c>
      <c r="BD1599" s="8" t="s">
        <v>231</v>
      </c>
      <c r="BE1599" s="4" t="s">
        <v>231</v>
      </c>
      <c r="BF1599" s="8" t="s">
        <v>231</v>
      </c>
      <c r="BG1599" s="7" t="s">
        <v>231</v>
      </c>
      <c r="BH1599" s="7" t="s">
        <v>231</v>
      </c>
      <c r="BI1599" s="7"/>
      <c r="BJ1599" s="4"/>
      <c r="BK1599" s="8"/>
      <c r="BL1599" s="2" t="s">
        <v>231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7412</v>
      </c>
      <c r="BV1599" s="2" t="s">
        <v>231</v>
      </c>
      <c r="BW1599" s="2" t="s">
        <v>231</v>
      </c>
      <c r="BX1599" s="2" t="s">
        <v>231</v>
      </c>
      <c r="BY1599" s="2" t="s">
        <v>277</v>
      </c>
      <c r="BZ1599" s="2" t="s">
        <v>243</v>
      </c>
      <c r="CA1599" s="2" t="s">
        <v>1470</v>
      </c>
      <c r="CB1599" s="2" t="s">
        <v>3869</v>
      </c>
      <c r="CC1599" s="2" t="s">
        <v>244</v>
      </c>
      <c r="CD1599" s="2" t="s">
        <v>231</v>
      </c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</row>
    <row r="1600">
      <c r="A1600" s="2" t="s">
        <v>7413</v>
      </c>
      <c r="B1600" s="2" t="s">
        <v>1186</v>
      </c>
      <c r="C1600" s="2" t="s">
        <v>357</v>
      </c>
      <c r="D1600" s="2" t="s">
        <v>654</v>
      </c>
      <c r="E1600" s="2" t="s">
        <v>1187</v>
      </c>
      <c r="F1600" s="2" t="s">
        <v>7414</v>
      </c>
      <c r="G1600" s="2" t="s">
        <v>7415</v>
      </c>
      <c r="H1600" s="2" t="s">
        <v>7416</v>
      </c>
      <c r="I1600" s="2" t="s">
        <v>7417</v>
      </c>
      <c r="J1600" s="2" t="s">
        <v>318</v>
      </c>
      <c r="K1600" s="2" t="s">
        <v>7418</v>
      </c>
      <c r="L1600" s="3">
        <v>30.95</v>
      </c>
      <c r="M1600" s="3">
        <v>32.5</v>
      </c>
      <c r="N1600" s="3">
        <v>64.99</v>
      </c>
      <c r="O1600" s="2" t="s">
        <v>243</v>
      </c>
      <c r="P1600" s="2" t="s">
        <v>236</v>
      </c>
      <c r="Q1600" s="2" t="s">
        <v>237</v>
      </c>
      <c r="R1600" s="2" t="s">
        <v>231</v>
      </c>
      <c r="S1600" s="2" t="s">
        <v>7419</v>
      </c>
      <c r="T1600" s="2" t="s">
        <v>472</v>
      </c>
      <c r="U1600" s="2" t="s">
        <v>661</v>
      </c>
      <c r="V1600" s="2" t="s">
        <v>391</v>
      </c>
      <c r="W1600" s="2" t="s">
        <v>273</v>
      </c>
      <c r="X1600" s="2" t="s">
        <v>231</v>
      </c>
      <c r="Y1600" s="2" t="s">
        <v>231</v>
      </c>
      <c r="Z1600" s="4"/>
      <c r="AA1600" s="4">
        <f>=ROUNDDOWN({0},0)</f>
      </c>
      <c r="AB1600" s="5"/>
      <c r="AC1600" s="2" t="s">
        <v>321</v>
      </c>
      <c r="AD1600" s="4">
        <v>120</v>
      </c>
      <c r="AE1600" s="4">
        <v>370</v>
      </c>
      <c r="AF1600" s="6">
        <v>65</v>
      </c>
      <c r="AG1600" s="6"/>
      <c r="AH1600" s="7">
        <v>0</v>
      </c>
      <c r="AI1600" s="4"/>
      <c r="AJ1600" s="4">
        <f>=ROUNDDOWN({0},0)</f>
      </c>
      <c r="AK1600" s="5"/>
      <c r="AL1600" s="2" t="s">
        <v>231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231</v>
      </c>
      <c r="AW1600" s="8" t="s">
        <v>231</v>
      </c>
      <c r="AX1600" s="4" t="s">
        <v>231</v>
      </c>
      <c r="AY1600" s="8" t="s">
        <v>231</v>
      </c>
      <c r="AZ1600" s="7" t="s">
        <v>231</v>
      </c>
      <c r="BA1600" s="7" t="s">
        <v>231</v>
      </c>
      <c r="BB1600" s="7"/>
      <c r="BC1600" s="4" t="s">
        <v>231</v>
      </c>
      <c r="BD1600" s="8" t="s">
        <v>231</v>
      </c>
      <c r="BE1600" s="4" t="s">
        <v>231</v>
      </c>
      <c r="BF1600" s="8" t="s">
        <v>231</v>
      </c>
      <c r="BG1600" s="7" t="s">
        <v>231</v>
      </c>
      <c r="BH1600" s="7" t="s">
        <v>231</v>
      </c>
      <c r="BI1600" s="7"/>
      <c r="BJ1600" s="4"/>
      <c r="BK1600" s="8"/>
      <c r="BL1600" s="2" t="s">
        <v>231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241</v>
      </c>
      <c r="BV1600" s="2" t="s">
        <v>231</v>
      </c>
      <c r="BW1600" s="2" t="s">
        <v>231</v>
      </c>
      <c r="BX1600" s="2" t="s">
        <v>241</v>
      </c>
      <c r="BY1600" s="2" t="s">
        <v>242</v>
      </c>
      <c r="BZ1600" s="2" t="s">
        <v>243</v>
      </c>
      <c r="CA1600" s="2" t="s">
        <v>231</v>
      </c>
      <c r="CB1600" s="2" t="s">
        <v>231</v>
      </c>
      <c r="CC1600" s="2" t="s">
        <v>244</v>
      </c>
      <c r="CD1600" s="2" t="s">
        <v>231</v>
      </c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>
        <v>120</v>
      </c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>
        <v>130</v>
      </c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>
        <v>120</v>
      </c>
      <c r="HF1600" s="4"/>
      <c r="HG1600" s="4"/>
      <c r="HH1600" s="4"/>
      <c r="HI1600" s="4"/>
      <c r="HJ1600" s="4"/>
      <c r="HK1600" s="4"/>
      <c r="HL1600" s="4"/>
    </row>
    <row r="1601">
      <c r="A1601" s="2" t="s">
        <v>7420</v>
      </c>
      <c r="B1601" s="2" t="s">
        <v>1186</v>
      </c>
      <c r="C1601" s="2" t="s">
        <v>357</v>
      </c>
      <c r="D1601" s="2" t="s">
        <v>654</v>
      </c>
      <c r="E1601" s="2" t="s">
        <v>1187</v>
      </c>
      <c r="F1601" s="2" t="s">
        <v>7414</v>
      </c>
      <c r="G1601" s="2" t="s">
        <v>7415</v>
      </c>
      <c r="H1601" s="2" t="s">
        <v>7416</v>
      </c>
      <c r="I1601" s="2" t="s">
        <v>7417</v>
      </c>
      <c r="J1601" s="2" t="s">
        <v>281</v>
      </c>
      <c r="K1601" s="2" t="s">
        <v>7418</v>
      </c>
      <c r="L1601" s="3">
        <v>35.71</v>
      </c>
      <c r="M1601" s="3">
        <v>37.5</v>
      </c>
      <c r="N1601" s="3">
        <v>74.99</v>
      </c>
      <c r="O1601" s="2" t="s">
        <v>243</v>
      </c>
      <c r="P1601" s="2" t="s">
        <v>236</v>
      </c>
      <c r="Q1601" s="2" t="s">
        <v>237</v>
      </c>
      <c r="R1601" s="2" t="s">
        <v>231</v>
      </c>
      <c r="S1601" s="2" t="s">
        <v>7419</v>
      </c>
      <c r="T1601" s="2" t="s">
        <v>472</v>
      </c>
      <c r="U1601" s="2" t="s">
        <v>700</v>
      </c>
      <c r="V1601" s="2" t="s">
        <v>391</v>
      </c>
      <c r="W1601" s="2" t="s">
        <v>273</v>
      </c>
      <c r="X1601" s="2" t="s">
        <v>231</v>
      </c>
      <c r="Y1601" s="2" t="s">
        <v>231</v>
      </c>
      <c r="Z1601" s="4"/>
      <c r="AA1601" s="4">
        <f>=ROUNDDOWN({0},0)</f>
      </c>
      <c r="AB1601" s="5"/>
      <c r="AC1601" s="2" t="s">
        <v>321</v>
      </c>
      <c r="AD1601" s="4">
        <v>160</v>
      </c>
      <c r="AE1601" s="4">
        <v>500</v>
      </c>
      <c r="AF1601" s="6">
        <v>65</v>
      </c>
      <c r="AG1601" s="6"/>
      <c r="AH1601" s="7">
        <v>0</v>
      </c>
      <c r="AI1601" s="4"/>
      <c r="AJ1601" s="4">
        <f>=ROUNDDOWN({0},0)</f>
      </c>
      <c r="AK1601" s="5"/>
      <c r="AL1601" s="2" t="s">
        <v>231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231</v>
      </c>
      <c r="AW1601" s="8" t="s">
        <v>231</v>
      </c>
      <c r="AX1601" s="4" t="s">
        <v>231</v>
      </c>
      <c r="AY1601" s="8" t="s">
        <v>231</v>
      </c>
      <c r="AZ1601" s="7" t="s">
        <v>231</v>
      </c>
      <c r="BA1601" s="7" t="s">
        <v>231</v>
      </c>
      <c r="BB1601" s="7"/>
      <c r="BC1601" s="4" t="s">
        <v>231</v>
      </c>
      <c r="BD1601" s="8" t="s">
        <v>231</v>
      </c>
      <c r="BE1601" s="4" t="s">
        <v>231</v>
      </c>
      <c r="BF1601" s="8" t="s">
        <v>231</v>
      </c>
      <c r="BG1601" s="7" t="s">
        <v>231</v>
      </c>
      <c r="BH1601" s="7" t="s">
        <v>231</v>
      </c>
      <c r="BI1601" s="7"/>
      <c r="BJ1601" s="4"/>
      <c r="BK1601" s="8"/>
      <c r="BL1601" s="2" t="s">
        <v>231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241</v>
      </c>
      <c r="BV1601" s="2" t="s">
        <v>231</v>
      </c>
      <c r="BW1601" s="2" t="s">
        <v>231</v>
      </c>
      <c r="BX1601" s="2" t="s">
        <v>241</v>
      </c>
      <c r="BY1601" s="2" t="s">
        <v>242</v>
      </c>
      <c r="BZ1601" s="2" t="s">
        <v>243</v>
      </c>
      <c r="CA1601" s="2" t="s">
        <v>231</v>
      </c>
      <c r="CB1601" s="2" t="s">
        <v>231</v>
      </c>
      <c r="CC1601" s="2" t="s">
        <v>244</v>
      </c>
      <c r="CD1601" s="2" t="s">
        <v>231</v>
      </c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>
        <v>160</v>
      </c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>
        <v>180</v>
      </c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>
        <v>160</v>
      </c>
      <c r="HF1601" s="4"/>
      <c r="HG1601" s="4"/>
      <c r="HH1601" s="4"/>
      <c r="HI1601" s="4"/>
      <c r="HJ1601" s="4"/>
      <c r="HK1601" s="4"/>
      <c r="HL1601" s="4"/>
    </row>
    <row r="1602">
      <c r="A1602" s="2" t="s">
        <v>7421</v>
      </c>
      <c r="B1602" s="2" t="s">
        <v>1186</v>
      </c>
      <c r="C1602" s="2" t="s">
        <v>357</v>
      </c>
      <c r="D1602" s="2" t="s">
        <v>654</v>
      </c>
      <c r="E1602" s="2" t="s">
        <v>1187</v>
      </c>
      <c r="F1602" s="2" t="s">
        <v>7414</v>
      </c>
      <c r="G1602" s="2" t="s">
        <v>7415</v>
      </c>
      <c r="H1602" s="2" t="s">
        <v>7416</v>
      </c>
      <c r="I1602" s="2" t="s">
        <v>7417</v>
      </c>
      <c r="J1602" s="2" t="s">
        <v>293</v>
      </c>
      <c r="K1602" s="2" t="s">
        <v>7418</v>
      </c>
      <c r="L1602" s="3">
        <v>38.09</v>
      </c>
      <c r="M1602" s="3">
        <v>39.99</v>
      </c>
      <c r="N1602" s="3">
        <v>79.99</v>
      </c>
      <c r="O1602" s="2" t="s">
        <v>243</v>
      </c>
      <c r="P1602" s="2" t="s">
        <v>236</v>
      </c>
      <c r="Q1602" s="2" t="s">
        <v>237</v>
      </c>
      <c r="R1602" s="2" t="s">
        <v>231</v>
      </c>
      <c r="S1602" s="2" t="s">
        <v>7419</v>
      </c>
      <c r="T1602" s="2" t="s">
        <v>472</v>
      </c>
      <c r="U1602" s="2" t="s">
        <v>700</v>
      </c>
      <c r="V1602" s="2" t="s">
        <v>391</v>
      </c>
      <c r="W1602" s="2" t="s">
        <v>273</v>
      </c>
      <c r="X1602" s="2" t="s">
        <v>231</v>
      </c>
      <c r="Y1602" s="2" t="s">
        <v>231</v>
      </c>
      <c r="Z1602" s="4"/>
      <c r="AA1602" s="4">
        <f>=ROUNDDOWN({0},0)</f>
      </c>
      <c r="AB1602" s="5"/>
      <c r="AC1602" s="2" t="s">
        <v>321</v>
      </c>
      <c r="AD1602" s="4">
        <v>280</v>
      </c>
      <c r="AE1602" s="4">
        <v>870</v>
      </c>
      <c r="AF1602" s="6">
        <v>65</v>
      </c>
      <c r="AG1602" s="6"/>
      <c r="AH1602" s="7">
        <v>0</v>
      </c>
      <c r="AI1602" s="4"/>
      <c r="AJ1602" s="4">
        <f>=ROUNDDOWN({0},0)</f>
      </c>
      <c r="AK1602" s="5"/>
      <c r="AL1602" s="2" t="s">
        <v>231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231</v>
      </c>
      <c r="AW1602" s="8" t="s">
        <v>231</v>
      </c>
      <c r="AX1602" s="4" t="s">
        <v>231</v>
      </c>
      <c r="AY1602" s="8" t="s">
        <v>231</v>
      </c>
      <c r="AZ1602" s="7" t="s">
        <v>231</v>
      </c>
      <c r="BA1602" s="7" t="s">
        <v>231</v>
      </c>
      <c r="BB1602" s="7"/>
      <c r="BC1602" s="4" t="s">
        <v>231</v>
      </c>
      <c r="BD1602" s="8" t="s">
        <v>231</v>
      </c>
      <c r="BE1602" s="4" t="s">
        <v>231</v>
      </c>
      <c r="BF1602" s="8" t="s">
        <v>231</v>
      </c>
      <c r="BG1602" s="7" t="s">
        <v>231</v>
      </c>
      <c r="BH1602" s="7" t="s">
        <v>231</v>
      </c>
      <c r="BI1602" s="7"/>
      <c r="BJ1602" s="4"/>
      <c r="BK1602" s="8"/>
      <c r="BL1602" s="2" t="s">
        <v>231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241</v>
      </c>
      <c r="BV1602" s="2" t="s">
        <v>231</v>
      </c>
      <c r="BW1602" s="2" t="s">
        <v>231</v>
      </c>
      <c r="BX1602" s="2" t="s">
        <v>241</v>
      </c>
      <c r="BY1602" s="2" t="s">
        <v>242</v>
      </c>
      <c r="BZ1602" s="2" t="s">
        <v>243</v>
      </c>
      <c r="CA1602" s="2" t="s">
        <v>231</v>
      </c>
      <c r="CB1602" s="2" t="s">
        <v>231</v>
      </c>
      <c r="CC1602" s="2" t="s">
        <v>244</v>
      </c>
      <c r="CD1602" s="2" t="s">
        <v>231</v>
      </c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>
        <v>280</v>
      </c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>
        <v>310</v>
      </c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>
        <v>280</v>
      </c>
      <c r="HF1602" s="4"/>
      <c r="HG1602" s="4"/>
      <c r="HH1602" s="4"/>
      <c r="HI1602" s="4"/>
      <c r="HJ1602" s="4"/>
      <c r="HK1602" s="4"/>
      <c r="HL1602" s="4"/>
    </row>
    <row r="1603">
      <c r="A1603" s="2" t="s">
        <v>7422</v>
      </c>
      <c r="B1603" s="2" t="s">
        <v>1186</v>
      </c>
      <c r="C1603" s="2" t="s">
        <v>357</v>
      </c>
      <c r="D1603" s="2" t="s">
        <v>654</v>
      </c>
      <c r="E1603" s="2" t="s">
        <v>1187</v>
      </c>
      <c r="F1603" s="2" t="s">
        <v>7414</v>
      </c>
      <c r="G1603" s="2" t="s">
        <v>7415</v>
      </c>
      <c r="H1603" s="2" t="s">
        <v>7416</v>
      </c>
      <c r="I1603" s="2" t="s">
        <v>7417</v>
      </c>
      <c r="J1603" s="2" t="s">
        <v>302</v>
      </c>
      <c r="K1603" s="2" t="s">
        <v>7418</v>
      </c>
      <c r="L1603" s="3">
        <v>42.85</v>
      </c>
      <c r="M1603" s="3">
        <v>44.99</v>
      </c>
      <c r="N1603" s="3">
        <v>89.99</v>
      </c>
      <c r="O1603" s="2" t="s">
        <v>243</v>
      </c>
      <c r="P1603" s="2" t="s">
        <v>236</v>
      </c>
      <c r="Q1603" s="2" t="s">
        <v>237</v>
      </c>
      <c r="R1603" s="2" t="s">
        <v>231</v>
      </c>
      <c r="S1603" s="2" t="s">
        <v>7419</v>
      </c>
      <c r="T1603" s="2" t="s">
        <v>472</v>
      </c>
      <c r="U1603" s="2" t="s">
        <v>700</v>
      </c>
      <c r="V1603" s="2" t="s">
        <v>391</v>
      </c>
      <c r="W1603" s="2" t="s">
        <v>273</v>
      </c>
      <c r="X1603" s="2" t="s">
        <v>231</v>
      </c>
      <c r="Y1603" s="2" t="s">
        <v>231</v>
      </c>
      <c r="Z1603" s="4"/>
      <c r="AA1603" s="4">
        <f>=ROUNDDOWN({0},0)</f>
      </c>
      <c r="AB1603" s="5"/>
      <c r="AC1603" s="2" t="s">
        <v>321</v>
      </c>
      <c r="AD1603" s="4">
        <v>160</v>
      </c>
      <c r="AE1603" s="4">
        <v>500</v>
      </c>
      <c r="AF1603" s="6">
        <v>65</v>
      </c>
      <c r="AG1603" s="6"/>
      <c r="AH1603" s="7">
        <v>0</v>
      </c>
      <c r="AI1603" s="4"/>
      <c r="AJ1603" s="4">
        <f>=ROUNDDOWN({0},0)</f>
      </c>
      <c r="AK1603" s="5"/>
      <c r="AL1603" s="2" t="s">
        <v>231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231</v>
      </c>
      <c r="AW1603" s="8" t="s">
        <v>231</v>
      </c>
      <c r="AX1603" s="4" t="s">
        <v>231</v>
      </c>
      <c r="AY1603" s="8" t="s">
        <v>231</v>
      </c>
      <c r="AZ1603" s="7" t="s">
        <v>231</v>
      </c>
      <c r="BA1603" s="7" t="s">
        <v>231</v>
      </c>
      <c r="BB1603" s="7"/>
      <c r="BC1603" s="4" t="s">
        <v>231</v>
      </c>
      <c r="BD1603" s="8" t="s">
        <v>231</v>
      </c>
      <c r="BE1603" s="4" t="s">
        <v>231</v>
      </c>
      <c r="BF1603" s="8" t="s">
        <v>231</v>
      </c>
      <c r="BG1603" s="7" t="s">
        <v>231</v>
      </c>
      <c r="BH1603" s="7" t="s">
        <v>231</v>
      </c>
      <c r="BI1603" s="7"/>
      <c r="BJ1603" s="4"/>
      <c r="BK1603" s="8"/>
      <c r="BL1603" s="2" t="s">
        <v>231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241</v>
      </c>
      <c r="BV1603" s="2" t="s">
        <v>231</v>
      </c>
      <c r="BW1603" s="2" t="s">
        <v>231</v>
      </c>
      <c r="BX1603" s="2" t="s">
        <v>241</v>
      </c>
      <c r="BY1603" s="2" t="s">
        <v>242</v>
      </c>
      <c r="BZ1603" s="2" t="s">
        <v>243</v>
      </c>
      <c r="CA1603" s="2" t="s">
        <v>231</v>
      </c>
      <c r="CB1603" s="2" t="s">
        <v>231</v>
      </c>
      <c r="CC1603" s="2" t="s">
        <v>244</v>
      </c>
      <c r="CD1603" s="2" t="s">
        <v>231</v>
      </c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>
        <v>160</v>
      </c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>
        <v>180</v>
      </c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>
        <v>160</v>
      </c>
      <c r="HF1603" s="4"/>
      <c r="HG1603" s="4"/>
      <c r="HH1603" s="4"/>
      <c r="HI1603" s="4"/>
      <c r="HJ1603" s="4"/>
      <c r="HK1603" s="4"/>
      <c r="HL1603" s="4"/>
    </row>
    <row r="1604">
      <c r="A1604" s="2" t="s">
        <v>7423</v>
      </c>
      <c r="B1604" s="2" t="s">
        <v>1186</v>
      </c>
      <c r="C1604" s="2" t="s">
        <v>357</v>
      </c>
      <c r="D1604" s="2" t="s">
        <v>654</v>
      </c>
      <c r="E1604" s="2" t="s">
        <v>1187</v>
      </c>
      <c r="F1604" s="2" t="s">
        <v>7414</v>
      </c>
      <c r="G1604" s="2" t="s">
        <v>7415</v>
      </c>
      <c r="H1604" s="2" t="s">
        <v>7416</v>
      </c>
      <c r="I1604" s="2" t="s">
        <v>7417</v>
      </c>
      <c r="J1604" s="2" t="s">
        <v>304</v>
      </c>
      <c r="K1604" s="2" t="s">
        <v>7418</v>
      </c>
      <c r="L1604" s="3">
        <v>42.85</v>
      </c>
      <c r="M1604" s="3">
        <v>44.99</v>
      </c>
      <c r="N1604" s="3">
        <v>89.99</v>
      </c>
      <c r="O1604" s="2" t="s">
        <v>243</v>
      </c>
      <c r="P1604" s="2" t="s">
        <v>236</v>
      </c>
      <c r="Q1604" s="2" t="s">
        <v>237</v>
      </c>
      <c r="R1604" s="2" t="s">
        <v>231</v>
      </c>
      <c r="S1604" s="2" t="s">
        <v>7419</v>
      </c>
      <c r="T1604" s="2" t="s">
        <v>472</v>
      </c>
      <c r="U1604" s="2" t="s">
        <v>700</v>
      </c>
      <c r="V1604" s="2" t="s">
        <v>391</v>
      </c>
      <c r="W1604" s="2" t="s">
        <v>273</v>
      </c>
      <c r="X1604" s="2" t="s">
        <v>231</v>
      </c>
      <c r="Y1604" s="2" t="s">
        <v>231</v>
      </c>
      <c r="Z1604" s="4"/>
      <c r="AA1604" s="4">
        <f>=ROUNDDOWN({0},0)</f>
      </c>
      <c r="AB1604" s="5"/>
      <c r="AC1604" s="2" t="s">
        <v>321</v>
      </c>
      <c r="AD1604" s="4">
        <v>80</v>
      </c>
      <c r="AE1604" s="4">
        <v>260</v>
      </c>
      <c r="AF1604" s="6">
        <v>65</v>
      </c>
      <c r="AG1604" s="6"/>
      <c r="AH1604" s="7">
        <v>0</v>
      </c>
      <c r="AI1604" s="4"/>
      <c r="AJ1604" s="4">
        <f>=ROUNDDOWN({0},0)</f>
      </c>
      <c r="AK1604" s="5"/>
      <c r="AL1604" s="2" t="s">
        <v>231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231</v>
      </c>
      <c r="AW1604" s="8" t="s">
        <v>231</v>
      </c>
      <c r="AX1604" s="4" t="s">
        <v>231</v>
      </c>
      <c r="AY1604" s="8" t="s">
        <v>231</v>
      </c>
      <c r="AZ1604" s="7" t="s">
        <v>231</v>
      </c>
      <c r="BA1604" s="7" t="s">
        <v>231</v>
      </c>
      <c r="BB1604" s="7"/>
      <c r="BC1604" s="4" t="s">
        <v>231</v>
      </c>
      <c r="BD1604" s="8" t="s">
        <v>231</v>
      </c>
      <c r="BE1604" s="4" t="s">
        <v>231</v>
      </c>
      <c r="BF1604" s="8" t="s">
        <v>231</v>
      </c>
      <c r="BG1604" s="7" t="s">
        <v>231</v>
      </c>
      <c r="BH1604" s="7" t="s">
        <v>231</v>
      </c>
      <c r="BI1604" s="7"/>
      <c r="BJ1604" s="4"/>
      <c r="BK1604" s="8"/>
      <c r="BL1604" s="2" t="s">
        <v>231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241</v>
      </c>
      <c r="BV1604" s="2" t="s">
        <v>231</v>
      </c>
      <c r="BW1604" s="2" t="s">
        <v>231</v>
      </c>
      <c r="BX1604" s="2" t="s">
        <v>241</v>
      </c>
      <c r="BY1604" s="2" t="s">
        <v>242</v>
      </c>
      <c r="BZ1604" s="2" t="s">
        <v>243</v>
      </c>
      <c r="CA1604" s="2" t="s">
        <v>231</v>
      </c>
      <c r="CB1604" s="2" t="s">
        <v>231</v>
      </c>
      <c r="CC1604" s="2" t="s">
        <v>244</v>
      </c>
      <c r="CD1604" s="2" t="s">
        <v>231</v>
      </c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>
        <v>80</v>
      </c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>
        <v>100</v>
      </c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>
        <v>80</v>
      </c>
      <c r="HF1604" s="4"/>
      <c r="HG1604" s="4"/>
      <c r="HH1604" s="4"/>
      <c r="HI1604" s="4"/>
      <c r="HJ1604" s="4"/>
      <c r="HK1604" s="4"/>
      <c r="HL1604" s="4"/>
    </row>
    <row r="1605">
      <c r="A1605" s="2" t="s">
        <v>7424</v>
      </c>
      <c r="B1605" s="2" t="s">
        <v>1186</v>
      </c>
      <c r="C1605" s="2" t="s">
        <v>357</v>
      </c>
      <c r="D1605" s="2" t="s">
        <v>654</v>
      </c>
      <c r="E1605" s="2" t="s">
        <v>1187</v>
      </c>
      <c r="F1605" s="2" t="s">
        <v>7414</v>
      </c>
      <c r="G1605" s="2" t="s">
        <v>7415</v>
      </c>
      <c r="H1605" s="2" t="s">
        <v>7416</v>
      </c>
      <c r="I1605" s="2" t="s">
        <v>7417</v>
      </c>
      <c r="J1605" s="2" t="s">
        <v>318</v>
      </c>
      <c r="K1605" s="2" t="s">
        <v>7425</v>
      </c>
      <c r="L1605" s="3">
        <v>30.95</v>
      </c>
      <c r="M1605" s="3">
        <v>32.5</v>
      </c>
      <c r="N1605" s="3">
        <v>64.99</v>
      </c>
      <c r="O1605" s="2" t="s">
        <v>243</v>
      </c>
      <c r="P1605" s="2" t="s">
        <v>236</v>
      </c>
      <c r="Q1605" s="2" t="s">
        <v>237</v>
      </c>
      <c r="R1605" s="2" t="s">
        <v>231</v>
      </c>
      <c r="S1605" s="2" t="s">
        <v>7426</v>
      </c>
      <c r="T1605" s="2" t="s">
        <v>472</v>
      </c>
      <c r="U1605" s="2" t="s">
        <v>661</v>
      </c>
      <c r="V1605" s="2" t="s">
        <v>391</v>
      </c>
      <c r="W1605" s="2" t="s">
        <v>273</v>
      </c>
      <c r="X1605" s="2" t="s">
        <v>231</v>
      </c>
      <c r="Y1605" s="2" t="s">
        <v>231</v>
      </c>
      <c r="Z1605" s="4"/>
      <c r="AA1605" s="4">
        <f>=ROUNDDOWN({0},0)</f>
      </c>
      <c r="AB1605" s="5"/>
      <c r="AC1605" s="2" t="s">
        <v>321</v>
      </c>
      <c r="AD1605" s="4">
        <v>150</v>
      </c>
      <c r="AE1605" s="4">
        <v>450</v>
      </c>
      <c r="AF1605" s="6">
        <v>65</v>
      </c>
      <c r="AG1605" s="6"/>
      <c r="AH1605" s="7">
        <v>0</v>
      </c>
      <c r="AI1605" s="4"/>
      <c r="AJ1605" s="4">
        <f>=ROUNDDOWN({0},0)</f>
      </c>
      <c r="AK1605" s="5"/>
      <c r="AL1605" s="2" t="s">
        <v>231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231</v>
      </c>
      <c r="AW1605" s="8" t="s">
        <v>231</v>
      </c>
      <c r="AX1605" s="4" t="s">
        <v>231</v>
      </c>
      <c r="AY1605" s="8" t="s">
        <v>231</v>
      </c>
      <c r="AZ1605" s="7" t="s">
        <v>231</v>
      </c>
      <c r="BA1605" s="7" t="s">
        <v>231</v>
      </c>
      <c r="BB1605" s="7"/>
      <c r="BC1605" s="4" t="s">
        <v>231</v>
      </c>
      <c r="BD1605" s="8" t="s">
        <v>231</v>
      </c>
      <c r="BE1605" s="4" t="s">
        <v>231</v>
      </c>
      <c r="BF1605" s="8" t="s">
        <v>231</v>
      </c>
      <c r="BG1605" s="7" t="s">
        <v>231</v>
      </c>
      <c r="BH1605" s="7" t="s">
        <v>231</v>
      </c>
      <c r="BI1605" s="7"/>
      <c r="BJ1605" s="4"/>
      <c r="BK1605" s="8"/>
      <c r="BL1605" s="2" t="s">
        <v>231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241</v>
      </c>
      <c r="BV1605" s="2" t="s">
        <v>231</v>
      </c>
      <c r="BW1605" s="2" t="s">
        <v>231</v>
      </c>
      <c r="BX1605" s="2" t="s">
        <v>241</v>
      </c>
      <c r="BY1605" s="2" t="s">
        <v>242</v>
      </c>
      <c r="BZ1605" s="2" t="s">
        <v>243</v>
      </c>
      <c r="CA1605" s="2" t="s">
        <v>231</v>
      </c>
      <c r="CB1605" s="2" t="s">
        <v>231</v>
      </c>
      <c r="CC1605" s="2" t="s">
        <v>244</v>
      </c>
      <c r="CD1605" s="2" t="s">
        <v>231</v>
      </c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>
        <v>150</v>
      </c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>
        <v>150</v>
      </c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>
        <v>150</v>
      </c>
      <c r="HF1605" s="4"/>
      <c r="HG1605" s="4"/>
      <c r="HH1605" s="4"/>
      <c r="HI1605" s="4"/>
      <c r="HJ1605" s="4"/>
      <c r="HK1605" s="4"/>
      <c r="HL1605" s="4"/>
    </row>
    <row r="1606">
      <c r="A1606" s="2" t="s">
        <v>7427</v>
      </c>
      <c r="B1606" s="2" t="s">
        <v>1186</v>
      </c>
      <c r="C1606" s="2" t="s">
        <v>357</v>
      </c>
      <c r="D1606" s="2" t="s">
        <v>654</v>
      </c>
      <c r="E1606" s="2" t="s">
        <v>1187</v>
      </c>
      <c r="F1606" s="2" t="s">
        <v>7414</v>
      </c>
      <c r="G1606" s="2" t="s">
        <v>7415</v>
      </c>
      <c r="H1606" s="2" t="s">
        <v>7416</v>
      </c>
      <c r="I1606" s="2" t="s">
        <v>7417</v>
      </c>
      <c r="J1606" s="2" t="s">
        <v>281</v>
      </c>
      <c r="K1606" s="2" t="s">
        <v>7425</v>
      </c>
      <c r="L1606" s="3">
        <v>35.71</v>
      </c>
      <c r="M1606" s="3">
        <v>37.5</v>
      </c>
      <c r="N1606" s="3">
        <v>74.99</v>
      </c>
      <c r="O1606" s="2" t="s">
        <v>243</v>
      </c>
      <c r="P1606" s="2" t="s">
        <v>236</v>
      </c>
      <c r="Q1606" s="2" t="s">
        <v>237</v>
      </c>
      <c r="R1606" s="2" t="s">
        <v>231</v>
      </c>
      <c r="S1606" s="2" t="s">
        <v>7426</v>
      </c>
      <c r="T1606" s="2" t="s">
        <v>472</v>
      </c>
      <c r="U1606" s="2" t="s">
        <v>700</v>
      </c>
      <c r="V1606" s="2" t="s">
        <v>391</v>
      </c>
      <c r="W1606" s="2" t="s">
        <v>273</v>
      </c>
      <c r="X1606" s="2" t="s">
        <v>231</v>
      </c>
      <c r="Y1606" s="2" t="s">
        <v>231</v>
      </c>
      <c r="Z1606" s="4"/>
      <c r="AA1606" s="4">
        <f>=ROUNDDOWN({0},0)</f>
      </c>
      <c r="AB1606" s="5"/>
      <c r="AC1606" s="2" t="s">
        <v>321</v>
      </c>
      <c r="AD1606" s="4">
        <v>200</v>
      </c>
      <c r="AE1606" s="4">
        <v>600</v>
      </c>
      <c r="AF1606" s="6">
        <v>65</v>
      </c>
      <c r="AG1606" s="6"/>
      <c r="AH1606" s="7">
        <v>0</v>
      </c>
      <c r="AI1606" s="4"/>
      <c r="AJ1606" s="4">
        <f>=ROUNDDOWN({0},0)</f>
      </c>
      <c r="AK1606" s="5"/>
      <c r="AL1606" s="2" t="s">
        <v>231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231</v>
      </c>
      <c r="AW1606" s="8" t="s">
        <v>231</v>
      </c>
      <c r="AX1606" s="4" t="s">
        <v>231</v>
      </c>
      <c r="AY1606" s="8" t="s">
        <v>231</v>
      </c>
      <c r="AZ1606" s="7" t="s">
        <v>231</v>
      </c>
      <c r="BA1606" s="7" t="s">
        <v>231</v>
      </c>
      <c r="BB1606" s="7"/>
      <c r="BC1606" s="4" t="s">
        <v>231</v>
      </c>
      <c r="BD1606" s="8" t="s">
        <v>231</v>
      </c>
      <c r="BE1606" s="4" t="s">
        <v>231</v>
      </c>
      <c r="BF1606" s="8" t="s">
        <v>231</v>
      </c>
      <c r="BG1606" s="7" t="s">
        <v>231</v>
      </c>
      <c r="BH1606" s="7" t="s">
        <v>231</v>
      </c>
      <c r="BI1606" s="7"/>
      <c r="BJ1606" s="4"/>
      <c r="BK1606" s="8"/>
      <c r="BL1606" s="2" t="s">
        <v>231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241</v>
      </c>
      <c r="BV1606" s="2" t="s">
        <v>231</v>
      </c>
      <c r="BW1606" s="2" t="s">
        <v>231</v>
      </c>
      <c r="BX1606" s="2" t="s">
        <v>241</v>
      </c>
      <c r="BY1606" s="2" t="s">
        <v>242</v>
      </c>
      <c r="BZ1606" s="2" t="s">
        <v>243</v>
      </c>
      <c r="CA1606" s="2" t="s">
        <v>231</v>
      </c>
      <c r="CB1606" s="2" t="s">
        <v>231</v>
      </c>
      <c r="CC1606" s="2" t="s">
        <v>244</v>
      </c>
      <c r="CD1606" s="2" t="s">
        <v>231</v>
      </c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>
        <v>200</v>
      </c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>
        <v>200</v>
      </c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>
        <v>200</v>
      </c>
      <c r="HF1606" s="4"/>
      <c r="HG1606" s="4"/>
      <c r="HH1606" s="4"/>
      <c r="HI1606" s="4"/>
      <c r="HJ1606" s="4"/>
      <c r="HK1606" s="4"/>
      <c r="HL1606" s="4"/>
    </row>
    <row r="1607">
      <c r="A1607" s="2" t="s">
        <v>7428</v>
      </c>
      <c r="B1607" s="2" t="s">
        <v>1186</v>
      </c>
      <c r="C1607" s="2" t="s">
        <v>357</v>
      </c>
      <c r="D1607" s="2" t="s">
        <v>654</v>
      </c>
      <c r="E1607" s="2" t="s">
        <v>1187</v>
      </c>
      <c r="F1607" s="2" t="s">
        <v>7414</v>
      </c>
      <c r="G1607" s="2" t="s">
        <v>7415</v>
      </c>
      <c r="H1607" s="2" t="s">
        <v>7416</v>
      </c>
      <c r="I1607" s="2" t="s">
        <v>7417</v>
      </c>
      <c r="J1607" s="2" t="s">
        <v>293</v>
      </c>
      <c r="K1607" s="2" t="s">
        <v>7425</v>
      </c>
      <c r="L1607" s="3">
        <v>38.09</v>
      </c>
      <c r="M1607" s="3">
        <v>39.99</v>
      </c>
      <c r="N1607" s="3">
        <v>79.99</v>
      </c>
      <c r="O1607" s="2" t="s">
        <v>243</v>
      </c>
      <c r="P1607" s="2" t="s">
        <v>236</v>
      </c>
      <c r="Q1607" s="2" t="s">
        <v>237</v>
      </c>
      <c r="R1607" s="2" t="s">
        <v>231</v>
      </c>
      <c r="S1607" s="2" t="s">
        <v>7426</v>
      </c>
      <c r="T1607" s="2" t="s">
        <v>472</v>
      </c>
      <c r="U1607" s="2" t="s">
        <v>700</v>
      </c>
      <c r="V1607" s="2" t="s">
        <v>391</v>
      </c>
      <c r="W1607" s="2" t="s">
        <v>273</v>
      </c>
      <c r="X1607" s="2" t="s">
        <v>231</v>
      </c>
      <c r="Y1607" s="2" t="s">
        <v>231</v>
      </c>
      <c r="Z1607" s="4"/>
      <c r="AA1607" s="4">
        <f>=ROUNDDOWN({0},0)</f>
      </c>
      <c r="AB1607" s="5"/>
      <c r="AC1607" s="2" t="s">
        <v>321</v>
      </c>
      <c r="AD1607" s="4">
        <v>350</v>
      </c>
      <c r="AE1607" s="4">
        <v>1050</v>
      </c>
      <c r="AF1607" s="6">
        <v>65</v>
      </c>
      <c r="AG1607" s="6"/>
      <c r="AH1607" s="7">
        <v>0</v>
      </c>
      <c r="AI1607" s="4"/>
      <c r="AJ1607" s="4">
        <f>=ROUNDDOWN({0},0)</f>
      </c>
      <c r="AK1607" s="5"/>
      <c r="AL1607" s="2" t="s">
        <v>231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231</v>
      </c>
      <c r="AW1607" s="8" t="s">
        <v>231</v>
      </c>
      <c r="AX1607" s="4" t="s">
        <v>231</v>
      </c>
      <c r="AY1607" s="8" t="s">
        <v>231</v>
      </c>
      <c r="AZ1607" s="7" t="s">
        <v>231</v>
      </c>
      <c r="BA1607" s="7" t="s">
        <v>231</v>
      </c>
      <c r="BB1607" s="7"/>
      <c r="BC1607" s="4" t="s">
        <v>231</v>
      </c>
      <c r="BD1607" s="8" t="s">
        <v>231</v>
      </c>
      <c r="BE1607" s="4" t="s">
        <v>231</v>
      </c>
      <c r="BF1607" s="8" t="s">
        <v>231</v>
      </c>
      <c r="BG1607" s="7" t="s">
        <v>231</v>
      </c>
      <c r="BH1607" s="7" t="s">
        <v>231</v>
      </c>
      <c r="BI1607" s="7"/>
      <c r="BJ1607" s="4"/>
      <c r="BK1607" s="8"/>
      <c r="BL1607" s="2" t="s">
        <v>231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241</v>
      </c>
      <c r="BV1607" s="2" t="s">
        <v>231</v>
      </c>
      <c r="BW1607" s="2" t="s">
        <v>231</v>
      </c>
      <c r="BX1607" s="2" t="s">
        <v>241</v>
      </c>
      <c r="BY1607" s="2" t="s">
        <v>242</v>
      </c>
      <c r="BZ1607" s="2" t="s">
        <v>243</v>
      </c>
      <c r="CA1607" s="2" t="s">
        <v>231</v>
      </c>
      <c r="CB1607" s="2" t="s">
        <v>231</v>
      </c>
      <c r="CC1607" s="2" t="s">
        <v>244</v>
      </c>
      <c r="CD1607" s="2" t="s">
        <v>231</v>
      </c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>
        <v>350</v>
      </c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>
        <v>350</v>
      </c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>
        <v>350</v>
      </c>
      <c r="HF1607" s="4"/>
      <c r="HG1607" s="4"/>
      <c r="HH1607" s="4"/>
      <c r="HI1607" s="4"/>
      <c r="HJ1607" s="4"/>
      <c r="HK1607" s="4"/>
      <c r="HL1607" s="4"/>
    </row>
    <row r="1608">
      <c r="A1608" s="2" t="s">
        <v>7429</v>
      </c>
      <c r="B1608" s="2" t="s">
        <v>1186</v>
      </c>
      <c r="C1608" s="2" t="s">
        <v>357</v>
      </c>
      <c r="D1608" s="2" t="s">
        <v>654</v>
      </c>
      <c r="E1608" s="2" t="s">
        <v>1187</v>
      </c>
      <c r="F1608" s="2" t="s">
        <v>7414</v>
      </c>
      <c r="G1608" s="2" t="s">
        <v>7415</v>
      </c>
      <c r="H1608" s="2" t="s">
        <v>7416</v>
      </c>
      <c r="I1608" s="2" t="s">
        <v>7417</v>
      </c>
      <c r="J1608" s="2" t="s">
        <v>302</v>
      </c>
      <c r="K1608" s="2" t="s">
        <v>7425</v>
      </c>
      <c r="L1608" s="3">
        <v>42.85</v>
      </c>
      <c r="M1608" s="3">
        <v>44.99</v>
      </c>
      <c r="N1608" s="3">
        <v>89.99</v>
      </c>
      <c r="O1608" s="2" t="s">
        <v>243</v>
      </c>
      <c r="P1608" s="2" t="s">
        <v>236</v>
      </c>
      <c r="Q1608" s="2" t="s">
        <v>237</v>
      </c>
      <c r="R1608" s="2" t="s">
        <v>231</v>
      </c>
      <c r="S1608" s="2" t="s">
        <v>7426</v>
      </c>
      <c r="T1608" s="2" t="s">
        <v>472</v>
      </c>
      <c r="U1608" s="2" t="s">
        <v>700</v>
      </c>
      <c r="V1608" s="2" t="s">
        <v>391</v>
      </c>
      <c r="W1608" s="2" t="s">
        <v>273</v>
      </c>
      <c r="X1608" s="2" t="s">
        <v>231</v>
      </c>
      <c r="Y1608" s="2" t="s">
        <v>231</v>
      </c>
      <c r="Z1608" s="4"/>
      <c r="AA1608" s="4">
        <f>=ROUNDDOWN({0},0)</f>
      </c>
      <c r="AB1608" s="5"/>
      <c r="AC1608" s="2" t="s">
        <v>321</v>
      </c>
      <c r="AD1608" s="4">
        <v>200</v>
      </c>
      <c r="AE1608" s="4">
        <v>600</v>
      </c>
      <c r="AF1608" s="6">
        <v>65</v>
      </c>
      <c r="AG1608" s="6"/>
      <c r="AH1608" s="7">
        <v>0</v>
      </c>
      <c r="AI1608" s="4"/>
      <c r="AJ1608" s="4">
        <f>=ROUNDDOWN({0},0)</f>
      </c>
      <c r="AK1608" s="5"/>
      <c r="AL1608" s="2" t="s">
        <v>231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231</v>
      </c>
      <c r="AW1608" s="8" t="s">
        <v>231</v>
      </c>
      <c r="AX1608" s="4" t="s">
        <v>231</v>
      </c>
      <c r="AY1608" s="8" t="s">
        <v>231</v>
      </c>
      <c r="AZ1608" s="7" t="s">
        <v>231</v>
      </c>
      <c r="BA1608" s="7" t="s">
        <v>231</v>
      </c>
      <c r="BB1608" s="7"/>
      <c r="BC1608" s="4" t="s">
        <v>231</v>
      </c>
      <c r="BD1608" s="8" t="s">
        <v>231</v>
      </c>
      <c r="BE1608" s="4" t="s">
        <v>231</v>
      </c>
      <c r="BF1608" s="8" t="s">
        <v>231</v>
      </c>
      <c r="BG1608" s="7" t="s">
        <v>231</v>
      </c>
      <c r="BH1608" s="7" t="s">
        <v>231</v>
      </c>
      <c r="BI1608" s="7"/>
      <c r="BJ1608" s="4"/>
      <c r="BK1608" s="8"/>
      <c r="BL1608" s="2" t="s">
        <v>231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241</v>
      </c>
      <c r="BV1608" s="2" t="s">
        <v>231</v>
      </c>
      <c r="BW1608" s="2" t="s">
        <v>231</v>
      </c>
      <c r="BX1608" s="2" t="s">
        <v>241</v>
      </c>
      <c r="BY1608" s="2" t="s">
        <v>242</v>
      </c>
      <c r="BZ1608" s="2" t="s">
        <v>243</v>
      </c>
      <c r="CA1608" s="2" t="s">
        <v>231</v>
      </c>
      <c r="CB1608" s="2" t="s">
        <v>231</v>
      </c>
      <c r="CC1608" s="2" t="s">
        <v>244</v>
      </c>
      <c r="CD1608" s="2" t="s">
        <v>231</v>
      </c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>
        <v>200</v>
      </c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>
        <v>200</v>
      </c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>
        <v>200</v>
      </c>
      <c r="HF1608" s="4"/>
      <c r="HG1608" s="4"/>
      <c r="HH1608" s="4"/>
      <c r="HI1608" s="4"/>
      <c r="HJ1608" s="4"/>
      <c r="HK1608" s="4"/>
      <c r="HL1608" s="4"/>
    </row>
    <row r="1609">
      <c r="A1609" s="2" t="s">
        <v>7430</v>
      </c>
      <c r="B1609" s="2" t="s">
        <v>1186</v>
      </c>
      <c r="C1609" s="2" t="s">
        <v>357</v>
      </c>
      <c r="D1609" s="2" t="s">
        <v>654</v>
      </c>
      <c r="E1609" s="2" t="s">
        <v>1187</v>
      </c>
      <c r="F1609" s="2" t="s">
        <v>7414</v>
      </c>
      <c r="G1609" s="2" t="s">
        <v>7415</v>
      </c>
      <c r="H1609" s="2" t="s">
        <v>7416</v>
      </c>
      <c r="I1609" s="2" t="s">
        <v>7417</v>
      </c>
      <c r="J1609" s="2" t="s">
        <v>304</v>
      </c>
      <c r="K1609" s="2" t="s">
        <v>7425</v>
      </c>
      <c r="L1609" s="3">
        <v>42.85</v>
      </c>
      <c r="M1609" s="3">
        <v>44.99</v>
      </c>
      <c r="N1609" s="3">
        <v>89.99</v>
      </c>
      <c r="O1609" s="2" t="s">
        <v>243</v>
      </c>
      <c r="P1609" s="2" t="s">
        <v>236</v>
      </c>
      <c r="Q1609" s="2" t="s">
        <v>237</v>
      </c>
      <c r="R1609" s="2" t="s">
        <v>231</v>
      </c>
      <c r="S1609" s="2" t="s">
        <v>7426</v>
      </c>
      <c r="T1609" s="2" t="s">
        <v>472</v>
      </c>
      <c r="U1609" s="2" t="s">
        <v>700</v>
      </c>
      <c r="V1609" s="2" t="s">
        <v>391</v>
      </c>
      <c r="W1609" s="2" t="s">
        <v>273</v>
      </c>
      <c r="X1609" s="2" t="s">
        <v>231</v>
      </c>
      <c r="Y1609" s="2" t="s">
        <v>231</v>
      </c>
      <c r="Z1609" s="4"/>
      <c r="AA1609" s="4">
        <f>=ROUNDDOWN({0},0)</f>
      </c>
      <c r="AB1609" s="5"/>
      <c r="AC1609" s="2" t="s">
        <v>321</v>
      </c>
      <c r="AD1609" s="4">
        <v>100</v>
      </c>
      <c r="AE1609" s="4">
        <v>300</v>
      </c>
      <c r="AF1609" s="6">
        <v>65</v>
      </c>
      <c r="AG1609" s="6"/>
      <c r="AH1609" s="7">
        <v>0</v>
      </c>
      <c r="AI1609" s="4"/>
      <c r="AJ1609" s="4">
        <f>=ROUNDDOWN({0},0)</f>
      </c>
      <c r="AK1609" s="5"/>
      <c r="AL1609" s="2" t="s">
        <v>231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231</v>
      </c>
      <c r="AW1609" s="8" t="s">
        <v>231</v>
      </c>
      <c r="AX1609" s="4" t="s">
        <v>231</v>
      </c>
      <c r="AY1609" s="8" t="s">
        <v>231</v>
      </c>
      <c r="AZ1609" s="7" t="s">
        <v>231</v>
      </c>
      <c r="BA1609" s="7" t="s">
        <v>231</v>
      </c>
      <c r="BB1609" s="7"/>
      <c r="BC1609" s="4" t="s">
        <v>231</v>
      </c>
      <c r="BD1609" s="8" t="s">
        <v>231</v>
      </c>
      <c r="BE1609" s="4" t="s">
        <v>231</v>
      </c>
      <c r="BF1609" s="8" t="s">
        <v>231</v>
      </c>
      <c r="BG1609" s="7" t="s">
        <v>231</v>
      </c>
      <c r="BH1609" s="7" t="s">
        <v>231</v>
      </c>
      <c r="BI1609" s="7"/>
      <c r="BJ1609" s="4"/>
      <c r="BK1609" s="8"/>
      <c r="BL1609" s="2" t="s">
        <v>231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241</v>
      </c>
      <c r="BV1609" s="2" t="s">
        <v>231</v>
      </c>
      <c r="BW1609" s="2" t="s">
        <v>231</v>
      </c>
      <c r="BX1609" s="2" t="s">
        <v>241</v>
      </c>
      <c r="BY1609" s="2" t="s">
        <v>242</v>
      </c>
      <c r="BZ1609" s="2" t="s">
        <v>243</v>
      </c>
      <c r="CA1609" s="2" t="s">
        <v>231</v>
      </c>
      <c r="CB1609" s="2" t="s">
        <v>231</v>
      </c>
      <c r="CC1609" s="2" t="s">
        <v>244</v>
      </c>
      <c r="CD1609" s="2" t="s">
        <v>231</v>
      </c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>
        <v>100</v>
      </c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>
        <v>100</v>
      </c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>
        <v>100</v>
      </c>
      <c r="HF1609" s="4"/>
      <c r="HG1609" s="4"/>
      <c r="HH1609" s="4"/>
      <c r="HI1609" s="4"/>
      <c r="HJ1609" s="4"/>
      <c r="HK1609" s="4"/>
      <c r="HL1609" s="4"/>
    </row>
    <row r="1610">
      <c r="A1610" s="2" t="s">
        <v>7431</v>
      </c>
      <c r="B1610" s="2" t="s">
        <v>1186</v>
      </c>
      <c r="C1610" s="2" t="s">
        <v>357</v>
      </c>
      <c r="D1610" s="2" t="s">
        <v>654</v>
      </c>
      <c r="E1610" s="2" t="s">
        <v>1187</v>
      </c>
      <c r="F1610" s="2" t="s">
        <v>7414</v>
      </c>
      <c r="G1610" s="2" t="s">
        <v>7415</v>
      </c>
      <c r="H1610" s="2" t="s">
        <v>7416</v>
      </c>
      <c r="I1610" s="2" t="s">
        <v>7417</v>
      </c>
      <c r="J1610" s="2" t="s">
        <v>293</v>
      </c>
      <c r="K1610" s="2" t="s">
        <v>7432</v>
      </c>
      <c r="L1610" s="3">
        <v>38.09</v>
      </c>
      <c r="M1610" s="3">
        <v>39.99</v>
      </c>
      <c r="N1610" s="3">
        <v>79.99</v>
      </c>
      <c r="O1610" s="2" t="s">
        <v>243</v>
      </c>
      <c r="P1610" s="2" t="s">
        <v>270</v>
      </c>
      <c r="Q1610" s="2" t="s">
        <v>237</v>
      </c>
      <c r="R1610" s="2" t="s">
        <v>231</v>
      </c>
      <c r="S1610" s="2" t="s">
        <v>7433</v>
      </c>
      <c r="T1610" s="2" t="s">
        <v>472</v>
      </c>
      <c r="U1610" s="2" t="s">
        <v>700</v>
      </c>
      <c r="V1610" s="2" t="s">
        <v>391</v>
      </c>
      <c r="W1610" s="2" t="s">
        <v>273</v>
      </c>
      <c r="X1610" s="2" t="s">
        <v>231</v>
      </c>
      <c r="Y1610" s="2" t="s">
        <v>7434</v>
      </c>
      <c r="Z1610" s="4"/>
      <c r="AA1610" s="4">
        <f>=ROUNDDOWN({0},0)</f>
      </c>
      <c r="AB1610" s="5">
        <v>47</v>
      </c>
      <c r="AC1610" s="2" t="s">
        <v>477</v>
      </c>
      <c r="AD1610" s="4">
        <v>240</v>
      </c>
      <c r="AE1610" s="4">
        <v>1390</v>
      </c>
      <c r="AF1610" s="6">
        <v>64</v>
      </c>
      <c r="AG1610" s="6"/>
      <c r="AH1610" s="7">
        <v>0.129</v>
      </c>
      <c r="AI1610" s="4"/>
      <c r="AJ1610" s="4">
        <f>=ROUNDDOWN({0},0)</f>
      </c>
      <c r="AK1610" s="5"/>
      <c r="AL1610" s="2" t="s">
        <v>231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231</v>
      </c>
      <c r="AW1610" s="8" t="s">
        <v>231</v>
      </c>
      <c r="AX1610" s="4" t="s">
        <v>231</v>
      </c>
      <c r="AY1610" s="8" t="s">
        <v>231</v>
      </c>
      <c r="AZ1610" s="7" t="s">
        <v>231</v>
      </c>
      <c r="BA1610" s="7" t="s">
        <v>231</v>
      </c>
      <c r="BB1610" s="7"/>
      <c r="BC1610" s="4" t="s">
        <v>231</v>
      </c>
      <c r="BD1610" s="8" t="s">
        <v>231</v>
      </c>
      <c r="BE1610" s="4" t="s">
        <v>231</v>
      </c>
      <c r="BF1610" s="8" t="s">
        <v>231</v>
      </c>
      <c r="BG1610" s="7" t="s">
        <v>231</v>
      </c>
      <c r="BH1610" s="7" t="s">
        <v>231</v>
      </c>
      <c r="BI1610" s="7"/>
      <c r="BJ1610" s="4">
        <v>57</v>
      </c>
      <c r="BK1610" s="8">
        <v>2426.96</v>
      </c>
      <c r="BL1610" s="2" t="s">
        <v>2900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7435</v>
      </c>
      <c r="BV1610" s="2" t="s">
        <v>231</v>
      </c>
      <c r="BW1610" s="2" t="s">
        <v>231</v>
      </c>
      <c r="BX1610" s="2" t="s">
        <v>241</v>
      </c>
      <c r="BY1610" s="2" t="s">
        <v>277</v>
      </c>
      <c r="BZ1610" s="2" t="s">
        <v>243</v>
      </c>
      <c r="CA1610" s="2" t="s">
        <v>7436</v>
      </c>
      <c r="CB1610" s="2" t="s">
        <v>6046</v>
      </c>
      <c r="CC1610" s="2" t="s">
        <v>244</v>
      </c>
      <c r="CD1610" s="2" t="s">
        <v>231</v>
      </c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>
        <v>240</v>
      </c>
      <c r="DT1610" s="4"/>
      <c r="DU1610" s="4"/>
      <c r="DV1610" s="4"/>
      <c r="DW1610" s="4"/>
      <c r="DX1610" s="4"/>
      <c r="DY1610" s="4"/>
      <c r="DZ1610" s="4">
        <v>250</v>
      </c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>
        <v>150</v>
      </c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>
        <v>150</v>
      </c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>
        <v>600</v>
      </c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</row>
    <row r="1611">
      <c r="A1611" s="2" t="s">
        <v>7437</v>
      </c>
      <c r="B1611" s="2" t="s">
        <v>1186</v>
      </c>
      <c r="C1611" s="2" t="s">
        <v>357</v>
      </c>
      <c r="D1611" s="2" t="s">
        <v>654</v>
      </c>
      <c r="E1611" s="2" t="s">
        <v>1187</v>
      </c>
      <c r="F1611" s="2" t="s">
        <v>7414</v>
      </c>
      <c r="G1611" s="2" t="s">
        <v>7415</v>
      </c>
      <c r="H1611" s="2" t="s">
        <v>7416</v>
      </c>
      <c r="I1611" s="2" t="s">
        <v>7417</v>
      </c>
      <c r="J1611" s="2" t="s">
        <v>302</v>
      </c>
      <c r="K1611" s="2" t="s">
        <v>7432</v>
      </c>
      <c r="L1611" s="3">
        <v>42.85</v>
      </c>
      <c r="M1611" s="3">
        <v>44.99</v>
      </c>
      <c r="N1611" s="3">
        <v>89.99</v>
      </c>
      <c r="O1611" s="2" t="s">
        <v>243</v>
      </c>
      <c r="P1611" s="2" t="s">
        <v>270</v>
      </c>
      <c r="Q1611" s="2" t="s">
        <v>237</v>
      </c>
      <c r="R1611" s="2" t="s">
        <v>231</v>
      </c>
      <c r="S1611" s="2" t="s">
        <v>7433</v>
      </c>
      <c r="T1611" s="2" t="s">
        <v>472</v>
      </c>
      <c r="U1611" s="2" t="s">
        <v>700</v>
      </c>
      <c r="V1611" s="2" t="s">
        <v>391</v>
      </c>
      <c r="W1611" s="2" t="s">
        <v>273</v>
      </c>
      <c r="X1611" s="2" t="s">
        <v>231</v>
      </c>
      <c r="Y1611" s="2" t="s">
        <v>7434</v>
      </c>
      <c r="Z1611" s="4"/>
      <c r="AA1611" s="4">
        <f>=ROUNDDOWN({0},0)</f>
      </c>
      <c r="AB1611" s="5">
        <v>25</v>
      </c>
      <c r="AC1611" s="2" t="s">
        <v>477</v>
      </c>
      <c r="AD1611" s="4">
        <v>160</v>
      </c>
      <c r="AE1611" s="4">
        <v>785</v>
      </c>
      <c r="AF1611" s="6">
        <v>64</v>
      </c>
      <c r="AG1611" s="6"/>
      <c r="AH1611" s="7">
        <v>0</v>
      </c>
      <c r="AI1611" s="4"/>
      <c r="AJ1611" s="4">
        <f>=ROUNDDOWN({0},0)</f>
      </c>
      <c r="AK1611" s="5"/>
      <c r="AL1611" s="2" t="s">
        <v>231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231</v>
      </c>
      <c r="AW1611" s="8" t="s">
        <v>231</v>
      </c>
      <c r="AX1611" s="4" t="s">
        <v>231</v>
      </c>
      <c r="AY1611" s="8" t="s">
        <v>231</v>
      </c>
      <c r="AZ1611" s="7" t="s">
        <v>231</v>
      </c>
      <c r="BA1611" s="7" t="s">
        <v>231</v>
      </c>
      <c r="BB1611" s="7"/>
      <c r="BC1611" s="4" t="s">
        <v>231</v>
      </c>
      <c r="BD1611" s="8" t="s">
        <v>231</v>
      </c>
      <c r="BE1611" s="4" t="s">
        <v>231</v>
      </c>
      <c r="BF1611" s="8" t="s">
        <v>231</v>
      </c>
      <c r="BG1611" s="7" t="s">
        <v>231</v>
      </c>
      <c r="BH1611" s="7" t="s">
        <v>231</v>
      </c>
      <c r="BI1611" s="7"/>
      <c r="BJ1611" s="4">
        <v>4</v>
      </c>
      <c r="BK1611" s="8">
        <v>197.12</v>
      </c>
      <c r="BL1611" s="2" t="s">
        <v>1020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7438</v>
      </c>
      <c r="BV1611" s="2" t="s">
        <v>231</v>
      </c>
      <c r="BW1611" s="2" t="s">
        <v>231</v>
      </c>
      <c r="BX1611" s="2" t="s">
        <v>241</v>
      </c>
      <c r="BY1611" s="2" t="s">
        <v>277</v>
      </c>
      <c r="BZ1611" s="2" t="s">
        <v>243</v>
      </c>
      <c r="CA1611" s="2" t="s">
        <v>7436</v>
      </c>
      <c r="CB1611" s="2" t="s">
        <v>2983</v>
      </c>
      <c r="CC1611" s="2" t="s">
        <v>244</v>
      </c>
      <c r="CD1611" s="2" t="s">
        <v>231</v>
      </c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>
        <v>160</v>
      </c>
      <c r="DT1611" s="4"/>
      <c r="DU1611" s="4"/>
      <c r="DV1611" s="4"/>
      <c r="DW1611" s="4"/>
      <c r="DX1611" s="4"/>
      <c r="DY1611" s="4"/>
      <c r="DZ1611" s="4">
        <v>150</v>
      </c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>
        <v>100</v>
      </c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>
        <v>100</v>
      </c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>
        <v>275</v>
      </c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</row>
    <row r="1612">
      <c r="A1612" s="2" t="s">
        <v>7439</v>
      </c>
      <c r="B1612" s="2" t="s">
        <v>1186</v>
      </c>
      <c r="C1612" s="2" t="s">
        <v>357</v>
      </c>
      <c r="D1612" s="2" t="s">
        <v>654</v>
      </c>
      <c r="E1612" s="2" t="s">
        <v>1187</v>
      </c>
      <c r="F1612" s="2" t="s">
        <v>7414</v>
      </c>
      <c r="G1612" s="2" t="s">
        <v>7415</v>
      </c>
      <c r="H1612" s="2" t="s">
        <v>7416</v>
      </c>
      <c r="I1612" s="2" t="s">
        <v>7417</v>
      </c>
      <c r="J1612" s="2" t="s">
        <v>304</v>
      </c>
      <c r="K1612" s="2" t="s">
        <v>7432</v>
      </c>
      <c r="L1612" s="3">
        <v>42.85</v>
      </c>
      <c r="M1612" s="3">
        <v>44.99</v>
      </c>
      <c r="N1612" s="3">
        <v>89.99</v>
      </c>
      <c r="O1612" s="2" t="s">
        <v>243</v>
      </c>
      <c r="P1612" s="2" t="s">
        <v>270</v>
      </c>
      <c r="Q1612" s="2" t="s">
        <v>237</v>
      </c>
      <c r="R1612" s="2" t="s">
        <v>231</v>
      </c>
      <c r="S1612" s="2" t="s">
        <v>7433</v>
      </c>
      <c r="T1612" s="2" t="s">
        <v>472</v>
      </c>
      <c r="U1612" s="2" t="s">
        <v>700</v>
      </c>
      <c r="V1612" s="2" t="s">
        <v>391</v>
      </c>
      <c r="W1612" s="2" t="s">
        <v>273</v>
      </c>
      <c r="X1612" s="2" t="s">
        <v>231</v>
      </c>
      <c r="Y1612" s="2" t="s">
        <v>7434</v>
      </c>
      <c r="Z1612" s="4"/>
      <c r="AA1612" s="4">
        <f>=ROUNDDOWN({0},0)</f>
      </c>
      <c r="AB1612" s="5">
        <v>17</v>
      </c>
      <c r="AC1612" s="2" t="s">
        <v>477</v>
      </c>
      <c r="AD1612" s="4">
        <v>100</v>
      </c>
      <c r="AE1612" s="4">
        <v>520</v>
      </c>
      <c r="AF1612" s="6">
        <v>64</v>
      </c>
      <c r="AG1612" s="6"/>
      <c r="AH1612" s="7">
        <v>0.0323</v>
      </c>
      <c r="AI1612" s="4"/>
      <c r="AJ1612" s="4">
        <f>=ROUNDDOWN({0},0)</f>
      </c>
      <c r="AK1612" s="5"/>
      <c r="AL1612" s="2" t="s">
        <v>231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231</v>
      </c>
      <c r="AW1612" s="8" t="s">
        <v>231</v>
      </c>
      <c r="AX1612" s="4" t="s">
        <v>231</v>
      </c>
      <c r="AY1612" s="8" t="s">
        <v>231</v>
      </c>
      <c r="AZ1612" s="7" t="s">
        <v>231</v>
      </c>
      <c r="BA1612" s="7" t="s">
        <v>231</v>
      </c>
      <c r="BB1612" s="7"/>
      <c r="BC1612" s="4" t="s">
        <v>231</v>
      </c>
      <c r="BD1612" s="8" t="s">
        <v>231</v>
      </c>
      <c r="BE1612" s="4" t="s">
        <v>231</v>
      </c>
      <c r="BF1612" s="8" t="s">
        <v>231</v>
      </c>
      <c r="BG1612" s="7" t="s">
        <v>231</v>
      </c>
      <c r="BH1612" s="7" t="s">
        <v>231</v>
      </c>
      <c r="BI1612" s="7"/>
      <c r="BJ1612" s="4">
        <v>10</v>
      </c>
      <c r="BK1612" s="8">
        <v>472.32</v>
      </c>
      <c r="BL1612" s="2" t="s">
        <v>365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7440</v>
      </c>
      <c r="BV1612" s="2" t="s">
        <v>231</v>
      </c>
      <c r="BW1612" s="2" t="s">
        <v>231</v>
      </c>
      <c r="BX1612" s="2" t="s">
        <v>241</v>
      </c>
      <c r="BY1612" s="2" t="s">
        <v>277</v>
      </c>
      <c r="BZ1612" s="2" t="s">
        <v>243</v>
      </c>
      <c r="CA1612" s="2" t="s">
        <v>7436</v>
      </c>
      <c r="CB1612" s="2" t="s">
        <v>5540</v>
      </c>
      <c r="CC1612" s="2" t="s">
        <v>244</v>
      </c>
      <c r="CD1612" s="2" t="s">
        <v>231</v>
      </c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>
        <v>100</v>
      </c>
      <c r="DT1612" s="4"/>
      <c r="DU1612" s="4"/>
      <c r="DV1612" s="4"/>
      <c r="DW1612" s="4"/>
      <c r="DX1612" s="4"/>
      <c r="DY1612" s="4"/>
      <c r="DZ1612" s="4">
        <v>80</v>
      </c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>
        <v>60</v>
      </c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>
        <v>80</v>
      </c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>
        <v>200</v>
      </c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</row>
    <row r="1613">
      <c r="A1613" s="2" t="s">
        <v>7441</v>
      </c>
      <c r="B1613" s="2" t="s">
        <v>801</v>
      </c>
      <c r="C1613" s="2" t="s">
        <v>815</v>
      </c>
      <c r="D1613" s="2" t="s">
        <v>1043</v>
      </c>
      <c r="E1613" s="2" t="s">
        <v>1044</v>
      </c>
      <c r="F1613" s="2" t="s">
        <v>7442</v>
      </c>
      <c r="G1613" s="2" t="s">
        <v>7442</v>
      </c>
      <c r="H1613" s="2" t="s">
        <v>7442</v>
      </c>
      <c r="I1613" s="2" t="s">
        <v>7443</v>
      </c>
      <c r="J1613" s="2" t="s">
        <v>807</v>
      </c>
      <c r="K1613" s="2" t="s">
        <v>294</v>
      </c>
      <c r="L1613" s="3">
        <v>45.45</v>
      </c>
      <c r="M1613" s="3">
        <v>47.72</v>
      </c>
      <c r="N1613" s="3">
        <v>99.99</v>
      </c>
      <c r="O1613" s="2" t="s">
        <v>243</v>
      </c>
      <c r="P1613" s="2" t="s">
        <v>341</v>
      </c>
      <c r="Q1613" s="2" t="s">
        <v>237</v>
      </c>
      <c r="R1613" s="2" t="s">
        <v>231</v>
      </c>
      <c r="S1613" s="2" t="s">
        <v>231</v>
      </c>
      <c r="T1613" s="2" t="s">
        <v>231</v>
      </c>
      <c r="U1613" s="2" t="s">
        <v>327</v>
      </c>
      <c r="V1613" s="2" t="s">
        <v>662</v>
      </c>
      <c r="W1613" s="2" t="s">
        <v>691</v>
      </c>
      <c r="X1613" s="2" t="s">
        <v>231</v>
      </c>
      <c r="Y1613" s="2" t="s">
        <v>1047</v>
      </c>
      <c r="Z1613" s="4">
        <v>104</v>
      </c>
      <c r="AA1613" s="4">
        <f>=ROUNDDOWN({0},0)</f>
      </c>
      <c r="AB1613" s="5"/>
      <c r="AC1613" s="2" t="s">
        <v>231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231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/>
      <c r="BK1613" s="8"/>
      <c r="BL1613" s="2" t="s">
        <v>231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7444</v>
      </c>
      <c r="BV1613" s="2" t="s">
        <v>231</v>
      </c>
      <c r="BW1613" s="2" t="s">
        <v>231</v>
      </c>
      <c r="BX1613" s="2" t="s">
        <v>231</v>
      </c>
      <c r="BY1613" s="2" t="s">
        <v>277</v>
      </c>
      <c r="BZ1613" s="2" t="s">
        <v>243</v>
      </c>
      <c r="CA1613" s="2" t="s">
        <v>1049</v>
      </c>
      <c r="CB1613" s="2" t="s">
        <v>231</v>
      </c>
      <c r="CC1613" s="2" t="s">
        <v>244</v>
      </c>
      <c r="CD1613" s="2" t="s">
        <v>231</v>
      </c>
      <c r="CE1613" s="4"/>
      <c r="CF1613" s="4">
        <v>104</v>
      </c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</row>
    <row r="1614">
      <c r="A1614" s="2" t="s">
        <v>7445</v>
      </c>
      <c r="B1614" s="2" t="s">
        <v>801</v>
      </c>
      <c r="C1614" s="2" t="s">
        <v>815</v>
      </c>
      <c r="D1614" s="2" t="s">
        <v>1114</v>
      </c>
      <c r="E1614" s="2" t="s">
        <v>1115</v>
      </c>
      <c r="F1614" s="2" t="s">
        <v>7446</v>
      </c>
      <c r="G1614" s="2" t="s">
        <v>7446</v>
      </c>
      <c r="H1614" s="2" t="s">
        <v>7446</v>
      </c>
      <c r="I1614" s="2" t="s">
        <v>7447</v>
      </c>
      <c r="J1614" s="2" t="s">
        <v>807</v>
      </c>
      <c r="K1614" s="2" t="s">
        <v>269</v>
      </c>
      <c r="L1614" s="3">
        <v>40.38</v>
      </c>
      <c r="M1614" s="3">
        <v>42.4</v>
      </c>
      <c r="N1614" s="3">
        <v>89.99</v>
      </c>
      <c r="O1614" s="2" t="s">
        <v>243</v>
      </c>
      <c r="P1614" s="2" t="s">
        <v>270</v>
      </c>
      <c r="Q1614" s="2" t="s">
        <v>237</v>
      </c>
      <c r="R1614" s="2" t="s">
        <v>231</v>
      </c>
      <c r="S1614" s="2" t="s">
        <v>231</v>
      </c>
      <c r="T1614" s="2" t="s">
        <v>231</v>
      </c>
      <c r="U1614" s="2" t="s">
        <v>327</v>
      </c>
      <c r="V1614" s="2" t="s">
        <v>662</v>
      </c>
      <c r="W1614" s="2" t="s">
        <v>691</v>
      </c>
      <c r="X1614" s="2" t="s">
        <v>231</v>
      </c>
      <c r="Y1614" s="2" t="s">
        <v>5807</v>
      </c>
      <c r="Z1614" s="4">
        <v>117</v>
      </c>
      <c r="AA1614" s="4">
        <f>=ROUNDDOWN(39,0)</f>
      </c>
      <c r="AB1614" s="5">
        <v>3</v>
      </c>
      <c r="AC1614" s="2" t="s">
        <v>231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231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22</v>
      </c>
      <c r="BK1614" s="8">
        <v>1013.53</v>
      </c>
      <c r="BL1614" s="2" t="s">
        <v>3002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7448</v>
      </c>
      <c r="BV1614" s="2" t="s">
        <v>231</v>
      </c>
      <c r="BW1614" s="2" t="s">
        <v>231</v>
      </c>
      <c r="BX1614" s="2" t="s">
        <v>231</v>
      </c>
      <c r="BY1614" s="2" t="s">
        <v>277</v>
      </c>
      <c r="BZ1614" s="2" t="s">
        <v>243</v>
      </c>
      <c r="CA1614" s="2" t="s">
        <v>7449</v>
      </c>
      <c r="CB1614" s="2" t="s">
        <v>7450</v>
      </c>
      <c r="CC1614" s="2" t="s">
        <v>244</v>
      </c>
      <c r="CD1614" s="2" t="s">
        <v>231</v>
      </c>
      <c r="CE1614" s="4"/>
      <c r="CF1614" s="4">
        <v>117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</row>
    <row r="1615">
      <c r="A1615" s="2" t="s">
        <v>7451</v>
      </c>
      <c r="B1615" s="2" t="s">
        <v>1004</v>
      </c>
      <c r="C1615" s="2" t="s">
        <v>1105</v>
      </c>
      <c r="D1615" s="2" t="s">
        <v>1689</v>
      </c>
      <c r="E1615" s="2" t="s">
        <v>2538</v>
      </c>
      <c r="F1615" s="2" t="s">
        <v>1188</v>
      </c>
      <c r="G1615" s="2" t="s">
        <v>1188</v>
      </c>
      <c r="H1615" s="2" t="s">
        <v>1188</v>
      </c>
      <c r="I1615" s="2" t="s">
        <v>7452</v>
      </c>
      <c r="J1615" s="2" t="s">
        <v>807</v>
      </c>
      <c r="K1615" s="2" t="s">
        <v>253</v>
      </c>
      <c r="L1615" s="3">
        <v>115.9</v>
      </c>
      <c r="M1615" s="3">
        <v>121.7</v>
      </c>
      <c r="N1615" s="3">
        <v>239</v>
      </c>
      <c r="O1615" s="2" t="s">
        <v>243</v>
      </c>
      <c r="P1615" s="2" t="s">
        <v>341</v>
      </c>
      <c r="Q1615" s="2" t="s">
        <v>237</v>
      </c>
      <c r="R1615" s="2" t="s">
        <v>231</v>
      </c>
      <c r="S1615" s="2" t="s">
        <v>231</v>
      </c>
      <c r="T1615" s="2" t="s">
        <v>231</v>
      </c>
      <c r="U1615" s="2" t="s">
        <v>327</v>
      </c>
      <c r="V1615" s="2" t="s">
        <v>662</v>
      </c>
      <c r="W1615" s="2" t="s">
        <v>792</v>
      </c>
      <c r="X1615" s="2" t="s">
        <v>676</v>
      </c>
      <c r="Y1615" s="2" t="s">
        <v>666</v>
      </c>
      <c r="Z1615" s="4">
        <v>82</v>
      </c>
      <c r="AA1615" s="4">
        <f>=ROUNDDOWN(82,0)</f>
      </c>
      <c r="AB1615" s="5">
        <v>1</v>
      </c>
      <c r="AC1615" s="2" t="s">
        <v>231</v>
      </c>
      <c r="AD1615" s="4"/>
      <c r="AE1615" s="4"/>
      <c r="AF1615" s="6">
        <v>74</v>
      </c>
      <c r="AG1615" s="6"/>
      <c r="AH1615" s="7">
        <v>1</v>
      </c>
      <c r="AI1615" s="4"/>
      <c r="AJ1615" s="4">
        <f>=ROUNDDOWN({0},0)</f>
      </c>
      <c r="AK1615" s="5"/>
      <c r="AL1615" s="2" t="s">
        <v>231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231</v>
      </c>
      <c r="BD1615" s="8" t="s">
        <v>231</v>
      </c>
      <c r="BE1615" s="4" t="s">
        <v>231</v>
      </c>
      <c r="BF1615" s="8" t="s">
        <v>231</v>
      </c>
      <c r="BG1615" s="7" t="s">
        <v>231</v>
      </c>
      <c r="BH1615" s="7" t="s">
        <v>231</v>
      </c>
      <c r="BI1615" s="7"/>
      <c r="BJ1615" s="4">
        <v>1</v>
      </c>
      <c r="BK1615" s="8">
        <v>131.43</v>
      </c>
      <c r="BL1615" s="2" t="s">
        <v>1717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241</v>
      </c>
      <c r="BV1615" s="2" t="s">
        <v>231</v>
      </c>
      <c r="BW1615" s="2" t="s">
        <v>231</v>
      </c>
      <c r="BX1615" s="2" t="s">
        <v>241</v>
      </c>
      <c r="BY1615" s="2" t="s">
        <v>2527</v>
      </c>
      <c r="BZ1615" s="2" t="s">
        <v>243</v>
      </c>
      <c r="CA1615" s="2" t="s">
        <v>231</v>
      </c>
      <c r="CB1615" s="2" t="s">
        <v>231</v>
      </c>
      <c r="CC1615" s="2" t="s">
        <v>244</v>
      </c>
      <c r="CD1615" s="2" t="s">
        <v>231</v>
      </c>
      <c r="CE1615" s="4"/>
      <c r="CF1615" s="4">
        <v>82</v>
      </c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</row>
    <row r="1616">
      <c r="A1616" s="2" t="s">
        <v>7453</v>
      </c>
      <c r="B1616" s="2" t="s">
        <v>1004</v>
      </c>
      <c r="C1616" s="2" t="s">
        <v>1105</v>
      </c>
      <c r="D1616" s="2" t="s">
        <v>1689</v>
      </c>
      <c r="E1616" s="2" t="s">
        <v>2538</v>
      </c>
      <c r="F1616" s="2" t="s">
        <v>1188</v>
      </c>
      <c r="G1616" s="2" t="s">
        <v>1188</v>
      </c>
      <c r="H1616" s="2" t="s">
        <v>1188</v>
      </c>
      <c r="I1616" s="2" t="s">
        <v>7452</v>
      </c>
      <c r="J1616" s="2" t="s">
        <v>807</v>
      </c>
      <c r="K1616" s="2" t="s">
        <v>306</v>
      </c>
      <c r="L1616" s="3">
        <v>115.9</v>
      </c>
      <c r="M1616" s="3">
        <v>121.7</v>
      </c>
      <c r="N1616" s="3">
        <v>239</v>
      </c>
      <c r="O1616" s="2" t="s">
        <v>243</v>
      </c>
      <c r="P1616" s="2" t="s">
        <v>341</v>
      </c>
      <c r="Q1616" s="2" t="s">
        <v>237</v>
      </c>
      <c r="R1616" s="2" t="s">
        <v>231</v>
      </c>
      <c r="S1616" s="2" t="s">
        <v>231</v>
      </c>
      <c r="T1616" s="2" t="s">
        <v>231</v>
      </c>
      <c r="U1616" s="2" t="s">
        <v>327</v>
      </c>
      <c r="V1616" s="2" t="s">
        <v>662</v>
      </c>
      <c r="W1616" s="2" t="s">
        <v>792</v>
      </c>
      <c r="X1616" s="2" t="s">
        <v>676</v>
      </c>
      <c r="Y1616" s="2" t="s">
        <v>666</v>
      </c>
      <c r="Z1616" s="4"/>
      <c r="AA1616" s="4">
        <f>=ROUNDDOWN({0},0)</f>
      </c>
      <c r="AB1616" s="5">
        <v>1</v>
      </c>
      <c r="AC1616" s="2" t="s">
        <v>231</v>
      </c>
      <c r="AD1616" s="4"/>
      <c r="AE1616" s="4"/>
      <c r="AF1616" s="6">
        <v>74</v>
      </c>
      <c r="AG1616" s="6"/>
      <c r="AH1616" s="7">
        <v>0.4194</v>
      </c>
      <c r="AI1616" s="4"/>
      <c r="AJ1616" s="4">
        <f>=ROUNDDOWN({0},0)</f>
      </c>
      <c r="AK1616" s="5"/>
      <c r="AL1616" s="2" t="s">
        <v>231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231</v>
      </c>
      <c r="BD1616" s="8" t="s">
        <v>231</v>
      </c>
      <c r="BE1616" s="4" t="s">
        <v>231</v>
      </c>
      <c r="BF1616" s="8" t="s">
        <v>231</v>
      </c>
      <c r="BG1616" s="7" t="s">
        <v>231</v>
      </c>
      <c r="BH1616" s="7" t="s">
        <v>231</v>
      </c>
      <c r="BI1616" s="7"/>
      <c r="BJ1616" s="4">
        <v>1</v>
      </c>
      <c r="BK1616" s="8">
        <v>131.43</v>
      </c>
      <c r="BL1616" s="2" t="s">
        <v>1717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7454</v>
      </c>
      <c r="BV1616" s="2" t="s">
        <v>231</v>
      </c>
      <c r="BW1616" s="2" t="s">
        <v>231</v>
      </c>
      <c r="BX1616" s="2" t="s">
        <v>241</v>
      </c>
      <c r="BY1616" s="2" t="s">
        <v>277</v>
      </c>
      <c r="BZ1616" s="2" t="s">
        <v>243</v>
      </c>
      <c r="CA1616" s="2" t="s">
        <v>2536</v>
      </c>
      <c r="CB1616" s="2" t="s">
        <v>7455</v>
      </c>
      <c r="CC1616" s="2" t="s">
        <v>244</v>
      </c>
      <c r="CD1616" s="2" t="s">
        <v>231</v>
      </c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</row>
    <row r="1617">
      <c r="A1617" s="2" t="s">
        <v>7456</v>
      </c>
      <c r="B1617" s="2" t="s">
        <v>847</v>
      </c>
      <c r="C1617" s="2" t="s">
        <v>867</v>
      </c>
      <c r="D1617" s="2" t="s">
        <v>906</v>
      </c>
      <c r="E1617" s="2" t="s">
        <v>5338</v>
      </c>
      <c r="F1617" s="2" t="s">
        <v>7457</v>
      </c>
      <c r="G1617" s="2" t="s">
        <v>7457</v>
      </c>
      <c r="H1617" s="2" t="s">
        <v>7457</v>
      </c>
      <c r="I1617" s="2" t="s">
        <v>7458</v>
      </c>
      <c r="J1617" s="2" t="s">
        <v>807</v>
      </c>
      <c r="K1617" s="2" t="s">
        <v>294</v>
      </c>
      <c r="L1617" s="3">
        <v>105.12</v>
      </c>
      <c r="M1617" s="3">
        <v>110.38</v>
      </c>
      <c r="N1617" s="3">
        <v>219</v>
      </c>
      <c r="O1617" s="2" t="s">
        <v>250</v>
      </c>
      <c r="P1617" s="2" t="s">
        <v>341</v>
      </c>
      <c r="Q1617" s="2" t="s">
        <v>237</v>
      </c>
      <c r="R1617" s="2" t="s">
        <v>231</v>
      </c>
      <c r="S1617" s="2" t="s">
        <v>231</v>
      </c>
      <c r="T1617" s="2" t="s">
        <v>231</v>
      </c>
      <c r="U1617" s="2" t="s">
        <v>327</v>
      </c>
      <c r="V1617" s="2" t="s">
        <v>239</v>
      </c>
      <c r="W1617" s="2" t="s">
        <v>792</v>
      </c>
      <c r="X1617" s="2" t="s">
        <v>299</v>
      </c>
      <c r="Y1617" s="2" t="s">
        <v>2923</v>
      </c>
      <c r="Z1617" s="4"/>
      <c r="AA1617" s="4">
        <f>=ROUNDDOWN({0},0)</f>
      </c>
      <c r="AB1617" s="5"/>
      <c r="AC1617" s="2" t="s">
        <v>231</v>
      </c>
      <c r="AD1617" s="4"/>
      <c r="AE1617" s="4"/>
      <c r="AF1617" s="6">
        <v>63</v>
      </c>
      <c r="AG1617" s="6"/>
      <c r="AH1617" s="7">
        <v>0</v>
      </c>
      <c r="AI1617" s="4"/>
      <c r="AJ1617" s="4">
        <f>=ROUNDDOWN({0},0)</f>
      </c>
      <c r="AK1617" s="5"/>
      <c r="AL1617" s="2" t="s">
        <v>231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/>
      <c r="BK1617" s="8"/>
      <c r="BL1617" s="2" t="s">
        <v>1306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7459</v>
      </c>
      <c r="BV1617" s="2" t="s">
        <v>231</v>
      </c>
      <c r="BW1617" s="2" t="s">
        <v>231</v>
      </c>
      <c r="BX1617" s="2" t="s">
        <v>231</v>
      </c>
      <c r="BY1617" s="2" t="s">
        <v>277</v>
      </c>
      <c r="BZ1617" s="2" t="s">
        <v>243</v>
      </c>
      <c r="CA1617" s="2" t="s">
        <v>4921</v>
      </c>
      <c r="CB1617" s="2" t="s">
        <v>231</v>
      </c>
      <c r="CC1617" s="2" t="s">
        <v>244</v>
      </c>
      <c r="CD1617" s="2" t="s">
        <v>231</v>
      </c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</row>
    <row r="1618">
      <c r="A1618" s="2" t="s">
        <v>7460</v>
      </c>
      <c r="B1618" s="2" t="s">
        <v>801</v>
      </c>
      <c r="C1618" s="2" t="s">
        <v>867</v>
      </c>
      <c r="D1618" s="2" t="s">
        <v>1114</v>
      </c>
      <c r="E1618" s="2" t="s">
        <v>1115</v>
      </c>
      <c r="F1618" s="2" t="s">
        <v>7461</v>
      </c>
      <c r="G1618" s="2" t="s">
        <v>7461</v>
      </c>
      <c r="H1618" s="2" t="s">
        <v>7461</v>
      </c>
      <c r="I1618" s="2" t="s">
        <v>5749</v>
      </c>
      <c r="J1618" s="2" t="s">
        <v>807</v>
      </c>
      <c r="K1618" s="2" t="s">
        <v>319</v>
      </c>
      <c r="L1618" s="3">
        <v>64.06</v>
      </c>
      <c r="M1618" s="3">
        <v>67.26</v>
      </c>
      <c r="N1618" s="3">
        <v>139.99</v>
      </c>
      <c r="O1618" s="2" t="s">
        <v>243</v>
      </c>
      <c r="P1618" s="2" t="s">
        <v>270</v>
      </c>
      <c r="Q1618" s="2" t="s">
        <v>237</v>
      </c>
      <c r="R1618" s="2" t="s">
        <v>231</v>
      </c>
      <c r="S1618" s="2" t="s">
        <v>231</v>
      </c>
      <c r="T1618" s="2" t="s">
        <v>231</v>
      </c>
      <c r="U1618" s="2" t="s">
        <v>231</v>
      </c>
      <c r="V1618" s="2" t="s">
        <v>239</v>
      </c>
      <c r="W1618" s="2" t="s">
        <v>792</v>
      </c>
      <c r="X1618" s="2" t="s">
        <v>874</v>
      </c>
      <c r="Y1618" s="2" t="s">
        <v>2923</v>
      </c>
      <c r="Z1618" s="4">
        <v>34</v>
      </c>
      <c r="AA1618" s="4">
        <f>=ROUNDDOWN(17,0)</f>
      </c>
      <c r="AB1618" s="5">
        <v>2</v>
      </c>
      <c r="AC1618" s="2" t="s">
        <v>231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231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/>
      <c r="BD1618" s="8"/>
      <c r="BE1618" s="4"/>
      <c r="BF1618" s="8"/>
      <c r="BG1618" s="7"/>
      <c r="BH1618" s="7"/>
      <c r="BI1618" s="7"/>
      <c r="BJ1618" s="4">
        <v>13</v>
      </c>
      <c r="BK1618" s="8">
        <v>742.37</v>
      </c>
      <c r="BL1618" s="2" t="s">
        <v>7462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7463</v>
      </c>
      <c r="BV1618" s="2" t="s">
        <v>231</v>
      </c>
      <c r="BW1618" s="2" t="s">
        <v>231</v>
      </c>
      <c r="BX1618" s="2" t="s">
        <v>241</v>
      </c>
      <c r="BY1618" s="2" t="s">
        <v>277</v>
      </c>
      <c r="BZ1618" s="2" t="s">
        <v>243</v>
      </c>
      <c r="CA1618" s="2" t="s">
        <v>5435</v>
      </c>
      <c r="CB1618" s="2" t="s">
        <v>7464</v>
      </c>
      <c r="CC1618" s="2" t="s">
        <v>244</v>
      </c>
      <c r="CD1618" s="2" t="s">
        <v>231</v>
      </c>
      <c r="CE1618" s="4"/>
      <c r="CF1618" s="4">
        <v>34</v>
      </c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</row>
    <row r="1619">
      <c r="A1619" s="2" t="s">
        <v>7465</v>
      </c>
      <c r="B1619" s="2" t="s">
        <v>1004</v>
      </c>
      <c r="C1619" s="2" t="s">
        <v>815</v>
      </c>
      <c r="D1619" s="2" t="s">
        <v>2260</v>
      </c>
      <c r="E1619" s="2" t="s">
        <v>2261</v>
      </c>
      <c r="F1619" s="2" t="s">
        <v>7466</v>
      </c>
      <c r="G1619" s="2" t="s">
        <v>7466</v>
      </c>
      <c r="H1619" s="2" t="s">
        <v>7466</v>
      </c>
      <c r="I1619" s="2" t="s">
        <v>7467</v>
      </c>
      <c r="J1619" s="2" t="s">
        <v>807</v>
      </c>
      <c r="K1619" s="2" t="s">
        <v>7468</v>
      </c>
      <c r="L1619" s="3">
        <v>135.85</v>
      </c>
      <c r="M1619" s="3">
        <v>142.64</v>
      </c>
      <c r="N1619" s="3">
        <v>289</v>
      </c>
      <c r="O1619" s="2" t="s">
        <v>243</v>
      </c>
      <c r="P1619" s="2" t="s">
        <v>270</v>
      </c>
      <c r="Q1619" s="2" t="s">
        <v>237</v>
      </c>
      <c r="R1619" s="2" t="s">
        <v>231</v>
      </c>
      <c r="S1619" s="2" t="s">
        <v>231</v>
      </c>
      <c r="T1619" s="2" t="s">
        <v>231</v>
      </c>
      <c r="U1619" s="2" t="s">
        <v>231</v>
      </c>
      <c r="V1619" s="2" t="s">
        <v>239</v>
      </c>
      <c r="W1619" s="2" t="s">
        <v>808</v>
      </c>
      <c r="X1619" s="2" t="s">
        <v>231</v>
      </c>
      <c r="Y1619" s="2" t="s">
        <v>7469</v>
      </c>
      <c r="Z1619" s="4">
        <v>174</v>
      </c>
      <c r="AA1619" s="4">
        <f>=ROUNDDOWN(34.8,0)</f>
      </c>
      <c r="AB1619" s="5">
        <v>5</v>
      </c>
      <c r="AC1619" s="2" t="s">
        <v>231</v>
      </c>
      <c r="AD1619" s="4"/>
      <c r="AE1619" s="4"/>
      <c r="AF1619" s="6">
        <v>74</v>
      </c>
      <c r="AG1619" s="6">
        <v>60</v>
      </c>
      <c r="AH1619" s="7">
        <v>1</v>
      </c>
      <c r="AI1619" s="4"/>
      <c r="AJ1619" s="4">
        <f>=ROUNDDOWN({0},0)</f>
      </c>
      <c r="AK1619" s="5"/>
      <c r="AL1619" s="2" t="s">
        <v>231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/>
      <c r="BD1619" s="8"/>
      <c r="BE1619" s="4"/>
      <c r="BF1619" s="8"/>
      <c r="BG1619" s="7"/>
      <c r="BH1619" s="7"/>
      <c r="BI1619" s="7"/>
      <c r="BJ1619" s="4">
        <v>33</v>
      </c>
      <c r="BK1619" s="8">
        <v>4407.71</v>
      </c>
      <c r="BL1619" s="2" t="s">
        <v>7470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7471</v>
      </c>
      <c r="BV1619" s="2" t="s">
        <v>231</v>
      </c>
      <c r="BW1619" s="2" t="s">
        <v>231</v>
      </c>
      <c r="BX1619" s="2" t="s">
        <v>231</v>
      </c>
      <c r="BY1619" s="2" t="s">
        <v>277</v>
      </c>
      <c r="BZ1619" s="2" t="s">
        <v>243</v>
      </c>
      <c r="CA1619" s="2" t="s">
        <v>2903</v>
      </c>
      <c r="CB1619" s="2" t="s">
        <v>3578</v>
      </c>
      <c r="CC1619" s="2" t="s">
        <v>244</v>
      </c>
      <c r="CD1619" s="2" t="s">
        <v>231</v>
      </c>
      <c r="CE1619" s="4"/>
      <c r="CF1619" s="4">
        <v>153</v>
      </c>
      <c r="CG1619" s="4"/>
      <c r="CH1619" s="4"/>
      <c r="CI1619" s="4">
        <v>21</v>
      </c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</row>
    <row r="1620">
      <c r="A1620" s="2" t="s">
        <v>7472</v>
      </c>
      <c r="B1620" s="2" t="s">
        <v>1004</v>
      </c>
      <c r="C1620" s="2" t="s">
        <v>815</v>
      </c>
      <c r="D1620" s="2" t="s">
        <v>1031</v>
      </c>
      <c r="E1620" s="2" t="s">
        <v>1032</v>
      </c>
      <c r="F1620" s="2" t="s">
        <v>7473</v>
      </c>
      <c r="G1620" s="2" t="s">
        <v>7473</v>
      </c>
      <c r="H1620" s="2" t="s">
        <v>7473</v>
      </c>
      <c r="I1620" s="2" t="s">
        <v>7474</v>
      </c>
      <c r="J1620" s="2" t="s">
        <v>807</v>
      </c>
      <c r="K1620" s="2" t="s">
        <v>1136</v>
      </c>
      <c r="L1620" s="3">
        <v>239</v>
      </c>
      <c r="M1620" s="3">
        <v>250.95</v>
      </c>
      <c r="N1620" s="3">
        <v>499</v>
      </c>
      <c r="O1620" s="2" t="s">
        <v>243</v>
      </c>
      <c r="P1620" s="2" t="s">
        <v>1915</v>
      </c>
      <c r="Q1620" s="2" t="s">
        <v>237</v>
      </c>
      <c r="R1620" s="2" t="s">
        <v>231</v>
      </c>
      <c r="S1620" s="2" t="s">
        <v>231</v>
      </c>
      <c r="T1620" s="2" t="s">
        <v>231</v>
      </c>
      <c r="U1620" s="2" t="s">
        <v>327</v>
      </c>
      <c r="V1620" s="2" t="s">
        <v>239</v>
      </c>
      <c r="W1620" s="2" t="s">
        <v>691</v>
      </c>
      <c r="X1620" s="2" t="s">
        <v>273</v>
      </c>
      <c r="Y1620" s="2" t="s">
        <v>231</v>
      </c>
      <c r="Z1620" s="4"/>
      <c r="AA1620" s="4">
        <f>=ROUNDDOWN({0},0)</f>
      </c>
      <c r="AB1620" s="5"/>
      <c r="AC1620" s="2" t="s">
        <v>1580</v>
      </c>
      <c r="AD1620" s="4">
        <v>71</v>
      </c>
      <c r="AE1620" s="4">
        <v>71</v>
      </c>
      <c r="AF1620" s="6">
        <v>74</v>
      </c>
      <c r="AG1620" s="6"/>
      <c r="AH1620" s="7">
        <v>0</v>
      </c>
      <c r="AI1620" s="4"/>
      <c r="AJ1620" s="4">
        <f>=ROUNDDOWN({0},0)</f>
      </c>
      <c r="AK1620" s="5"/>
      <c r="AL1620" s="2" t="s">
        <v>231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231</v>
      </c>
      <c r="BD1620" s="8" t="s">
        <v>231</v>
      </c>
      <c r="BE1620" s="4" t="s">
        <v>231</v>
      </c>
      <c r="BF1620" s="8" t="s">
        <v>231</v>
      </c>
      <c r="BG1620" s="7" t="s">
        <v>231</v>
      </c>
      <c r="BH1620" s="7" t="s">
        <v>231</v>
      </c>
      <c r="BI1620" s="7"/>
      <c r="BJ1620" s="4"/>
      <c r="BK1620" s="8"/>
      <c r="BL1620" s="2" t="s">
        <v>231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241</v>
      </c>
      <c r="BV1620" s="2" t="s">
        <v>231</v>
      </c>
      <c r="BW1620" s="2" t="s">
        <v>231</v>
      </c>
      <c r="BX1620" s="2" t="s">
        <v>241</v>
      </c>
      <c r="BY1620" s="2" t="s">
        <v>242</v>
      </c>
      <c r="BZ1620" s="2" t="s">
        <v>243</v>
      </c>
      <c r="CA1620" s="2" t="s">
        <v>231</v>
      </c>
      <c r="CB1620" s="2" t="s">
        <v>231</v>
      </c>
      <c r="CC1620" s="2" t="s">
        <v>244</v>
      </c>
      <c r="CD1620" s="2" t="s">
        <v>231</v>
      </c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>
        <v>71</v>
      </c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</row>
    <row r="1621">
      <c r="A1621" s="2" t="s">
        <v>7475</v>
      </c>
      <c r="B1621" s="2" t="s">
        <v>1004</v>
      </c>
      <c r="C1621" s="2" t="s">
        <v>815</v>
      </c>
      <c r="D1621" s="2" t="s">
        <v>1031</v>
      </c>
      <c r="E1621" s="2" t="s">
        <v>1032</v>
      </c>
      <c r="F1621" s="2" t="s">
        <v>7473</v>
      </c>
      <c r="G1621" s="2" t="s">
        <v>7473</v>
      </c>
      <c r="H1621" s="2" t="s">
        <v>7473</v>
      </c>
      <c r="I1621" s="2" t="s">
        <v>7474</v>
      </c>
      <c r="J1621" s="2" t="s">
        <v>807</v>
      </c>
      <c r="K1621" s="2" t="s">
        <v>1491</v>
      </c>
      <c r="L1621" s="3">
        <v>239</v>
      </c>
      <c r="M1621" s="3">
        <v>250.95</v>
      </c>
      <c r="N1621" s="3">
        <v>499</v>
      </c>
      <c r="O1621" s="2" t="s">
        <v>243</v>
      </c>
      <c r="P1621" s="2" t="s">
        <v>1915</v>
      </c>
      <c r="Q1621" s="2" t="s">
        <v>237</v>
      </c>
      <c r="R1621" s="2" t="s">
        <v>231</v>
      </c>
      <c r="S1621" s="2" t="s">
        <v>231</v>
      </c>
      <c r="T1621" s="2" t="s">
        <v>231</v>
      </c>
      <c r="U1621" s="2" t="s">
        <v>327</v>
      </c>
      <c r="V1621" s="2" t="s">
        <v>239</v>
      </c>
      <c r="W1621" s="2" t="s">
        <v>691</v>
      </c>
      <c r="X1621" s="2" t="s">
        <v>273</v>
      </c>
      <c r="Y1621" s="2" t="s">
        <v>231</v>
      </c>
      <c r="Z1621" s="4"/>
      <c r="AA1621" s="4">
        <f>=ROUNDDOWN({0},0)</f>
      </c>
      <c r="AB1621" s="5"/>
      <c r="AC1621" s="2" t="s">
        <v>1580</v>
      </c>
      <c r="AD1621" s="4">
        <v>71</v>
      </c>
      <c r="AE1621" s="4">
        <v>71</v>
      </c>
      <c r="AF1621" s="6">
        <v>74</v>
      </c>
      <c r="AG1621" s="6"/>
      <c r="AH1621" s="7">
        <v>0</v>
      </c>
      <c r="AI1621" s="4"/>
      <c r="AJ1621" s="4">
        <f>=ROUNDDOWN({0},0)</f>
      </c>
      <c r="AK1621" s="5"/>
      <c r="AL1621" s="2" t="s">
        <v>231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231</v>
      </c>
      <c r="BD1621" s="8" t="s">
        <v>231</v>
      </c>
      <c r="BE1621" s="4" t="s">
        <v>231</v>
      </c>
      <c r="BF1621" s="8" t="s">
        <v>231</v>
      </c>
      <c r="BG1621" s="7" t="s">
        <v>231</v>
      </c>
      <c r="BH1621" s="7" t="s">
        <v>231</v>
      </c>
      <c r="BI1621" s="7"/>
      <c r="BJ1621" s="4"/>
      <c r="BK1621" s="8"/>
      <c r="BL1621" s="2" t="s">
        <v>231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241</v>
      </c>
      <c r="BV1621" s="2" t="s">
        <v>231</v>
      </c>
      <c r="BW1621" s="2" t="s">
        <v>231</v>
      </c>
      <c r="BX1621" s="2" t="s">
        <v>241</v>
      </c>
      <c r="BY1621" s="2" t="s">
        <v>242</v>
      </c>
      <c r="BZ1621" s="2" t="s">
        <v>243</v>
      </c>
      <c r="CA1621" s="2" t="s">
        <v>231</v>
      </c>
      <c r="CB1621" s="2" t="s">
        <v>231</v>
      </c>
      <c r="CC1621" s="2" t="s">
        <v>244</v>
      </c>
      <c r="CD1621" s="2" t="s">
        <v>231</v>
      </c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>
        <v>71</v>
      </c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</row>
    <row r="1622">
      <c r="A1622" s="2" t="s">
        <v>7476</v>
      </c>
      <c r="B1622" s="2" t="s">
        <v>847</v>
      </c>
      <c r="C1622" s="2" t="s">
        <v>815</v>
      </c>
      <c r="D1622" s="2" t="s">
        <v>882</v>
      </c>
      <c r="E1622" s="2" t="s">
        <v>849</v>
      </c>
      <c r="F1622" s="2" t="s">
        <v>7477</v>
      </c>
      <c r="G1622" s="2" t="s">
        <v>7477</v>
      </c>
      <c r="H1622" s="2" t="s">
        <v>7477</v>
      </c>
      <c r="I1622" s="2" t="s">
        <v>7478</v>
      </c>
      <c r="J1622" s="2" t="s">
        <v>807</v>
      </c>
      <c r="K1622" s="2" t="s">
        <v>870</v>
      </c>
      <c r="L1622" s="3">
        <v>71.42</v>
      </c>
      <c r="M1622" s="3">
        <v>74.99</v>
      </c>
      <c r="N1622" s="3">
        <v>149.99</v>
      </c>
      <c r="O1622" s="2" t="s">
        <v>243</v>
      </c>
      <c r="P1622" s="2" t="s">
        <v>236</v>
      </c>
      <c r="Q1622" s="2" t="s">
        <v>237</v>
      </c>
      <c r="R1622" s="2" t="s">
        <v>231</v>
      </c>
      <c r="S1622" s="2" t="s">
        <v>231</v>
      </c>
      <c r="T1622" s="2" t="s">
        <v>231</v>
      </c>
      <c r="U1622" s="2" t="s">
        <v>791</v>
      </c>
      <c r="V1622" s="2" t="s">
        <v>987</v>
      </c>
      <c r="W1622" s="2" t="s">
        <v>808</v>
      </c>
      <c r="X1622" s="2" t="s">
        <v>792</v>
      </c>
      <c r="Y1622" s="2" t="s">
        <v>926</v>
      </c>
      <c r="Z1622" s="4">
        <v>82</v>
      </c>
      <c r="AA1622" s="4">
        <f>=ROUNDDOWN(41,0)</f>
      </c>
      <c r="AB1622" s="5">
        <v>2</v>
      </c>
      <c r="AC1622" s="2" t="s">
        <v>231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231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/>
      <c r="BD1622" s="8"/>
      <c r="BE1622" s="4"/>
      <c r="BF1622" s="8"/>
      <c r="BG1622" s="7"/>
      <c r="BH1622" s="7"/>
      <c r="BI1622" s="7"/>
      <c r="BJ1622" s="4">
        <v>5</v>
      </c>
      <c r="BK1622" s="8">
        <v>424.02</v>
      </c>
      <c r="BL1622" s="2" t="s">
        <v>4174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7479</v>
      </c>
      <c r="BV1622" s="2" t="s">
        <v>231</v>
      </c>
      <c r="BW1622" s="2" t="s">
        <v>231</v>
      </c>
      <c r="BX1622" s="2" t="s">
        <v>241</v>
      </c>
      <c r="BY1622" s="2" t="s">
        <v>277</v>
      </c>
      <c r="BZ1622" s="2" t="s">
        <v>243</v>
      </c>
      <c r="CA1622" s="2" t="s">
        <v>6940</v>
      </c>
      <c r="CB1622" s="2" t="s">
        <v>231</v>
      </c>
      <c r="CC1622" s="2" t="s">
        <v>244</v>
      </c>
      <c r="CD1622" s="2" t="s">
        <v>231</v>
      </c>
      <c r="CE1622" s="4"/>
      <c r="CF1622" s="4">
        <v>82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</row>
    <row r="1623">
      <c r="A1623" s="2" t="s">
        <v>7480</v>
      </c>
      <c r="B1623" s="2" t="s">
        <v>1004</v>
      </c>
      <c r="C1623" s="2" t="s">
        <v>288</v>
      </c>
      <c r="D1623" s="2" t="s">
        <v>1917</v>
      </c>
      <c r="E1623" s="2" t="s">
        <v>1918</v>
      </c>
      <c r="F1623" s="2" t="s">
        <v>7481</v>
      </c>
      <c r="G1623" s="2" t="s">
        <v>7482</v>
      </c>
      <c r="H1623" s="2" t="s">
        <v>7483</v>
      </c>
      <c r="I1623" s="2" t="s">
        <v>7484</v>
      </c>
      <c r="J1623" s="2" t="s">
        <v>807</v>
      </c>
      <c r="K1623" s="2" t="s">
        <v>901</v>
      </c>
      <c r="L1623" s="3">
        <v>128.7</v>
      </c>
      <c r="M1623" s="3">
        <v>135.14</v>
      </c>
      <c r="N1623" s="3">
        <v>269</v>
      </c>
      <c r="O1623" s="2" t="s">
        <v>235</v>
      </c>
      <c r="P1623" s="2" t="s">
        <v>341</v>
      </c>
      <c r="Q1623" s="2" t="s">
        <v>237</v>
      </c>
      <c r="R1623" s="2" t="s">
        <v>231</v>
      </c>
      <c r="S1623" s="2" t="s">
        <v>7485</v>
      </c>
      <c r="T1623" s="2" t="s">
        <v>231</v>
      </c>
      <c r="U1623" s="2" t="s">
        <v>231</v>
      </c>
      <c r="V1623" s="2" t="s">
        <v>239</v>
      </c>
      <c r="W1623" s="2" t="s">
        <v>792</v>
      </c>
      <c r="X1623" s="2" t="s">
        <v>231</v>
      </c>
      <c r="Y1623" s="2" t="s">
        <v>274</v>
      </c>
      <c r="Z1623" s="4">
        <v>13</v>
      </c>
      <c r="AA1623" s="4">
        <f>=ROUNDDOWN(2.95454545454545,0)</f>
      </c>
      <c r="AB1623" s="5">
        <v>4.4</v>
      </c>
      <c r="AC1623" s="2" t="s">
        <v>231</v>
      </c>
      <c r="AD1623" s="4"/>
      <c r="AE1623" s="4"/>
      <c r="AF1623" s="6">
        <v>74</v>
      </c>
      <c r="AG1623" s="6">
        <v>60</v>
      </c>
      <c r="AH1623" s="7">
        <v>1</v>
      </c>
      <c r="AI1623" s="4"/>
      <c r="AJ1623" s="4">
        <f>=ROUNDDOWN({0},0)</f>
      </c>
      <c r="AK1623" s="5"/>
      <c r="AL1623" s="2" t="s">
        <v>231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/>
      <c r="BD1623" s="8"/>
      <c r="BE1623" s="4"/>
      <c r="BF1623" s="8"/>
      <c r="BG1623" s="7"/>
      <c r="BH1623" s="7"/>
      <c r="BI1623" s="7"/>
      <c r="BJ1623" s="4">
        <v>20</v>
      </c>
      <c r="BK1623" s="8">
        <v>2051.89</v>
      </c>
      <c r="BL1623" s="2" t="s">
        <v>7486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7487</v>
      </c>
      <c r="BV1623" s="2" t="s">
        <v>231</v>
      </c>
      <c r="BW1623" s="2" t="s">
        <v>231</v>
      </c>
      <c r="BX1623" s="2" t="s">
        <v>231</v>
      </c>
      <c r="BY1623" s="2" t="s">
        <v>277</v>
      </c>
      <c r="BZ1623" s="2" t="s">
        <v>243</v>
      </c>
      <c r="CA1623" s="2" t="s">
        <v>4719</v>
      </c>
      <c r="CB1623" s="2" t="s">
        <v>1285</v>
      </c>
      <c r="CC1623" s="2" t="s">
        <v>244</v>
      </c>
      <c r="CD1623" s="2" t="s">
        <v>231</v>
      </c>
      <c r="CE1623" s="4"/>
      <c r="CF1623" s="4">
        <v>13</v>
      </c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</row>
    <row r="1624">
      <c r="A1624" s="2" t="s">
        <v>7488</v>
      </c>
      <c r="B1624" s="2" t="s">
        <v>1186</v>
      </c>
      <c r="C1624" s="2" t="s">
        <v>1017</v>
      </c>
      <c r="D1624" s="2" t="s">
        <v>654</v>
      </c>
      <c r="E1624" s="2" t="s">
        <v>890</v>
      </c>
      <c r="F1624" s="2" t="s">
        <v>7489</v>
      </c>
      <c r="G1624" s="2" t="s">
        <v>7490</v>
      </c>
      <c r="H1624" s="2" t="s">
        <v>1844</v>
      </c>
      <c r="I1624" s="2" t="s">
        <v>7491</v>
      </c>
      <c r="J1624" s="2" t="s">
        <v>832</v>
      </c>
      <c r="K1624" s="2" t="s">
        <v>269</v>
      </c>
      <c r="L1624" s="3">
        <v>19.04</v>
      </c>
      <c r="M1624" s="3">
        <v>19.99</v>
      </c>
      <c r="N1624" s="3">
        <v>39.99</v>
      </c>
      <c r="O1624" s="2" t="s">
        <v>243</v>
      </c>
      <c r="P1624" s="2" t="s">
        <v>341</v>
      </c>
      <c r="Q1624" s="2" t="s">
        <v>237</v>
      </c>
      <c r="R1624" s="2" t="s">
        <v>231</v>
      </c>
      <c r="S1624" s="2" t="s">
        <v>7492</v>
      </c>
      <c r="T1624" s="2" t="s">
        <v>472</v>
      </c>
      <c r="U1624" s="2" t="s">
        <v>791</v>
      </c>
      <c r="V1624" s="2" t="s">
        <v>1304</v>
      </c>
      <c r="W1624" s="2" t="s">
        <v>273</v>
      </c>
      <c r="X1624" s="2" t="s">
        <v>691</v>
      </c>
      <c r="Y1624" s="2" t="s">
        <v>7493</v>
      </c>
      <c r="Z1624" s="4">
        <v>582</v>
      </c>
      <c r="AA1624" s="4">
        <f>=ROUNDDOWN(80.8333333333333,0)</f>
      </c>
      <c r="AB1624" s="5">
        <v>7.2</v>
      </c>
      <c r="AC1624" s="2" t="s">
        <v>7494</v>
      </c>
      <c r="AD1624" s="4">
        <v>126</v>
      </c>
      <c r="AE1624" s="4">
        <v>393</v>
      </c>
      <c r="AF1624" s="6">
        <v>63</v>
      </c>
      <c r="AG1624" s="6">
        <v>46</v>
      </c>
      <c r="AH1624" s="7">
        <v>1</v>
      </c>
      <c r="AI1624" s="4"/>
      <c r="AJ1624" s="4">
        <f>=ROUNDDOWN({0},0)</f>
      </c>
      <c r="AK1624" s="5"/>
      <c r="AL1624" s="2" t="s">
        <v>231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231</v>
      </c>
      <c r="AW1624" s="8" t="s">
        <v>231</v>
      </c>
      <c r="AX1624" s="4" t="s">
        <v>231</v>
      </c>
      <c r="AY1624" s="8" t="s">
        <v>231</v>
      </c>
      <c r="AZ1624" s="7" t="s">
        <v>231</v>
      </c>
      <c r="BA1624" s="7" t="s">
        <v>231</v>
      </c>
      <c r="BB1624" s="7"/>
      <c r="BC1624" s="4" t="s">
        <v>231</v>
      </c>
      <c r="BD1624" s="8" t="s">
        <v>231</v>
      </c>
      <c r="BE1624" s="4" t="s">
        <v>231</v>
      </c>
      <c r="BF1624" s="8" t="s">
        <v>231</v>
      </c>
      <c r="BG1624" s="7" t="s">
        <v>231</v>
      </c>
      <c r="BH1624" s="7" t="s">
        <v>231</v>
      </c>
      <c r="BI1624" s="7"/>
      <c r="BJ1624" s="4">
        <v>40</v>
      </c>
      <c r="BK1624" s="8">
        <v>710.6</v>
      </c>
      <c r="BL1624" s="2" t="s">
        <v>7495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7496</v>
      </c>
      <c r="BV1624" s="2" t="s">
        <v>231</v>
      </c>
      <c r="BW1624" s="2" t="s">
        <v>231</v>
      </c>
      <c r="BX1624" s="2" t="s">
        <v>5538</v>
      </c>
      <c r="BY1624" s="2" t="s">
        <v>277</v>
      </c>
      <c r="BZ1624" s="2" t="s">
        <v>243</v>
      </c>
      <c r="CA1624" s="2" t="s">
        <v>930</v>
      </c>
      <c r="CB1624" s="2" t="s">
        <v>2753</v>
      </c>
      <c r="CC1624" s="2" t="s">
        <v>244</v>
      </c>
      <c r="CD1624" s="2" t="s">
        <v>231</v>
      </c>
      <c r="CE1624" s="4">
        <v>371</v>
      </c>
      <c r="CF1624" s="4"/>
      <c r="CG1624" s="4"/>
      <c r="CH1624" s="4"/>
      <c r="CI1624" s="4">
        <v>211</v>
      </c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>
        <v>126</v>
      </c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>
        <v>267</v>
      </c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</row>
    <row r="1625">
      <c r="A1625" s="2" t="s">
        <v>7497</v>
      </c>
      <c r="B1625" s="2" t="s">
        <v>1186</v>
      </c>
      <c r="C1625" s="2" t="s">
        <v>1017</v>
      </c>
      <c r="D1625" s="2" t="s">
        <v>654</v>
      </c>
      <c r="E1625" s="2" t="s">
        <v>890</v>
      </c>
      <c r="F1625" s="2" t="s">
        <v>7489</v>
      </c>
      <c r="G1625" s="2" t="s">
        <v>7490</v>
      </c>
      <c r="H1625" s="2" t="s">
        <v>1844</v>
      </c>
      <c r="I1625" s="2" t="s">
        <v>7491</v>
      </c>
      <c r="J1625" s="2" t="s">
        <v>669</v>
      </c>
      <c r="K1625" s="2" t="s">
        <v>269</v>
      </c>
      <c r="L1625" s="3">
        <v>26.19</v>
      </c>
      <c r="M1625" s="3">
        <v>27.5</v>
      </c>
      <c r="N1625" s="3">
        <v>54.99</v>
      </c>
      <c r="O1625" s="2" t="s">
        <v>243</v>
      </c>
      <c r="P1625" s="2" t="s">
        <v>341</v>
      </c>
      <c r="Q1625" s="2" t="s">
        <v>237</v>
      </c>
      <c r="R1625" s="2" t="s">
        <v>231</v>
      </c>
      <c r="S1625" s="2" t="s">
        <v>7492</v>
      </c>
      <c r="T1625" s="2" t="s">
        <v>472</v>
      </c>
      <c r="U1625" s="2" t="s">
        <v>835</v>
      </c>
      <c r="V1625" s="2" t="s">
        <v>1304</v>
      </c>
      <c r="W1625" s="2" t="s">
        <v>273</v>
      </c>
      <c r="X1625" s="2" t="s">
        <v>691</v>
      </c>
      <c r="Y1625" s="2" t="s">
        <v>930</v>
      </c>
      <c r="Z1625" s="4">
        <v>719</v>
      </c>
      <c r="AA1625" s="4">
        <f>=ROUNDDOWN(171.190476190476,0)</f>
      </c>
      <c r="AB1625" s="5">
        <v>4.2</v>
      </c>
      <c r="AC1625" s="2" t="s">
        <v>383</v>
      </c>
      <c r="AD1625" s="4">
        <v>261</v>
      </c>
      <c r="AE1625" s="4">
        <v>261</v>
      </c>
      <c r="AF1625" s="6">
        <v>63</v>
      </c>
      <c r="AG1625" s="6">
        <v>46</v>
      </c>
      <c r="AH1625" s="7">
        <v>1</v>
      </c>
      <c r="AI1625" s="4"/>
      <c r="AJ1625" s="4">
        <f>=ROUNDDOWN({0},0)</f>
      </c>
      <c r="AK1625" s="5"/>
      <c r="AL1625" s="2" t="s">
        <v>231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231</v>
      </c>
      <c r="AW1625" s="8" t="s">
        <v>231</v>
      </c>
      <c r="AX1625" s="4" t="s">
        <v>231</v>
      </c>
      <c r="AY1625" s="8" t="s">
        <v>231</v>
      </c>
      <c r="AZ1625" s="7" t="s">
        <v>231</v>
      </c>
      <c r="BA1625" s="7" t="s">
        <v>231</v>
      </c>
      <c r="BB1625" s="7"/>
      <c r="BC1625" s="4" t="s">
        <v>231</v>
      </c>
      <c r="BD1625" s="8" t="s">
        <v>231</v>
      </c>
      <c r="BE1625" s="4" t="s">
        <v>231</v>
      </c>
      <c r="BF1625" s="8" t="s">
        <v>231</v>
      </c>
      <c r="BG1625" s="7" t="s">
        <v>231</v>
      </c>
      <c r="BH1625" s="7" t="s">
        <v>231</v>
      </c>
      <c r="BI1625" s="7"/>
      <c r="BJ1625" s="4">
        <v>25</v>
      </c>
      <c r="BK1625" s="8">
        <v>614.11</v>
      </c>
      <c r="BL1625" s="2" t="s">
        <v>7498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7499</v>
      </c>
      <c r="BV1625" s="2" t="s">
        <v>231</v>
      </c>
      <c r="BW1625" s="2" t="s">
        <v>231</v>
      </c>
      <c r="BX1625" s="2" t="s">
        <v>5538</v>
      </c>
      <c r="BY1625" s="2" t="s">
        <v>277</v>
      </c>
      <c r="BZ1625" s="2" t="s">
        <v>243</v>
      </c>
      <c r="CA1625" s="2" t="s">
        <v>930</v>
      </c>
      <c r="CB1625" s="2" t="s">
        <v>822</v>
      </c>
      <c r="CC1625" s="2" t="s">
        <v>244</v>
      </c>
      <c r="CD1625" s="2" t="s">
        <v>231</v>
      </c>
      <c r="CE1625" s="4">
        <v>378</v>
      </c>
      <c r="CF1625" s="4"/>
      <c r="CG1625" s="4"/>
      <c r="CH1625" s="4"/>
      <c r="CI1625" s="4">
        <v>341</v>
      </c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>
        <v>261</v>
      </c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</row>
    <row r="1626">
      <c r="A1626" s="2" t="s">
        <v>7500</v>
      </c>
      <c r="B1626" s="2" t="s">
        <v>1186</v>
      </c>
      <c r="C1626" s="2" t="s">
        <v>1017</v>
      </c>
      <c r="D1626" s="2" t="s">
        <v>654</v>
      </c>
      <c r="E1626" s="2" t="s">
        <v>890</v>
      </c>
      <c r="F1626" s="2" t="s">
        <v>7489</v>
      </c>
      <c r="G1626" s="2" t="s">
        <v>7490</v>
      </c>
      <c r="H1626" s="2" t="s">
        <v>1844</v>
      </c>
      <c r="I1626" s="2" t="s">
        <v>7491</v>
      </c>
      <c r="J1626" s="2" t="s">
        <v>669</v>
      </c>
      <c r="K1626" s="2" t="s">
        <v>7501</v>
      </c>
      <c r="L1626" s="3">
        <v>26.19</v>
      </c>
      <c r="M1626" s="3">
        <v>27.5</v>
      </c>
      <c r="N1626" s="3">
        <v>54.99</v>
      </c>
      <c r="O1626" s="2" t="s">
        <v>243</v>
      </c>
      <c r="P1626" s="2" t="s">
        <v>341</v>
      </c>
      <c r="Q1626" s="2" t="s">
        <v>237</v>
      </c>
      <c r="R1626" s="2" t="s">
        <v>231</v>
      </c>
      <c r="S1626" s="2" t="s">
        <v>7502</v>
      </c>
      <c r="T1626" s="2" t="s">
        <v>472</v>
      </c>
      <c r="U1626" s="2" t="s">
        <v>835</v>
      </c>
      <c r="V1626" s="2" t="s">
        <v>1304</v>
      </c>
      <c r="W1626" s="2" t="s">
        <v>273</v>
      </c>
      <c r="X1626" s="2" t="s">
        <v>691</v>
      </c>
      <c r="Y1626" s="2" t="s">
        <v>930</v>
      </c>
      <c r="Z1626" s="4">
        <v>733</v>
      </c>
      <c r="AA1626" s="4">
        <f>=ROUNDDOWN(229.0625,0)</f>
      </c>
      <c r="AB1626" s="5">
        <v>3.2</v>
      </c>
      <c r="AC1626" s="2" t="s">
        <v>7494</v>
      </c>
      <c r="AD1626" s="4">
        <v>27</v>
      </c>
      <c r="AE1626" s="4">
        <v>351</v>
      </c>
      <c r="AF1626" s="6">
        <v>63</v>
      </c>
      <c r="AG1626" s="6">
        <v>46</v>
      </c>
      <c r="AH1626" s="7">
        <v>1</v>
      </c>
      <c r="AI1626" s="4"/>
      <c r="AJ1626" s="4">
        <f>=ROUNDDOWN({0},0)</f>
      </c>
      <c r="AK1626" s="5"/>
      <c r="AL1626" s="2" t="s">
        <v>231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231</v>
      </c>
      <c r="BD1626" s="8" t="s">
        <v>231</v>
      </c>
      <c r="BE1626" s="4" t="s">
        <v>231</v>
      </c>
      <c r="BF1626" s="8" t="s">
        <v>231</v>
      </c>
      <c r="BG1626" s="7" t="s">
        <v>231</v>
      </c>
      <c r="BH1626" s="7" t="s">
        <v>231</v>
      </c>
      <c r="BI1626" s="7"/>
      <c r="BJ1626" s="4">
        <v>18</v>
      </c>
      <c r="BK1626" s="8">
        <v>421.29</v>
      </c>
      <c r="BL1626" s="2" t="s">
        <v>643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7503</v>
      </c>
      <c r="BV1626" s="2" t="s">
        <v>231</v>
      </c>
      <c r="BW1626" s="2" t="s">
        <v>231</v>
      </c>
      <c r="BX1626" s="2" t="s">
        <v>5538</v>
      </c>
      <c r="BY1626" s="2" t="s">
        <v>277</v>
      </c>
      <c r="BZ1626" s="2" t="s">
        <v>243</v>
      </c>
      <c r="CA1626" s="2" t="s">
        <v>930</v>
      </c>
      <c r="CB1626" s="2" t="s">
        <v>1990</v>
      </c>
      <c r="CC1626" s="2" t="s">
        <v>244</v>
      </c>
      <c r="CD1626" s="2" t="s">
        <v>231</v>
      </c>
      <c r="CE1626" s="4">
        <v>359</v>
      </c>
      <c r="CF1626" s="4"/>
      <c r="CG1626" s="4"/>
      <c r="CH1626" s="4"/>
      <c r="CI1626" s="4">
        <v>374</v>
      </c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>
        <v>27</v>
      </c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>
        <v>324</v>
      </c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</row>
    <row r="1627">
      <c r="A1627" s="2" t="s">
        <v>7504</v>
      </c>
      <c r="B1627" s="2" t="s">
        <v>1004</v>
      </c>
      <c r="C1627" s="2" t="s">
        <v>288</v>
      </c>
      <c r="D1627" s="2" t="s">
        <v>1689</v>
      </c>
      <c r="E1627" s="2" t="s">
        <v>1690</v>
      </c>
      <c r="F1627" s="2" t="s">
        <v>7505</v>
      </c>
      <c r="G1627" s="2" t="s">
        <v>7506</v>
      </c>
      <c r="H1627" s="2" t="s">
        <v>7507</v>
      </c>
      <c r="I1627" s="2" t="s">
        <v>7508</v>
      </c>
      <c r="J1627" s="2" t="s">
        <v>807</v>
      </c>
      <c r="K1627" s="2" t="s">
        <v>747</v>
      </c>
      <c r="L1627" s="3">
        <v>209.76</v>
      </c>
      <c r="M1627" s="3">
        <v>220.25</v>
      </c>
      <c r="N1627" s="3">
        <v>439</v>
      </c>
      <c r="O1627" s="2" t="s">
        <v>243</v>
      </c>
      <c r="P1627" s="2" t="s">
        <v>341</v>
      </c>
      <c r="Q1627" s="2" t="s">
        <v>237</v>
      </c>
      <c r="R1627" s="2" t="s">
        <v>231</v>
      </c>
      <c r="S1627" s="2" t="s">
        <v>231</v>
      </c>
      <c r="T1627" s="2" t="s">
        <v>231</v>
      </c>
      <c r="U1627" s="2" t="s">
        <v>327</v>
      </c>
      <c r="V1627" s="2" t="s">
        <v>662</v>
      </c>
      <c r="W1627" s="2" t="s">
        <v>691</v>
      </c>
      <c r="X1627" s="2" t="s">
        <v>896</v>
      </c>
      <c r="Y1627" s="2" t="s">
        <v>3808</v>
      </c>
      <c r="Z1627" s="4">
        <v>41</v>
      </c>
      <c r="AA1627" s="4">
        <f>=ROUNDDOWN(20.5,0)</f>
      </c>
      <c r="AB1627" s="5">
        <v>2</v>
      </c>
      <c r="AC1627" s="2" t="s">
        <v>231</v>
      </c>
      <c r="AD1627" s="4"/>
      <c r="AE1627" s="4"/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231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/>
      <c r="BD1627" s="8"/>
      <c r="BE1627" s="4"/>
      <c r="BF1627" s="8"/>
      <c r="BG1627" s="7"/>
      <c r="BH1627" s="7"/>
      <c r="BI1627" s="7"/>
      <c r="BJ1627" s="4">
        <v>2</v>
      </c>
      <c r="BK1627" s="8">
        <v>493.36</v>
      </c>
      <c r="BL1627" s="2" t="s">
        <v>2225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7509</v>
      </c>
      <c r="BV1627" s="2" t="s">
        <v>231</v>
      </c>
      <c r="BW1627" s="2" t="s">
        <v>231</v>
      </c>
      <c r="BX1627" s="2" t="s">
        <v>241</v>
      </c>
      <c r="BY1627" s="2" t="s">
        <v>277</v>
      </c>
      <c r="BZ1627" s="2" t="s">
        <v>243</v>
      </c>
      <c r="CA1627" s="2" t="s">
        <v>3257</v>
      </c>
      <c r="CB1627" s="2" t="s">
        <v>231</v>
      </c>
      <c r="CC1627" s="2" t="s">
        <v>244</v>
      </c>
      <c r="CD1627" s="2" t="s">
        <v>231</v>
      </c>
      <c r="CE1627" s="4"/>
      <c r="CF1627" s="4">
        <v>41</v>
      </c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</row>
    <row r="1628">
      <c r="A1628" s="2" t="s">
        <v>7510</v>
      </c>
      <c r="B1628" s="2" t="s">
        <v>1004</v>
      </c>
      <c r="C1628" s="2" t="s">
        <v>288</v>
      </c>
      <c r="D1628" s="2" t="s">
        <v>1031</v>
      </c>
      <c r="E1628" s="2" t="s">
        <v>1123</v>
      </c>
      <c r="F1628" s="2" t="s">
        <v>7511</v>
      </c>
      <c r="G1628" s="2" t="s">
        <v>7512</v>
      </c>
      <c r="H1628" s="2" t="s">
        <v>7513</v>
      </c>
      <c r="I1628" s="2" t="s">
        <v>7514</v>
      </c>
      <c r="J1628" s="2" t="s">
        <v>807</v>
      </c>
      <c r="K1628" s="2" t="s">
        <v>3732</v>
      </c>
      <c r="L1628" s="3">
        <v>261.25</v>
      </c>
      <c r="M1628" s="3">
        <v>274.31</v>
      </c>
      <c r="N1628" s="3">
        <v>549</v>
      </c>
      <c r="O1628" s="2" t="s">
        <v>243</v>
      </c>
      <c r="P1628" s="2" t="s">
        <v>270</v>
      </c>
      <c r="Q1628" s="2" t="s">
        <v>237</v>
      </c>
      <c r="R1628" s="2" t="s">
        <v>231</v>
      </c>
      <c r="S1628" s="2" t="s">
        <v>7515</v>
      </c>
      <c r="T1628" s="2" t="s">
        <v>231</v>
      </c>
      <c r="U1628" s="2" t="s">
        <v>231</v>
      </c>
      <c r="V1628" s="2" t="s">
        <v>239</v>
      </c>
      <c r="W1628" s="2" t="s">
        <v>792</v>
      </c>
      <c r="X1628" s="2" t="s">
        <v>231</v>
      </c>
      <c r="Y1628" s="2" t="s">
        <v>7516</v>
      </c>
      <c r="Z1628" s="4">
        <v>34</v>
      </c>
      <c r="AA1628" s="4">
        <f>=ROUNDDOWN(4.85714285714286,0)</f>
      </c>
      <c r="AB1628" s="5">
        <v>7</v>
      </c>
      <c r="AC1628" s="2" t="s">
        <v>876</v>
      </c>
      <c r="AD1628" s="4">
        <v>81</v>
      </c>
      <c r="AE1628" s="4">
        <v>213</v>
      </c>
      <c r="AF1628" s="6">
        <v>66</v>
      </c>
      <c r="AG1628" s="6">
        <v>49</v>
      </c>
      <c r="AH1628" s="7">
        <v>1</v>
      </c>
      <c r="AI1628" s="4"/>
      <c r="AJ1628" s="4">
        <f>=ROUNDDOWN({0},0)</f>
      </c>
      <c r="AK1628" s="5"/>
      <c r="AL1628" s="2" t="s">
        <v>231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/>
      <c r="BD1628" s="8"/>
      <c r="BE1628" s="4"/>
      <c r="BF1628" s="8"/>
      <c r="BG1628" s="7"/>
      <c r="BH1628" s="7"/>
      <c r="BI1628" s="7"/>
      <c r="BJ1628" s="4">
        <v>11</v>
      </c>
      <c r="BK1628" s="8">
        <v>2562.78</v>
      </c>
      <c r="BL1628" s="2" t="s">
        <v>7517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7518</v>
      </c>
      <c r="BV1628" s="2" t="s">
        <v>231</v>
      </c>
      <c r="BW1628" s="2" t="s">
        <v>231</v>
      </c>
      <c r="BX1628" s="2" t="s">
        <v>241</v>
      </c>
      <c r="BY1628" s="2" t="s">
        <v>277</v>
      </c>
      <c r="BZ1628" s="2" t="s">
        <v>243</v>
      </c>
      <c r="CA1628" s="2" t="s">
        <v>7519</v>
      </c>
      <c r="CB1628" s="2" t="s">
        <v>1361</v>
      </c>
      <c r="CC1628" s="2" t="s">
        <v>244</v>
      </c>
      <c r="CD1628" s="2" t="s">
        <v>231</v>
      </c>
      <c r="CE1628" s="4"/>
      <c r="CF1628" s="4">
        <v>29</v>
      </c>
      <c r="CG1628" s="4"/>
      <c r="CH1628" s="4"/>
      <c r="CI1628" s="4">
        <v>5</v>
      </c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>
        <v>81</v>
      </c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>
        <v>58</v>
      </c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>
        <v>74</v>
      </c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</row>
    <row r="1629">
      <c r="A1629" s="2" t="s">
        <v>7520</v>
      </c>
      <c r="B1629" s="2" t="s">
        <v>992</v>
      </c>
      <c r="C1629" s="2" t="s">
        <v>1439</v>
      </c>
      <c r="D1629" s="2" t="s">
        <v>993</v>
      </c>
      <c r="E1629" s="2" t="s">
        <v>994</v>
      </c>
      <c r="F1629" s="2" t="s">
        <v>7521</v>
      </c>
      <c r="G1629" s="2" t="s">
        <v>7522</v>
      </c>
      <c r="H1629" s="2" t="s">
        <v>7523</v>
      </c>
      <c r="I1629" s="2" t="s">
        <v>7524</v>
      </c>
      <c r="J1629" s="2" t="s">
        <v>1586</v>
      </c>
      <c r="K1629" s="2" t="s">
        <v>1169</v>
      </c>
      <c r="L1629" s="3">
        <v>18</v>
      </c>
      <c r="M1629" s="3">
        <v>18.9</v>
      </c>
      <c r="N1629" s="3">
        <v>39.99</v>
      </c>
      <c r="O1629" s="2" t="s">
        <v>243</v>
      </c>
      <c r="P1629" s="2" t="s">
        <v>270</v>
      </c>
      <c r="Q1629" s="2" t="s">
        <v>237</v>
      </c>
      <c r="R1629" s="2" t="s">
        <v>231</v>
      </c>
      <c r="S1629" s="2" t="s">
        <v>7525</v>
      </c>
      <c r="T1629" s="2" t="s">
        <v>231</v>
      </c>
      <c r="U1629" s="2" t="s">
        <v>231</v>
      </c>
      <c r="V1629" s="2" t="s">
        <v>381</v>
      </c>
      <c r="W1629" s="2" t="s">
        <v>273</v>
      </c>
      <c r="X1629" s="2" t="s">
        <v>2579</v>
      </c>
      <c r="Y1629" s="2" t="s">
        <v>7526</v>
      </c>
      <c r="Z1629" s="4">
        <v>72</v>
      </c>
      <c r="AA1629" s="4">
        <f>=ROUNDDOWN(14.4,0)</f>
      </c>
      <c r="AB1629" s="5">
        <v>5</v>
      </c>
      <c r="AC1629" s="2" t="s">
        <v>1580</v>
      </c>
      <c r="AD1629" s="4">
        <v>120</v>
      </c>
      <c r="AE1629" s="4">
        <v>220</v>
      </c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231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/>
      <c r="BD1629" s="8"/>
      <c r="BE1629" s="4"/>
      <c r="BF1629" s="8"/>
      <c r="BG1629" s="7"/>
      <c r="BH1629" s="7"/>
      <c r="BI1629" s="7"/>
      <c r="BJ1629" s="4">
        <v>20</v>
      </c>
      <c r="BK1629" s="8">
        <v>398.1</v>
      </c>
      <c r="BL1629" s="2" t="s">
        <v>7495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7527</v>
      </c>
      <c r="BV1629" s="2" t="s">
        <v>231</v>
      </c>
      <c r="BW1629" s="2" t="s">
        <v>231</v>
      </c>
      <c r="BX1629" s="2" t="s">
        <v>231</v>
      </c>
      <c r="BY1629" s="2" t="s">
        <v>277</v>
      </c>
      <c r="BZ1629" s="2" t="s">
        <v>243</v>
      </c>
      <c r="CA1629" s="2" t="s">
        <v>7528</v>
      </c>
      <c r="CB1629" s="2" t="s">
        <v>4651</v>
      </c>
      <c r="CC1629" s="2" t="s">
        <v>244</v>
      </c>
      <c r="CD1629" s="2" t="s">
        <v>231</v>
      </c>
      <c r="CE1629" s="4">
        <v>72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>
        <v>120</v>
      </c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>
        <v>100</v>
      </c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</row>
    <row r="1630">
      <c r="A1630" s="2" t="s">
        <v>7529</v>
      </c>
      <c r="B1630" s="2" t="s">
        <v>824</v>
      </c>
      <c r="C1630" s="2" t="s">
        <v>1017</v>
      </c>
      <c r="D1630" s="2" t="s">
        <v>1462</v>
      </c>
      <c r="E1630" s="2" t="s">
        <v>2563</v>
      </c>
      <c r="F1630" s="2" t="s">
        <v>7530</v>
      </c>
      <c r="G1630" s="2" t="s">
        <v>7530</v>
      </c>
      <c r="H1630" s="2" t="s">
        <v>7530</v>
      </c>
      <c r="I1630" s="2" t="s">
        <v>7531</v>
      </c>
      <c r="J1630" s="2" t="s">
        <v>832</v>
      </c>
      <c r="K1630" s="2" t="s">
        <v>486</v>
      </c>
      <c r="L1630" s="3">
        <v>25</v>
      </c>
      <c r="M1630" s="3">
        <v>26.25</v>
      </c>
      <c r="N1630" s="3">
        <v>42.99</v>
      </c>
      <c r="O1630" s="2" t="s">
        <v>243</v>
      </c>
      <c r="P1630" s="2" t="s">
        <v>1019</v>
      </c>
      <c r="Q1630" s="2" t="s">
        <v>237</v>
      </c>
      <c r="R1630" s="2" t="s">
        <v>1020</v>
      </c>
      <c r="S1630" s="2" t="s">
        <v>231</v>
      </c>
      <c r="T1630" s="2" t="s">
        <v>231</v>
      </c>
      <c r="U1630" s="2" t="s">
        <v>791</v>
      </c>
      <c r="V1630" s="2" t="s">
        <v>239</v>
      </c>
      <c r="W1630" s="2" t="s">
        <v>231</v>
      </c>
      <c r="X1630" s="2" t="s">
        <v>231</v>
      </c>
      <c r="Y1630" s="2" t="s">
        <v>7532</v>
      </c>
      <c r="Z1630" s="4">
        <v>37</v>
      </c>
      <c r="AA1630" s="4">
        <f>=ROUNDDOWN(18.5,0)</f>
      </c>
      <c r="AB1630" s="5">
        <v>2</v>
      </c>
      <c r="AC1630" s="2" t="s">
        <v>231</v>
      </c>
      <c r="AD1630" s="4"/>
      <c r="AE1630" s="4"/>
      <c r="AF1630" s="6">
        <v>64</v>
      </c>
      <c r="AG1630" s="6"/>
      <c r="AH1630" s="7">
        <v>1</v>
      </c>
      <c r="AI1630" s="4"/>
      <c r="AJ1630" s="4">
        <f>=ROUNDDOWN({0},0)</f>
      </c>
      <c r="AK1630" s="5"/>
      <c r="AL1630" s="2" t="s">
        <v>231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231</v>
      </c>
      <c r="AW1630" s="8" t="s">
        <v>231</v>
      </c>
      <c r="AX1630" s="4" t="s">
        <v>231</v>
      </c>
      <c r="AY1630" s="8" t="s">
        <v>231</v>
      </c>
      <c r="AZ1630" s="7" t="s">
        <v>231</v>
      </c>
      <c r="BA1630" s="7" t="s">
        <v>231</v>
      </c>
      <c r="BB1630" s="7"/>
      <c r="BC1630" s="4" t="s">
        <v>231</v>
      </c>
      <c r="BD1630" s="8" t="s">
        <v>231</v>
      </c>
      <c r="BE1630" s="4" t="s">
        <v>231</v>
      </c>
      <c r="BF1630" s="8" t="s">
        <v>231</v>
      </c>
      <c r="BG1630" s="7" t="s">
        <v>231</v>
      </c>
      <c r="BH1630" s="7" t="s">
        <v>231</v>
      </c>
      <c r="BI1630" s="7"/>
      <c r="BJ1630" s="4">
        <v>2</v>
      </c>
      <c r="BK1630" s="8">
        <v>50</v>
      </c>
      <c r="BL1630" s="2" t="s">
        <v>2565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7533</v>
      </c>
      <c r="BV1630" s="2" t="s">
        <v>231</v>
      </c>
      <c r="BW1630" s="2" t="s">
        <v>231</v>
      </c>
      <c r="BX1630" s="2" t="s">
        <v>241</v>
      </c>
      <c r="BY1630" s="2" t="s">
        <v>277</v>
      </c>
      <c r="BZ1630" s="2" t="s">
        <v>243</v>
      </c>
      <c r="CA1630" s="2" t="s">
        <v>1680</v>
      </c>
      <c r="CB1630" s="2" t="s">
        <v>231</v>
      </c>
      <c r="CC1630" s="2" t="s">
        <v>244</v>
      </c>
      <c r="CD1630" s="2" t="s">
        <v>231</v>
      </c>
      <c r="CE1630" s="4">
        <v>37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</row>
    <row r="1631">
      <c r="A1631" s="2" t="s">
        <v>7534</v>
      </c>
      <c r="B1631" s="2" t="s">
        <v>824</v>
      </c>
      <c r="C1631" s="2" t="s">
        <v>1017</v>
      </c>
      <c r="D1631" s="2" t="s">
        <v>1462</v>
      </c>
      <c r="E1631" s="2" t="s">
        <v>2563</v>
      </c>
      <c r="F1631" s="2" t="s">
        <v>7530</v>
      </c>
      <c r="G1631" s="2" t="s">
        <v>7530</v>
      </c>
      <c r="H1631" s="2" t="s">
        <v>7530</v>
      </c>
      <c r="I1631" s="2" t="s">
        <v>7531</v>
      </c>
      <c r="J1631" s="2" t="s">
        <v>658</v>
      </c>
      <c r="K1631" s="2" t="s">
        <v>486</v>
      </c>
      <c r="L1631" s="3">
        <v>31.8</v>
      </c>
      <c r="M1631" s="3">
        <v>33.39</v>
      </c>
      <c r="N1631" s="3">
        <v>52.99</v>
      </c>
      <c r="O1631" s="2" t="s">
        <v>243</v>
      </c>
      <c r="P1631" s="2" t="s">
        <v>1019</v>
      </c>
      <c r="Q1631" s="2" t="s">
        <v>237</v>
      </c>
      <c r="R1631" s="2" t="s">
        <v>1020</v>
      </c>
      <c r="S1631" s="2" t="s">
        <v>231</v>
      </c>
      <c r="T1631" s="2" t="s">
        <v>231</v>
      </c>
      <c r="U1631" s="2" t="s">
        <v>835</v>
      </c>
      <c r="V1631" s="2" t="s">
        <v>239</v>
      </c>
      <c r="W1631" s="2" t="s">
        <v>231</v>
      </c>
      <c r="X1631" s="2" t="s">
        <v>231</v>
      </c>
      <c r="Y1631" s="2" t="s">
        <v>7532</v>
      </c>
      <c r="Z1631" s="4">
        <v>89</v>
      </c>
      <c r="AA1631" s="4">
        <f>=ROUNDDOWN(22.25,0)</f>
      </c>
      <c r="AB1631" s="5">
        <v>4</v>
      </c>
      <c r="AC1631" s="2" t="s">
        <v>231</v>
      </c>
      <c r="AD1631" s="4"/>
      <c r="AE1631" s="4"/>
      <c r="AF1631" s="6">
        <v>64</v>
      </c>
      <c r="AG1631" s="6"/>
      <c r="AH1631" s="7">
        <v>1</v>
      </c>
      <c r="AI1631" s="4"/>
      <c r="AJ1631" s="4">
        <f>=ROUNDDOWN({0},0)</f>
      </c>
      <c r="AK1631" s="5"/>
      <c r="AL1631" s="2" t="s">
        <v>231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231</v>
      </c>
      <c r="AW1631" s="8" t="s">
        <v>231</v>
      </c>
      <c r="AX1631" s="4" t="s">
        <v>231</v>
      </c>
      <c r="AY1631" s="8" t="s">
        <v>231</v>
      </c>
      <c r="AZ1631" s="7" t="s">
        <v>231</v>
      </c>
      <c r="BA1631" s="7" t="s">
        <v>231</v>
      </c>
      <c r="BB1631" s="7"/>
      <c r="BC1631" s="4" t="s">
        <v>231</v>
      </c>
      <c r="BD1631" s="8" t="s">
        <v>231</v>
      </c>
      <c r="BE1631" s="4" t="s">
        <v>231</v>
      </c>
      <c r="BF1631" s="8" t="s">
        <v>231</v>
      </c>
      <c r="BG1631" s="7" t="s">
        <v>231</v>
      </c>
      <c r="BH1631" s="7" t="s">
        <v>231</v>
      </c>
      <c r="BI1631" s="7"/>
      <c r="BJ1631" s="4">
        <v>3</v>
      </c>
      <c r="BK1631" s="8">
        <v>95.4</v>
      </c>
      <c r="BL1631" s="2" t="s">
        <v>2565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7535</v>
      </c>
      <c r="BV1631" s="2" t="s">
        <v>231</v>
      </c>
      <c r="BW1631" s="2" t="s">
        <v>231</v>
      </c>
      <c r="BX1631" s="2" t="s">
        <v>241</v>
      </c>
      <c r="BY1631" s="2" t="s">
        <v>277</v>
      </c>
      <c r="BZ1631" s="2" t="s">
        <v>243</v>
      </c>
      <c r="CA1631" s="2" t="s">
        <v>1680</v>
      </c>
      <c r="CB1631" s="2" t="s">
        <v>231</v>
      </c>
      <c r="CC1631" s="2" t="s">
        <v>244</v>
      </c>
      <c r="CD1631" s="2" t="s">
        <v>231</v>
      </c>
      <c r="CE1631" s="4">
        <v>89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</row>
    <row r="1632">
      <c r="A1632" s="2" t="s">
        <v>7536</v>
      </c>
      <c r="B1632" s="2" t="s">
        <v>824</v>
      </c>
      <c r="C1632" s="2" t="s">
        <v>1017</v>
      </c>
      <c r="D1632" s="2" t="s">
        <v>1462</v>
      </c>
      <c r="E1632" s="2" t="s">
        <v>2563</v>
      </c>
      <c r="F1632" s="2" t="s">
        <v>7530</v>
      </c>
      <c r="G1632" s="2" t="s">
        <v>7530</v>
      </c>
      <c r="H1632" s="2" t="s">
        <v>7530</v>
      </c>
      <c r="I1632" s="2" t="s">
        <v>7531</v>
      </c>
      <c r="J1632" s="2" t="s">
        <v>302</v>
      </c>
      <c r="K1632" s="2" t="s">
        <v>486</v>
      </c>
      <c r="L1632" s="3">
        <v>36.8</v>
      </c>
      <c r="M1632" s="3">
        <v>38.64</v>
      </c>
      <c r="N1632" s="3">
        <v>59.99</v>
      </c>
      <c r="O1632" s="2" t="s">
        <v>243</v>
      </c>
      <c r="P1632" s="2" t="s">
        <v>1019</v>
      </c>
      <c r="Q1632" s="2" t="s">
        <v>237</v>
      </c>
      <c r="R1632" s="2" t="s">
        <v>1020</v>
      </c>
      <c r="S1632" s="2" t="s">
        <v>231</v>
      </c>
      <c r="T1632" s="2" t="s">
        <v>231</v>
      </c>
      <c r="U1632" s="2" t="s">
        <v>835</v>
      </c>
      <c r="V1632" s="2" t="s">
        <v>239</v>
      </c>
      <c r="W1632" s="2" t="s">
        <v>231</v>
      </c>
      <c r="X1632" s="2" t="s">
        <v>231</v>
      </c>
      <c r="Y1632" s="2" t="s">
        <v>7532</v>
      </c>
      <c r="Z1632" s="4">
        <v>105</v>
      </c>
      <c r="AA1632" s="4">
        <f>=ROUNDDOWN(52.5,0)</f>
      </c>
      <c r="AB1632" s="5">
        <v>2</v>
      </c>
      <c r="AC1632" s="2" t="s">
        <v>231</v>
      </c>
      <c r="AD1632" s="4"/>
      <c r="AE1632" s="4"/>
      <c r="AF1632" s="6">
        <v>64</v>
      </c>
      <c r="AG1632" s="6"/>
      <c r="AH1632" s="7">
        <v>1</v>
      </c>
      <c r="AI1632" s="4"/>
      <c r="AJ1632" s="4">
        <f>=ROUNDDOWN({0},0)</f>
      </c>
      <c r="AK1632" s="5"/>
      <c r="AL1632" s="2" t="s">
        <v>231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231</v>
      </c>
      <c r="AW1632" s="8" t="s">
        <v>231</v>
      </c>
      <c r="AX1632" s="4" t="s">
        <v>231</v>
      </c>
      <c r="AY1632" s="8" t="s">
        <v>231</v>
      </c>
      <c r="AZ1632" s="7" t="s">
        <v>231</v>
      </c>
      <c r="BA1632" s="7" t="s">
        <v>231</v>
      </c>
      <c r="BB1632" s="7"/>
      <c r="BC1632" s="4" t="s">
        <v>231</v>
      </c>
      <c r="BD1632" s="8" t="s">
        <v>231</v>
      </c>
      <c r="BE1632" s="4" t="s">
        <v>231</v>
      </c>
      <c r="BF1632" s="8" t="s">
        <v>231</v>
      </c>
      <c r="BG1632" s="7" t="s">
        <v>231</v>
      </c>
      <c r="BH1632" s="7" t="s">
        <v>231</v>
      </c>
      <c r="BI1632" s="7"/>
      <c r="BJ1632" s="4">
        <v>2</v>
      </c>
      <c r="BK1632" s="8">
        <v>73.6</v>
      </c>
      <c r="BL1632" s="2" t="s">
        <v>2565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7537</v>
      </c>
      <c r="BV1632" s="2" t="s">
        <v>231</v>
      </c>
      <c r="BW1632" s="2" t="s">
        <v>231</v>
      </c>
      <c r="BX1632" s="2" t="s">
        <v>241</v>
      </c>
      <c r="BY1632" s="2" t="s">
        <v>277</v>
      </c>
      <c r="BZ1632" s="2" t="s">
        <v>243</v>
      </c>
      <c r="CA1632" s="2" t="s">
        <v>1680</v>
      </c>
      <c r="CB1632" s="2" t="s">
        <v>231</v>
      </c>
      <c r="CC1632" s="2" t="s">
        <v>244</v>
      </c>
      <c r="CD1632" s="2" t="s">
        <v>231</v>
      </c>
      <c r="CE1632" s="4">
        <v>105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</row>
    <row r="1633">
      <c r="A1633" s="2" t="s">
        <v>7538</v>
      </c>
      <c r="B1633" s="2" t="s">
        <v>824</v>
      </c>
      <c r="C1633" s="2" t="s">
        <v>1017</v>
      </c>
      <c r="D1633" s="2" t="s">
        <v>1462</v>
      </c>
      <c r="E1633" s="2" t="s">
        <v>2563</v>
      </c>
      <c r="F1633" s="2" t="s">
        <v>7530</v>
      </c>
      <c r="G1633" s="2" t="s">
        <v>7530</v>
      </c>
      <c r="H1633" s="2" t="s">
        <v>7530</v>
      </c>
      <c r="I1633" s="2" t="s">
        <v>7531</v>
      </c>
      <c r="J1633" s="2" t="s">
        <v>832</v>
      </c>
      <c r="K1633" s="2" t="s">
        <v>234</v>
      </c>
      <c r="L1633" s="3">
        <v>25</v>
      </c>
      <c r="M1633" s="3">
        <v>26.25</v>
      </c>
      <c r="N1633" s="3">
        <v>42.99</v>
      </c>
      <c r="O1633" s="2" t="s">
        <v>243</v>
      </c>
      <c r="P1633" s="2" t="s">
        <v>1019</v>
      </c>
      <c r="Q1633" s="2" t="s">
        <v>237</v>
      </c>
      <c r="R1633" s="2" t="s">
        <v>1020</v>
      </c>
      <c r="S1633" s="2" t="s">
        <v>231</v>
      </c>
      <c r="T1633" s="2" t="s">
        <v>231</v>
      </c>
      <c r="U1633" s="2" t="s">
        <v>791</v>
      </c>
      <c r="V1633" s="2" t="s">
        <v>239</v>
      </c>
      <c r="W1633" s="2" t="s">
        <v>231</v>
      </c>
      <c r="X1633" s="2" t="s">
        <v>231</v>
      </c>
      <c r="Y1633" s="2" t="s">
        <v>7532</v>
      </c>
      <c r="Z1633" s="4">
        <v>106</v>
      </c>
      <c r="AA1633" s="4">
        <f>=ROUNDDOWN(53,0)</f>
      </c>
      <c r="AB1633" s="5">
        <v>2</v>
      </c>
      <c r="AC1633" s="2" t="s">
        <v>231</v>
      </c>
      <c r="AD1633" s="4"/>
      <c r="AE1633" s="4"/>
      <c r="AF1633" s="6">
        <v>64</v>
      </c>
      <c r="AG1633" s="6"/>
      <c r="AH1633" s="7">
        <v>1</v>
      </c>
      <c r="AI1633" s="4"/>
      <c r="AJ1633" s="4">
        <f>=ROUNDDOWN({0},0)</f>
      </c>
      <c r="AK1633" s="5"/>
      <c r="AL1633" s="2" t="s">
        <v>231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231</v>
      </c>
      <c r="AW1633" s="8" t="s">
        <v>231</v>
      </c>
      <c r="AX1633" s="4" t="s">
        <v>231</v>
      </c>
      <c r="AY1633" s="8" t="s">
        <v>231</v>
      </c>
      <c r="AZ1633" s="7" t="s">
        <v>231</v>
      </c>
      <c r="BA1633" s="7" t="s">
        <v>231</v>
      </c>
      <c r="BB1633" s="7"/>
      <c r="BC1633" s="4" t="s">
        <v>231</v>
      </c>
      <c r="BD1633" s="8" t="s">
        <v>231</v>
      </c>
      <c r="BE1633" s="4" t="s">
        <v>231</v>
      </c>
      <c r="BF1633" s="8" t="s">
        <v>231</v>
      </c>
      <c r="BG1633" s="7" t="s">
        <v>231</v>
      </c>
      <c r="BH1633" s="7" t="s">
        <v>231</v>
      </c>
      <c r="BI1633" s="7"/>
      <c r="BJ1633" s="4"/>
      <c r="BK1633" s="8"/>
      <c r="BL1633" s="2" t="s">
        <v>2565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7539</v>
      </c>
      <c r="BV1633" s="2" t="s">
        <v>231</v>
      </c>
      <c r="BW1633" s="2" t="s">
        <v>231</v>
      </c>
      <c r="BX1633" s="2" t="s">
        <v>241</v>
      </c>
      <c r="BY1633" s="2" t="s">
        <v>277</v>
      </c>
      <c r="BZ1633" s="2" t="s">
        <v>243</v>
      </c>
      <c r="CA1633" s="2" t="s">
        <v>1680</v>
      </c>
      <c r="CB1633" s="2" t="s">
        <v>231</v>
      </c>
      <c r="CC1633" s="2" t="s">
        <v>244</v>
      </c>
      <c r="CD1633" s="2" t="s">
        <v>231</v>
      </c>
      <c r="CE1633" s="4">
        <v>106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</row>
    <row r="1634">
      <c r="A1634" s="2" t="s">
        <v>7540</v>
      </c>
      <c r="B1634" s="2" t="s">
        <v>824</v>
      </c>
      <c r="C1634" s="2" t="s">
        <v>1017</v>
      </c>
      <c r="D1634" s="2" t="s">
        <v>1462</v>
      </c>
      <c r="E1634" s="2" t="s">
        <v>2563</v>
      </c>
      <c r="F1634" s="2" t="s">
        <v>7530</v>
      </c>
      <c r="G1634" s="2" t="s">
        <v>7530</v>
      </c>
      <c r="H1634" s="2" t="s">
        <v>7530</v>
      </c>
      <c r="I1634" s="2" t="s">
        <v>7531</v>
      </c>
      <c r="J1634" s="2" t="s">
        <v>658</v>
      </c>
      <c r="K1634" s="2" t="s">
        <v>234</v>
      </c>
      <c r="L1634" s="3">
        <v>31.8</v>
      </c>
      <c r="M1634" s="3">
        <v>33.39</v>
      </c>
      <c r="N1634" s="3">
        <v>52.99</v>
      </c>
      <c r="O1634" s="2" t="s">
        <v>243</v>
      </c>
      <c r="P1634" s="2" t="s">
        <v>1019</v>
      </c>
      <c r="Q1634" s="2" t="s">
        <v>237</v>
      </c>
      <c r="R1634" s="2" t="s">
        <v>1020</v>
      </c>
      <c r="S1634" s="2" t="s">
        <v>231</v>
      </c>
      <c r="T1634" s="2" t="s">
        <v>231</v>
      </c>
      <c r="U1634" s="2" t="s">
        <v>835</v>
      </c>
      <c r="V1634" s="2" t="s">
        <v>239</v>
      </c>
      <c r="W1634" s="2" t="s">
        <v>231</v>
      </c>
      <c r="X1634" s="2" t="s">
        <v>231</v>
      </c>
      <c r="Y1634" s="2" t="s">
        <v>7532</v>
      </c>
      <c r="Z1634" s="4">
        <v>153</v>
      </c>
      <c r="AA1634" s="4">
        <f>=ROUNDDOWN(51,0)</f>
      </c>
      <c r="AB1634" s="5">
        <v>3</v>
      </c>
      <c r="AC1634" s="2" t="s">
        <v>231</v>
      </c>
      <c r="AD1634" s="4"/>
      <c r="AE1634" s="4"/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231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231</v>
      </c>
      <c r="AW1634" s="8" t="s">
        <v>231</v>
      </c>
      <c r="AX1634" s="4" t="s">
        <v>231</v>
      </c>
      <c r="AY1634" s="8" t="s">
        <v>231</v>
      </c>
      <c r="AZ1634" s="7" t="s">
        <v>231</v>
      </c>
      <c r="BA1634" s="7" t="s">
        <v>231</v>
      </c>
      <c r="BB1634" s="7"/>
      <c r="BC1634" s="4" t="s">
        <v>231</v>
      </c>
      <c r="BD1634" s="8" t="s">
        <v>231</v>
      </c>
      <c r="BE1634" s="4" t="s">
        <v>231</v>
      </c>
      <c r="BF1634" s="8" t="s">
        <v>231</v>
      </c>
      <c r="BG1634" s="7" t="s">
        <v>231</v>
      </c>
      <c r="BH1634" s="7" t="s">
        <v>231</v>
      </c>
      <c r="BI1634" s="7"/>
      <c r="BJ1634" s="4"/>
      <c r="BK1634" s="8"/>
      <c r="BL1634" s="2" t="s">
        <v>2565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7541</v>
      </c>
      <c r="BV1634" s="2" t="s">
        <v>231</v>
      </c>
      <c r="BW1634" s="2" t="s">
        <v>231</v>
      </c>
      <c r="BX1634" s="2" t="s">
        <v>241</v>
      </c>
      <c r="BY1634" s="2" t="s">
        <v>277</v>
      </c>
      <c r="BZ1634" s="2" t="s">
        <v>243</v>
      </c>
      <c r="CA1634" s="2" t="s">
        <v>1680</v>
      </c>
      <c r="CB1634" s="2" t="s">
        <v>231</v>
      </c>
      <c r="CC1634" s="2" t="s">
        <v>244</v>
      </c>
      <c r="CD1634" s="2" t="s">
        <v>231</v>
      </c>
      <c r="CE1634" s="4">
        <v>153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</row>
    <row r="1635">
      <c r="A1635" s="2" t="s">
        <v>7542</v>
      </c>
      <c r="B1635" s="2" t="s">
        <v>824</v>
      </c>
      <c r="C1635" s="2" t="s">
        <v>1017</v>
      </c>
      <c r="D1635" s="2" t="s">
        <v>1462</v>
      </c>
      <c r="E1635" s="2" t="s">
        <v>2563</v>
      </c>
      <c r="F1635" s="2" t="s">
        <v>7530</v>
      </c>
      <c r="G1635" s="2" t="s">
        <v>7530</v>
      </c>
      <c r="H1635" s="2" t="s">
        <v>7530</v>
      </c>
      <c r="I1635" s="2" t="s">
        <v>7531</v>
      </c>
      <c r="J1635" s="2" t="s">
        <v>302</v>
      </c>
      <c r="K1635" s="2" t="s">
        <v>234</v>
      </c>
      <c r="L1635" s="3">
        <v>36.8</v>
      </c>
      <c r="M1635" s="3">
        <v>38.64</v>
      </c>
      <c r="N1635" s="3">
        <v>59.99</v>
      </c>
      <c r="O1635" s="2" t="s">
        <v>243</v>
      </c>
      <c r="P1635" s="2" t="s">
        <v>1019</v>
      </c>
      <c r="Q1635" s="2" t="s">
        <v>237</v>
      </c>
      <c r="R1635" s="2" t="s">
        <v>1020</v>
      </c>
      <c r="S1635" s="2" t="s">
        <v>231</v>
      </c>
      <c r="T1635" s="2" t="s">
        <v>231</v>
      </c>
      <c r="U1635" s="2" t="s">
        <v>835</v>
      </c>
      <c r="V1635" s="2" t="s">
        <v>239</v>
      </c>
      <c r="W1635" s="2" t="s">
        <v>231</v>
      </c>
      <c r="X1635" s="2" t="s">
        <v>231</v>
      </c>
      <c r="Y1635" s="2" t="s">
        <v>7532</v>
      </c>
      <c r="Z1635" s="4">
        <v>100</v>
      </c>
      <c r="AA1635" s="4">
        <f>=ROUNDDOWN(500,0)</f>
      </c>
      <c r="AB1635" s="5">
        <v>0.2</v>
      </c>
      <c r="AC1635" s="2" t="s">
        <v>231</v>
      </c>
      <c r="AD1635" s="4"/>
      <c r="AE1635" s="4"/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231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231</v>
      </c>
      <c r="AW1635" s="8" t="s">
        <v>231</v>
      </c>
      <c r="AX1635" s="4" t="s">
        <v>231</v>
      </c>
      <c r="AY1635" s="8" t="s">
        <v>231</v>
      </c>
      <c r="AZ1635" s="7" t="s">
        <v>231</v>
      </c>
      <c r="BA1635" s="7" t="s">
        <v>231</v>
      </c>
      <c r="BB1635" s="7"/>
      <c r="BC1635" s="4" t="s">
        <v>231</v>
      </c>
      <c r="BD1635" s="8" t="s">
        <v>231</v>
      </c>
      <c r="BE1635" s="4" t="s">
        <v>231</v>
      </c>
      <c r="BF1635" s="8" t="s">
        <v>231</v>
      </c>
      <c r="BG1635" s="7" t="s">
        <v>231</v>
      </c>
      <c r="BH1635" s="7" t="s">
        <v>231</v>
      </c>
      <c r="BI1635" s="7"/>
      <c r="BJ1635" s="4"/>
      <c r="BK1635" s="8"/>
      <c r="BL1635" s="2" t="s">
        <v>2565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7543</v>
      </c>
      <c r="BV1635" s="2" t="s">
        <v>231</v>
      </c>
      <c r="BW1635" s="2" t="s">
        <v>231</v>
      </c>
      <c r="BX1635" s="2" t="s">
        <v>241</v>
      </c>
      <c r="BY1635" s="2" t="s">
        <v>277</v>
      </c>
      <c r="BZ1635" s="2" t="s">
        <v>243</v>
      </c>
      <c r="CA1635" s="2" t="s">
        <v>1680</v>
      </c>
      <c r="CB1635" s="2" t="s">
        <v>231</v>
      </c>
      <c r="CC1635" s="2" t="s">
        <v>244</v>
      </c>
      <c r="CD1635" s="2" t="s">
        <v>231</v>
      </c>
      <c r="CE1635" s="4">
        <v>100</v>
      </c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</row>
    <row r="1636">
      <c r="A1636" s="2" t="s">
        <v>7544</v>
      </c>
      <c r="B1636" s="2" t="s">
        <v>1186</v>
      </c>
      <c r="C1636" s="2" t="s">
        <v>1980</v>
      </c>
      <c r="D1636" s="2" t="s">
        <v>654</v>
      </c>
      <c r="E1636" s="2" t="s">
        <v>655</v>
      </c>
      <c r="F1636" s="2" t="s">
        <v>7545</v>
      </c>
      <c r="G1636" s="2" t="s">
        <v>7545</v>
      </c>
      <c r="H1636" s="2" t="s">
        <v>7545</v>
      </c>
      <c r="I1636" s="2" t="s">
        <v>7546</v>
      </c>
      <c r="J1636" s="2" t="s">
        <v>293</v>
      </c>
      <c r="K1636" s="2" t="s">
        <v>7547</v>
      </c>
      <c r="L1636" s="3">
        <v>170.23</v>
      </c>
      <c r="M1636" s="3">
        <v>178.75</v>
      </c>
      <c r="N1636" s="3">
        <v>499.99</v>
      </c>
      <c r="O1636" s="2" t="s">
        <v>243</v>
      </c>
      <c r="P1636" s="2" t="s">
        <v>270</v>
      </c>
      <c r="Q1636" s="2" t="s">
        <v>237</v>
      </c>
      <c r="R1636" s="2" t="s">
        <v>231</v>
      </c>
      <c r="S1636" s="2" t="s">
        <v>231</v>
      </c>
      <c r="T1636" s="2" t="s">
        <v>231</v>
      </c>
      <c r="U1636" s="2" t="s">
        <v>298</v>
      </c>
      <c r="V1636" s="2" t="s">
        <v>1986</v>
      </c>
      <c r="W1636" s="2" t="s">
        <v>676</v>
      </c>
      <c r="X1636" s="2" t="s">
        <v>231</v>
      </c>
      <c r="Y1636" s="2" t="s">
        <v>671</v>
      </c>
      <c r="Z1636" s="4"/>
      <c r="AA1636" s="4">
        <f>=ROUNDDOWN({0},0)</f>
      </c>
      <c r="AB1636" s="5">
        <v>7</v>
      </c>
      <c r="AC1636" s="2" t="s">
        <v>701</v>
      </c>
      <c r="AD1636" s="4">
        <v>165</v>
      </c>
      <c r="AE1636" s="4">
        <v>165</v>
      </c>
      <c r="AF1636" s="6">
        <v>65</v>
      </c>
      <c r="AG1636" s="6"/>
      <c r="AH1636" s="7">
        <v>0</v>
      </c>
      <c r="AI1636" s="4"/>
      <c r="AJ1636" s="4">
        <f>=ROUNDDOWN({0},0)</f>
      </c>
      <c r="AK1636" s="5"/>
      <c r="AL1636" s="2" t="s">
        <v>231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231</v>
      </c>
      <c r="AW1636" s="8" t="s">
        <v>231</v>
      </c>
      <c r="AX1636" s="4" t="s">
        <v>231</v>
      </c>
      <c r="AY1636" s="8" t="s">
        <v>231</v>
      </c>
      <c r="AZ1636" s="7" t="s">
        <v>231</v>
      </c>
      <c r="BA1636" s="7" t="s">
        <v>231</v>
      </c>
      <c r="BB1636" s="7"/>
      <c r="BC1636" s="4" t="s">
        <v>231</v>
      </c>
      <c r="BD1636" s="8" t="s">
        <v>231</v>
      </c>
      <c r="BE1636" s="4" t="s">
        <v>231</v>
      </c>
      <c r="BF1636" s="8" t="s">
        <v>231</v>
      </c>
      <c r="BG1636" s="7" t="s">
        <v>231</v>
      </c>
      <c r="BH1636" s="7" t="s">
        <v>231</v>
      </c>
      <c r="BI1636" s="7"/>
      <c r="BJ1636" s="4"/>
      <c r="BK1636" s="8"/>
      <c r="BL1636" s="2" t="s">
        <v>231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7548</v>
      </c>
      <c r="BV1636" s="2" t="s">
        <v>231</v>
      </c>
      <c r="BW1636" s="2" t="s">
        <v>231</v>
      </c>
      <c r="BX1636" s="2" t="s">
        <v>241</v>
      </c>
      <c r="BY1636" s="2" t="s">
        <v>277</v>
      </c>
      <c r="BZ1636" s="2" t="s">
        <v>243</v>
      </c>
      <c r="CA1636" s="2" t="s">
        <v>1612</v>
      </c>
      <c r="CB1636" s="2" t="s">
        <v>7493</v>
      </c>
      <c r="CC1636" s="2" t="s">
        <v>244</v>
      </c>
      <c r="CD1636" s="2" t="s">
        <v>231</v>
      </c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>
        <v>165</v>
      </c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</row>
    <row r="1637">
      <c r="A1637" s="2" t="s">
        <v>7549</v>
      </c>
      <c r="B1637" s="2" t="s">
        <v>1186</v>
      </c>
      <c r="C1637" s="2" t="s">
        <v>1980</v>
      </c>
      <c r="D1637" s="2" t="s">
        <v>654</v>
      </c>
      <c r="E1637" s="2" t="s">
        <v>655</v>
      </c>
      <c r="F1637" s="2" t="s">
        <v>7545</v>
      </c>
      <c r="G1637" s="2" t="s">
        <v>7545</v>
      </c>
      <c r="H1637" s="2" t="s">
        <v>7545</v>
      </c>
      <c r="I1637" s="2" t="s">
        <v>7546</v>
      </c>
      <c r="J1637" s="2" t="s">
        <v>304</v>
      </c>
      <c r="K1637" s="2" t="s">
        <v>7547</v>
      </c>
      <c r="L1637" s="3">
        <v>204.28</v>
      </c>
      <c r="M1637" s="3">
        <v>214.5</v>
      </c>
      <c r="N1637" s="3">
        <v>599.99</v>
      </c>
      <c r="O1637" s="2" t="s">
        <v>243</v>
      </c>
      <c r="P1637" s="2" t="s">
        <v>270</v>
      </c>
      <c r="Q1637" s="2" t="s">
        <v>237</v>
      </c>
      <c r="R1637" s="2" t="s">
        <v>231</v>
      </c>
      <c r="S1637" s="2" t="s">
        <v>231</v>
      </c>
      <c r="T1637" s="2" t="s">
        <v>231</v>
      </c>
      <c r="U1637" s="2" t="s">
        <v>298</v>
      </c>
      <c r="V1637" s="2" t="s">
        <v>1986</v>
      </c>
      <c r="W1637" s="2" t="s">
        <v>676</v>
      </c>
      <c r="X1637" s="2" t="s">
        <v>231</v>
      </c>
      <c r="Y1637" s="2" t="s">
        <v>671</v>
      </c>
      <c r="Z1637" s="4"/>
      <c r="AA1637" s="4">
        <f>=ROUNDDOWN({0},0)</f>
      </c>
      <c r="AB1637" s="5">
        <v>3</v>
      </c>
      <c r="AC1637" s="2" t="s">
        <v>701</v>
      </c>
      <c r="AD1637" s="4">
        <v>80</v>
      </c>
      <c r="AE1637" s="4">
        <v>80</v>
      </c>
      <c r="AF1637" s="6">
        <v>65</v>
      </c>
      <c r="AG1637" s="6"/>
      <c r="AH1637" s="7">
        <v>0</v>
      </c>
      <c r="AI1637" s="4"/>
      <c r="AJ1637" s="4">
        <f>=ROUNDDOWN({0},0)</f>
      </c>
      <c r="AK1637" s="5"/>
      <c r="AL1637" s="2" t="s">
        <v>231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231</v>
      </c>
      <c r="AW1637" s="8" t="s">
        <v>231</v>
      </c>
      <c r="AX1637" s="4" t="s">
        <v>231</v>
      </c>
      <c r="AY1637" s="8" t="s">
        <v>231</v>
      </c>
      <c r="AZ1637" s="7" t="s">
        <v>231</v>
      </c>
      <c r="BA1637" s="7" t="s">
        <v>231</v>
      </c>
      <c r="BB1637" s="7"/>
      <c r="BC1637" s="4" t="s">
        <v>231</v>
      </c>
      <c r="BD1637" s="8" t="s">
        <v>231</v>
      </c>
      <c r="BE1637" s="4" t="s">
        <v>231</v>
      </c>
      <c r="BF1637" s="8" t="s">
        <v>231</v>
      </c>
      <c r="BG1637" s="7" t="s">
        <v>231</v>
      </c>
      <c r="BH1637" s="7" t="s">
        <v>231</v>
      </c>
      <c r="BI1637" s="7"/>
      <c r="BJ1637" s="4"/>
      <c r="BK1637" s="8"/>
      <c r="BL1637" s="2" t="s">
        <v>231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7550</v>
      </c>
      <c r="BV1637" s="2" t="s">
        <v>231</v>
      </c>
      <c r="BW1637" s="2" t="s">
        <v>231</v>
      </c>
      <c r="BX1637" s="2" t="s">
        <v>231</v>
      </c>
      <c r="BY1637" s="2" t="s">
        <v>277</v>
      </c>
      <c r="BZ1637" s="2" t="s">
        <v>243</v>
      </c>
      <c r="CA1637" s="2" t="s">
        <v>1612</v>
      </c>
      <c r="CB1637" s="2" t="s">
        <v>2515</v>
      </c>
      <c r="CC1637" s="2" t="s">
        <v>244</v>
      </c>
      <c r="CD1637" s="2" t="s">
        <v>231</v>
      </c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>
        <v>80</v>
      </c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</row>
    <row r="1638">
      <c r="A1638" s="2" t="s">
        <v>7551</v>
      </c>
      <c r="B1638" s="2" t="s">
        <v>1186</v>
      </c>
      <c r="C1638" s="2" t="s">
        <v>1980</v>
      </c>
      <c r="D1638" s="2" t="s">
        <v>654</v>
      </c>
      <c r="E1638" s="2" t="s">
        <v>655</v>
      </c>
      <c r="F1638" s="2" t="s">
        <v>7545</v>
      </c>
      <c r="G1638" s="2" t="s">
        <v>7545</v>
      </c>
      <c r="H1638" s="2" t="s">
        <v>7545</v>
      </c>
      <c r="I1638" s="2" t="s">
        <v>7546</v>
      </c>
      <c r="J1638" s="2" t="s">
        <v>293</v>
      </c>
      <c r="K1638" s="2" t="s">
        <v>1932</v>
      </c>
      <c r="L1638" s="3">
        <v>170.23</v>
      </c>
      <c r="M1638" s="3">
        <v>178.74</v>
      </c>
      <c r="N1638" s="3">
        <v>499.99</v>
      </c>
      <c r="O1638" s="2" t="s">
        <v>243</v>
      </c>
      <c r="P1638" s="2" t="s">
        <v>270</v>
      </c>
      <c r="Q1638" s="2" t="s">
        <v>237</v>
      </c>
      <c r="R1638" s="2" t="s">
        <v>231</v>
      </c>
      <c r="S1638" s="2" t="s">
        <v>231</v>
      </c>
      <c r="T1638" s="2" t="s">
        <v>231</v>
      </c>
      <c r="U1638" s="2" t="s">
        <v>298</v>
      </c>
      <c r="V1638" s="2" t="s">
        <v>1986</v>
      </c>
      <c r="W1638" s="2" t="s">
        <v>676</v>
      </c>
      <c r="X1638" s="2" t="s">
        <v>231</v>
      </c>
      <c r="Y1638" s="2" t="s">
        <v>7552</v>
      </c>
      <c r="Z1638" s="4"/>
      <c r="AA1638" s="4">
        <f>=ROUNDDOWN({0},0)</f>
      </c>
      <c r="AB1638" s="5">
        <v>7</v>
      </c>
      <c r="AC1638" s="2" t="s">
        <v>3090</v>
      </c>
      <c r="AD1638" s="4">
        <v>168</v>
      </c>
      <c r="AE1638" s="4">
        <v>180</v>
      </c>
      <c r="AF1638" s="6">
        <v>65</v>
      </c>
      <c r="AG1638" s="6"/>
      <c r="AH1638" s="7">
        <v>0</v>
      </c>
      <c r="AI1638" s="4"/>
      <c r="AJ1638" s="4">
        <f>=ROUNDDOWN({0},0)</f>
      </c>
      <c r="AK1638" s="5"/>
      <c r="AL1638" s="2" t="s">
        <v>231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231</v>
      </c>
      <c r="AW1638" s="8" t="s">
        <v>231</v>
      </c>
      <c r="AX1638" s="4" t="s">
        <v>231</v>
      </c>
      <c r="AY1638" s="8" t="s">
        <v>231</v>
      </c>
      <c r="AZ1638" s="7" t="s">
        <v>231</v>
      </c>
      <c r="BA1638" s="7" t="s">
        <v>231</v>
      </c>
      <c r="BB1638" s="7"/>
      <c r="BC1638" s="4" t="s">
        <v>231</v>
      </c>
      <c r="BD1638" s="8" t="s">
        <v>231</v>
      </c>
      <c r="BE1638" s="4" t="s">
        <v>231</v>
      </c>
      <c r="BF1638" s="8" t="s">
        <v>231</v>
      </c>
      <c r="BG1638" s="7" t="s">
        <v>231</v>
      </c>
      <c r="BH1638" s="7" t="s">
        <v>231</v>
      </c>
      <c r="BI1638" s="7"/>
      <c r="BJ1638" s="4"/>
      <c r="BK1638" s="8"/>
      <c r="BL1638" s="2" t="s">
        <v>3564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7553</v>
      </c>
      <c r="BV1638" s="2" t="s">
        <v>231</v>
      </c>
      <c r="BW1638" s="2" t="s">
        <v>231</v>
      </c>
      <c r="BX1638" s="2" t="s">
        <v>231</v>
      </c>
      <c r="BY1638" s="2" t="s">
        <v>277</v>
      </c>
      <c r="BZ1638" s="2" t="s">
        <v>243</v>
      </c>
      <c r="CA1638" s="2" t="s">
        <v>1612</v>
      </c>
      <c r="CB1638" s="2" t="s">
        <v>2745</v>
      </c>
      <c r="CC1638" s="2" t="s">
        <v>244</v>
      </c>
      <c r="CD1638" s="2" t="s">
        <v>231</v>
      </c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>
        <v>168</v>
      </c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>
        <v>12</v>
      </c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</row>
    <row r="1639">
      <c r="A1639" s="2" t="s">
        <v>7554</v>
      </c>
      <c r="B1639" s="2" t="s">
        <v>1186</v>
      </c>
      <c r="C1639" s="2" t="s">
        <v>1980</v>
      </c>
      <c r="D1639" s="2" t="s">
        <v>654</v>
      </c>
      <c r="E1639" s="2" t="s">
        <v>655</v>
      </c>
      <c r="F1639" s="2" t="s">
        <v>7545</v>
      </c>
      <c r="G1639" s="2" t="s">
        <v>7545</v>
      </c>
      <c r="H1639" s="2" t="s">
        <v>7545</v>
      </c>
      <c r="I1639" s="2" t="s">
        <v>7546</v>
      </c>
      <c r="J1639" s="2" t="s">
        <v>304</v>
      </c>
      <c r="K1639" s="2" t="s">
        <v>1932</v>
      </c>
      <c r="L1639" s="3">
        <v>204.28</v>
      </c>
      <c r="M1639" s="3">
        <v>214.49</v>
      </c>
      <c r="N1639" s="3">
        <v>599.99</v>
      </c>
      <c r="O1639" s="2" t="s">
        <v>243</v>
      </c>
      <c r="P1639" s="2" t="s">
        <v>270</v>
      </c>
      <c r="Q1639" s="2" t="s">
        <v>237</v>
      </c>
      <c r="R1639" s="2" t="s">
        <v>231</v>
      </c>
      <c r="S1639" s="2" t="s">
        <v>231</v>
      </c>
      <c r="T1639" s="2" t="s">
        <v>231</v>
      </c>
      <c r="U1639" s="2" t="s">
        <v>298</v>
      </c>
      <c r="V1639" s="2" t="s">
        <v>1986</v>
      </c>
      <c r="W1639" s="2" t="s">
        <v>676</v>
      </c>
      <c r="X1639" s="2" t="s">
        <v>231</v>
      </c>
      <c r="Y1639" s="2" t="s">
        <v>7552</v>
      </c>
      <c r="Z1639" s="4"/>
      <c r="AA1639" s="4">
        <f>=ROUNDDOWN({0},0)</f>
      </c>
      <c r="AB1639" s="5">
        <v>4</v>
      </c>
      <c r="AC1639" s="2" t="s">
        <v>3090</v>
      </c>
      <c r="AD1639" s="4">
        <v>80</v>
      </c>
      <c r="AE1639" s="4">
        <v>90</v>
      </c>
      <c r="AF1639" s="6">
        <v>65</v>
      </c>
      <c r="AG1639" s="6"/>
      <c r="AH1639" s="7">
        <v>0</v>
      </c>
      <c r="AI1639" s="4"/>
      <c r="AJ1639" s="4">
        <f>=ROUNDDOWN({0},0)</f>
      </c>
      <c r="AK1639" s="5"/>
      <c r="AL1639" s="2" t="s">
        <v>231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231</v>
      </c>
      <c r="AW1639" s="8" t="s">
        <v>231</v>
      </c>
      <c r="AX1639" s="4" t="s">
        <v>231</v>
      </c>
      <c r="AY1639" s="8" t="s">
        <v>231</v>
      </c>
      <c r="AZ1639" s="7" t="s">
        <v>231</v>
      </c>
      <c r="BA1639" s="7" t="s">
        <v>231</v>
      </c>
      <c r="BB1639" s="7"/>
      <c r="BC1639" s="4" t="s">
        <v>231</v>
      </c>
      <c r="BD1639" s="8" t="s">
        <v>231</v>
      </c>
      <c r="BE1639" s="4" t="s">
        <v>231</v>
      </c>
      <c r="BF1639" s="8" t="s">
        <v>231</v>
      </c>
      <c r="BG1639" s="7" t="s">
        <v>231</v>
      </c>
      <c r="BH1639" s="7" t="s">
        <v>231</v>
      </c>
      <c r="BI1639" s="7"/>
      <c r="BJ1639" s="4"/>
      <c r="BK1639" s="8"/>
      <c r="BL1639" s="2" t="s">
        <v>628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241</v>
      </c>
      <c r="BV1639" s="2" t="s">
        <v>231</v>
      </c>
      <c r="BW1639" s="2" t="s">
        <v>231</v>
      </c>
      <c r="BX1639" s="2" t="s">
        <v>241</v>
      </c>
      <c r="BY1639" s="2" t="s">
        <v>242</v>
      </c>
      <c r="BZ1639" s="2" t="s">
        <v>243</v>
      </c>
      <c r="CA1639" s="2" t="s">
        <v>231</v>
      </c>
      <c r="CB1639" s="2" t="s">
        <v>231</v>
      </c>
      <c r="CC1639" s="2" t="s">
        <v>244</v>
      </c>
      <c r="CD1639" s="2" t="s">
        <v>231</v>
      </c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>
        <v>80</v>
      </c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>
        <v>10</v>
      </c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</row>
    <row r="1640">
      <c r="A1640" s="2" t="s">
        <v>7555</v>
      </c>
      <c r="B1640" s="2" t="s">
        <v>3036</v>
      </c>
      <c r="C1640" s="2" t="s">
        <v>1233</v>
      </c>
      <c r="D1640" s="2" t="s">
        <v>3037</v>
      </c>
      <c r="E1640" s="2" t="s">
        <v>3038</v>
      </c>
      <c r="F1640" s="2" t="s">
        <v>7556</v>
      </c>
      <c r="G1640" s="2" t="s">
        <v>7556</v>
      </c>
      <c r="H1640" s="2" t="s">
        <v>7556</v>
      </c>
      <c r="I1640" s="2" t="s">
        <v>7557</v>
      </c>
      <c r="J1640" s="2" t="s">
        <v>807</v>
      </c>
      <c r="K1640" s="2" t="s">
        <v>1513</v>
      </c>
      <c r="L1640" s="3">
        <v>6.54</v>
      </c>
      <c r="M1640" s="3">
        <v>6.87</v>
      </c>
      <c r="N1640" s="3">
        <v>14.99</v>
      </c>
      <c r="O1640" s="2" t="s">
        <v>243</v>
      </c>
      <c r="P1640" s="2" t="s">
        <v>236</v>
      </c>
      <c r="Q1640" s="2" t="s">
        <v>237</v>
      </c>
      <c r="R1640" s="2" t="s">
        <v>231</v>
      </c>
      <c r="S1640" s="2" t="s">
        <v>231</v>
      </c>
      <c r="T1640" s="2" t="s">
        <v>231</v>
      </c>
      <c r="U1640" s="2" t="s">
        <v>327</v>
      </c>
      <c r="V1640" s="2" t="s">
        <v>662</v>
      </c>
      <c r="W1640" s="2" t="s">
        <v>273</v>
      </c>
      <c r="X1640" s="2" t="s">
        <v>231</v>
      </c>
      <c r="Y1640" s="2" t="s">
        <v>6386</v>
      </c>
      <c r="Z1640" s="4">
        <v>591</v>
      </c>
      <c r="AA1640" s="4">
        <f>=ROUNDDOWN(147.75,0)</f>
      </c>
      <c r="AB1640" s="5">
        <v>4</v>
      </c>
      <c r="AC1640" s="2" t="s">
        <v>231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231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>
        <v>2</v>
      </c>
      <c r="BK1640" s="8">
        <v>15.04</v>
      </c>
      <c r="BL1640" s="2" t="s">
        <v>3055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7558</v>
      </c>
      <c r="BV1640" s="2" t="s">
        <v>231</v>
      </c>
      <c r="BW1640" s="2" t="s">
        <v>231</v>
      </c>
      <c r="BX1640" s="2" t="s">
        <v>241</v>
      </c>
      <c r="BY1640" s="2" t="s">
        <v>277</v>
      </c>
      <c r="BZ1640" s="2" t="s">
        <v>243</v>
      </c>
      <c r="CA1640" s="2" t="s">
        <v>1119</v>
      </c>
      <c r="CB1640" s="2" t="s">
        <v>231</v>
      </c>
      <c r="CC1640" s="2" t="s">
        <v>244</v>
      </c>
      <c r="CD1640" s="2" t="s">
        <v>231</v>
      </c>
      <c r="CE1640" s="4"/>
      <c r="CF1640" s="4">
        <v>296</v>
      </c>
      <c r="CG1640" s="4"/>
      <c r="CH1640" s="4"/>
      <c r="CI1640" s="4">
        <v>295</v>
      </c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</row>
    <row r="1641">
      <c r="A1641" s="2" t="s">
        <v>7559</v>
      </c>
      <c r="B1641" s="2" t="s">
        <v>847</v>
      </c>
      <c r="C1641" s="2" t="s">
        <v>288</v>
      </c>
      <c r="D1641" s="2" t="s">
        <v>882</v>
      </c>
      <c r="E1641" s="2" t="s">
        <v>2191</v>
      </c>
      <c r="F1641" s="2" t="s">
        <v>7560</v>
      </c>
      <c r="G1641" s="2" t="s">
        <v>7560</v>
      </c>
      <c r="H1641" s="2" t="s">
        <v>7560</v>
      </c>
      <c r="I1641" s="2" t="s">
        <v>7561</v>
      </c>
      <c r="J1641" s="2" t="s">
        <v>807</v>
      </c>
      <c r="K1641" s="2" t="s">
        <v>7562</v>
      </c>
      <c r="L1641" s="3">
        <v>8.33</v>
      </c>
      <c r="M1641" s="3">
        <v>8.75</v>
      </c>
      <c r="N1641" s="3">
        <v>24.99</v>
      </c>
      <c r="O1641" s="2" t="s">
        <v>243</v>
      </c>
      <c r="P1641" s="2" t="s">
        <v>236</v>
      </c>
      <c r="Q1641" s="2" t="s">
        <v>237</v>
      </c>
      <c r="R1641" s="2" t="s">
        <v>231</v>
      </c>
      <c r="S1641" s="2" t="s">
        <v>231</v>
      </c>
      <c r="T1641" s="2" t="s">
        <v>231</v>
      </c>
      <c r="U1641" s="2" t="s">
        <v>327</v>
      </c>
      <c r="V1641" s="2" t="s">
        <v>2195</v>
      </c>
      <c r="W1641" s="2" t="s">
        <v>792</v>
      </c>
      <c r="X1641" s="2" t="s">
        <v>273</v>
      </c>
      <c r="Y1641" s="2" t="s">
        <v>6489</v>
      </c>
      <c r="Z1641" s="4">
        <v>85</v>
      </c>
      <c r="AA1641" s="4">
        <f>=ROUNDDOWN(85,0)</f>
      </c>
      <c r="AB1641" s="5">
        <v>1</v>
      </c>
      <c r="AC1641" s="2" t="s">
        <v>231</v>
      </c>
      <c r="AD1641" s="4"/>
      <c r="AE1641" s="4"/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231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 t="s">
        <v>231</v>
      </c>
      <c r="BD1641" s="8" t="s">
        <v>231</v>
      </c>
      <c r="BE1641" s="4" t="s">
        <v>231</v>
      </c>
      <c r="BF1641" s="8" t="s">
        <v>231</v>
      </c>
      <c r="BG1641" s="7" t="s">
        <v>231</v>
      </c>
      <c r="BH1641" s="7" t="s">
        <v>231</v>
      </c>
      <c r="BI1641" s="7"/>
      <c r="BJ1641" s="4"/>
      <c r="BK1641" s="8"/>
      <c r="BL1641" s="2" t="s">
        <v>231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7563</v>
      </c>
      <c r="BV1641" s="2" t="s">
        <v>231</v>
      </c>
      <c r="BW1641" s="2" t="s">
        <v>231</v>
      </c>
      <c r="BX1641" s="2" t="s">
        <v>241</v>
      </c>
      <c r="BY1641" s="2" t="s">
        <v>277</v>
      </c>
      <c r="BZ1641" s="2" t="s">
        <v>243</v>
      </c>
      <c r="CA1641" s="2" t="s">
        <v>3970</v>
      </c>
      <c r="CB1641" s="2" t="s">
        <v>231</v>
      </c>
      <c r="CC1641" s="2" t="s">
        <v>244</v>
      </c>
      <c r="CD1641" s="2" t="s">
        <v>231</v>
      </c>
      <c r="CE1641" s="4"/>
      <c r="CF1641" s="4">
        <v>85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</row>
    <row r="1642">
      <c r="A1642" s="2" t="s">
        <v>7564</v>
      </c>
      <c r="B1642" s="2" t="s">
        <v>847</v>
      </c>
      <c r="C1642" s="2" t="s">
        <v>288</v>
      </c>
      <c r="D1642" s="2" t="s">
        <v>882</v>
      </c>
      <c r="E1642" s="2" t="s">
        <v>2191</v>
      </c>
      <c r="F1642" s="2" t="s">
        <v>7560</v>
      </c>
      <c r="G1642" s="2" t="s">
        <v>7560</v>
      </c>
      <c r="H1642" s="2" t="s">
        <v>7560</v>
      </c>
      <c r="I1642" s="2" t="s">
        <v>7565</v>
      </c>
      <c r="J1642" s="2" t="s">
        <v>807</v>
      </c>
      <c r="K1642" s="2" t="s">
        <v>7566</v>
      </c>
      <c r="L1642" s="3">
        <v>8.33</v>
      </c>
      <c r="M1642" s="3">
        <v>8.75</v>
      </c>
      <c r="N1642" s="3">
        <v>24.99</v>
      </c>
      <c r="O1642" s="2" t="s">
        <v>243</v>
      </c>
      <c r="P1642" s="2" t="s">
        <v>236</v>
      </c>
      <c r="Q1642" s="2" t="s">
        <v>237</v>
      </c>
      <c r="R1642" s="2" t="s">
        <v>231</v>
      </c>
      <c r="S1642" s="2" t="s">
        <v>231</v>
      </c>
      <c r="T1642" s="2" t="s">
        <v>231</v>
      </c>
      <c r="U1642" s="2" t="s">
        <v>327</v>
      </c>
      <c r="V1642" s="2" t="s">
        <v>2195</v>
      </c>
      <c r="W1642" s="2" t="s">
        <v>792</v>
      </c>
      <c r="X1642" s="2" t="s">
        <v>273</v>
      </c>
      <c r="Y1642" s="2" t="s">
        <v>6489</v>
      </c>
      <c r="Z1642" s="4">
        <v>117</v>
      </c>
      <c r="AA1642" s="4">
        <f>=ROUNDDOWN(117,0)</f>
      </c>
      <c r="AB1642" s="5">
        <v>1</v>
      </c>
      <c r="AC1642" s="2" t="s">
        <v>231</v>
      </c>
      <c r="AD1642" s="4"/>
      <c r="AE1642" s="4"/>
      <c r="AF1642" s="6">
        <v>63</v>
      </c>
      <c r="AG1642" s="6"/>
      <c r="AH1642" s="7">
        <v>1</v>
      </c>
      <c r="AI1642" s="4"/>
      <c r="AJ1642" s="4">
        <f>=ROUNDDOWN({0},0)</f>
      </c>
      <c r="AK1642" s="5"/>
      <c r="AL1642" s="2" t="s">
        <v>231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231</v>
      </c>
      <c r="BD1642" s="8" t="s">
        <v>231</v>
      </c>
      <c r="BE1642" s="4" t="s">
        <v>231</v>
      </c>
      <c r="BF1642" s="8" t="s">
        <v>231</v>
      </c>
      <c r="BG1642" s="7" t="s">
        <v>231</v>
      </c>
      <c r="BH1642" s="7" t="s">
        <v>231</v>
      </c>
      <c r="BI1642" s="7"/>
      <c r="BJ1642" s="4">
        <v>2</v>
      </c>
      <c r="BK1642" s="8">
        <v>19.15</v>
      </c>
      <c r="BL1642" s="2" t="s">
        <v>2225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7567</v>
      </c>
      <c r="BV1642" s="2" t="s">
        <v>231</v>
      </c>
      <c r="BW1642" s="2" t="s">
        <v>231</v>
      </c>
      <c r="BX1642" s="2" t="s">
        <v>241</v>
      </c>
      <c r="BY1642" s="2" t="s">
        <v>277</v>
      </c>
      <c r="BZ1642" s="2" t="s">
        <v>243</v>
      </c>
      <c r="CA1642" s="2" t="s">
        <v>3970</v>
      </c>
      <c r="CB1642" s="2" t="s">
        <v>231</v>
      </c>
      <c r="CC1642" s="2" t="s">
        <v>244</v>
      </c>
      <c r="CD1642" s="2" t="s">
        <v>231</v>
      </c>
      <c r="CE1642" s="4"/>
      <c r="CF1642" s="4">
        <v>117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</row>
    <row r="1643">
      <c r="A1643" s="2" t="s">
        <v>7568</v>
      </c>
      <c r="B1643" s="2" t="s">
        <v>847</v>
      </c>
      <c r="C1643" s="2" t="s">
        <v>288</v>
      </c>
      <c r="D1643" s="2" t="s">
        <v>882</v>
      </c>
      <c r="E1643" s="2" t="s">
        <v>2191</v>
      </c>
      <c r="F1643" s="2" t="s">
        <v>7560</v>
      </c>
      <c r="G1643" s="2" t="s">
        <v>7560</v>
      </c>
      <c r="H1643" s="2" t="s">
        <v>7560</v>
      </c>
      <c r="I1643" s="2" t="s">
        <v>7569</v>
      </c>
      <c r="J1643" s="2" t="s">
        <v>807</v>
      </c>
      <c r="K1643" s="2" t="s">
        <v>7570</v>
      </c>
      <c r="L1643" s="3">
        <v>8.33</v>
      </c>
      <c r="M1643" s="3">
        <v>8.75</v>
      </c>
      <c r="N1643" s="3">
        <v>24.99</v>
      </c>
      <c r="O1643" s="2" t="s">
        <v>243</v>
      </c>
      <c r="P1643" s="2" t="s">
        <v>236</v>
      </c>
      <c r="Q1643" s="2" t="s">
        <v>237</v>
      </c>
      <c r="R1643" s="2" t="s">
        <v>231</v>
      </c>
      <c r="S1643" s="2" t="s">
        <v>231</v>
      </c>
      <c r="T1643" s="2" t="s">
        <v>231</v>
      </c>
      <c r="U1643" s="2" t="s">
        <v>327</v>
      </c>
      <c r="V1643" s="2" t="s">
        <v>2195</v>
      </c>
      <c r="W1643" s="2" t="s">
        <v>792</v>
      </c>
      <c r="X1643" s="2" t="s">
        <v>273</v>
      </c>
      <c r="Y1643" s="2" t="s">
        <v>6489</v>
      </c>
      <c r="Z1643" s="4">
        <v>110</v>
      </c>
      <c r="AA1643" s="4">
        <f>=ROUNDDOWN(110,0)</f>
      </c>
      <c r="AB1643" s="5">
        <v>1</v>
      </c>
      <c r="AC1643" s="2" t="s">
        <v>231</v>
      </c>
      <c r="AD1643" s="4"/>
      <c r="AE1643" s="4"/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231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231</v>
      </c>
      <c r="BD1643" s="8" t="s">
        <v>231</v>
      </c>
      <c r="BE1643" s="4" t="s">
        <v>231</v>
      </c>
      <c r="BF1643" s="8" t="s">
        <v>231</v>
      </c>
      <c r="BG1643" s="7" t="s">
        <v>231</v>
      </c>
      <c r="BH1643" s="7" t="s">
        <v>231</v>
      </c>
      <c r="BI1643" s="7"/>
      <c r="BJ1643" s="4">
        <v>1</v>
      </c>
      <c r="BK1643" s="8">
        <v>8.75</v>
      </c>
      <c r="BL1643" s="2" t="s">
        <v>1306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7571</v>
      </c>
      <c r="BV1643" s="2" t="s">
        <v>231</v>
      </c>
      <c r="BW1643" s="2" t="s">
        <v>231</v>
      </c>
      <c r="BX1643" s="2" t="s">
        <v>241</v>
      </c>
      <c r="BY1643" s="2" t="s">
        <v>277</v>
      </c>
      <c r="BZ1643" s="2" t="s">
        <v>243</v>
      </c>
      <c r="CA1643" s="2" t="s">
        <v>3970</v>
      </c>
      <c r="CB1643" s="2" t="s">
        <v>231</v>
      </c>
      <c r="CC1643" s="2" t="s">
        <v>244</v>
      </c>
      <c r="CD1643" s="2" t="s">
        <v>231</v>
      </c>
      <c r="CE1643" s="4"/>
      <c r="CF1643" s="4">
        <v>110</v>
      </c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</row>
    <row r="1644">
      <c r="A1644" s="2" t="s">
        <v>7572</v>
      </c>
      <c r="B1644" s="2" t="s">
        <v>824</v>
      </c>
      <c r="C1644" s="2" t="s">
        <v>1051</v>
      </c>
      <c r="D1644" s="2" t="s">
        <v>654</v>
      </c>
      <c r="E1644" s="2" t="s">
        <v>890</v>
      </c>
      <c r="F1644" s="2" t="s">
        <v>7573</v>
      </c>
      <c r="G1644" s="2" t="s">
        <v>7574</v>
      </c>
      <c r="H1644" s="2" t="s">
        <v>2835</v>
      </c>
      <c r="I1644" s="2" t="s">
        <v>7575</v>
      </c>
      <c r="J1644" s="2" t="s">
        <v>658</v>
      </c>
      <c r="K1644" s="2" t="s">
        <v>234</v>
      </c>
      <c r="L1644" s="3">
        <v>38.09</v>
      </c>
      <c r="M1644" s="3">
        <v>39.99</v>
      </c>
      <c r="N1644" s="3">
        <v>79.99</v>
      </c>
      <c r="O1644" s="2" t="s">
        <v>243</v>
      </c>
      <c r="P1644" s="2" t="s">
        <v>236</v>
      </c>
      <c r="Q1644" s="2" t="s">
        <v>237</v>
      </c>
      <c r="R1644" s="2" t="s">
        <v>231</v>
      </c>
      <c r="S1644" s="2" t="s">
        <v>7576</v>
      </c>
      <c r="T1644" s="2" t="s">
        <v>3741</v>
      </c>
      <c r="U1644" s="2" t="s">
        <v>835</v>
      </c>
      <c r="V1644" s="2" t="s">
        <v>239</v>
      </c>
      <c r="W1644" s="2" t="s">
        <v>691</v>
      </c>
      <c r="X1644" s="2" t="s">
        <v>273</v>
      </c>
      <c r="Y1644" s="2" t="s">
        <v>5551</v>
      </c>
      <c r="Z1644" s="4">
        <v>352</v>
      </c>
      <c r="AA1644" s="4">
        <f>=ROUNDDOWN(234.666666666667,0)</f>
      </c>
      <c r="AB1644" s="5">
        <v>1.5</v>
      </c>
      <c r="AC1644" s="2" t="s">
        <v>231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231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231</v>
      </c>
      <c r="AW1644" s="8" t="s">
        <v>231</v>
      </c>
      <c r="AX1644" s="4" t="s">
        <v>231</v>
      </c>
      <c r="AY1644" s="8" t="s">
        <v>231</v>
      </c>
      <c r="AZ1644" s="7" t="s">
        <v>231</v>
      </c>
      <c r="BA1644" s="7" t="s">
        <v>231</v>
      </c>
      <c r="BB1644" s="7"/>
      <c r="BC1644" s="4" t="s">
        <v>231</v>
      </c>
      <c r="BD1644" s="8" t="s">
        <v>231</v>
      </c>
      <c r="BE1644" s="4" t="s">
        <v>231</v>
      </c>
      <c r="BF1644" s="8" t="s">
        <v>231</v>
      </c>
      <c r="BG1644" s="7" t="s">
        <v>231</v>
      </c>
      <c r="BH1644" s="7" t="s">
        <v>231</v>
      </c>
      <c r="BI1644" s="7"/>
      <c r="BJ1644" s="4">
        <v>3</v>
      </c>
      <c r="BK1644" s="8">
        <v>123.17</v>
      </c>
      <c r="BL1644" s="2" t="s">
        <v>2210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7577</v>
      </c>
      <c r="BV1644" s="2" t="s">
        <v>231</v>
      </c>
      <c r="BW1644" s="2" t="s">
        <v>231</v>
      </c>
      <c r="BX1644" s="2" t="s">
        <v>241</v>
      </c>
      <c r="BY1644" s="2" t="s">
        <v>277</v>
      </c>
      <c r="BZ1644" s="2" t="s">
        <v>243</v>
      </c>
      <c r="CA1644" s="2" t="s">
        <v>7240</v>
      </c>
      <c r="CB1644" s="2" t="s">
        <v>231</v>
      </c>
      <c r="CC1644" s="2" t="s">
        <v>244</v>
      </c>
      <c r="CD1644" s="2" t="s">
        <v>231</v>
      </c>
      <c r="CE1644" s="4">
        <v>352</v>
      </c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</row>
    <row r="1645">
      <c r="A1645" s="2" t="s">
        <v>7578</v>
      </c>
      <c r="B1645" s="2" t="s">
        <v>824</v>
      </c>
      <c r="C1645" s="2" t="s">
        <v>1051</v>
      </c>
      <c r="D1645" s="2" t="s">
        <v>654</v>
      </c>
      <c r="E1645" s="2" t="s">
        <v>890</v>
      </c>
      <c r="F1645" s="2" t="s">
        <v>7573</v>
      </c>
      <c r="G1645" s="2" t="s">
        <v>7574</v>
      </c>
      <c r="H1645" s="2" t="s">
        <v>2835</v>
      </c>
      <c r="I1645" s="2" t="s">
        <v>7575</v>
      </c>
      <c r="J1645" s="2" t="s">
        <v>669</v>
      </c>
      <c r="K1645" s="2" t="s">
        <v>234</v>
      </c>
      <c r="L1645" s="3">
        <v>42.85</v>
      </c>
      <c r="M1645" s="3">
        <v>44.99</v>
      </c>
      <c r="N1645" s="3">
        <v>89.99</v>
      </c>
      <c r="O1645" s="2" t="s">
        <v>243</v>
      </c>
      <c r="P1645" s="2" t="s">
        <v>236</v>
      </c>
      <c r="Q1645" s="2" t="s">
        <v>237</v>
      </c>
      <c r="R1645" s="2" t="s">
        <v>231</v>
      </c>
      <c r="S1645" s="2" t="s">
        <v>7576</v>
      </c>
      <c r="T1645" s="2" t="s">
        <v>3741</v>
      </c>
      <c r="U1645" s="2" t="s">
        <v>835</v>
      </c>
      <c r="V1645" s="2" t="s">
        <v>239</v>
      </c>
      <c r="W1645" s="2" t="s">
        <v>691</v>
      </c>
      <c r="X1645" s="2" t="s">
        <v>273</v>
      </c>
      <c r="Y1645" s="2" t="s">
        <v>5551</v>
      </c>
      <c r="Z1645" s="4">
        <v>314</v>
      </c>
      <c r="AA1645" s="4">
        <f>=ROUNDDOWN(174.444444444444,0)</f>
      </c>
      <c r="AB1645" s="5">
        <v>1.8</v>
      </c>
      <c r="AC1645" s="2" t="s">
        <v>231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231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231</v>
      </c>
      <c r="AW1645" s="8" t="s">
        <v>231</v>
      </c>
      <c r="AX1645" s="4" t="s">
        <v>231</v>
      </c>
      <c r="AY1645" s="8" t="s">
        <v>231</v>
      </c>
      <c r="AZ1645" s="7" t="s">
        <v>231</v>
      </c>
      <c r="BA1645" s="7" t="s">
        <v>231</v>
      </c>
      <c r="BB1645" s="7"/>
      <c r="BC1645" s="4" t="s">
        <v>231</v>
      </c>
      <c r="BD1645" s="8" t="s">
        <v>231</v>
      </c>
      <c r="BE1645" s="4" t="s">
        <v>231</v>
      </c>
      <c r="BF1645" s="8" t="s">
        <v>231</v>
      </c>
      <c r="BG1645" s="7" t="s">
        <v>231</v>
      </c>
      <c r="BH1645" s="7" t="s">
        <v>231</v>
      </c>
      <c r="BI1645" s="7"/>
      <c r="BJ1645" s="4">
        <v>2</v>
      </c>
      <c r="BK1645" s="8">
        <v>97.18</v>
      </c>
      <c r="BL1645" s="2" t="s">
        <v>1120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7579</v>
      </c>
      <c r="BV1645" s="2" t="s">
        <v>231</v>
      </c>
      <c r="BW1645" s="2" t="s">
        <v>231</v>
      </c>
      <c r="BX1645" s="2" t="s">
        <v>241</v>
      </c>
      <c r="BY1645" s="2" t="s">
        <v>277</v>
      </c>
      <c r="BZ1645" s="2" t="s">
        <v>243</v>
      </c>
      <c r="CA1645" s="2" t="s">
        <v>7240</v>
      </c>
      <c r="CB1645" s="2" t="s">
        <v>231</v>
      </c>
      <c r="CC1645" s="2" t="s">
        <v>244</v>
      </c>
      <c r="CD1645" s="2" t="s">
        <v>231</v>
      </c>
      <c r="CE1645" s="4">
        <v>314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</row>
    <row r="1646">
      <c r="A1646" s="2" t="s">
        <v>7580</v>
      </c>
      <c r="B1646" s="2" t="s">
        <v>824</v>
      </c>
      <c r="C1646" s="2" t="s">
        <v>1051</v>
      </c>
      <c r="D1646" s="2" t="s">
        <v>654</v>
      </c>
      <c r="E1646" s="2" t="s">
        <v>890</v>
      </c>
      <c r="F1646" s="2" t="s">
        <v>7573</v>
      </c>
      <c r="G1646" s="2" t="s">
        <v>7574</v>
      </c>
      <c r="H1646" s="2" t="s">
        <v>2835</v>
      </c>
      <c r="I1646" s="2" t="s">
        <v>7575</v>
      </c>
      <c r="J1646" s="2" t="s">
        <v>832</v>
      </c>
      <c r="K1646" s="2" t="s">
        <v>319</v>
      </c>
      <c r="L1646" s="3">
        <v>33.33</v>
      </c>
      <c r="M1646" s="3">
        <v>35</v>
      </c>
      <c r="N1646" s="3">
        <v>69.99</v>
      </c>
      <c r="O1646" s="2" t="s">
        <v>243</v>
      </c>
      <c r="P1646" s="2" t="s">
        <v>236</v>
      </c>
      <c r="Q1646" s="2" t="s">
        <v>237</v>
      </c>
      <c r="R1646" s="2" t="s">
        <v>231</v>
      </c>
      <c r="S1646" s="2" t="s">
        <v>7581</v>
      </c>
      <c r="T1646" s="2" t="s">
        <v>3741</v>
      </c>
      <c r="U1646" s="2" t="s">
        <v>791</v>
      </c>
      <c r="V1646" s="2" t="s">
        <v>239</v>
      </c>
      <c r="W1646" s="2" t="s">
        <v>691</v>
      </c>
      <c r="X1646" s="2" t="s">
        <v>273</v>
      </c>
      <c r="Y1646" s="2" t="s">
        <v>5551</v>
      </c>
      <c r="Z1646" s="4">
        <v>118</v>
      </c>
      <c r="AA1646" s="4">
        <f>=ROUNDDOWN({0},0)</f>
      </c>
      <c r="AB1646" s="5"/>
      <c r="AC1646" s="2" t="s">
        <v>231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231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231</v>
      </c>
      <c r="AW1646" s="8" t="s">
        <v>231</v>
      </c>
      <c r="AX1646" s="4" t="s">
        <v>231</v>
      </c>
      <c r="AY1646" s="8" t="s">
        <v>231</v>
      </c>
      <c r="AZ1646" s="7" t="s">
        <v>231</v>
      </c>
      <c r="BA1646" s="7" t="s">
        <v>231</v>
      </c>
      <c r="BB1646" s="7"/>
      <c r="BC1646" s="4" t="s">
        <v>231</v>
      </c>
      <c r="BD1646" s="8" t="s">
        <v>231</v>
      </c>
      <c r="BE1646" s="4" t="s">
        <v>231</v>
      </c>
      <c r="BF1646" s="8" t="s">
        <v>231</v>
      </c>
      <c r="BG1646" s="7" t="s">
        <v>231</v>
      </c>
      <c r="BH1646" s="7" t="s">
        <v>231</v>
      </c>
      <c r="BI1646" s="7"/>
      <c r="BJ1646" s="4">
        <v>1</v>
      </c>
      <c r="BK1646" s="8">
        <v>37.8</v>
      </c>
      <c r="BL1646" s="2" t="s">
        <v>465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7582</v>
      </c>
      <c r="BV1646" s="2" t="s">
        <v>231</v>
      </c>
      <c r="BW1646" s="2" t="s">
        <v>231</v>
      </c>
      <c r="BX1646" s="2" t="s">
        <v>241</v>
      </c>
      <c r="BY1646" s="2" t="s">
        <v>277</v>
      </c>
      <c r="BZ1646" s="2" t="s">
        <v>243</v>
      </c>
      <c r="CA1646" s="2" t="s">
        <v>7240</v>
      </c>
      <c r="CB1646" s="2" t="s">
        <v>2136</v>
      </c>
      <c r="CC1646" s="2" t="s">
        <v>244</v>
      </c>
      <c r="CD1646" s="2" t="s">
        <v>231</v>
      </c>
      <c r="CE1646" s="4">
        <v>118</v>
      </c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</row>
    <row r="1647">
      <c r="A1647" s="2" t="s">
        <v>7583</v>
      </c>
      <c r="B1647" s="2" t="s">
        <v>824</v>
      </c>
      <c r="C1647" s="2" t="s">
        <v>1051</v>
      </c>
      <c r="D1647" s="2" t="s">
        <v>654</v>
      </c>
      <c r="E1647" s="2" t="s">
        <v>890</v>
      </c>
      <c r="F1647" s="2" t="s">
        <v>7573</v>
      </c>
      <c r="G1647" s="2" t="s">
        <v>7574</v>
      </c>
      <c r="H1647" s="2" t="s">
        <v>2835</v>
      </c>
      <c r="I1647" s="2" t="s">
        <v>7575</v>
      </c>
      <c r="J1647" s="2" t="s">
        <v>658</v>
      </c>
      <c r="K1647" s="2" t="s">
        <v>319</v>
      </c>
      <c r="L1647" s="3">
        <v>38.09</v>
      </c>
      <c r="M1647" s="3">
        <v>39.99</v>
      </c>
      <c r="N1647" s="3">
        <v>79.99</v>
      </c>
      <c r="O1647" s="2" t="s">
        <v>243</v>
      </c>
      <c r="P1647" s="2" t="s">
        <v>236</v>
      </c>
      <c r="Q1647" s="2" t="s">
        <v>237</v>
      </c>
      <c r="R1647" s="2" t="s">
        <v>231</v>
      </c>
      <c r="S1647" s="2" t="s">
        <v>7581</v>
      </c>
      <c r="T1647" s="2" t="s">
        <v>3741</v>
      </c>
      <c r="U1647" s="2" t="s">
        <v>835</v>
      </c>
      <c r="V1647" s="2" t="s">
        <v>239</v>
      </c>
      <c r="W1647" s="2" t="s">
        <v>691</v>
      </c>
      <c r="X1647" s="2" t="s">
        <v>273</v>
      </c>
      <c r="Y1647" s="2" t="s">
        <v>5551</v>
      </c>
      <c r="Z1647" s="4">
        <v>350</v>
      </c>
      <c r="AA1647" s="4">
        <f>=ROUNDDOWN(500,0)</f>
      </c>
      <c r="AB1647" s="5">
        <v>0.7</v>
      </c>
      <c r="AC1647" s="2" t="s">
        <v>231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231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231</v>
      </c>
      <c r="AW1647" s="8" t="s">
        <v>231</v>
      </c>
      <c r="AX1647" s="4" t="s">
        <v>231</v>
      </c>
      <c r="AY1647" s="8" t="s">
        <v>231</v>
      </c>
      <c r="AZ1647" s="7" t="s">
        <v>231</v>
      </c>
      <c r="BA1647" s="7" t="s">
        <v>231</v>
      </c>
      <c r="BB1647" s="7"/>
      <c r="BC1647" s="4" t="s">
        <v>231</v>
      </c>
      <c r="BD1647" s="8" t="s">
        <v>231</v>
      </c>
      <c r="BE1647" s="4" t="s">
        <v>231</v>
      </c>
      <c r="BF1647" s="8" t="s">
        <v>231</v>
      </c>
      <c r="BG1647" s="7" t="s">
        <v>231</v>
      </c>
      <c r="BH1647" s="7" t="s">
        <v>231</v>
      </c>
      <c r="BI1647" s="7"/>
      <c r="BJ1647" s="4">
        <v>2</v>
      </c>
      <c r="BK1647" s="8">
        <v>83.18</v>
      </c>
      <c r="BL1647" s="2" t="s">
        <v>2225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7584</v>
      </c>
      <c r="BV1647" s="2" t="s">
        <v>231</v>
      </c>
      <c r="BW1647" s="2" t="s">
        <v>231</v>
      </c>
      <c r="BX1647" s="2" t="s">
        <v>241</v>
      </c>
      <c r="BY1647" s="2" t="s">
        <v>277</v>
      </c>
      <c r="BZ1647" s="2" t="s">
        <v>243</v>
      </c>
      <c r="CA1647" s="2" t="s">
        <v>7240</v>
      </c>
      <c r="CB1647" s="2" t="s">
        <v>231</v>
      </c>
      <c r="CC1647" s="2" t="s">
        <v>244</v>
      </c>
      <c r="CD1647" s="2" t="s">
        <v>231</v>
      </c>
      <c r="CE1647" s="4">
        <v>350</v>
      </c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</row>
    <row r="1648">
      <c r="A1648" s="2" t="s">
        <v>7585</v>
      </c>
      <c r="B1648" s="2" t="s">
        <v>824</v>
      </c>
      <c r="C1648" s="2" t="s">
        <v>1051</v>
      </c>
      <c r="D1648" s="2" t="s">
        <v>654</v>
      </c>
      <c r="E1648" s="2" t="s">
        <v>890</v>
      </c>
      <c r="F1648" s="2" t="s">
        <v>7573</v>
      </c>
      <c r="G1648" s="2" t="s">
        <v>7574</v>
      </c>
      <c r="H1648" s="2" t="s">
        <v>2835</v>
      </c>
      <c r="I1648" s="2" t="s">
        <v>7575</v>
      </c>
      <c r="J1648" s="2" t="s">
        <v>669</v>
      </c>
      <c r="K1648" s="2" t="s">
        <v>319</v>
      </c>
      <c r="L1648" s="3">
        <v>42.85</v>
      </c>
      <c r="M1648" s="3">
        <v>44.99</v>
      </c>
      <c r="N1648" s="3">
        <v>89.99</v>
      </c>
      <c r="O1648" s="2" t="s">
        <v>243</v>
      </c>
      <c r="P1648" s="2" t="s">
        <v>236</v>
      </c>
      <c r="Q1648" s="2" t="s">
        <v>237</v>
      </c>
      <c r="R1648" s="2" t="s">
        <v>231</v>
      </c>
      <c r="S1648" s="2" t="s">
        <v>7581</v>
      </c>
      <c r="T1648" s="2" t="s">
        <v>3741</v>
      </c>
      <c r="U1648" s="2" t="s">
        <v>835</v>
      </c>
      <c r="V1648" s="2" t="s">
        <v>239</v>
      </c>
      <c r="W1648" s="2" t="s">
        <v>691</v>
      </c>
      <c r="X1648" s="2" t="s">
        <v>273</v>
      </c>
      <c r="Y1648" s="2" t="s">
        <v>5551</v>
      </c>
      <c r="Z1648" s="4">
        <v>312</v>
      </c>
      <c r="AA1648" s="4">
        <f>=ROUNDDOWN(164.210526315789,0)</f>
      </c>
      <c r="AB1648" s="5">
        <v>1.9</v>
      </c>
      <c r="AC1648" s="2" t="s">
        <v>231</v>
      </c>
      <c r="AD1648" s="4"/>
      <c r="AE1648" s="4"/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231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231</v>
      </c>
      <c r="AW1648" s="8" t="s">
        <v>231</v>
      </c>
      <c r="AX1648" s="4" t="s">
        <v>231</v>
      </c>
      <c r="AY1648" s="8" t="s">
        <v>231</v>
      </c>
      <c r="AZ1648" s="7" t="s">
        <v>231</v>
      </c>
      <c r="BA1648" s="7" t="s">
        <v>231</v>
      </c>
      <c r="BB1648" s="7"/>
      <c r="BC1648" s="4" t="s">
        <v>231</v>
      </c>
      <c r="BD1648" s="8" t="s">
        <v>231</v>
      </c>
      <c r="BE1648" s="4" t="s">
        <v>231</v>
      </c>
      <c r="BF1648" s="8" t="s">
        <v>231</v>
      </c>
      <c r="BG1648" s="7" t="s">
        <v>231</v>
      </c>
      <c r="BH1648" s="7" t="s">
        <v>231</v>
      </c>
      <c r="BI1648" s="7"/>
      <c r="BJ1648" s="4">
        <v>4</v>
      </c>
      <c r="BK1648" s="8">
        <v>209.76</v>
      </c>
      <c r="BL1648" s="2" t="s">
        <v>7586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7587</v>
      </c>
      <c r="BV1648" s="2" t="s">
        <v>231</v>
      </c>
      <c r="BW1648" s="2" t="s">
        <v>231</v>
      </c>
      <c r="BX1648" s="2" t="s">
        <v>241</v>
      </c>
      <c r="BY1648" s="2" t="s">
        <v>277</v>
      </c>
      <c r="BZ1648" s="2" t="s">
        <v>243</v>
      </c>
      <c r="CA1648" s="2" t="s">
        <v>7240</v>
      </c>
      <c r="CB1648" s="2" t="s">
        <v>231</v>
      </c>
      <c r="CC1648" s="2" t="s">
        <v>244</v>
      </c>
      <c r="CD1648" s="2" t="s">
        <v>231</v>
      </c>
      <c r="CE1648" s="4">
        <v>312</v>
      </c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</row>
    <row r="1649">
      <c r="A1649" s="2" t="s">
        <v>7588</v>
      </c>
      <c r="B1649" s="2" t="s">
        <v>1004</v>
      </c>
      <c r="C1649" s="2" t="s">
        <v>1105</v>
      </c>
      <c r="D1649" s="2" t="s">
        <v>1689</v>
      </c>
      <c r="E1649" s="2" t="s">
        <v>2538</v>
      </c>
      <c r="F1649" s="2" t="s">
        <v>7589</v>
      </c>
      <c r="G1649" s="2" t="s">
        <v>7589</v>
      </c>
      <c r="H1649" s="2" t="s">
        <v>7589</v>
      </c>
      <c r="I1649" s="2" t="s">
        <v>7590</v>
      </c>
      <c r="J1649" s="2" t="s">
        <v>807</v>
      </c>
      <c r="K1649" s="2" t="s">
        <v>5010</v>
      </c>
      <c r="L1649" s="3">
        <v>112.1</v>
      </c>
      <c r="M1649" s="3">
        <v>117.7</v>
      </c>
      <c r="N1649" s="3">
        <v>239</v>
      </c>
      <c r="O1649" s="2" t="s">
        <v>243</v>
      </c>
      <c r="P1649" s="2" t="s">
        <v>236</v>
      </c>
      <c r="Q1649" s="2" t="s">
        <v>237</v>
      </c>
      <c r="R1649" s="2" t="s">
        <v>231</v>
      </c>
      <c r="S1649" s="2" t="s">
        <v>231</v>
      </c>
      <c r="T1649" s="2" t="s">
        <v>231</v>
      </c>
      <c r="U1649" s="2" t="s">
        <v>327</v>
      </c>
      <c r="V1649" s="2" t="s">
        <v>662</v>
      </c>
      <c r="W1649" s="2" t="s">
        <v>792</v>
      </c>
      <c r="X1649" s="2" t="s">
        <v>691</v>
      </c>
      <c r="Y1649" s="2" t="s">
        <v>5018</v>
      </c>
      <c r="Z1649" s="4">
        <v>178</v>
      </c>
      <c r="AA1649" s="4">
        <f>=ROUNDDOWN(22.25,0)</f>
      </c>
      <c r="AB1649" s="5">
        <v>8</v>
      </c>
      <c r="AC1649" s="2" t="s">
        <v>477</v>
      </c>
      <c r="AD1649" s="4">
        <v>82</v>
      </c>
      <c r="AE1649" s="4">
        <v>100</v>
      </c>
      <c r="AF1649" s="6">
        <v>74</v>
      </c>
      <c r="AG1649" s="6"/>
      <c r="AH1649" s="7">
        <v>1</v>
      </c>
      <c r="AI1649" s="4"/>
      <c r="AJ1649" s="4">
        <f>=ROUNDDOWN({0},0)</f>
      </c>
      <c r="AK1649" s="5"/>
      <c r="AL1649" s="2" t="s">
        <v>231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231</v>
      </c>
      <c r="BD1649" s="8" t="s">
        <v>231</v>
      </c>
      <c r="BE1649" s="4" t="s">
        <v>231</v>
      </c>
      <c r="BF1649" s="8" t="s">
        <v>231</v>
      </c>
      <c r="BG1649" s="7" t="s">
        <v>231</v>
      </c>
      <c r="BH1649" s="7" t="s">
        <v>231</v>
      </c>
      <c r="BI1649" s="7"/>
      <c r="BJ1649" s="4">
        <v>2</v>
      </c>
      <c r="BK1649" s="8">
        <v>242.48</v>
      </c>
      <c r="BL1649" s="2" t="s">
        <v>628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7591</v>
      </c>
      <c r="BV1649" s="2" t="s">
        <v>231</v>
      </c>
      <c r="BW1649" s="2" t="s">
        <v>231</v>
      </c>
      <c r="BX1649" s="2" t="s">
        <v>241</v>
      </c>
      <c r="BY1649" s="2" t="s">
        <v>277</v>
      </c>
      <c r="BZ1649" s="2" t="s">
        <v>243</v>
      </c>
      <c r="CA1649" s="2" t="s">
        <v>2637</v>
      </c>
      <c r="CB1649" s="2" t="s">
        <v>231</v>
      </c>
      <c r="CC1649" s="2" t="s">
        <v>244</v>
      </c>
      <c r="CD1649" s="2" t="s">
        <v>231</v>
      </c>
      <c r="CE1649" s="4"/>
      <c r="CF1649" s="4">
        <v>178</v>
      </c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>
        <v>82</v>
      </c>
      <c r="DT1649" s="4">
        <v>18</v>
      </c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</row>
    <row r="1650">
      <c r="A1650" s="2" t="s">
        <v>7592</v>
      </c>
      <c r="B1650" s="2" t="s">
        <v>1004</v>
      </c>
      <c r="C1650" s="2" t="s">
        <v>1105</v>
      </c>
      <c r="D1650" s="2" t="s">
        <v>1689</v>
      </c>
      <c r="E1650" s="2" t="s">
        <v>2538</v>
      </c>
      <c r="F1650" s="2" t="s">
        <v>7589</v>
      </c>
      <c r="G1650" s="2" t="s">
        <v>7589</v>
      </c>
      <c r="H1650" s="2" t="s">
        <v>7589</v>
      </c>
      <c r="I1650" s="2" t="s">
        <v>7590</v>
      </c>
      <c r="J1650" s="2" t="s">
        <v>807</v>
      </c>
      <c r="K1650" s="2" t="s">
        <v>747</v>
      </c>
      <c r="L1650" s="3">
        <v>112.1</v>
      </c>
      <c r="M1650" s="3">
        <v>117.7</v>
      </c>
      <c r="N1650" s="3">
        <v>239</v>
      </c>
      <c r="O1650" s="2" t="s">
        <v>243</v>
      </c>
      <c r="P1650" s="2" t="s">
        <v>236</v>
      </c>
      <c r="Q1650" s="2" t="s">
        <v>237</v>
      </c>
      <c r="R1650" s="2" t="s">
        <v>231</v>
      </c>
      <c r="S1650" s="2" t="s">
        <v>231</v>
      </c>
      <c r="T1650" s="2" t="s">
        <v>231</v>
      </c>
      <c r="U1650" s="2" t="s">
        <v>327</v>
      </c>
      <c r="V1650" s="2" t="s">
        <v>662</v>
      </c>
      <c r="W1650" s="2" t="s">
        <v>792</v>
      </c>
      <c r="X1650" s="2" t="s">
        <v>691</v>
      </c>
      <c r="Y1650" s="2" t="s">
        <v>231</v>
      </c>
      <c r="Z1650" s="4"/>
      <c r="AA1650" s="4">
        <f>=ROUNDDOWN({0},0)</f>
      </c>
      <c r="AB1650" s="5">
        <v>3</v>
      </c>
      <c r="AC1650" s="2" t="s">
        <v>876</v>
      </c>
      <c r="AD1650" s="4">
        <v>100</v>
      </c>
      <c r="AE1650" s="4">
        <v>100</v>
      </c>
      <c r="AF1650" s="6">
        <v>74</v>
      </c>
      <c r="AG1650" s="6"/>
      <c r="AH1650" s="7">
        <v>0</v>
      </c>
      <c r="AI1650" s="4"/>
      <c r="AJ1650" s="4">
        <f>=ROUNDDOWN({0},0)</f>
      </c>
      <c r="AK1650" s="5"/>
      <c r="AL1650" s="2" t="s">
        <v>231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231</v>
      </c>
      <c r="BD1650" s="8" t="s">
        <v>231</v>
      </c>
      <c r="BE1650" s="4" t="s">
        <v>231</v>
      </c>
      <c r="BF1650" s="8" t="s">
        <v>231</v>
      </c>
      <c r="BG1650" s="7" t="s">
        <v>231</v>
      </c>
      <c r="BH1650" s="7" t="s">
        <v>231</v>
      </c>
      <c r="BI1650" s="7"/>
      <c r="BJ1650" s="4"/>
      <c r="BK1650" s="8"/>
      <c r="BL1650" s="2" t="s">
        <v>231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241</v>
      </c>
      <c r="BV1650" s="2" t="s">
        <v>231</v>
      </c>
      <c r="BW1650" s="2" t="s">
        <v>231</v>
      </c>
      <c r="BX1650" s="2" t="s">
        <v>241</v>
      </c>
      <c r="BY1650" s="2" t="s">
        <v>242</v>
      </c>
      <c r="BZ1650" s="2" t="s">
        <v>243</v>
      </c>
      <c r="CA1650" s="2" t="s">
        <v>231</v>
      </c>
      <c r="CB1650" s="2" t="s">
        <v>231</v>
      </c>
      <c r="CC1650" s="2" t="s">
        <v>244</v>
      </c>
      <c r="CD1650" s="2" t="s">
        <v>231</v>
      </c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>
        <v>100</v>
      </c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</row>
    <row r="1651">
      <c r="A1651" s="2" t="s">
        <v>7593</v>
      </c>
      <c r="B1651" s="2" t="s">
        <v>1004</v>
      </c>
      <c r="C1651" s="2" t="s">
        <v>1105</v>
      </c>
      <c r="D1651" s="2" t="s">
        <v>1689</v>
      </c>
      <c r="E1651" s="2" t="s">
        <v>2538</v>
      </c>
      <c r="F1651" s="2" t="s">
        <v>7589</v>
      </c>
      <c r="G1651" s="2" t="s">
        <v>7589</v>
      </c>
      <c r="H1651" s="2" t="s">
        <v>7589</v>
      </c>
      <c r="I1651" s="2" t="s">
        <v>7590</v>
      </c>
      <c r="J1651" s="2" t="s">
        <v>807</v>
      </c>
      <c r="K1651" s="2" t="s">
        <v>452</v>
      </c>
      <c r="L1651" s="3">
        <v>112.1</v>
      </c>
      <c r="M1651" s="3">
        <v>117.7</v>
      </c>
      <c r="N1651" s="3">
        <v>239</v>
      </c>
      <c r="O1651" s="2" t="s">
        <v>243</v>
      </c>
      <c r="P1651" s="2" t="s">
        <v>341</v>
      </c>
      <c r="Q1651" s="2" t="s">
        <v>237</v>
      </c>
      <c r="R1651" s="2" t="s">
        <v>231</v>
      </c>
      <c r="S1651" s="2" t="s">
        <v>231</v>
      </c>
      <c r="T1651" s="2" t="s">
        <v>231</v>
      </c>
      <c r="U1651" s="2" t="s">
        <v>327</v>
      </c>
      <c r="V1651" s="2" t="s">
        <v>662</v>
      </c>
      <c r="W1651" s="2" t="s">
        <v>792</v>
      </c>
      <c r="X1651" s="2" t="s">
        <v>691</v>
      </c>
      <c r="Y1651" s="2" t="s">
        <v>3681</v>
      </c>
      <c r="Z1651" s="4">
        <v>49</v>
      </c>
      <c r="AA1651" s="4">
        <f>=ROUNDDOWN(24.5,0)</f>
      </c>
      <c r="AB1651" s="5">
        <v>2</v>
      </c>
      <c r="AC1651" s="2" t="s">
        <v>231</v>
      </c>
      <c r="AD1651" s="4"/>
      <c r="AE1651" s="4"/>
      <c r="AF1651" s="6">
        <v>74</v>
      </c>
      <c r="AG1651" s="6"/>
      <c r="AH1651" s="7">
        <v>1</v>
      </c>
      <c r="AI1651" s="4"/>
      <c r="AJ1651" s="4">
        <f>=ROUNDDOWN({0},0)</f>
      </c>
      <c r="AK1651" s="5"/>
      <c r="AL1651" s="2" t="s">
        <v>231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231</v>
      </c>
      <c r="BD1651" s="8" t="s">
        <v>231</v>
      </c>
      <c r="BE1651" s="4" t="s">
        <v>231</v>
      </c>
      <c r="BF1651" s="8" t="s">
        <v>231</v>
      </c>
      <c r="BG1651" s="7" t="s">
        <v>231</v>
      </c>
      <c r="BH1651" s="7" t="s">
        <v>231</v>
      </c>
      <c r="BI1651" s="7"/>
      <c r="BJ1651" s="4">
        <v>1</v>
      </c>
      <c r="BK1651" s="8">
        <v>110.59</v>
      </c>
      <c r="BL1651" s="2" t="s">
        <v>7594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241</v>
      </c>
      <c r="BV1651" s="2" t="s">
        <v>231</v>
      </c>
      <c r="BW1651" s="2" t="s">
        <v>231</v>
      </c>
      <c r="BX1651" s="2" t="s">
        <v>241</v>
      </c>
      <c r="BY1651" s="2" t="s">
        <v>2527</v>
      </c>
      <c r="BZ1651" s="2" t="s">
        <v>243</v>
      </c>
      <c r="CA1651" s="2" t="s">
        <v>231</v>
      </c>
      <c r="CB1651" s="2" t="s">
        <v>231</v>
      </c>
      <c r="CC1651" s="2" t="s">
        <v>244</v>
      </c>
      <c r="CD1651" s="2" t="s">
        <v>231</v>
      </c>
      <c r="CE1651" s="4"/>
      <c r="CF1651" s="4">
        <v>49</v>
      </c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</row>
    <row r="1652">
      <c r="A1652" s="2" t="s">
        <v>7595</v>
      </c>
      <c r="B1652" s="2" t="s">
        <v>847</v>
      </c>
      <c r="C1652" s="2" t="s">
        <v>288</v>
      </c>
      <c r="D1652" s="2" t="s">
        <v>882</v>
      </c>
      <c r="E1652" s="2" t="s">
        <v>2623</v>
      </c>
      <c r="F1652" s="2" t="s">
        <v>7596</v>
      </c>
      <c r="G1652" s="2" t="s">
        <v>7596</v>
      </c>
      <c r="H1652" s="2" t="s">
        <v>7596</v>
      </c>
      <c r="I1652" s="2" t="s">
        <v>7597</v>
      </c>
      <c r="J1652" s="2" t="s">
        <v>807</v>
      </c>
      <c r="K1652" s="2" t="s">
        <v>852</v>
      </c>
      <c r="L1652" s="3">
        <v>38.67</v>
      </c>
      <c r="M1652" s="3">
        <v>40.6</v>
      </c>
      <c r="N1652" s="3">
        <v>79.99</v>
      </c>
      <c r="O1652" s="2" t="s">
        <v>250</v>
      </c>
      <c r="P1652" s="2" t="s">
        <v>341</v>
      </c>
      <c r="Q1652" s="2" t="s">
        <v>237</v>
      </c>
      <c r="R1652" s="2" t="s">
        <v>231</v>
      </c>
      <c r="S1652" s="2" t="s">
        <v>231</v>
      </c>
      <c r="T1652" s="2" t="s">
        <v>231</v>
      </c>
      <c r="U1652" s="2" t="s">
        <v>791</v>
      </c>
      <c r="V1652" s="2" t="s">
        <v>381</v>
      </c>
      <c r="W1652" s="2" t="s">
        <v>273</v>
      </c>
      <c r="X1652" s="2" t="s">
        <v>896</v>
      </c>
      <c r="Y1652" s="2" t="s">
        <v>4019</v>
      </c>
      <c r="Z1652" s="4">
        <v>15</v>
      </c>
      <c r="AA1652" s="4">
        <f>=ROUNDDOWN(11.5384615384615,0)</f>
      </c>
      <c r="AB1652" s="5">
        <v>1.3</v>
      </c>
      <c r="AC1652" s="2" t="s">
        <v>231</v>
      </c>
      <c r="AD1652" s="4"/>
      <c r="AE1652" s="4"/>
      <c r="AF1652" s="6">
        <v>63</v>
      </c>
      <c r="AG1652" s="6"/>
      <c r="AH1652" s="7">
        <v>1</v>
      </c>
      <c r="AI1652" s="4"/>
      <c r="AJ1652" s="4">
        <f>=ROUNDDOWN({0},0)</f>
      </c>
      <c r="AK1652" s="5"/>
      <c r="AL1652" s="2" t="s">
        <v>231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/>
      <c r="BD1652" s="8"/>
      <c r="BE1652" s="4"/>
      <c r="BF1652" s="8"/>
      <c r="BG1652" s="7"/>
      <c r="BH1652" s="7"/>
      <c r="BI1652" s="7"/>
      <c r="BJ1652" s="4">
        <v>7</v>
      </c>
      <c r="BK1652" s="8">
        <v>266.58</v>
      </c>
      <c r="BL1652" s="2" t="s">
        <v>7598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7599</v>
      </c>
      <c r="BV1652" s="2" t="s">
        <v>231</v>
      </c>
      <c r="BW1652" s="2" t="s">
        <v>231</v>
      </c>
      <c r="BX1652" s="2" t="s">
        <v>231</v>
      </c>
      <c r="BY1652" s="2" t="s">
        <v>277</v>
      </c>
      <c r="BZ1652" s="2" t="s">
        <v>243</v>
      </c>
      <c r="CA1652" s="2" t="s">
        <v>7600</v>
      </c>
      <c r="CB1652" s="2" t="s">
        <v>3115</v>
      </c>
      <c r="CC1652" s="2" t="s">
        <v>244</v>
      </c>
      <c r="CD1652" s="2" t="s">
        <v>231</v>
      </c>
      <c r="CE1652" s="4"/>
      <c r="CF1652" s="4">
        <v>15</v>
      </c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</row>
    <row r="1653">
      <c r="A1653" s="2" t="s">
        <v>7601</v>
      </c>
      <c r="B1653" s="2" t="s">
        <v>992</v>
      </c>
      <c r="C1653" s="2" t="s">
        <v>288</v>
      </c>
      <c r="D1653" s="2" t="s">
        <v>993</v>
      </c>
      <c r="E1653" s="2" t="s">
        <v>994</v>
      </c>
      <c r="F1653" s="2" t="s">
        <v>7602</v>
      </c>
      <c r="G1653" s="2" t="s">
        <v>7603</v>
      </c>
      <c r="H1653" s="2" t="s">
        <v>7604</v>
      </c>
      <c r="I1653" s="2" t="s">
        <v>7605</v>
      </c>
      <c r="J1653" s="2" t="s">
        <v>996</v>
      </c>
      <c r="K1653" s="2" t="s">
        <v>253</v>
      </c>
      <c r="L1653" s="3">
        <v>12.75</v>
      </c>
      <c r="M1653" s="3">
        <v>13.39</v>
      </c>
      <c r="N1653" s="3">
        <v>29.99</v>
      </c>
      <c r="O1653" s="2" t="s">
        <v>250</v>
      </c>
      <c r="P1653" s="2" t="s">
        <v>341</v>
      </c>
      <c r="Q1653" s="2" t="s">
        <v>237</v>
      </c>
      <c r="R1653" s="2" t="s">
        <v>231</v>
      </c>
      <c r="S1653" s="2" t="s">
        <v>7606</v>
      </c>
      <c r="T1653" s="2" t="s">
        <v>231</v>
      </c>
      <c r="U1653" s="2" t="s">
        <v>327</v>
      </c>
      <c r="V1653" s="2" t="s">
        <v>239</v>
      </c>
      <c r="W1653" s="2" t="s">
        <v>691</v>
      </c>
      <c r="X1653" s="2" t="s">
        <v>273</v>
      </c>
      <c r="Y1653" s="2" t="s">
        <v>5507</v>
      </c>
      <c r="Z1653" s="4">
        <v>4</v>
      </c>
      <c r="AA1653" s="4">
        <f>=ROUNDDOWN(4.44444444444444,0)</f>
      </c>
      <c r="AB1653" s="5">
        <v>0.9</v>
      </c>
      <c r="AC1653" s="2" t="s">
        <v>231</v>
      </c>
      <c r="AD1653" s="4"/>
      <c r="AE1653" s="4"/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231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/>
      <c r="BD1653" s="8"/>
      <c r="BE1653" s="4"/>
      <c r="BF1653" s="8"/>
      <c r="BG1653" s="7"/>
      <c r="BH1653" s="7"/>
      <c r="BI1653" s="7"/>
      <c r="BJ1653" s="4">
        <v>3</v>
      </c>
      <c r="BK1653" s="8">
        <v>42.18</v>
      </c>
      <c r="BL1653" s="2" t="s">
        <v>3685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7607</v>
      </c>
      <c r="BV1653" s="2" t="s">
        <v>231</v>
      </c>
      <c r="BW1653" s="2" t="s">
        <v>231</v>
      </c>
      <c r="BX1653" s="2" t="s">
        <v>241</v>
      </c>
      <c r="BY1653" s="2" t="s">
        <v>7608</v>
      </c>
      <c r="BZ1653" s="2" t="s">
        <v>243</v>
      </c>
      <c r="CA1653" s="2" t="s">
        <v>5507</v>
      </c>
      <c r="CB1653" s="2" t="s">
        <v>7609</v>
      </c>
      <c r="CC1653" s="2" t="s">
        <v>244</v>
      </c>
      <c r="CD1653" s="2" t="s">
        <v>231</v>
      </c>
      <c r="CE1653" s="4">
        <v>4</v>
      </c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</row>
    <row r="1654">
      <c r="A1654" s="2" t="s">
        <v>7610</v>
      </c>
      <c r="B1654" s="2" t="s">
        <v>1186</v>
      </c>
      <c r="C1654" s="2" t="s">
        <v>815</v>
      </c>
      <c r="D1654" s="2" t="s">
        <v>826</v>
      </c>
      <c r="E1654" s="2" t="s">
        <v>1060</v>
      </c>
      <c r="F1654" s="2" t="s">
        <v>7611</v>
      </c>
      <c r="G1654" s="2" t="s">
        <v>7611</v>
      </c>
      <c r="H1654" s="2" t="s">
        <v>7611</v>
      </c>
      <c r="I1654" s="2" t="s">
        <v>7612</v>
      </c>
      <c r="J1654" s="2" t="s">
        <v>669</v>
      </c>
      <c r="K1654" s="2" t="s">
        <v>486</v>
      </c>
      <c r="L1654" s="3">
        <v>70</v>
      </c>
      <c r="M1654" s="3">
        <v>73.5</v>
      </c>
      <c r="N1654" s="3">
        <v>139.99</v>
      </c>
      <c r="O1654" s="2" t="s">
        <v>243</v>
      </c>
      <c r="P1654" s="2" t="s">
        <v>270</v>
      </c>
      <c r="Q1654" s="2" t="s">
        <v>237</v>
      </c>
      <c r="R1654" s="2" t="s">
        <v>231</v>
      </c>
      <c r="S1654" s="2" t="s">
        <v>7613</v>
      </c>
      <c r="T1654" s="2" t="s">
        <v>362</v>
      </c>
      <c r="U1654" s="2" t="s">
        <v>835</v>
      </c>
      <c r="V1654" s="2" t="s">
        <v>239</v>
      </c>
      <c r="W1654" s="2" t="s">
        <v>7614</v>
      </c>
      <c r="X1654" s="2" t="s">
        <v>273</v>
      </c>
      <c r="Y1654" s="2" t="s">
        <v>7615</v>
      </c>
      <c r="Z1654" s="4">
        <v>81</v>
      </c>
      <c r="AA1654" s="4">
        <f>=ROUNDDOWN(20.25,0)</f>
      </c>
      <c r="AB1654" s="5">
        <v>4</v>
      </c>
      <c r="AC1654" s="2" t="s">
        <v>231</v>
      </c>
      <c r="AD1654" s="4"/>
      <c r="AE1654" s="4"/>
      <c r="AF1654" s="6">
        <v>67</v>
      </c>
      <c r="AG1654" s="6"/>
      <c r="AH1654" s="7">
        <v>1</v>
      </c>
      <c r="AI1654" s="4"/>
      <c r="AJ1654" s="4">
        <f>=ROUNDDOWN({0},0)</f>
      </c>
      <c r="AK1654" s="5"/>
      <c r="AL1654" s="2" t="s">
        <v>231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231</v>
      </c>
      <c r="BD1654" s="8" t="s">
        <v>231</v>
      </c>
      <c r="BE1654" s="4" t="s">
        <v>231</v>
      </c>
      <c r="BF1654" s="8" t="s">
        <v>231</v>
      </c>
      <c r="BG1654" s="7" t="s">
        <v>231</v>
      </c>
      <c r="BH1654" s="7" t="s">
        <v>231</v>
      </c>
      <c r="BI1654" s="7"/>
      <c r="BJ1654" s="4">
        <v>10</v>
      </c>
      <c r="BK1654" s="8">
        <v>618.64</v>
      </c>
      <c r="BL1654" s="2" t="s">
        <v>4084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7616</v>
      </c>
      <c r="BV1654" s="2" t="s">
        <v>231</v>
      </c>
      <c r="BW1654" s="2" t="s">
        <v>231</v>
      </c>
      <c r="BX1654" s="2" t="s">
        <v>231</v>
      </c>
      <c r="BY1654" s="2" t="s">
        <v>277</v>
      </c>
      <c r="BZ1654" s="2" t="s">
        <v>243</v>
      </c>
      <c r="CA1654" s="2" t="s">
        <v>7615</v>
      </c>
      <c r="CB1654" s="2" t="s">
        <v>7617</v>
      </c>
      <c r="CC1654" s="2" t="s">
        <v>244</v>
      </c>
      <c r="CD1654" s="2" t="s">
        <v>231</v>
      </c>
      <c r="CE1654" s="4">
        <v>67</v>
      </c>
      <c r="CF1654" s="4"/>
      <c r="CG1654" s="4"/>
      <c r="CH1654" s="4"/>
      <c r="CI1654" s="4"/>
      <c r="CJ1654" s="4"/>
      <c r="CK1654" s="4"/>
      <c r="CL1654" s="4">
        <v>14</v>
      </c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</row>
    <row r="1655">
      <c r="A1655" s="2" t="s">
        <v>7618</v>
      </c>
      <c r="B1655" s="2" t="s">
        <v>1186</v>
      </c>
      <c r="C1655" s="2" t="s">
        <v>815</v>
      </c>
      <c r="D1655" s="2" t="s">
        <v>826</v>
      </c>
      <c r="E1655" s="2" t="s">
        <v>1060</v>
      </c>
      <c r="F1655" s="2" t="s">
        <v>7611</v>
      </c>
      <c r="G1655" s="2" t="s">
        <v>7611</v>
      </c>
      <c r="H1655" s="2" t="s">
        <v>7611</v>
      </c>
      <c r="I1655" s="2" t="s">
        <v>7612</v>
      </c>
      <c r="J1655" s="2" t="s">
        <v>658</v>
      </c>
      <c r="K1655" s="2" t="s">
        <v>234</v>
      </c>
      <c r="L1655" s="3">
        <v>55</v>
      </c>
      <c r="M1655" s="3">
        <v>57.74</v>
      </c>
      <c r="N1655" s="3">
        <v>109.99</v>
      </c>
      <c r="O1655" s="2" t="s">
        <v>243</v>
      </c>
      <c r="P1655" s="2" t="s">
        <v>270</v>
      </c>
      <c r="Q1655" s="2" t="s">
        <v>237</v>
      </c>
      <c r="R1655" s="2" t="s">
        <v>231</v>
      </c>
      <c r="S1655" s="2" t="s">
        <v>7619</v>
      </c>
      <c r="T1655" s="2" t="s">
        <v>362</v>
      </c>
      <c r="U1655" s="2" t="s">
        <v>835</v>
      </c>
      <c r="V1655" s="2" t="s">
        <v>239</v>
      </c>
      <c r="W1655" s="2" t="s">
        <v>7614</v>
      </c>
      <c r="X1655" s="2" t="s">
        <v>273</v>
      </c>
      <c r="Y1655" s="2" t="s">
        <v>3799</v>
      </c>
      <c r="Z1655" s="4">
        <v>124</v>
      </c>
      <c r="AA1655" s="4">
        <f>=ROUNDDOWN(22.1428571428571,0)</f>
      </c>
      <c r="AB1655" s="5">
        <v>5.6</v>
      </c>
      <c r="AC1655" s="2" t="s">
        <v>772</v>
      </c>
      <c r="AD1655" s="4">
        <v>179</v>
      </c>
      <c r="AE1655" s="4">
        <v>179</v>
      </c>
      <c r="AF1655" s="6">
        <v>67</v>
      </c>
      <c r="AG1655" s="6"/>
      <c r="AH1655" s="7">
        <v>1</v>
      </c>
      <c r="AI1655" s="4"/>
      <c r="AJ1655" s="4">
        <f>=ROUNDDOWN({0},0)</f>
      </c>
      <c r="AK1655" s="5"/>
      <c r="AL1655" s="2" t="s">
        <v>231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231</v>
      </c>
      <c r="AW1655" s="8" t="s">
        <v>231</v>
      </c>
      <c r="AX1655" s="4" t="s">
        <v>231</v>
      </c>
      <c r="AY1655" s="8" t="s">
        <v>231</v>
      </c>
      <c r="AZ1655" s="7" t="s">
        <v>231</v>
      </c>
      <c r="BA1655" s="7" t="s">
        <v>231</v>
      </c>
      <c r="BB1655" s="7"/>
      <c r="BC1655" s="4" t="s">
        <v>231</v>
      </c>
      <c r="BD1655" s="8" t="s">
        <v>231</v>
      </c>
      <c r="BE1655" s="4" t="s">
        <v>231</v>
      </c>
      <c r="BF1655" s="8" t="s">
        <v>231</v>
      </c>
      <c r="BG1655" s="7" t="s">
        <v>231</v>
      </c>
      <c r="BH1655" s="7" t="s">
        <v>231</v>
      </c>
      <c r="BI1655" s="7"/>
      <c r="BJ1655" s="4">
        <v>23</v>
      </c>
      <c r="BK1655" s="8">
        <v>1433.36</v>
      </c>
      <c r="BL1655" s="2" t="s">
        <v>7620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7621</v>
      </c>
      <c r="BV1655" s="2" t="s">
        <v>231</v>
      </c>
      <c r="BW1655" s="2" t="s">
        <v>231</v>
      </c>
      <c r="BX1655" s="2" t="s">
        <v>231</v>
      </c>
      <c r="BY1655" s="2" t="s">
        <v>277</v>
      </c>
      <c r="BZ1655" s="2" t="s">
        <v>243</v>
      </c>
      <c r="CA1655" s="2" t="s">
        <v>845</v>
      </c>
      <c r="CB1655" s="2" t="s">
        <v>1851</v>
      </c>
      <c r="CC1655" s="2" t="s">
        <v>244</v>
      </c>
      <c r="CD1655" s="2" t="s">
        <v>231</v>
      </c>
      <c r="CE1655" s="4">
        <v>124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>
        <v>179</v>
      </c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</row>
    <row r="1656">
      <c r="A1656" s="2" t="s">
        <v>7622</v>
      </c>
      <c r="B1656" s="2" t="s">
        <v>1186</v>
      </c>
      <c r="C1656" s="2" t="s">
        <v>815</v>
      </c>
      <c r="D1656" s="2" t="s">
        <v>826</v>
      </c>
      <c r="E1656" s="2" t="s">
        <v>1060</v>
      </c>
      <c r="F1656" s="2" t="s">
        <v>7611</v>
      </c>
      <c r="G1656" s="2" t="s">
        <v>7611</v>
      </c>
      <c r="H1656" s="2" t="s">
        <v>7611</v>
      </c>
      <c r="I1656" s="2" t="s">
        <v>7612</v>
      </c>
      <c r="J1656" s="2" t="s">
        <v>669</v>
      </c>
      <c r="K1656" s="2" t="s">
        <v>234</v>
      </c>
      <c r="L1656" s="3">
        <v>70</v>
      </c>
      <c r="M1656" s="3">
        <v>73.49</v>
      </c>
      <c r="N1656" s="3">
        <v>139.99</v>
      </c>
      <c r="O1656" s="2" t="s">
        <v>243</v>
      </c>
      <c r="P1656" s="2" t="s">
        <v>270</v>
      </c>
      <c r="Q1656" s="2" t="s">
        <v>237</v>
      </c>
      <c r="R1656" s="2" t="s">
        <v>231</v>
      </c>
      <c r="S1656" s="2" t="s">
        <v>7619</v>
      </c>
      <c r="T1656" s="2" t="s">
        <v>362</v>
      </c>
      <c r="U1656" s="2" t="s">
        <v>835</v>
      </c>
      <c r="V1656" s="2" t="s">
        <v>239</v>
      </c>
      <c r="W1656" s="2" t="s">
        <v>7614</v>
      </c>
      <c r="X1656" s="2" t="s">
        <v>273</v>
      </c>
      <c r="Y1656" s="2" t="s">
        <v>3799</v>
      </c>
      <c r="Z1656" s="4">
        <v>148</v>
      </c>
      <c r="AA1656" s="4">
        <f>=ROUNDDOWN(29.6,0)</f>
      </c>
      <c r="AB1656" s="5">
        <v>5</v>
      </c>
      <c r="AC1656" s="2" t="s">
        <v>772</v>
      </c>
      <c r="AD1656" s="4">
        <v>96</v>
      </c>
      <c r="AE1656" s="4">
        <v>96</v>
      </c>
      <c r="AF1656" s="6">
        <v>67</v>
      </c>
      <c r="AG1656" s="6"/>
      <c r="AH1656" s="7">
        <v>1</v>
      </c>
      <c r="AI1656" s="4"/>
      <c r="AJ1656" s="4">
        <f>=ROUNDDOWN({0},0)</f>
      </c>
      <c r="AK1656" s="5"/>
      <c r="AL1656" s="2" t="s">
        <v>231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231</v>
      </c>
      <c r="AW1656" s="8" t="s">
        <v>231</v>
      </c>
      <c r="AX1656" s="4" t="s">
        <v>231</v>
      </c>
      <c r="AY1656" s="8" t="s">
        <v>231</v>
      </c>
      <c r="AZ1656" s="7" t="s">
        <v>231</v>
      </c>
      <c r="BA1656" s="7" t="s">
        <v>231</v>
      </c>
      <c r="BB1656" s="7"/>
      <c r="BC1656" s="4" t="s">
        <v>231</v>
      </c>
      <c r="BD1656" s="8" t="s">
        <v>231</v>
      </c>
      <c r="BE1656" s="4" t="s">
        <v>231</v>
      </c>
      <c r="BF1656" s="8" t="s">
        <v>231</v>
      </c>
      <c r="BG1656" s="7" t="s">
        <v>231</v>
      </c>
      <c r="BH1656" s="7" t="s">
        <v>231</v>
      </c>
      <c r="BI1656" s="7"/>
      <c r="BJ1656" s="4">
        <v>9</v>
      </c>
      <c r="BK1656" s="8">
        <v>662.69</v>
      </c>
      <c r="BL1656" s="2" t="s">
        <v>7623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7624</v>
      </c>
      <c r="BV1656" s="2" t="s">
        <v>231</v>
      </c>
      <c r="BW1656" s="2" t="s">
        <v>231</v>
      </c>
      <c r="BX1656" s="2" t="s">
        <v>231</v>
      </c>
      <c r="BY1656" s="2" t="s">
        <v>277</v>
      </c>
      <c r="BZ1656" s="2" t="s">
        <v>243</v>
      </c>
      <c r="CA1656" s="2" t="s">
        <v>845</v>
      </c>
      <c r="CB1656" s="2" t="s">
        <v>5892</v>
      </c>
      <c r="CC1656" s="2" t="s">
        <v>244</v>
      </c>
      <c r="CD1656" s="2" t="s">
        <v>231</v>
      </c>
      <c r="CE1656" s="4">
        <v>148</v>
      </c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>
        <v>96</v>
      </c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</row>
    <row r="1657">
      <c r="A1657" s="2" t="s">
        <v>7625</v>
      </c>
      <c r="B1657" s="2" t="s">
        <v>940</v>
      </c>
      <c r="C1657" s="2" t="s">
        <v>815</v>
      </c>
      <c r="D1657" s="2" t="s">
        <v>1533</v>
      </c>
      <c r="E1657" s="2" t="s">
        <v>1534</v>
      </c>
      <c r="F1657" s="2" t="s">
        <v>7611</v>
      </c>
      <c r="G1657" s="2" t="s">
        <v>7611</v>
      </c>
      <c r="H1657" s="2" t="s">
        <v>7611</v>
      </c>
      <c r="I1657" s="2" t="s">
        <v>7626</v>
      </c>
      <c r="J1657" s="2" t="s">
        <v>1536</v>
      </c>
      <c r="K1657" s="2" t="s">
        <v>234</v>
      </c>
      <c r="L1657" s="3">
        <v>24</v>
      </c>
      <c r="M1657" s="3">
        <v>25.2</v>
      </c>
      <c r="N1657" s="3">
        <v>49.99</v>
      </c>
      <c r="O1657" s="2" t="s">
        <v>243</v>
      </c>
      <c r="P1657" s="2" t="s">
        <v>341</v>
      </c>
      <c r="Q1657" s="2" t="s">
        <v>237</v>
      </c>
      <c r="R1657" s="2" t="s">
        <v>231</v>
      </c>
      <c r="S1657" s="2" t="s">
        <v>7619</v>
      </c>
      <c r="T1657" s="2" t="s">
        <v>362</v>
      </c>
      <c r="U1657" s="2" t="s">
        <v>327</v>
      </c>
      <c r="V1657" s="2" t="s">
        <v>239</v>
      </c>
      <c r="W1657" s="2" t="s">
        <v>896</v>
      </c>
      <c r="X1657" s="2" t="s">
        <v>273</v>
      </c>
      <c r="Y1657" s="2" t="s">
        <v>1327</v>
      </c>
      <c r="Z1657" s="4">
        <v>119</v>
      </c>
      <c r="AA1657" s="4">
        <f>=ROUNDDOWN(9.91666666666667,0)</f>
      </c>
      <c r="AB1657" s="5">
        <v>12</v>
      </c>
      <c r="AC1657" s="2" t="s">
        <v>772</v>
      </c>
      <c r="AD1657" s="4">
        <v>132</v>
      </c>
      <c r="AE1657" s="4">
        <v>132</v>
      </c>
      <c r="AF1657" s="6">
        <v>67</v>
      </c>
      <c r="AG1657" s="6"/>
      <c r="AH1657" s="7">
        <v>1</v>
      </c>
      <c r="AI1657" s="4"/>
      <c r="AJ1657" s="4">
        <f>=ROUNDDOWN({0},0)</f>
      </c>
      <c r="AK1657" s="5"/>
      <c r="AL1657" s="2" t="s">
        <v>231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231</v>
      </c>
      <c r="AW1657" s="8" t="s">
        <v>231</v>
      </c>
      <c r="AX1657" s="4" t="s">
        <v>231</v>
      </c>
      <c r="AY1657" s="8" t="s">
        <v>231</v>
      </c>
      <c r="AZ1657" s="7" t="s">
        <v>231</v>
      </c>
      <c r="BA1657" s="7" t="s">
        <v>231</v>
      </c>
      <c r="BB1657" s="7"/>
      <c r="BC1657" s="4" t="s">
        <v>231</v>
      </c>
      <c r="BD1657" s="8" t="s">
        <v>231</v>
      </c>
      <c r="BE1657" s="4" t="s">
        <v>231</v>
      </c>
      <c r="BF1657" s="8" t="s">
        <v>231</v>
      </c>
      <c r="BG1657" s="7" t="s">
        <v>231</v>
      </c>
      <c r="BH1657" s="7" t="s">
        <v>231</v>
      </c>
      <c r="BI1657" s="7"/>
      <c r="BJ1657" s="4">
        <v>49</v>
      </c>
      <c r="BK1657" s="8">
        <v>1293.4</v>
      </c>
      <c r="BL1657" s="2" t="s">
        <v>7627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7628</v>
      </c>
      <c r="BV1657" s="2" t="s">
        <v>231</v>
      </c>
      <c r="BW1657" s="2" t="s">
        <v>231</v>
      </c>
      <c r="BX1657" s="2" t="s">
        <v>231</v>
      </c>
      <c r="BY1657" s="2" t="s">
        <v>277</v>
      </c>
      <c r="BZ1657" s="2" t="s">
        <v>243</v>
      </c>
      <c r="CA1657" s="2" t="s">
        <v>3445</v>
      </c>
      <c r="CB1657" s="2" t="s">
        <v>3023</v>
      </c>
      <c r="CC1657" s="2" t="s">
        <v>244</v>
      </c>
      <c r="CD1657" s="2" t="s">
        <v>231</v>
      </c>
      <c r="CE1657" s="4">
        <v>119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>
        <v>132</v>
      </c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</row>
    <row r="1658">
      <c r="A1658" s="2" t="s">
        <v>7629</v>
      </c>
      <c r="B1658" s="2" t="s">
        <v>1186</v>
      </c>
      <c r="C1658" s="2" t="s">
        <v>815</v>
      </c>
      <c r="D1658" s="2" t="s">
        <v>826</v>
      </c>
      <c r="E1658" s="2" t="s">
        <v>1060</v>
      </c>
      <c r="F1658" s="2" t="s">
        <v>7611</v>
      </c>
      <c r="G1658" s="2" t="s">
        <v>7611</v>
      </c>
      <c r="H1658" s="2" t="s">
        <v>7611</v>
      </c>
      <c r="I1658" s="2" t="s">
        <v>7612</v>
      </c>
      <c r="J1658" s="2" t="s">
        <v>669</v>
      </c>
      <c r="K1658" s="2" t="s">
        <v>306</v>
      </c>
      <c r="L1658" s="3">
        <v>70</v>
      </c>
      <c r="M1658" s="3">
        <v>73.49</v>
      </c>
      <c r="N1658" s="3">
        <v>139.99</v>
      </c>
      <c r="O1658" s="2" t="s">
        <v>243</v>
      </c>
      <c r="P1658" s="2" t="s">
        <v>270</v>
      </c>
      <c r="Q1658" s="2" t="s">
        <v>237</v>
      </c>
      <c r="R1658" s="2" t="s">
        <v>231</v>
      </c>
      <c r="S1658" s="2" t="s">
        <v>7630</v>
      </c>
      <c r="T1658" s="2" t="s">
        <v>362</v>
      </c>
      <c r="U1658" s="2" t="s">
        <v>835</v>
      </c>
      <c r="V1658" s="2" t="s">
        <v>239</v>
      </c>
      <c r="W1658" s="2" t="s">
        <v>7614</v>
      </c>
      <c r="X1658" s="2" t="s">
        <v>273</v>
      </c>
      <c r="Y1658" s="2" t="s">
        <v>3799</v>
      </c>
      <c r="Z1658" s="4">
        <v>163</v>
      </c>
      <c r="AA1658" s="4">
        <f>=ROUNDDOWN(32.6,0)</f>
      </c>
      <c r="AB1658" s="5">
        <v>5</v>
      </c>
      <c r="AC1658" s="2" t="s">
        <v>730</v>
      </c>
      <c r="AD1658" s="4">
        <v>130</v>
      </c>
      <c r="AE1658" s="4">
        <v>130</v>
      </c>
      <c r="AF1658" s="6">
        <v>67</v>
      </c>
      <c r="AG1658" s="6"/>
      <c r="AH1658" s="7">
        <v>1</v>
      </c>
      <c r="AI1658" s="4"/>
      <c r="AJ1658" s="4">
        <f>=ROUNDDOWN({0},0)</f>
      </c>
      <c r="AK1658" s="5"/>
      <c r="AL1658" s="2" t="s">
        <v>231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231</v>
      </c>
      <c r="AW1658" s="8" t="s">
        <v>231</v>
      </c>
      <c r="AX1658" s="4" t="s">
        <v>231</v>
      </c>
      <c r="AY1658" s="8" t="s">
        <v>231</v>
      </c>
      <c r="AZ1658" s="7" t="s">
        <v>231</v>
      </c>
      <c r="BA1658" s="7" t="s">
        <v>231</v>
      </c>
      <c r="BB1658" s="7"/>
      <c r="BC1658" s="4" t="s">
        <v>231</v>
      </c>
      <c r="BD1658" s="8" t="s">
        <v>231</v>
      </c>
      <c r="BE1658" s="4" t="s">
        <v>231</v>
      </c>
      <c r="BF1658" s="8" t="s">
        <v>231</v>
      </c>
      <c r="BG1658" s="7" t="s">
        <v>231</v>
      </c>
      <c r="BH1658" s="7" t="s">
        <v>231</v>
      </c>
      <c r="BI1658" s="7"/>
      <c r="BJ1658" s="4">
        <v>7</v>
      </c>
      <c r="BK1658" s="8">
        <v>475.75</v>
      </c>
      <c r="BL1658" s="2" t="s">
        <v>4849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7631</v>
      </c>
      <c r="BV1658" s="2" t="s">
        <v>231</v>
      </c>
      <c r="BW1658" s="2" t="s">
        <v>231</v>
      </c>
      <c r="BX1658" s="2" t="s">
        <v>231</v>
      </c>
      <c r="BY1658" s="2" t="s">
        <v>277</v>
      </c>
      <c r="BZ1658" s="2" t="s">
        <v>243</v>
      </c>
      <c r="CA1658" s="2" t="s">
        <v>845</v>
      </c>
      <c r="CB1658" s="2" t="s">
        <v>2033</v>
      </c>
      <c r="CC1658" s="2" t="s">
        <v>244</v>
      </c>
      <c r="CD1658" s="2" t="s">
        <v>231</v>
      </c>
      <c r="CE1658" s="4">
        <v>163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>
        <v>130</v>
      </c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</row>
    <row r="1659">
      <c r="A1659" s="2" t="s">
        <v>7632</v>
      </c>
      <c r="B1659" s="2" t="s">
        <v>940</v>
      </c>
      <c r="C1659" s="2" t="s">
        <v>815</v>
      </c>
      <c r="D1659" s="2" t="s">
        <v>1533</v>
      </c>
      <c r="E1659" s="2" t="s">
        <v>1534</v>
      </c>
      <c r="F1659" s="2" t="s">
        <v>7611</v>
      </c>
      <c r="G1659" s="2" t="s">
        <v>7611</v>
      </c>
      <c r="H1659" s="2" t="s">
        <v>7611</v>
      </c>
      <c r="I1659" s="2" t="s">
        <v>7626</v>
      </c>
      <c r="J1659" s="2" t="s">
        <v>1536</v>
      </c>
      <c r="K1659" s="2" t="s">
        <v>306</v>
      </c>
      <c r="L1659" s="3">
        <v>24</v>
      </c>
      <c r="M1659" s="3">
        <v>25.2</v>
      </c>
      <c r="N1659" s="3">
        <v>49.99</v>
      </c>
      <c r="O1659" s="2" t="s">
        <v>243</v>
      </c>
      <c r="P1659" s="2" t="s">
        <v>341</v>
      </c>
      <c r="Q1659" s="2" t="s">
        <v>237</v>
      </c>
      <c r="R1659" s="2" t="s">
        <v>231</v>
      </c>
      <c r="S1659" s="2" t="s">
        <v>7630</v>
      </c>
      <c r="T1659" s="2" t="s">
        <v>362</v>
      </c>
      <c r="U1659" s="2" t="s">
        <v>327</v>
      </c>
      <c r="V1659" s="2" t="s">
        <v>239</v>
      </c>
      <c r="W1659" s="2" t="s">
        <v>896</v>
      </c>
      <c r="X1659" s="2" t="s">
        <v>273</v>
      </c>
      <c r="Y1659" s="2" t="s">
        <v>1327</v>
      </c>
      <c r="Z1659" s="4">
        <v>255</v>
      </c>
      <c r="AA1659" s="4">
        <f>=ROUNDDOWN(21.25,0)</f>
      </c>
      <c r="AB1659" s="5">
        <v>12</v>
      </c>
      <c r="AC1659" s="2" t="s">
        <v>231</v>
      </c>
      <c r="AD1659" s="4"/>
      <c r="AE1659" s="4"/>
      <c r="AF1659" s="6">
        <v>67</v>
      </c>
      <c r="AG1659" s="6"/>
      <c r="AH1659" s="7">
        <v>0.8065</v>
      </c>
      <c r="AI1659" s="4"/>
      <c r="AJ1659" s="4">
        <f>=ROUNDDOWN({0},0)</f>
      </c>
      <c r="AK1659" s="5"/>
      <c r="AL1659" s="2" t="s">
        <v>231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231</v>
      </c>
      <c r="AW1659" s="8" t="s">
        <v>231</v>
      </c>
      <c r="AX1659" s="4" t="s">
        <v>231</v>
      </c>
      <c r="AY1659" s="8" t="s">
        <v>231</v>
      </c>
      <c r="AZ1659" s="7" t="s">
        <v>231</v>
      </c>
      <c r="BA1659" s="7" t="s">
        <v>231</v>
      </c>
      <c r="BB1659" s="7"/>
      <c r="BC1659" s="4" t="s">
        <v>231</v>
      </c>
      <c r="BD1659" s="8" t="s">
        <v>231</v>
      </c>
      <c r="BE1659" s="4" t="s">
        <v>231</v>
      </c>
      <c r="BF1659" s="8" t="s">
        <v>231</v>
      </c>
      <c r="BG1659" s="7" t="s">
        <v>231</v>
      </c>
      <c r="BH1659" s="7" t="s">
        <v>231</v>
      </c>
      <c r="BI1659" s="7"/>
      <c r="BJ1659" s="4">
        <v>23</v>
      </c>
      <c r="BK1659" s="8">
        <v>596.64</v>
      </c>
      <c r="BL1659" s="2" t="s">
        <v>1073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7633</v>
      </c>
      <c r="BV1659" s="2" t="s">
        <v>231</v>
      </c>
      <c r="BW1659" s="2" t="s">
        <v>231</v>
      </c>
      <c r="BX1659" s="2" t="s">
        <v>231</v>
      </c>
      <c r="BY1659" s="2" t="s">
        <v>277</v>
      </c>
      <c r="BZ1659" s="2" t="s">
        <v>243</v>
      </c>
      <c r="CA1659" s="2" t="s">
        <v>3445</v>
      </c>
      <c r="CB1659" s="2" t="s">
        <v>6647</v>
      </c>
      <c r="CC1659" s="2" t="s">
        <v>244</v>
      </c>
      <c r="CD1659" s="2" t="s">
        <v>231</v>
      </c>
      <c r="CE1659" s="4">
        <v>255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</row>
    <row r="1660">
      <c r="A1660" s="2" t="s">
        <v>7634</v>
      </c>
      <c r="B1660" s="2" t="s">
        <v>1232</v>
      </c>
      <c r="C1660" s="2" t="s">
        <v>1233</v>
      </c>
      <c r="D1660" s="2" t="s">
        <v>1234</v>
      </c>
      <c r="E1660" s="2" t="s">
        <v>1235</v>
      </c>
      <c r="F1660" s="2" t="s">
        <v>7635</v>
      </c>
      <c r="G1660" s="2" t="s">
        <v>7635</v>
      </c>
      <c r="H1660" s="2" t="s">
        <v>7635</v>
      </c>
      <c r="I1660" s="2" t="s">
        <v>7636</v>
      </c>
      <c r="J1660" s="2" t="s">
        <v>1238</v>
      </c>
      <c r="K1660" s="2" t="s">
        <v>253</v>
      </c>
      <c r="L1660" s="3">
        <v>13.72</v>
      </c>
      <c r="M1660" s="3">
        <v>14.41</v>
      </c>
      <c r="N1660" s="3">
        <v>30.99</v>
      </c>
      <c r="O1660" s="2" t="s">
        <v>243</v>
      </c>
      <c r="P1660" s="2" t="s">
        <v>236</v>
      </c>
      <c r="Q1660" s="2" t="s">
        <v>237</v>
      </c>
      <c r="R1660" s="2" t="s">
        <v>231</v>
      </c>
      <c r="S1660" s="2" t="s">
        <v>231</v>
      </c>
      <c r="T1660" s="2" t="s">
        <v>231</v>
      </c>
      <c r="U1660" s="2" t="s">
        <v>327</v>
      </c>
      <c r="V1660" s="2" t="s">
        <v>662</v>
      </c>
      <c r="W1660" s="2" t="s">
        <v>273</v>
      </c>
      <c r="X1660" s="2" t="s">
        <v>231</v>
      </c>
      <c r="Y1660" s="2" t="s">
        <v>1239</v>
      </c>
      <c r="Z1660" s="4">
        <v>29</v>
      </c>
      <c r="AA1660" s="4">
        <f>=ROUNDDOWN(7.25,0)</f>
      </c>
      <c r="AB1660" s="5">
        <v>4</v>
      </c>
      <c r="AC1660" s="2" t="s">
        <v>231</v>
      </c>
      <c r="AD1660" s="4"/>
      <c r="AE1660" s="4"/>
      <c r="AF1660" s="6">
        <v>66</v>
      </c>
      <c r="AG1660" s="6"/>
      <c r="AH1660" s="7">
        <v>1</v>
      </c>
      <c r="AI1660" s="4"/>
      <c r="AJ1660" s="4">
        <f>=ROUNDDOWN({0},0)</f>
      </c>
      <c r="AK1660" s="5"/>
      <c r="AL1660" s="2" t="s">
        <v>231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231</v>
      </c>
      <c r="AW1660" s="8" t="s">
        <v>231</v>
      </c>
      <c r="AX1660" s="4" t="s">
        <v>231</v>
      </c>
      <c r="AY1660" s="8" t="s">
        <v>231</v>
      </c>
      <c r="AZ1660" s="7" t="s">
        <v>231</v>
      </c>
      <c r="BA1660" s="7" t="s">
        <v>231</v>
      </c>
      <c r="BB1660" s="7"/>
      <c r="BC1660" s="4" t="s">
        <v>231</v>
      </c>
      <c r="BD1660" s="8" t="s">
        <v>231</v>
      </c>
      <c r="BE1660" s="4" t="s">
        <v>231</v>
      </c>
      <c r="BF1660" s="8" t="s">
        <v>231</v>
      </c>
      <c r="BG1660" s="7" t="s">
        <v>231</v>
      </c>
      <c r="BH1660" s="7" t="s">
        <v>231</v>
      </c>
      <c r="BI1660" s="7"/>
      <c r="BJ1660" s="4">
        <v>19</v>
      </c>
      <c r="BK1660" s="8">
        <v>319.37</v>
      </c>
      <c r="BL1660" s="2" t="s">
        <v>365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7637</v>
      </c>
      <c r="BV1660" s="2" t="s">
        <v>231</v>
      </c>
      <c r="BW1660" s="2" t="s">
        <v>231</v>
      </c>
      <c r="BX1660" s="2" t="s">
        <v>241</v>
      </c>
      <c r="BY1660" s="2" t="s">
        <v>277</v>
      </c>
      <c r="BZ1660" s="2" t="s">
        <v>243</v>
      </c>
      <c r="CA1660" s="2" t="s">
        <v>3934</v>
      </c>
      <c r="CB1660" s="2" t="s">
        <v>231</v>
      </c>
      <c r="CC1660" s="2" t="s">
        <v>244</v>
      </c>
      <c r="CD1660" s="2" t="s">
        <v>231</v>
      </c>
      <c r="CE1660" s="4">
        <v>29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</row>
    <row r="1661">
      <c r="A1661" s="2" t="s">
        <v>7638</v>
      </c>
      <c r="B1661" s="2" t="s">
        <v>1232</v>
      </c>
      <c r="C1661" s="2" t="s">
        <v>1233</v>
      </c>
      <c r="D1661" s="2" t="s">
        <v>1234</v>
      </c>
      <c r="E1661" s="2" t="s">
        <v>1235</v>
      </c>
      <c r="F1661" s="2" t="s">
        <v>7635</v>
      </c>
      <c r="G1661" s="2" t="s">
        <v>7635</v>
      </c>
      <c r="H1661" s="2" t="s">
        <v>7635</v>
      </c>
      <c r="I1661" s="2" t="s">
        <v>7639</v>
      </c>
      <c r="J1661" s="2" t="s">
        <v>1245</v>
      </c>
      <c r="K1661" s="2" t="s">
        <v>253</v>
      </c>
      <c r="L1661" s="3">
        <v>17.07</v>
      </c>
      <c r="M1661" s="3">
        <v>17.92</v>
      </c>
      <c r="N1661" s="3">
        <v>37.99</v>
      </c>
      <c r="O1661" s="2" t="s">
        <v>243</v>
      </c>
      <c r="P1661" s="2" t="s">
        <v>236</v>
      </c>
      <c r="Q1661" s="2" t="s">
        <v>237</v>
      </c>
      <c r="R1661" s="2" t="s">
        <v>231</v>
      </c>
      <c r="S1661" s="2" t="s">
        <v>231</v>
      </c>
      <c r="T1661" s="2" t="s">
        <v>231</v>
      </c>
      <c r="U1661" s="2" t="s">
        <v>327</v>
      </c>
      <c r="V1661" s="2" t="s">
        <v>662</v>
      </c>
      <c r="W1661" s="2" t="s">
        <v>273</v>
      </c>
      <c r="X1661" s="2" t="s">
        <v>231</v>
      </c>
      <c r="Y1661" s="2" t="s">
        <v>1239</v>
      </c>
      <c r="Z1661" s="4">
        <v>354</v>
      </c>
      <c r="AA1661" s="4">
        <f>=ROUNDDOWN(29.5,0)</f>
      </c>
      <c r="AB1661" s="5">
        <v>12</v>
      </c>
      <c r="AC1661" s="2" t="s">
        <v>231</v>
      </c>
      <c r="AD1661" s="4"/>
      <c r="AE1661" s="4"/>
      <c r="AF1661" s="6">
        <v>66</v>
      </c>
      <c r="AG1661" s="6"/>
      <c r="AH1661" s="7">
        <v>1</v>
      </c>
      <c r="AI1661" s="4"/>
      <c r="AJ1661" s="4">
        <f>=ROUNDDOWN({0},0)</f>
      </c>
      <c r="AK1661" s="5"/>
      <c r="AL1661" s="2" t="s">
        <v>231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231</v>
      </c>
      <c r="AW1661" s="8" t="s">
        <v>231</v>
      </c>
      <c r="AX1661" s="4" t="s">
        <v>231</v>
      </c>
      <c r="AY1661" s="8" t="s">
        <v>231</v>
      </c>
      <c r="AZ1661" s="7" t="s">
        <v>231</v>
      </c>
      <c r="BA1661" s="7" t="s">
        <v>231</v>
      </c>
      <c r="BB1661" s="7"/>
      <c r="BC1661" s="4" t="s">
        <v>231</v>
      </c>
      <c r="BD1661" s="8" t="s">
        <v>231</v>
      </c>
      <c r="BE1661" s="4" t="s">
        <v>231</v>
      </c>
      <c r="BF1661" s="8" t="s">
        <v>231</v>
      </c>
      <c r="BG1661" s="7" t="s">
        <v>231</v>
      </c>
      <c r="BH1661" s="7" t="s">
        <v>231</v>
      </c>
      <c r="BI1661" s="7"/>
      <c r="BJ1661" s="4">
        <v>42</v>
      </c>
      <c r="BK1661" s="8">
        <v>699.84</v>
      </c>
      <c r="BL1661" s="2" t="s">
        <v>1240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7640</v>
      </c>
      <c r="BV1661" s="2" t="s">
        <v>231</v>
      </c>
      <c r="BW1661" s="2" t="s">
        <v>231</v>
      </c>
      <c r="BX1661" s="2" t="s">
        <v>241</v>
      </c>
      <c r="BY1661" s="2" t="s">
        <v>277</v>
      </c>
      <c r="BZ1661" s="2" t="s">
        <v>243</v>
      </c>
      <c r="CA1661" s="2" t="s">
        <v>3934</v>
      </c>
      <c r="CB1661" s="2" t="s">
        <v>231</v>
      </c>
      <c r="CC1661" s="2" t="s">
        <v>244</v>
      </c>
      <c r="CD1661" s="2" t="s">
        <v>231</v>
      </c>
      <c r="CE1661" s="4">
        <v>354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</row>
    <row r="1662">
      <c r="A1662" s="2" t="s">
        <v>7641</v>
      </c>
      <c r="B1662" s="2" t="s">
        <v>1232</v>
      </c>
      <c r="C1662" s="2" t="s">
        <v>1233</v>
      </c>
      <c r="D1662" s="2" t="s">
        <v>1234</v>
      </c>
      <c r="E1662" s="2" t="s">
        <v>1235</v>
      </c>
      <c r="F1662" s="2" t="s">
        <v>7635</v>
      </c>
      <c r="G1662" s="2" t="s">
        <v>7635</v>
      </c>
      <c r="H1662" s="2" t="s">
        <v>7635</v>
      </c>
      <c r="I1662" s="2" t="s">
        <v>7642</v>
      </c>
      <c r="J1662" s="2" t="s">
        <v>1249</v>
      </c>
      <c r="K1662" s="2" t="s">
        <v>253</v>
      </c>
      <c r="L1662" s="3">
        <v>23.36</v>
      </c>
      <c r="M1662" s="3">
        <v>24.53</v>
      </c>
      <c r="N1662" s="3">
        <v>51.99</v>
      </c>
      <c r="O1662" s="2" t="s">
        <v>243</v>
      </c>
      <c r="P1662" s="2" t="s">
        <v>236</v>
      </c>
      <c r="Q1662" s="2" t="s">
        <v>237</v>
      </c>
      <c r="R1662" s="2" t="s">
        <v>231</v>
      </c>
      <c r="S1662" s="2" t="s">
        <v>231</v>
      </c>
      <c r="T1662" s="2" t="s">
        <v>231</v>
      </c>
      <c r="U1662" s="2" t="s">
        <v>327</v>
      </c>
      <c r="V1662" s="2" t="s">
        <v>662</v>
      </c>
      <c r="W1662" s="2" t="s">
        <v>273</v>
      </c>
      <c r="X1662" s="2" t="s">
        <v>231</v>
      </c>
      <c r="Y1662" s="2" t="s">
        <v>1239</v>
      </c>
      <c r="Z1662" s="4">
        <v>39</v>
      </c>
      <c r="AA1662" s="4">
        <f>=ROUNDDOWN(3.54545454545455,0)</f>
      </c>
      <c r="AB1662" s="5">
        <v>11</v>
      </c>
      <c r="AC1662" s="2" t="s">
        <v>231</v>
      </c>
      <c r="AD1662" s="4"/>
      <c r="AE1662" s="4"/>
      <c r="AF1662" s="6">
        <v>66</v>
      </c>
      <c r="AG1662" s="6"/>
      <c r="AH1662" s="7">
        <v>1</v>
      </c>
      <c r="AI1662" s="4"/>
      <c r="AJ1662" s="4">
        <f>=ROUNDDOWN({0},0)</f>
      </c>
      <c r="AK1662" s="5"/>
      <c r="AL1662" s="2" t="s">
        <v>231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231</v>
      </c>
      <c r="AW1662" s="8" t="s">
        <v>231</v>
      </c>
      <c r="AX1662" s="4" t="s">
        <v>231</v>
      </c>
      <c r="AY1662" s="8" t="s">
        <v>231</v>
      </c>
      <c r="AZ1662" s="7" t="s">
        <v>231</v>
      </c>
      <c r="BA1662" s="7" t="s">
        <v>231</v>
      </c>
      <c r="BB1662" s="7"/>
      <c r="BC1662" s="4" t="s">
        <v>231</v>
      </c>
      <c r="BD1662" s="8" t="s">
        <v>231</v>
      </c>
      <c r="BE1662" s="4" t="s">
        <v>231</v>
      </c>
      <c r="BF1662" s="8" t="s">
        <v>231</v>
      </c>
      <c r="BG1662" s="7" t="s">
        <v>231</v>
      </c>
      <c r="BH1662" s="7" t="s">
        <v>231</v>
      </c>
      <c r="BI1662" s="7"/>
      <c r="BJ1662" s="4">
        <v>37</v>
      </c>
      <c r="BK1662" s="8">
        <v>851.69</v>
      </c>
      <c r="BL1662" s="2" t="s">
        <v>1240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7643</v>
      </c>
      <c r="BV1662" s="2" t="s">
        <v>231</v>
      </c>
      <c r="BW1662" s="2" t="s">
        <v>231</v>
      </c>
      <c r="BX1662" s="2" t="s">
        <v>241</v>
      </c>
      <c r="BY1662" s="2" t="s">
        <v>277</v>
      </c>
      <c r="BZ1662" s="2" t="s">
        <v>243</v>
      </c>
      <c r="CA1662" s="2" t="s">
        <v>3934</v>
      </c>
      <c r="CB1662" s="2" t="s">
        <v>231</v>
      </c>
      <c r="CC1662" s="2" t="s">
        <v>244</v>
      </c>
      <c r="CD1662" s="2" t="s">
        <v>231</v>
      </c>
      <c r="CE1662" s="4">
        <v>39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</row>
    <row r="1663">
      <c r="A1663" s="2" t="s">
        <v>7644</v>
      </c>
      <c r="B1663" s="2" t="s">
        <v>1232</v>
      </c>
      <c r="C1663" s="2" t="s">
        <v>1233</v>
      </c>
      <c r="D1663" s="2" t="s">
        <v>1234</v>
      </c>
      <c r="E1663" s="2" t="s">
        <v>1235</v>
      </c>
      <c r="F1663" s="2" t="s">
        <v>7635</v>
      </c>
      <c r="G1663" s="2" t="s">
        <v>7635</v>
      </c>
      <c r="H1663" s="2" t="s">
        <v>7635</v>
      </c>
      <c r="I1663" s="2" t="s">
        <v>7636</v>
      </c>
      <c r="J1663" s="2" t="s">
        <v>1238</v>
      </c>
      <c r="K1663" s="2" t="s">
        <v>547</v>
      </c>
      <c r="L1663" s="3">
        <v>13.72</v>
      </c>
      <c r="M1663" s="3">
        <v>14.41</v>
      </c>
      <c r="N1663" s="3">
        <v>30.99</v>
      </c>
      <c r="O1663" s="2" t="s">
        <v>243</v>
      </c>
      <c r="P1663" s="2" t="s">
        <v>236</v>
      </c>
      <c r="Q1663" s="2" t="s">
        <v>237</v>
      </c>
      <c r="R1663" s="2" t="s">
        <v>231</v>
      </c>
      <c r="S1663" s="2" t="s">
        <v>231</v>
      </c>
      <c r="T1663" s="2" t="s">
        <v>231</v>
      </c>
      <c r="U1663" s="2" t="s">
        <v>327</v>
      </c>
      <c r="V1663" s="2" t="s">
        <v>662</v>
      </c>
      <c r="W1663" s="2" t="s">
        <v>273</v>
      </c>
      <c r="X1663" s="2" t="s">
        <v>231</v>
      </c>
      <c r="Y1663" s="2" t="s">
        <v>1239</v>
      </c>
      <c r="Z1663" s="4">
        <v>21</v>
      </c>
      <c r="AA1663" s="4">
        <f>=ROUNDDOWN(7,0)</f>
      </c>
      <c r="AB1663" s="5">
        <v>3</v>
      </c>
      <c r="AC1663" s="2" t="s">
        <v>231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231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231</v>
      </c>
      <c r="AW1663" s="8" t="s">
        <v>231</v>
      </c>
      <c r="AX1663" s="4" t="s">
        <v>231</v>
      </c>
      <c r="AY1663" s="8" t="s">
        <v>231</v>
      </c>
      <c r="AZ1663" s="7" t="s">
        <v>231</v>
      </c>
      <c r="BA1663" s="7" t="s">
        <v>231</v>
      </c>
      <c r="BB1663" s="7"/>
      <c r="BC1663" s="4" t="s">
        <v>231</v>
      </c>
      <c r="BD1663" s="8" t="s">
        <v>231</v>
      </c>
      <c r="BE1663" s="4" t="s">
        <v>231</v>
      </c>
      <c r="BF1663" s="8" t="s">
        <v>231</v>
      </c>
      <c r="BG1663" s="7" t="s">
        <v>231</v>
      </c>
      <c r="BH1663" s="7" t="s">
        <v>231</v>
      </c>
      <c r="BI1663" s="7"/>
      <c r="BJ1663" s="4">
        <v>7</v>
      </c>
      <c r="BK1663" s="8">
        <v>106.62</v>
      </c>
      <c r="BL1663" s="2" t="s">
        <v>1240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7645</v>
      </c>
      <c r="BV1663" s="2" t="s">
        <v>231</v>
      </c>
      <c r="BW1663" s="2" t="s">
        <v>231</v>
      </c>
      <c r="BX1663" s="2" t="s">
        <v>241</v>
      </c>
      <c r="BY1663" s="2" t="s">
        <v>277</v>
      </c>
      <c r="BZ1663" s="2" t="s">
        <v>243</v>
      </c>
      <c r="CA1663" s="2" t="s">
        <v>3934</v>
      </c>
      <c r="CB1663" s="2" t="s">
        <v>231</v>
      </c>
      <c r="CC1663" s="2" t="s">
        <v>244</v>
      </c>
      <c r="CD1663" s="2" t="s">
        <v>231</v>
      </c>
      <c r="CE1663" s="4">
        <v>21</v>
      </c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</row>
    <row r="1664">
      <c r="A1664" s="2" t="s">
        <v>7646</v>
      </c>
      <c r="B1664" s="2" t="s">
        <v>1232</v>
      </c>
      <c r="C1664" s="2" t="s">
        <v>1233</v>
      </c>
      <c r="D1664" s="2" t="s">
        <v>1234</v>
      </c>
      <c r="E1664" s="2" t="s">
        <v>1235</v>
      </c>
      <c r="F1664" s="2" t="s">
        <v>7635</v>
      </c>
      <c r="G1664" s="2" t="s">
        <v>7635</v>
      </c>
      <c r="H1664" s="2" t="s">
        <v>7635</v>
      </c>
      <c r="I1664" s="2" t="s">
        <v>7639</v>
      </c>
      <c r="J1664" s="2" t="s">
        <v>1245</v>
      </c>
      <c r="K1664" s="2" t="s">
        <v>547</v>
      </c>
      <c r="L1664" s="3">
        <v>17.07</v>
      </c>
      <c r="M1664" s="3">
        <v>17.92</v>
      </c>
      <c r="N1664" s="3">
        <v>37.99</v>
      </c>
      <c r="O1664" s="2" t="s">
        <v>243</v>
      </c>
      <c r="P1664" s="2" t="s">
        <v>236</v>
      </c>
      <c r="Q1664" s="2" t="s">
        <v>237</v>
      </c>
      <c r="R1664" s="2" t="s">
        <v>231</v>
      </c>
      <c r="S1664" s="2" t="s">
        <v>231</v>
      </c>
      <c r="T1664" s="2" t="s">
        <v>231</v>
      </c>
      <c r="U1664" s="2" t="s">
        <v>327</v>
      </c>
      <c r="V1664" s="2" t="s">
        <v>662</v>
      </c>
      <c r="W1664" s="2" t="s">
        <v>273</v>
      </c>
      <c r="X1664" s="2" t="s">
        <v>231</v>
      </c>
      <c r="Y1664" s="2" t="s">
        <v>1239</v>
      </c>
      <c r="Z1664" s="4">
        <v>23</v>
      </c>
      <c r="AA1664" s="4">
        <f>=ROUNDDOWN(7.66666666666667,0)</f>
      </c>
      <c r="AB1664" s="5">
        <v>3</v>
      </c>
      <c r="AC1664" s="2" t="s">
        <v>231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231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231</v>
      </c>
      <c r="AW1664" s="8" t="s">
        <v>231</v>
      </c>
      <c r="AX1664" s="4" t="s">
        <v>231</v>
      </c>
      <c r="AY1664" s="8" t="s">
        <v>231</v>
      </c>
      <c r="AZ1664" s="7" t="s">
        <v>231</v>
      </c>
      <c r="BA1664" s="7" t="s">
        <v>231</v>
      </c>
      <c r="BB1664" s="7"/>
      <c r="BC1664" s="4" t="s">
        <v>231</v>
      </c>
      <c r="BD1664" s="8" t="s">
        <v>231</v>
      </c>
      <c r="BE1664" s="4" t="s">
        <v>231</v>
      </c>
      <c r="BF1664" s="8" t="s">
        <v>231</v>
      </c>
      <c r="BG1664" s="7" t="s">
        <v>231</v>
      </c>
      <c r="BH1664" s="7" t="s">
        <v>231</v>
      </c>
      <c r="BI1664" s="7"/>
      <c r="BJ1664" s="4">
        <v>6</v>
      </c>
      <c r="BK1664" s="8">
        <v>116.53</v>
      </c>
      <c r="BL1664" s="2" t="s">
        <v>7647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7648</v>
      </c>
      <c r="BV1664" s="2" t="s">
        <v>231</v>
      </c>
      <c r="BW1664" s="2" t="s">
        <v>231</v>
      </c>
      <c r="BX1664" s="2" t="s">
        <v>241</v>
      </c>
      <c r="BY1664" s="2" t="s">
        <v>277</v>
      </c>
      <c r="BZ1664" s="2" t="s">
        <v>243</v>
      </c>
      <c r="CA1664" s="2" t="s">
        <v>3934</v>
      </c>
      <c r="CB1664" s="2" t="s">
        <v>231</v>
      </c>
      <c r="CC1664" s="2" t="s">
        <v>244</v>
      </c>
      <c r="CD1664" s="2" t="s">
        <v>231</v>
      </c>
      <c r="CE1664" s="4">
        <v>23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</row>
    <row r="1665">
      <c r="A1665" s="2" t="s">
        <v>7649</v>
      </c>
      <c r="B1665" s="2" t="s">
        <v>1232</v>
      </c>
      <c r="C1665" s="2" t="s">
        <v>1233</v>
      </c>
      <c r="D1665" s="2" t="s">
        <v>1234</v>
      </c>
      <c r="E1665" s="2" t="s">
        <v>1235</v>
      </c>
      <c r="F1665" s="2" t="s">
        <v>7635</v>
      </c>
      <c r="G1665" s="2" t="s">
        <v>7635</v>
      </c>
      <c r="H1665" s="2" t="s">
        <v>7635</v>
      </c>
      <c r="I1665" s="2" t="s">
        <v>7642</v>
      </c>
      <c r="J1665" s="2" t="s">
        <v>1249</v>
      </c>
      <c r="K1665" s="2" t="s">
        <v>547</v>
      </c>
      <c r="L1665" s="3">
        <v>23.36</v>
      </c>
      <c r="M1665" s="3">
        <v>24.53</v>
      </c>
      <c r="N1665" s="3">
        <v>51.99</v>
      </c>
      <c r="O1665" s="2" t="s">
        <v>243</v>
      </c>
      <c r="P1665" s="2" t="s">
        <v>236</v>
      </c>
      <c r="Q1665" s="2" t="s">
        <v>237</v>
      </c>
      <c r="R1665" s="2" t="s">
        <v>231</v>
      </c>
      <c r="S1665" s="2" t="s">
        <v>231</v>
      </c>
      <c r="T1665" s="2" t="s">
        <v>231</v>
      </c>
      <c r="U1665" s="2" t="s">
        <v>327</v>
      </c>
      <c r="V1665" s="2" t="s">
        <v>662</v>
      </c>
      <c r="W1665" s="2" t="s">
        <v>273</v>
      </c>
      <c r="X1665" s="2" t="s">
        <v>231</v>
      </c>
      <c r="Y1665" s="2" t="s">
        <v>1239</v>
      </c>
      <c r="Z1665" s="4">
        <v>17</v>
      </c>
      <c r="AA1665" s="4">
        <f>=ROUNDDOWN(4.25,0)</f>
      </c>
      <c r="AB1665" s="5">
        <v>4</v>
      </c>
      <c r="AC1665" s="2" t="s">
        <v>231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231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231</v>
      </c>
      <c r="AW1665" s="8" t="s">
        <v>231</v>
      </c>
      <c r="AX1665" s="4" t="s">
        <v>231</v>
      </c>
      <c r="AY1665" s="8" t="s">
        <v>231</v>
      </c>
      <c r="AZ1665" s="7" t="s">
        <v>231</v>
      </c>
      <c r="BA1665" s="7" t="s">
        <v>231</v>
      </c>
      <c r="BB1665" s="7"/>
      <c r="BC1665" s="4" t="s">
        <v>231</v>
      </c>
      <c r="BD1665" s="8" t="s">
        <v>231</v>
      </c>
      <c r="BE1665" s="4" t="s">
        <v>231</v>
      </c>
      <c r="BF1665" s="8" t="s">
        <v>231</v>
      </c>
      <c r="BG1665" s="7" t="s">
        <v>231</v>
      </c>
      <c r="BH1665" s="7" t="s">
        <v>231</v>
      </c>
      <c r="BI1665" s="7"/>
      <c r="BJ1665" s="4">
        <v>9</v>
      </c>
      <c r="BK1665" s="8">
        <v>224.69</v>
      </c>
      <c r="BL1665" s="2" t="s">
        <v>1240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7650</v>
      </c>
      <c r="BV1665" s="2" t="s">
        <v>231</v>
      </c>
      <c r="BW1665" s="2" t="s">
        <v>231</v>
      </c>
      <c r="BX1665" s="2" t="s">
        <v>241</v>
      </c>
      <c r="BY1665" s="2" t="s">
        <v>277</v>
      </c>
      <c r="BZ1665" s="2" t="s">
        <v>243</v>
      </c>
      <c r="CA1665" s="2" t="s">
        <v>3934</v>
      </c>
      <c r="CB1665" s="2" t="s">
        <v>231</v>
      </c>
      <c r="CC1665" s="2" t="s">
        <v>244</v>
      </c>
      <c r="CD1665" s="2" t="s">
        <v>231</v>
      </c>
      <c r="CE1665" s="4">
        <v>17</v>
      </c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</row>
    <row r="1666">
      <c r="A1666" s="2" t="s">
        <v>7651</v>
      </c>
      <c r="B1666" s="2" t="s">
        <v>1232</v>
      </c>
      <c r="C1666" s="2" t="s">
        <v>1233</v>
      </c>
      <c r="D1666" s="2" t="s">
        <v>1234</v>
      </c>
      <c r="E1666" s="2" t="s">
        <v>1235</v>
      </c>
      <c r="F1666" s="2" t="s">
        <v>7635</v>
      </c>
      <c r="G1666" s="2" t="s">
        <v>7635</v>
      </c>
      <c r="H1666" s="2" t="s">
        <v>7635</v>
      </c>
      <c r="I1666" s="2" t="s">
        <v>7636</v>
      </c>
      <c r="J1666" s="2" t="s">
        <v>1238</v>
      </c>
      <c r="K1666" s="2" t="s">
        <v>255</v>
      </c>
      <c r="L1666" s="3">
        <v>13.72</v>
      </c>
      <c r="M1666" s="3">
        <v>14.41</v>
      </c>
      <c r="N1666" s="3">
        <v>30.99</v>
      </c>
      <c r="O1666" s="2" t="s">
        <v>243</v>
      </c>
      <c r="P1666" s="2" t="s">
        <v>236</v>
      </c>
      <c r="Q1666" s="2" t="s">
        <v>237</v>
      </c>
      <c r="R1666" s="2" t="s">
        <v>231</v>
      </c>
      <c r="S1666" s="2" t="s">
        <v>231</v>
      </c>
      <c r="T1666" s="2" t="s">
        <v>231</v>
      </c>
      <c r="U1666" s="2" t="s">
        <v>327</v>
      </c>
      <c r="V1666" s="2" t="s">
        <v>662</v>
      </c>
      <c r="W1666" s="2" t="s">
        <v>273</v>
      </c>
      <c r="X1666" s="2" t="s">
        <v>231</v>
      </c>
      <c r="Y1666" s="2" t="s">
        <v>1239</v>
      </c>
      <c r="Z1666" s="4">
        <v>48</v>
      </c>
      <c r="AA1666" s="4">
        <f>=ROUNDDOWN(24,0)</f>
      </c>
      <c r="AB1666" s="5">
        <v>2</v>
      </c>
      <c r="AC1666" s="2" t="s">
        <v>231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231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231</v>
      </c>
      <c r="AW1666" s="8" t="s">
        <v>231</v>
      </c>
      <c r="AX1666" s="4" t="s">
        <v>231</v>
      </c>
      <c r="AY1666" s="8" t="s">
        <v>231</v>
      </c>
      <c r="AZ1666" s="7" t="s">
        <v>231</v>
      </c>
      <c r="BA1666" s="7" t="s">
        <v>231</v>
      </c>
      <c r="BB1666" s="7"/>
      <c r="BC1666" s="4" t="s">
        <v>231</v>
      </c>
      <c r="BD1666" s="8" t="s">
        <v>231</v>
      </c>
      <c r="BE1666" s="4" t="s">
        <v>231</v>
      </c>
      <c r="BF1666" s="8" t="s">
        <v>231</v>
      </c>
      <c r="BG1666" s="7" t="s">
        <v>231</v>
      </c>
      <c r="BH1666" s="7" t="s">
        <v>231</v>
      </c>
      <c r="BI1666" s="7"/>
      <c r="BJ1666" s="4">
        <v>3</v>
      </c>
      <c r="BK1666" s="8">
        <v>43.23</v>
      </c>
      <c r="BL1666" s="2" t="s">
        <v>628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7652</v>
      </c>
      <c r="BV1666" s="2" t="s">
        <v>231</v>
      </c>
      <c r="BW1666" s="2" t="s">
        <v>231</v>
      </c>
      <c r="BX1666" s="2" t="s">
        <v>241</v>
      </c>
      <c r="BY1666" s="2" t="s">
        <v>277</v>
      </c>
      <c r="BZ1666" s="2" t="s">
        <v>243</v>
      </c>
      <c r="CA1666" s="2" t="s">
        <v>3934</v>
      </c>
      <c r="CB1666" s="2" t="s">
        <v>231</v>
      </c>
      <c r="CC1666" s="2" t="s">
        <v>244</v>
      </c>
      <c r="CD1666" s="2" t="s">
        <v>231</v>
      </c>
      <c r="CE1666" s="4">
        <v>48</v>
      </c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</row>
    <row r="1667">
      <c r="A1667" s="2" t="s">
        <v>7653</v>
      </c>
      <c r="B1667" s="2" t="s">
        <v>1232</v>
      </c>
      <c r="C1667" s="2" t="s">
        <v>1233</v>
      </c>
      <c r="D1667" s="2" t="s">
        <v>1234</v>
      </c>
      <c r="E1667" s="2" t="s">
        <v>1235</v>
      </c>
      <c r="F1667" s="2" t="s">
        <v>7635</v>
      </c>
      <c r="G1667" s="2" t="s">
        <v>7635</v>
      </c>
      <c r="H1667" s="2" t="s">
        <v>7635</v>
      </c>
      <c r="I1667" s="2" t="s">
        <v>7639</v>
      </c>
      <c r="J1667" s="2" t="s">
        <v>1245</v>
      </c>
      <c r="K1667" s="2" t="s">
        <v>255</v>
      </c>
      <c r="L1667" s="3">
        <v>17.07</v>
      </c>
      <c r="M1667" s="3">
        <v>17.92</v>
      </c>
      <c r="N1667" s="3">
        <v>37.99</v>
      </c>
      <c r="O1667" s="2" t="s">
        <v>243</v>
      </c>
      <c r="P1667" s="2" t="s">
        <v>236</v>
      </c>
      <c r="Q1667" s="2" t="s">
        <v>237</v>
      </c>
      <c r="R1667" s="2" t="s">
        <v>231</v>
      </c>
      <c r="S1667" s="2" t="s">
        <v>231</v>
      </c>
      <c r="T1667" s="2" t="s">
        <v>231</v>
      </c>
      <c r="U1667" s="2" t="s">
        <v>327</v>
      </c>
      <c r="V1667" s="2" t="s">
        <v>662</v>
      </c>
      <c r="W1667" s="2" t="s">
        <v>273</v>
      </c>
      <c r="X1667" s="2" t="s">
        <v>231</v>
      </c>
      <c r="Y1667" s="2" t="s">
        <v>1239</v>
      </c>
      <c r="Z1667" s="4">
        <v>39</v>
      </c>
      <c r="AA1667" s="4">
        <f>=ROUNDDOWN(9.75,0)</f>
      </c>
      <c r="AB1667" s="5">
        <v>4</v>
      </c>
      <c r="AC1667" s="2" t="s">
        <v>231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231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231</v>
      </c>
      <c r="AW1667" s="8" t="s">
        <v>231</v>
      </c>
      <c r="AX1667" s="4" t="s">
        <v>231</v>
      </c>
      <c r="AY1667" s="8" t="s">
        <v>231</v>
      </c>
      <c r="AZ1667" s="7" t="s">
        <v>231</v>
      </c>
      <c r="BA1667" s="7" t="s">
        <v>231</v>
      </c>
      <c r="BB1667" s="7"/>
      <c r="BC1667" s="4" t="s">
        <v>231</v>
      </c>
      <c r="BD1667" s="8" t="s">
        <v>231</v>
      </c>
      <c r="BE1667" s="4" t="s">
        <v>231</v>
      </c>
      <c r="BF1667" s="8" t="s">
        <v>231</v>
      </c>
      <c r="BG1667" s="7" t="s">
        <v>231</v>
      </c>
      <c r="BH1667" s="7" t="s">
        <v>231</v>
      </c>
      <c r="BI1667" s="7"/>
      <c r="BJ1667" s="4">
        <v>8</v>
      </c>
      <c r="BK1667" s="8">
        <v>143.36</v>
      </c>
      <c r="BL1667" s="2" t="s">
        <v>628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7654</v>
      </c>
      <c r="BV1667" s="2" t="s">
        <v>231</v>
      </c>
      <c r="BW1667" s="2" t="s">
        <v>231</v>
      </c>
      <c r="BX1667" s="2" t="s">
        <v>241</v>
      </c>
      <c r="BY1667" s="2" t="s">
        <v>277</v>
      </c>
      <c r="BZ1667" s="2" t="s">
        <v>243</v>
      </c>
      <c r="CA1667" s="2" t="s">
        <v>3934</v>
      </c>
      <c r="CB1667" s="2" t="s">
        <v>231</v>
      </c>
      <c r="CC1667" s="2" t="s">
        <v>244</v>
      </c>
      <c r="CD1667" s="2" t="s">
        <v>231</v>
      </c>
      <c r="CE1667" s="4">
        <v>39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</row>
    <row r="1668">
      <c r="A1668" s="2" t="s">
        <v>7655</v>
      </c>
      <c r="B1668" s="2" t="s">
        <v>1232</v>
      </c>
      <c r="C1668" s="2" t="s">
        <v>1233</v>
      </c>
      <c r="D1668" s="2" t="s">
        <v>1234</v>
      </c>
      <c r="E1668" s="2" t="s">
        <v>1235</v>
      </c>
      <c r="F1668" s="2" t="s">
        <v>7635</v>
      </c>
      <c r="G1668" s="2" t="s">
        <v>7635</v>
      </c>
      <c r="H1668" s="2" t="s">
        <v>7635</v>
      </c>
      <c r="I1668" s="2" t="s">
        <v>7642</v>
      </c>
      <c r="J1668" s="2" t="s">
        <v>1249</v>
      </c>
      <c r="K1668" s="2" t="s">
        <v>255</v>
      </c>
      <c r="L1668" s="3">
        <v>23.36</v>
      </c>
      <c r="M1668" s="3">
        <v>24.53</v>
      </c>
      <c r="N1668" s="3">
        <v>51.99</v>
      </c>
      <c r="O1668" s="2" t="s">
        <v>243</v>
      </c>
      <c r="P1668" s="2" t="s">
        <v>236</v>
      </c>
      <c r="Q1668" s="2" t="s">
        <v>237</v>
      </c>
      <c r="R1668" s="2" t="s">
        <v>231</v>
      </c>
      <c r="S1668" s="2" t="s">
        <v>231</v>
      </c>
      <c r="T1668" s="2" t="s">
        <v>231</v>
      </c>
      <c r="U1668" s="2" t="s">
        <v>327</v>
      </c>
      <c r="V1668" s="2" t="s">
        <v>662</v>
      </c>
      <c r="W1668" s="2" t="s">
        <v>273</v>
      </c>
      <c r="X1668" s="2" t="s">
        <v>231</v>
      </c>
      <c r="Y1668" s="2" t="s">
        <v>1239</v>
      </c>
      <c r="Z1668" s="4">
        <v>10</v>
      </c>
      <c r="AA1668" s="4">
        <f>=ROUNDDOWN(2,0)</f>
      </c>
      <c r="AB1668" s="5">
        <v>5</v>
      </c>
      <c r="AC1668" s="2" t="s">
        <v>231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231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 t="s">
        <v>231</v>
      </c>
      <c r="AW1668" s="8" t="s">
        <v>231</v>
      </c>
      <c r="AX1668" s="4" t="s">
        <v>231</v>
      </c>
      <c r="AY1668" s="8" t="s">
        <v>231</v>
      </c>
      <c r="AZ1668" s="7" t="s">
        <v>231</v>
      </c>
      <c r="BA1668" s="7" t="s">
        <v>231</v>
      </c>
      <c r="BB1668" s="7"/>
      <c r="BC1668" s="4" t="s">
        <v>231</v>
      </c>
      <c r="BD1668" s="8" t="s">
        <v>231</v>
      </c>
      <c r="BE1668" s="4" t="s">
        <v>231</v>
      </c>
      <c r="BF1668" s="8" t="s">
        <v>231</v>
      </c>
      <c r="BG1668" s="7" t="s">
        <v>231</v>
      </c>
      <c r="BH1668" s="7" t="s">
        <v>231</v>
      </c>
      <c r="BI1668" s="7"/>
      <c r="BJ1668" s="4">
        <v>2</v>
      </c>
      <c r="BK1668" s="8">
        <v>49.06</v>
      </c>
      <c r="BL1668" s="2" t="s">
        <v>628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7656</v>
      </c>
      <c r="BV1668" s="2" t="s">
        <v>231</v>
      </c>
      <c r="BW1668" s="2" t="s">
        <v>231</v>
      </c>
      <c r="BX1668" s="2" t="s">
        <v>241</v>
      </c>
      <c r="BY1668" s="2" t="s">
        <v>277</v>
      </c>
      <c r="BZ1668" s="2" t="s">
        <v>243</v>
      </c>
      <c r="CA1668" s="2" t="s">
        <v>3934</v>
      </c>
      <c r="CB1668" s="2" t="s">
        <v>231</v>
      </c>
      <c r="CC1668" s="2" t="s">
        <v>244</v>
      </c>
      <c r="CD1668" s="2" t="s">
        <v>231</v>
      </c>
      <c r="CE1668" s="4">
        <v>10</v>
      </c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</row>
    <row r="1669">
      <c r="A1669" s="2" t="s">
        <v>7657</v>
      </c>
      <c r="B1669" s="2" t="s">
        <v>847</v>
      </c>
      <c r="C1669" s="2" t="s">
        <v>867</v>
      </c>
      <c r="D1669" s="2" t="s">
        <v>906</v>
      </c>
      <c r="E1669" s="2" t="s">
        <v>907</v>
      </c>
      <c r="F1669" s="2" t="s">
        <v>7658</v>
      </c>
      <c r="G1669" s="2" t="s">
        <v>7658</v>
      </c>
      <c r="H1669" s="2" t="s">
        <v>7658</v>
      </c>
      <c r="I1669" s="2" t="s">
        <v>7659</v>
      </c>
      <c r="J1669" s="2" t="s">
        <v>807</v>
      </c>
      <c r="K1669" s="2" t="s">
        <v>294</v>
      </c>
      <c r="L1669" s="3">
        <v>123.21</v>
      </c>
      <c r="M1669" s="3">
        <v>129.37</v>
      </c>
      <c r="N1669" s="3">
        <v>225.24</v>
      </c>
      <c r="O1669" s="2" t="s">
        <v>243</v>
      </c>
      <c r="P1669" s="2" t="s">
        <v>270</v>
      </c>
      <c r="Q1669" s="2" t="s">
        <v>237</v>
      </c>
      <c r="R1669" s="2" t="s">
        <v>231</v>
      </c>
      <c r="S1669" s="2" t="s">
        <v>231</v>
      </c>
      <c r="T1669" s="2" t="s">
        <v>231</v>
      </c>
      <c r="U1669" s="2" t="s">
        <v>327</v>
      </c>
      <c r="V1669" s="2" t="s">
        <v>239</v>
      </c>
      <c r="W1669" s="2" t="s">
        <v>792</v>
      </c>
      <c r="X1669" s="2" t="s">
        <v>1694</v>
      </c>
      <c r="Y1669" s="2" t="s">
        <v>2583</v>
      </c>
      <c r="Z1669" s="4">
        <v>127</v>
      </c>
      <c r="AA1669" s="4">
        <f>=ROUNDDOWN(37.3529411764706,0)</f>
      </c>
      <c r="AB1669" s="5">
        <v>3.4</v>
      </c>
      <c r="AC1669" s="2" t="s">
        <v>231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231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/>
      <c r="BD1669" s="8"/>
      <c r="BE1669" s="4"/>
      <c r="BF1669" s="8"/>
      <c r="BG1669" s="7"/>
      <c r="BH1669" s="7"/>
      <c r="BI1669" s="7"/>
      <c r="BJ1669" s="4">
        <v>19</v>
      </c>
      <c r="BK1669" s="8">
        <v>2249.15</v>
      </c>
      <c r="BL1669" s="2" t="s">
        <v>7660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7661</v>
      </c>
      <c r="BV1669" s="2" t="s">
        <v>231</v>
      </c>
      <c r="BW1669" s="2" t="s">
        <v>231</v>
      </c>
      <c r="BX1669" s="2" t="s">
        <v>241</v>
      </c>
      <c r="BY1669" s="2" t="s">
        <v>277</v>
      </c>
      <c r="BZ1669" s="2" t="s">
        <v>243</v>
      </c>
      <c r="CA1669" s="2" t="s">
        <v>5435</v>
      </c>
      <c r="CB1669" s="2" t="s">
        <v>4745</v>
      </c>
      <c r="CC1669" s="2" t="s">
        <v>244</v>
      </c>
      <c r="CD1669" s="2" t="s">
        <v>231</v>
      </c>
      <c r="CE1669" s="4"/>
      <c r="CF1669" s="4">
        <v>127</v>
      </c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</row>
    <row r="1670">
      <c r="A1670" s="2" t="s">
        <v>7662</v>
      </c>
      <c r="B1670" s="2" t="s">
        <v>1186</v>
      </c>
      <c r="C1670" s="2" t="s">
        <v>288</v>
      </c>
      <c r="D1670" s="2" t="s">
        <v>1462</v>
      </c>
      <c r="E1670" s="2" t="s">
        <v>1463</v>
      </c>
      <c r="F1670" s="2" t="s">
        <v>7663</v>
      </c>
      <c r="G1670" s="2" t="s">
        <v>7442</v>
      </c>
      <c r="H1670" s="2" t="s">
        <v>2855</v>
      </c>
      <c r="I1670" s="2" t="s">
        <v>7664</v>
      </c>
      <c r="J1670" s="2" t="s">
        <v>832</v>
      </c>
      <c r="K1670" s="2" t="s">
        <v>253</v>
      </c>
      <c r="L1670" s="3">
        <v>28.34</v>
      </c>
      <c r="M1670" s="3">
        <v>29.76</v>
      </c>
      <c r="N1670" s="3">
        <v>54.99</v>
      </c>
      <c r="O1670" s="2" t="s">
        <v>243</v>
      </c>
      <c r="P1670" s="2" t="s">
        <v>270</v>
      </c>
      <c r="Q1670" s="2" t="s">
        <v>237</v>
      </c>
      <c r="R1670" s="2" t="s">
        <v>231</v>
      </c>
      <c r="S1670" s="2" t="s">
        <v>7665</v>
      </c>
      <c r="T1670" s="2" t="s">
        <v>231</v>
      </c>
      <c r="U1670" s="2" t="s">
        <v>791</v>
      </c>
      <c r="V1670" s="2" t="s">
        <v>239</v>
      </c>
      <c r="W1670" s="2" t="s">
        <v>273</v>
      </c>
      <c r="X1670" s="2" t="s">
        <v>1794</v>
      </c>
      <c r="Y1670" s="2" t="s">
        <v>274</v>
      </c>
      <c r="Z1670" s="4">
        <v>524</v>
      </c>
      <c r="AA1670" s="4">
        <f>=ROUNDDOWN(52.4,0)</f>
      </c>
      <c r="AB1670" s="5">
        <v>10</v>
      </c>
      <c r="AC1670" s="2" t="s">
        <v>231</v>
      </c>
      <c r="AD1670" s="4"/>
      <c r="AE1670" s="4"/>
      <c r="AF1670" s="6">
        <v>65</v>
      </c>
      <c r="AG1670" s="6">
        <v>48</v>
      </c>
      <c r="AH1670" s="7">
        <v>1</v>
      </c>
      <c r="AI1670" s="4"/>
      <c r="AJ1670" s="4">
        <f>=ROUNDDOWN({0},0)</f>
      </c>
      <c r="AK1670" s="5"/>
      <c r="AL1670" s="2" t="s">
        <v>231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231</v>
      </c>
      <c r="BD1670" s="8" t="s">
        <v>231</v>
      </c>
      <c r="BE1670" s="4" t="s">
        <v>231</v>
      </c>
      <c r="BF1670" s="8" t="s">
        <v>231</v>
      </c>
      <c r="BG1670" s="7" t="s">
        <v>231</v>
      </c>
      <c r="BH1670" s="7" t="s">
        <v>231</v>
      </c>
      <c r="BI1670" s="7"/>
      <c r="BJ1670" s="4">
        <v>39</v>
      </c>
      <c r="BK1670" s="8">
        <v>1088.8</v>
      </c>
      <c r="BL1670" s="2" t="s">
        <v>7666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7667</v>
      </c>
      <c r="BV1670" s="2" t="s">
        <v>231</v>
      </c>
      <c r="BW1670" s="2" t="s">
        <v>231</v>
      </c>
      <c r="BX1670" s="2" t="s">
        <v>312</v>
      </c>
      <c r="BY1670" s="2" t="s">
        <v>277</v>
      </c>
      <c r="BZ1670" s="2" t="s">
        <v>243</v>
      </c>
      <c r="CA1670" s="2" t="s">
        <v>284</v>
      </c>
      <c r="CB1670" s="2" t="s">
        <v>617</v>
      </c>
      <c r="CC1670" s="2" t="s">
        <v>244</v>
      </c>
      <c r="CD1670" s="2" t="s">
        <v>231</v>
      </c>
      <c r="CE1670" s="4">
        <v>418</v>
      </c>
      <c r="CF1670" s="4"/>
      <c r="CG1670" s="4"/>
      <c r="CH1670" s="4"/>
      <c r="CI1670" s="4">
        <v>106</v>
      </c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</row>
    <row r="1671">
      <c r="A1671" s="2" t="s">
        <v>7668</v>
      </c>
      <c r="B1671" s="2" t="s">
        <v>1186</v>
      </c>
      <c r="C1671" s="2" t="s">
        <v>288</v>
      </c>
      <c r="D1671" s="2" t="s">
        <v>1462</v>
      </c>
      <c r="E1671" s="2" t="s">
        <v>1463</v>
      </c>
      <c r="F1671" s="2" t="s">
        <v>7663</v>
      </c>
      <c r="G1671" s="2" t="s">
        <v>7442</v>
      </c>
      <c r="H1671" s="2" t="s">
        <v>2855</v>
      </c>
      <c r="I1671" s="2" t="s">
        <v>7669</v>
      </c>
      <c r="J1671" s="2" t="s">
        <v>658</v>
      </c>
      <c r="K1671" s="2" t="s">
        <v>255</v>
      </c>
      <c r="L1671" s="3">
        <v>36.71</v>
      </c>
      <c r="M1671" s="3">
        <v>38.55</v>
      </c>
      <c r="N1671" s="3">
        <v>69.99</v>
      </c>
      <c r="O1671" s="2" t="s">
        <v>243</v>
      </c>
      <c r="P1671" s="2" t="s">
        <v>270</v>
      </c>
      <c r="Q1671" s="2" t="s">
        <v>237</v>
      </c>
      <c r="R1671" s="2" t="s">
        <v>231</v>
      </c>
      <c r="S1671" s="2" t="s">
        <v>7670</v>
      </c>
      <c r="T1671" s="2" t="s">
        <v>231</v>
      </c>
      <c r="U1671" s="2" t="s">
        <v>835</v>
      </c>
      <c r="V1671" s="2" t="s">
        <v>239</v>
      </c>
      <c r="W1671" s="2" t="s">
        <v>273</v>
      </c>
      <c r="X1671" s="2" t="s">
        <v>1794</v>
      </c>
      <c r="Y1671" s="2" t="s">
        <v>274</v>
      </c>
      <c r="Z1671" s="4">
        <v>591</v>
      </c>
      <c r="AA1671" s="4">
        <f>=ROUNDDOWN(31.1052631578947,0)</f>
      </c>
      <c r="AB1671" s="5">
        <v>19</v>
      </c>
      <c r="AC1671" s="2" t="s">
        <v>2049</v>
      </c>
      <c r="AD1671" s="4">
        <v>50</v>
      </c>
      <c r="AE1671" s="4">
        <v>50</v>
      </c>
      <c r="AF1671" s="6">
        <v>65</v>
      </c>
      <c r="AG1671" s="6">
        <v>48</v>
      </c>
      <c r="AH1671" s="7">
        <v>1</v>
      </c>
      <c r="AI1671" s="4"/>
      <c r="AJ1671" s="4">
        <f>=ROUNDDOWN({0},0)</f>
      </c>
      <c r="AK1671" s="5"/>
      <c r="AL1671" s="2" t="s">
        <v>231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 t="s">
        <v>231</v>
      </c>
      <c r="BD1671" s="8" t="s">
        <v>231</v>
      </c>
      <c r="BE1671" s="4" t="s">
        <v>231</v>
      </c>
      <c r="BF1671" s="8" t="s">
        <v>231</v>
      </c>
      <c r="BG1671" s="7" t="s">
        <v>231</v>
      </c>
      <c r="BH1671" s="7" t="s">
        <v>231</v>
      </c>
      <c r="BI1671" s="7"/>
      <c r="BJ1671" s="4">
        <v>90</v>
      </c>
      <c r="BK1671" s="8">
        <v>3259.02</v>
      </c>
      <c r="BL1671" s="2" t="s">
        <v>7671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7672</v>
      </c>
      <c r="BV1671" s="2" t="s">
        <v>231</v>
      </c>
      <c r="BW1671" s="2" t="s">
        <v>231</v>
      </c>
      <c r="BX1671" s="2" t="s">
        <v>312</v>
      </c>
      <c r="BY1671" s="2" t="s">
        <v>277</v>
      </c>
      <c r="BZ1671" s="2" t="s">
        <v>243</v>
      </c>
      <c r="CA1671" s="2" t="s">
        <v>2052</v>
      </c>
      <c r="CB1671" s="2" t="s">
        <v>6908</v>
      </c>
      <c r="CC1671" s="2" t="s">
        <v>244</v>
      </c>
      <c r="CD1671" s="2" t="s">
        <v>231</v>
      </c>
      <c r="CE1671" s="4">
        <v>399</v>
      </c>
      <c r="CF1671" s="4"/>
      <c r="CG1671" s="4"/>
      <c r="CH1671" s="4"/>
      <c r="CI1671" s="4">
        <v>192</v>
      </c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>
        <v>50</v>
      </c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</row>
    <row r="1672">
      <c r="A1672" s="2" t="s">
        <v>7673</v>
      </c>
      <c r="B1672" s="2" t="s">
        <v>1004</v>
      </c>
      <c r="C1672" s="2" t="s">
        <v>815</v>
      </c>
      <c r="D1672" s="2" t="s">
        <v>1837</v>
      </c>
      <c r="E1672" s="2" t="s">
        <v>6476</v>
      </c>
      <c r="F1672" s="2" t="s">
        <v>7674</v>
      </c>
      <c r="G1672" s="2" t="s">
        <v>7674</v>
      </c>
      <c r="H1672" s="2" t="s">
        <v>7674</v>
      </c>
      <c r="I1672" s="2" t="s">
        <v>7675</v>
      </c>
      <c r="J1672" s="2" t="s">
        <v>807</v>
      </c>
      <c r="K1672" s="2" t="s">
        <v>7676</v>
      </c>
      <c r="L1672" s="3">
        <v>210</v>
      </c>
      <c r="M1672" s="3">
        <v>220.5</v>
      </c>
      <c r="N1672" s="3">
        <v>449</v>
      </c>
      <c r="O1672" s="2" t="s">
        <v>243</v>
      </c>
      <c r="P1672" s="2" t="s">
        <v>1915</v>
      </c>
      <c r="Q1672" s="2" t="s">
        <v>237</v>
      </c>
      <c r="R1672" s="2" t="s">
        <v>231</v>
      </c>
      <c r="S1672" s="2" t="s">
        <v>231</v>
      </c>
      <c r="T1672" s="2" t="s">
        <v>231</v>
      </c>
      <c r="U1672" s="2" t="s">
        <v>327</v>
      </c>
      <c r="V1672" s="2" t="s">
        <v>662</v>
      </c>
      <c r="W1672" s="2" t="s">
        <v>691</v>
      </c>
      <c r="X1672" s="2" t="s">
        <v>273</v>
      </c>
      <c r="Y1672" s="2" t="s">
        <v>4982</v>
      </c>
      <c r="Z1672" s="4"/>
      <c r="AA1672" s="4">
        <f>=ROUNDDOWN({0},0)</f>
      </c>
      <c r="AB1672" s="5"/>
      <c r="AC1672" s="2" t="s">
        <v>7677</v>
      </c>
      <c r="AD1672" s="4">
        <v>100</v>
      </c>
      <c r="AE1672" s="4">
        <v>100</v>
      </c>
      <c r="AF1672" s="6">
        <v>74</v>
      </c>
      <c r="AG1672" s="6"/>
      <c r="AH1672" s="7">
        <v>0</v>
      </c>
      <c r="AI1672" s="4"/>
      <c r="AJ1672" s="4">
        <f>=ROUNDDOWN({0},0)</f>
      </c>
      <c r="AK1672" s="5"/>
      <c r="AL1672" s="2" t="s">
        <v>231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/>
      <c r="BD1672" s="8"/>
      <c r="BE1672" s="4"/>
      <c r="BF1672" s="8"/>
      <c r="BG1672" s="7"/>
      <c r="BH1672" s="7"/>
      <c r="BI1672" s="7"/>
      <c r="BJ1672" s="4"/>
      <c r="BK1672" s="8"/>
      <c r="BL1672" s="2" t="s">
        <v>231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241</v>
      </c>
      <c r="BV1672" s="2" t="s">
        <v>231</v>
      </c>
      <c r="BW1672" s="2" t="s">
        <v>231</v>
      </c>
      <c r="BX1672" s="2" t="s">
        <v>241</v>
      </c>
      <c r="BY1672" s="2" t="s">
        <v>242</v>
      </c>
      <c r="BZ1672" s="2" t="s">
        <v>243</v>
      </c>
      <c r="CA1672" s="2" t="s">
        <v>231</v>
      </c>
      <c r="CB1672" s="2" t="s">
        <v>231</v>
      </c>
      <c r="CC1672" s="2" t="s">
        <v>244</v>
      </c>
      <c r="CD1672" s="2" t="s">
        <v>231</v>
      </c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>
        <v>100</v>
      </c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</row>
    <row r="1673">
      <c r="A1673" s="2" t="s">
        <v>7678</v>
      </c>
      <c r="B1673" s="2" t="s">
        <v>1004</v>
      </c>
      <c r="C1673" s="2" t="s">
        <v>288</v>
      </c>
      <c r="D1673" s="2" t="s">
        <v>1917</v>
      </c>
      <c r="E1673" s="2" t="s">
        <v>1918</v>
      </c>
      <c r="F1673" s="2" t="s">
        <v>7679</v>
      </c>
      <c r="G1673" s="2" t="s">
        <v>7680</v>
      </c>
      <c r="H1673" s="2" t="s">
        <v>7681</v>
      </c>
      <c r="I1673" s="2" t="s">
        <v>1918</v>
      </c>
      <c r="J1673" s="2" t="s">
        <v>807</v>
      </c>
      <c r="K1673" s="2" t="s">
        <v>1939</v>
      </c>
      <c r="L1673" s="3">
        <v>160</v>
      </c>
      <c r="M1673" s="3">
        <v>168</v>
      </c>
      <c r="N1673" s="3">
        <v>339</v>
      </c>
      <c r="O1673" s="2" t="s">
        <v>235</v>
      </c>
      <c r="P1673" s="2" t="s">
        <v>341</v>
      </c>
      <c r="Q1673" s="2" t="s">
        <v>237</v>
      </c>
      <c r="R1673" s="2" t="s">
        <v>231</v>
      </c>
      <c r="S1673" s="2" t="s">
        <v>7682</v>
      </c>
      <c r="T1673" s="2" t="s">
        <v>231</v>
      </c>
      <c r="U1673" s="2" t="s">
        <v>231</v>
      </c>
      <c r="V1673" s="2" t="s">
        <v>239</v>
      </c>
      <c r="W1673" s="2" t="s">
        <v>792</v>
      </c>
      <c r="X1673" s="2" t="s">
        <v>231</v>
      </c>
      <c r="Y1673" s="2" t="s">
        <v>313</v>
      </c>
      <c r="Z1673" s="4">
        <v>45</v>
      </c>
      <c r="AA1673" s="4">
        <f>=ROUNDDOWN(45,0)</f>
      </c>
      <c r="AB1673" s="5">
        <v>1</v>
      </c>
      <c r="AC1673" s="2" t="s">
        <v>231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231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/>
      <c r="BD1673" s="8"/>
      <c r="BE1673" s="4"/>
      <c r="BF1673" s="8"/>
      <c r="BG1673" s="7"/>
      <c r="BH1673" s="7"/>
      <c r="BI1673" s="7"/>
      <c r="BJ1673" s="4">
        <v>1</v>
      </c>
      <c r="BK1673" s="8">
        <v>160.58</v>
      </c>
      <c r="BL1673" s="2" t="s">
        <v>628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7683</v>
      </c>
      <c r="BV1673" s="2" t="s">
        <v>231</v>
      </c>
      <c r="BW1673" s="2" t="s">
        <v>231</v>
      </c>
      <c r="BX1673" s="2" t="s">
        <v>231</v>
      </c>
      <c r="BY1673" s="2" t="s">
        <v>277</v>
      </c>
      <c r="BZ1673" s="2" t="s">
        <v>243</v>
      </c>
      <c r="CA1673" s="2" t="s">
        <v>4472</v>
      </c>
      <c r="CB1673" s="2" t="s">
        <v>1950</v>
      </c>
      <c r="CC1673" s="2" t="s">
        <v>244</v>
      </c>
      <c r="CD1673" s="2" t="s">
        <v>231</v>
      </c>
      <c r="CE1673" s="4"/>
      <c r="CF1673" s="4">
        <v>45</v>
      </c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</row>
    <row r="1674">
      <c r="A1674" s="2" t="s">
        <v>7684</v>
      </c>
      <c r="B1674" s="2" t="s">
        <v>801</v>
      </c>
      <c r="C1674" s="2" t="s">
        <v>815</v>
      </c>
      <c r="D1674" s="2" t="s">
        <v>1114</v>
      </c>
      <c r="E1674" s="2" t="s">
        <v>1115</v>
      </c>
      <c r="F1674" s="2" t="s">
        <v>7685</v>
      </c>
      <c r="G1674" s="2" t="s">
        <v>7685</v>
      </c>
      <c r="H1674" s="2" t="s">
        <v>7685</v>
      </c>
      <c r="I1674" s="2" t="s">
        <v>7447</v>
      </c>
      <c r="J1674" s="2" t="s">
        <v>807</v>
      </c>
      <c r="K1674" s="2" t="s">
        <v>698</v>
      </c>
      <c r="L1674" s="3">
        <v>44.98</v>
      </c>
      <c r="M1674" s="3">
        <v>47.23</v>
      </c>
      <c r="N1674" s="3">
        <v>94.99</v>
      </c>
      <c r="O1674" s="2" t="s">
        <v>235</v>
      </c>
      <c r="P1674" s="2" t="s">
        <v>341</v>
      </c>
      <c r="Q1674" s="2" t="s">
        <v>237</v>
      </c>
      <c r="R1674" s="2" t="s">
        <v>231</v>
      </c>
      <c r="S1674" s="2" t="s">
        <v>231</v>
      </c>
      <c r="T1674" s="2" t="s">
        <v>231</v>
      </c>
      <c r="U1674" s="2" t="s">
        <v>327</v>
      </c>
      <c r="V1674" s="2" t="s">
        <v>662</v>
      </c>
      <c r="W1674" s="2" t="s">
        <v>691</v>
      </c>
      <c r="X1674" s="2" t="s">
        <v>231</v>
      </c>
      <c r="Y1674" s="2" t="s">
        <v>5397</v>
      </c>
      <c r="Z1674" s="4">
        <v>16</v>
      </c>
      <c r="AA1674" s="4">
        <f>=ROUNDDOWN(13.3333333333333,0)</f>
      </c>
      <c r="AB1674" s="5">
        <v>1.2</v>
      </c>
      <c r="AC1674" s="2" t="s">
        <v>231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231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/>
      <c r="AW1674" s="8"/>
      <c r="AX1674" s="4"/>
      <c r="AY1674" s="8"/>
      <c r="AZ1674" s="7"/>
      <c r="BA1674" s="7"/>
      <c r="BB1674" s="7"/>
      <c r="BC1674" s="4"/>
      <c r="BD1674" s="8"/>
      <c r="BE1674" s="4"/>
      <c r="BF1674" s="8"/>
      <c r="BG1674" s="7"/>
      <c r="BH1674" s="7"/>
      <c r="BI1674" s="7"/>
      <c r="BJ1674" s="4">
        <v>5</v>
      </c>
      <c r="BK1674" s="8">
        <v>142.46</v>
      </c>
      <c r="BL1674" s="2" t="s">
        <v>7686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7687</v>
      </c>
      <c r="BV1674" s="2" t="s">
        <v>231</v>
      </c>
      <c r="BW1674" s="2" t="s">
        <v>231</v>
      </c>
      <c r="BX1674" s="2" t="s">
        <v>241</v>
      </c>
      <c r="BY1674" s="2" t="s">
        <v>277</v>
      </c>
      <c r="BZ1674" s="2" t="s">
        <v>243</v>
      </c>
      <c r="CA1674" s="2" t="s">
        <v>5809</v>
      </c>
      <c r="CB1674" s="2" t="s">
        <v>1798</v>
      </c>
      <c r="CC1674" s="2" t="s">
        <v>244</v>
      </c>
      <c r="CD1674" s="2" t="s">
        <v>231</v>
      </c>
      <c r="CE1674" s="4"/>
      <c r="CF1674" s="4">
        <v>16</v>
      </c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</row>
    <row r="1675">
      <c r="A1675" s="2" t="s">
        <v>7688</v>
      </c>
      <c r="B1675" s="2" t="s">
        <v>1004</v>
      </c>
      <c r="C1675" s="2" t="s">
        <v>867</v>
      </c>
      <c r="D1675" s="2" t="s">
        <v>1837</v>
      </c>
      <c r="E1675" s="2" t="s">
        <v>2264</v>
      </c>
      <c r="F1675" s="2" t="s">
        <v>7689</v>
      </c>
      <c r="G1675" s="2" t="s">
        <v>7689</v>
      </c>
      <c r="H1675" s="2" t="s">
        <v>7689</v>
      </c>
      <c r="I1675" s="2" t="s">
        <v>7690</v>
      </c>
      <c r="J1675" s="2" t="s">
        <v>807</v>
      </c>
      <c r="K1675" s="2" t="s">
        <v>901</v>
      </c>
      <c r="L1675" s="3">
        <v>168</v>
      </c>
      <c r="M1675" s="3">
        <v>176.4</v>
      </c>
      <c r="N1675" s="3">
        <v>359</v>
      </c>
      <c r="O1675" s="2" t="s">
        <v>243</v>
      </c>
      <c r="P1675" s="2" t="s">
        <v>270</v>
      </c>
      <c r="Q1675" s="2" t="s">
        <v>237</v>
      </c>
      <c r="R1675" s="2" t="s">
        <v>231</v>
      </c>
      <c r="S1675" s="2" t="s">
        <v>231</v>
      </c>
      <c r="T1675" s="2" t="s">
        <v>231</v>
      </c>
      <c r="U1675" s="2" t="s">
        <v>327</v>
      </c>
      <c r="V1675" s="2" t="s">
        <v>662</v>
      </c>
      <c r="W1675" s="2" t="s">
        <v>676</v>
      </c>
      <c r="X1675" s="2" t="s">
        <v>5476</v>
      </c>
      <c r="Y1675" s="2" t="s">
        <v>7691</v>
      </c>
      <c r="Z1675" s="4">
        <v>30</v>
      </c>
      <c r="AA1675" s="4">
        <f>=ROUNDDOWN(5,0)</f>
      </c>
      <c r="AB1675" s="5">
        <v>6</v>
      </c>
      <c r="AC1675" s="2" t="s">
        <v>3723</v>
      </c>
      <c r="AD1675" s="4">
        <v>140</v>
      </c>
      <c r="AE1675" s="4">
        <v>300</v>
      </c>
      <c r="AF1675" s="6">
        <v>76</v>
      </c>
      <c r="AG1675" s="6"/>
      <c r="AH1675" s="7">
        <v>1</v>
      </c>
      <c r="AI1675" s="4"/>
      <c r="AJ1675" s="4">
        <f>=ROUNDDOWN({0},0)</f>
      </c>
      <c r="AK1675" s="5"/>
      <c r="AL1675" s="2" t="s">
        <v>231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 t="s">
        <v>231</v>
      </c>
      <c r="BD1675" s="8" t="s">
        <v>231</v>
      </c>
      <c r="BE1675" s="4" t="s">
        <v>231</v>
      </c>
      <c r="BF1675" s="8" t="s">
        <v>231</v>
      </c>
      <c r="BG1675" s="7" t="s">
        <v>231</v>
      </c>
      <c r="BH1675" s="7" t="s">
        <v>231</v>
      </c>
      <c r="BI1675" s="7"/>
      <c r="BJ1675" s="4">
        <v>12</v>
      </c>
      <c r="BK1675" s="8">
        <v>2340.18</v>
      </c>
      <c r="BL1675" s="2" t="s">
        <v>2343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7692</v>
      </c>
      <c r="BV1675" s="2" t="s">
        <v>231</v>
      </c>
      <c r="BW1675" s="2" t="s">
        <v>231</v>
      </c>
      <c r="BX1675" s="2" t="s">
        <v>241</v>
      </c>
      <c r="BY1675" s="2" t="s">
        <v>277</v>
      </c>
      <c r="BZ1675" s="2" t="s">
        <v>243</v>
      </c>
      <c r="CA1675" s="2" t="s">
        <v>2074</v>
      </c>
      <c r="CB1675" s="2" t="s">
        <v>2387</v>
      </c>
      <c r="CC1675" s="2" t="s">
        <v>244</v>
      </c>
      <c r="CD1675" s="2" t="s">
        <v>231</v>
      </c>
      <c r="CE1675" s="4"/>
      <c r="CF1675" s="4">
        <v>30</v>
      </c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>
        <v>140</v>
      </c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>
        <v>160</v>
      </c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</row>
    <row r="1676">
      <c r="A1676" s="2" t="s">
        <v>7693</v>
      </c>
      <c r="B1676" s="2" t="s">
        <v>1004</v>
      </c>
      <c r="C1676" s="2" t="s">
        <v>867</v>
      </c>
      <c r="D1676" s="2" t="s">
        <v>2260</v>
      </c>
      <c r="E1676" s="2" t="s">
        <v>2261</v>
      </c>
      <c r="F1676" s="2" t="s">
        <v>7689</v>
      </c>
      <c r="G1676" s="2" t="s">
        <v>7689</v>
      </c>
      <c r="H1676" s="2" t="s">
        <v>7689</v>
      </c>
      <c r="I1676" s="2" t="s">
        <v>2261</v>
      </c>
      <c r="J1676" s="2" t="s">
        <v>807</v>
      </c>
      <c r="K1676" s="2" t="s">
        <v>7694</v>
      </c>
      <c r="L1676" s="3">
        <v>127</v>
      </c>
      <c r="M1676" s="3">
        <v>133.35</v>
      </c>
      <c r="N1676" s="3">
        <v>269</v>
      </c>
      <c r="O1676" s="2" t="s">
        <v>243</v>
      </c>
      <c r="P1676" s="2" t="s">
        <v>236</v>
      </c>
      <c r="Q1676" s="2" t="s">
        <v>237</v>
      </c>
      <c r="R1676" s="2" t="s">
        <v>231</v>
      </c>
      <c r="S1676" s="2" t="s">
        <v>231</v>
      </c>
      <c r="T1676" s="2" t="s">
        <v>231</v>
      </c>
      <c r="U1676" s="2" t="s">
        <v>327</v>
      </c>
      <c r="V1676" s="2" t="s">
        <v>662</v>
      </c>
      <c r="W1676" s="2" t="s">
        <v>676</v>
      </c>
      <c r="X1676" s="2" t="s">
        <v>5476</v>
      </c>
      <c r="Y1676" s="2" t="s">
        <v>1057</v>
      </c>
      <c r="Z1676" s="4">
        <v>99</v>
      </c>
      <c r="AA1676" s="4">
        <f>=ROUNDDOWN({0},0)</f>
      </c>
      <c r="AB1676" s="5"/>
      <c r="AC1676" s="2" t="s">
        <v>231</v>
      </c>
      <c r="AD1676" s="4"/>
      <c r="AE1676" s="4"/>
      <c r="AF1676" s="6">
        <v>76</v>
      </c>
      <c r="AG1676" s="6"/>
      <c r="AH1676" s="7">
        <v>1</v>
      </c>
      <c r="AI1676" s="4"/>
      <c r="AJ1676" s="4">
        <f>=ROUNDDOWN({0},0)</f>
      </c>
      <c r="AK1676" s="5"/>
      <c r="AL1676" s="2" t="s">
        <v>231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231</v>
      </c>
      <c r="BD1676" s="8" t="s">
        <v>231</v>
      </c>
      <c r="BE1676" s="4" t="s">
        <v>231</v>
      </c>
      <c r="BF1676" s="8" t="s">
        <v>231</v>
      </c>
      <c r="BG1676" s="7" t="s">
        <v>231</v>
      </c>
      <c r="BH1676" s="7" t="s">
        <v>231</v>
      </c>
      <c r="BI1676" s="7"/>
      <c r="BJ1676" s="4"/>
      <c r="BK1676" s="8"/>
      <c r="BL1676" s="2" t="s">
        <v>231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7695</v>
      </c>
      <c r="BV1676" s="2" t="s">
        <v>231</v>
      </c>
      <c r="BW1676" s="2" t="s">
        <v>231</v>
      </c>
      <c r="BX1676" s="2" t="s">
        <v>241</v>
      </c>
      <c r="BY1676" s="2" t="s">
        <v>277</v>
      </c>
      <c r="BZ1676" s="2" t="s">
        <v>243</v>
      </c>
      <c r="CA1676" s="2" t="s">
        <v>1436</v>
      </c>
      <c r="CB1676" s="2" t="s">
        <v>231</v>
      </c>
      <c r="CC1676" s="2" t="s">
        <v>244</v>
      </c>
      <c r="CD1676" s="2" t="s">
        <v>231</v>
      </c>
      <c r="CE1676" s="4"/>
      <c r="CF1676" s="4">
        <v>99</v>
      </c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</row>
    <row r="1677">
      <c r="A1677" s="2" t="s">
        <v>7696</v>
      </c>
      <c r="B1677" s="2" t="s">
        <v>1186</v>
      </c>
      <c r="C1677" s="2" t="s">
        <v>631</v>
      </c>
      <c r="D1677" s="2" t="s">
        <v>654</v>
      </c>
      <c r="E1677" s="2" t="s">
        <v>890</v>
      </c>
      <c r="F1677" s="2" t="s">
        <v>7697</v>
      </c>
      <c r="G1677" s="2" t="s">
        <v>7697</v>
      </c>
      <c r="H1677" s="2" t="s">
        <v>7697</v>
      </c>
      <c r="I1677" s="2" t="s">
        <v>7698</v>
      </c>
      <c r="J1677" s="2" t="s">
        <v>658</v>
      </c>
      <c r="K1677" s="2" t="s">
        <v>452</v>
      </c>
      <c r="L1677" s="3">
        <v>45.71</v>
      </c>
      <c r="M1677" s="3">
        <v>48</v>
      </c>
      <c r="N1677" s="3">
        <v>99.99</v>
      </c>
      <c r="O1677" s="2" t="s">
        <v>243</v>
      </c>
      <c r="P1677" s="2" t="s">
        <v>341</v>
      </c>
      <c r="Q1677" s="2" t="s">
        <v>237</v>
      </c>
      <c r="R1677" s="2" t="s">
        <v>231</v>
      </c>
      <c r="S1677" s="2" t="s">
        <v>7699</v>
      </c>
      <c r="T1677" s="2" t="s">
        <v>231</v>
      </c>
      <c r="U1677" s="2" t="s">
        <v>835</v>
      </c>
      <c r="V1677" s="2" t="s">
        <v>391</v>
      </c>
      <c r="W1677" s="2" t="s">
        <v>273</v>
      </c>
      <c r="X1677" s="2" t="s">
        <v>231</v>
      </c>
      <c r="Y1677" s="2" t="s">
        <v>1640</v>
      </c>
      <c r="Z1677" s="4">
        <v>51</v>
      </c>
      <c r="AA1677" s="4">
        <f>=ROUNDDOWN(36.4285714285714,0)</f>
      </c>
      <c r="AB1677" s="5">
        <v>1.4</v>
      </c>
      <c r="AC1677" s="2" t="s">
        <v>231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231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231</v>
      </c>
      <c r="AW1677" s="8" t="s">
        <v>231</v>
      </c>
      <c r="AX1677" s="4" t="s">
        <v>231</v>
      </c>
      <c r="AY1677" s="8" t="s">
        <v>231</v>
      </c>
      <c r="AZ1677" s="7" t="s">
        <v>231</v>
      </c>
      <c r="BA1677" s="7" t="s">
        <v>231</v>
      </c>
      <c r="BB1677" s="7"/>
      <c r="BC1677" s="4" t="s">
        <v>231</v>
      </c>
      <c r="BD1677" s="8" t="s">
        <v>231</v>
      </c>
      <c r="BE1677" s="4" t="s">
        <v>231</v>
      </c>
      <c r="BF1677" s="8" t="s">
        <v>231</v>
      </c>
      <c r="BG1677" s="7" t="s">
        <v>231</v>
      </c>
      <c r="BH1677" s="7" t="s">
        <v>231</v>
      </c>
      <c r="BI1677" s="7"/>
      <c r="BJ1677" s="4">
        <v>8</v>
      </c>
      <c r="BK1677" s="8">
        <v>380.96</v>
      </c>
      <c r="BL1677" s="2" t="s">
        <v>7700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7701</v>
      </c>
      <c r="BV1677" s="2" t="s">
        <v>231</v>
      </c>
      <c r="BW1677" s="2" t="s">
        <v>231</v>
      </c>
      <c r="BX1677" s="2" t="s">
        <v>231</v>
      </c>
      <c r="BY1677" s="2" t="s">
        <v>277</v>
      </c>
      <c r="BZ1677" s="2" t="s">
        <v>243</v>
      </c>
      <c r="CA1677" s="2" t="s">
        <v>1643</v>
      </c>
      <c r="CB1677" s="2" t="s">
        <v>7072</v>
      </c>
      <c r="CC1677" s="2" t="s">
        <v>244</v>
      </c>
      <c r="CD1677" s="2" t="s">
        <v>231</v>
      </c>
      <c r="CE1677" s="4">
        <v>51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</row>
    <row r="1678">
      <c r="A1678" s="2" t="s">
        <v>7702</v>
      </c>
      <c r="B1678" s="2" t="s">
        <v>1186</v>
      </c>
      <c r="C1678" s="2" t="s">
        <v>631</v>
      </c>
      <c r="D1678" s="2" t="s">
        <v>826</v>
      </c>
      <c r="E1678" s="2" t="s">
        <v>1060</v>
      </c>
      <c r="F1678" s="2" t="s">
        <v>7697</v>
      </c>
      <c r="G1678" s="2" t="s">
        <v>7697</v>
      </c>
      <c r="H1678" s="2" t="s">
        <v>7697</v>
      </c>
      <c r="I1678" s="2" t="s">
        <v>7703</v>
      </c>
      <c r="J1678" s="2" t="s">
        <v>669</v>
      </c>
      <c r="K1678" s="2" t="s">
        <v>452</v>
      </c>
      <c r="L1678" s="3">
        <v>36.57</v>
      </c>
      <c r="M1678" s="3">
        <v>38.4</v>
      </c>
      <c r="N1678" s="3">
        <v>79.99</v>
      </c>
      <c r="O1678" s="2" t="s">
        <v>235</v>
      </c>
      <c r="P1678" s="2" t="s">
        <v>341</v>
      </c>
      <c r="Q1678" s="2" t="s">
        <v>237</v>
      </c>
      <c r="R1678" s="2" t="s">
        <v>231</v>
      </c>
      <c r="S1678" s="2" t="s">
        <v>7699</v>
      </c>
      <c r="T1678" s="2" t="s">
        <v>231</v>
      </c>
      <c r="U1678" s="2" t="s">
        <v>835</v>
      </c>
      <c r="V1678" s="2" t="s">
        <v>391</v>
      </c>
      <c r="W1678" s="2" t="s">
        <v>273</v>
      </c>
      <c r="X1678" s="2" t="s">
        <v>231</v>
      </c>
      <c r="Y1678" s="2" t="s">
        <v>1640</v>
      </c>
      <c r="Z1678" s="4">
        <v>6</v>
      </c>
      <c r="AA1678" s="4">
        <f>=ROUNDDOWN(3,0)</f>
      </c>
      <c r="AB1678" s="5">
        <v>2</v>
      </c>
      <c r="AC1678" s="2" t="s">
        <v>231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231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231</v>
      </c>
      <c r="AW1678" s="8" t="s">
        <v>231</v>
      </c>
      <c r="AX1678" s="4" t="s">
        <v>231</v>
      </c>
      <c r="AY1678" s="8" t="s">
        <v>231</v>
      </c>
      <c r="AZ1678" s="7" t="s">
        <v>231</v>
      </c>
      <c r="BA1678" s="7" t="s">
        <v>231</v>
      </c>
      <c r="BB1678" s="7"/>
      <c r="BC1678" s="4" t="s">
        <v>231</v>
      </c>
      <c r="BD1678" s="8" t="s">
        <v>231</v>
      </c>
      <c r="BE1678" s="4" t="s">
        <v>231</v>
      </c>
      <c r="BF1678" s="8" t="s">
        <v>231</v>
      </c>
      <c r="BG1678" s="7" t="s">
        <v>231</v>
      </c>
      <c r="BH1678" s="7" t="s">
        <v>231</v>
      </c>
      <c r="BI1678" s="7"/>
      <c r="BJ1678" s="4">
        <v>3</v>
      </c>
      <c r="BK1678" s="8">
        <v>107.9</v>
      </c>
      <c r="BL1678" s="2" t="s">
        <v>5927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7704</v>
      </c>
      <c r="BV1678" s="2" t="s">
        <v>231</v>
      </c>
      <c r="BW1678" s="2" t="s">
        <v>231</v>
      </c>
      <c r="BX1678" s="2" t="s">
        <v>231</v>
      </c>
      <c r="BY1678" s="2" t="s">
        <v>277</v>
      </c>
      <c r="BZ1678" s="2" t="s">
        <v>243</v>
      </c>
      <c r="CA1678" s="2" t="s">
        <v>1643</v>
      </c>
      <c r="CB1678" s="2" t="s">
        <v>3446</v>
      </c>
      <c r="CC1678" s="2" t="s">
        <v>244</v>
      </c>
      <c r="CD1678" s="2" t="s">
        <v>231</v>
      </c>
      <c r="CE1678" s="4">
        <v>6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</row>
    <row r="1679">
      <c r="A1679" s="2" t="s">
        <v>7705</v>
      </c>
      <c r="B1679" s="2" t="s">
        <v>1389</v>
      </c>
      <c r="C1679" s="2" t="s">
        <v>288</v>
      </c>
      <c r="D1679" s="2" t="s">
        <v>1389</v>
      </c>
      <c r="E1679" s="2" t="s">
        <v>1389</v>
      </c>
      <c r="F1679" s="2" t="s">
        <v>7706</v>
      </c>
      <c r="G1679" s="2" t="s">
        <v>7707</v>
      </c>
      <c r="H1679" s="2" t="s">
        <v>7708</v>
      </c>
      <c r="I1679" s="2" t="s">
        <v>7709</v>
      </c>
      <c r="J1679" s="2" t="s">
        <v>2039</v>
      </c>
      <c r="K1679" s="2" t="s">
        <v>7710</v>
      </c>
      <c r="L1679" s="3">
        <v>125</v>
      </c>
      <c r="M1679" s="3">
        <v>131.25</v>
      </c>
      <c r="N1679" s="3">
        <v>279.98</v>
      </c>
      <c r="O1679" s="2" t="s">
        <v>243</v>
      </c>
      <c r="P1679" s="2" t="s">
        <v>341</v>
      </c>
      <c r="Q1679" s="2" t="s">
        <v>237</v>
      </c>
      <c r="R1679" s="2" t="s">
        <v>231</v>
      </c>
      <c r="S1679" s="2" t="s">
        <v>7711</v>
      </c>
      <c r="T1679" s="2" t="s">
        <v>231</v>
      </c>
      <c r="U1679" s="2" t="s">
        <v>327</v>
      </c>
      <c r="V1679" s="2" t="s">
        <v>3223</v>
      </c>
      <c r="W1679" s="2" t="s">
        <v>2541</v>
      </c>
      <c r="X1679" s="2" t="s">
        <v>231</v>
      </c>
      <c r="Y1679" s="2" t="s">
        <v>845</v>
      </c>
      <c r="Z1679" s="4">
        <v>65</v>
      </c>
      <c r="AA1679" s="4">
        <f>=ROUNDDOWN(325,0)</f>
      </c>
      <c r="AB1679" s="5">
        <v>0.2</v>
      </c>
      <c r="AC1679" s="2" t="s">
        <v>231</v>
      </c>
      <c r="AD1679" s="4"/>
      <c r="AE1679" s="4"/>
      <c r="AF1679" s="6">
        <v>63</v>
      </c>
      <c r="AG1679" s="6"/>
      <c r="AH1679" s="7">
        <v>1</v>
      </c>
      <c r="AI1679" s="4"/>
      <c r="AJ1679" s="4">
        <f>=ROUNDDOWN({0},0)</f>
      </c>
      <c r="AK1679" s="5"/>
      <c r="AL1679" s="2" t="s">
        <v>231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/>
      <c r="BD1679" s="8"/>
      <c r="BE1679" s="4"/>
      <c r="BF1679" s="8"/>
      <c r="BG1679" s="7"/>
      <c r="BH1679" s="7"/>
      <c r="BI1679" s="7"/>
      <c r="BJ1679" s="4">
        <v>1</v>
      </c>
      <c r="BK1679" s="8">
        <v>68.91</v>
      </c>
      <c r="BL1679" s="2" t="s">
        <v>7712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7713</v>
      </c>
      <c r="BV1679" s="2" t="s">
        <v>231</v>
      </c>
      <c r="BW1679" s="2" t="s">
        <v>231</v>
      </c>
      <c r="BX1679" s="2" t="s">
        <v>231</v>
      </c>
      <c r="BY1679" s="2" t="s">
        <v>277</v>
      </c>
      <c r="BZ1679" s="2" t="s">
        <v>243</v>
      </c>
      <c r="CA1679" s="2" t="s">
        <v>5855</v>
      </c>
      <c r="CB1679" s="2" t="s">
        <v>7714</v>
      </c>
      <c r="CC1679" s="2" t="s">
        <v>244</v>
      </c>
      <c r="CD1679" s="2" t="s">
        <v>231</v>
      </c>
      <c r="CE1679" s="4"/>
      <c r="CF1679" s="4">
        <v>65</v>
      </c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</row>
    <row r="1680">
      <c r="A1680" s="2" t="s">
        <v>7715</v>
      </c>
      <c r="B1680" s="2" t="s">
        <v>1186</v>
      </c>
      <c r="C1680" s="2" t="s">
        <v>1836</v>
      </c>
      <c r="D1680" s="2" t="s">
        <v>826</v>
      </c>
      <c r="E1680" s="2" t="s">
        <v>827</v>
      </c>
      <c r="F1680" s="2" t="s">
        <v>7716</v>
      </c>
      <c r="G1680" s="2" t="s">
        <v>7716</v>
      </c>
      <c r="H1680" s="2" t="s">
        <v>7716</v>
      </c>
      <c r="I1680" s="2" t="s">
        <v>7717</v>
      </c>
      <c r="J1680" s="2" t="s">
        <v>658</v>
      </c>
      <c r="K1680" s="2" t="s">
        <v>269</v>
      </c>
      <c r="L1680" s="3">
        <v>72</v>
      </c>
      <c r="M1680" s="3">
        <v>75.6</v>
      </c>
      <c r="N1680" s="3">
        <v>149.99</v>
      </c>
      <c r="O1680" s="2" t="s">
        <v>243</v>
      </c>
      <c r="P1680" s="2" t="s">
        <v>270</v>
      </c>
      <c r="Q1680" s="2" t="s">
        <v>237</v>
      </c>
      <c r="R1680" s="2" t="s">
        <v>231</v>
      </c>
      <c r="S1680" s="2" t="s">
        <v>7718</v>
      </c>
      <c r="T1680" s="2" t="s">
        <v>362</v>
      </c>
      <c r="U1680" s="2" t="s">
        <v>661</v>
      </c>
      <c r="V1680" s="2" t="s">
        <v>363</v>
      </c>
      <c r="W1680" s="2" t="s">
        <v>363</v>
      </c>
      <c r="X1680" s="2" t="s">
        <v>273</v>
      </c>
      <c r="Y1680" s="2" t="s">
        <v>2376</v>
      </c>
      <c r="Z1680" s="4">
        <v>54</v>
      </c>
      <c r="AA1680" s="4">
        <f>=ROUNDDOWN(18,0)</f>
      </c>
      <c r="AB1680" s="5">
        <v>3</v>
      </c>
      <c r="AC1680" s="2" t="s">
        <v>2510</v>
      </c>
      <c r="AD1680" s="4">
        <v>60</v>
      </c>
      <c r="AE1680" s="4">
        <v>60</v>
      </c>
      <c r="AF1680" s="6">
        <v>70</v>
      </c>
      <c r="AG1680" s="6"/>
      <c r="AH1680" s="7">
        <v>1</v>
      </c>
      <c r="AI1680" s="4"/>
      <c r="AJ1680" s="4">
        <f>=ROUNDDOWN({0},0)</f>
      </c>
      <c r="AK1680" s="5"/>
      <c r="AL1680" s="2" t="s">
        <v>231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/>
      <c r="BD1680" s="8"/>
      <c r="BE1680" s="4"/>
      <c r="BF1680" s="8"/>
      <c r="BG1680" s="7"/>
      <c r="BH1680" s="7"/>
      <c r="BI1680" s="7"/>
      <c r="BJ1680" s="4">
        <v>19</v>
      </c>
      <c r="BK1680" s="8">
        <v>1577.54</v>
      </c>
      <c r="BL1680" s="2" t="s">
        <v>2356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7719</v>
      </c>
      <c r="BV1680" s="2" t="s">
        <v>231</v>
      </c>
      <c r="BW1680" s="2" t="s">
        <v>231</v>
      </c>
      <c r="BX1680" s="2" t="s">
        <v>241</v>
      </c>
      <c r="BY1680" s="2" t="s">
        <v>277</v>
      </c>
      <c r="BZ1680" s="2" t="s">
        <v>243</v>
      </c>
      <c r="CA1680" s="2" t="s">
        <v>2376</v>
      </c>
      <c r="CB1680" s="2" t="s">
        <v>3859</v>
      </c>
      <c r="CC1680" s="2" t="s">
        <v>244</v>
      </c>
      <c r="CD1680" s="2" t="s">
        <v>231</v>
      </c>
      <c r="CE1680" s="4">
        <v>54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>
        <v>60</v>
      </c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</row>
    <row r="1681">
      <c r="A1681" s="2" t="s">
        <v>7720</v>
      </c>
      <c r="B1681" s="2" t="s">
        <v>1186</v>
      </c>
      <c r="C1681" s="2" t="s">
        <v>631</v>
      </c>
      <c r="D1681" s="2" t="s">
        <v>654</v>
      </c>
      <c r="E1681" s="2" t="s">
        <v>655</v>
      </c>
      <c r="F1681" s="2" t="s">
        <v>7721</v>
      </c>
      <c r="G1681" s="2" t="s">
        <v>7721</v>
      </c>
      <c r="H1681" s="2" t="s">
        <v>7721</v>
      </c>
      <c r="I1681" s="2" t="s">
        <v>7722</v>
      </c>
      <c r="J1681" s="2" t="s">
        <v>669</v>
      </c>
      <c r="K1681" s="2" t="s">
        <v>2081</v>
      </c>
      <c r="L1681" s="3">
        <v>52.38</v>
      </c>
      <c r="M1681" s="3">
        <v>55</v>
      </c>
      <c r="N1681" s="3">
        <v>109.99</v>
      </c>
      <c r="O1681" s="2" t="s">
        <v>243</v>
      </c>
      <c r="P1681" s="2" t="s">
        <v>341</v>
      </c>
      <c r="Q1681" s="2" t="s">
        <v>237</v>
      </c>
      <c r="R1681" s="2" t="s">
        <v>231</v>
      </c>
      <c r="S1681" s="2" t="s">
        <v>7723</v>
      </c>
      <c r="T1681" s="2" t="s">
        <v>3671</v>
      </c>
      <c r="U1681" s="2" t="s">
        <v>661</v>
      </c>
      <c r="V1681" s="2" t="s">
        <v>987</v>
      </c>
      <c r="W1681" s="2" t="s">
        <v>691</v>
      </c>
      <c r="X1681" s="2" t="s">
        <v>231</v>
      </c>
      <c r="Y1681" s="2" t="s">
        <v>7724</v>
      </c>
      <c r="Z1681" s="4"/>
      <c r="AA1681" s="4">
        <f>=ROUNDDOWN({0},0)</f>
      </c>
      <c r="AB1681" s="5">
        <v>1.5</v>
      </c>
      <c r="AC1681" s="2" t="s">
        <v>231</v>
      </c>
      <c r="AD1681" s="4"/>
      <c r="AE1681" s="4"/>
      <c r="AF1681" s="6"/>
      <c r="AG1681" s="6"/>
      <c r="AH1681" s="7">
        <v>0</v>
      </c>
      <c r="AI1681" s="4"/>
      <c r="AJ1681" s="4">
        <f>=ROUNDDOWN({0},0)</f>
      </c>
      <c r="AK1681" s="5"/>
      <c r="AL1681" s="2" t="s">
        <v>231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/>
      <c r="BD1681" s="8"/>
      <c r="BE1681" s="4"/>
      <c r="BF1681" s="8"/>
      <c r="BG1681" s="7"/>
      <c r="BH1681" s="7"/>
      <c r="BI1681" s="7"/>
      <c r="BJ1681" s="4"/>
      <c r="BK1681" s="8"/>
      <c r="BL1681" s="2" t="s">
        <v>7409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7725</v>
      </c>
      <c r="BV1681" s="2" t="s">
        <v>231</v>
      </c>
      <c r="BW1681" s="2" t="s">
        <v>231</v>
      </c>
      <c r="BX1681" s="2" t="s">
        <v>231</v>
      </c>
      <c r="BY1681" s="2" t="s">
        <v>277</v>
      </c>
      <c r="BZ1681" s="2" t="s">
        <v>243</v>
      </c>
      <c r="CA1681" s="2" t="s">
        <v>1470</v>
      </c>
      <c r="CB1681" s="2" t="s">
        <v>2237</v>
      </c>
      <c r="CC1681" s="2" t="s">
        <v>244</v>
      </c>
      <c r="CD1681" s="2" t="s">
        <v>231</v>
      </c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</row>
    <row r="1682">
      <c r="A1682" s="2" t="s">
        <v>7726</v>
      </c>
      <c r="B1682" s="2" t="s">
        <v>1004</v>
      </c>
      <c r="C1682" s="2" t="s">
        <v>288</v>
      </c>
      <c r="D1682" s="2" t="s">
        <v>1005</v>
      </c>
      <c r="E1682" s="2" t="s">
        <v>1006</v>
      </c>
      <c r="F1682" s="2" t="s">
        <v>7727</v>
      </c>
      <c r="G1682" s="2" t="s">
        <v>7728</v>
      </c>
      <c r="H1682" s="2" t="s">
        <v>966</v>
      </c>
      <c r="I1682" s="2" t="s">
        <v>7729</v>
      </c>
      <c r="J1682" s="2" t="s">
        <v>807</v>
      </c>
      <c r="K1682" s="2" t="s">
        <v>7730</v>
      </c>
      <c r="L1682" s="3">
        <v>208</v>
      </c>
      <c r="M1682" s="3">
        <v>218.4</v>
      </c>
      <c r="N1682" s="3">
        <v>439</v>
      </c>
      <c r="O1682" s="2" t="s">
        <v>235</v>
      </c>
      <c r="P1682" s="2" t="s">
        <v>341</v>
      </c>
      <c r="Q1682" s="2" t="s">
        <v>237</v>
      </c>
      <c r="R1682" s="2" t="s">
        <v>231</v>
      </c>
      <c r="S1682" s="2" t="s">
        <v>231</v>
      </c>
      <c r="T1682" s="2" t="s">
        <v>231</v>
      </c>
      <c r="U1682" s="2" t="s">
        <v>327</v>
      </c>
      <c r="V1682" s="2" t="s">
        <v>662</v>
      </c>
      <c r="W1682" s="2" t="s">
        <v>273</v>
      </c>
      <c r="X1682" s="2" t="s">
        <v>691</v>
      </c>
      <c r="Y1682" s="2" t="s">
        <v>3528</v>
      </c>
      <c r="Z1682" s="4">
        <v>202</v>
      </c>
      <c r="AA1682" s="4">
        <f>=ROUNDDOWN(2020,0)</f>
      </c>
      <c r="AB1682" s="5">
        <v>0.1</v>
      </c>
      <c r="AC1682" s="2" t="s">
        <v>231</v>
      </c>
      <c r="AD1682" s="4"/>
      <c r="AE1682" s="4"/>
      <c r="AF1682" s="6">
        <v>74</v>
      </c>
      <c r="AG1682" s="6"/>
      <c r="AH1682" s="7">
        <v>1</v>
      </c>
      <c r="AI1682" s="4"/>
      <c r="AJ1682" s="4">
        <f>=ROUNDDOWN({0},0)</f>
      </c>
      <c r="AK1682" s="5"/>
      <c r="AL1682" s="2" t="s">
        <v>231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/>
      <c r="BD1682" s="8"/>
      <c r="BE1682" s="4"/>
      <c r="BF1682" s="8"/>
      <c r="BG1682" s="7"/>
      <c r="BH1682" s="7"/>
      <c r="BI1682" s="7"/>
      <c r="BJ1682" s="4"/>
      <c r="BK1682" s="8"/>
      <c r="BL1682" s="2" t="s">
        <v>1306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7731</v>
      </c>
      <c r="BV1682" s="2" t="s">
        <v>231</v>
      </c>
      <c r="BW1682" s="2" t="s">
        <v>231</v>
      </c>
      <c r="BX1682" s="2" t="s">
        <v>231</v>
      </c>
      <c r="BY1682" s="2" t="s">
        <v>277</v>
      </c>
      <c r="BZ1682" s="2" t="s">
        <v>243</v>
      </c>
      <c r="CA1682" s="2" t="s">
        <v>1049</v>
      </c>
      <c r="CB1682" s="2" t="s">
        <v>2233</v>
      </c>
      <c r="CC1682" s="2" t="s">
        <v>244</v>
      </c>
      <c r="CD1682" s="2" t="s">
        <v>231</v>
      </c>
      <c r="CE1682" s="4"/>
      <c r="CF1682" s="4">
        <v>202</v>
      </c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</row>
    <row r="1683">
      <c r="A1683" s="2" t="s">
        <v>7732</v>
      </c>
      <c r="B1683" s="2" t="s">
        <v>824</v>
      </c>
      <c r="C1683" s="2" t="s">
        <v>2557</v>
      </c>
      <c r="D1683" s="2" t="s">
        <v>654</v>
      </c>
      <c r="E1683" s="2" t="s">
        <v>655</v>
      </c>
      <c r="F1683" s="2" t="s">
        <v>7733</v>
      </c>
      <c r="G1683" s="2" t="s">
        <v>7733</v>
      </c>
      <c r="H1683" s="2" t="s">
        <v>7733</v>
      </c>
      <c r="I1683" s="2" t="s">
        <v>7734</v>
      </c>
      <c r="J1683" s="2" t="s">
        <v>318</v>
      </c>
      <c r="K1683" s="2" t="s">
        <v>2125</v>
      </c>
      <c r="L1683" s="3">
        <v>28.42</v>
      </c>
      <c r="M1683" s="3">
        <v>29.84</v>
      </c>
      <c r="N1683" s="3">
        <v>49</v>
      </c>
      <c r="O1683" s="2" t="s">
        <v>243</v>
      </c>
      <c r="P1683" s="2" t="s">
        <v>1019</v>
      </c>
      <c r="Q1683" s="2" t="s">
        <v>237</v>
      </c>
      <c r="R1683" s="2" t="s">
        <v>1020</v>
      </c>
      <c r="S1683" s="2" t="s">
        <v>231</v>
      </c>
      <c r="T1683" s="2" t="s">
        <v>231</v>
      </c>
      <c r="U1683" s="2" t="s">
        <v>835</v>
      </c>
      <c r="V1683" s="2" t="s">
        <v>1685</v>
      </c>
      <c r="W1683" s="2" t="s">
        <v>231</v>
      </c>
      <c r="X1683" s="2" t="s">
        <v>231</v>
      </c>
      <c r="Y1683" s="2" t="s">
        <v>5926</v>
      </c>
      <c r="Z1683" s="4">
        <v>209</v>
      </c>
      <c r="AA1683" s="4">
        <f>=ROUNDDOWN(104.5,0)</f>
      </c>
      <c r="AB1683" s="5">
        <v>2</v>
      </c>
      <c r="AC1683" s="2" t="s">
        <v>231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231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231</v>
      </c>
      <c r="AW1683" s="8" t="s">
        <v>231</v>
      </c>
      <c r="AX1683" s="4" t="s">
        <v>231</v>
      </c>
      <c r="AY1683" s="8" t="s">
        <v>231</v>
      </c>
      <c r="AZ1683" s="7" t="s">
        <v>231</v>
      </c>
      <c r="BA1683" s="7" t="s">
        <v>231</v>
      </c>
      <c r="BB1683" s="7"/>
      <c r="BC1683" s="4" t="s">
        <v>231</v>
      </c>
      <c r="BD1683" s="8" t="s">
        <v>231</v>
      </c>
      <c r="BE1683" s="4" t="s">
        <v>231</v>
      </c>
      <c r="BF1683" s="8" t="s">
        <v>231</v>
      </c>
      <c r="BG1683" s="7" t="s">
        <v>231</v>
      </c>
      <c r="BH1683" s="7" t="s">
        <v>231</v>
      </c>
      <c r="BI1683" s="7"/>
      <c r="BJ1683" s="4"/>
      <c r="BK1683" s="8"/>
      <c r="BL1683" s="2" t="s">
        <v>2565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7735</v>
      </c>
      <c r="BV1683" s="2" t="s">
        <v>231</v>
      </c>
      <c r="BW1683" s="2" t="s">
        <v>231</v>
      </c>
      <c r="BX1683" s="2" t="s">
        <v>241</v>
      </c>
      <c r="BY1683" s="2" t="s">
        <v>277</v>
      </c>
      <c r="BZ1683" s="2" t="s">
        <v>243</v>
      </c>
      <c r="CA1683" s="2" t="s">
        <v>1155</v>
      </c>
      <c r="CB1683" s="2" t="s">
        <v>231</v>
      </c>
      <c r="CC1683" s="2" t="s">
        <v>244</v>
      </c>
      <c r="CD1683" s="2" t="s">
        <v>231</v>
      </c>
      <c r="CE1683" s="4">
        <v>209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</row>
    <row r="1684">
      <c r="A1684" s="2" t="s">
        <v>7736</v>
      </c>
      <c r="B1684" s="2" t="s">
        <v>824</v>
      </c>
      <c r="C1684" s="2" t="s">
        <v>2557</v>
      </c>
      <c r="D1684" s="2" t="s">
        <v>654</v>
      </c>
      <c r="E1684" s="2" t="s">
        <v>655</v>
      </c>
      <c r="F1684" s="2" t="s">
        <v>7733</v>
      </c>
      <c r="G1684" s="2" t="s">
        <v>7733</v>
      </c>
      <c r="H1684" s="2" t="s">
        <v>7733</v>
      </c>
      <c r="I1684" s="2" t="s">
        <v>7734</v>
      </c>
      <c r="J1684" s="2" t="s">
        <v>658</v>
      </c>
      <c r="K1684" s="2" t="s">
        <v>2125</v>
      </c>
      <c r="L1684" s="3">
        <v>34.22</v>
      </c>
      <c r="M1684" s="3">
        <v>35.93</v>
      </c>
      <c r="N1684" s="3">
        <v>59</v>
      </c>
      <c r="O1684" s="2" t="s">
        <v>243</v>
      </c>
      <c r="P1684" s="2" t="s">
        <v>1019</v>
      </c>
      <c r="Q1684" s="2" t="s">
        <v>237</v>
      </c>
      <c r="R1684" s="2" t="s">
        <v>1020</v>
      </c>
      <c r="S1684" s="2" t="s">
        <v>231</v>
      </c>
      <c r="T1684" s="2" t="s">
        <v>231</v>
      </c>
      <c r="U1684" s="2" t="s">
        <v>298</v>
      </c>
      <c r="V1684" s="2" t="s">
        <v>1685</v>
      </c>
      <c r="W1684" s="2" t="s">
        <v>231</v>
      </c>
      <c r="X1684" s="2" t="s">
        <v>231</v>
      </c>
      <c r="Y1684" s="2" t="s">
        <v>5926</v>
      </c>
      <c r="Z1684" s="4">
        <v>103</v>
      </c>
      <c r="AA1684" s="4">
        <f>=ROUNDDOWN(51.5,0)</f>
      </c>
      <c r="AB1684" s="5">
        <v>2</v>
      </c>
      <c r="AC1684" s="2" t="s">
        <v>231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231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231</v>
      </c>
      <c r="AW1684" s="8" t="s">
        <v>231</v>
      </c>
      <c r="AX1684" s="4" t="s">
        <v>231</v>
      </c>
      <c r="AY1684" s="8" t="s">
        <v>231</v>
      </c>
      <c r="AZ1684" s="7" t="s">
        <v>231</v>
      </c>
      <c r="BA1684" s="7" t="s">
        <v>231</v>
      </c>
      <c r="BB1684" s="7"/>
      <c r="BC1684" s="4" t="s">
        <v>231</v>
      </c>
      <c r="BD1684" s="8" t="s">
        <v>231</v>
      </c>
      <c r="BE1684" s="4" t="s">
        <v>231</v>
      </c>
      <c r="BF1684" s="8" t="s">
        <v>231</v>
      </c>
      <c r="BG1684" s="7" t="s">
        <v>231</v>
      </c>
      <c r="BH1684" s="7" t="s">
        <v>231</v>
      </c>
      <c r="BI1684" s="7"/>
      <c r="BJ1684" s="4">
        <v>1</v>
      </c>
      <c r="BK1684" s="8">
        <v>34.22</v>
      </c>
      <c r="BL1684" s="2" t="s">
        <v>2565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7737</v>
      </c>
      <c r="BV1684" s="2" t="s">
        <v>231</v>
      </c>
      <c r="BW1684" s="2" t="s">
        <v>231</v>
      </c>
      <c r="BX1684" s="2" t="s">
        <v>241</v>
      </c>
      <c r="BY1684" s="2" t="s">
        <v>277</v>
      </c>
      <c r="BZ1684" s="2" t="s">
        <v>243</v>
      </c>
      <c r="CA1684" s="2" t="s">
        <v>1155</v>
      </c>
      <c r="CB1684" s="2" t="s">
        <v>231</v>
      </c>
      <c r="CC1684" s="2" t="s">
        <v>244</v>
      </c>
      <c r="CD1684" s="2" t="s">
        <v>231</v>
      </c>
      <c r="CE1684" s="4">
        <v>103</v>
      </c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</row>
    <row r="1685">
      <c r="A1685" s="2" t="s">
        <v>7738</v>
      </c>
      <c r="B1685" s="2" t="s">
        <v>226</v>
      </c>
      <c r="C1685" s="2" t="s">
        <v>1017</v>
      </c>
      <c r="D1685" s="2" t="s">
        <v>654</v>
      </c>
      <c r="E1685" s="2" t="s">
        <v>890</v>
      </c>
      <c r="F1685" s="2" t="s">
        <v>7739</v>
      </c>
      <c r="G1685" s="2" t="s">
        <v>7740</v>
      </c>
      <c r="H1685" s="2" t="s">
        <v>7741</v>
      </c>
      <c r="I1685" s="2" t="s">
        <v>7742</v>
      </c>
      <c r="J1685" s="2" t="s">
        <v>832</v>
      </c>
      <c r="K1685" s="2" t="s">
        <v>269</v>
      </c>
      <c r="L1685" s="3">
        <v>24.52</v>
      </c>
      <c r="M1685" s="3">
        <v>25.75</v>
      </c>
      <c r="N1685" s="3">
        <v>54.99</v>
      </c>
      <c r="O1685" s="2" t="s">
        <v>243</v>
      </c>
      <c r="P1685" s="2" t="s">
        <v>236</v>
      </c>
      <c r="Q1685" s="2" t="s">
        <v>237</v>
      </c>
      <c r="R1685" s="2" t="s">
        <v>231</v>
      </c>
      <c r="S1685" s="2" t="s">
        <v>7743</v>
      </c>
      <c r="T1685" s="2" t="s">
        <v>1432</v>
      </c>
      <c r="U1685" s="2" t="s">
        <v>791</v>
      </c>
      <c r="V1685" s="2" t="s">
        <v>987</v>
      </c>
      <c r="W1685" s="2" t="s">
        <v>691</v>
      </c>
      <c r="X1685" s="2" t="s">
        <v>273</v>
      </c>
      <c r="Y1685" s="2" t="s">
        <v>5150</v>
      </c>
      <c r="Z1685" s="4">
        <v>1</v>
      </c>
      <c r="AA1685" s="4">
        <f>=ROUNDDOWN(0.111111111111111,0)</f>
      </c>
      <c r="AB1685" s="5">
        <v>9</v>
      </c>
      <c r="AC1685" s="2" t="s">
        <v>3918</v>
      </c>
      <c r="AD1685" s="4">
        <v>51</v>
      </c>
      <c r="AE1685" s="4">
        <v>534</v>
      </c>
      <c r="AF1685" s="6">
        <v>65</v>
      </c>
      <c r="AG1685" s="6">
        <v>48</v>
      </c>
      <c r="AH1685" s="7">
        <v>0</v>
      </c>
      <c r="AI1685" s="4"/>
      <c r="AJ1685" s="4">
        <f>=ROUNDDOWN({0},0)</f>
      </c>
      <c r="AK1685" s="5"/>
      <c r="AL1685" s="2" t="s">
        <v>231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231</v>
      </c>
      <c r="AW1685" s="8" t="s">
        <v>231</v>
      </c>
      <c r="AX1685" s="4" t="s">
        <v>231</v>
      </c>
      <c r="AY1685" s="8" t="s">
        <v>231</v>
      </c>
      <c r="AZ1685" s="7" t="s">
        <v>231</v>
      </c>
      <c r="BA1685" s="7" t="s">
        <v>231</v>
      </c>
      <c r="BB1685" s="7"/>
      <c r="BC1685" s="4" t="s">
        <v>231</v>
      </c>
      <c r="BD1685" s="8" t="s">
        <v>231</v>
      </c>
      <c r="BE1685" s="4" t="s">
        <v>231</v>
      </c>
      <c r="BF1685" s="8" t="s">
        <v>231</v>
      </c>
      <c r="BG1685" s="7" t="s">
        <v>231</v>
      </c>
      <c r="BH1685" s="7" t="s">
        <v>231</v>
      </c>
      <c r="BI1685" s="7"/>
      <c r="BJ1685" s="4"/>
      <c r="BK1685" s="8"/>
      <c r="BL1685" s="2" t="s">
        <v>231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241</v>
      </c>
      <c r="BV1685" s="2" t="s">
        <v>231</v>
      </c>
      <c r="BW1685" s="2" t="s">
        <v>231</v>
      </c>
      <c r="BX1685" s="2" t="s">
        <v>2109</v>
      </c>
      <c r="BY1685" s="2" t="s">
        <v>242</v>
      </c>
      <c r="BZ1685" s="2" t="s">
        <v>243</v>
      </c>
      <c r="CA1685" s="2" t="s">
        <v>231</v>
      </c>
      <c r="CB1685" s="2" t="s">
        <v>231</v>
      </c>
      <c r="CC1685" s="2" t="s">
        <v>244</v>
      </c>
      <c r="CD1685" s="2" t="s">
        <v>231</v>
      </c>
      <c r="CE1685" s="4"/>
      <c r="CF1685" s="4"/>
      <c r="CG1685" s="4"/>
      <c r="CH1685" s="4"/>
      <c r="CI1685" s="4">
        <v>1</v>
      </c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>
        <v>51</v>
      </c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>
        <v>123</v>
      </c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>
        <v>108</v>
      </c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>
        <v>252</v>
      </c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</row>
    <row r="1686">
      <c r="A1686" s="2" t="s">
        <v>7744</v>
      </c>
      <c r="B1686" s="2" t="s">
        <v>226</v>
      </c>
      <c r="C1686" s="2" t="s">
        <v>1017</v>
      </c>
      <c r="D1686" s="2" t="s">
        <v>654</v>
      </c>
      <c r="E1686" s="2" t="s">
        <v>890</v>
      </c>
      <c r="F1686" s="2" t="s">
        <v>7739</v>
      </c>
      <c r="G1686" s="2" t="s">
        <v>7740</v>
      </c>
      <c r="H1686" s="2" t="s">
        <v>7741</v>
      </c>
      <c r="I1686" s="2" t="s">
        <v>7742</v>
      </c>
      <c r="J1686" s="2" t="s">
        <v>658</v>
      </c>
      <c r="K1686" s="2" t="s">
        <v>269</v>
      </c>
      <c r="L1686" s="3">
        <v>28.98</v>
      </c>
      <c r="M1686" s="3">
        <v>30.43</v>
      </c>
      <c r="N1686" s="3">
        <v>64.99</v>
      </c>
      <c r="O1686" s="2" t="s">
        <v>243</v>
      </c>
      <c r="P1686" s="2" t="s">
        <v>236</v>
      </c>
      <c r="Q1686" s="2" t="s">
        <v>237</v>
      </c>
      <c r="R1686" s="2" t="s">
        <v>231</v>
      </c>
      <c r="S1686" s="2" t="s">
        <v>7743</v>
      </c>
      <c r="T1686" s="2" t="s">
        <v>1432</v>
      </c>
      <c r="U1686" s="2" t="s">
        <v>835</v>
      </c>
      <c r="V1686" s="2" t="s">
        <v>987</v>
      </c>
      <c r="W1686" s="2" t="s">
        <v>691</v>
      </c>
      <c r="X1686" s="2" t="s">
        <v>273</v>
      </c>
      <c r="Y1686" s="2" t="s">
        <v>231</v>
      </c>
      <c r="Z1686" s="4"/>
      <c r="AA1686" s="4">
        <f>=ROUNDDOWN({0},0)</f>
      </c>
      <c r="AB1686" s="5">
        <v>30</v>
      </c>
      <c r="AC1686" s="2" t="s">
        <v>3918</v>
      </c>
      <c r="AD1686" s="4">
        <v>186</v>
      </c>
      <c r="AE1686" s="4">
        <v>1740</v>
      </c>
      <c r="AF1686" s="6">
        <v>65</v>
      </c>
      <c r="AG1686" s="6">
        <v>48</v>
      </c>
      <c r="AH1686" s="7">
        <v>0</v>
      </c>
      <c r="AI1686" s="4"/>
      <c r="AJ1686" s="4">
        <f>=ROUNDDOWN({0},0)</f>
      </c>
      <c r="AK1686" s="5"/>
      <c r="AL1686" s="2" t="s">
        <v>231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231</v>
      </c>
      <c r="AW1686" s="8" t="s">
        <v>231</v>
      </c>
      <c r="AX1686" s="4" t="s">
        <v>231</v>
      </c>
      <c r="AY1686" s="8" t="s">
        <v>231</v>
      </c>
      <c r="AZ1686" s="7" t="s">
        <v>231</v>
      </c>
      <c r="BA1686" s="7" t="s">
        <v>231</v>
      </c>
      <c r="BB1686" s="7"/>
      <c r="BC1686" s="4" t="s">
        <v>231</v>
      </c>
      <c r="BD1686" s="8" t="s">
        <v>231</v>
      </c>
      <c r="BE1686" s="4" t="s">
        <v>231</v>
      </c>
      <c r="BF1686" s="8" t="s">
        <v>231</v>
      </c>
      <c r="BG1686" s="7" t="s">
        <v>231</v>
      </c>
      <c r="BH1686" s="7" t="s">
        <v>231</v>
      </c>
      <c r="BI1686" s="7"/>
      <c r="BJ1686" s="4"/>
      <c r="BK1686" s="8"/>
      <c r="BL1686" s="2" t="s">
        <v>231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241</v>
      </c>
      <c r="BV1686" s="2" t="s">
        <v>231</v>
      </c>
      <c r="BW1686" s="2" t="s">
        <v>231</v>
      </c>
      <c r="BX1686" s="2" t="s">
        <v>2109</v>
      </c>
      <c r="BY1686" s="2" t="s">
        <v>242</v>
      </c>
      <c r="BZ1686" s="2" t="s">
        <v>243</v>
      </c>
      <c r="CA1686" s="2" t="s">
        <v>231</v>
      </c>
      <c r="CB1686" s="2" t="s">
        <v>231</v>
      </c>
      <c r="CC1686" s="2" t="s">
        <v>244</v>
      </c>
      <c r="CD1686" s="2" t="s">
        <v>231</v>
      </c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>
        <v>186</v>
      </c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>
        <v>438</v>
      </c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>
        <v>336</v>
      </c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>
        <v>780</v>
      </c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</row>
    <row r="1687">
      <c r="A1687" s="2" t="s">
        <v>7745</v>
      </c>
      <c r="B1687" s="2" t="s">
        <v>226</v>
      </c>
      <c r="C1687" s="2" t="s">
        <v>1017</v>
      </c>
      <c r="D1687" s="2" t="s">
        <v>654</v>
      </c>
      <c r="E1687" s="2" t="s">
        <v>890</v>
      </c>
      <c r="F1687" s="2" t="s">
        <v>7739</v>
      </c>
      <c r="G1687" s="2" t="s">
        <v>7740</v>
      </c>
      <c r="H1687" s="2" t="s">
        <v>7741</v>
      </c>
      <c r="I1687" s="2" t="s">
        <v>7742</v>
      </c>
      <c r="J1687" s="2" t="s">
        <v>669</v>
      </c>
      <c r="K1687" s="2" t="s">
        <v>269</v>
      </c>
      <c r="L1687" s="3">
        <v>33.44</v>
      </c>
      <c r="M1687" s="3">
        <v>35.11</v>
      </c>
      <c r="N1687" s="3">
        <v>74.99</v>
      </c>
      <c r="O1687" s="2" t="s">
        <v>243</v>
      </c>
      <c r="P1687" s="2" t="s">
        <v>236</v>
      </c>
      <c r="Q1687" s="2" t="s">
        <v>237</v>
      </c>
      <c r="R1687" s="2" t="s">
        <v>231</v>
      </c>
      <c r="S1687" s="2" t="s">
        <v>7743</v>
      </c>
      <c r="T1687" s="2" t="s">
        <v>1432</v>
      </c>
      <c r="U1687" s="2" t="s">
        <v>835</v>
      </c>
      <c r="V1687" s="2" t="s">
        <v>987</v>
      </c>
      <c r="W1687" s="2" t="s">
        <v>691</v>
      </c>
      <c r="X1687" s="2" t="s">
        <v>273</v>
      </c>
      <c r="Y1687" s="2" t="s">
        <v>231</v>
      </c>
      <c r="Z1687" s="4"/>
      <c r="AA1687" s="4">
        <f>=ROUNDDOWN({0},0)</f>
      </c>
      <c r="AB1687" s="5">
        <v>30</v>
      </c>
      <c r="AC1687" s="2" t="s">
        <v>3918</v>
      </c>
      <c r="AD1687" s="4">
        <v>153</v>
      </c>
      <c r="AE1687" s="4">
        <v>1422</v>
      </c>
      <c r="AF1687" s="6">
        <v>65</v>
      </c>
      <c r="AG1687" s="6">
        <v>48</v>
      </c>
      <c r="AH1687" s="7">
        <v>0</v>
      </c>
      <c r="AI1687" s="4"/>
      <c r="AJ1687" s="4">
        <f>=ROUNDDOWN({0},0)</f>
      </c>
      <c r="AK1687" s="5"/>
      <c r="AL1687" s="2" t="s">
        <v>231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231</v>
      </c>
      <c r="AW1687" s="8" t="s">
        <v>231</v>
      </c>
      <c r="AX1687" s="4" t="s">
        <v>231</v>
      </c>
      <c r="AY1687" s="8" t="s">
        <v>231</v>
      </c>
      <c r="AZ1687" s="7" t="s">
        <v>231</v>
      </c>
      <c r="BA1687" s="7" t="s">
        <v>231</v>
      </c>
      <c r="BB1687" s="7"/>
      <c r="BC1687" s="4" t="s">
        <v>231</v>
      </c>
      <c r="BD1687" s="8" t="s">
        <v>231</v>
      </c>
      <c r="BE1687" s="4" t="s">
        <v>231</v>
      </c>
      <c r="BF1687" s="8" t="s">
        <v>231</v>
      </c>
      <c r="BG1687" s="7" t="s">
        <v>231</v>
      </c>
      <c r="BH1687" s="7" t="s">
        <v>231</v>
      </c>
      <c r="BI1687" s="7"/>
      <c r="BJ1687" s="4"/>
      <c r="BK1687" s="8"/>
      <c r="BL1687" s="2" t="s">
        <v>231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241</v>
      </c>
      <c r="BV1687" s="2" t="s">
        <v>231</v>
      </c>
      <c r="BW1687" s="2" t="s">
        <v>231</v>
      </c>
      <c r="BX1687" s="2" t="s">
        <v>2109</v>
      </c>
      <c r="BY1687" s="2" t="s">
        <v>242</v>
      </c>
      <c r="BZ1687" s="2" t="s">
        <v>243</v>
      </c>
      <c r="CA1687" s="2" t="s">
        <v>231</v>
      </c>
      <c r="CB1687" s="2" t="s">
        <v>231</v>
      </c>
      <c r="CC1687" s="2" t="s">
        <v>244</v>
      </c>
      <c r="CD1687" s="2" t="s">
        <v>231</v>
      </c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>
        <v>153</v>
      </c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>
        <v>357</v>
      </c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>
        <v>273</v>
      </c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>
        <v>639</v>
      </c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</row>
    <row r="1688">
      <c r="A1688" s="2" t="s">
        <v>7746</v>
      </c>
      <c r="B1688" s="2" t="s">
        <v>226</v>
      </c>
      <c r="C1688" s="2" t="s">
        <v>1017</v>
      </c>
      <c r="D1688" s="2" t="s">
        <v>654</v>
      </c>
      <c r="E1688" s="2" t="s">
        <v>890</v>
      </c>
      <c r="F1688" s="2" t="s">
        <v>7739</v>
      </c>
      <c r="G1688" s="2" t="s">
        <v>7740</v>
      </c>
      <c r="H1688" s="2" t="s">
        <v>7741</v>
      </c>
      <c r="I1688" s="2" t="s">
        <v>7742</v>
      </c>
      <c r="J1688" s="2" t="s">
        <v>832</v>
      </c>
      <c r="K1688" s="2" t="s">
        <v>901</v>
      </c>
      <c r="L1688" s="3">
        <v>24.52</v>
      </c>
      <c r="M1688" s="3">
        <v>25.75</v>
      </c>
      <c r="N1688" s="3">
        <v>54.99</v>
      </c>
      <c r="O1688" s="2" t="s">
        <v>243</v>
      </c>
      <c r="P1688" s="2" t="s">
        <v>236</v>
      </c>
      <c r="Q1688" s="2" t="s">
        <v>237</v>
      </c>
      <c r="R1688" s="2" t="s">
        <v>231</v>
      </c>
      <c r="S1688" s="2" t="s">
        <v>7747</v>
      </c>
      <c r="T1688" s="2" t="s">
        <v>1432</v>
      </c>
      <c r="U1688" s="2" t="s">
        <v>791</v>
      </c>
      <c r="V1688" s="2" t="s">
        <v>987</v>
      </c>
      <c r="W1688" s="2" t="s">
        <v>691</v>
      </c>
      <c r="X1688" s="2" t="s">
        <v>273</v>
      </c>
      <c r="Y1688" s="2" t="s">
        <v>5150</v>
      </c>
      <c r="Z1688" s="4">
        <v>1</v>
      </c>
      <c r="AA1688" s="4">
        <f>=ROUNDDOWN(0.125,0)</f>
      </c>
      <c r="AB1688" s="5">
        <v>8</v>
      </c>
      <c r="AC1688" s="2" t="s">
        <v>3918</v>
      </c>
      <c r="AD1688" s="4">
        <v>36</v>
      </c>
      <c r="AE1688" s="4">
        <v>420</v>
      </c>
      <c r="AF1688" s="6">
        <v>65</v>
      </c>
      <c r="AG1688" s="6">
        <v>48</v>
      </c>
      <c r="AH1688" s="7">
        <v>0</v>
      </c>
      <c r="AI1688" s="4"/>
      <c r="AJ1688" s="4">
        <f>=ROUNDDOWN({0},0)</f>
      </c>
      <c r="AK1688" s="5"/>
      <c r="AL1688" s="2" t="s">
        <v>231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231</v>
      </c>
      <c r="AW1688" s="8" t="s">
        <v>231</v>
      </c>
      <c r="AX1688" s="4" t="s">
        <v>231</v>
      </c>
      <c r="AY1688" s="8" t="s">
        <v>231</v>
      </c>
      <c r="AZ1688" s="7" t="s">
        <v>231</v>
      </c>
      <c r="BA1688" s="7" t="s">
        <v>231</v>
      </c>
      <c r="BB1688" s="7"/>
      <c r="BC1688" s="4" t="s">
        <v>231</v>
      </c>
      <c r="BD1688" s="8" t="s">
        <v>231</v>
      </c>
      <c r="BE1688" s="4" t="s">
        <v>231</v>
      </c>
      <c r="BF1688" s="8" t="s">
        <v>231</v>
      </c>
      <c r="BG1688" s="7" t="s">
        <v>231</v>
      </c>
      <c r="BH1688" s="7" t="s">
        <v>231</v>
      </c>
      <c r="BI1688" s="7"/>
      <c r="BJ1688" s="4"/>
      <c r="BK1688" s="8"/>
      <c r="BL1688" s="2" t="s">
        <v>231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241</v>
      </c>
      <c r="BV1688" s="2" t="s">
        <v>231</v>
      </c>
      <c r="BW1688" s="2" t="s">
        <v>231</v>
      </c>
      <c r="BX1688" s="2" t="s">
        <v>2109</v>
      </c>
      <c r="BY1688" s="2" t="s">
        <v>242</v>
      </c>
      <c r="BZ1688" s="2" t="s">
        <v>243</v>
      </c>
      <c r="CA1688" s="2" t="s">
        <v>231</v>
      </c>
      <c r="CB1688" s="2" t="s">
        <v>231</v>
      </c>
      <c r="CC1688" s="2" t="s">
        <v>244</v>
      </c>
      <c r="CD1688" s="2" t="s">
        <v>231</v>
      </c>
      <c r="CE1688" s="4"/>
      <c r="CF1688" s="4"/>
      <c r="CG1688" s="4"/>
      <c r="CH1688" s="4"/>
      <c r="CI1688" s="4">
        <v>1</v>
      </c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>
        <v>36</v>
      </c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>
        <v>90</v>
      </c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>
        <v>90</v>
      </c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>
        <v>204</v>
      </c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</row>
    <row r="1689">
      <c r="A1689" s="2" t="s">
        <v>7748</v>
      </c>
      <c r="B1689" s="2" t="s">
        <v>226</v>
      </c>
      <c r="C1689" s="2" t="s">
        <v>1017</v>
      </c>
      <c r="D1689" s="2" t="s">
        <v>654</v>
      </c>
      <c r="E1689" s="2" t="s">
        <v>890</v>
      </c>
      <c r="F1689" s="2" t="s">
        <v>7739</v>
      </c>
      <c r="G1689" s="2" t="s">
        <v>7740</v>
      </c>
      <c r="H1689" s="2" t="s">
        <v>7741</v>
      </c>
      <c r="I1689" s="2" t="s">
        <v>7742</v>
      </c>
      <c r="J1689" s="2" t="s">
        <v>658</v>
      </c>
      <c r="K1689" s="2" t="s">
        <v>901</v>
      </c>
      <c r="L1689" s="3">
        <v>28.98</v>
      </c>
      <c r="M1689" s="3">
        <v>30.43</v>
      </c>
      <c r="N1689" s="3">
        <v>64.99</v>
      </c>
      <c r="O1689" s="2" t="s">
        <v>243</v>
      </c>
      <c r="P1689" s="2" t="s">
        <v>236</v>
      </c>
      <c r="Q1689" s="2" t="s">
        <v>237</v>
      </c>
      <c r="R1689" s="2" t="s">
        <v>231</v>
      </c>
      <c r="S1689" s="2" t="s">
        <v>7747</v>
      </c>
      <c r="T1689" s="2" t="s">
        <v>1432</v>
      </c>
      <c r="U1689" s="2" t="s">
        <v>835</v>
      </c>
      <c r="V1689" s="2" t="s">
        <v>987</v>
      </c>
      <c r="W1689" s="2" t="s">
        <v>691</v>
      </c>
      <c r="X1689" s="2" t="s">
        <v>273</v>
      </c>
      <c r="Y1689" s="2" t="s">
        <v>231</v>
      </c>
      <c r="Z1689" s="4"/>
      <c r="AA1689" s="4">
        <f>=ROUNDDOWN({0},0)</f>
      </c>
      <c r="AB1689" s="5">
        <v>21</v>
      </c>
      <c r="AC1689" s="2" t="s">
        <v>3918</v>
      </c>
      <c r="AD1689" s="4">
        <v>111</v>
      </c>
      <c r="AE1689" s="4">
        <v>1140</v>
      </c>
      <c r="AF1689" s="6">
        <v>65</v>
      </c>
      <c r="AG1689" s="6">
        <v>48</v>
      </c>
      <c r="AH1689" s="7">
        <v>0</v>
      </c>
      <c r="AI1689" s="4"/>
      <c r="AJ1689" s="4">
        <f>=ROUNDDOWN({0},0)</f>
      </c>
      <c r="AK1689" s="5"/>
      <c r="AL1689" s="2" t="s">
        <v>231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231</v>
      </c>
      <c r="AW1689" s="8" t="s">
        <v>231</v>
      </c>
      <c r="AX1689" s="4" t="s">
        <v>231</v>
      </c>
      <c r="AY1689" s="8" t="s">
        <v>231</v>
      </c>
      <c r="AZ1689" s="7" t="s">
        <v>231</v>
      </c>
      <c r="BA1689" s="7" t="s">
        <v>231</v>
      </c>
      <c r="BB1689" s="7"/>
      <c r="BC1689" s="4" t="s">
        <v>231</v>
      </c>
      <c r="BD1689" s="8" t="s">
        <v>231</v>
      </c>
      <c r="BE1689" s="4" t="s">
        <v>231</v>
      </c>
      <c r="BF1689" s="8" t="s">
        <v>231</v>
      </c>
      <c r="BG1689" s="7" t="s">
        <v>231</v>
      </c>
      <c r="BH1689" s="7" t="s">
        <v>231</v>
      </c>
      <c r="BI1689" s="7"/>
      <c r="BJ1689" s="4"/>
      <c r="BK1689" s="8"/>
      <c r="BL1689" s="2" t="s">
        <v>231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241</v>
      </c>
      <c r="BV1689" s="2" t="s">
        <v>231</v>
      </c>
      <c r="BW1689" s="2" t="s">
        <v>231</v>
      </c>
      <c r="BX1689" s="2" t="s">
        <v>2109</v>
      </c>
      <c r="BY1689" s="2" t="s">
        <v>242</v>
      </c>
      <c r="BZ1689" s="2" t="s">
        <v>243</v>
      </c>
      <c r="CA1689" s="2" t="s">
        <v>231</v>
      </c>
      <c r="CB1689" s="2" t="s">
        <v>231</v>
      </c>
      <c r="CC1689" s="2" t="s">
        <v>244</v>
      </c>
      <c r="CD1689" s="2" t="s">
        <v>231</v>
      </c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>
        <v>111</v>
      </c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>
        <v>261</v>
      </c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>
        <v>231</v>
      </c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>
        <v>537</v>
      </c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</row>
    <row r="1690">
      <c r="A1690" s="2" t="s">
        <v>7749</v>
      </c>
      <c r="B1690" s="2" t="s">
        <v>226</v>
      </c>
      <c r="C1690" s="2" t="s">
        <v>1017</v>
      </c>
      <c r="D1690" s="2" t="s">
        <v>654</v>
      </c>
      <c r="E1690" s="2" t="s">
        <v>890</v>
      </c>
      <c r="F1690" s="2" t="s">
        <v>7739</v>
      </c>
      <c r="G1690" s="2" t="s">
        <v>7740</v>
      </c>
      <c r="H1690" s="2" t="s">
        <v>7741</v>
      </c>
      <c r="I1690" s="2" t="s">
        <v>7742</v>
      </c>
      <c r="J1690" s="2" t="s">
        <v>669</v>
      </c>
      <c r="K1690" s="2" t="s">
        <v>901</v>
      </c>
      <c r="L1690" s="3">
        <v>33.44</v>
      </c>
      <c r="M1690" s="3">
        <v>35.11</v>
      </c>
      <c r="N1690" s="3">
        <v>74.99</v>
      </c>
      <c r="O1690" s="2" t="s">
        <v>243</v>
      </c>
      <c r="P1690" s="2" t="s">
        <v>236</v>
      </c>
      <c r="Q1690" s="2" t="s">
        <v>237</v>
      </c>
      <c r="R1690" s="2" t="s">
        <v>231</v>
      </c>
      <c r="S1690" s="2" t="s">
        <v>7747</v>
      </c>
      <c r="T1690" s="2" t="s">
        <v>1432</v>
      </c>
      <c r="U1690" s="2" t="s">
        <v>835</v>
      </c>
      <c r="V1690" s="2" t="s">
        <v>987</v>
      </c>
      <c r="W1690" s="2" t="s">
        <v>691</v>
      </c>
      <c r="X1690" s="2" t="s">
        <v>273</v>
      </c>
      <c r="Y1690" s="2" t="s">
        <v>231</v>
      </c>
      <c r="Z1690" s="4"/>
      <c r="AA1690" s="4">
        <f>=ROUNDDOWN({0},0)</f>
      </c>
      <c r="AB1690" s="5">
        <v>21</v>
      </c>
      <c r="AC1690" s="2" t="s">
        <v>3918</v>
      </c>
      <c r="AD1690" s="4">
        <v>93</v>
      </c>
      <c r="AE1690" s="4">
        <v>906</v>
      </c>
      <c r="AF1690" s="6">
        <v>65</v>
      </c>
      <c r="AG1690" s="6">
        <v>48</v>
      </c>
      <c r="AH1690" s="7">
        <v>0</v>
      </c>
      <c r="AI1690" s="4"/>
      <c r="AJ1690" s="4">
        <f>=ROUNDDOWN({0},0)</f>
      </c>
      <c r="AK1690" s="5"/>
      <c r="AL1690" s="2" t="s">
        <v>231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231</v>
      </c>
      <c r="AW1690" s="8" t="s">
        <v>231</v>
      </c>
      <c r="AX1690" s="4" t="s">
        <v>231</v>
      </c>
      <c r="AY1690" s="8" t="s">
        <v>231</v>
      </c>
      <c r="AZ1690" s="7" t="s">
        <v>231</v>
      </c>
      <c r="BA1690" s="7" t="s">
        <v>231</v>
      </c>
      <c r="BB1690" s="7"/>
      <c r="BC1690" s="4" t="s">
        <v>231</v>
      </c>
      <c r="BD1690" s="8" t="s">
        <v>231</v>
      </c>
      <c r="BE1690" s="4" t="s">
        <v>231</v>
      </c>
      <c r="BF1690" s="8" t="s">
        <v>231</v>
      </c>
      <c r="BG1690" s="7" t="s">
        <v>231</v>
      </c>
      <c r="BH1690" s="7" t="s">
        <v>231</v>
      </c>
      <c r="BI1690" s="7"/>
      <c r="BJ1690" s="4"/>
      <c r="BK1690" s="8"/>
      <c r="BL1690" s="2" t="s">
        <v>231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241</v>
      </c>
      <c r="BV1690" s="2" t="s">
        <v>231</v>
      </c>
      <c r="BW1690" s="2" t="s">
        <v>231</v>
      </c>
      <c r="BX1690" s="2" t="s">
        <v>2109</v>
      </c>
      <c r="BY1690" s="2" t="s">
        <v>242</v>
      </c>
      <c r="BZ1690" s="2" t="s">
        <v>243</v>
      </c>
      <c r="CA1690" s="2" t="s">
        <v>231</v>
      </c>
      <c r="CB1690" s="2" t="s">
        <v>231</v>
      </c>
      <c r="CC1690" s="2" t="s">
        <v>244</v>
      </c>
      <c r="CD1690" s="2" t="s">
        <v>231</v>
      </c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>
        <v>93</v>
      </c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>
        <v>210</v>
      </c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>
        <v>180</v>
      </c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>
        <v>423</v>
      </c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</row>
    <row r="1691">
      <c r="A1691" s="2" t="s">
        <v>7750</v>
      </c>
      <c r="B1691" s="2" t="s">
        <v>226</v>
      </c>
      <c r="C1691" s="2" t="s">
        <v>1017</v>
      </c>
      <c r="D1691" s="2" t="s">
        <v>654</v>
      </c>
      <c r="E1691" s="2" t="s">
        <v>890</v>
      </c>
      <c r="F1691" s="2" t="s">
        <v>7739</v>
      </c>
      <c r="G1691" s="2" t="s">
        <v>7740</v>
      </c>
      <c r="H1691" s="2" t="s">
        <v>7741</v>
      </c>
      <c r="I1691" s="2" t="s">
        <v>7742</v>
      </c>
      <c r="J1691" s="2" t="s">
        <v>832</v>
      </c>
      <c r="K1691" s="2" t="s">
        <v>234</v>
      </c>
      <c r="L1691" s="3">
        <v>24.52</v>
      </c>
      <c r="M1691" s="3">
        <v>25.75</v>
      </c>
      <c r="N1691" s="3">
        <v>54.99</v>
      </c>
      <c r="O1691" s="2" t="s">
        <v>243</v>
      </c>
      <c r="P1691" s="2" t="s">
        <v>236</v>
      </c>
      <c r="Q1691" s="2" t="s">
        <v>237</v>
      </c>
      <c r="R1691" s="2" t="s">
        <v>231</v>
      </c>
      <c r="S1691" s="2" t="s">
        <v>7751</v>
      </c>
      <c r="T1691" s="2" t="s">
        <v>1432</v>
      </c>
      <c r="U1691" s="2" t="s">
        <v>791</v>
      </c>
      <c r="V1691" s="2" t="s">
        <v>987</v>
      </c>
      <c r="W1691" s="2" t="s">
        <v>691</v>
      </c>
      <c r="X1691" s="2" t="s">
        <v>273</v>
      </c>
      <c r="Y1691" s="2" t="s">
        <v>5150</v>
      </c>
      <c r="Z1691" s="4">
        <v>1</v>
      </c>
      <c r="AA1691" s="4">
        <f>=ROUNDDOWN(0.0666666666666667,0)</f>
      </c>
      <c r="AB1691" s="5">
        <v>15</v>
      </c>
      <c r="AC1691" s="2" t="s">
        <v>3918</v>
      </c>
      <c r="AD1691" s="4">
        <v>75</v>
      </c>
      <c r="AE1691" s="4">
        <v>840</v>
      </c>
      <c r="AF1691" s="6">
        <v>65</v>
      </c>
      <c r="AG1691" s="6">
        <v>48</v>
      </c>
      <c r="AH1691" s="7">
        <v>0</v>
      </c>
      <c r="AI1691" s="4"/>
      <c r="AJ1691" s="4">
        <f>=ROUNDDOWN({0},0)</f>
      </c>
      <c r="AK1691" s="5"/>
      <c r="AL1691" s="2" t="s">
        <v>231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231</v>
      </c>
      <c r="AW1691" s="8" t="s">
        <v>231</v>
      </c>
      <c r="AX1691" s="4" t="s">
        <v>231</v>
      </c>
      <c r="AY1691" s="8" t="s">
        <v>231</v>
      </c>
      <c r="AZ1691" s="7" t="s">
        <v>231</v>
      </c>
      <c r="BA1691" s="7" t="s">
        <v>231</v>
      </c>
      <c r="BB1691" s="7"/>
      <c r="BC1691" s="4" t="s">
        <v>231</v>
      </c>
      <c r="BD1691" s="8" t="s">
        <v>231</v>
      </c>
      <c r="BE1691" s="4" t="s">
        <v>231</v>
      </c>
      <c r="BF1691" s="8" t="s">
        <v>231</v>
      </c>
      <c r="BG1691" s="7" t="s">
        <v>231</v>
      </c>
      <c r="BH1691" s="7" t="s">
        <v>231</v>
      </c>
      <c r="BI1691" s="7"/>
      <c r="BJ1691" s="4"/>
      <c r="BK1691" s="8"/>
      <c r="BL1691" s="2" t="s">
        <v>231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241</v>
      </c>
      <c r="BV1691" s="2" t="s">
        <v>231</v>
      </c>
      <c r="BW1691" s="2" t="s">
        <v>231</v>
      </c>
      <c r="BX1691" s="2" t="s">
        <v>2109</v>
      </c>
      <c r="BY1691" s="2" t="s">
        <v>242</v>
      </c>
      <c r="BZ1691" s="2" t="s">
        <v>243</v>
      </c>
      <c r="CA1691" s="2" t="s">
        <v>231</v>
      </c>
      <c r="CB1691" s="2" t="s">
        <v>231</v>
      </c>
      <c r="CC1691" s="2" t="s">
        <v>244</v>
      </c>
      <c r="CD1691" s="2" t="s">
        <v>231</v>
      </c>
      <c r="CE1691" s="4"/>
      <c r="CF1691" s="4"/>
      <c r="CG1691" s="4"/>
      <c r="CH1691" s="4"/>
      <c r="CI1691" s="4">
        <v>1</v>
      </c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>
        <v>75</v>
      </c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>
        <v>174</v>
      </c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>
        <v>177</v>
      </c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>
        <v>414</v>
      </c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</row>
    <row r="1692">
      <c r="A1692" s="2" t="s">
        <v>7752</v>
      </c>
      <c r="B1692" s="2" t="s">
        <v>226</v>
      </c>
      <c r="C1692" s="2" t="s">
        <v>1017</v>
      </c>
      <c r="D1692" s="2" t="s">
        <v>654</v>
      </c>
      <c r="E1692" s="2" t="s">
        <v>890</v>
      </c>
      <c r="F1692" s="2" t="s">
        <v>7739</v>
      </c>
      <c r="G1692" s="2" t="s">
        <v>7740</v>
      </c>
      <c r="H1692" s="2" t="s">
        <v>7741</v>
      </c>
      <c r="I1692" s="2" t="s">
        <v>7742</v>
      </c>
      <c r="J1692" s="2" t="s">
        <v>658</v>
      </c>
      <c r="K1692" s="2" t="s">
        <v>234</v>
      </c>
      <c r="L1692" s="3">
        <v>28.98</v>
      </c>
      <c r="M1692" s="3">
        <v>30.43</v>
      </c>
      <c r="N1692" s="3">
        <v>64.99</v>
      </c>
      <c r="O1692" s="2" t="s">
        <v>243</v>
      </c>
      <c r="P1692" s="2" t="s">
        <v>236</v>
      </c>
      <c r="Q1692" s="2" t="s">
        <v>237</v>
      </c>
      <c r="R1692" s="2" t="s">
        <v>231</v>
      </c>
      <c r="S1692" s="2" t="s">
        <v>7751</v>
      </c>
      <c r="T1692" s="2" t="s">
        <v>1432</v>
      </c>
      <c r="U1692" s="2" t="s">
        <v>835</v>
      </c>
      <c r="V1692" s="2" t="s">
        <v>987</v>
      </c>
      <c r="W1692" s="2" t="s">
        <v>691</v>
      </c>
      <c r="X1692" s="2" t="s">
        <v>273</v>
      </c>
      <c r="Y1692" s="2" t="s">
        <v>5150</v>
      </c>
      <c r="Z1692" s="4">
        <v>1</v>
      </c>
      <c r="AA1692" s="4">
        <f>=ROUNDDOWN(0.0204081632653061,0)</f>
      </c>
      <c r="AB1692" s="5">
        <v>49</v>
      </c>
      <c r="AC1692" s="2" t="s">
        <v>3918</v>
      </c>
      <c r="AD1692" s="4">
        <v>285</v>
      </c>
      <c r="AE1692" s="4">
        <v>2760</v>
      </c>
      <c r="AF1692" s="6">
        <v>65</v>
      </c>
      <c r="AG1692" s="6">
        <v>48</v>
      </c>
      <c r="AH1692" s="7">
        <v>0</v>
      </c>
      <c r="AI1692" s="4"/>
      <c r="AJ1692" s="4">
        <f>=ROUNDDOWN({0},0)</f>
      </c>
      <c r="AK1692" s="5"/>
      <c r="AL1692" s="2" t="s">
        <v>231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231</v>
      </c>
      <c r="AW1692" s="8" t="s">
        <v>231</v>
      </c>
      <c r="AX1692" s="4" t="s">
        <v>231</v>
      </c>
      <c r="AY1692" s="8" t="s">
        <v>231</v>
      </c>
      <c r="AZ1692" s="7" t="s">
        <v>231</v>
      </c>
      <c r="BA1692" s="7" t="s">
        <v>231</v>
      </c>
      <c r="BB1692" s="7"/>
      <c r="BC1692" s="4" t="s">
        <v>231</v>
      </c>
      <c r="BD1692" s="8" t="s">
        <v>231</v>
      </c>
      <c r="BE1692" s="4" t="s">
        <v>231</v>
      </c>
      <c r="BF1692" s="8" t="s">
        <v>231</v>
      </c>
      <c r="BG1692" s="7" t="s">
        <v>231</v>
      </c>
      <c r="BH1692" s="7" t="s">
        <v>231</v>
      </c>
      <c r="BI1692" s="7"/>
      <c r="BJ1692" s="4"/>
      <c r="BK1692" s="8"/>
      <c r="BL1692" s="2" t="s">
        <v>231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241</v>
      </c>
      <c r="BV1692" s="2" t="s">
        <v>231</v>
      </c>
      <c r="BW1692" s="2" t="s">
        <v>231</v>
      </c>
      <c r="BX1692" s="2" t="s">
        <v>2109</v>
      </c>
      <c r="BY1692" s="2" t="s">
        <v>242</v>
      </c>
      <c r="BZ1692" s="2" t="s">
        <v>243</v>
      </c>
      <c r="CA1692" s="2" t="s">
        <v>231</v>
      </c>
      <c r="CB1692" s="2" t="s">
        <v>231</v>
      </c>
      <c r="CC1692" s="2" t="s">
        <v>244</v>
      </c>
      <c r="CD1692" s="2" t="s">
        <v>231</v>
      </c>
      <c r="CE1692" s="4"/>
      <c r="CF1692" s="4"/>
      <c r="CG1692" s="4"/>
      <c r="CH1692" s="4"/>
      <c r="CI1692" s="4">
        <v>1</v>
      </c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>
        <v>285</v>
      </c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>
        <v>660</v>
      </c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>
        <v>543</v>
      </c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>
        <v>1272</v>
      </c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</row>
    <row r="1693">
      <c r="A1693" s="2" t="s">
        <v>7753</v>
      </c>
      <c r="B1693" s="2" t="s">
        <v>226</v>
      </c>
      <c r="C1693" s="2" t="s">
        <v>1017</v>
      </c>
      <c r="D1693" s="2" t="s">
        <v>654</v>
      </c>
      <c r="E1693" s="2" t="s">
        <v>890</v>
      </c>
      <c r="F1693" s="2" t="s">
        <v>7739</v>
      </c>
      <c r="G1693" s="2" t="s">
        <v>7740</v>
      </c>
      <c r="H1693" s="2" t="s">
        <v>7741</v>
      </c>
      <c r="I1693" s="2" t="s">
        <v>7742</v>
      </c>
      <c r="J1693" s="2" t="s">
        <v>669</v>
      </c>
      <c r="K1693" s="2" t="s">
        <v>234</v>
      </c>
      <c r="L1693" s="3">
        <v>33.44</v>
      </c>
      <c r="M1693" s="3">
        <v>35.11</v>
      </c>
      <c r="N1693" s="3">
        <v>74.99</v>
      </c>
      <c r="O1693" s="2" t="s">
        <v>243</v>
      </c>
      <c r="P1693" s="2" t="s">
        <v>236</v>
      </c>
      <c r="Q1693" s="2" t="s">
        <v>237</v>
      </c>
      <c r="R1693" s="2" t="s">
        <v>231</v>
      </c>
      <c r="S1693" s="2" t="s">
        <v>7751</v>
      </c>
      <c r="T1693" s="2" t="s">
        <v>1432</v>
      </c>
      <c r="U1693" s="2" t="s">
        <v>835</v>
      </c>
      <c r="V1693" s="2" t="s">
        <v>987</v>
      </c>
      <c r="W1693" s="2" t="s">
        <v>691</v>
      </c>
      <c r="X1693" s="2" t="s">
        <v>273</v>
      </c>
      <c r="Y1693" s="2" t="s">
        <v>231</v>
      </c>
      <c r="Z1693" s="4"/>
      <c r="AA1693" s="4">
        <f>=ROUNDDOWN({0},0)</f>
      </c>
      <c r="AB1693" s="5">
        <v>49</v>
      </c>
      <c r="AC1693" s="2" t="s">
        <v>3918</v>
      </c>
      <c r="AD1693" s="4">
        <v>228</v>
      </c>
      <c r="AE1693" s="4">
        <v>2199</v>
      </c>
      <c r="AF1693" s="6">
        <v>65</v>
      </c>
      <c r="AG1693" s="6">
        <v>48</v>
      </c>
      <c r="AH1693" s="7">
        <v>0</v>
      </c>
      <c r="AI1693" s="4"/>
      <c r="AJ1693" s="4">
        <f>=ROUNDDOWN({0},0)</f>
      </c>
      <c r="AK1693" s="5"/>
      <c r="AL1693" s="2" t="s">
        <v>231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231</v>
      </c>
      <c r="AW1693" s="8" t="s">
        <v>231</v>
      </c>
      <c r="AX1693" s="4" t="s">
        <v>231</v>
      </c>
      <c r="AY1693" s="8" t="s">
        <v>231</v>
      </c>
      <c r="AZ1693" s="7" t="s">
        <v>231</v>
      </c>
      <c r="BA1693" s="7" t="s">
        <v>231</v>
      </c>
      <c r="BB1693" s="7"/>
      <c r="BC1693" s="4" t="s">
        <v>231</v>
      </c>
      <c r="BD1693" s="8" t="s">
        <v>231</v>
      </c>
      <c r="BE1693" s="4" t="s">
        <v>231</v>
      </c>
      <c r="BF1693" s="8" t="s">
        <v>231</v>
      </c>
      <c r="BG1693" s="7" t="s">
        <v>231</v>
      </c>
      <c r="BH1693" s="7" t="s">
        <v>231</v>
      </c>
      <c r="BI1693" s="7"/>
      <c r="BJ1693" s="4"/>
      <c r="BK1693" s="8"/>
      <c r="BL1693" s="2" t="s">
        <v>231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241</v>
      </c>
      <c r="BV1693" s="2" t="s">
        <v>231</v>
      </c>
      <c r="BW1693" s="2" t="s">
        <v>231</v>
      </c>
      <c r="BX1693" s="2" t="s">
        <v>2109</v>
      </c>
      <c r="BY1693" s="2" t="s">
        <v>242</v>
      </c>
      <c r="BZ1693" s="2" t="s">
        <v>243</v>
      </c>
      <c r="CA1693" s="2" t="s">
        <v>231</v>
      </c>
      <c r="CB1693" s="2" t="s">
        <v>231</v>
      </c>
      <c r="CC1693" s="2" t="s">
        <v>244</v>
      </c>
      <c r="CD1693" s="2" t="s">
        <v>231</v>
      </c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>
        <v>228</v>
      </c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>
        <v>531</v>
      </c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>
        <v>432</v>
      </c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>
        <v>1008</v>
      </c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</row>
    <row r="1694">
      <c r="A1694" s="2" t="s">
        <v>7754</v>
      </c>
      <c r="B1694" s="2" t="s">
        <v>226</v>
      </c>
      <c r="C1694" s="2" t="s">
        <v>1017</v>
      </c>
      <c r="D1694" s="2" t="s">
        <v>654</v>
      </c>
      <c r="E1694" s="2" t="s">
        <v>890</v>
      </c>
      <c r="F1694" s="2" t="s">
        <v>7739</v>
      </c>
      <c r="G1694" s="2" t="s">
        <v>7740</v>
      </c>
      <c r="H1694" s="2" t="s">
        <v>7741</v>
      </c>
      <c r="I1694" s="2" t="s">
        <v>7742</v>
      </c>
      <c r="J1694" s="2" t="s">
        <v>832</v>
      </c>
      <c r="K1694" s="2" t="s">
        <v>306</v>
      </c>
      <c r="L1694" s="3">
        <v>24.52</v>
      </c>
      <c r="M1694" s="3">
        <v>25.75</v>
      </c>
      <c r="N1694" s="3">
        <v>54.99</v>
      </c>
      <c r="O1694" s="2" t="s">
        <v>243</v>
      </c>
      <c r="P1694" s="2" t="s">
        <v>236</v>
      </c>
      <c r="Q1694" s="2" t="s">
        <v>237</v>
      </c>
      <c r="R1694" s="2" t="s">
        <v>231</v>
      </c>
      <c r="S1694" s="2" t="s">
        <v>7755</v>
      </c>
      <c r="T1694" s="2" t="s">
        <v>1432</v>
      </c>
      <c r="U1694" s="2" t="s">
        <v>791</v>
      </c>
      <c r="V1694" s="2" t="s">
        <v>987</v>
      </c>
      <c r="W1694" s="2" t="s">
        <v>691</v>
      </c>
      <c r="X1694" s="2" t="s">
        <v>273</v>
      </c>
      <c r="Y1694" s="2" t="s">
        <v>5150</v>
      </c>
      <c r="Z1694" s="4">
        <v>1</v>
      </c>
      <c r="AA1694" s="4">
        <f>=ROUNDDOWN(0.0714285714285714,0)</f>
      </c>
      <c r="AB1694" s="5">
        <v>14</v>
      </c>
      <c r="AC1694" s="2" t="s">
        <v>3918</v>
      </c>
      <c r="AD1694" s="4">
        <v>78</v>
      </c>
      <c r="AE1694" s="4">
        <v>759</v>
      </c>
      <c r="AF1694" s="6">
        <v>65</v>
      </c>
      <c r="AG1694" s="6">
        <v>48</v>
      </c>
      <c r="AH1694" s="7">
        <v>0</v>
      </c>
      <c r="AI1694" s="4"/>
      <c r="AJ1694" s="4">
        <f>=ROUNDDOWN({0},0)</f>
      </c>
      <c r="AK1694" s="5"/>
      <c r="AL1694" s="2" t="s">
        <v>231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231</v>
      </c>
      <c r="AW1694" s="8" t="s">
        <v>231</v>
      </c>
      <c r="AX1694" s="4" t="s">
        <v>231</v>
      </c>
      <c r="AY1694" s="8" t="s">
        <v>231</v>
      </c>
      <c r="AZ1694" s="7" t="s">
        <v>231</v>
      </c>
      <c r="BA1694" s="7" t="s">
        <v>231</v>
      </c>
      <c r="BB1694" s="7"/>
      <c r="BC1694" s="4" t="s">
        <v>231</v>
      </c>
      <c r="BD1694" s="8" t="s">
        <v>231</v>
      </c>
      <c r="BE1694" s="4" t="s">
        <v>231</v>
      </c>
      <c r="BF1694" s="8" t="s">
        <v>231</v>
      </c>
      <c r="BG1694" s="7" t="s">
        <v>231</v>
      </c>
      <c r="BH1694" s="7" t="s">
        <v>231</v>
      </c>
      <c r="BI1694" s="7"/>
      <c r="BJ1694" s="4"/>
      <c r="BK1694" s="8"/>
      <c r="BL1694" s="2" t="s">
        <v>231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241</v>
      </c>
      <c r="BV1694" s="2" t="s">
        <v>231</v>
      </c>
      <c r="BW1694" s="2" t="s">
        <v>231</v>
      </c>
      <c r="BX1694" s="2" t="s">
        <v>2109</v>
      </c>
      <c r="BY1694" s="2" t="s">
        <v>242</v>
      </c>
      <c r="BZ1694" s="2" t="s">
        <v>243</v>
      </c>
      <c r="CA1694" s="2" t="s">
        <v>231</v>
      </c>
      <c r="CB1694" s="2" t="s">
        <v>231</v>
      </c>
      <c r="CC1694" s="2" t="s">
        <v>244</v>
      </c>
      <c r="CD1694" s="2" t="s">
        <v>231</v>
      </c>
      <c r="CE1694" s="4"/>
      <c r="CF1694" s="4"/>
      <c r="CG1694" s="4"/>
      <c r="CH1694" s="4"/>
      <c r="CI1694" s="4">
        <v>1</v>
      </c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>
        <v>78</v>
      </c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>
        <v>183</v>
      </c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>
        <v>150</v>
      </c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>
        <v>348</v>
      </c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</row>
    <row r="1695">
      <c r="A1695" s="2" t="s">
        <v>7756</v>
      </c>
      <c r="B1695" s="2" t="s">
        <v>226</v>
      </c>
      <c r="C1695" s="2" t="s">
        <v>1017</v>
      </c>
      <c r="D1695" s="2" t="s">
        <v>654</v>
      </c>
      <c r="E1695" s="2" t="s">
        <v>890</v>
      </c>
      <c r="F1695" s="2" t="s">
        <v>7739</v>
      </c>
      <c r="G1695" s="2" t="s">
        <v>7740</v>
      </c>
      <c r="H1695" s="2" t="s">
        <v>7741</v>
      </c>
      <c r="I1695" s="2" t="s">
        <v>7742</v>
      </c>
      <c r="J1695" s="2" t="s">
        <v>658</v>
      </c>
      <c r="K1695" s="2" t="s">
        <v>306</v>
      </c>
      <c r="L1695" s="3">
        <v>28.98</v>
      </c>
      <c r="M1695" s="3">
        <v>30.43</v>
      </c>
      <c r="N1695" s="3">
        <v>64.99</v>
      </c>
      <c r="O1695" s="2" t="s">
        <v>243</v>
      </c>
      <c r="P1695" s="2" t="s">
        <v>236</v>
      </c>
      <c r="Q1695" s="2" t="s">
        <v>237</v>
      </c>
      <c r="R1695" s="2" t="s">
        <v>231</v>
      </c>
      <c r="S1695" s="2" t="s">
        <v>7755</v>
      </c>
      <c r="T1695" s="2" t="s">
        <v>1432</v>
      </c>
      <c r="U1695" s="2" t="s">
        <v>835</v>
      </c>
      <c r="V1695" s="2" t="s">
        <v>987</v>
      </c>
      <c r="W1695" s="2" t="s">
        <v>691</v>
      </c>
      <c r="X1695" s="2" t="s">
        <v>273</v>
      </c>
      <c r="Y1695" s="2" t="s">
        <v>5150</v>
      </c>
      <c r="Z1695" s="4">
        <v>1</v>
      </c>
      <c r="AA1695" s="4">
        <f>=ROUNDDOWN(0.0212765957446809,0)</f>
      </c>
      <c r="AB1695" s="5">
        <v>47</v>
      </c>
      <c r="AC1695" s="2" t="s">
        <v>3918</v>
      </c>
      <c r="AD1695" s="4">
        <v>318</v>
      </c>
      <c r="AE1695" s="4">
        <v>2754</v>
      </c>
      <c r="AF1695" s="6">
        <v>65</v>
      </c>
      <c r="AG1695" s="6">
        <v>48</v>
      </c>
      <c r="AH1695" s="7">
        <v>0</v>
      </c>
      <c r="AI1695" s="4"/>
      <c r="AJ1695" s="4">
        <f>=ROUNDDOWN({0},0)</f>
      </c>
      <c r="AK1695" s="5"/>
      <c r="AL1695" s="2" t="s">
        <v>231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231</v>
      </c>
      <c r="AW1695" s="8" t="s">
        <v>231</v>
      </c>
      <c r="AX1695" s="4" t="s">
        <v>231</v>
      </c>
      <c r="AY1695" s="8" t="s">
        <v>231</v>
      </c>
      <c r="AZ1695" s="7" t="s">
        <v>231</v>
      </c>
      <c r="BA1695" s="7" t="s">
        <v>231</v>
      </c>
      <c r="BB1695" s="7"/>
      <c r="BC1695" s="4" t="s">
        <v>231</v>
      </c>
      <c r="BD1695" s="8" t="s">
        <v>231</v>
      </c>
      <c r="BE1695" s="4" t="s">
        <v>231</v>
      </c>
      <c r="BF1695" s="8" t="s">
        <v>231</v>
      </c>
      <c r="BG1695" s="7" t="s">
        <v>231</v>
      </c>
      <c r="BH1695" s="7" t="s">
        <v>231</v>
      </c>
      <c r="BI1695" s="7"/>
      <c r="BJ1695" s="4"/>
      <c r="BK1695" s="8"/>
      <c r="BL1695" s="2" t="s">
        <v>231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241</v>
      </c>
      <c r="BV1695" s="2" t="s">
        <v>231</v>
      </c>
      <c r="BW1695" s="2" t="s">
        <v>231</v>
      </c>
      <c r="BX1695" s="2" t="s">
        <v>2109</v>
      </c>
      <c r="BY1695" s="2" t="s">
        <v>242</v>
      </c>
      <c r="BZ1695" s="2" t="s">
        <v>243</v>
      </c>
      <c r="CA1695" s="2" t="s">
        <v>231</v>
      </c>
      <c r="CB1695" s="2" t="s">
        <v>231</v>
      </c>
      <c r="CC1695" s="2" t="s">
        <v>244</v>
      </c>
      <c r="CD1695" s="2" t="s">
        <v>231</v>
      </c>
      <c r="CE1695" s="4"/>
      <c r="CF1695" s="4"/>
      <c r="CG1695" s="4"/>
      <c r="CH1695" s="4"/>
      <c r="CI1695" s="4">
        <v>1</v>
      </c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>
        <v>318</v>
      </c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>
        <v>741</v>
      </c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>
        <v>510</v>
      </c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>
        <v>1185</v>
      </c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</row>
    <row r="1696">
      <c r="A1696" s="2" t="s">
        <v>7757</v>
      </c>
      <c r="B1696" s="2" t="s">
        <v>226</v>
      </c>
      <c r="C1696" s="2" t="s">
        <v>1017</v>
      </c>
      <c r="D1696" s="2" t="s">
        <v>654</v>
      </c>
      <c r="E1696" s="2" t="s">
        <v>890</v>
      </c>
      <c r="F1696" s="2" t="s">
        <v>7739</v>
      </c>
      <c r="G1696" s="2" t="s">
        <v>7740</v>
      </c>
      <c r="H1696" s="2" t="s">
        <v>7741</v>
      </c>
      <c r="I1696" s="2" t="s">
        <v>7742</v>
      </c>
      <c r="J1696" s="2" t="s">
        <v>669</v>
      </c>
      <c r="K1696" s="2" t="s">
        <v>306</v>
      </c>
      <c r="L1696" s="3">
        <v>33.44</v>
      </c>
      <c r="M1696" s="3">
        <v>35.11</v>
      </c>
      <c r="N1696" s="3">
        <v>74.99</v>
      </c>
      <c r="O1696" s="2" t="s">
        <v>243</v>
      </c>
      <c r="P1696" s="2" t="s">
        <v>236</v>
      </c>
      <c r="Q1696" s="2" t="s">
        <v>237</v>
      </c>
      <c r="R1696" s="2" t="s">
        <v>231</v>
      </c>
      <c r="S1696" s="2" t="s">
        <v>7755</v>
      </c>
      <c r="T1696" s="2" t="s">
        <v>1432</v>
      </c>
      <c r="U1696" s="2" t="s">
        <v>835</v>
      </c>
      <c r="V1696" s="2" t="s">
        <v>987</v>
      </c>
      <c r="W1696" s="2" t="s">
        <v>691</v>
      </c>
      <c r="X1696" s="2" t="s">
        <v>273</v>
      </c>
      <c r="Y1696" s="2" t="s">
        <v>231</v>
      </c>
      <c r="Z1696" s="4"/>
      <c r="AA1696" s="4">
        <f>=ROUNDDOWN({0},0)</f>
      </c>
      <c r="AB1696" s="5">
        <v>46</v>
      </c>
      <c r="AC1696" s="2" t="s">
        <v>3918</v>
      </c>
      <c r="AD1696" s="4">
        <v>255</v>
      </c>
      <c r="AE1696" s="4">
        <v>2195</v>
      </c>
      <c r="AF1696" s="6">
        <v>65</v>
      </c>
      <c r="AG1696" s="6">
        <v>48</v>
      </c>
      <c r="AH1696" s="7">
        <v>0</v>
      </c>
      <c r="AI1696" s="4"/>
      <c r="AJ1696" s="4">
        <f>=ROUNDDOWN({0},0)</f>
      </c>
      <c r="AK1696" s="5"/>
      <c r="AL1696" s="2" t="s">
        <v>231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231</v>
      </c>
      <c r="AW1696" s="8" t="s">
        <v>231</v>
      </c>
      <c r="AX1696" s="4" t="s">
        <v>231</v>
      </c>
      <c r="AY1696" s="8" t="s">
        <v>231</v>
      </c>
      <c r="AZ1696" s="7" t="s">
        <v>231</v>
      </c>
      <c r="BA1696" s="7" t="s">
        <v>231</v>
      </c>
      <c r="BB1696" s="7"/>
      <c r="BC1696" s="4" t="s">
        <v>231</v>
      </c>
      <c r="BD1696" s="8" t="s">
        <v>231</v>
      </c>
      <c r="BE1696" s="4" t="s">
        <v>231</v>
      </c>
      <c r="BF1696" s="8" t="s">
        <v>231</v>
      </c>
      <c r="BG1696" s="7" t="s">
        <v>231</v>
      </c>
      <c r="BH1696" s="7" t="s">
        <v>231</v>
      </c>
      <c r="BI1696" s="7"/>
      <c r="BJ1696" s="4"/>
      <c r="BK1696" s="8"/>
      <c r="BL1696" s="2" t="s">
        <v>231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241</v>
      </c>
      <c r="BV1696" s="2" t="s">
        <v>231</v>
      </c>
      <c r="BW1696" s="2" t="s">
        <v>231</v>
      </c>
      <c r="BX1696" s="2" t="s">
        <v>2109</v>
      </c>
      <c r="BY1696" s="2" t="s">
        <v>242</v>
      </c>
      <c r="BZ1696" s="2" t="s">
        <v>243</v>
      </c>
      <c r="CA1696" s="2" t="s">
        <v>231</v>
      </c>
      <c r="CB1696" s="2" t="s">
        <v>231</v>
      </c>
      <c r="CC1696" s="2" t="s">
        <v>244</v>
      </c>
      <c r="CD1696" s="2" t="s">
        <v>231</v>
      </c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>
        <v>255</v>
      </c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>
        <v>591</v>
      </c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>
        <v>405</v>
      </c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>
        <v>944</v>
      </c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</row>
    <row r="1697">
      <c r="A1697" s="2" t="s">
        <v>7758</v>
      </c>
      <c r="B1697" s="2" t="s">
        <v>992</v>
      </c>
      <c r="C1697" s="2" t="s">
        <v>288</v>
      </c>
      <c r="D1697" s="2" t="s">
        <v>993</v>
      </c>
      <c r="E1697" s="2" t="s">
        <v>3795</v>
      </c>
      <c r="F1697" s="2" t="s">
        <v>7603</v>
      </c>
      <c r="G1697" s="2" t="s">
        <v>7759</v>
      </c>
      <c r="H1697" s="2" t="s">
        <v>7589</v>
      </c>
      <c r="I1697" s="2" t="s">
        <v>7760</v>
      </c>
      <c r="J1697" s="2" t="s">
        <v>6258</v>
      </c>
      <c r="K1697" s="2" t="s">
        <v>253</v>
      </c>
      <c r="L1697" s="3">
        <v>32.75</v>
      </c>
      <c r="M1697" s="3">
        <v>34.39</v>
      </c>
      <c r="N1697" s="3">
        <v>69.99</v>
      </c>
      <c r="O1697" s="2" t="s">
        <v>243</v>
      </c>
      <c r="P1697" s="2" t="s">
        <v>341</v>
      </c>
      <c r="Q1697" s="2" t="s">
        <v>237</v>
      </c>
      <c r="R1697" s="2" t="s">
        <v>231</v>
      </c>
      <c r="S1697" s="2" t="s">
        <v>7761</v>
      </c>
      <c r="T1697" s="2" t="s">
        <v>472</v>
      </c>
      <c r="U1697" s="2" t="s">
        <v>327</v>
      </c>
      <c r="V1697" s="2" t="s">
        <v>239</v>
      </c>
      <c r="W1697" s="2" t="s">
        <v>273</v>
      </c>
      <c r="X1697" s="2" t="s">
        <v>231</v>
      </c>
      <c r="Y1697" s="2" t="s">
        <v>6286</v>
      </c>
      <c r="Z1697" s="4">
        <v>496</v>
      </c>
      <c r="AA1697" s="4">
        <f>=ROUNDDOWN(496,0)</f>
      </c>
      <c r="AB1697" s="5">
        <v>1</v>
      </c>
      <c r="AC1697" s="2" t="s">
        <v>231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231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231</v>
      </c>
      <c r="AW1697" s="8" t="s">
        <v>231</v>
      </c>
      <c r="AX1697" s="4" t="s">
        <v>231</v>
      </c>
      <c r="AY1697" s="8" t="s">
        <v>231</v>
      </c>
      <c r="AZ1697" s="7" t="s">
        <v>231</v>
      </c>
      <c r="BA1697" s="7" t="s">
        <v>231</v>
      </c>
      <c r="BB1697" s="7"/>
      <c r="BC1697" s="4" t="s">
        <v>231</v>
      </c>
      <c r="BD1697" s="8" t="s">
        <v>231</v>
      </c>
      <c r="BE1697" s="4" t="s">
        <v>231</v>
      </c>
      <c r="BF1697" s="8" t="s">
        <v>231</v>
      </c>
      <c r="BG1697" s="7" t="s">
        <v>231</v>
      </c>
      <c r="BH1697" s="7" t="s">
        <v>231</v>
      </c>
      <c r="BI1697" s="7"/>
      <c r="BJ1697" s="4">
        <v>9</v>
      </c>
      <c r="BK1697" s="8">
        <v>174.01</v>
      </c>
      <c r="BL1697" s="2" t="s">
        <v>3816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7762</v>
      </c>
      <c r="BV1697" s="2" t="s">
        <v>231</v>
      </c>
      <c r="BW1697" s="2" t="s">
        <v>231</v>
      </c>
      <c r="BX1697" s="2" t="s">
        <v>231</v>
      </c>
      <c r="BY1697" s="2" t="s">
        <v>277</v>
      </c>
      <c r="BZ1697" s="2" t="s">
        <v>243</v>
      </c>
      <c r="CA1697" s="2" t="s">
        <v>7763</v>
      </c>
      <c r="CB1697" s="2" t="s">
        <v>3543</v>
      </c>
      <c r="CC1697" s="2" t="s">
        <v>244</v>
      </c>
      <c r="CD1697" s="2" t="s">
        <v>231</v>
      </c>
      <c r="CE1697" s="4">
        <v>496</v>
      </c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</row>
    <row r="1698">
      <c r="A1698" s="2" t="s">
        <v>7764</v>
      </c>
      <c r="B1698" s="2" t="s">
        <v>992</v>
      </c>
      <c r="C1698" s="2" t="s">
        <v>288</v>
      </c>
      <c r="D1698" s="2" t="s">
        <v>993</v>
      </c>
      <c r="E1698" s="2" t="s">
        <v>3795</v>
      </c>
      <c r="F1698" s="2" t="s">
        <v>7603</v>
      </c>
      <c r="G1698" s="2" t="s">
        <v>7759</v>
      </c>
      <c r="H1698" s="2" t="s">
        <v>7589</v>
      </c>
      <c r="I1698" s="2" t="s">
        <v>7760</v>
      </c>
      <c r="J1698" s="2" t="s">
        <v>6243</v>
      </c>
      <c r="K1698" s="2" t="s">
        <v>253</v>
      </c>
      <c r="L1698" s="3">
        <v>38.5</v>
      </c>
      <c r="M1698" s="3">
        <v>40.43</v>
      </c>
      <c r="N1698" s="3">
        <v>81.99</v>
      </c>
      <c r="O1698" s="2" t="s">
        <v>243</v>
      </c>
      <c r="P1698" s="2" t="s">
        <v>341</v>
      </c>
      <c r="Q1698" s="2" t="s">
        <v>237</v>
      </c>
      <c r="R1698" s="2" t="s">
        <v>231</v>
      </c>
      <c r="S1698" s="2" t="s">
        <v>7761</v>
      </c>
      <c r="T1698" s="2" t="s">
        <v>472</v>
      </c>
      <c r="U1698" s="2" t="s">
        <v>327</v>
      </c>
      <c r="V1698" s="2" t="s">
        <v>239</v>
      </c>
      <c r="W1698" s="2" t="s">
        <v>273</v>
      </c>
      <c r="X1698" s="2" t="s">
        <v>231</v>
      </c>
      <c r="Y1698" s="2" t="s">
        <v>6286</v>
      </c>
      <c r="Z1698" s="4">
        <v>524</v>
      </c>
      <c r="AA1698" s="4">
        <f>=ROUNDDOWN(524,0)</f>
      </c>
      <c r="AB1698" s="5">
        <v>1</v>
      </c>
      <c r="AC1698" s="2" t="s">
        <v>231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231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231</v>
      </c>
      <c r="AW1698" s="8" t="s">
        <v>231</v>
      </c>
      <c r="AX1698" s="4" t="s">
        <v>231</v>
      </c>
      <c r="AY1698" s="8" t="s">
        <v>231</v>
      </c>
      <c r="AZ1698" s="7" t="s">
        <v>231</v>
      </c>
      <c r="BA1698" s="7" t="s">
        <v>231</v>
      </c>
      <c r="BB1698" s="7"/>
      <c r="BC1698" s="4" t="s">
        <v>231</v>
      </c>
      <c r="BD1698" s="8" t="s">
        <v>231</v>
      </c>
      <c r="BE1698" s="4" t="s">
        <v>231</v>
      </c>
      <c r="BF1698" s="8" t="s">
        <v>231</v>
      </c>
      <c r="BG1698" s="7" t="s">
        <v>231</v>
      </c>
      <c r="BH1698" s="7" t="s">
        <v>231</v>
      </c>
      <c r="BI1698" s="7"/>
      <c r="BJ1698" s="4">
        <v>8</v>
      </c>
      <c r="BK1698" s="8">
        <v>207.76</v>
      </c>
      <c r="BL1698" s="2" t="s">
        <v>1013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7765</v>
      </c>
      <c r="BV1698" s="2" t="s">
        <v>231</v>
      </c>
      <c r="BW1698" s="2" t="s">
        <v>231</v>
      </c>
      <c r="BX1698" s="2" t="s">
        <v>231</v>
      </c>
      <c r="BY1698" s="2" t="s">
        <v>277</v>
      </c>
      <c r="BZ1698" s="2" t="s">
        <v>243</v>
      </c>
      <c r="CA1698" s="2" t="s">
        <v>7763</v>
      </c>
      <c r="CB1698" s="2" t="s">
        <v>1970</v>
      </c>
      <c r="CC1698" s="2" t="s">
        <v>244</v>
      </c>
      <c r="CD1698" s="2" t="s">
        <v>231</v>
      </c>
      <c r="CE1698" s="4">
        <v>524</v>
      </c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</row>
    <row r="1699">
      <c r="A1699" s="2" t="s">
        <v>7766</v>
      </c>
      <c r="B1699" s="2" t="s">
        <v>992</v>
      </c>
      <c r="C1699" s="2" t="s">
        <v>288</v>
      </c>
      <c r="D1699" s="2" t="s">
        <v>993</v>
      </c>
      <c r="E1699" s="2" t="s">
        <v>3795</v>
      </c>
      <c r="F1699" s="2" t="s">
        <v>7603</v>
      </c>
      <c r="G1699" s="2" t="s">
        <v>7759</v>
      </c>
      <c r="H1699" s="2" t="s">
        <v>7589</v>
      </c>
      <c r="I1699" s="2" t="s">
        <v>7760</v>
      </c>
      <c r="J1699" s="2" t="s">
        <v>3810</v>
      </c>
      <c r="K1699" s="2" t="s">
        <v>1496</v>
      </c>
      <c r="L1699" s="3">
        <v>39.65</v>
      </c>
      <c r="M1699" s="3">
        <v>41.63</v>
      </c>
      <c r="N1699" s="3">
        <v>83.99</v>
      </c>
      <c r="O1699" s="2" t="s">
        <v>243</v>
      </c>
      <c r="P1699" s="2" t="s">
        <v>1985</v>
      </c>
      <c r="Q1699" s="2" t="s">
        <v>237</v>
      </c>
      <c r="R1699" s="2" t="s">
        <v>231</v>
      </c>
      <c r="S1699" s="2" t="s">
        <v>7767</v>
      </c>
      <c r="T1699" s="2" t="s">
        <v>472</v>
      </c>
      <c r="U1699" s="2" t="s">
        <v>327</v>
      </c>
      <c r="V1699" s="2" t="s">
        <v>239</v>
      </c>
      <c r="W1699" s="2" t="s">
        <v>273</v>
      </c>
      <c r="X1699" s="2" t="s">
        <v>231</v>
      </c>
      <c r="Y1699" s="2" t="s">
        <v>6286</v>
      </c>
      <c r="Z1699" s="4">
        <v>129</v>
      </c>
      <c r="AA1699" s="4">
        <f>=ROUNDDOWN(26.875,0)</f>
      </c>
      <c r="AB1699" s="5">
        <v>4.8</v>
      </c>
      <c r="AC1699" s="2" t="s">
        <v>231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231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 t="s">
        <v>231</v>
      </c>
      <c r="BD1699" s="8" t="s">
        <v>231</v>
      </c>
      <c r="BE1699" s="4" t="s">
        <v>231</v>
      </c>
      <c r="BF1699" s="8" t="s">
        <v>231</v>
      </c>
      <c r="BG1699" s="7" t="s">
        <v>231</v>
      </c>
      <c r="BH1699" s="7" t="s">
        <v>231</v>
      </c>
      <c r="BI1699" s="7"/>
      <c r="BJ1699" s="4">
        <v>24</v>
      </c>
      <c r="BK1699" s="8">
        <v>1171.43</v>
      </c>
      <c r="BL1699" s="2" t="s">
        <v>7768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7769</v>
      </c>
      <c r="BV1699" s="2" t="s">
        <v>231</v>
      </c>
      <c r="BW1699" s="2" t="s">
        <v>231</v>
      </c>
      <c r="BX1699" s="2" t="s">
        <v>231</v>
      </c>
      <c r="BY1699" s="2" t="s">
        <v>277</v>
      </c>
      <c r="BZ1699" s="2" t="s">
        <v>243</v>
      </c>
      <c r="CA1699" s="2" t="s">
        <v>7763</v>
      </c>
      <c r="CB1699" s="2" t="s">
        <v>2373</v>
      </c>
      <c r="CC1699" s="2" t="s">
        <v>244</v>
      </c>
      <c r="CD1699" s="2" t="s">
        <v>231</v>
      </c>
      <c r="CE1699" s="4">
        <v>129</v>
      </c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</row>
    <row r="1700">
      <c r="A1700" s="2" t="s">
        <v>7770</v>
      </c>
      <c r="B1700" s="2" t="s">
        <v>992</v>
      </c>
      <c r="C1700" s="2" t="s">
        <v>288</v>
      </c>
      <c r="D1700" s="2" t="s">
        <v>993</v>
      </c>
      <c r="E1700" s="2" t="s">
        <v>1157</v>
      </c>
      <c r="F1700" s="2" t="s">
        <v>7603</v>
      </c>
      <c r="G1700" s="2" t="s">
        <v>7759</v>
      </c>
      <c r="H1700" s="2" t="s">
        <v>7589</v>
      </c>
      <c r="I1700" s="2" t="s">
        <v>7771</v>
      </c>
      <c r="J1700" s="2" t="s">
        <v>7772</v>
      </c>
      <c r="K1700" s="2" t="s">
        <v>319</v>
      </c>
      <c r="L1700" s="3">
        <v>22.75</v>
      </c>
      <c r="M1700" s="3">
        <v>23.89</v>
      </c>
      <c r="N1700" s="3">
        <v>47.99</v>
      </c>
      <c r="O1700" s="2" t="s">
        <v>243</v>
      </c>
      <c r="P1700" s="2" t="s">
        <v>270</v>
      </c>
      <c r="Q1700" s="2" t="s">
        <v>237</v>
      </c>
      <c r="R1700" s="2" t="s">
        <v>231</v>
      </c>
      <c r="S1700" s="2" t="s">
        <v>7773</v>
      </c>
      <c r="T1700" s="2" t="s">
        <v>231</v>
      </c>
      <c r="U1700" s="2" t="s">
        <v>791</v>
      </c>
      <c r="V1700" s="2" t="s">
        <v>239</v>
      </c>
      <c r="W1700" s="2" t="s">
        <v>273</v>
      </c>
      <c r="X1700" s="2" t="s">
        <v>1520</v>
      </c>
      <c r="Y1700" s="2" t="s">
        <v>7774</v>
      </c>
      <c r="Z1700" s="4">
        <v>216</v>
      </c>
      <c r="AA1700" s="4">
        <f>=ROUNDDOWN(43.2,0)</f>
      </c>
      <c r="AB1700" s="5">
        <v>5</v>
      </c>
      <c r="AC1700" s="2" t="s">
        <v>3415</v>
      </c>
      <c r="AD1700" s="4">
        <v>676</v>
      </c>
      <c r="AE1700" s="4">
        <v>676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231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231</v>
      </c>
      <c r="AW1700" s="8" t="s">
        <v>231</v>
      </c>
      <c r="AX1700" s="4" t="s">
        <v>231</v>
      </c>
      <c r="AY1700" s="8" t="s">
        <v>231</v>
      </c>
      <c r="AZ1700" s="7" t="s">
        <v>231</v>
      </c>
      <c r="BA1700" s="7" t="s">
        <v>231</v>
      </c>
      <c r="BB1700" s="7"/>
      <c r="BC1700" s="4" t="s">
        <v>231</v>
      </c>
      <c r="BD1700" s="8" t="s">
        <v>231</v>
      </c>
      <c r="BE1700" s="4" t="s">
        <v>231</v>
      </c>
      <c r="BF1700" s="8" t="s">
        <v>231</v>
      </c>
      <c r="BG1700" s="7" t="s">
        <v>231</v>
      </c>
      <c r="BH1700" s="7" t="s">
        <v>231</v>
      </c>
      <c r="BI1700" s="7"/>
      <c r="BJ1700" s="4">
        <v>47</v>
      </c>
      <c r="BK1700" s="8">
        <v>1258.87</v>
      </c>
      <c r="BL1700" s="2" t="s">
        <v>7775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7776</v>
      </c>
      <c r="BV1700" s="2" t="s">
        <v>231</v>
      </c>
      <c r="BW1700" s="2" t="s">
        <v>231</v>
      </c>
      <c r="BX1700" s="2" t="s">
        <v>231</v>
      </c>
      <c r="BY1700" s="2" t="s">
        <v>277</v>
      </c>
      <c r="BZ1700" s="2" t="s">
        <v>243</v>
      </c>
      <c r="CA1700" s="2" t="s">
        <v>2867</v>
      </c>
      <c r="CB1700" s="2" t="s">
        <v>3284</v>
      </c>
      <c r="CC1700" s="2" t="s">
        <v>244</v>
      </c>
      <c r="CD1700" s="2" t="s">
        <v>231</v>
      </c>
      <c r="CE1700" s="4">
        <v>216</v>
      </c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>
        <v>676</v>
      </c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</row>
    <row r="1701">
      <c r="A1701" s="2" t="s">
        <v>7777</v>
      </c>
      <c r="B1701" s="2" t="s">
        <v>992</v>
      </c>
      <c r="C1701" s="2" t="s">
        <v>288</v>
      </c>
      <c r="D1701" s="2" t="s">
        <v>993</v>
      </c>
      <c r="E1701" s="2" t="s">
        <v>3795</v>
      </c>
      <c r="F1701" s="2" t="s">
        <v>7603</v>
      </c>
      <c r="G1701" s="2" t="s">
        <v>7759</v>
      </c>
      <c r="H1701" s="2" t="s">
        <v>7589</v>
      </c>
      <c r="I1701" s="2" t="s">
        <v>7760</v>
      </c>
      <c r="J1701" s="2" t="s">
        <v>6258</v>
      </c>
      <c r="K1701" s="2" t="s">
        <v>319</v>
      </c>
      <c r="L1701" s="3">
        <v>32.75</v>
      </c>
      <c r="M1701" s="3">
        <v>34.39</v>
      </c>
      <c r="N1701" s="3">
        <v>69.99</v>
      </c>
      <c r="O1701" s="2" t="s">
        <v>243</v>
      </c>
      <c r="P1701" s="2" t="s">
        <v>1985</v>
      </c>
      <c r="Q1701" s="2" t="s">
        <v>237</v>
      </c>
      <c r="R1701" s="2" t="s">
        <v>231</v>
      </c>
      <c r="S1701" s="2" t="s">
        <v>7773</v>
      </c>
      <c r="T1701" s="2" t="s">
        <v>472</v>
      </c>
      <c r="U1701" s="2" t="s">
        <v>327</v>
      </c>
      <c r="V1701" s="2" t="s">
        <v>239</v>
      </c>
      <c r="W1701" s="2" t="s">
        <v>273</v>
      </c>
      <c r="X1701" s="2" t="s">
        <v>231</v>
      </c>
      <c r="Y1701" s="2" t="s">
        <v>6286</v>
      </c>
      <c r="Z1701" s="4">
        <v>861</v>
      </c>
      <c r="AA1701" s="4">
        <f>=ROUNDDOWN(215.25,0)</f>
      </c>
      <c r="AB1701" s="5">
        <v>4</v>
      </c>
      <c r="AC1701" s="2" t="s">
        <v>231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231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231</v>
      </c>
      <c r="AW1701" s="8" t="s">
        <v>231</v>
      </c>
      <c r="AX1701" s="4" t="s">
        <v>231</v>
      </c>
      <c r="AY1701" s="8" t="s">
        <v>231</v>
      </c>
      <c r="AZ1701" s="7" t="s">
        <v>231</v>
      </c>
      <c r="BA1701" s="7" t="s">
        <v>231</v>
      </c>
      <c r="BB1701" s="7"/>
      <c r="BC1701" s="4" t="s">
        <v>231</v>
      </c>
      <c r="BD1701" s="8" t="s">
        <v>231</v>
      </c>
      <c r="BE1701" s="4" t="s">
        <v>231</v>
      </c>
      <c r="BF1701" s="8" t="s">
        <v>231</v>
      </c>
      <c r="BG1701" s="7" t="s">
        <v>231</v>
      </c>
      <c r="BH1701" s="7" t="s">
        <v>231</v>
      </c>
      <c r="BI1701" s="7"/>
      <c r="BJ1701" s="4">
        <v>21</v>
      </c>
      <c r="BK1701" s="8">
        <v>803.19</v>
      </c>
      <c r="BL1701" s="2" t="s">
        <v>7778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7779</v>
      </c>
      <c r="BV1701" s="2" t="s">
        <v>231</v>
      </c>
      <c r="BW1701" s="2" t="s">
        <v>231</v>
      </c>
      <c r="BX1701" s="2" t="s">
        <v>231</v>
      </c>
      <c r="BY1701" s="2" t="s">
        <v>277</v>
      </c>
      <c r="BZ1701" s="2" t="s">
        <v>243</v>
      </c>
      <c r="CA1701" s="2" t="s">
        <v>7763</v>
      </c>
      <c r="CB1701" s="2" t="s">
        <v>5855</v>
      </c>
      <c r="CC1701" s="2" t="s">
        <v>244</v>
      </c>
      <c r="CD1701" s="2" t="s">
        <v>231</v>
      </c>
      <c r="CE1701" s="4">
        <v>861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</row>
    <row r="1702">
      <c r="A1702" s="2" t="s">
        <v>7780</v>
      </c>
      <c r="B1702" s="2" t="s">
        <v>1004</v>
      </c>
      <c r="C1702" s="2" t="s">
        <v>815</v>
      </c>
      <c r="D1702" s="2" t="s">
        <v>1689</v>
      </c>
      <c r="E1702" s="2" t="s">
        <v>2538</v>
      </c>
      <c r="F1702" s="2" t="s">
        <v>7781</v>
      </c>
      <c r="G1702" s="2" t="s">
        <v>7781</v>
      </c>
      <c r="H1702" s="2" t="s">
        <v>7781</v>
      </c>
      <c r="I1702" s="2" t="s">
        <v>7782</v>
      </c>
      <c r="J1702" s="2" t="s">
        <v>807</v>
      </c>
      <c r="K1702" s="2" t="s">
        <v>2321</v>
      </c>
      <c r="L1702" s="3">
        <v>140.25</v>
      </c>
      <c r="M1702" s="3">
        <v>147.26</v>
      </c>
      <c r="N1702" s="3">
        <v>299</v>
      </c>
      <c r="O1702" s="2" t="s">
        <v>250</v>
      </c>
      <c r="P1702" s="2" t="s">
        <v>341</v>
      </c>
      <c r="Q1702" s="2" t="s">
        <v>237</v>
      </c>
      <c r="R1702" s="2" t="s">
        <v>231</v>
      </c>
      <c r="S1702" s="2" t="s">
        <v>231</v>
      </c>
      <c r="T1702" s="2" t="s">
        <v>231</v>
      </c>
      <c r="U1702" s="2" t="s">
        <v>327</v>
      </c>
      <c r="V1702" s="2" t="s">
        <v>662</v>
      </c>
      <c r="W1702" s="2" t="s">
        <v>808</v>
      </c>
      <c r="X1702" s="2" t="s">
        <v>231</v>
      </c>
      <c r="Y1702" s="2" t="s">
        <v>5345</v>
      </c>
      <c r="Z1702" s="4">
        <v>11</v>
      </c>
      <c r="AA1702" s="4">
        <f>=ROUNDDOWN(13.75,0)</f>
      </c>
      <c r="AB1702" s="5">
        <v>0.8</v>
      </c>
      <c r="AC1702" s="2" t="s">
        <v>231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231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/>
      <c r="BD1702" s="8"/>
      <c r="BE1702" s="4"/>
      <c r="BF1702" s="8"/>
      <c r="BG1702" s="7"/>
      <c r="BH1702" s="7"/>
      <c r="BI1702" s="7"/>
      <c r="BJ1702" s="4">
        <v>3</v>
      </c>
      <c r="BK1702" s="8">
        <v>295.77</v>
      </c>
      <c r="BL1702" s="2" t="s">
        <v>3024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7783</v>
      </c>
      <c r="BV1702" s="2" t="s">
        <v>231</v>
      </c>
      <c r="BW1702" s="2" t="s">
        <v>231</v>
      </c>
      <c r="BX1702" s="2" t="s">
        <v>231</v>
      </c>
      <c r="BY1702" s="2" t="s">
        <v>277</v>
      </c>
      <c r="BZ1702" s="2" t="s">
        <v>243</v>
      </c>
      <c r="CA1702" s="2" t="s">
        <v>6465</v>
      </c>
      <c r="CB1702" s="2" t="s">
        <v>7784</v>
      </c>
      <c r="CC1702" s="2" t="s">
        <v>244</v>
      </c>
      <c r="CD1702" s="2" t="s">
        <v>231</v>
      </c>
      <c r="CE1702" s="4"/>
      <c r="CF1702" s="4">
        <v>10</v>
      </c>
      <c r="CG1702" s="4"/>
      <c r="CH1702" s="4"/>
      <c r="CI1702" s="4">
        <v>1</v>
      </c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</row>
    <row r="1703">
      <c r="A1703" s="2" t="s">
        <v>7785</v>
      </c>
      <c r="B1703" s="2" t="s">
        <v>1186</v>
      </c>
      <c r="C1703" s="2" t="s">
        <v>288</v>
      </c>
      <c r="D1703" s="2" t="s">
        <v>654</v>
      </c>
      <c r="E1703" s="2" t="s">
        <v>890</v>
      </c>
      <c r="F1703" s="2" t="s">
        <v>7786</v>
      </c>
      <c r="G1703" s="2" t="s">
        <v>7787</v>
      </c>
      <c r="H1703" s="2" t="s">
        <v>3391</v>
      </c>
      <c r="I1703" s="2" t="s">
        <v>7788</v>
      </c>
      <c r="J1703" s="2" t="s">
        <v>669</v>
      </c>
      <c r="K1703" s="2" t="s">
        <v>486</v>
      </c>
      <c r="L1703" s="3">
        <v>84.6</v>
      </c>
      <c r="M1703" s="3">
        <v>88.83</v>
      </c>
      <c r="N1703" s="3">
        <v>179.99</v>
      </c>
      <c r="O1703" s="2" t="s">
        <v>243</v>
      </c>
      <c r="P1703" s="2" t="s">
        <v>270</v>
      </c>
      <c r="Q1703" s="2" t="s">
        <v>237</v>
      </c>
      <c r="R1703" s="2" t="s">
        <v>231</v>
      </c>
      <c r="S1703" s="2" t="s">
        <v>7789</v>
      </c>
      <c r="T1703" s="2" t="s">
        <v>362</v>
      </c>
      <c r="U1703" s="2" t="s">
        <v>835</v>
      </c>
      <c r="V1703" s="2" t="s">
        <v>1828</v>
      </c>
      <c r="W1703" s="2" t="s">
        <v>2897</v>
      </c>
      <c r="X1703" s="2" t="s">
        <v>7790</v>
      </c>
      <c r="Y1703" s="2" t="s">
        <v>2907</v>
      </c>
      <c r="Z1703" s="4">
        <v>270</v>
      </c>
      <c r="AA1703" s="4">
        <f>=ROUNDDOWN(30,0)</f>
      </c>
      <c r="AB1703" s="5">
        <v>9</v>
      </c>
      <c r="AC1703" s="2" t="s">
        <v>636</v>
      </c>
      <c r="AD1703" s="4">
        <v>50</v>
      </c>
      <c r="AE1703" s="4">
        <v>310</v>
      </c>
      <c r="AF1703" s="6">
        <v>71</v>
      </c>
      <c r="AG1703" s="6">
        <v>79</v>
      </c>
      <c r="AH1703" s="7">
        <v>1</v>
      </c>
      <c r="AI1703" s="4"/>
      <c r="AJ1703" s="4">
        <f>=ROUNDDOWN({0},0)</f>
      </c>
      <c r="AK1703" s="5"/>
      <c r="AL1703" s="2" t="s">
        <v>231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/>
      <c r="BD1703" s="8"/>
      <c r="BE1703" s="4"/>
      <c r="BF1703" s="8"/>
      <c r="BG1703" s="7"/>
      <c r="BH1703" s="7"/>
      <c r="BI1703" s="7"/>
      <c r="BJ1703" s="4">
        <v>39</v>
      </c>
      <c r="BK1703" s="8">
        <v>3147.36</v>
      </c>
      <c r="BL1703" s="2" t="s">
        <v>7299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7791</v>
      </c>
      <c r="BV1703" s="2" t="s">
        <v>231</v>
      </c>
      <c r="BW1703" s="2" t="s">
        <v>231</v>
      </c>
      <c r="BX1703" s="2" t="s">
        <v>231</v>
      </c>
      <c r="BY1703" s="2" t="s">
        <v>277</v>
      </c>
      <c r="BZ1703" s="2" t="s">
        <v>243</v>
      </c>
      <c r="CA1703" s="2" t="s">
        <v>2907</v>
      </c>
      <c r="CB1703" s="2" t="s">
        <v>2189</v>
      </c>
      <c r="CC1703" s="2" t="s">
        <v>244</v>
      </c>
      <c r="CD1703" s="2" t="s">
        <v>231</v>
      </c>
      <c r="CE1703" s="4">
        <v>215</v>
      </c>
      <c r="CF1703" s="4"/>
      <c r="CG1703" s="4"/>
      <c r="CH1703" s="4"/>
      <c r="CI1703" s="4">
        <v>55</v>
      </c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>
        <v>50</v>
      </c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>
        <v>30</v>
      </c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>
        <v>50</v>
      </c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>
        <v>120</v>
      </c>
      <c r="GV1703" s="4"/>
      <c r="GW1703" s="4"/>
      <c r="GX1703" s="4"/>
      <c r="GY1703" s="4">
        <v>60</v>
      </c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</row>
    <row r="1704">
      <c r="A1704" s="2" t="s">
        <v>7792</v>
      </c>
      <c r="B1704" s="2" t="s">
        <v>801</v>
      </c>
      <c r="C1704" s="2" t="s">
        <v>815</v>
      </c>
      <c r="D1704" s="2" t="s">
        <v>2228</v>
      </c>
      <c r="E1704" s="2" t="s">
        <v>2229</v>
      </c>
      <c r="F1704" s="2" t="s">
        <v>7793</v>
      </c>
      <c r="G1704" s="2" t="s">
        <v>7793</v>
      </c>
      <c r="H1704" s="2" t="s">
        <v>7793</v>
      </c>
      <c r="I1704" s="2" t="s">
        <v>7794</v>
      </c>
      <c r="J1704" s="2" t="s">
        <v>807</v>
      </c>
      <c r="K1704" s="2" t="s">
        <v>7795</v>
      </c>
      <c r="L1704" s="3">
        <v>76</v>
      </c>
      <c r="M1704" s="3">
        <v>79.8</v>
      </c>
      <c r="N1704" s="3">
        <v>159.99</v>
      </c>
      <c r="O1704" s="2" t="s">
        <v>243</v>
      </c>
      <c r="P1704" s="2" t="s">
        <v>236</v>
      </c>
      <c r="Q1704" s="2" t="s">
        <v>237</v>
      </c>
      <c r="R1704" s="2" t="s">
        <v>231</v>
      </c>
      <c r="S1704" s="2" t="s">
        <v>231</v>
      </c>
      <c r="T1704" s="2" t="s">
        <v>231</v>
      </c>
      <c r="U1704" s="2" t="s">
        <v>327</v>
      </c>
      <c r="V1704" s="2" t="s">
        <v>662</v>
      </c>
      <c r="W1704" s="2" t="s">
        <v>273</v>
      </c>
      <c r="X1704" s="2" t="s">
        <v>691</v>
      </c>
      <c r="Y1704" s="2" t="s">
        <v>3693</v>
      </c>
      <c r="Z1704" s="4">
        <v>100</v>
      </c>
      <c r="AA1704" s="4">
        <f>=ROUNDDOWN({0},0)</f>
      </c>
      <c r="AB1704" s="5"/>
      <c r="AC1704" s="2" t="s">
        <v>231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231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231</v>
      </c>
      <c r="AW1704" s="8" t="s">
        <v>231</v>
      </c>
      <c r="AX1704" s="4" t="s">
        <v>231</v>
      </c>
      <c r="AY1704" s="8" t="s">
        <v>231</v>
      </c>
      <c r="AZ1704" s="7" t="s">
        <v>231</v>
      </c>
      <c r="BA1704" s="7" t="s">
        <v>231</v>
      </c>
      <c r="BB1704" s="7" t="s">
        <v>231</v>
      </c>
      <c r="BC1704" s="4" t="s">
        <v>231</v>
      </c>
      <c r="BD1704" s="8" t="s">
        <v>231</v>
      </c>
      <c r="BE1704" s="4" t="s">
        <v>231</v>
      </c>
      <c r="BF1704" s="8" t="s">
        <v>231</v>
      </c>
      <c r="BG1704" s="7" t="s">
        <v>231</v>
      </c>
      <c r="BH1704" s="7" t="s">
        <v>231</v>
      </c>
      <c r="BI1704" s="7"/>
      <c r="BJ1704" s="4"/>
      <c r="BK1704" s="8"/>
      <c r="BL1704" s="2" t="s">
        <v>231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241</v>
      </c>
      <c r="BV1704" s="2" t="s">
        <v>231</v>
      </c>
      <c r="BW1704" s="2" t="s">
        <v>231</v>
      </c>
      <c r="BX1704" s="2" t="s">
        <v>241</v>
      </c>
      <c r="BY1704" s="2" t="s">
        <v>242</v>
      </c>
      <c r="BZ1704" s="2" t="s">
        <v>243</v>
      </c>
      <c r="CA1704" s="2" t="s">
        <v>231</v>
      </c>
      <c r="CB1704" s="2" t="s">
        <v>231</v>
      </c>
      <c r="CC1704" s="2" t="s">
        <v>244</v>
      </c>
      <c r="CD1704" s="2" t="s">
        <v>231</v>
      </c>
      <c r="CE1704" s="4"/>
      <c r="CF1704" s="4">
        <v>100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</row>
    <row r="1705">
      <c r="A1705" s="2" t="s">
        <v>7796</v>
      </c>
      <c r="B1705" s="2" t="s">
        <v>801</v>
      </c>
      <c r="C1705" s="2" t="s">
        <v>815</v>
      </c>
      <c r="D1705" s="2" t="s">
        <v>1114</v>
      </c>
      <c r="E1705" s="2" t="s">
        <v>1115</v>
      </c>
      <c r="F1705" s="2" t="s">
        <v>7793</v>
      </c>
      <c r="G1705" s="2" t="s">
        <v>7793</v>
      </c>
      <c r="H1705" s="2" t="s">
        <v>7793</v>
      </c>
      <c r="I1705" s="2" t="s">
        <v>7797</v>
      </c>
      <c r="J1705" s="2" t="s">
        <v>807</v>
      </c>
      <c r="K1705" s="2" t="s">
        <v>7795</v>
      </c>
      <c r="L1705" s="3">
        <v>55</v>
      </c>
      <c r="M1705" s="3">
        <v>57.75</v>
      </c>
      <c r="N1705" s="3">
        <v>114.99</v>
      </c>
      <c r="O1705" s="2" t="s">
        <v>243</v>
      </c>
      <c r="P1705" s="2" t="s">
        <v>236</v>
      </c>
      <c r="Q1705" s="2" t="s">
        <v>237</v>
      </c>
      <c r="R1705" s="2" t="s">
        <v>231</v>
      </c>
      <c r="S1705" s="2" t="s">
        <v>231</v>
      </c>
      <c r="T1705" s="2" t="s">
        <v>231</v>
      </c>
      <c r="U1705" s="2" t="s">
        <v>327</v>
      </c>
      <c r="V1705" s="2" t="s">
        <v>662</v>
      </c>
      <c r="W1705" s="2" t="s">
        <v>273</v>
      </c>
      <c r="X1705" s="2" t="s">
        <v>691</v>
      </c>
      <c r="Y1705" s="2" t="s">
        <v>7798</v>
      </c>
      <c r="Z1705" s="4">
        <v>85</v>
      </c>
      <c r="AA1705" s="4">
        <f>=ROUNDDOWN(42.5,0)</f>
      </c>
      <c r="AB1705" s="5">
        <v>2</v>
      </c>
      <c r="AC1705" s="2" t="s">
        <v>231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231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231</v>
      </c>
      <c r="AW1705" s="8" t="s">
        <v>231</v>
      </c>
      <c r="AX1705" s="4" t="s">
        <v>231</v>
      </c>
      <c r="AY1705" s="8" t="s">
        <v>231</v>
      </c>
      <c r="AZ1705" s="7" t="s">
        <v>231</v>
      </c>
      <c r="BA1705" s="7" t="s">
        <v>231</v>
      </c>
      <c r="BB1705" s="7" t="s">
        <v>231</v>
      </c>
      <c r="BC1705" s="4" t="s">
        <v>231</v>
      </c>
      <c r="BD1705" s="8" t="s">
        <v>231</v>
      </c>
      <c r="BE1705" s="4" t="s">
        <v>231</v>
      </c>
      <c r="BF1705" s="8" t="s">
        <v>231</v>
      </c>
      <c r="BG1705" s="7" t="s">
        <v>231</v>
      </c>
      <c r="BH1705" s="7" t="s">
        <v>231</v>
      </c>
      <c r="BI1705" s="7"/>
      <c r="BJ1705" s="4">
        <v>5</v>
      </c>
      <c r="BK1705" s="8">
        <v>313</v>
      </c>
      <c r="BL1705" s="2" t="s">
        <v>6149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7799</v>
      </c>
      <c r="BV1705" s="2" t="s">
        <v>231</v>
      </c>
      <c r="BW1705" s="2" t="s">
        <v>231</v>
      </c>
      <c r="BX1705" s="2" t="s">
        <v>241</v>
      </c>
      <c r="BY1705" s="2" t="s">
        <v>277</v>
      </c>
      <c r="BZ1705" s="2" t="s">
        <v>243</v>
      </c>
      <c r="CA1705" s="2" t="s">
        <v>3121</v>
      </c>
      <c r="CB1705" s="2" t="s">
        <v>1119</v>
      </c>
      <c r="CC1705" s="2" t="s">
        <v>244</v>
      </c>
      <c r="CD1705" s="2" t="s">
        <v>231</v>
      </c>
      <c r="CE1705" s="4"/>
      <c r="CF1705" s="4">
        <v>85</v>
      </c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</row>
    <row r="1706">
      <c r="A1706" s="2" t="s">
        <v>7800</v>
      </c>
      <c r="B1706" s="2" t="s">
        <v>1004</v>
      </c>
      <c r="C1706" s="2" t="s">
        <v>288</v>
      </c>
      <c r="D1706" s="2" t="s">
        <v>1689</v>
      </c>
      <c r="E1706" s="2" t="s">
        <v>2538</v>
      </c>
      <c r="F1706" s="2" t="s">
        <v>7801</v>
      </c>
      <c r="G1706" s="2" t="s">
        <v>7802</v>
      </c>
      <c r="H1706" s="2" t="s">
        <v>805</v>
      </c>
      <c r="I1706" s="2" t="s">
        <v>7803</v>
      </c>
      <c r="J1706" s="2" t="s">
        <v>807</v>
      </c>
      <c r="K1706" s="2" t="s">
        <v>2321</v>
      </c>
      <c r="L1706" s="3">
        <v>171</v>
      </c>
      <c r="M1706" s="3">
        <v>179.55</v>
      </c>
      <c r="N1706" s="3">
        <v>359</v>
      </c>
      <c r="O1706" s="2" t="s">
        <v>243</v>
      </c>
      <c r="P1706" s="2" t="s">
        <v>341</v>
      </c>
      <c r="Q1706" s="2" t="s">
        <v>237</v>
      </c>
      <c r="R1706" s="2" t="s">
        <v>231</v>
      </c>
      <c r="S1706" s="2" t="s">
        <v>231</v>
      </c>
      <c r="T1706" s="2" t="s">
        <v>231</v>
      </c>
      <c r="U1706" s="2" t="s">
        <v>327</v>
      </c>
      <c r="V1706" s="2" t="s">
        <v>662</v>
      </c>
      <c r="W1706" s="2" t="s">
        <v>691</v>
      </c>
      <c r="X1706" s="2" t="s">
        <v>792</v>
      </c>
      <c r="Y1706" s="2" t="s">
        <v>7070</v>
      </c>
      <c r="Z1706" s="4">
        <v>2</v>
      </c>
      <c r="AA1706" s="4">
        <f>=ROUNDDOWN(1.53846153846154,0)</f>
      </c>
      <c r="AB1706" s="5">
        <v>1.3</v>
      </c>
      <c r="AC1706" s="2" t="s">
        <v>231</v>
      </c>
      <c r="AD1706" s="4"/>
      <c r="AE1706" s="4"/>
      <c r="AF1706" s="6">
        <v>66</v>
      </c>
      <c r="AG1706" s="6"/>
      <c r="AH1706" s="7">
        <v>1</v>
      </c>
      <c r="AI1706" s="4"/>
      <c r="AJ1706" s="4">
        <f>=ROUNDDOWN({0},0)</f>
      </c>
      <c r="AK1706" s="5"/>
      <c r="AL1706" s="2" t="s">
        <v>231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/>
      <c r="BD1706" s="8"/>
      <c r="BE1706" s="4"/>
      <c r="BF1706" s="8"/>
      <c r="BG1706" s="7"/>
      <c r="BH1706" s="7"/>
      <c r="BI1706" s="7"/>
      <c r="BJ1706" s="4">
        <v>8</v>
      </c>
      <c r="BK1706" s="8">
        <v>1358.39</v>
      </c>
      <c r="BL1706" s="2" t="s">
        <v>5041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7804</v>
      </c>
      <c r="BV1706" s="2" t="s">
        <v>231</v>
      </c>
      <c r="BW1706" s="2" t="s">
        <v>231</v>
      </c>
      <c r="BX1706" s="2" t="s">
        <v>231</v>
      </c>
      <c r="BY1706" s="2" t="s">
        <v>277</v>
      </c>
      <c r="BZ1706" s="2" t="s">
        <v>243</v>
      </c>
      <c r="CA1706" s="2" t="s">
        <v>2294</v>
      </c>
      <c r="CB1706" s="2" t="s">
        <v>1797</v>
      </c>
      <c r="CC1706" s="2" t="s">
        <v>244</v>
      </c>
      <c r="CD1706" s="2" t="s">
        <v>231</v>
      </c>
      <c r="CE1706" s="4"/>
      <c r="CF1706" s="4">
        <v>2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</row>
    <row r="1707">
      <c r="A1707" s="2" t="s">
        <v>7805</v>
      </c>
      <c r="B1707" s="2" t="s">
        <v>226</v>
      </c>
      <c r="C1707" s="2" t="s">
        <v>288</v>
      </c>
      <c r="D1707" s="2" t="s">
        <v>654</v>
      </c>
      <c r="E1707" s="2" t="s">
        <v>890</v>
      </c>
      <c r="F1707" s="2" t="s">
        <v>7806</v>
      </c>
      <c r="G1707" s="2" t="s">
        <v>7807</v>
      </c>
      <c r="H1707" s="2" t="s">
        <v>7807</v>
      </c>
      <c r="I1707" s="2" t="s">
        <v>7808</v>
      </c>
      <c r="J1707" s="2" t="s">
        <v>293</v>
      </c>
      <c r="K1707" s="2" t="s">
        <v>7809</v>
      </c>
      <c r="L1707" s="3">
        <v>44.65</v>
      </c>
      <c r="M1707" s="3">
        <v>46.88</v>
      </c>
      <c r="N1707" s="3">
        <v>94.99</v>
      </c>
      <c r="O1707" s="2" t="s">
        <v>243</v>
      </c>
      <c r="P1707" s="2" t="s">
        <v>341</v>
      </c>
      <c r="Q1707" s="2" t="s">
        <v>237</v>
      </c>
      <c r="R1707" s="2" t="s">
        <v>231</v>
      </c>
      <c r="S1707" s="2" t="s">
        <v>7810</v>
      </c>
      <c r="T1707" s="2" t="s">
        <v>895</v>
      </c>
      <c r="U1707" s="2" t="s">
        <v>835</v>
      </c>
      <c r="V1707" s="2" t="s">
        <v>836</v>
      </c>
      <c r="W1707" s="2" t="s">
        <v>299</v>
      </c>
      <c r="X1707" s="2" t="s">
        <v>691</v>
      </c>
      <c r="Y1707" s="2" t="s">
        <v>7811</v>
      </c>
      <c r="Z1707" s="4">
        <v>106</v>
      </c>
      <c r="AA1707" s="4">
        <f>=ROUNDDOWN(17.6666666666667,0)</f>
      </c>
      <c r="AB1707" s="5">
        <v>6</v>
      </c>
      <c r="AC1707" s="2" t="s">
        <v>231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231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231</v>
      </c>
      <c r="AW1707" s="8" t="s">
        <v>231</v>
      </c>
      <c r="AX1707" s="4" t="s">
        <v>231</v>
      </c>
      <c r="AY1707" s="8" t="s">
        <v>231</v>
      </c>
      <c r="AZ1707" s="7" t="s">
        <v>231</v>
      </c>
      <c r="BA1707" s="7" t="s">
        <v>231</v>
      </c>
      <c r="BB1707" s="7"/>
      <c r="BC1707" s="4" t="s">
        <v>231</v>
      </c>
      <c r="BD1707" s="8" t="s">
        <v>231</v>
      </c>
      <c r="BE1707" s="4" t="s">
        <v>231</v>
      </c>
      <c r="BF1707" s="8" t="s">
        <v>231</v>
      </c>
      <c r="BG1707" s="7" t="s">
        <v>231</v>
      </c>
      <c r="BH1707" s="7" t="s">
        <v>231</v>
      </c>
      <c r="BI1707" s="7"/>
      <c r="BJ1707" s="4">
        <v>3</v>
      </c>
      <c r="BK1707" s="8">
        <v>134.28</v>
      </c>
      <c r="BL1707" s="2" t="s">
        <v>600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7812</v>
      </c>
      <c r="BV1707" s="2" t="s">
        <v>231</v>
      </c>
      <c r="BW1707" s="2" t="s">
        <v>231</v>
      </c>
      <c r="BX1707" s="2" t="s">
        <v>231</v>
      </c>
      <c r="BY1707" s="2" t="s">
        <v>277</v>
      </c>
      <c r="BZ1707" s="2" t="s">
        <v>243</v>
      </c>
      <c r="CA1707" s="2" t="s">
        <v>7811</v>
      </c>
      <c r="CB1707" s="2" t="s">
        <v>3292</v>
      </c>
      <c r="CC1707" s="2" t="s">
        <v>244</v>
      </c>
      <c r="CD1707" s="2" t="s">
        <v>231</v>
      </c>
      <c r="CE1707" s="4">
        <v>106</v>
      </c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</row>
    <row r="1708">
      <c r="A1708" s="2" t="s">
        <v>7813</v>
      </c>
      <c r="B1708" s="2" t="s">
        <v>226</v>
      </c>
      <c r="C1708" s="2" t="s">
        <v>288</v>
      </c>
      <c r="D1708" s="2" t="s">
        <v>654</v>
      </c>
      <c r="E1708" s="2" t="s">
        <v>890</v>
      </c>
      <c r="F1708" s="2" t="s">
        <v>7806</v>
      </c>
      <c r="G1708" s="2" t="s">
        <v>7807</v>
      </c>
      <c r="H1708" s="2" t="s">
        <v>7807</v>
      </c>
      <c r="I1708" s="2" t="s">
        <v>7808</v>
      </c>
      <c r="J1708" s="2" t="s">
        <v>302</v>
      </c>
      <c r="K1708" s="2" t="s">
        <v>7809</v>
      </c>
      <c r="L1708" s="3">
        <v>50.4</v>
      </c>
      <c r="M1708" s="3">
        <v>52.92</v>
      </c>
      <c r="N1708" s="3">
        <v>104.99</v>
      </c>
      <c r="O1708" s="2" t="s">
        <v>243</v>
      </c>
      <c r="P1708" s="2" t="s">
        <v>341</v>
      </c>
      <c r="Q1708" s="2" t="s">
        <v>237</v>
      </c>
      <c r="R1708" s="2" t="s">
        <v>231</v>
      </c>
      <c r="S1708" s="2" t="s">
        <v>7810</v>
      </c>
      <c r="T1708" s="2" t="s">
        <v>895</v>
      </c>
      <c r="U1708" s="2" t="s">
        <v>835</v>
      </c>
      <c r="V1708" s="2" t="s">
        <v>836</v>
      </c>
      <c r="W1708" s="2" t="s">
        <v>299</v>
      </c>
      <c r="X1708" s="2" t="s">
        <v>691</v>
      </c>
      <c r="Y1708" s="2" t="s">
        <v>7811</v>
      </c>
      <c r="Z1708" s="4">
        <v>59</v>
      </c>
      <c r="AA1708" s="4">
        <f>=ROUNDDOWN(8.42857142857143,0)</f>
      </c>
      <c r="AB1708" s="5">
        <v>7</v>
      </c>
      <c r="AC1708" s="2" t="s">
        <v>231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231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231</v>
      </c>
      <c r="AW1708" s="8" t="s">
        <v>231</v>
      </c>
      <c r="AX1708" s="4" t="s">
        <v>231</v>
      </c>
      <c r="AY1708" s="8" t="s">
        <v>231</v>
      </c>
      <c r="AZ1708" s="7" t="s">
        <v>231</v>
      </c>
      <c r="BA1708" s="7" t="s">
        <v>231</v>
      </c>
      <c r="BB1708" s="7"/>
      <c r="BC1708" s="4" t="s">
        <v>231</v>
      </c>
      <c r="BD1708" s="8" t="s">
        <v>231</v>
      </c>
      <c r="BE1708" s="4" t="s">
        <v>231</v>
      </c>
      <c r="BF1708" s="8" t="s">
        <v>231</v>
      </c>
      <c r="BG1708" s="7" t="s">
        <v>231</v>
      </c>
      <c r="BH1708" s="7" t="s">
        <v>231</v>
      </c>
      <c r="BI1708" s="7"/>
      <c r="BJ1708" s="4">
        <v>7</v>
      </c>
      <c r="BK1708" s="8">
        <v>364.47</v>
      </c>
      <c r="BL1708" s="2" t="s">
        <v>7814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7815</v>
      </c>
      <c r="BV1708" s="2" t="s">
        <v>231</v>
      </c>
      <c r="BW1708" s="2" t="s">
        <v>231</v>
      </c>
      <c r="BX1708" s="2" t="s">
        <v>231</v>
      </c>
      <c r="BY1708" s="2" t="s">
        <v>277</v>
      </c>
      <c r="BZ1708" s="2" t="s">
        <v>243</v>
      </c>
      <c r="CA1708" s="2" t="s">
        <v>7811</v>
      </c>
      <c r="CB1708" s="2" t="s">
        <v>5444</v>
      </c>
      <c r="CC1708" s="2" t="s">
        <v>244</v>
      </c>
      <c r="CD1708" s="2" t="s">
        <v>231</v>
      </c>
      <c r="CE1708" s="4">
        <v>59</v>
      </c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</row>
    <row r="1709">
      <c r="A1709" s="2" t="s">
        <v>7816</v>
      </c>
      <c r="B1709" s="2" t="s">
        <v>1004</v>
      </c>
      <c r="C1709" s="2" t="s">
        <v>815</v>
      </c>
      <c r="D1709" s="2" t="s">
        <v>1005</v>
      </c>
      <c r="E1709" s="2" t="s">
        <v>1006</v>
      </c>
      <c r="F1709" s="2" t="s">
        <v>7817</v>
      </c>
      <c r="G1709" s="2" t="s">
        <v>7817</v>
      </c>
      <c r="H1709" s="2" t="s">
        <v>231</v>
      </c>
      <c r="I1709" s="2" t="s">
        <v>1006</v>
      </c>
      <c r="J1709" s="2" t="s">
        <v>807</v>
      </c>
      <c r="K1709" s="2" t="s">
        <v>7818</v>
      </c>
      <c r="L1709" s="3">
        <v>310</v>
      </c>
      <c r="M1709" s="3">
        <v>325.5</v>
      </c>
      <c r="N1709" s="3">
        <v>649</v>
      </c>
      <c r="O1709" s="2" t="s">
        <v>235</v>
      </c>
      <c r="P1709" s="2" t="s">
        <v>341</v>
      </c>
      <c r="Q1709" s="2" t="s">
        <v>237</v>
      </c>
      <c r="R1709" s="2" t="s">
        <v>231</v>
      </c>
      <c r="S1709" s="2" t="s">
        <v>7819</v>
      </c>
      <c r="T1709" s="2" t="s">
        <v>231</v>
      </c>
      <c r="U1709" s="2" t="s">
        <v>231</v>
      </c>
      <c r="V1709" s="2" t="s">
        <v>239</v>
      </c>
      <c r="W1709" s="2" t="s">
        <v>2500</v>
      </c>
      <c r="X1709" s="2" t="s">
        <v>231</v>
      </c>
      <c r="Y1709" s="2" t="s">
        <v>274</v>
      </c>
      <c r="Z1709" s="4">
        <v>733</v>
      </c>
      <c r="AA1709" s="4">
        <f>=ROUNDDOWN(104.714285714286,0)</f>
      </c>
      <c r="AB1709" s="5">
        <v>7</v>
      </c>
      <c r="AC1709" s="2" t="s">
        <v>231</v>
      </c>
      <c r="AD1709" s="4"/>
      <c r="AE1709" s="4"/>
      <c r="AF1709" s="6">
        <v>74</v>
      </c>
      <c r="AG1709" s="6">
        <v>60</v>
      </c>
      <c r="AH1709" s="7">
        <v>1</v>
      </c>
      <c r="AI1709" s="4"/>
      <c r="AJ1709" s="4">
        <f>=ROUNDDOWN({0},0)</f>
      </c>
      <c r="AK1709" s="5"/>
      <c r="AL1709" s="2" t="s">
        <v>231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231</v>
      </c>
      <c r="BD1709" s="8" t="s">
        <v>231</v>
      </c>
      <c r="BE1709" s="4" t="s">
        <v>231</v>
      </c>
      <c r="BF1709" s="8" t="s">
        <v>231</v>
      </c>
      <c r="BG1709" s="7" t="s">
        <v>231</v>
      </c>
      <c r="BH1709" s="7" t="s">
        <v>231</v>
      </c>
      <c r="BI1709" s="7"/>
      <c r="BJ1709" s="4">
        <v>116</v>
      </c>
      <c r="BK1709" s="8">
        <v>19259.56</v>
      </c>
      <c r="BL1709" s="2" t="s">
        <v>7820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7821</v>
      </c>
      <c r="BV1709" s="2" t="s">
        <v>231</v>
      </c>
      <c r="BW1709" s="2" t="s">
        <v>231</v>
      </c>
      <c r="BX1709" s="2" t="s">
        <v>231</v>
      </c>
      <c r="BY1709" s="2" t="s">
        <v>277</v>
      </c>
      <c r="BZ1709" s="2" t="s">
        <v>243</v>
      </c>
      <c r="CA1709" s="2" t="s">
        <v>7822</v>
      </c>
      <c r="CB1709" s="2" t="s">
        <v>7823</v>
      </c>
      <c r="CC1709" s="2" t="s">
        <v>244</v>
      </c>
      <c r="CD1709" s="2" t="s">
        <v>231</v>
      </c>
      <c r="CE1709" s="4"/>
      <c r="CF1709" s="4">
        <v>332</v>
      </c>
      <c r="CG1709" s="4"/>
      <c r="CH1709" s="4"/>
      <c r="CI1709" s="4">
        <v>401</v>
      </c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</row>
    <row r="1710">
      <c r="A1710" s="2" t="s">
        <v>7824</v>
      </c>
      <c r="B1710" s="2" t="s">
        <v>1004</v>
      </c>
      <c r="C1710" s="2" t="s">
        <v>815</v>
      </c>
      <c r="D1710" s="2" t="s">
        <v>1917</v>
      </c>
      <c r="E1710" s="2" t="s">
        <v>1918</v>
      </c>
      <c r="F1710" s="2" t="s">
        <v>7817</v>
      </c>
      <c r="G1710" s="2" t="s">
        <v>7817</v>
      </c>
      <c r="H1710" s="2" t="s">
        <v>7817</v>
      </c>
      <c r="I1710" s="2" t="s">
        <v>7825</v>
      </c>
      <c r="J1710" s="2" t="s">
        <v>807</v>
      </c>
      <c r="K1710" s="2" t="s">
        <v>7826</v>
      </c>
      <c r="L1710" s="3">
        <v>118.75</v>
      </c>
      <c r="M1710" s="3">
        <v>124.69</v>
      </c>
      <c r="N1710" s="3">
        <v>249</v>
      </c>
      <c r="O1710" s="2" t="s">
        <v>243</v>
      </c>
      <c r="P1710" s="2" t="s">
        <v>270</v>
      </c>
      <c r="Q1710" s="2" t="s">
        <v>237</v>
      </c>
      <c r="R1710" s="2" t="s">
        <v>231</v>
      </c>
      <c r="S1710" s="2" t="s">
        <v>231</v>
      </c>
      <c r="T1710" s="2" t="s">
        <v>231</v>
      </c>
      <c r="U1710" s="2" t="s">
        <v>327</v>
      </c>
      <c r="V1710" s="2" t="s">
        <v>239</v>
      </c>
      <c r="W1710" s="2" t="s">
        <v>2500</v>
      </c>
      <c r="X1710" s="2" t="s">
        <v>691</v>
      </c>
      <c r="Y1710" s="2" t="s">
        <v>7827</v>
      </c>
      <c r="Z1710" s="4">
        <v>241</v>
      </c>
      <c r="AA1710" s="4">
        <f>=ROUNDDOWN(60.25,0)</f>
      </c>
      <c r="AB1710" s="5">
        <v>4</v>
      </c>
      <c r="AC1710" s="2" t="s">
        <v>231</v>
      </c>
      <c r="AD1710" s="4"/>
      <c r="AE1710" s="4"/>
      <c r="AF1710" s="6">
        <v>74</v>
      </c>
      <c r="AG1710" s="6"/>
      <c r="AH1710" s="7">
        <v>1</v>
      </c>
      <c r="AI1710" s="4"/>
      <c r="AJ1710" s="4">
        <f>=ROUNDDOWN({0},0)</f>
      </c>
      <c r="AK1710" s="5"/>
      <c r="AL1710" s="2" t="s">
        <v>231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 t="s">
        <v>231</v>
      </c>
      <c r="BD1710" s="8" t="s">
        <v>231</v>
      </c>
      <c r="BE1710" s="4" t="s">
        <v>231</v>
      </c>
      <c r="BF1710" s="8" t="s">
        <v>231</v>
      </c>
      <c r="BG1710" s="7" t="s">
        <v>231</v>
      </c>
      <c r="BH1710" s="7" t="s">
        <v>231</v>
      </c>
      <c r="BI1710" s="7"/>
      <c r="BJ1710" s="4">
        <v>10</v>
      </c>
      <c r="BK1710" s="8">
        <v>1344.3</v>
      </c>
      <c r="BL1710" s="2" t="s">
        <v>5990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7828</v>
      </c>
      <c r="BV1710" s="2" t="s">
        <v>231</v>
      </c>
      <c r="BW1710" s="2" t="s">
        <v>231</v>
      </c>
      <c r="BX1710" s="2" t="s">
        <v>241</v>
      </c>
      <c r="BY1710" s="2" t="s">
        <v>277</v>
      </c>
      <c r="BZ1710" s="2" t="s">
        <v>243</v>
      </c>
      <c r="CA1710" s="2" t="s">
        <v>7827</v>
      </c>
      <c r="CB1710" s="2" t="s">
        <v>751</v>
      </c>
      <c r="CC1710" s="2" t="s">
        <v>244</v>
      </c>
      <c r="CD1710" s="2" t="s">
        <v>231</v>
      </c>
      <c r="CE1710" s="4"/>
      <c r="CF1710" s="4">
        <v>241</v>
      </c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</row>
    <row r="1711">
      <c r="A1711" s="2" t="s">
        <v>7829</v>
      </c>
      <c r="B1711" s="2" t="s">
        <v>1004</v>
      </c>
      <c r="C1711" s="2" t="s">
        <v>815</v>
      </c>
      <c r="D1711" s="2" t="s">
        <v>1005</v>
      </c>
      <c r="E1711" s="2" t="s">
        <v>1006</v>
      </c>
      <c r="F1711" s="2" t="s">
        <v>7817</v>
      </c>
      <c r="G1711" s="2" t="s">
        <v>7817</v>
      </c>
      <c r="H1711" s="2" t="s">
        <v>7817</v>
      </c>
      <c r="I1711" s="2" t="s">
        <v>1006</v>
      </c>
      <c r="J1711" s="2" t="s">
        <v>807</v>
      </c>
      <c r="K1711" s="2" t="s">
        <v>7830</v>
      </c>
      <c r="L1711" s="3">
        <v>310</v>
      </c>
      <c r="M1711" s="3">
        <v>325.5</v>
      </c>
      <c r="N1711" s="3">
        <v>649</v>
      </c>
      <c r="O1711" s="2" t="s">
        <v>235</v>
      </c>
      <c r="P1711" s="2" t="s">
        <v>341</v>
      </c>
      <c r="Q1711" s="2" t="s">
        <v>237</v>
      </c>
      <c r="R1711" s="2" t="s">
        <v>231</v>
      </c>
      <c r="S1711" s="2" t="s">
        <v>231</v>
      </c>
      <c r="T1711" s="2" t="s">
        <v>231</v>
      </c>
      <c r="U1711" s="2" t="s">
        <v>327</v>
      </c>
      <c r="V1711" s="2" t="s">
        <v>239</v>
      </c>
      <c r="W1711" s="2" t="s">
        <v>2500</v>
      </c>
      <c r="X1711" s="2" t="s">
        <v>691</v>
      </c>
      <c r="Y1711" s="2" t="s">
        <v>4013</v>
      </c>
      <c r="Z1711" s="4">
        <v>123</v>
      </c>
      <c r="AA1711" s="4">
        <f>=ROUNDDOWN(17.8260869565217,0)</f>
      </c>
      <c r="AB1711" s="5">
        <v>6.9</v>
      </c>
      <c r="AC1711" s="2" t="s">
        <v>231</v>
      </c>
      <c r="AD1711" s="4"/>
      <c r="AE1711" s="4"/>
      <c r="AF1711" s="6">
        <v>74</v>
      </c>
      <c r="AG1711" s="6"/>
      <c r="AH1711" s="7">
        <v>1</v>
      </c>
      <c r="AI1711" s="4"/>
      <c r="AJ1711" s="4">
        <f>=ROUNDDOWN({0},0)</f>
      </c>
      <c r="AK1711" s="5"/>
      <c r="AL1711" s="2" t="s">
        <v>231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 t="s">
        <v>231</v>
      </c>
      <c r="BD1711" s="8" t="s">
        <v>231</v>
      </c>
      <c r="BE1711" s="4" t="s">
        <v>231</v>
      </c>
      <c r="BF1711" s="8" t="s">
        <v>231</v>
      </c>
      <c r="BG1711" s="7" t="s">
        <v>231</v>
      </c>
      <c r="BH1711" s="7" t="s">
        <v>231</v>
      </c>
      <c r="BI1711" s="7"/>
      <c r="BJ1711" s="4">
        <v>28</v>
      </c>
      <c r="BK1711" s="8">
        <v>5282.66</v>
      </c>
      <c r="BL1711" s="2" t="s">
        <v>7831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7832</v>
      </c>
      <c r="BV1711" s="2" t="s">
        <v>231</v>
      </c>
      <c r="BW1711" s="2" t="s">
        <v>231</v>
      </c>
      <c r="BX1711" s="2" t="s">
        <v>231</v>
      </c>
      <c r="BY1711" s="2" t="s">
        <v>277</v>
      </c>
      <c r="BZ1711" s="2" t="s">
        <v>243</v>
      </c>
      <c r="CA1711" s="2" t="s">
        <v>4013</v>
      </c>
      <c r="CB1711" s="2" t="s">
        <v>2803</v>
      </c>
      <c r="CC1711" s="2" t="s">
        <v>244</v>
      </c>
      <c r="CD1711" s="2" t="s">
        <v>231</v>
      </c>
      <c r="CE1711" s="4"/>
      <c r="CF1711" s="4">
        <v>123</v>
      </c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</row>
    <row r="1712">
      <c r="A1712" s="2" t="s">
        <v>7833</v>
      </c>
      <c r="B1712" s="2" t="s">
        <v>1186</v>
      </c>
      <c r="C1712" s="2" t="s">
        <v>288</v>
      </c>
      <c r="D1712" s="2" t="s">
        <v>654</v>
      </c>
      <c r="E1712" s="2" t="s">
        <v>655</v>
      </c>
      <c r="F1712" s="2" t="s">
        <v>7834</v>
      </c>
      <c r="G1712" s="2" t="s">
        <v>7574</v>
      </c>
      <c r="H1712" s="2" t="s">
        <v>7835</v>
      </c>
      <c r="I1712" s="2" t="s">
        <v>7836</v>
      </c>
      <c r="J1712" s="2" t="s">
        <v>658</v>
      </c>
      <c r="K1712" s="2" t="s">
        <v>852</v>
      </c>
      <c r="L1712" s="3">
        <v>57.14</v>
      </c>
      <c r="M1712" s="3">
        <v>60</v>
      </c>
      <c r="N1712" s="3">
        <v>119.99</v>
      </c>
      <c r="O1712" s="2" t="s">
        <v>235</v>
      </c>
      <c r="P1712" s="2" t="s">
        <v>341</v>
      </c>
      <c r="Q1712" s="2" t="s">
        <v>237</v>
      </c>
      <c r="R1712" s="2" t="s">
        <v>231</v>
      </c>
      <c r="S1712" s="2" t="s">
        <v>7837</v>
      </c>
      <c r="T1712" s="2" t="s">
        <v>472</v>
      </c>
      <c r="U1712" s="2" t="s">
        <v>661</v>
      </c>
      <c r="V1712" s="2" t="s">
        <v>391</v>
      </c>
      <c r="W1712" s="2" t="s">
        <v>2541</v>
      </c>
      <c r="X1712" s="2" t="s">
        <v>273</v>
      </c>
      <c r="Y1712" s="2" t="s">
        <v>3857</v>
      </c>
      <c r="Z1712" s="4">
        <v>15</v>
      </c>
      <c r="AA1712" s="4">
        <f>=ROUNDDOWN(3.75,0)</f>
      </c>
      <c r="AB1712" s="5">
        <v>4</v>
      </c>
      <c r="AC1712" s="2" t="s">
        <v>231</v>
      </c>
      <c r="AD1712" s="4"/>
      <c r="AE1712" s="4"/>
      <c r="AF1712" s="6">
        <v>68</v>
      </c>
      <c r="AG1712" s="6"/>
      <c r="AH1712" s="7">
        <v>1</v>
      </c>
      <c r="AI1712" s="4"/>
      <c r="AJ1712" s="4">
        <f>=ROUNDDOWN({0},0)</f>
      </c>
      <c r="AK1712" s="5"/>
      <c r="AL1712" s="2" t="s">
        <v>231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231</v>
      </c>
      <c r="AW1712" s="8" t="s">
        <v>231</v>
      </c>
      <c r="AX1712" s="4" t="s">
        <v>231</v>
      </c>
      <c r="AY1712" s="8" t="s">
        <v>231</v>
      </c>
      <c r="AZ1712" s="7" t="s">
        <v>231</v>
      </c>
      <c r="BA1712" s="7" t="s">
        <v>231</v>
      </c>
      <c r="BB1712" s="7"/>
      <c r="BC1712" s="4" t="s">
        <v>231</v>
      </c>
      <c r="BD1712" s="8" t="s">
        <v>231</v>
      </c>
      <c r="BE1712" s="4" t="s">
        <v>231</v>
      </c>
      <c r="BF1712" s="8" t="s">
        <v>231</v>
      </c>
      <c r="BG1712" s="7" t="s">
        <v>231</v>
      </c>
      <c r="BH1712" s="7" t="s">
        <v>231</v>
      </c>
      <c r="BI1712" s="7"/>
      <c r="BJ1712" s="4">
        <v>20</v>
      </c>
      <c r="BK1712" s="8">
        <v>1024.8</v>
      </c>
      <c r="BL1712" s="2" t="s">
        <v>7838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7839</v>
      </c>
      <c r="BV1712" s="2" t="s">
        <v>231</v>
      </c>
      <c r="BW1712" s="2" t="s">
        <v>231</v>
      </c>
      <c r="BX1712" s="2" t="s">
        <v>231</v>
      </c>
      <c r="BY1712" s="2" t="s">
        <v>277</v>
      </c>
      <c r="BZ1712" s="2" t="s">
        <v>243</v>
      </c>
      <c r="CA1712" s="2" t="s">
        <v>7840</v>
      </c>
      <c r="CB1712" s="2" t="s">
        <v>1999</v>
      </c>
      <c r="CC1712" s="2" t="s">
        <v>244</v>
      </c>
      <c r="CD1712" s="2" t="s">
        <v>231</v>
      </c>
      <c r="CE1712" s="4">
        <v>15</v>
      </c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</row>
    <row r="1713">
      <c r="A1713" s="2" t="s">
        <v>7841</v>
      </c>
      <c r="B1713" s="2" t="s">
        <v>1186</v>
      </c>
      <c r="C1713" s="2" t="s">
        <v>288</v>
      </c>
      <c r="D1713" s="2" t="s">
        <v>654</v>
      </c>
      <c r="E1713" s="2" t="s">
        <v>655</v>
      </c>
      <c r="F1713" s="2" t="s">
        <v>7834</v>
      </c>
      <c r="G1713" s="2" t="s">
        <v>7574</v>
      </c>
      <c r="H1713" s="2" t="s">
        <v>7835</v>
      </c>
      <c r="I1713" s="2" t="s">
        <v>7836</v>
      </c>
      <c r="J1713" s="2" t="s">
        <v>669</v>
      </c>
      <c r="K1713" s="2" t="s">
        <v>852</v>
      </c>
      <c r="L1713" s="3">
        <v>66.66</v>
      </c>
      <c r="M1713" s="3">
        <v>69.99</v>
      </c>
      <c r="N1713" s="3">
        <v>139.99</v>
      </c>
      <c r="O1713" s="2" t="s">
        <v>235</v>
      </c>
      <c r="P1713" s="2" t="s">
        <v>341</v>
      </c>
      <c r="Q1713" s="2" t="s">
        <v>237</v>
      </c>
      <c r="R1713" s="2" t="s">
        <v>231</v>
      </c>
      <c r="S1713" s="2" t="s">
        <v>7837</v>
      </c>
      <c r="T1713" s="2" t="s">
        <v>472</v>
      </c>
      <c r="U1713" s="2" t="s">
        <v>661</v>
      </c>
      <c r="V1713" s="2" t="s">
        <v>391</v>
      </c>
      <c r="W1713" s="2" t="s">
        <v>2541</v>
      </c>
      <c r="X1713" s="2" t="s">
        <v>273</v>
      </c>
      <c r="Y1713" s="2" t="s">
        <v>3857</v>
      </c>
      <c r="Z1713" s="4">
        <v>150</v>
      </c>
      <c r="AA1713" s="4">
        <f>=ROUNDDOWN(51.7241379310345,0)</f>
      </c>
      <c r="AB1713" s="5">
        <v>2.9</v>
      </c>
      <c r="AC1713" s="2" t="s">
        <v>231</v>
      </c>
      <c r="AD1713" s="4"/>
      <c r="AE1713" s="4"/>
      <c r="AF1713" s="6">
        <v>68</v>
      </c>
      <c r="AG1713" s="6"/>
      <c r="AH1713" s="7">
        <v>1</v>
      </c>
      <c r="AI1713" s="4"/>
      <c r="AJ1713" s="4">
        <f>=ROUNDDOWN({0},0)</f>
      </c>
      <c r="AK1713" s="5"/>
      <c r="AL1713" s="2" t="s">
        <v>231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231</v>
      </c>
      <c r="AW1713" s="8" t="s">
        <v>231</v>
      </c>
      <c r="AX1713" s="4" t="s">
        <v>231</v>
      </c>
      <c r="AY1713" s="8" t="s">
        <v>231</v>
      </c>
      <c r="AZ1713" s="7" t="s">
        <v>231</v>
      </c>
      <c r="BA1713" s="7" t="s">
        <v>231</v>
      </c>
      <c r="BB1713" s="7"/>
      <c r="BC1713" s="4" t="s">
        <v>231</v>
      </c>
      <c r="BD1713" s="8" t="s">
        <v>231</v>
      </c>
      <c r="BE1713" s="4" t="s">
        <v>231</v>
      </c>
      <c r="BF1713" s="8" t="s">
        <v>231</v>
      </c>
      <c r="BG1713" s="7" t="s">
        <v>231</v>
      </c>
      <c r="BH1713" s="7" t="s">
        <v>231</v>
      </c>
      <c r="BI1713" s="7"/>
      <c r="BJ1713" s="4">
        <v>14</v>
      </c>
      <c r="BK1713" s="8">
        <v>867.16</v>
      </c>
      <c r="BL1713" s="2" t="s">
        <v>7842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7843</v>
      </c>
      <c r="BV1713" s="2" t="s">
        <v>231</v>
      </c>
      <c r="BW1713" s="2" t="s">
        <v>231</v>
      </c>
      <c r="BX1713" s="2" t="s">
        <v>231</v>
      </c>
      <c r="BY1713" s="2" t="s">
        <v>277</v>
      </c>
      <c r="BZ1713" s="2" t="s">
        <v>243</v>
      </c>
      <c r="CA1713" s="2" t="s">
        <v>7840</v>
      </c>
      <c r="CB1713" s="2" t="s">
        <v>1612</v>
      </c>
      <c r="CC1713" s="2" t="s">
        <v>244</v>
      </c>
      <c r="CD1713" s="2" t="s">
        <v>231</v>
      </c>
      <c r="CE1713" s="4">
        <v>150</v>
      </c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</row>
    <row r="1714">
      <c r="A1714" s="2" t="s">
        <v>7844</v>
      </c>
      <c r="B1714" s="2" t="s">
        <v>824</v>
      </c>
      <c r="C1714" s="2" t="s">
        <v>825</v>
      </c>
      <c r="D1714" s="2" t="s">
        <v>654</v>
      </c>
      <c r="E1714" s="2" t="s">
        <v>890</v>
      </c>
      <c r="F1714" s="2" t="s">
        <v>7386</v>
      </c>
      <c r="G1714" s="2" t="s">
        <v>3938</v>
      </c>
      <c r="H1714" s="2" t="s">
        <v>7845</v>
      </c>
      <c r="I1714" s="2" t="s">
        <v>7846</v>
      </c>
      <c r="J1714" s="2" t="s">
        <v>832</v>
      </c>
      <c r="K1714" s="2" t="s">
        <v>2312</v>
      </c>
      <c r="L1714" s="3">
        <v>28.57</v>
      </c>
      <c r="M1714" s="3">
        <v>30</v>
      </c>
      <c r="N1714" s="3">
        <v>59.99</v>
      </c>
      <c r="O1714" s="2" t="s">
        <v>243</v>
      </c>
      <c r="P1714" s="2" t="s">
        <v>236</v>
      </c>
      <c r="Q1714" s="2" t="s">
        <v>237</v>
      </c>
      <c r="R1714" s="2" t="s">
        <v>231</v>
      </c>
      <c r="S1714" s="2" t="s">
        <v>7847</v>
      </c>
      <c r="T1714" s="2" t="s">
        <v>1432</v>
      </c>
      <c r="U1714" s="2" t="s">
        <v>791</v>
      </c>
      <c r="V1714" s="2" t="s">
        <v>2195</v>
      </c>
      <c r="W1714" s="2" t="s">
        <v>691</v>
      </c>
      <c r="X1714" s="2" t="s">
        <v>273</v>
      </c>
      <c r="Y1714" s="2" t="s">
        <v>231</v>
      </c>
      <c r="Z1714" s="4"/>
      <c r="AA1714" s="4">
        <f>=ROUNDDOWN({0},0)</f>
      </c>
      <c r="AB1714" s="5"/>
      <c r="AC1714" s="2" t="s">
        <v>1315</v>
      </c>
      <c r="AD1714" s="4">
        <v>105</v>
      </c>
      <c r="AE1714" s="4">
        <v>210</v>
      </c>
      <c r="AF1714" s="6">
        <v>66</v>
      </c>
      <c r="AG1714" s="6"/>
      <c r="AH1714" s="7">
        <v>0</v>
      </c>
      <c r="AI1714" s="4"/>
      <c r="AJ1714" s="4">
        <f>=ROUNDDOWN({0},0)</f>
      </c>
      <c r="AK1714" s="5"/>
      <c r="AL1714" s="2" t="s">
        <v>231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231</v>
      </c>
      <c r="AW1714" s="8" t="s">
        <v>231</v>
      </c>
      <c r="AX1714" s="4" t="s">
        <v>231</v>
      </c>
      <c r="AY1714" s="8" t="s">
        <v>231</v>
      </c>
      <c r="AZ1714" s="7" t="s">
        <v>231</v>
      </c>
      <c r="BA1714" s="7" t="s">
        <v>231</v>
      </c>
      <c r="BB1714" s="7" t="s">
        <v>231</v>
      </c>
      <c r="BC1714" s="4" t="s">
        <v>231</v>
      </c>
      <c r="BD1714" s="8" t="s">
        <v>231</v>
      </c>
      <c r="BE1714" s="4" t="s">
        <v>231</v>
      </c>
      <c r="BF1714" s="8" t="s">
        <v>231</v>
      </c>
      <c r="BG1714" s="7" t="s">
        <v>231</v>
      </c>
      <c r="BH1714" s="7" t="s">
        <v>231</v>
      </c>
      <c r="BI1714" s="7"/>
      <c r="BJ1714" s="4"/>
      <c r="BK1714" s="8"/>
      <c r="BL1714" s="2" t="s">
        <v>231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241</v>
      </c>
      <c r="BV1714" s="2" t="s">
        <v>231</v>
      </c>
      <c r="BW1714" s="2" t="s">
        <v>231</v>
      </c>
      <c r="BX1714" s="2" t="s">
        <v>241</v>
      </c>
      <c r="BY1714" s="2" t="s">
        <v>242</v>
      </c>
      <c r="BZ1714" s="2" t="s">
        <v>243</v>
      </c>
      <c r="CA1714" s="2" t="s">
        <v>231</v>
      </c>
      <c r="CB1714" s="2" t="s">
        <v>231</v>
      </c>
      <c r="CC1714" s="2" t="s">
        <v>244</v>
      </c>
      <c r="CD1714" s="2" t="s">
        <v>231</v>
      </c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>
        <v>105</v>
      </c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>
        <v>105</v>
      </c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</row>
    <row r="1715">
      <c r="A1715" s="2" t="s">
        <v>7848</v>
      </c>
      <c r="B1715" s="2" t="s">
        <v>824</v>
      </c>
      <c r="C1715" s="2" t="s">
        <v>825</v>
      </c>
      <c r="D1715" s="2" t="s">
        <v>826</v>
      </c>
      <c r="E1715" s="2" t="s">
        <v>1060</v>
      </c>
      <c r="F1715" s="2" t="s">
        <v>7386</v>
      </c>
      <c r="G1715" s="2" t="s">
        <v>3938</v>
      </c>
      <c r="H1715" s="2" t="s">
        <v>7845</v>
      </c>
      <c r="I1715" s="2" t="s">
        <v>7849</v>
      </c>
      <c r="J1715" s="2" t="s">
        <v>832</v>
      </c>
      <c r="K1715" s="2" t="s">
        <v>2312</v>
      </c>
      <c r="L1715" s="3">
        <v>23.8</v>
      </c>
      <c r="M1715" s="3">
        <v>24.99</v>
      </c>
      <c r="N1715" s="3">
        <v>49.99</v>
      </c>
      <c r="O1715" s="2" t="s">
        <v>243</v>
      </c>
      <c r="P1715" s="2" t="s">
        <v>236</v>
      </c>
      <c r="Q1715" s="2" t="s">
        <v>237</v>
      </c>
      <c r="R1715" s="2" t="s">
        <v>231</v>
      </c>
      <c r="S1715" s="2" t="s">
        <v>7847</v>
      </c>
      <c r="T1715" s="2" t="s">
        <v>1432</v>
      </c>
      <c r="U1715" s="2" t="s">
        <v>791</v>
      </c>
      <c r="V1715" s="2" t="s">
        <v>2195</v>
      </c>
      <c r="W1715" s="2" t="s">
        <v>691</v>
      </c>
      <c r="X1715" s="2" t="s">
        <v>273</v>
      </c>
      <c r="Y1715" s="2" t="s">
        <v>231</v>
      </c>
      <c r="Z1715" s="4"/>
      <c r="AA1715" s="4">
        <f>=ROUNDDOWN({0},0)</f>
      </c>
      <c r="AB1715" s="5"/>
      <c r="AC1715" s="2" t="s">
        <v>1315</v>
      </c>
      <c r="AD1715" s="4">
        <v>45</v>
      </c>
      <c r="AE1715" s="4">
        <v>90</v>
      </c>
      <c r="AF1715" s="6">
        <v>66</v>
      </c>
      <c r="AG1715" s="6"/>
      <c r="AH1715" s="7">
        <v>0</v>
      </c>
      <c r="AI1715" s="4"/>
      <c r="AJ1715" s="4">
        <f>=ROUNDDOWN({0},0)</f>
      </c>
      <c r="AK1715" s="5"/>
      <c r="AL1715" s="2" t="s">
        <v>231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231</v>
      </c>
      <c r="AW1715" s="8" t="s">
        <v>231</v>
      </c>
      <c r="AX1715" s="4" t="s">
        <v>231</v>
      </c>
      <c r="AY1715" s="8" t="s">
        <v>231</v>
      </c>
      <c r="AZ1715" s="7" t="s">
        <v>231</v>
      </c>
      <c r="BA1715" s="7" t="s">
        <v>231</v>
      </c>
      <c r="BB1715" s="7" t="s">
        <v>231</v>
      </c>
      <c r="BC1715" s="4" t="s">
        <v>231</v>
      </c>
      <c r="BD1715" s="8" t="s">
        <v>231</v>
      </c>
      <c r="BE1715" s="4" t="s">
        <v>231</v>
      </c>
      <c r="BF1715" s="8" t="s">
        <v>231</v>
      </c>
      <c r="BG1715" s="7" t="s">
        <v>231</v>
      </c>
      <c r="BH1715" s="7" t="s">
        <v>231</v>
      </c>
      <c r="BI1715" s="7"/>
      <c r="BJ1715" s="4"/>
      <c r="BK1715" s="8"/>
      <c r="BL1715" s="2" t="s">
        <v>231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241</v>
      </c>
      <c r="BV1715" s="2" t="s">
        <v>231</v>
      </c>
      <c r="BW1715" s="2" t="s">
        <v>231</v>
      </c>
      <c r="BX1715" s="2" t="s">
        <v>241</v>
      </c>
      <c r="BY1715" s="2" t="s">
        <v>242</v>
      </c>
      <c r="BZ1715" s="2" t="s">
        <v>243</v>
      </c>
      <c r="CA1715" s="2" t="s">
        <v>231</v>
      </c>
      <c r="CB1715" s="2" t="s">
        <v>231</v>
      </c>
      <c r="CC1715" s="2" t="s">
        <v>244</v>
      </c>
      <c r="CD1715" s="2" t="s">
        <v>231</v>
      </c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>
        <v>45</v>
      </c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>
        <v>45</v>
      </c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</row>
    <row r="1716">
      <c r="A1716" s="2" t="s">
        <v>7850</v>
      </c>
      <c r="B1716" s="2" t="s">
        <v>824</v>
      </c>
      <c r="C1716" s="2" t="s">
        <v>825</v>
      </c>
      <c r="D1716" s="2" t="s">
        <v>654</v>
      </c>
      <c r="E1716" s="2" t="s">
        <v>890</v>
      </c>
      <c r="F1716" s="2" t="s">
        <v>7386</v>
      </c>
      <c r="G1716" s="2" t="s">
        <v>3938</v>
      </c>
      <c r="H1716" s="2" t="s">
        <v>7845</v>
      </c>
      <c r="I1716" s="2" t="s">
        <v>7846</v>
      </c>
      <c r="J1716" s="2" t="s">
        <v>658</v>
      </c>
      <c r="K1716" s="2" t="s">
        <v>2312</v>
      </c>
      <c r="L1716" s="3">
        <v>33.33</v>
      </c>
      <c r="M1716" s="3">
        <v>35</v>
      </c>
      <c r="N1716" s="3">
        <v>69.99</v>
      </c>
      <c r="O1716" s="2" t="s">
        <v>243</v>
      </c>
      <c r="P1716" s="2" t="s">
        <v>236</v>
      </c>
      <c r="Q1716" s="2" t="s">
        <v>237</v>
      </c>
      <c r="R1716" s="2" t="s">
        <v>231</v>
      </c>
      <c r="S1716" s="2" t="s">
        <v>7847</v>
      </c>
      <c r="T1716" s="2" t="s">
        <v>1432</v>
      </c>
      <c r="U1716" s="2" t="s">
        <v>835</v>
      </c>
      <c r="V1716" s="2" t="s">
        <v>2195</v>
      </c>
      <c r="W1716" s="2" t="s">
        <v>691</v>
      </c>
      <c r="X1716" s="2" t="s">
        <v>273</v>
      </c>
      <c r="Y1716" s="2" t="s">
        <v>5150</v>
      </c>
      <c r="Z1716" s="4">
        <v>3</v>
      </c>
      <c r="AA1716" s="4">
        <f>=ROUNDDOWN({0},0)</f>
      </c>
      <c r="AB1716" s="5"/>
      <c r="AC1716" s="2" t="s">
        <v>1315</v>
      </c>
      <c r="AD1716" s="4">
        <v>115</v>
      </c>
      <c r="AE1716" s="4">
        <v>230</v>
      </c>
      <c r="AF1716" s="6">
        <v>66</v>
      </c>
      <c r="AG1716" s="6"/>
      <c r="AH1716" s="7">
        <v>0</v>
      </c>
      <c r="AI1716" s="4"/>
      <c r="AJ1716" s="4">
        <f>=ROUNDDOWN({0},0)</f>
      </c>
      <c r="AK1716" s="5"/>
      <c r="AL1716" s="2" t="s">
        <v>231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231</v>
      </c>
      <c r="AW1716" s="8" t="s">
        <v>231</v>
      </c>
      <c r="AX1716" s="4" t="s">
        <v>231</v>
      </c>
      <c r="AY1716" s="8" t="s">
        <v>231</v>
      </c>
      <c r="AZ1716" s="7" t="s">
        <v>231</v>
      </c>
      <c r="BA1716" s="7" t="s">
        <v>231</v>
      </c>
      <c r="BB1716" s="7" t="s">
        <v>231</v>
      </c>
      <c r="BC1716" s="4" t="s">
        <v>231</v>
      </c>
      <c r="BD1716" s="8" t="s">
        <v>231</v>
      </c>
      <c r="BE1716" s="4" t="s">
        <v>231</v>
      </c>
      <c r="BF1716" s="8" t="s">
        <v>231</v>
      </c>
      <c r="BG1716" s="7" t="s">
        <v>231</v>
      </c>
      <c r="BH1716" s="7" t="s">
        <v>231</v>
      </c>
      <c r="BI1716" s="7"/>
      <c r="BJ1716" s="4"/>
      <c r="BK1716" s="8"/>
      <c r="BL1716" s="2" t="s">
        <v>231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241</v>
      </c>
      <c r="BV1716" s="2" t="s">
        <v>231</v>
      </c>
      <c r="BW1716" s="2" t="s">
        <v>231</v>
      </c>
      <c r="BX1716" s="2" t="s">
        <v>241</v>
      </c>
      <c r="BY1716" s="2" t="s">
        <v>242</v>
      </c>
      <c r="BZ1716" s="2" t="s">
        <v>243</v>
      </c>
      <c r="CA1716" s="2" t="s">
        <v>231</v>
      </c>
      <c r="CB1716" s="2" t="s">
        <v>231</v>
      </c>
      <c r="CC1716" s="2" t="s">
        <v>244</v>
      </c>
      <c r="CD1716" s="2" t="s">
        <v>231</v>
      </c>
      <c r="CE1716" s="4"/>
      <c r="CF1716" s="4"/>
      <c r="CG1716" s="4"/>
      <c r="CH1716" s="4"/>
      <c r="CI1716" s="4">
        <v>3</v>
      </c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>
        <v>115</v>
      </c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>
        <v>115</v>
      </c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</row>
    <row r="1717">
      <c r="A1717" s="2" t="s">
        <v>7851</v>
      </c>
      <c r="B1717" s="2" t="s">
        <v>824</v>
      </c>
      <c r="C1717" s="2" t="s">
        <v>825</v>
      </c>
      <c r="D1717" s="2" t="s">
        <v>826</v>
      </c>
      <c r="E1717" s="2" t="s">
        <v>1060</v>
      </c>
      <c r="F1717" s="2" t="s">
        <v>7386</v>
      </c>
      <c r="G1717" s="2" t="s">
        <v>3938</v>
      </c>
      <c r="H1717" s="2" t="s">
        <v>7845</v>
      </c>
      <c r="I1717" s="2" t="s">
        <v>7849</v>
      </c>
      <c r="J1717" s="2" t="s">
        <v>658</v>
      </c>
      <c r="K1717" s="2" t="s">
        <v>2312</v>
      </c>
      <c r="L1717" s="3">
        <v>28.57</v>
      </c>
      <c r="M1717" s="3">
        <v>30</v>
      </c>
      <c r="N1717" s="3">
        <v>59.99</v>
      </c>
      <c r="O1717" s="2" t="s">
        <v>243</v>
      </c>
      <c r="P1717" s="2" t="s">
        <v>236</v>
      </c>
      <c r="Q1717" s="2" t="s">
        <v>237</v>
      </c>
      <c r="R1717" s="2" t="s">
        <v>231</v>
      </c>
      <c r="S1717" s="2" t="s">
        <v>7847</v>
      </c>
      <c r="T1717" s="2" t="s">
        <v>1432</v>
      </c>
      <c r="U1717" s="2" t="s">
        <v>835</v>
      </c>
      <c r="V1717" s="2" t="s">
        <v>2195</v>
      </c>
      <c r="W1717" s="2" t="s">
        <v>691</v>
      </c>
      <c r="X1717" s="2" t="s">
        <v>273</v>
      </c>
      <c r="Y1717" s="2" t="s">
        <v>5150</v>
      </c>
      <c r="Z1717" s="4">
        <v>3</v>
      </c>
      <c r="AA1717" s="4">
        <f>=ROUNDDOWN({0},0)</f>
      </c>
      <c r="AB1717" s="5"/>
      <c r="AC1717" s="2" t="s">
        <v>1315</v>
      </c>
      <c r="AD1717" s="4">
        <v>55</v>
      </c>
      <c r="AE1717" s="4">
        <v>110</v>
      </c>
      <c r="AF1717" s="6">
        <v>66</v>
      </c>
      <c r="AG1717" s="6"/>
      <c r="AH1717" s="7">
        <v>0</v>
      </c>
      <c r="AI1717" s="4"/>
      <c r="AJ1717" s="4">
        <f>=ROUNDDOWN({0},0)</f>
      </c>
      <c r="AK1717" s="5"/>
      <c r="AL1717" s="2" t="s">
        <v>231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231</v>
      </c>
      <c r="AW1717" s="8" t="s">
        <v>231</v>
      </c>
      <c r="AX1717" s="4" t="s">
        <v>231</v>
      </c>
      <c r="AY1717" s="8" t="s">
        <v>231</v>
      </c>
      <c r="AZ1717" s="7" t="s">
        <v>231</v>
      </c>
      <c r="BA1717" s="7" t="s">
        <v>231</v>
      </c>
      <c r="BB1717" s="7" t="s">
        <v>231</v>
      </c>
      <c r="BC1717" s="4" t="s">
        <v>231</v>
      </c>
      <c r="BD1717" s="8" t="s">
        <v>231</v>
      </c>
      <c r="BE1717" s="4" t="s">
        <v>231</v>
      </c>
      <c r="BF1717" s="8" t="s">
        <v>231</v>
      </c>
      <c r="BG1717" s="7" t="s">
        <v>231</v>
      </c>
      <c r="BH1717" s="7" t="s">
        <v>231</v>
      </c>
      <c r="BI1717" s="7"/>
      <c r="BJ1717" s="4"/>
      <c r="BK1717" s="8"/>
      <c r="BL1717" s="2" t="s">
        <v>231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241</v>
      </c>
      <c r="BV1717" s="2" t="s">
        <v>231</v>
      </c>
      <c r="BW1717" s="2" t="s">
        <v>231</v>
      </c>
      <c r="BX1717" s="2" t="s">
        <v>241</v>
      </c>
      <c r="BY1717" s="2" t="s">
        <v>242</v>
      </c>
      <c r="BZ1717" s="2" t="s">
        <v>243</v>
      </c>
      <c r="CA1717" s="2" t="s">
        <v>231</v>
      </c>
      <c r="CB1717" s="2" t="s">
        <v>231</v>
      </c>
      <c r="CC1717" s="2" t="s">
        <v>244</v>
      </c>
      <c r="CD1717" s="2" t="s">
        <v>231</v>
      </c>
      <c r="CE1717" s="4"/>
      <c r="CF1717" s="4"/>
      <c r="CG1717" s="4"/>
      <c r="CH1717" s="4"/>
      <c r="CI1717" s="4">
        <v>3</v>
      </c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>
        <v>55</v>
      </c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>
        <v>55</v>
      </c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</row>
    <row r="1718">
      <c r="A1718" s="2" t="s">
        <v>7852</v>
      </c>
      <c r="B1718" s="2" t="s">
        <v>824</v>
      </c>
      <c r="C1718" s="2" t="s">
        <v>825</v>
      </c>
      <c r="D1718" s="2" t="s">
        <v>654</v>
      </c>
      <c r="E1718" s="2" t="s">
        <v>890</v>
      </c>
      <c r="F1718" s="2" t="s">
        <v>7386</v>
      </c>
      <c r="G1718" s="2" t="s">
        <v>3938</v>
      </c>
      <c r="H1718" s="2" t="s">
        <v>7845</v>
      </c>
      <c r="I1718" s="2" t="s">
        <v>7846</v>
      </c>
      <c r="J1718" s="2" t="s">
        <v>669</v>
      </c>
      <c r="K1718" s="2" t="s">
        <v>2312</v>
      </c>
      <c r="L1718" s="3">
        <v>38.09</v>
      </c>
      <c r="M1718" s="3">
        <v>39.99</v>
      </c>
      <c r="N1718" s="3">
        <v>79.99</v>
      </c>
      <c r="O1718" s="2" t="s">
        <v>243</v>
      </c>
      <c r="P1718" s="2" t="s">
        <v>236</v>
      </c>
      <c r="Q1718" s="2" t="s">
        <v>237</v>
      </c>
      <c r="R1718" s="2" t="s">
        <v>231</v>
      </c>
      <c r="S1718" s="2" t="s">
        <v>7847</v>
      </c>
      <c r="T1718" s="2" t="s">
        <v>1432</v>
      </c>
      <c r="U1718" s="2" t="s">
        <v>835</v>
      </c>
      <c r="V1718" s="2" t="s">
        <v>2195</v>
      </c>
      <c r="W1718" s="2" t="s">
        <v>691</v>
      </c>
      <c r="X1718" s="2" t="s">
        <v>273</v>
      </c>
      <c r="Y1718" s="2" t="s">
        <v>231</v>
      </c>
      <c r="Z1718" s="4"/>
      <c r="AA1718" s="4">
        <f>=ROUNDDOWN({0},0)</f>
      </c>
      <c r="AB1718" s="5"/>
      <c r="AC1718" s="2" t="s">
        <v>1315</v>
      </c>
      <c r="AD1718" s="4">
        <v>90</v>
      </c>
      <c r="AE1718" s="4">
        <v>180</v>
      </c>
      <c r="AF1718" s="6">
        <v>66</v>
      </c>
      <c r="AG1718" s="6"/>
      <c r="AH1718" s="7">
        <v>0</v>
      </c>
      <c r="AI1718" s="4"/>
      <c r="AJ1718" s="4">
        <f>=ROUNDDOWN({0},0)</f>
      </c>
      <c r="AK1718" s="5"/>
      <c r="AL1718" s="2" t="s">
        <v>231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231</v>
      </c>
      <c r="AW1718" s="8" t="s">
        <v>231</v>
      </c>
      <c r="AX1718" s="4" t="s">
        <v>231</v>
      </c>
      <c r="AY1718" s="8" t="s">
        <v>231</v>
      </c>
      <c r="AZ1718" s="7" t="s">
        <v>231</v>
      </c>
      <c r="BA1718" s="7" t="s">
        <v>231</v>
      </c>
      <c r="BB1718" s="7" t="s">
        <v>231</v>
      </c>
      <c r="BC1718" s="4" t="s">
        <v>231</v>
      </c>
      <c r="BD1718" s="8" t="s">
        <v>231</v>
      </c>
      <c r="BE1718" s="4" t="s">
        <v>231</v>
      </c>
      <c r="BF1718" s="8" t="s">
        <v>231</v>
      </c>
      <c r="BG1718" s="7" t="s">
        <v>231</v>
      </c>
      <c r="BH1718" s="7" t="s">
        <v>231</v>
      </c>
      <c r="BI1718" s="7"/>
      <c r="BJ1718" s="4"/>
      <c r="BK1718" s="8"/>
      <c r="BL1718" s="2" t="s">
        <v>231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241</v>
      </c>
      <c r="BV1718" s="2" t="s">
        <v>231</v>
      </c>
      <c r="BW1718" s="2" t="s">
        <v>231</v>
      </c>
      <c r="BX1718" s="2" t="s">
        <v>241</v>
      </c>
      <c r="BY1718" s="2" t="s">
        <v>242</v>
      </c>
      <c r="BZ1718" s="2" t="s">
        <v>243</v>
      </c>
      <c r="CA1718" s="2" t="s">
        <v>231</v>
      </c>
      <c r="CB1718" s="2" t="s">
        <v>231</v>
      </c>
      <c r="CC1718" s="2" t="s">
        <v>244</v>
      </c>
      <c r="CD1718" s="2" t="s">
        <v>231</v>
      </c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>
        <v>90</v>
      </c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>
        <v>90</v>
      </c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</row>
    <row r="1719">
      <c r="A1719" s="2" t="s">
        <v>7853</v>
      </c>
      <c r="B1719" s="2" t="s">
        <v>824</v>
      </c>
      <c r="C1719" s="2" t="s">
        <v>825</v>
      </c>
      <c r="D1719" s="2" t="s">
        <v>826</v>
      </c>
      <c r="E1719" s="2" t="s">
        <v>1060</v>
      </c>
      <c r="F1719" s="2" t="s">
        <v>7386</v>
      </c>
      <c r="G1719" s="2" t="s">
        <v>3938</v>
      </c>
      <c r="H1719" s="2" t="s">
        <v>7845</v>
      </c>
      <c r="I1719" s="2" t="s">
        <v>7849</v>
      </c>
      <c r="J1719" s="2" t="s">
        <v>669</v>
      </c>
      <c r="K1719" s="2" t="s">
        <v>2312</v>
      </c>
      <c r="L1719" s="3">
        <v>33.33</v>
      </c>
      <c r="M1719" s="3">
        <v>35</v>
      </c>
      <c r="N1719" s="3">
        <v>69.99</v>
      </c>
      <c r="O1719" s="2" t="s">
        <v>243</v>
      </c>
      <c r="P1719" s="2" t="s">
        <v>236</v>
      </c>
      <c r="Q1719" s="2" t="s">
        <v>237</v>
      </c>
      <c r="R1719" s="2" t="s">
        <v>231</v>
      </c>
      <c r="S1719" s="2" t="s">
        <v>7847</v>
      </c>
      <c r="T1719" s="2" t="s">
        <v>1432</v>
      </c>
      <c r="U1719" s="2" t="s">
        <v>835</v>
      </c>
      <c r="V1719" s="2" t="s">
        <v>2195</v>
      </c>
      <c r="W1719" s="2" t="s">
        <v>691</v>
      </c>
      <c r="X1719" s="2" t="s">
        <v>273</v>
      </c>
      <c r="Y1719" s="2" t="s">
        <v>231</v>
      </c>
      <c r="Z1719" s="4"/>
      <c r="AA1719" s="4">
        <f>=ROUNDDOWN({0},0)</f>
      </c>
      <c r="AB1719" s="5"/>
      <c r="AC1719" s="2" t="s">
        <v>1315</v>
      </c>
      <c r="AD1719" s="4">
        <v>40</v>
      </c>
      <c r="AE1719" s="4">
        <v>80</v>
      </c>
      <c r="AF1719" s="6">
        <v>66</v>
      </c>
      <c r="AG1719" s="6"/>
      <c r="AH1719" s="7">
        <v>0</v>
      </c>
      <c r="AI1719" s="4"/>
      <c r="AJ1719" s="4">
        <f>=ROUNDDOWN({0},0)</f>
      </c>
      <c r="AK1719" s="5"/>
      <c r="AL1719" s="2" t="s">
        <v>231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231</v>
      </c>
      <c r="AW1719" s="8" t="s">
        <v>231</v>
      </c>
      <c r="AX1719" s="4" t="s">
        <v>231</v>
      </c>
      <c r="AY1719" s="8" t="s">
        <v>231</v>
      </c>
      <c r="AZ1719" s="7" t="s">
        <v>231</v>
      </c>
      <c r="BA1719" s="7" t="s">
        <v>231</v>
      </c>
      <c r="BB1719" s="7" t="s">
        <v>231</v>
      </c>
      <c r="BC1719" s="4" t="s">
        <v>231</v>
      </c>
      <c r="BD1719" s="8" t="s">
        <v>231</v>
      </c>
      <c r="BE1719" s="4" t="s">
        <v>231</v>
      </c>
      <c r="BF1719" s="8" t="s">
        <v>231</v>
      </c>
      <c r="BG1719" s="7" t="s">
        <v>231</v>
      </c>
      <c r="BH1719" s="7" t="s">
        <v>231</v>
      </c>
      <c r="BI1719" s="7"/>
      <c r="BJ1719" s="4"/>
      <c r="BK1719" s="8"/>
      <c r="BL1719" s="2" t="s">
        <v>231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241</v>
      </c>
      <c r="BV1719" s="2" t="s">
        <v>231</v>
      </c>
      <c r="BW1719" s="2" t="s">
        <v>231</v>
      </c>
      <c r="BX1719" s="2" t="s">
        <v>241</v>
      </c>
      <c r="BY1719" s="2" t="s">
        <v>242</v>
      </c>
      <c r="BZ1719" s="2" t="s">
        <v>243</v>
      </c>
      <c r="CA1719" s="2" t="s">
        <v>231</v>
      </c>
      <c r="CB1719" s="2" t="s">
        <v>231</v>
      </c>
      <c r="CC1719" s="2" t="s">
        <v>244</v>
      </c>
      <c r="CD1719" s="2" t="s">
        <v>231</v>
      </c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>
        <v>40</v>
      </c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>
        <v>40</v>
      </c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</row>
    <row r="1720">
      <c r="A1720" s="2" t="s">
        <v>7854</v>
      </c>
      <c r="B1720" s="2" t="s">
        <v>226</v>
      </c>
      <c r="C1720" s="2" t="s">
        <v>357</v>
      </c>
      <c r="D1720" s="2" t="s">
        <v>654</v>
      </c>
      <c r="E1720" s="2" t="s">
        <v>890</v>
      </c>
      <c r="F1720" s="2" t="s">
        <v>7855</v>
      </c>
      <c r="G1720" s="2" t="s">
        <v>7856</v>
      </c>
      <c r="H1720" s="2" t="s">
        <v>7856</v>
      </c>
      <c r="I1720" s="2" t="s">
        <v>7857</v>
      </c>
      <c r="J1720" s="2" t="s">
        <v>832</v>
      </c>
      <c r="K1720" s="2" t="s">
        <v>7858</v>
      </c>
      <c r="L1720" s="3">
        <v>19.46</v>
      </c>
      <c r="M1720" s="3">
        <v>20.43</v>
      </c>
      <c r="N1720" s="3">
        <v>39.99</v>
      </c>
      <c r="O1720" s="2" t="s">
        <v>243</v>
      </c>
      <c r="P1720" s="2" t="s">
        <v>1281</v>
      </c>
      <c r="Q1720" s="2" t="s">
        <v>237</v>
      </c>
      <c r="R1720" s="2" t="s">
        <v>231</v>
      </c>
      <c r="S1720" s="2" t="s">
        <v>7859</v>
      </c>
      <c r="T1720" s="2" t="s">
        <v>472</v>
      </c>
      <c r="U1720" s="2" t="s">
        <v>231</v>
      </c>
      <c r="V1720" s="2" t="s">
        <v>239</v>
      </c>
      <c r="W1720" s="2" t="s">
        <v>273</v>
      </c>
      <c r="X1720" s="2" t="s">
        <v>231</v>
      </c>
      <c r="Y1720" s="2" t="s">
        <v>274</v>
      </c>
      <c r="Z1720" s="4">
        <v>619</v>
      </c>
      <c r="AA1720" s="4">
        <f>=ROUNDDOWN(41.2666666666667,0)</f>
      </c>
      <c r="AB1720" s="5">
        <v>15</v>
      </c>
      <c r="AC1720" s="2" t="s">
        <v>231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231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 t="s">
        <v>231</v>
      </c>
      <c r="BD1720" s="8" t="s">
        <v>231</v>
      </c>
      <c r="BE1720" s="4" t="s">
        <v>231</v>
      </c>
      <c r="BF1720" s="8" t="s">
        <v>231</v>
      </c>
      <c r="BG1720" s="7" t="s">
        <v>231</v>
      </c>
      <c r="BH1720" s="7" t="s">
        <v>231</v>
      </c>
      <c r="BI1720" s="7"/>
      <c r="BJ1720" s="4">
        <v>30</v>
      </c>
      <c r="BK1720" s="8">
        <v>594.77</v>
      </c>
      <c r="BL1720" s="2" t="s">
        <v>7860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7861</v>
      </c>
      <c r="BV1720" s="2" t="s">
        <v>231</v>
      </c>
      <c r="BW1720" s="2" t="s">
        <v>231</v>
      </c>
      <c r="BX1720" s="2" t="s">
        <v>231</v>
      </c>
      <c r="BY1720" s="2" t="s">
        <v>277</v>
      </c>
      <c r="BZ1720" s="2" t="s">
        <v>243</v>
      </c>
      <c r="CA1720" s="2" t="s">
        <v>284</v>
      </c>
      <c r="CB1720" s="2" t="s">
        <v>7862</v>
      </c>
      <c r="CC1720" s="2" t="s">
        <v>244</v>
      </c>
      <c r="CD1720" s="2" t="s">
        <v>231</v>
      </c>
      <c r="CE1720" s="4">
        <v>619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</row>
    <row r="1721">
      <c r="A1721" s="2" t="s">
        <v>7863</v>
      </c>
      <c r="B1721" s="2" t="s">
        <v>226</v>
      </c>
      <c r="C1721" s="2" t="s">
        <v>357</v>
      </c>
      <c r="D1721" s="2" t="s">
        <v>654</v>
      </c>
      <c r="E1721" s="2" t="s">
        <v>890</v>
      </c>
      <c r="F1721" s="2" t="s">
        <v>7855</v>
      </c>
      <c r="G1721" s="2" t="s">
        <v>7856</v>
      </c>
      <c r="H1721" s="2" t="s">
        <v>7856</v>
      </c>
      <c r="I1721" s="2" t="s">
        <v>7857</v>
      </c>
      <c r="J1721" s="2" t="s">
        <v>832</v>
      </c>
      <c r="K1721" s="2" t="s">
        <v>6220</v>
      </c>
      <c r="L1721" s="3">
        <v>19.46</v>
      </c>
      <c r="M1721" s="3">
        <v>20.43</v>
      </c>
      <c r="N1721" s="3">
        <v>39.99</v>
      </c>
      <c r="O1721" s="2" t="s">
        <v>243</v>
      </c>
      <c r="P1721" s="2" t="s">
        <v>270</v>
      </c>
      <c r="Q1721" s="2" t="s">
        <v>237</v>
      </c>
      <c r="R1721" s="2" t="s">
        <v>231</v>
      </c>
      <c r="S1721" s="2" t="s">
        <v>7864</v>
      </c>
      <c r="T1721" s="2" t="s">
        <v>472</v>
      </c>
      <c r="U1721" s="2" t="s">
        <v>231</v>
      </c>
      <c r="V1721" s="2" t="s">
        <v>239</v>
      </c>
      <c r="W1721" s="2" t="s">
        <v>273</v>
      </c>
      <c r="X1721" s="2" t="s">
        <v>231</v>
      </c>
      <c r="Y1721" s="2" t="s">
        <v>274</v>
      </c>
      <c r="Z1721" s="4">
        <v>592</v>
      </c>
      <c r="AA1721" s="4">
        <f>=ROUNDDOWN(49.3333333333333,0)</f>
      </c>
      <c r="AB1721" s="5">
        <v>12</v>
      </c>
      <c r="AC1721" s="2" t="s">
        <v>1651</v>
      </c>
      <c r="AD1721" s="4">
        <v>80</v>
      </c>
      <c r="AE1721" s="4">
        <v>80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231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231</v>
      </c>
      <c r="AW1721" s="8" t="s">
        <v>231</v>
      </c>
      <c r="AX1721" s="4" t="s">
        <v>231</v>
      </c>
      <c r="AY1721" s="8" t="s">
        <v>231</v>
      </c>
      <c r="AZ1721" s="7" t="s">
        <v>231</v>
      </c>
      <c r="BA1721" s="7" t="s">
        <v>231</v>
      </c>
      <c r="BB1721" s="7"/>
      <c r="BC1721" s="4" t="s">
        <v>231</v>
      </c>
      <c r="BD1721" s="8" t="s">
        <v>231</v>
      </c>
      <c r="BE1721" s="4" t="s">
        <v>231</v>
      </c>
      <c r="BF1721" s="8" t="s">
        <v>231</v>
      </c>
      <c r="BG1721" s="7" t="s">
        <v>231</v>
      </c>
      <c r="BH1721" s="7" t="s">
        <v>231</v>
      </c>
      <c r="BI1721" s="7"/>
      <c r="BJ1721" s="4">
        <v>27</v>
      </c>
      <c r="BK1721" s="8">
        <v>522.13</v>
      </c>
      <c r="BL1721" s="2" t="s">
        <v>7860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7865</v>
      </c>
      <c r="BV1721" s="2" t="s">
        <v>231</v>
      </c>
      <c r="BW1721" s="2" t="s">
        <v>231</v>
      </c>
      <c r="BX1721" s="2" t="s">
        <v>231</v>
      </c>
      <c r="BY1721" s="2" t="s">
        <v>277</v>
      </c>
      <c r="BZ1721" s="2" t="s">
        <v>243</v>
      </c>
      <c r="CA1721" s="2" t="s">
        <v>284</v>
      </c>
      <c r="CB1721" s="2" t="s">
        <v>617</v>
      </c>
      <c r="CC1721" s="2" t="s">
        <v>244</v>
      </c>
      <c r="CD1721" s="2" t="s">
        <v>231</v>
      </c>
      <c r="CE1721" s="4">
        <v>572</v>
      </c>
      <c r="CF1721" s="4"/>
      <c r="CG1721" s="4"/>
      <c r="CH1721" s="4"/>
      <c r="CI1721" s="4">
        <v>20</v>
      </c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>
        <v>80</v>
      </c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</row>
    <row r="1722">
      <c r="A1722" s="2" t="s">
        <v>7866</v>
      </c>
      <c r="B1722" s="2" t="s">
        <v>226</v>
      </c>
      <c r="C1722" s="2" t="s">
        <v>357</v>
      </c>
      <c r="D1722" s="2" t="s">
        <v>654</v>
      </c>
      <c r="E1722" s="2" t="s">
        <v>890</v>
      </c>
      <c r="F1722" s="2" t="s">
        <v>7855</v>
      </c>
      <c r="G1722" s="2" t="s">
        <v>7856</v>
      </c>
      <c r="H1722" s="2" t="s">
        <v>7856</v>
      </c>
      <c r="I1722" s="2" t="s">
        <v>7857</v>
      </c>
      <c r="J1722" s="2" t="s">
        <v>658</v>
      </c>
      <c r="K1722" s="2" t="s">
        <v>6220</v>
      </c>
      <c r="L1722" s="3">
        <v>25.7</v>
      </c>
      <c r="M1722" s="3">
        <v>26.98</v>
      </c>
      <c r="N1722" s="3">
        <v>51.99</v>
      </c>
      <c r="O1722" s="2" t="s">
        <v>243</v>
      </c>
      <c r="P1722" s="2" t="s">
        <v>270</v>
      </c>
      <c r="Q1722" s="2" t="s">
        <v>237</v>
      </c>
      <c r="R1722" s="2" t="s">
        <v>231</v>
      </c>
      <c r="S1722" s="2" t="s">
        <v>7864</v>
      </c>
      <c r="T1722" s="2" t="s">
        <v>472</v>
      </c>
      <c r="U1722" s="2" t="s">
        <v>231</v>
      </c>
      <c r="V1722" s="2" t="s">
        <v>239</v>
      </c>
      <c r="W1722" s="2" t="s">
        <v>273</v>
      </c>
      <c r="X1722" s="2" t="s">
        <v>231</v>
      </c>
      <c r="Y1722" s="2" t="s">
        <v>274</v>
      </c>
      <c r="Z1722" s="4">
        <v>578</v>
      </c>
      <c r="AA1722" s="4">
        <f>=ROUNDDOWN(24.0833333333333,0)</f>
      </c>
      <c r="AB1722" s="5">
        <v>24</v>
      </c>
      <c r="AC1722" s="2" t="s">
        <v>582</v>
      </c>
      <c r="AD1722" s="4">
        <v>200</v>
      </c>
      <c r="AE1722" s="4">
        <v>420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231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231</v>
      </c>
      <c r="AW1722" s="8" t="s">
        <v>231</v>
      </c>
      <c r="AX1722" s="4" t="s">
        <v>231</v>
      </c>
      <c r="AY1722" s="8" t="s">
        <v>231</v>
      </c>
      <c r="AZ1722" s="7" t="s">
        <v>231</v>
      </c>
      <c r="BA1722" s="7" t="s">
        <v>231</v>
      </c>
      <c r="BB1722" s="7"/>
      <c r="BC1722" s="4" t="s">
        <v>231</v>
      </c>
      <c r="BD1722" s="8" t="s">
        <v>231</v>
      </c>
      <c r="BE1722" s="4" t="s">
        <v>231</v>
      </c>
      <c r="BF1722" s="8" t="s">
        <v>231</v>
      </c>
      <c r="BG1722" s="7" t="s">
        <v>231</v>
      </c>
      <c r="BH1722" s="7" t="s">
        <v>231</v>
      </c>
      <c r="BI1722" s="7"/>
      <c r="BJ1722" s="4">
        <v>76</v>
      </c>
      <c r="BK1722" s="8">
        <v>2025.17</v>
      </c>
      <c r="BL1722" s="2" t="s">
        <v>7867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7868</v>
      </c>
      <c r="BV1722" s="2" t="s">
        <v>231</v>
      </c>
      <c r="BW1722" s="2" t="s">
        <v>231</v>
      </c>
      <c r="BX1722" s="2" t="s">
        <v>231</v>
      </c>
      <c r="BY1722" s="2" t="s">
        <v>277</v>
      </c>
      <c r="BZ1722" s="2" t="s">
        <v>243</v>
      </c>
      <c r="CA1722" s="2" t="s">
        <v>284</v>
      </c>
      <c r="CB1722" s="2" t="s">
        <v>1516</v>
      </c>
      <c r="CC1722" s="2" t="s">
        <v>244</v>
      </c>
      <c r="CD1722" s="2" t="s">
        <v>231</v>
      </c>
      <c r="CE1722" s="4">
        <v>487</v>
      </c>
      <c r="CF1722" s="4"/>
      <c r="CG1722" s="4"/>
      <c r="CH1722" s="4"/>
      <c r="CI1722" s="4">
        <v>91</v>
      </c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>
        <v>200</v>
      </c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>
        <v>220</v>
      </c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</row>
    <row r="1723">
      <c r="A1723" s="2" t="s">
        <v>7869</v>
      </c>
      <c r="B1723" s="2" t="s">
        <v>226</v>
      </c>
      <c r="C1723" s="2" t="s">
        <v>357</v>
      </c>
      <c r="D1723" s="2" t="s">
        <v>654</v>
      </c>
      <c r="E1723" s="2" t="s">
        <v>890</v>
      </c>
      <c r="F1723" s="2" t="s">
        <v>7855</v>
      </c>
      <c r="G1723" s="2" t="s">
        <v>7856</v>
      </c>
      <c r="H1723" s="2" t="s">
        <v>7856</v>
      </c>
      <c r="I1723" s="2" t="s">
        <v>7857</v>
      </c>
      <c r="J1723" s="2" t="s">
        <v>832</v>
      </c>
      <c r="K1723" s="2" t="s">
        <v>7870</v>
      </c>
      <c r="L1723" s="3">
        <v>19.46</v>
      </c>
      <c r="M1723" s="3">
        <v>20.43</v>
      </c>
      <c r="N1723" s="3">
        <v>39.99</v>
      </c>
      <c r="O1723" s="2" t="s">
        <v>243</v>
      </c>
      <c r="P1723" s="2" t="s">
        <v>1281</v>
      </c>
      <c r="Q1723" s="2" t="s">
        <v>237</v>
      </c>
      <c r="R1723" s="2" t="s">
        <v>231</v>
      </c>
      <c r="S1723" s="2" t="s">
        <v>7871</v>
      </c>
      <c r="T1723" s="2" t="s">
        <v>472</v>
      </c>
      <c r="U1723" s="2" t="s">
        <v>231</v>
      </c>
      <c r="V1723" s="2" t="s">
        <v>239</v>
      </c>
      <c r="W1723" s="2" t="s">
        <v>273</v>
      </c>
      <c r="X1723" s="2" t="s">
        <v>231</v>
      </c>
      <c r="Y1723" s="2" t="s">
        <v>274</v>
      </c>
      <c r="Z1723" s="4">
        <v>57</v>
      </c>
      <c r="AA1723" s="4">
        <f>=ROUNDDOWN(4.75,0)</f>
      </c>
      <c r="AB1723" s="5">
        <v>12</v>
      </c>
      <c r="AC1723" s="2" t="s">
        <v>1754</v>
      </c>
      <c r="AD1723" s="4">
        <v>170</v>
      </c>
      <c r="AE1723" s="4">
        <v>240</v>
      </c>
      <c r="AF1723" s="6">
        <v>65</v>
      </c>
      <c r="AG1723" s="6"/>
      <c r="AH1723" s="7">
        <v>0.9677</v>
      </c>
      <c r="AI1723" s="4"/>
      <c r="AJ1723" s="4">
        <f>=ROUNDDOWN({0},0)</f>
      </c>
      <c r="AK1723" s="5"/>
      <c r="AL1723" s="2" t="s">
        <v>231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 t="s">
        <v>231</v>
      </c>
      <c r="BD1723" s="8" t="s">
        <v>231</v>
      </c>
      <c r="BE1723" s="4" t="s">
        <v>231</v>
      </c>
      <c r="BF1723" s="8" t="s">
        <v>231</v>
      </c>
      <c r="BG1723" s="7" t="s">
        <v>231</v>
      </c>
      <c r="BH1723" s="7" t="s">
        <v>231</v>
      </c>
      <c r="BI1723" s="7"/>
      <c r="BJ1723" s="4">
        <v>80</v>
      </c>
      <c r="BK1723" s="8">
        <v>1639.25</v>
      </c>
      <c r="BL1723" s="2" t="s">
        <v>7867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7872</v>
      </c>
      <c r="BV1723" s="2" t="s">
        <v>231</v>
      </c>
      <c r="BW1723" s="2" t="s">
        <v>231</v>
      </c>
      <c r="BX1723" s="2" t="s">
        <v>231</v>
      </c>
      <c r="BY1723" s="2" t="s">
        <v>277</v>
      </c>
      <c r="BZ1723" s="2" t="s">
        <v>243</v>
      </c>
      <c r="CA1723" s="2" t="s">
        <v>284</v>
      </c>
      <c r="CB1723" s="2" t="s">
        <v>607</v>
      </c>
      <c r="CC1723" s="2" t="s">
        <v>244</v>
      </c>
      <c r="CD1723" s="2" t="s">
        <v>231</v>
      </c>
      <c r="CE1723" s="4">
        <v>57</v>
      </c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>
        <v>170</v>
      </c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>
        <v>30</v>
      </c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>
        <v>40</v>
      </c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</row>
    <row r="1724">
      <c r="A1724" s="2" t="s">
        <v>7873</v>
      </c>
      <c r="B1724" s="2" t="s">
        <v>226</v>
      </c>
      <c r="C1724" s="2" t="s">
        <v>357</v>
      </c>
      <c r="D1724" s="2" t="s">
        <v>654</v>
      </c>
      <c r="E1724" s="2" t="s">
        <v>890</v>
      </c>
      <c r="F1724" s="2" t="s">
        <v>7855</v>
      </c>
      <c r="G1724" s="2" t="s">
        <v>7856</v>
      </c>
      <c r="H1724" s="2" t="s">
        <v>7856</v>
      </c>
      <c r="I1724" s="2" t="s">
        <v>7857</v>
      </c>
      <c r="J1724" s="2" t="s">
        <v>832</v>
      </c>
      <c r="K1724" s="2" t="s">
        <v>7874</v>
      </c>
      <c r="L1724" s="3">
        <v>19.46</v>
      </c>
      <c r="M1724" s="3">
        <v>20.43</v>
      </c>
      <c r="N1724" s="3">
        <v>39.99</v>
      </c>
      <c r="O1724" s="2" t="s">
        <v>243</v>
      </c>
      <c r="P1724" s="2" t="s">
        <v>871</v>
      </c>
      <c r="Q1724" s="2" t="s">
        <v>237</v>
      </c>
      <c r="R1724" s="2" t="s">
        <v>231</v>
      </c>
      <c r="S1724" s="2" t="s">
        <v>7875</v>
      </c>
      <c r="T1724" s="2" t="s">
        <v>472</v>
      </c>
      <c r="U1724" s="2" t="s">
        <v>231</v>
      </c>
      <c r="V1724" s="2" t="s">
        <v>239</v>
      </c>
      <c r="W1724" s="2" t="s">
        <v>273</v>
      </c>
      <c r="X1724" s="2" t="s">
        <v>231</v>
      </c>
      <c r="Y1724" s="2" t="s">
        <v>4627</v>
      </c>
      <c r="Z1724" s="4">
        <v>378</v>
      </c>
      <c r="AA1724" s="4">
        <f>=ROUNDDOWN(29.0769230769231,0)</f>
      </c>
      <c r="AB1724" s="5">
        <v>13</v>
      </c>
      <c r="AC1724" s="2" t="s">
        <v>1754</v>
      </c>
      <c r="AD1724" s="4">
        <v>238</v>
      </c>
      <c r="AE1724" s="4">
        <v>338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231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 t="s">
        <v>231</v>
      </c>
      <c r="BD1724" s="8" t="s">
        <v>231</v>
      </c>
      <c r="BE1724" s="4" t="s">
        <v>231</v>
      </c>
      <c r="BF1724" s="8" t="s">
        <v>231</v>
      </c>
      <c r="BG1724" s="7" t="s">
        <v>231</v>
      </c>
      <c r="BH1724" s="7" t="s">
        <v>231</v>
      </c>
      <c r="BI1724" s="7"/>
      <c r="BJ1724" s="4">
        <v>32</v>
      </c>
      <c r="BK1724" s="8">
        <v>639.26</v>
      </c>
      <c r="BL1724" s="2" t="s">
        <v>7876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7877</v>
      </c>
      <c r="BV1724" s="2" t="s">
        <v>231</v>
      </c>
      <c r="BW1724" s="2" t="s">
        <v>231</v>
      </c>
      <c r="BX1724" s="2" t="s">
        <v>231</v>
      </c>
      <c r="BY1724" s="2" t="s">
        <v>277</v>
      </c>
      <c r="BZ1724" s="2" t="s">
        <v>243</v>
      </c>
      <c r="CA1724" s="2" t="s">
        <v>7528</v>
      </c>
      <c r="CB1724" s="2" t="s">
        <v>2848</v>
      </c>
      <c r="CC1724" s="2" t="s">
        <v>244</v>
      </c>
      <c r="CD1724" s="2" t="s">
        <v>231</v>
      </c>
      <c r="CE1724" s="4">
        <v>378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>
        <v>238</v>
      </c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>
        <v>40</v>
      </c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>
        <v>60</v>
      </c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</row>
    <row r="1725">
      <c r="A1725" s="2" t="s">
        <v>7878</v>
      </c>
      <c r="B1725" s="2" t="s">
        <v>226</v>
      </c>
      <c r="C1725" s="2" t="s">
        <v>357</v>
      </c>
      <c r="D1725" s="2" t="s">
        <v>654</v>
      </c>
      <c r="E1725" s="2" t="s">
        <v>890</v>
      </c>
      <c r="F1725" s="2" t="s">
        <v>7855</v>
      </c>
      <c r="G1725" s="2" t="s">
        <v>7856</v>
      </c>
      <c r="H1725" s="2" t="s">
        <v>7856</v>
      </c>
      <c r="I1725" s="2" t="s">
        <v>7857</v>
      </c>
      <c r="J1725" s="2" t="s">
        <v>832</v>
      </c>
      <c r="K1725" s="2" t="s">
        <v>7879</v>
      </c>
      <c r="L1725" s="3">
        <v>19.46</v>
      </c>
      <c r="M1725" s="3">
        <v>20.43</v>
      </c>
      <c r="N1725" s="3">
        <v>39.99</v>
      </c>
      <c r="O1725" s="2" t="s">
        <v>243</v>
      </c>
      <c r="P1725" s="2" t="s">
        <v>270</v>
      </c>
      <c r="Q1725" s="2" t="s">
        <v>237</v>
      </c>
      <c r="R1725" s="2" t="s">
        <v>231</v>
      </c>
      <c r="S1725" s="2" t="s">
        <v>7880</v>
      </c>
      <c r="T1725" s="2" t="s">
        <v>472</v>
      </c>
      <c r="U1725" s="2" t="s">
        <v>231</v>
      </c>
      <c r="V1725" s="2" t="s">
        <v>239</v>
      </c>
      <c r="W1725" s="2" t="s">
        <v>273</v>
      </c>
      <c r="X1725" s="2" t="s">
        <v>231</v>
      </c>
      <c r="Y1725" s="2" t="s">
        <v>274</v>
      </c>
      <c r="Z1725" s="4">
        <v>315</v>
      </c>
      <c r="AA1725" s="4">
        <f>=ROUNDDOWN(26.25,0)</f>
      </c>
      <c r="AB1725" s="5">
        <v>12</v>
      </c>
      <c r="AC1725" s="2" t="s">
        <v>3693</v>
      </c>
      <c r="AD1725" s="4">
        <v>130</v>
      </c>
      <c r="AE1725" s="4">
        <v>236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231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 t="s">
        <v>231</v>
      </c>
      <c r="BD1725" s="8" t="s">
        <v>231</v>
      </c>
      <c r="BE1725" s="4" t="s">
        <v>231</v>
      </c>
      <c r="BF1725" s="8" t="s">
        <v>231</v>
      </c>
      <c r="BG1725" s="7" t="s">
        <v>231</v>
      </c>
      <c r="BH1725" s="7" t="s">
        <v>231</v>
      </c>
      <c r="BI1725" s="7"/>
      <c r="BJ1725" s="4">
        <v>55</v>
      </c>
      <c r="BK1725" s="8">
        <v>1094.19</v>
      </c>
      <c r="BL1725" s="2" t="s">
        <v>7881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7882</v>
      </c>
      <c r="BV1725" s="2" t="s">
        <v>231</v>
      </c>
      <c r="BW1725" s="2" t="s">
        <v>231</v>
      </c>
      <c r="BX1725" s="2" t="s">
        <v>231</v>
      </c>
      <c r="BY1725" s="2" t="s">
        <v>277</v>
      </c>
      <c r="BZ1725" s="2" t="s">
        <v>243</v>
      </c>
      <c r="CA1725" s="2" t="s">
        <v>284</v>
      </c>
      <c r="CB1725" s="2" t="s">
        <v>551</v>
      </c>
      <c r="CC1725" s="2" t="s">
        <v>244</v>
      </c>
      <c r="CD1725" s="2" t="s">
        <v>231</v>
      </c>
      <c r="CE1725" s="4">
        <v>315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>
        <v>130</v>
      </c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>
        <v>56</v>
      </c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>
        <v>50</v>
      </c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</row>
    <row r="1726">
      <c r="A1726" s="2" t="s">
        <v>7883</v>
      </c>
      <c r="B1726" s="2" t="s">
        <v>940</v>
      </c>
      <c r="C1726" s="2" t="s">
        <v>288</v>
      </c>
      <c r="D1726" s="2" t="s">
        <v>941</v>
      </c>
      <c r="E1726" s="2" t="s">
        <v>942</v>
      </c>
      <c r="F1726" s="2" t="s">
        <v>7884</v>
      </c>
      <c r="G1726" s="2" t="s">
        <v>7885</v>
      </c>
      <c r="H1726" s="2" t="s">
        <v>7886</v>
      </c>
      <c r="I1726" s="2" t="s">
        <v>7887</v>
      </c>
      <c r="J1726" s="2" t="s">
        <v>7888</v>
      </c>
      <c r="K1726" s="2" t="s">
        <v>682</v>
      </c>
      <c r="L1726" s="3">
        <v>16.24</v>
      </c>
      <c r="M1726" s="3">
        <v>17.05</v>
      </c>
      <c r="N1726" s="3">
        <v>32.99</v>
      </c>
      <c r="O1726" s="2" t="s">
        <v>243</v>
      </c>
      <c r="P1726" s="2" t="s">
        <v>270</v>
      </c>
      <c r="Q1726" s="2" t="s">
        <v>237</v>
      </c>
      <c r="R1726" s="2" t="s">
        <v>231</v>
      </c>
      <c r="S1726" s="2" t="s">
        <v>7889</v>
      </c>
      <c r="T1726" s="2" t="s">
        <v>231</v>
      </c>
      <c r="U1726" s="2" t="s">
        <v>327</v>
      </c>
      <c r="V1726" s="2" t="s">
        <v>239</v>
      </c>
      <c r="W1726" s="2" t="s">
        <v>273</v>
      </c>
      <c r="X1726" s="2" t="s">
        <v>231</v>
      </c>
      <c r="Y1726" s="2" t="s">
        <v>5291</v>
      </c>
      <c r="Z1726" s="4">
        <v>489</v>
      </c>
      <c r="AA1726" s="4">
        <f>=ROUNDDOWN(32.6,0)</f>
      </c>
      <c r="AB1726" s="5">
        <v>15</v>
      </c>
      <c r="AC1726" s="2" t="s">
        <v>2049</v>
      </c>
      <c r="AD1726" s="4">
        <v>108</v>
      </c>
      <c r="AE1726" s="4">
        <v>108</v>
      </c>
      <c r="AF1726" s="6">
        <v>69</v>
      </c>
      <c r="AG1726" s="6"/>
      <c r="AH1726" s="7">
        <v>1</v>
      </c>
      <c r="AI1726" s="4"/>
      <c r="AJ1726" s="4">
        <f>=ROUNDDOWN({0},0)</f>
      </c>
      <c r="AK1726" s="5"/>
      <c r="AL1726" s="2" t="s">
        <v>231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 t="s">
        <v>231</v>
      </c>
      <c r="BD1726" s="8" t="s">
        <v>231</v>
      </c>
      <c r="BE1726" s="4" t="s">
        <v>231</v>
      </c>
      <c r="BF1726" s="8" t="s">
        <v>231</v>
      </c>
      <c r="BG1726" s="7" t="s">
        <v>231</v>
      </c>
      <c r="BH1726" s="7" t="s">
        <v>231</v>
      </c>
      <c r="BI1726" s="7"/>
      <c r="BJ1726" s="4">
        <v>47</v>
      </c>
      <c r="BK1726" s="8">
        <v>812.76</v>
      </c>
      <c r="BL1726" s="2" t="s">
        <v>7890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7891</v>
      </c>
      <c r="BV1726" s="2" t="s">
        <v>231</v>
      </c>
      <c r="BW1726" s="2" t="s">
        <v>231</v>
      </c>
      <c r="BX1726" s="2" t="s">
        <v>231</v>
      </c>
      <c r="BY1726" s="2" t="s">
        <v>277</v>
      </c>
      <c r="BZ1726" s="2" t="s">
        <v>243</v>
      </c>
      <c r="CA1726" s="2" t="s">
        <v>7892</v>
      </c>
      <c r="CB1726" s="2" t="s">
        <v>4191</v>
      </c>
      <c r="CC1726" s="2" t="s">
        <v>244</v>
      </c>
      <c r="CD1726" s="2" t="s">
        <v>231</v>
      </c>
      <c r="CE1726" s="4">
        <v>489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>
        <v>108</v>
      </c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</row>
    <row r="1727">
      <c r="A1727" s="2" t="s">
        <v>7893</v>
      </c>
      <c r="B1727" s="2" t="s">
        <v>940</v>
      </c>
      <c r="C1727" s="2" t="s">
        <v>288</v>
      </c>
      <c r="D1727" s="2" t="s">
        <v>941</v>
      </c>
      <c r="E1727" s="2" t="s">
        <v>942</v>
      </c>
      <c r="F1727" s="2" t="s">
        <v>7884</v>
      </c>
      <c r="G1727" s="2" t="s">
        <v>7885</v>
      </c>
      <c r="H1727" s="2" t="s">
        <v>7886</v>
      </c>
      <c r="I1727" s="2" t="s">
        <v>7887</v>
      </c>
      <c r="J1727" s="2" t="s">
        <v>7894</v>
      </c>
      <c r="K1727" s="2" t="s">
        <v>319</v>
      </c>
      <c r="L1727" s="3">
        <v>13.29</v>
      </c>
      <c r="M1727" s="3">
        <v>13.95</v>
      </c>
      <c r="N1727" s="3">
        <v>26.99</v>
      </c>
      <c r="O1727" s="2" t="s">
        <v>243</v>
      </c>
      <c r="P1727" s="2" t="s">
        <v>270</v>
      </c>
      <c r="Q1727" s="2" t="s">
        <v>237</v>
      </c>
      <c r="R1727" s="2" t="s">
        <v>231</v>
      </c>
      <c r="S1727" s="2" t="s">
        <v>7895</v>
      </c>
      <c r="T1727" s="2" t="s">
        <v>231</v>
      </c>
      <c r="U1727" s="2" t="s">
        <v>327</v>
      </c>
      <c r="V1727" s="2" t="s">
        <v>239</v>
      </c>
      <c r="W1727" s="2" t="s">
        <v>273</v>
      </c>
      <c r="X1727" s="2" t="s">
        <v>231</v>
      </c>
      <c r="Y1727" s="2" t="s">
        <v>5816</v>
      </c>
      <c r="Z1727" s="4">
        <v>467</v>
      </c>
      <c r="AA1727" s="4">
        <f>=ROUNDDOWN(31.1333333333333,0)</f>
      </c>
      <c r="AB1727" s="5">
        <v>15</v>
      </c>
      <c r="AC1727" s="2" t="s">
        <v>2049</v>
      </c>
      <c r="AD1727" s="4">
        <v>102</v>
      </c>
      <c r="AE1727" s="4">
        <v>102</v>
      </c>
      <c r="AF1727" s="6">
        <v>69</v>
      </c>
      <c r="AG1727" s="6"/>
      <c r="AH1727" s="7">
        <v>1</v>
      </c>
      <c r="AI1727" s="4"/>
      <c r="AJ1727" s="4">
        <f>=ROUNDDOWN({0},0)</f>
      </c>
      <c r="AK1727" s="5"/>
      <c r="AL1727" s="2" t="s">
        <v>231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 t="s">
        <v>231</v>
      </c>
      <c r="BD1727" s="8" t="s">
        <v>231</v>
      </c>
      <c r="BE1727" s="4" t="s">
        <v>231</v>
      </c>
      <c r="BF1727" s="8" t="s">
        <v>231</v>
      </c>
      <c r="BG1727" s="7" t="s">
        <v>231</v>
      </c>
      <c r="BH1727" s="7" t="s">
        <v>231</v>
      </c>
      <c r="BI1727" s="7"/>
      <c r="BJ1727" s="4">
        <v>52</v>
      </c>
      <c r="BK1727" s="8">
        <v>751.4</v>
      </c>
      <c r="BL1727" s="2" t="s">
        <v>7896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7897</v>
      </c>
      <c r="BV1727" s="2" t="s">
        <v>231</v>
      </c>
      <c r="BW1727" s="2" t="s">
        <v>231</v>
      </c>
      <c r="BX1727" s="2" t="s">
        <v>231</v>
      </c>
      <c r="BY1727" s="2" t="s">
        <v>277</v>
      </c>
      <c r="BZ1727" s="2" t="s">
        <v>243</v>
      </c>
      <c r="CA1727" s="2" t="s">
        <v>7892</v>
      </c>
      <c r="CB1727" s="2" t="s">
        <v>7898</v>
      </c>
      <c r="CC1727" s="2" t="s">
        <v>244</v>
      </c>
      <c r="CD1727" s="2" t="s">
        <v>231</v>
      </c>
      <c r="CE1727" s="4">
        <v>467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>
        <v>102</v>
      </c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</row>
    <row r="1728">
      <c r="A1728" s="2" t="s">
        <v>7899</v>
      </c>
      <c r="B1728" s="2" t="s">
        <v>1186</v>
      </c>
      <c r="C1728" s="2" t="s">
        <v>288</v>
      </c>
      <c r="D1728" s="2" t="s">
        <v>654</v>
      </c>
      <c r="E1728" s="2" t="s">
        <v>655</v>
      </c>
      <c r="F1728" s="2" t="s">
        <v>2739</v>
      </c>
      <c r="G1728" s="2" t="s">
        <v>7900</v>
      </c>
      <c r="H1728" s="2" t="s">
        <v>7901</v>
      </c>
      <c r="I1728" s="2" t="s">
        <v>7902</v>
      </c>
      <c r="J1728" s="2" t="s">
        <v>281</v>
      </c>
      <c r="K1728" s="2" t="s">
        <v>486</v>
      </c>
      <c r="L1728" s="3">
        <v>49.9</v>
      </c>
      <c r="M1728" s="3">
        <v>52.4</v>
      </c>
      <c r="N1728" s="3">
        <v>89.99</v>
      </c>
      <c r="O1728" s="2" t="s">
        <v>243</v>
      </c>
      <c r="P1728" s="2" t="s">
        <v>270</v>
      </c>
      <c r="Q1728" s="2" t="s">
        <v>237</v>
      </c>
      <c r="R1728" s="2" t="s">
        <v>231</v>
      </c>
      <c r="S1728" s="2" t="s">
        <v>7903</v>
      </c>
      <c r="T1728" s="2" t="s">
        <v>231</v>
      </c>
      <c r="U1728" s="2" t="s">
        <v>700</v>
      </c>
      <c r="V1728" s="2" t="s">
        <v>1890</v>
      </c>
      <c r="W1728" s="2" t="s">
        <v>792</v>
      </c>
      <c r="X1728" s="2" t="s">
        <v>691</v>
      </c>
      <c r="Y1728" s="2" t="s">
        <v>3146</v>
      </c>
      <c r="Z1728" s="4">
        <v>101</v>
      </c>
      <c r="AA1728" s="4">
        <f>=ROUNDDOWN(10.1,0)</f>
      </c>
      <c r="AB1728" s="5">
        <v>10</v>
      </c>
      <c r="AC1728" s="2" t="s">
        <v>730</v>
      </c>
      <c r="AD1728" s="4">
        <v>40</v>
      </c>
      <c r="AE1728" s="4">
        <v>370</v>
      </c>
      <c r="AF1728" s="6">
        <v>65</v>
      </c>
      <c r="AG1728" s="6">
        <v>48</v>
      </c>
      <c r="AH1728" s="7">
        <v>1</v>
      </c>
      <c r="AI1728" s="4"/>
      <c r="AJ1728" s="4">
        <f>=ROUNDDOWN({0},0)</f>
      </c>
      <c r="AK1728" s="5"/>
      <c r="AL1728" s="2" t="s">
        <v>231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 t="s">
        <v>231</v>
      </c>
      <c r="BD1728" s="8" t="s">
        <v>231</v>
      </c>
      <c r="BE1728" s="4" t="s">
        <v>231</v>
      </c>
      <c r="BF1728" s="8" t="s">
        <v>231</v>
      </c>
      <c r="BG1728" s="7" t="s">
        <v>231</v>
      </c>
      <c r="BH1728" s="7" t="s">
        <v>231</v>
      </c>
      <c r="BI1728" s="7"/>
      <c r="BJ1728" s="4">
        <v>36</v>
      </c>
      <c r="BK1728" s="8">
        <v>1915.5</v>
      </c>
      <c r="BL1728" s="2" t="s">
        <v>7904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7905</v>
      </c>
      <c r="BV1728" s="2" t="s">
        <v>231</v>
      </c>
      <c r="BW1728" s="2" t="s">
        <v>231</v>
      </c>
      <c r="BX1728" s="2" t="s">
        <v>231</v>
      </c>
      <c r="BY1728" s="2" t="s">
        <v>277</v>
      </c>
      <c r="BZ1728" s="2" t="s">
        <v>243</v>
      </c>
      <c r="CA1728" s="2" t="s">
        <v>686</v>
      </c>
      <c r="CB1728" s="2" t="s">
        <v>6934</v>
      </c>
      <c r="CC1728" s="2" t="s">
        <v>244</v>
      </c>
      <c r="CD1728" s="2" t="s">
        <v>231</v>
      </c>
      <c r="CE1728" s="4">
        <v>52</v>
      </c>
      <c r="CF1728" s="4"/>
      <c r="CG1728" s="4"/>
      <c r="CH1728" s="4"/>
      <c r="CI1728" s="4">
        <v>49</v>
      </c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>
        <v>40</v>
      </c>
      <c r="EA1728" s="4"/>
      <c r="EB1728" s="4">
        <v>100</v>
      </c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>
        <v>50</v>
      </c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>
        <v>180</v>
      </c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  <c r="HG1728" s="4"/>
      <c r="HH1728" s="4"/>
      <c r="HI1728" s="4"/>
      <c r="HJ1728" s="4"/>
      <c r="HK1728" s="4"/>
      <c r="HL1728" s="4"/>
    </row>
    <row r="1729">
      <c r="A1729" s="2" t="s">
        <v>7906</v>
      </c>
      <c r="B1729" s="2" t="s">
        <v>1004</v>
      </c>
      <c r="C1729" s="2" t="s">
        <v>1105</v>
      </c>
      <c r="D1729" s="2" t="s">
        <v>1005</v>
      </c>
      <c r="E1729" s="2" t="s">
        <v>1006</v>
      </c>
      <c r="F1729" s="2" t="s">
        <v>2739</v>
      </c>
      <c r="G1729" s="2" t="s">
        <v>2739</v>
      </c>
      <c r="H1729" s="2" t="s">
        <v>2739</v>
      </c>
      <c r="I1729" s="2" t="s">
        <v>7907</v>
      </c>
      <c r="J1729" s="2" t="s">
        <v>807</v>
      </c>
      <c r="K1729" s="2" t="s">
        <v>7908</v>
      </c>
      <c r="L1729" s="3">
        <v>101.26</v>
      </c>
      <c r="M1729" s="3">
        <v>106.32</v>
      </c>
      <c r="N1729" s="3">
        <v>199.99</v>
      </c>
      <c r="O1729" s="2" t="s">
        <v>235</v>
      </c>
      <c r="P1729" s="2" t="s">
        <v>341</v>
      </c>
      <c r="Q1729" s="2" t="s">
        <v>237</v>
      </c>
      <c r="R1729" s="2" t="s">
        <v>231</v>
      </c>
      <c r="S1729" s="2" t="s">
        <v>231</v>
      </c>
      <c r="T1729" s="2" t="s">
        <v>231</v>
      </c>
      <c r="U1729" s="2" t="s">
        <v>231</v>
      </c>
      <c r="V1729" s="2" t="s">
        <v>662</v>
      </c>
      <c r="W1729" s="2" t="s">
        <v>691</v>
      </c>
      <c r="X1729" s="2" t="s">
        <v>792</v>
      </c>
      <c r="Y1729" s="2" t="s">
        <v>7909</v>
      </c>
      <c r="Z1729" s="4">
        <v>237</v>
      </c>
      <c r="AA1729" s="4">
        <f>=ROUNDDOWN(215.454545454545,0)</f>
      </c>
      <c r="AB1729" s="5">
        <v>1.1</v>
      </c>
      <c r="AC1729" s="2" t="s">
        <v>231</v>
      </c>
      <c r="AD1729" s="4"/>
      <c r="AE1729" s="4"/>
      <c r="AF1729" s="6">
        <v>74</v>
      </c>
      <c r="AG1729" s="6"/>
      <c r="AH1729" s="7">
        <v>1</v>
      </c>
      <c r="AI1729" s="4"/>
      <c r="AJ1729" s="4">
        <f>=ROUNDDOWN({0},0)</f>
      </c>
      <c r="AK1729" s="5"/>
      <c r="AL1729" s="2" t="s">
        <v>231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231</v>
      </c>
      <c r="BD1729" s="8" t="s">
        <v>231</v>
      </c>
      <c r="BE1729" s="4" t="s">
        <v>231</v>
      </c>
      <c r="BF1729" s="8" t="s">
        <v>231</v>
      </c>
      <c r="BG1729" s="7" t="s">
        <v>231</v>
      </c>
      <c r="BH1729" s="7" t="s">
        <v>231</v>
      </c>
      <c r="BI1729" s="7"/>
      <c r="BJ1729" s="4">
        <v>3</v>
      </c>
      <c r="BK1729" s="8">
        <v>98.55</v>
      </c>
      <c r="BL1729" s="2" t="s">
        <v>7910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7911</v>
      </c>
      <c r="BV1729" s="2" t="s">
        <v>231</v>
      </c>
      <c r="BW1729" s="2" t="s">
        <v>231</v>
      </c>
      <c r="BX1729" s="2" t="s">
        <v>231</v>
      </c>
      <c r="BY1729" s="2" t="s">
        <v>277</v>
      </c>
      <c r="BZ1729" s="2" t="s">
        <v>243</v>
      </c>
      <c r="CA1729" s="2" t="s">
        <v>4155</v>
      </c>
      <c r="CB1729" s="2" t="s">
        <v>1473</v>
      </c>
      <c r="CC1729" s="2" t="s">
        <v>244</v>
      </c>
      <c r="CD1729" s="2" t="s">
        <v>231</v>
      </c>
      <c r="CE1729" s="4"/>
      <c r="CF1729" s="4">
        <v>237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  <c r="HG1729" s="4"/>
      <c r="HH1729" s="4"/>
      <c r="HI1729" s="4"/>
      <c r="HJ1729" s="4"/>
      <c r="HK1729" s="4"/>
      <c r="HL1729" s="4"/>
    </row>
    <row r="1730">
      <c r="A1730" s="2" t="s">
        <v>7912</v>
      </c>
      <c r="B1730" s="2" t="s">
        <v>1186</v>
      </c>
      <c r="C1730" s="2" t="s">
        <v>288</v>
      </c>
      <c r="D1730" s="2" t="s">
        <v>654</v>
      </c>
      <c r="E1730" s="2" t="s">
        <v>655</v>
      </c>
      <c r="F1730" s="2" t="s">
        <v>2739</v>
      </c>
      <c r="G1730" s="2" t="s">
        <v>7900</v>
      </c>
      <c r="H1730" s="2" t="s">
        <v>7901</v>
      </c>
      <c r="I1730" s="2" t="s">
        <v>7902</v>
      </c>
      <c r="J1730" s="2" t="s">
        <v>304</v>
      </c>
      <c r="K1730" s="2" t="s">
        <v>7913</v>
      </c>
      <c r="L1730" s="3">
        <v>63.06</v>
      </c>
      <c r="M1730" s="3">
        <v>66.21</v>
      </c>
      <c r="N1730" s="3">
        <v>119.99</v>
      </c>
      <c r="O1730" s="2" t="s">
        <v>243</v>
      </c>
      <c r="P1730" s="2" t="s">
        <v>270</v>
      </c>
      <c r="Q1730" s="2" t="s">
        <v>237</v>
      </c>
      <c r="R1730" s="2" t="s">
        <v>231</v>
      </c>
      <c r="S1730" s="2" t="s">
        <v>7914</v>
      </c>
      <c r="T1730" s="2" t="s">
        <v>231</v>
      </c>
      <c r="U1730" s="2" t="s">
        <v>700</v>
      </c>
      <c r="V1730" s="2" t="s">
        <v>1890</v>
      </c>
      <c r="W1730" s="2" t="s">
        <v>792</v>
      </c>
      <c r="X1730" s="2" t="s">
        <v>691</v>
      </c>
      <c r="Y1730" s="2" t="s">
        <v>274</v>
      </c>
      <c r="Z1730" s="4">
        <v>195</v>
      </c>
      <c r="AA1730" s="4">
        <f>=ROUNDDOWN(21.6666666666667,0)</f>
      </c>
      <c r="AB1730" s="5">
        <v>9</v>
      </c>
      <c r="AC1730" s="2" t="s">
        <v>2672</v>
      </c>
      <c r="AD1730" s="4">
        <v>30</v>
      </c>
      <c r="AE1730" s="4">
        <v>180</v>
      </c>
      <c r="AF1730" s="6">
        <v>65</v>
      </c>
      <c r="AG1730" s="6">
        <v>48</v>
      </c>
      <c r="AH1730" s="7">
        <v>1</v>
      </c>
      <c r="AI1730" s="4"/>
      <c r="AJ1730" s="4">
        <f>=ROUNDDOWN({0},0)</f>
      </c>
      <c r="AK1730" s="5"/>
      <c r="AL1730" s="2" t="s">
        <v>231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231</v>
      </c>
      <c r="BD1730" s="8" t="s">
        <v>231</v>
      </c>
      <c r="BE1730" s="4" t="s">
        <v>231</v>
      </c>
      <c r="BF1730" s="8" t="s">
        <v>231</v>
      </c>
      <c r="BG1730" s="7" t="s">
        <v>231</v>
      </c>
      <c r="BH1730" s="7" t="s">
        <v>231</v>
      </c>
      <c r="BI1730" s="7"/>
      <c r="BJ1730" s="4">
        <v>31</v>
      </c>
      <c r="BK1730" s="8">
        <v>2175.31</v>
      </c>
      <c r="BL1730" s="2" t="s">
        <v>7915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7916</v>
      </c>
      <c r="BV1730" s="2" t="s">
        <v>231</v>
      </c>
      <c r="BW1730" s="2" t="s">
        <v>231</v>
      </c>
      <c r="BX1730" s="2" t="s">
        <v>231</v>
      </c>
      <c r="BY1730" s="2" t="s">
        <v>277</v>
      </c>
      <c r="BZ1730" s="2" t="s">
        <v>243</v>
      </c>
      <c r="CA1730" s="2" t="s">
        <v>284</v>
      </c>
      <c r="CB1730" s="2" t="s">
        <v>467</v>
      </c>
      <c r="CC1730" s="2" t="s">
        <v>244</v>
      </c>
      <c r="CD1730" s="2" t="s">
        <v>231</v>
      </c>
      <c r="CE1730" s="4">
        <v>137</v>
      </c>
      <c r="CF1730" s="4"/>
      <c r="CG1730" s="4"/>
      <c r="CH1730" s="4"/>
      <c r="CI1730" s="4">
        <v>58</v>
      </c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>
        <v>30</v>
      </c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>
        <v>60</v>
      </c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>
        <v>70</v>
      </c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>
        <v>20</v>
      </c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</row>
    <row r="1731">
      <c r="A1731" s="2" t="s">
        <v>7917</v>
      </c>
      <c r="B1731" s="2" t="s">
        <v>1004</v>
      </c>
      <c r="C1731" s="2" t="s">
        <v>653</v>
      </c>
      <c r="D1731" s="2" t="s">
        <v>1295</v>
      </c>
      <c r="E1731" s="2" t="s">
        <v>241</v>
      </c>
      <c r="F1731" s="2" t="s">
        <v>7483</v>
      </c>
      <c r="G1731" s="2" t="s">
        <v>7483</v>
      </c>
      <c r="H1731" s="2" t="s">
        <v>7483</v>
      </c>
      <c r="I1731" s="2" t="s">
        <v>231</v>
      </c>
      <c r="J1731" s="2" t="s">
        <v>7918</v>
      </c>
      <c r="K1731" s="2" t="s">
        <v>294</v>
      </c>
      <c r="L1731" s="3">
        <v>180.71</v>
      </c>
      <c r="M1731" s="3"/>
      <c r="N1731" s="3"/>
      <c r="O1731" s="2" t="s">
        <v>235</v>
      </c>
      <c r="P1731" s="2" t="s">
        <v>231</v>
      </c>
      <c r="Q1731" s="2" t="s">
        <v>231</v>
      </c>
      <c r="R1731" s="2" t="s">
        <v>231</v>
      </c>
      <c r="S1731" s="2" t="s">
        <v>231</v>
      </c>
      <c r="T1731" s="2" t="s">
        <v>231</v>
      </c>
      <c r="U1731" s="2" t="s">
        <v>231</v>
      </c>
      <c r="V1731" s="2" t="s">
        <v>231</v>
      </c>
      <c r="W1731" s="2" t="s">
        <v>231</v>
      </c>
      <c r="X1731" s="2" t="s">
        <v>231</v>
      </c>
      <c r="Y1731" s="2" t="s">
        <v>231</v>
      </c>
      <c r="Z1731" s="4"/>
      <c r="AA1731" s="4">
        <f>=ROUNDDOWN({0},0)</f>
      </c>
      <c r="AB1731" s="5"/>
      <c r="AC1731" s="2" t="s">
        <v>231</v>
      </c>
      <c r="AD1731" s="4"/>
      <c r="AE1731" s="4"/>
      <c r="AF1731" s="6"/>
      <c r="AG1731" s="6"/>
      <c r="AH1731" s="7">
        <v>0</v>
      </c>
      <c r="AI1731" s="4"/>
      <c r="AJ1731" s="4">
        <f>=ROUNDDOWN({0},0)</f>
      </c>
      <c r="AK1731" s="5"/>
      <c r="AL1731" s="2" t="s">
        <v>231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/>
      <c r="BD1731" s="8"/>
      <c r="BE1731" s="4"/>
      <c r="BF1731" s="8"/>
      <c r="BG1731" s="7"/>
      <c r="BH1731" s="7"/>
      <c r="BI1731" s="7"/>
      <c r="BJ1731" s="4"/>
      <c r="BK1731" s="8"/>
      <c r="BL1731" s="2" t="s">
        <v>231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231</v>
      </c>
      <c r="BV1731" s="2" t="s">
        <v>231</v>
      </c>
      <c r="BW1731" s="2" t="s">
        <v>231</v>
      </c>
      <c r="BX1731" s="2" t="s">
        <v>231</v>
      </c>
      <c r="BY1731" s="2" t="s">
        <v>231</v>
      </c>
      <c r="BZ1731" s="2" t="s">
        <v>231</v>
      </c>
      <c r="CA1731" s="2" t="s">
        <v>231</v>
      </c>
      <c r="CB1731" s="2" t="s">
        <v>231</v>
      </c>
      <c r="CC1731" s="2" t="s">
        <v>231</v>
      </c>
      <c r="CD1731" s="2" t="s">
        <v>231</v>
      </c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</row>
    <row r="1732">
      <c r="A1732" s="2" t="s">
        <v>7919</v>
      </c>
      <c r="B1732" s="2" t="s">
        <v>1004</v>
      </c>
      <c r="C1732" s="2" t="s">
        <v>815</v>
      </c>
      <c r="D1732" s="2" t="s">
        <v>1837</v>
      </c>
      <c r="E1732" s="2" t="s">
        <v>7920</v>
      </c>
      <c r="F1732" s="2" t="s">
        <v>7921</v>
      </c>
      <c r="G1732" s="2" t="s">
        <v>7921</v>
      </c>
      <c r="H1732" s="2" t="s">
        <v>7921</v>
      </c>
      <c r="I1732" s="2" t="s">
        <v>7922</v>
      </c>
      <c r="J1732" s="2" t="s">
        <v>807</v>
      </c>
      <c r="K1732" s="2" t="s">
        <v>7923</v>
      </c>
      <c r="L1732" s="3">
        <v>225</v>
      </c>
      <c r="M1732" s="3">
        <v>236.25</v>
      </c>
      <c r="N1732" s="3">
        <v>459</v>
      </c>
      <c r="O1732" s="2" t="s">
        <v>243</v>
      </c>
      <c r="P1732" s="2" t="s">
        <v>1915</v>
      </c>
      <c r="Q1732" s="2" t="s">
        <v>237</v>
      </c>
      <c r="R1732" s="2" t="s">
        <v>231</v>
      </c>
      <c r="S1732" s="2" t="s">
        <v>231</v>
      </c>
      <c r="T1732" s="2" t="s">
        <v>231</v>
      </c>
      <c r="U1732" s="2" t="s">
        <v>327</v>
      </c>
      <c r="V1732" s="2" t="s">
        <v>662</v>
      </c>
      <c r="W1732" s="2" t="s">
        <v>691</v>
      </c>
      <c r="X1732" s="2" t="s">
        <v>231</v>
      </c>
      <c r="Y1732" s="2" t="s">
        <v>4982</v>
      </c>
      <c r="Z1732" s="4"/>
      <c r="AA1732" s="4">
        <f>=ROUNDDOWN({0},0)</f>
      </c>
      <c r="AB1732" s="5"/>
      <c r="AC1732" s="2" t="s">
        <v>7677</v>
      </c>
      <c r="AD1732" s="4">
        <v>100</v>
      </c>
      <c r="AE1732" s="4">
        <v>100</v>
      </c>
      <c r="AF1732" s="6">
        <v>74</v>
      </c>
      <c r="AG1732" s="6"/>
      <c r="AH1732" s="7">
        <v>0</v>
      </c>
      <c r="AI1732" s="4"/>
      <c r="AJ1732" s="4">
        <f>=ROUNDDOWN({0},0)</f>
      </c>
      <c r="AK1732" s="5"/>
      <c r="AL1732" s="2" t="s">
        <v>231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231</v>
      </c>
      <c r="AW1732" s="8" t="s">
        <v>231</v>
      </c>
      <c r="AX1732" s="4" t="s">
        <v>231</v>
      </c>
      <c r="AY1732" s="8" t="s">
        <v>231</v>
      </c>
      <c r="AZ1732" s="7" t="s">
        <v>231</v>
      </c>
      <c r="BA1732" s="7" t="s">
        <v>231</v>
      </c>
      <c r="BB1732" s="7" t="s">
        <v>231</v>
      </c>
      <c r="BC1732" s="4" t="s">
        <v>231</v>
      </c>
      <c r="BD1732" s="8" t="s">
        <v>231</v>
      </c>
      <c r="BE1732" s="4" t="s">
        <v>231</v>
      </c>
      <c r="BF1732" s="8" t="s">
        <v>231</v>
      </c>
      <c r="BG1732" s="7" t="s">
        <v>231</v>
      </c>
      <c r="BH1732" s="7" t="s">
        <v>231</v>
      </c>
      <c r="BI1732" s="7"/>
      <c r="BJ1732" s="4"/>
      <c r="BK1732" s="8"/>
      <c r="BL1732" s="2" t="s">
        <v>231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241</v>
      </c>
      <c r="BV1732" s="2" t="s">
        <v>231</v>
      </c>
      <c r="BW1732" s="2" t="s">
        <v>231</v>
      </c>
      <c r="BX1732" s="2" t="s">
        <v>241</v>
      </c>
      <c r="BY1732" s="2" t="s">
        <v>242</v>
      </c>
      <c r="BZ1732" s="2" t="s">
        <v>243</v>
      </c>
      <c r="CA1732" s="2" t="s">
        <v>231</v>
      </c>
      <c r="CB1732" s="2" t="s">
        <v>231</v>
      </c>
      <c r="CC1732" s="2" t="s">
        <v>244</v>
      </c>
      <c r="CD1732" s="2" t="s">
        <v>231</v>
      </c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>
        <v>100</v>
      </c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  <c r="HG1732" s="4"/>
      <c r="HH1732" s="4"/>
      <c r="HI1732" s="4"/>
      <c r="HJ1732" s="4"/>
      <c r="HK1732" s="4"/>
      <c r="HL1732" s="4"/>
    </row>
    <row r="1733">
      <c r="A1733" s="2" t="s">
        <v>7924</v>
      </c>
      <c r="B1733" s="2" t="s">
        <v>1004</v>
      </c>
      <c r="C1733" s="2" t="s">
        <v>815</v>
      </c>
      <c r="D1733" s="2" t="s">
        <v>1837</v>
      </c>
      <c r="E1733" s="2" t="s">
        <v>2264</v>
      </c>
      <c r="F1733" s="2" t="s">
        <v>7921</v>
      </c>
      <c r="G1733" s="2" t="s">
        <v>7921</v>
      </c>
      <c r="H1733" s="2" t="s">
        <v>7921</v>
      </c>
      <c r="I1733" s="2" t="s">
        <v>7925</v>
      </c>
      <c r="J1733" s="2" t="s">
        <v>807</v>
      </c>
      <c r="K1733" s="2" t="s">
        <v>7923</v>
      </c>
      <c r="L1733" s="3">
        <v>244.7</v>
      </c>
      <c r="M1733" s="3">
        <v>256.94</v>
      </c>
      <c r="N1733" s="3">
        <v>499</v>
      </c>
      <c r="O1733" s="2" t="s">
        <v>243</v>
      </c>
      <c r="P1733" s="2" t="s">
        <v>1915</v>
      </c>
      <c r="Q1733" s="2" t="s">
        <v>237</v>
      </c>
      <c r="R1733" s="2" t="s">
        <v>231</v>
      </c>
      <c r="S1733" s="2" t="s">
        <v>231</v>
      </c>
      <c r="T1733" s="2" t="s">
        <v>231</v>
      </c>
      <c r="U1733" s="2" t="s">
        <v>327</v>
      </c>
      <c r="V1733" s="2" t="s">
        <v>662</v>
      </c>
      <c r="W1733" s="2" t="s">
        <v>691</v>
      </c>
      <c r="X1733" s="2" t="s">
        <v>231</v>
      </c>
      <c r="Y1733" s="2" t="s">
        <v>4982</v>
      </c>
      <c r="Z1733" s="4"/>
      <c r="AA1733" s="4">
        <f>=ROUNDDOWN({0},0)</f>
      </c>
      <c r="AB1733" s="5"/>
      <c r="AC1733" s="2" t="s">
        <v>7677</v>
      </c>
      <c r="AD1733" s="4">
        <v>100</v>
      </c>
      <c r="AE1733" s="4">
        <v>100</v>
      </c>
      <c r="AF1733" s="6">
        <v>74</v>
      </c>
      <c r="AG1733" s="6"/>
      <c r="AH1733" s="7">
        <v>0</v>
      </c>
      <c r="AI1733" s="4"/>
      <c r="AJ1733" s="4">
        <f>=ROUNDDOWN({0},0)</f>
      </c>
      <c r="AK1733" s="5"/>
      <c r="AL1733" s="2" t="s">
        <v>231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231</v>
      </c>
      <c r="AW1733" s="8" t="s">
        <v>231</v>
      </c>
      <c r="AX1733" s="4" t="s">
        <v>231</v>
      </c>
      <c r="AY1733" s="8" t="s">
        <v>231</v>
      </c>
      <c r="AZ1733" s="7" t="s">
        <v>231</v>
      </c>
      <c r="BA1733" s="7" t="s">
        <v>231</v>
      </c>
      <c r="BB1733" s="7" t="s">
        <v>231</v>
      </c>
      <c r="BC1733" s="4" t="s">
        <v>231</v>
      </c>
      <c r="BD1733" s="8" t="s">
        <v>231</v>
      </c>
      <c r="BE1733" s="4" t="s">
        <v>231</v>
      </c>
      <c r="BF1733" s="8" t="s">
        <v>231</v>
      </c>
      <c r="BG1733" s="7" t="s">
        <v>231</v>
      </c>
      <c r="BH1733" s="7" t="s">
        <v>231</v>
      </c>
      <c r="BI1733" s="7"/>
      <c r="BJ1733" s="4"/>
      <c r="BK1733" s="8"/>
      <c r="BL1733" s="2" t="s">
        <v>231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241</v>
      </c>
      <c r="BV1733" s="2" t="s">
        <v>231</v>
      </c>
      <c r="BW1733" s="2" t="s">
        <v>231</v>
      </c>
      <c r="BX1733" s="2" t="s">
        <v>241</v>
      </c>
      <c r="BY1733" s="2" t="s">
        <v>242</v>
      </c>
      <c r="BZ1733" s="2" t="s">
        <v>243</v>
      </c>
      <c r="CA1733" s="2" t="s">
        <v>231</v>
      </c>
      <c r="CB1733" s="2" t="s">
        <v>231</v>
      </c>
      <c r="CC1733" s="2" t="s">
        <v>244</v>
      </c>
      <c r="CD1733" s="2" t="s">
        <v>231</v>
      </c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>
        <v>100</v>
      </c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  <c r="HG1733" s="4"/>
      <c r="HH1733" s="4"/>
      <c r="HI1733" s="4"/>
      <c r="HJ1733" s="4"/>
      <c r="HK1733" s="4"/>
      <c r="HL1733" s="4"/>
    </row>
    <row r="1734">
      <c r="A1734" s="2" t="s">
        <v>7926</v>
      </c>
      <c r="B1734" s="2" t="s">
        <v>847</v>
      </c>
      <c r="C1734" s="2" t="s">
        <v>288</v>
      </c>
      <c r="D1734" s="2" t="s">
        <v>2003</v>
      </c>
      <c r="E1734" s="2" t="s">
        <v>2623</v>
      </c>
      <c r="F1734" s="2" t="s">
        <v>7927</v>
      </c>
      <c r="G1734" s="2" t="s">
        <v>7928</v>
      </c>
      <c r="H1734" s="2" t="s">
        <v>7927</v>
      </c>
      <c r="I1734" s="2" t="s">
        <v>7929</v>
      </c>
      <c r="J1734" s="2" t="s">
        <v>807</v>
      </c>
      <c r="K1734" s="2" t="s">
        <v>7908</v>
      </c>
      <c r="L1734" s="3">
        <v>34.2</v>
      </c>
      <c r="M1734" s="3">
        <v>35.91</v>
      </c>
      <c r="N1734" s="3">
        <v>67.99</v>
      </c>
      <c r="O1734" s="2" t="s">
        <v>243</v>
      </c>
      <c r="P1734" s="2" t="s">
        <v>270</v>
      </c>
      <c r="Q1734" s="2" t="s">
        <v>237</v>
      </c>
      <c r="R1734" s="2" t="s">
        <v>231</v>
      </c>
      <c r="S1734" s="2" t="s">
        <v>7930</v>
      </c>
      <c r="T1734" s="2" t="s">
        <v>231</v>
      </c>
      <c r="U1734" s="2" t="s">
        <v>327</v>
      </c>
      <c r="V1734" s="2" t="s">
        <v>1828</v>
      </c>
      <c r="W1734" s="2" t="s">
        <v>2541</v>
      </c>
      <c r="X1734" s="2" t="s">
        <v>273</v>
      </c>
      <c r="Y1734" s="2" t="s">
        <v>7931</v>
      </c>
      <c r="Z1734" s="4">
        <v>109</v>
      </c>
      <c r="AA1734" s="4">
        <f>=ROUNDDOWN(30.2777777777778,0)</f>
      </c>
      <c r="AB1734" s="5">
        <v>3.6</v>
      </c>
      <c r="AC1734" s="2" t="s">
        <v>231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231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/>
      <c r="BD1734" s="8"/>
      <c r="BE1734" s="4"/>
      <c r="BF1734" s="8"/>
      <c r="BG1734" s="7"/>
      <c r="BH1734" s="7"/>
      <c r="BI1734" s="7"/>
      <c r="BJ1734" s="4">
        <v>16</v>
      </c>
      <c r="BK1734" s="8">
        <v>677.66</v>
      </c>
      <c r="BL1734" s="2" t="s">
        <v>2801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7932</v>
      </c>
      <c r="BV1734" s="2" t="s">
        <v>231</v>
      </c>
      <c r="BW1734" s="2" t="s">
        <v>231</v>
      </c>
      <c r="BX1734" s="2" t="s">
        <v>231</v>
      </c>
      <c r="BY1734" s="2" t="s">
        <v>277</v>
      </c>
      <c r="BZ1734" s="2" t="s">
        <v>243</v>
      </c>
      <c r="CA1734" s="2" t="s">
        <v>4440</v>
      </c>
      <c r="CB1734" s="2" t="s">
        <v>7933</v>
      </c>
      <c r="CC1734" s="2" t="s">
        <v>244</v>
      </c>
      <c r="CD1734" s="2" t="s">
        <v>231</v>
      </c>
      <c r="CE1734" s="4"/>
      <c r="CF1734" s="4">
        <v>109</v>
      </c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4"/>
      <c r="HJ1734" s="4"/>
      <c r="HK1734" s="4"/>
      <c r="HL1734" s="4"/>
    </row>
    <row r="1735">
      <c r="A1735" s="2" t="s">
        <v>7934</v>
      </c>
      <c r="B1735" s="2" t="s">
        <v>226</v>
      </c>
      <c r="C1735" s="2" t="s">
        <v>1299</v>
      </c>
      <c r="D1735" s="2" t="s">
        <v>1624</v>
      </c>
      <c r="E1735" s="2" t="s">
        <v>1625</v>
      </c>
      <c r="F1735" s="2" t="s">
        <v>7935</v>
      </c>
      <c r="G1735" s="2" t="s">
        <v>7935</v>
      </c>
      <c r="H1735" s="2" t="s">
        <v>7935</v>
      </c>
      <c r="I1735" s="2" t="s">
        <v>7936</v>
      </c>
      <c r="J1735" s="2" t="s">
        <v>1628</v>
      </c>
      <c r="K1735" s="2" t="s">
        <v>255</v>
      </c>
      <c r="L1735" s="3">
        <v>16.1</v>
      </c>
      <c r="M1735" s="3">
        <v>16.9</v>
      </c>
      <c r="N1735" s="3">
        <v>34.99</v>
      </c>
      <c r="O1735" s="2" t="s">
        <v>243</v>
      </c>
      <c r="P1735" s="2" t="s">
        <v>341</v>
      </c>
      <c r="Q1735" s="2" t="s">
        <v>237</v>
      </c>
      <c r="R1735" s="2" t="s">
        <v>231</v>
      </c>
      <c r="S1735" s="2" t="s">
        <v>7937</v>
      </c>
      <c r="T1735" s="2" t="s">
        <v>970</v>
      </c>
      <c r="U1735" s="2" t="s">
        <v>231</v>
      </c>
      <c r="V1735" s="2" t="s">
        <v>1304</v>
      </c>
      <c r="W1735" s="2" t="s">
        <v>897</v>
      </c>
      <c r="X1735" s="2" t="s">
        <v>971</v>
      </c>
      <c r="Y1735" s="2" t="s">
        <v>7938</v>
      </c>
      <c r="Z1735" s="4"/>
      <c r="AA1735" s="4">
        <f>=ROUNDDOWN({0},0)</f>
      </c>
      <c r="AB1735" s="5">
        <v>15</v>
      </c>
      <c r="AC1735" s="2" t="s">
        <v>231</v>
      </c>
      <c r="AD1735" s="4"/>
      <c r="AE1735" s="4"/>
      <c r="AF1735" s="6">
        <v>65</v>
      </c>
      <c r="AG1735" s="6"/>
      <c r="AH1735" s="7">
        <v>0</v>
      </c>
      <c r="AI1735" s="4"/>
      <c r="AJ1735" s="4">
        <f>=ROUNDDOWN({0},0)</f>
      </c>
      <c r="AK1735" s="5"/>
      <c r="AL1735" s="2" t="s">
        <v>231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/>
      <c r="BK1735" s="8"/>
      <c r="BL1735" s="2" t="s">
        <v>6026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7939</v>
      </c>
      <c r="BV1735" s="2" t="s">
        <v>231</v>
      </c>
      <c r="BW1735" s="2" t="s">
        <v>231</v>
      </c>
      <c r="BX1735" s="2" t="s">
        <v>1360</v>
      </c>
      <c r="BY1735" s="2" t="s">
        <v>277</v>
      </c>
      <c r="BZ1735" s="2" t="s">
        <v>243</v>
      </c>
      <c r="CA1735" s="2" t="s">
        <v>1633</v>
      </c>
      <c r="CB1735" s="2" t="s">
        <v>7940</v>
      </c>
      <c r="CC1735" s="2" t="s">
        <v>244</v>
      </c>
      <c r="CD1735" s="2" t="s">
        <v>231</v>
      </c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  <c r="HG1735" s="4"/>
      <c r="HH1735" s="4"/>
      <c r="HI1735" s="4"/>
      <c r="HJ1735" s="4"/>
      <c r="HK1735" s="4"/>
      <c r="HL1735" s="4"/>
    </row>
    <row r="1736">
      <c r="A1736" s="2" t="s">
        <v>7941</v>
      </c>
      <c r="B1736" s="2" t="s">
        <v>992</v>
      </c>
      <c r="C1736" s="2" t="s">
        <v>288</v>
      </c>
      <c r="D1736" s="2" t="s">
        <v>993</v>
      </c>
      <c r="E1736" s="2" t="s">
        <v>2042</v>
      </c>
      <c r="F1736" s="2" t="s">
        <v>7942</v>
      </c>
      <c r="G1736" s="2" t="s">
        <v>7943</v>
      </c>
      <c r="H1736" s="2" t="s">
        <v>7944</v>
      </c>
      <c r="I1736" s="2" t="s">
        <v>7945</v>
      </c>
      <c r="J1736" s="2" t="s">
        <v>996</v>
      </c>
      <c r="K1736" s="2" t="s">
        <v>7946</v>
      </c>
      <c r="L1736" s="3">
        <v>14.19</v>
      </c>
      <c r="M1736" s="3">
        <v>14.9</v>
      </c>
      <c r="N1736" s="3">
        <v>32.99</v>
      </c>
      <c r="O1736" s="2" t="s">
        <v>243</v>
      </c>
      <c r="P1736" s="2" t="s">
        <v>236</v>
      </c>
      <c r="Q1736" s="2" t="s">
        <v>237</v>
      </c>
      <c r="R1736" s="2" t="s">
        <v>231</v>
      </c>
      <c r="S1736" s="2" t="s">
        <v>7947</v>
      </c>
      <c r="T1736" s="2" t="s">
        <v>231</v>
      </c>
      <c r="U1736" s="2" t="s">
        <v>327</v>
      </c>
      <c r="V1736" s="2" t="s">
        <v>363</v>
      </c>
      <c r="W1736" s="2" t="s">
        <v>363</v>
      </c>
      <c r="X1736" s="2" t="s">
        <v>2042</v>
      </c>
      <c r="Y1736" s="2" t="s">
        <v>3622</v>
      </c>
      <c r="Z1736" s="4">
        <v>2</v>
      </c>
      <c r="AA1736" s="4">
        <f>=ROUNDDOWN(0.10989010989011,0)</f>
      </c>
      <c r="AB1736" s="5">
        <v>18.2</v>
      </c>
      <c r="AC1736" s="2" t="s">
        <v>1705</v>
      </c>
      <c r="AD1736" s="4">
        <v>312</v>
      </c>
      <c r="AE1736" s="4">
        <v>772</v>
      </c>
      <c r="AF1736" s="6">
        <v>65</v>
      </c>
      <c r="AG1736" s="6"/>
      <c r="AH1736" s="7">
        <v>0</v>
      </c>
      <c r="AI1736" s="4"/>
      <c r="AJ1736" s="4">
        <f>=ROUNDDOWN({0},0)</f>
      </c>
      <c r="AK1736" s="5"/>
      <c r="AL1736" s="2" t="s">
        <v>231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/>
      <c r="BK1736" s="8"/>
      <c r="BL1736" s="2" t="s">
        <v>231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7948</v>
      </c>
      <c r="BV1736" s="2" t="s">
        <v>231</v>
      </c>
      <c r="BW1736" s="2" t="s">
        <v>231</v>
      </c>
      <c r="BX1736" s="2" t="s">
        <v>5538</v>
      </c>
      <c r="BY1736" s="2" t="s">
        <v>277</v>
      </c>
      <c r="BZ1736" s="2" t="s">
        <v>243</v>
      </c>
      <c r="CA1736" s="2" t="s">
        <v>3681</v>
      </c>
      <c r="CB1736" s="2" t="s">
        <v>7009</v>
      </c>
      <c r="CC1736" s="2" t="s">
        <v>244</v>
      </c>
      <c r="CD1736" s="2" t="s">
        <v>231</v>
      </c>
      <c r="CE1736" s="4">
        <v>2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>
        <v>312</v>
      </c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>
        <v>460</v>
      </c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4"/>
      <c r="HJ1736" s="4"/>
      <c r="HK1736" s="4"/>
      <c r="HL1736" s="4"/>
    </row>
    <row r="1737">
      <c r="A1737" s="2" t="s">
        <v>7949</v>
      </c>
      <c r="B1737" s="2" t="s">
        <v>1004</v>
      </c>
      <c r="C1737" s="2" t="s">
        <v>815</v>
      </c>
      <c r="D1737" s="2" t="s">
        <v>1922</v>
      </c>
      <c r="E1737" s="2" t="s">
        <v>1923</v>
      </c>
      <c r="F1737" s="2" t="s">
        <v>7950</v>
      </c>
      <c r="G1737" s="2" t="s">
        <v>7950</v>
      </c>
      <c r="H1737" s="2" t="s">
        <v>7950</v>
      </c>
      <c r="I1737" s="2" t="s">
        <v>7951</v>
      </c>
      <c r="J1737" s="2" t="s">
        <v>807</v>
      </c>
      <c r="K1737" s="2" t="s">
        <v>1146</v>
      </c>
      <c r="L1737" s="3">
        <v>190</v>
      </c>
      <c r="M1737" s="3">
        <v>199.5</v>
      </c>
      <c r="N1737" s="3">
        <v>399</v>
      </c>
      <c r="O1737" s="2" t="s">
        <v>243</v>
      </c>
      <c r="P1737" s="2" t="s">
        <v>1985</v>
      </c>
      <c r="Q1737" s="2" t="s">
        <v>237</v>
      </c>
      <c r="R1737" s="2" t="s">
        <v>231</v>
      </c>
      <c r="S1737" s="2" t="s">
        <v>231</v>
      </c>
      <c r="T1737" s="2" t="s">
        <v>231</v>
      </c>
      <c r="U1737" s="2" t="s">
        <v>791</v>
      </c>
      <c r="V1737" s="2" t="s">
        <v>239</v>
      </c>
      <c r="W1737" s="2" t="s">
        <v>691</v>
      </c>
      <c r="X1737" s="2" t="s">
        <v>808</v>
      </c>
      <c r="Y1737" s="2" t="s">
        <v>7952</v>
      </c>
      <c r="Z1737" s="4">
        <v>25</v>
      </c>
      <c r="AA1737" s="4">
        <f>=ROUNDDOWN(25,0)</f>
      </c>
      <c r="AB1737" s="5">
        <v>1</v>
      </c>
      <c r="AC1737" s="2" t="s">
        <v>1754</v>
      </c>
      <c r="AD1737" s="4">
        <v>100</v>
      </c>
      <c r="AE1737" s="4">
        <v>100</v>
      </c>
      <c r="AF1737" s="6">
        <v>66</v>
      </c>
      <c r="AG1737" s="6"/>
      <c r="AH1737" s="7">
        <v>1</v>
      </c>
      <c r="AI1737" s="4"/>
      <c r="AJ1737" s="4">
        <f>=ROUNDDOWN({0},0)</f>
      </c>
      <c r="AK1737" s="5"/>
      <c r="AL1737" s="2" t="s">
        <v>231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/>
      <c r="BD1737" s="8"/>
      <c r="BE1737" s="4"/>
      <c r="BF1737" s="8"/>
      <c r="BG1737" s="7"/>
      <c r="BH1737" s="7"/>
      <c r="BI1737" s="7"/>
      <c r="BJ1737" s="4">
        <v>3</v>
      </c>
      <c r="BK1737" s="8">
        <v>661.97</v>
      </c>
      <c r="BL1737" s="2" t="s">
        <v>7953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7954</v>
      </c>
      <c r="BV1737" s="2" t="s">
        <v>231</v>
      </c>
      <c r="BW1737" s="2" t="s">
        <v>231</v>
      </c>
      <c r="BX1737" s="2" t="s">
        <v>241</v>
      </c>
      <c r="BY1737" s="2" t="s">
        <v>277</v>
      </c>
      <c r="BZ1737" s="2" t="s">
        <v>243</v>
      </c>
      <c r="CA1737" s="2" t="s">
        <v>7955</v>
      </c>
      <c r="CB1737" s="2" t="s">
        <v>6354</v>
      </c>
      <c r="CC1737" s="2" t="s">
        <v>244</v>
      </c>
      <c r="CD1737" s="2" t="s">
        <v>231</v>
      </c>
      <c r="CE1737" s="4"/>
      <c r="CF1737" s="4">
        <v>25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>
        <v>100</v>
      </c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4"/>
      <c r="HJ1737" s="4"/>
      <c r="HK1737" s="4"/>
      <c r="HL1737" s="4"/>
    </row>
    <row r="1738">
      <c r="A1738" s="2" t="s">
        <v>7956</v>
      </c>
      <c r="B1738" s="2" t="s">
        <v>262</v>
      </c>
      <c r="C1738" s="2" t="s">
        <v>965</v>
      </c>
      <c r="D1738" s="2" t="s">
        <v>654</v>
      </c>
      <c r="E1738" s="2" t="s">
        <v>1200</v>
      </c>
      <c r="F1738" s="2" t="s">
        <v>7957</v>
      </c>
      <c r="G1738" s="2" t="s">
        <v>7957</v>
      </c>
      <c r="H1738" s="2" t="s">
        <v>7957</v>
      </c>
      <c r="I1738" s="2" t="s">
        <v>7958</v>
      </c>
      <c r="J1738" s="2" t="s">
        <v>318</v>
      </c>
      <c r="K1738" s="2" t="s">
        <v>319</v>
      </c>
      <c r="L1738" s="3">
        <v>73.6</v>
      </c>
      <c r="M1738" s="3">
        <v>77.28</v>
      </c>
      <c r="N1738" s="3">
        <v>159.99</v>
      </c>
      <c r="O1738" s="2" t="s">
        <v>243</v>
      </c>
      <c r="P1738" s="2" t="s">
        <v>341</v>
      </c>
      <c r="Q1738" s="2" t="s">
        <v>237</v>
      </c>
      <c r="R1738" s="2" t="s">
        <v>231</v>
      </c>
      <c r="S1738" s="2" t="s">
        <v>7959</v>
      </c>
      <c r="T1738" s="2" t="s">
        <v>362</v>
      </c>
      <c r="U1738" s="2" t="s">
        <v>231</v>
      </c>
      <c r="V1738" s="2" t="s">
        <v>239</v>
      </c>
      <c r="W1738" s="2" t="s">
        <v>273</v>
      </c>
      <c r="X1738" s="2" t="s">
        <v>231</v>
      </c>
      <c r="Y1738" s="2" t="s">
        <v>274</v>
      </c>
      <c r="Z1738" s="4">
        <v>25</v>
      </c>
      <c r="AA1738" s="4">
        <f>=ROUNDDOWN(12.5,0)</f>
      </c>
      <c r="AB1738" s="5">
        <v>2</v>
      </c>
      <c r="AC1738" s="2" t="s">
        <v>231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231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231</v>
      </c>
      <c r="AW1738" s="8" t="s">
        <v>231</v>
      </c>
      <c r="AX1738" s="4" t="s">
        <v>231</v>
      </c>
      <c r="AY1738" s="8" t="s">
        <v>231</v>
      </c>
      <c r="AZ1738" s="7" t="s">
        <v>231</v>
      </c>
      <c r="BA1738" s="7" t="s">
        <v>231</v>
      </c>
      <c r="BB1738" s="7"/>
      <c r="BC1738" s="4" t="s">
        <v>231</v>
      </c>
      <c r="BD1738" s="8" t="s">
        <v>231</v>
      </c>
      <c r="BE1738" s="4" t="s">
        <v>231</v>
      </c>
      <c r="BF1738" s="8" t="s">
        <v>231</v>
      </c>
      <c r="BG1738" s="7" t="s">
        <v>231</v>
      </c>
      <c r="BH1738" s="7" t="s">
        <v>231</v>
      </c>
      <c r="BI1738" s="7"/>
      <c r="BJ1738" s="4"/>
      <c r="BK1738" s="8"/>
      <c r="BL1738" s="2" t="s">
        <v>1120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7960</v>
      </c>
      <c r="BV1738" s="2" t="s">
        <v>231</v>
      </c>
      <c r="BW1738" s="2" t="s">
        <v>231</v>
      </c>
      <c r="BX1738" s="2" t="s">
        <v>231</v>
      </c>
      <c r="BY1738" s="2" t="s">
        <v>277</v>
      </c>
      <c r="BZ1738" s="2" t="s">
        <v>243</v>
      </c>
      <c r="CA1738" s="2" t="s">
        <v>284</v>
      </c>
      <c r="CB1738" s="2" t="s">
        <v>7961</v>
      </c>
      <c r="CC1738" s="2" t="s">
        <v>244</v>
      </c>
      <c r="CD1738" s="2" t="s">
        <v>231</v>
      </c>
      <c r="CE1738" s="4">
        <v>25</v>
      </c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4"/>
      <c r="HJ1738" s="4"/>
      <c r="HK1738" s="4"/>
      <c r="HL1738" s="4"/>
    </row>
    <row r="1739">
      <c r="A1739" s="2" t="s">
        <v>7962</v>
      </c>
      <c r="B1739" s="2" t="s">
        <v>262</v>
      </c>
      <c r="C1739" s="2" t="s">
        <v>965</v>
      </c>
      <c r="D1739" s="2" t="s">
        <v>654</v>
      </c>
      <c r="E1739" s="2" t="s">
        <v>1200</v>
      </c>
      <c r="F1739" s="2" t="s">
        <v>7957</v>
      </c>
      <c r="G1739" s="2" t="s">
        <v>7957</v>
      </c>
      <c r="H1739" s="2" t="s">
        <v>7957</v>
      </c>
      <c r="I1739" s="2" t="s">
        <v>7958</v>
      </c>
      <c r="J1739" s="2" t="s">
        <v>302</v>
      </c>
      <c r="K1739" s="2" t="s">
        <v>319</v>
      </c>
      <c r="L1739" s="3">
        <v>110.4</v>
      </c>
      <c r="M1739" s="3">
        <v>115.92</v>
      </c>
      <c r="N1739" s="3">
        <v>239.99</v>
      </c>
      <c r="O1739" s="2" t="s">
        <v>243</v>
      </c>
      <c r="P1739" s="2" t="s">
        <v>341</v>
      </c>
      <c r="Q1739" s="2" t="s">
        <v>237</v>
      </c>
      <c r="R1739" s="2" t="s">
        <v>231</v>
      </c>
      <c r="S1739" s="2" t="s">
        <v>7959</v>
      </c>
      <c r="T1739" s="2" t="s">
        <v>362</v>
      </c>
      <c r="U1739" s="2" t="s">
        <v>231</v>
      </c>
      <c r="V1739" s="2" t="s">
        <v>239</v>
      </c>
      <c r="W1739" s="2" t="s">
        <v>273</v>
      </c>
      <c r="X1739" s="2" t="s">
        <v>231</v>
      </c>
      <c r="Y1739" s="2" t="s">
        <v>274</v>
      </c>
      <c r="Z1739" s="4">
        <v>24</v>
      </c>
      <c r="AA1739" s="4">
        <f>=ROUNDDOWN(8,0)</f>
      </c>
      <c r="AB1739" s="5">
        <v>3</v>
      </c>
      <c r="AC1739" s="2" t="s">
        <v>231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231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231</v>
      </c>
      <c r="AW1739" s="8" t="s">
        <v>231</v>
      </c>
      <c r="AX1739" s="4" t="s">
        <v>231</v>
      </c>
      <c r="AY1739" s="8" t="s">
        <v>231</v>
      </c>
      <c r="AZ1739" s="7" t="s">
        <v>231</v>
      </c>
      <c r="BA1739" s="7" t="s">
        <v>231</v>
      </c>
      <c r="BB1739" s="7"/>
      <c r="BC1739" s="4" t="s">
        <v>231</v>
      </c>
      <c r="BD1739" s="8" t="s">
        <v>231</v>
      </c>
      <c r="BE1739" s="4" t="s">
        <v>231</v>
      </c>
      <c r="BF1739" s="8" t="s">
        <v>231</v>
      </c>
      <c r="BG1739" s="7" t="s">
        <v>231</v>
      </c>
      <c r="BH1739" s="7" t="s">
        <v>231</v>
      </c>
      <c r="BI1739" s="7"/>
      <c r="BJ1739" s="4">
        <v>2</v>
      </c>
      <c r="BK1739" s="8">
        <v>198.33</v>
      </c>
      <c r="BL1739" s="2" t="s">
        <v>2347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7963</v>
      </c>
      <c r="BV1739" s="2" t="s">
        <v>231</v>
      </c>
      <c r="BW1739" s="2" t="s">
        <v>231</v>
      </c>
      <c r="BX1739" s="2" t="s">
        <v>231</v>
      </c>
      <c r="BY1739" s="2" t="s">
        <v>277</v>
      </c>
      <c r="BZ1739" s="2" t="s">
        <v>243</v>
      </c>
      <c r="CA1739" s="2" t="s">
        <v>284</v>
      </c>
      <c r="CB1739" s="2" t="s">
        <v>7004</v>
      </c>
      <c r="CC1739" s="2" t="s">
        <v>244</v>
      </c>
      <c r="CD1739" s="2" t="s">
        <v>231</v>
      </c>
      <c r="CE1739" s="4">
        <v>24</v>
      </c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4"/>
      <c r="HE1739" s="4"/>
      <c r="HF1739" s="4"/>
      <c r="HG1739" s="4"/>
      <c r="HH1739" s="4"/>
      <c r="HI1739" s="4"/>
      <c r="HJ1739" s="4"/>
      <c r="HK1739" s="4"/>
      <c r="HL1739" s="4"/>
    </row>
    <row r="1740">
      <c r="A1740" s="2" t="s">
        <v>7964</v>
      </c>
      <c r="B1740" s="2" t="s">
        <v>262</v>
      </c>
      <c r="C1740" s="2" t="s">
        <v>965</v>
      </c>
      <c r="D1740" s="2" t="s">
        <v>654</v>
      </c>
      <c r="E1740" s="2" t="s">
        <v>1200</v>
      </c>
      <c r="F1740" s="2" t="s">
        <v>7965</v>
      </c>
      <c r="G1740" s="2" t="s">
        <v>7965</v>
      </c>
      <c r="H1740" s="2" t="s">
        <v>7965</v>
      </c>
      <c r="I1740" s="2" t="s">
        <v>7958</v>
      </c>
      <c r="J1740" s="2" t="s">
        <v>658</v>
      </c>
      <c r="K1740" s="2" t="s">
        <v>319</v>
      </c>
      <c r="L1740" s="3">
        <v>110.4</v>
      </c>
      <c r="M1740" s="3">
        <v>115.92</v>
      </c>
      <c r="N1740" s="3">
        <v>239.99</v>
      </c>
      <c r="O1740" s="2" t="s">
        <v>243</v>
      </c>
      <c r="P1740" s="2" t="s">
        <v>341</v>
      </c>
      <c r="Q1740" s="2" t="s">
        <v>237</v>
      </c>
      <c r="R1740" s="2" t="s">
        <v>231</v>
      </c>
      <c r="S1740" s="2" t="s">
        <v>7959</v>
      </c>
      <c r="T1740" s="2" t="s">
        <v>362</v>
      </c>
      <c r="U1740" s="2" t="s">
        <v>231</v>
      </c>
      <c r="V1740" s="2" t="s">
        <v>239</v>
      </c>
      <c r="W1740" s="2" t="s">
        <v>273</v>
      </c>
      <c r="X1740" s="2" t="s">
        <v>231</v>
      </c>
      <c r="Y1740" s="2" t="s">
        <v>274</v>
      </c>
      <c r="Z1740" s="4">
        <v>4</v>
      </c>
      <c r="AA1740" s="4">
        <f>=ROUNDDOWN(1.33333333333333,0)</f>
      </c>
      <c r="AB1740" s="5">
        <v>3</v>
      </c>
      <c r="AC1740" s="2" t="s">
        <v>231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231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/>
      <c r="BD1740" s="8"/>
      <c r="BE1740" s="4"/>
      <c r="BF1740" s="8"/>
      <c r="BG1740" s="7"/>
      <c r="BH1740" s="7"/>
      <c r="BI1740" s="7"/>
      <c r="BJ1740" s="4">
        <v>3</v>
      </c>
      <c r="BK1740" s="8">
        <v>355.62</v>
      </c>
      <c r="BL1740" s="2" t="s">
        <v>838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7966</v>
      </c>
      <c r="BV1740" s="2" t="s">
        <v>231</v>
      </c>
      <c r="BW1740" s="2" t="s">
        <v>231</v>
      </c>
      <c r="BX1740" s="2" t="s">
        <v>231</v>
      </c>
      <c r="BY1740" s="2" t="s">
        <v>277</v>
      </c>
      <c r="BZ1740" s="2" t="s">
        <v>243</v>
      </c>
      <c r="CA1740" s="2" t="s">
        <v>284</v>
      </c>
      <c r="CB1740" s="2" t="s">
        <v>7967</v>
      </c>
      <c r="CC1740" s="2" t="s">
        <v>244</v>
      </c>
      <c r="CD1740" s="2" t="s">
        <v>231</v>
      </c>
      <c r="CE1740" s="4">
        <v>4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  <c r="HF1740" s="4"/>
      <c r="HG1740" s="4"/>
      <c r="HH1740" s="4"/>
      <c r="HI1740" s="4"/>
      <c r="HJ1740" s="4"/>
      <c r="HK1740" s="4"/>
      <c r="HL1740" s="4"/>
    </row>
    <row r="1741">
      <c r="A1741" s="2" t="s">
        <v>7968</v>
      </c>
      <c r="B1741" s="2" t="s">
        <v>824</v>
      </c>
      <c r="C1741" s="2" t="s">
        <v>825</v>
      </c>
      <c r="D1741" s="2" t="s">
        <v>1462</v>
      </c>
      <c r="E1741" s="2" t="s">
        <v>1463</v>
      </c>
      <c r="F1741" s="2" t="s">
        <v>7969</v>
      </c>
      <c r="G1741" s="2" t="s">
        <v>3219</v>
      </c>
      <c r="H1741" s="2" t="s">
        <v>7689</v>
      </c>
      <c r="I1741" s="2" t="s">
        <v>7970</v>
      </c>
      <c r="J1741" s="2" t="s">
        <v>832</v>
      </c>
      <c r="K1741" s="2" t="s">
        <v>985</v>
      </c>
      <c r="L1741" s="3">
        <v>32.2</v>
      </c>
      <c r="M1741" s="3">
        <v>33.81</v>
      </c>
      <c r="N1741" s="3">
        <v>69.99</v>
      </c>
      <c r="O1741" s="2" t="s">
        <v>250</v>
      </c>
      <c r="P1741" s="2" t="s">
        <v>341</v>
      </c>
      <c r="Q1741" s="2" t="s">
        <v>237</v>
      </c>
      <c r="R1741" s="2" t="s">
        <v>231</v>
      </c>
      <c r="S1741" s="2" t="s">
        <v>7971</v>
      </c>
      <c r="T1741" s="2" t="s">
        <v>362</v>
      </c>
      <c r="U1741" s="2" t="s">
        <v>791</v>
      </c>
      <c r="V1741" s="2" t="s">
        <v>1685</v>
      </c>
      <c r="W1741" s="2" t="s">
        <v>2541</v>
      </c>
      <c r="X1741" s="2" t="s">
        <v>273</v>
      </c>
      <c r="Y1741" s="2" t="s">
        <v>4995</v>
      </c>
      <c r="Z1741" s="4"/>
      <c r="AA1741" s="4">
        <f>=ROUNDDOWN({0},0)</f>
      </c>
      <c r="AB1741" s="5"/>
      <c r="AC1741" s="2" t="s">
        <v>231</v>
      </c>
      <c r="AD1741" s="4"/>
      <c r="AE1741" s="4"/>
      <c r="AF1741" s="6"/>
      <c r="AG1741" s="6"/>
      <c r="AH1741" s="7">
        <v>0</v>
      </c>
      <c r="AI1741" s="4"/>
      <c r="AJ1741" s="4">
        <f>=ROUNDDOWN({0},0)</f>
      </c>
      <c r="AK1741" s="5"/>
      <c r="AL1741" s="2" t="s">
        <v>231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/>
      <c r="BD1741" s="8"/>
      <c r="BE1741" s="4"/>
      <c r="BF1741" s="8"/>
      <c r="BG1741" s="7"/>
      <c r="BH1741" s="7"/>
      <c r="BI1741" s="7"/>
      <c r="BJ1741" s="4"/>
      <c r="BK1741" s="8"/>
      <c r="BL1741" s="2" t="s">
        <v>231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7972</v>
      </c>
      <c r="BV1741" s="2" t="s">
        <v>231</v>
      </c>
      <c r="BW1741" s="2" t="s">
        <v>231</v>
      </c>
      <c r="BX1741" s="2" t="s">
        <v>231</v>
      </c>
      <c r="BY1741" s="2" t="s">
        <v>277</v>
      </c>
      <c r="BZ1741" s="2" t="s">
        <v>243</v>
      </c>
      <c r="CA1741" s="2" t="s">
        <v>7973</v>
      </c>
      <c r="CB1741" s="2" t="s">
        <v>7974</v>
      </c>
      <c r="CC1741" s="2" t="s">
        <v>244</v>
      </c>
      <c r="CD1741" s="2" t="s">
        <v>231</v>
      </c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  <c r="HG1741" s="4"/>
      <c r="HH1741" s="4"/>
      <c r="HI1741" s="4"/>
      <c r="HJ1741" s="4"/>
      <c r="HK1741" s="4"/>
      <c r="HL1741" s="4"/>
    </row>
    <row r="1742">
      <c r="A1742" s="2" t="s">
        <v>7975</v>
      </c>
      <c r="B1742" s="2" t="s">
        <v>847</v>
      </c>
      <c r="C1742" s="2" t="s">
        <v>867</v>
      </c>
      <c r="D1742" s="2" t="s">
        <v>2003</v>
      </c>
      <c r="E1742" s="2" t="s">
        <v>6975</v>
      </c>
      <c r="F1742" s="2" t="s">
        <v>5532</v>
      </c>
      <c r="G1742" s="2" t="s">
        <v>5532</v>
      </c>
      <c r="H1742" s="2" t="s">
        <v>5532</v>
      </c>
      <c r="I1742" s="2" t="s">
        <v>7976</v>
      </c>
      <c r="J1742" s="2" t="s">
        <v>807</v>
      </c>
      <c r="K1742" s="2" t="s">
        <v>2312</v>
      </c>
      <c r="L1742" s="3">
        <v>40.47</v>
      </c>
      <c r="M1742" s="3">
        <v>42.49</v>
      </c>
      <c r="N1742" s="3">
        <v>84.99</v>
      </c>
      <c r="O1742" s="2" t="s">
        <v>243</v>
      </c>
      <c r="P1742" s="2" t="s">
        <v>236</v>
      </c>
      <c r="Q1742" s="2" t="s">
        <v>237</v>
      </c>
      <c r="R1742" s="2" t="s">
        <v>231</v>
      </c>
      <c r="S1742" s="2" t="s">
        <v>231</v>
      </c>
      <c r="T1742" s="2" t="s">
        <v>231</v>
      </c>
      <c r="U1742" s="2" t="s">
        <v>327</v>
      </c>
      <c r="V1742" s="2" t="s">
        <v>381</v>
      </c>
      <c r="W1742" s="2" t="s">
        <v>5476</v>
      </c>
      <c r="X1742" s="2" t="s">
        <v>896</v>
      </c>
      <c r="Y1742" s="2" t="s">
        <v>1598</v>
      </c>
      <c r="Z1742" s="4">
        <v>57</v>
      </c>
      <c r="AA1742" s="4">
        <f>=ROUNDDOWN(43.8461538461538,0)</f>
      </c>
      <c r="AB1742" s="5">
        <v>1.3</v>
      </c>
      <c r="AC1742" s="2" t="s">
        <v>231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231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/>
      <c r="BD1742" s="8"/>
      <c r="BE1742" s="4"/>
      <c r="BF1742" s="8"/>
      <c r="BG1742" s="7"/>
      <c r="BH1742" s="7"/>
      <c r="BI1742" s="7"/>
      <c r="BJ1742" s="4">
        <v>10</v>
      </c>
      <c r="BK1742" s="8">
        <v>465.82</v>
      </c>
      <c r="BL1742" s="2" t="s">
        <v>2594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7977</v>
      </c>
      <c r="BV1742" s="2" t="s">
        <v>231</v>
      </c>
      <c r="BW1742" s="2" t="s">
        <v>231</v>
      </c>
      <c r="BX1742" s="2" t="s">
        <v>241</v>
      </c>
      <c r="BY1742" s="2" t="s">
        <v>277</v>
      </c>
      <c r="BZ1742" s="2" t="s">
        <v>243</v>
      </c>
      <c r="CA1742" s="2" t="s">
        <v>822</v>
      </c>
      <c r="CB1742" s="2" t="s">
        <v>6940</v>
      </c>
      <c r="CC1742" s="2" t="s">
        <v>244</v>
      </c>
      <c r="CD1742" s="2" t="s">
        <v>231</v>
      </c>
      <c r="CE1742" s="4"/>
      <c r="CF1742" s="4">
        <v>57</v>
      </c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  <c r="HG1742" s="4"/>
      <c r="HH1742" s="4"/>
      <c r="HI1742" s="4"/>
      <c r="HJ1742" s="4"/>
      <c r="HK1742" s="4"/>
      <c r="HL1742" s="4"/>
    </row>
    <row r="1743">
      <c r="A1743" s="2" t="s">
        <v>7978</v>
      </c>
      <c r="B1743" s="2" t="s">
        <v>1004</v>
      </c>
      <c r="C1743" s="2" t="s">
        <v>288</v>
      </c>
      <c r="D1743" s="2" t="s">
        <v>1689</v>
      </c>
      <c r="E1743" s="2" t="s">
        <v>7979</v>
      </c>
      <c r="F1743" s="2" t="s">
        <v>7980</v>
      </c>
      <c r="G1743" s="2" t="s">
        <v>7981</v>
      </c>
      <c r="H1743" s="2" t="s">
        <v>7982</v>
      </c>
      <c r="I1743" s="2" t="s">
        <v>7983</v>
      </c>
      <c r="J1743" s="2" t="s">
        <v>807</v>
      </c>
      <c r="K1743" s="2" t="s">
        <v>901</v>
      </c>
      <c r="L1743" s="3">
        <v>183.83</v>
      </c>
      <c r="M1743" s="3">
        <v>193.02</v>
      </c>
      <c r="N1743" s="3">
        <v>389</v>
      </c>
      <c r="O1743" s="2" t="s">
        <v>243</v>
      </c>
      <c r="P1743" s="2" t="s">
        <v>341</v>
      </c>
      <c r="Q1743" s="2" t="s">
        <v>237</v>
      </c>
      <c r="R1743" s="2" t="s">
        <v>231</v>
      </c>
      <c r="S1743" s="2" t="s">
        <v>231</v>
      </c>
      <c r="T1743" s="2" t="s">
        <v>231</v>
      </c>
      <c r="U1743" s="2" t="s">
        <v>327</v>
      </c>
      <c r="V1743" s="2" t="s">
        <v>662</v>
      </c>
      <c r="W1743" s="2" t="s">
        <v>792</v>
      </c>
      <c r="X1743" s="2" t="s">
        <v>273</v>
      </c>
      <c r="Y1743" s="2" t="s">
        <v>7364</v>
      </c>
      <c r="Z1743" s="4">
        <v>66</v>
      </c>
      <c r="AA1743" s="4">
        <f>=ROUNDDOWN(66,0)</f>
      </c>
      <c r="AB1743" s="5">
        <v>1</v>
      </c>
      <c r="AC1743" s="2" t="s">
        <v>231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231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231</v>
      </c>
      <c r="BD1743" s="8" t="s">
        <v>231</v>
      </c>
      <c r="BE1743" s="4" t="s">
        <v>231</v>
      </c>
      <c r="BF1743" s="8" t="s">
        <v>231</v>
      </c>
      <c r="BG1743" s="7" t="s">
        <v>231</v>
      </c>
      <c r="BH1743" s="7" t="s">
        <v>231</v>
      </c>
      <c r="BI1743" s="7"/>
      <c r="BJ1743" s="4">
        <v>5</v>
      </c>
      <c r="BK1743" s="8">
        <v>737.54</v>
      </c>
      <c r="BL1743" s="2" t="s">
        <v>7984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7985</v>
      </c>
      <c r="BV1743" s="2" t="s">
        <v>231</v>
      </c>
      <c r="BW1743" s="2" t="s">
        <v>231</v>
      </c>
      <c r="BX1743" s="2" t="s">
        <v>231</v>
      </c>
      <c r="BY1743" s="2" t="s">
        <v>277</v>
      </c>
      <c r="BZ1743" s="2" t="s">
        <v>243</v>
      </c>
      <c r="CA1743" s="2" t="s">
        <v>3257</v>
      </c>
      <c r="CB1743" s="2" t="s">
        <v>7986</v>
      </c>
      <c r="CC1743" s="2" t="s">
        <v>244</v>
      </c>
      <c r="CD1743" s="2" t="s">
        <v>231</v>
      </c>
      <c r="CE1743" s="4"/>
      <c r="CF1743" s="4">
        <v>66</v>
      </c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  <c r="HF1743" s="4"/>
      <c r="HG1743" s="4"/>
      <c r="HH1743" s="4"/>
      <c r="HI1743" s="4"/>
      <c r="HJ1743" s="4"/>
      <c r="HK1743" s="4"/>
      <c r="HL1743" s="4"/>
    </row>
    <row r="1744">
      <c r="A1744" s="2" t="s">
        <v>7987</v>
      </c>
      <c r="B1744" s="2" t="s">
        <v>824</v>
      </c>
      <c r="C1744" s="2" t="s">
        <v>825</v>
      </c>
      <c r="D1744" s="2" t="s">
        <v>654</v>
      </c>
      <c r="E1744" s="2" t="s">
        <v>655</v>
      </c>
      <c r="F1744" s="2" t="s">
        <v>7980</v>
      </c>
      <c r="G1744" s="2" t="s">
        <v>7988</v>
      </c>
      <c r="H1744" s="2" t="s">
        <v>5850</v>
      </c>
      <c r="I1744" s="2" t="s">
        <v>7989</v>
      </c>
      <c r="J1744" s="2" t="s">
        <v>832</v>
      </c>
      <c r="K1744" s="2" t="s">
        <v>7990</v>
      </c>
      <c r="L1744" s="3">
        <v>37.6</v>
      </c>
      <c r="M1744" s="3">
        <v>39.48</v>
      </c>
      <c r="N1744" s="3">
        <v>79.99</v>
      </c>
      <c r="O1744" s="2" t="s">
        <v>243</v>
      </c>
      <c r="P1744" s="2" t="s">
        <v>270</v>
      </c>
      <c r="Q1744" s="2" t="s">
        <v>237</v>
      </c>
      <c r="R1744" s="2" t="s">
        <v>231</v>
      </c>
      <c r="S1744" s="2" t="s">
        <v>7991</v>
      </c>
      <c r="T1744" s="2" t="s">
        <v>472</v>
      </c>
      <c r="U1744" s="2" t="s">
        <v>298</v>
      </c>
      <c r="V1744" s="2" t="s">
        <v>2195</v>
      </c>
      <c r="W1744" s="2" t="s">
        <v>299</v>
      </c>
      <c r="X1744" s="2" t="s">
        <v>1268</v>
      </c>
      <c r="Y1744" s="2" t="s">
        <v>7992</v>
      </c>
      <c r="Z1744" s="4">
        <v>135</v>
      </c>
      <c r="AA1744" s="4">
        <f>=ROUNDDOWN(27,0)</f>
      </c>
      <c r="AB1744" s="5">
        <v>5</v>
      </c>
      <c r="AC1744" s="2" t="s">
        <v>1580</v>
      </c>
      <c r="AD1744" s="4">
        <v>70</v>
      </c>
      <c r="AE1744" s="4">
        <v>130</v>
      </c>
      <c r="AF1744" s="6">
        <v>64</v>
      </c>
      <c r="AG1744" s="6"/>
      <c r="AH1744" s="7">
        <v>1</v>
      </c>
      <c r="AI1744" s="4"/>
      <c r="AJ1744" s="4">
        <f>=ROUNDDOWN({0},0)</f>
      </c>
      <c r="AK1744" s="5"/>
      <c r="AL1744" s="2" t="s">
        <v>231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231</v>
      </c>
      <c r="AW1744" s="8" t="s">
        <v>231</v>
      </c>
      <c r="AX1744" s="4" t="s">
        <v>231</v>
      </c>
      <c r="AY1744" s="8" t="s">
        <v>231</v>
      </c>
      <c r="AZ1744" s="7" t="s">
        <v>231</v>
      </c>
      <c r="BA1744" s="7" t="s">
        <v>231</v>
      </c>
      <c r="BB1744" s="7" t="s">
        <v>231</v>
      </c>
      <c r="BC1744" s="4" t="s">
        <v>231</v>
      </c>
      <c r="BD1744" s="8" t="s">
        <v>231</v>
      </c>
      <c r="BE1744" s="4" t="s">
        <v>231</v>
      </c>
      <c r="BF1744" s="8" t="s">
        <v>231</v>
      </c>
      <c r="BG1744" s="7" t="s">
        <v>231</v>
      </c>
      <c r="BH1744" s="7" t="s">
        <v>231</v>
      </c>
      <c r="BI1744" s="7"/>
      <c r="BJ1744" s="4">
        <v>8</v>
      </c>
      <c r="BK1744" s="8">
        <v>342.36</v>
      </c>
      <c r="BL1744" s="2" t="s">
        <v>7993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7994</v>
      </c>
      <c r="BV1744" s="2" t="s">
        <v>231</v>
      </c>
      <c r="BW1744" s="2" t="s">
        <v>231</v>
      </c>
      <c r="BX1744" s="2" t="s">
        <v>241</v>
      </c>
      <c r="BY1744" s="2" t="s">
        <v>277</v>
      </c>
      <c r="BZ1744" s="2" t="s">
        <v>243</v>
      </c>
      <c r="CA1744" s="2" t="s">
        <v>7992</v>
      </c>
      <c r="CB1744" s="2" t="s">
        <v>7249</v>
      </c>
      <c r="CC1744" s="2" t="s">
        <v>244</v>
      </c>
      <c r="CD1744" s="2" t="s">
        <v>231</v>
      </c>
      <c r="CE1744" s="4">
        <v>135</v>
      </c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>
        <v>70</v>
      </c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>
        <v>60</v>
      </c>
      <c r="HA1744" s="4"/>
      <c r="HB1744" s="4"/>
      <c r="HC1744" s="4"/>
      <c r="HD1744" s="4"/>
      <c r="HE1744" s="4"/>
      <c r="HF1744" s="4"/>
      <c r="HG1744" s="4"/>
      <c r="HH1744" s="4"/>
      <c r="HI1744" s="4"/>
      <c r="HJ1744" s="4"/>
      <c r="HK1744" s="4"/>
      <c r="HL1744" s="4"/>
    </row>
    <row r="1745">
      <c r="A1745" s="2" t="s">
        <v>7995</v>
      </c>
      <c r="B1745" s="2" t="s">
        <v>824</v>
      </c>
      <c r="C1745" s="2" t="s">
        <v>825</v>
      </c>
      <c r="D1745" s="2" t="s">
        <v>826</v>
      </c>
      <c r="E1745" s="2" t="s">
        <v>827</v>
      </c>
      <c r="F1745" s="2" t="s">
        <v>7980</v>
      </c>
      <c r="G1745" s="2" t="s">
        <v>7988</v>
      </c>
      <c r="H1745" s="2" t="s">
        <v>5850</v>
      </c>
      <c r="I1745" s="2" t="s">
        <v>7996</v>
      </c>
      <c r="J1745" s="2" t="s">
        <v>832</v>
      </c>
      <c r="K1745" s="2" t="s">
        <v>7990</v>
      </c>
      <c r="L1745" s="3">
        <v>26.95</v>
      </c>
      <c r="M1745" s="3">
        <v>28.3</v>
      </c>
      <c r="N1745" s="3">
        <v>54.99</v>
      </c>
      <c r="O1745" s="2" t="s">
        <v>243</v>
      </c>
      <c r="P1745" s="2" t="s">
        <v>270</v>
      </c>
      <c r="Q1745" s="2" t="s">
        <v>237</v>
      </c>
      <c r="R1745" s="2" t="s">
        <v>231</v>
      </c>
      <c r="S1745" s="2" t="s">
        <v>7991</v>
      </c>
      <c r="T1745" s="2" t="s">
        <v>472</v>
      </c>
      <c r="U1745" s="2" t="s">
        <v>298</v>
      </c>
      <c r="V1745" s="2" t="s">
        <v>2195</v>
      </c>
      <c r="W1745" s="2" t="s">
        <v>299</v>
      </c>
      <c r="X1745" s="2" t="s">
        <v>1268</v>
      </c>
      <c r="Y1745" s="2" t="s">
        <v>7992</v>
      </c>
      <c r="Z1745" s="4">
        <v>159</v>
      </c>
      <c r="AA1745" s="4">
        <f>=ROUNDDOWN(31.8,0)</f>
      </c>
      <c r="AB1745" s="5">
        <v>5</v>
      </c>
      <c r="AC1745" s="2" t="s">
        <v>1580</v>
      </c>
      <c r="AD1745" s="4">
        <v>60</v>
      </c>
      <c r="AE1745" s="4">
        <v>120</v>
      </c>
      <c r="AF1745" s="6">
        <v>64</v>
      </c>
      <c r="AG1745" s="6"/>
      <c r="AH1745" s="7">
        <v>1</v>
      </c>
      <c r="AI1745" s="4"/>
      <c r="AJ1745" s="4">
        <f>=ROUNDDOWN({0},0)</f>
      </c>
      <c r="AK1745" s="5"/>
      <c r="AL1745" s="2" t="s">
        <v>231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 t="s">
        <v>231</v>
      </c>
      <c r="AW1745" s="8" t="s">
        <v>231</v>
      </c>
      <c r="AX1745" s="4" t="s">
        <v>231</v>
      </c>
      <c r="AY1745" s="8" t="s">
        <v>231</v>
      </c>
      <c r="AZ1745" s="7" t="s">
        <v>231</v>
      </c>
      <c r="BA1745" s="7" t="s">
        <v>231</v>
      </c>
      <c r="BB1745" s="7" t="s">
        <v>231</v>
      </c>
      <c r="BC1745" s="4" t="s">
        <v>231</v>
      </c>
      <c r="BD1745" s="8" t="s">
        <v>231</v>
      </c>
      <c r="BE1745" s="4" t="s">
        <v>231</v>
      </c>
      <c r="BF1745" s="8" t="s">
        <v>231</v>
      </c>
      <c r="BG1745" s="7" t="s">
        <v>231</v>
      </c>
      <c r="BH1745" s="7" t="s">
        <v>231</v>
      </c>
      <c r="BI1745" s="7"/>
      <c r="BJ1745" s="4"/>
      <c r="BK1745" s="8"/>
      <c r="BL1745" s="2" t="s">
        <v>7997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7998</v>
      </c>
      <c r="BV1745" s="2" t="s">
        <v>231</v>
      </c>
      <c r="BW1745" s="2" t="s">
        <v>231</v>
      </c>
      <c r="BX1745" s="2" t="s">
        <v>241</v>
      </c>
      <c r="BY1745" s="2" t="s">
        <v>277</v>
      </c>
      <c r="BZ1745" s="2" t="s">
        <v>243</v>
      </c>
      <c r="CA1745" s="2" t="s">
        <v>7992</v>
      </c>
      <c r="CB1745" s="2" t="s">
        <v>7999</v>
      </c>
      <c r="CC1745" s="2" t="s">
        <v>244</v>
      </c>
      <c r="CD1745" s="2" t="s">
        <v>231</v>
      </c>
      <c r="CE1745" s="4">
        <v>159</v>
      </c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>
        <v>60</v>
      </c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>
        <v>60</v>
      </c>
      <c r="HA1745" s="4"/>
      <c r="HB1745" s="4"/>
      <c r="HC1745" s="4"/>
      <c r="HD1745" s="4"/>
      <c r="HE1745" s="4"/>
      <c r="HF1745" s="4"/>
      <c r="HG1745" s="4"/>
      <c r="HH1745" s="4"/>
      <c r="HI1745" s="4"/>
      <c r="HJ1745" s="4"/>
      <c r="HK1745" s="4"/>
      <c r="HL1745" s="4"/>
    </row>
    <row r="1746">
      <c r="A1746" s="2" t="s">
        <v>8000</v>
      </c>
      <c r="B1746" s="2" t="s">
        <v>1186</v>
      </c>
      <c r="C1746" s="2" t="s">
        <v>288</v>
      </c>
      <c r="D1746" s="2" t="s">
        <v>654</v>
      </c>
      <c r="E1746" s="2" t="s">
        <v>655</v>
      </c>
      <c r="F1746" s="2" t="s">
        <v>8001</v>
      </c>
      <c r="G1746" s="2" t="s">
        <v>8002</v>
      </c>
      <c r="H1746" s="2" t="s">
        <v>8003</v>
      </c>
      <c r="I1746" s="2" t="s">
        <v>2277</v>
      </c>
      <c r="J1746" s="2" t="s">
        <v>658</v>
      </c>
      <c r="K1746" s="2" t="s">
        <v>294</v>
      </c>
      <c r="L1746" s="3">
        <v>41.14</v>
      </c>
      <c r="M1746" s="3">
        <v>43.2</v>
      </c>
      <c r="N1746" s="3">
        <v>89.99</v>
      </c>
      <c r="O1746" s="2" t="s">
        <v>243</v>
      </c>
      <c r="P1746" s="2" t="s">
        <v>236</v>
      </c>
      <c r="Q1746" s="2" t="s">
        <v>237</v>
      </c>
      <c r="R1746" s="2" t="s">
        <v>231</v>
      </c>
      <c r="S1746" s="2" t="s">
        <v>8004</v>
      </c>
      <c r="T1746" s="2" t="s">
        <v>1432</v>
      </c>
      <c r="U1746" s="2" t="s">
        <v>765</v>
      </c>
      <c r="V1746" s="2" t="s">
        <v>1433</v>
      </c>
      <c r="W1746" s="2" t="s">
        <v>676</v>
      </c>
      <c r="X1746" s="2" t="s">
        <v>231</v>
      </c>
      <c r="Y1746" s="2" t="s">
        <v>2279</v>
      </c>
      <c r="Z1746" s="4">
        <v>220</v>
      </c>
      <c r="AA1746" s="4">
        <f>=ROUNDDOWN({0},0)</f>
      </c>
      <c r="AB1746" s="5"/>
      <c r="AC1746" s="2" t="s">
        <v>321</v>
      </c>
      <c r="AD1746" s="4">
        <v>220</v>
      </c>
      <c r="AE1746" s="4">
        <v>220</v>
      </c>
      <c r="AF1746" s="6">
        <v>64</v>
      </c>
      <c r="AG1746" s="6"/>
      <c r="AH1746" s="7">
        <v>0</v>
      </c>
      <c r="AI1746" s="4"/>
      <c r="AJ1746" s="4">
        <f>=ROUNDDOWN({0},0)</f>
      </c>
      <c r="AK1746" s="5"/>
      <c r="AL1746" s="2" t="s">
        <v>231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231</v>
      </c>
      <c r="AW1746" s="8" t="s">
        <v>231</v>
      </c>
      <c r="AX1746" s="4" t="s">
        <v>231</v>
      </c>
      <c r="AY1746" s="8" t="s">
        <v>231</v>
      </c>
      <c r="AZ1746" s="7" t="s">
        <v>231</v>
      </c>
      <c r="BA1746" s="7" t="s">
        <v>231</v>
      </c>
      <c r="BB1746" s="7"/>
      <c r="BC1746" s="4" t="s">
        <v>231</v>
      </c>
      <c r="BD1746" s="8" t="s">
        <v>231</v>
      </c>
      <c r="BE1746" s="4" t="s">
        <v>231</v>
      </c>
      <c r="BF1746" s="8" t="s">
        <v>231</v>
      </c>
      <c r="BG1746" s="7" t="s">
        <v>231</v>
      </c>
      <c r="BH1746" s="7" t="s">
        <v>231</v>
      </c>
      <c r="BI1746" s="7"/>
      <c r="BJ1746" s="4"/>
      <c r="BK1746" s="8"/>
      <c r="BL1746" s="2" t="s">
        <v>231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241</v>
      </c>
      <c r="BV1746" s="2" t="s">
        <v>231</v>
      </c>
      <c r="BW1746" s="2" t="s">
        <v>231</v>
      </c>
      <c r="BX1746" s="2" t="s">
        <v>241</v>
      </c>
      <c r="BY1746" s="2" t="s">
        <v>242</v>
      </c>
      <c r="BZ1746" s="2" t="s">
        <v>243</v>
      </c>
      <c r="CA1746" s="2" t="s">
        <v>231</v>
      </c>
      <c r="CB1746" s="2" t="s">
        <v>231</v>
      </c>
      <c r="CC1746" s="2" t="s">
        <v>244</v>
      </c>
      <c r="CD1746" s="2" t="s">
        <v>231</v>
      </c>
      <c r="CE1746" s="4"/>
      <c r="CF1746" s="4"/>
      <c r="CG1746" s="4"/>
      <c r="CH1746" s="4"/>
      <c r="CI1746" s="4"/>
      <c r="CJ1746" s="4"/>
      <c r="CK1746" s="4"/>
      <c r="CL1746" s="4">
        <v>220</v>
      </c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>
        <v>220</v>
      </c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4"/>
      <c r="HJ1746" s="4"/>
      <c r="HK1746" s="4"/>
      <c r="HL1746" s="4"/>
    </row>
    <row r="1747">
      <c r="A1747" s="2" t="s">
        <v>8005</v>
      </c>
      <c r="B1747" s="2" t="s">
        <v>1186</v>
      </c>
      <c r="C1747" s="2" t="s">
        <v>288</v>
      </c>
      <c r="D1747" s="2" t="s">
        <v>654</v>
      </c>
      <c r="E1747" s="2" t="s">
        <v>655</v>
      </c>
      <c r="F1747" s="2" t="s">
        <v>8001</v>
      </c>
      <c r="G1747" s="2" t="s">
        <v>8002</v>
      </c>
      <c r="H1747" s="2" t="s">
        <v>8003</v>
      </c>
      <c r="I1747" s="2" t="s">
        <v>2277</v>
      </c>
      <c r="J1747" s="2" t="s">
        <v>669</v>
      </c>
      <c r="K1747" s="2" t="s">
        <v>294</v>
      </c>
      <c r="L1747" s="3">
        <v>45.71</v>
      </c>
      <c r="M1747" s="3">
        <v>48</v>
      </c>
      <c r="N1747" s="3">
        <v>99.99</v>
      </c>
      <c r="O1747" s="2" t="s">
        <v>243</v>
      </c>
      <c r="P1747" s="2" t="s">
        <v>236</v>
      </c>
      <c r="Q1747" s="2" t="s">
        <v>237</v>
      </c>
      <c r="R1747" s="2" t="s">
        <v>231</v>
      </c>
      <c r="S1747" s="2" t="s">
        <v>8004</v>
      </c>
      <c r="T1747" s="2" t="s">
        <v>1432</v>
      </c>
      <c r="U1747" s="2" t="s">
        <v>765</v>
      </c>
      <c r="V1747" s="2" t="s">
        <v>1433</v>
      </c>
      <c r="W1747" s="2" t="s">
        <v>676</v>
      </c>
      <c r="X1747" s="2" t="s">
        <v>231</v>
      </c>
      <c r="Y1747" s="2" t="s">
        <v>2279</v>
      </c>
      <c r="Z1747" s="4">
        <v>180</v>
      </c>
      <c r="AA1747" s="4">
        <f>=ROUNDDOWN({0},0)</f>
      </c>
      <c r="AB1747" s="5"/>
      <c r="AC1747" s="2" t="s">
        <v>321</v>
      </c>
      <c r="AD1747" s="4">
        <v>180</v>
      </c>
      <c r="AE1747" s="4">
        <v>180</v>
      </c>
      <c r="AF1747" s="6">
        <v>64</v>
      </c>
      <c r="AG1747" s="6"/>
      <c r="AH1747" s="7">
        <v>0</v>
      </c>
      <c r="AI1747" s="4"/>
      <c r="AJ1747" s="4">
        <f>=ROUNDDOWN({0},0)</f>
      </c>
      <c r="AK1747" s="5"/>
      <c r="AL1747" s="2" t="s">
        <v>231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231</v>
      </c>
      <c r="AW1747" s="8" t="s">
        <v>231</v>
      </c>
      <c r="AX1747" s="4" t="s">
        <v>231</v>
      </c>
      <c r="AY1747" s="8" t="s">
        <v>231</v>
      </c>
      <c r="AZ1747" s="7" t="s">
        <v>231</v>
      </c>
      <c r="BA1747" s="7" t="s">
        <v>231</v>
      </c>
      <c r="BB1747" s="7"/>
      <c r="BC1747" s="4" t="s">
        <v>231</v>
      </c>
      <c r="BD1747" s="8" t="s">
        <v>231</v>
      </c>
      <c r="BE1747" s="4" t="s">
        <v>231</v>
      </c>
      <c r="BF1747" s="8" t="s">
        <v>231</v>
      </c>
      <c r="BG1747" s="7" t="s">
        <v>231</v>
      </c>
      <c r="BH1747" s="7" t="s">
        <v>231</v>
      </c>
      <c r="BI1747" s="7"/>
      <c r="BJ1747" s="4"/>
      <c r="BK1747" s="8"/>
      <c r="BL1747" s="2" t="s">
        <v>231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241</v>
      </c>
      <c r="BV1747" s="2" t="s">
        <v>231</v>
      </c>
      <c r="BW1747" s="2" t="s">
        <v>231</v>
      </c>
      <c r="BX1747" s="2" t="s">
        <v>241</v>
      </c>
      <c r="BY1747" s="2" t="s">
        <v>242</v>
      </c>
      <c r="BZ1747" s="2" t="s">
        <v>243</v>
      </c>
      <c r="CA1747" s="2" t="s">
        <v>231</v>
      </c>
      <c r="CB1747" s="2" t="s">
        <v>231</v>
      </c>
      <c r="CC1747" s="2" t="s">
        <v>244</v>
      </c>
      <c r="CD1747" s="2" t="s">
        <v>231</v>
      </c>
      <c r="CE1747" s="4"/>
      <c r="CF1747" s="4"/>
      <c r="CG1747" s="4"/>
      <c r="CH1747" s="4"/>
      <c r="CI1747" s="4"/>
      <c r="CJ1747" s="4"/>
      <c r="CK1747" s="4"/>
      <c r="CL1747" s="4">
        <v>180</v>
      </c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>
        <v>180</v>
      </c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4"/>
      <c r="HJ1747" s="4"/>
      <c r="HK1747" s="4"/>
      <c r="HL1747" s="4"/>
    </row>
    <row r="1748">
      <c r="A1748" s="2" t="s">
        <v>8006</v>
      </c>
      <c r="B1748" s="2" t="s">
        <v>1186</v>
      </c>
      <c r="C1748" s="2" t="s">
        <v>288</v>
      </c>
      <c r="D1748" s="2" t="s">
        <v>654</v>
      </c>
      <c r="E1748" s="2" t="s">
        <v>655</v>
      </c>
      <c r="F1748" s="2" t="s">
        <v>8001</v>
      </c>
      <c r="G1748" s="2" t="s">
        <v>8002</v>
      </c>
      <c r="H1748" s="2" t="s">
        <v>8003</v>
      </c>
      <c r="I1748" s="2" t="s">
        <v>2277</v>
      </c>
      <c r="J1748" s="2" t="s">
        <v>658</v>
      </c>
      <c r="K1748" s="2" t="s">
        <v>7913</v>
      </c>
      <c r="L1748" s="3">
        <v>41.14</v>
      </c>
      <c r="M1748" s="3">
        <v>43.2</v>
      </c>
      <c r="N1748" s="3">
        <v>89.99</v>
      </c>
      <c r="O1748" s="2" t="s">
        <v>243</v>
      </c>
      <c r="P1748" s="2" t="s">
        <v>236</v>
      </c>
      <c r="Q1748" s="2" t="s">
        <v>237</v>
      </c>
      <c r="R1748" s="2" t="s">
        <v>231</v>
      </c>
      <c r="S1748" s="2" t="s">
        <v>8007</v>
      </c>
      <c r="T1748" s="2" t="s">
        <v>1432</v>
      </c>
      <c r="U1748" s="2" t="s">
        <v>765</v>
      </c>
      <c r="V1748" s="2" t="s">
        <v>1433</v>
      </c>
      <c r="W1748" s="2" t="s">
        <v>676</v>
      </c>
      <c r="X1748" s="2" t="s">
        <v>231</v>
      </c>
      <c r="Y1748" s="2" t="s">
        <v>2279</v>
      </c>
      <c r="Z1748" s="4">
        <v>220</v>
      </c>
      <c r="AA1748" s="4">
        <f>=ROUNDDOWN({0},0)</f>
      </c>
      <c r="AB1748" s="5"/>
      <c r="AC1748" s="2" t="s">
        <v>321</v>
      </c>
      <c r="AD1748" s="4">
        <v>220</v>
      </c>
      <c r="AE1748" s="4">
        <v>220</v>
      </c>
      <c r="AF1748" s="6">
        <v>64</v>
      </c>
      <c r="AG1748" s="6"/>
      <c r="AH1748" s="7">
        <v>0</v>
      </c>
      <c r="AI1748" s="4"/>
      <c r="AJ1748" s="4">
        <f>=ROUNDDOWN({0},0)</f>
      </c>
      <c r="AK1748" s="5"/>
      <c r="AL1748" s="2" t="s">
        <v>231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231</v>
      </c>
      <c r="AW1748" s="8" t="s">
        <v>231</v>
      </c>
      <c r="AX1748" s="4" t="s">
        <v>231</v>
      </c>
      <c r="AY1748" s="8" t="s">
        <v>231</v>
      </c>
      <c r="AZ1748" s="7" t="s">
        <v>231</v>
      </c>
      <c r="BA1748" s="7" t="s">
        <v>231</v>
      </c>
      <c r="BB1748" s="7"/>
      <c r="BC1748" s="4" t="s">
        <v>231</v>
      </c>
      <c r="BD1748" s="8" t="s">
        <v>231</v>
      </c>
      <c r="BE1748" s="4" t="s">
        <v>231</v>
      </c>
      <c r="BF1748" s="8" t="s">
        <v>231</v>
      </c>
      <c r="BG1748" s="7" t="s">
        <v>231</v>
      </c>
      <c r="BH1748" s="7" t="s">
        <v>231</v>
      </c>
      <c r="BI1748" s="7"/>
      <c r="BJ1748" s="4"/>
      <c r="BK1748" s="8"/>
      <c r="BL1748" s="2" t="s">
        <v>231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241</v>
      </c>
      <c r="BV1748" s="2" t="s">
        <v>231</v>
      </c>
      <c r="BW1748" s="2" t="s">
        <v>231</v>
      </c>
      <c r="BX1748" s="2" t="s">
        <v>241</v>
      </c>
      <c r="BY1748" s="2" t="s">
        <v>242</v>
      </c>
      <c r="BZ1748" s="2" t="s">
        <v>243</v>
      </c>
      <c r="CA1748" s="2" t="s">
        <v>231</v>
      </c>
      <c r="CB1748" s="2" t="s">
        <v>231</v>
      </c>
      <c r="CC1748" s="2" t="s">
        <v>244</v>
      </c>
      <c r="CD1748" s="2" t="s">
        <v>231</v>
      </c>
      <c r="CE1748" s="4"/>
      <c r="CF1748" s="4"/>
      <c r="CG1748" s="4"/>
      <c r="CH1748" s="4"/>
      <c r="CI1748" s="4"/>
      <c r="CJ1748" s="4"/>
      <c r="CK1748" s="4"/>
      <c r="CL1748" s="4">
        <v>220</v>
      </c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>
        <v>220</v>
      </c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4"/>
      <c r="HJ1748" s="4"/>
      <c r="HK1748" s="4"/>
      <c r="HL1748" s="4"/>
    </row>
    <row r="1749">
      <c r="A1749" s="2" t="s">
        <v>8008</v>
      </c>
      <c r="B1749" s="2" t="s">
        <v>1186</v>
      </c>
      <c r="C1749" s="2" t="s">
        <v>288</v>
      </c>
      <c r="D1749" s="2" t="s">
        <v>654</v>
      </c>
      <c r="E1749" s="2" t="s">
        <v>655</v>
      </c>
      <c r="F1749" s="2" t="s">
        <v>8001</v>
      </c>
      <c r="G1749" s="2" t="s">
        <v>8002</v>
      </c>
      <c r="H1749" s="2" t="s">
        <v>8003</v>
      </c>
      <c r="I1749" s="2" t="s">
        <v>2277</v>
      </c>
      <c r="J1749" s="2" t="s">
        <v>669</v>
      </c>
      <c r="K1749" s="2" t="s">
        <v>7913</v>
      </c>
      <c r="L1749" s="3">
        <v>45.71</v>
      </c>
      <c r="M1749" s="3">
        <v>48</v>
      </c>
      <c r="N1749" s="3">
        <v>99.99</v>
      </c>
      <c r="O1749" s="2" t="s">
        <v>243</v>
      </c>
      <c r="P1749" s="2" t="s">
        <v>236</v>
      </c>
      <c r="Q1749" s="2" t="s">
        <v>237</v>
      </c>
      <c r="R1749" s="2" t="s">
        <v>231</v>
      </c>
      <c r="S1749" s="2" t="s">
        <v>8007</v>
      </c>
      <c r="T1749" s="2" t="s">
        <v>1432</v>
      </c>
      <c r="U1749" s="2" t="s">
        <v>765</v>
      </c>
      <c r="V1749" s="2" t="s">
        <v>1433</v>
      </c>
      <c r="W1749" s="2" t="s">
        <v>676</v>
      </c>
      <c r="X1749" s="2" t="s">
        <v>231</v>
      </c>
      <c r="Y1749" s="2" t="s">
        <v>2279</v>
      </c>
      <c r="Z1749" s="4">
        <v>180</v>
      </c>
      <c r="AA1749" s="4">
        <f>=ROUNDDOWN({0},0)</f>
      </c>
      <c r="AB1749" s="5"/>
      <c r="AC1749" s="2" t="s">
        <v>321</v>
      </c>
      <c r="AD1749" s="4">
        <v>180</v>
      </c>
      <c r="AE1749" s="4">
        <v>180</v>
      </c>
      <c r="AF1749" s="6">
        <v>64</v>
      </c>
      <c r="AG1749" s="6"/>
      <c r="AH1749" s="7">
        <v>0</v>
      </c>
      <c r="AI1749" s="4"/>
      <c r="AJ1749" s="4">
        <f>=ROUNDDOWN({0},0)</f>
      </c>
      <c r="AK1749" s="5"/>
      <c r="AL1749" s="2" t="s">
        <v>231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231</v>
      </c>
      <c r="AW1749" s="8" t="s">
        <v>231</v>
      </c>
      <c r="AX1749" s="4" t="s">
        <v>231</v>
      </c>
      <c r="AY1749" s="8" t="s">
        <v>231</v>
      </c>
      <c r="AZ1749" s="7" t="s">
        <v>231</v>
      </c>
      <c r="BA1749" s="7" t="s">
        <v>231</v>
      </c>
      <c r="BB1749" s="7"/>
      <c r="BC1749" s="4" t="s">
        <v>231</v>
      </c>
      <c r="BD1749" s="8" t="s">
        <v>231</v>
      </c>
      <c r="BE1749" s="4" t="s">
        <v>231</v>
      </c>
      <c r="BF1749" s="8" t="s">
        <v>231</v>
      </c>
      <c r="BG1749" s="7" t="s">
        <v>231</v>
      </c>
      <c r="BH1749" s="7" t="s">
        <v>231</v>
      </c>
      <c r="BI1749" s="7"/>
      <c r="BJ1749" s="4"/>
      <c r="BK1749" s="8"/>
      <c r="BL1749" s="2" t="s">
        <v>231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241</v>
      </c>
      <c r="BV1749" s="2" t="s">
        <v>231</v>
      </c>
      <c r="BW1749" s="2" t="s">
        <v>231</v>
      </c>
      <c r="BX1749" s="2" t="s">
        <v>241</v>
      </c>
      <c r="BY1749" s="2" t="s">
        <v>242</v>
      </c>
      <c r="BZ1749" s="2" t="s">
        <v>243</v>
      </c>
      <c r="CA1749" s="2" t="s">
        <v>231</v>
      </c>
      <c r="CB1749" s="2" t="s">
        <v>231</v>
      </c>
      <c r="CC1749" s="2" t="s">
        <v>244</v>
      </c>
      <c r="CD1749" s="2" t="s">
        <v>231</v>
      </c>
      <c r="CE1749" s="4"/>
      <c r="CF1749" s="4"/>
      <c r="CG1749" s="4"/>
      <c r="CH1749" s="4"/>
      <c r="CI1749" s="4"/>
      <c r="CJ1749" s="4"/>
      <c r="CK1749" s="4"/>
      <c r="CL1749" s="4">
        <v>180</v>
      </c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>
        <v>180</v>
      </c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4"/>
      <c r="HJ1749" s="4"/>
      <c r="HK1749" s="4"/>
      <c r="HL1749" s="4"/>
    </row>
    <row r="1750">
      <c r="A1750" s="2" t="s">
        <v>8009</v>
      </c>
      <c r="B1750" s="2" t="s">
        <v>1004</v>
      </c>
      <c r="C1750" s="2" t="s">
        <v>288</v>
      </c>
      <c r="D1750" s="2" t="s">
        <v>2411</v>
      </c>
      <c r="E1750" s="2" t="s">
        <v>2412</v>
      </c>
      <c r="F1750" s="2" t="s">
        <v>8010</v>
      </c>
      <c r="G1750" s="2" t="s">
        <v>8011</v>
      </c>
      <c r="H1750" s="2" t="s">
        <v>8012</v>
      </c>
      <c r="I1750" s="2" t="s">
        <v>8013</v>
      </c>
      <c r="J1750" s="2" t="s">
        <v>807</v>
      </c>
      <c r="K1750" s="2" t="s">
        <v>682</v>
      </c>
      <c r="L1750" s="3">
        <v>173.25</v>
      </c>
      <c r="M1750" s="3">
        <v>181.91</v>
      </c>
      <c r="N1750" s="3">
        <v>369</v>
      </c>
      <c r="O1750" s="2" t="s">
        <v>235</v>
      </c>
      <c r="P1750" s="2" t="s">
        <v>341</v>
      </c>
      <c r="Q1750" s="2" t="s">
        <v>237</v>
      </c>
      <c r="R1750" s="2" t="s">
        <v>231</v>
      </c>
      <c r="S1750" s="2" t="s">
        <v>231</v>
      </c>
      <c r="T1750" s="2" t="s">
        <v>231</v>
      </c>
      <c r="U1750" s="2" t="s">
        <v>231</v>
      </c>
      <c r="V1750" s="2" t="s">
        <v>239</v>
      </c>
      <c r="W1750" s="2" t="s">
        <v>676</v>
      </c>
      <c r="X1750" s="2" t="s">
        <v>231</v>
      </c>
      <c r="Y1750" s="2" t="s">
        <v>6985</v>
      </c>
      <c r="Z1750" s="4">
        <v>387</v>
      </c>
      <c r="AA1750" s="4">
        <f>=ROUNDDOWN(258,0)</f>
      </c>
      <c r="AB1750" s="5">
        <v>1.5</v>
      </c>
      <c r="AC1750" s="2" t="s">
        <v>231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231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/>
      <c r="BD1750" s="8"/>
      <c r="BE1750" s="4"/>
      <c r="BF1750" s="8"/>
      <c r="BG1750" s="7"/>
      <c r="BH1750" s="7"/>
      <c r="BI1750" s="7"/>
      <c r="BJ1750" s="4">
        <v>3</v>
      </c>
      <c r="BK1750" s="8">
        <v>346.82</v>
      </c>
      <c r="BL1750" s="2" t="s">
        <v>5784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8014</v>
      </c>
      <c r="BV1750" s="2" t="s">
        <v>231</v>
      </c>
      <c r="BW1750" s="2" t="s">
        <v>231</v>
      </c>
      <c r="BX1750" s="2" t="s">
        <v>231</v>
      </c>
      <c r="BY1750" s="2" t="s">
        <v>277</v>
      </c>
      <c r="BZ1750" s="2" t="s">
        <v>243</v>
      </c>
      <c r="CA1750" s="2" t="s">
        <v>5400</v>
      </c>
      <c r="CB1750" s="2" t="s">
        <v>2012</v>
      </c>
      <c r="CC1750" s="2" t="s">
        <v>244</v>
      </c>
      <c r="CD1750" s="2" t="s">
        <v>231</v>
      </c>
      <c r="CE1750" s="4"/>
      <c r="CF1750" s="4">
        <v>387</v>
      </c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4"/>
      <c r="HJ1750" s="4"/>
      <c r="HK1750" s="4"/>
      <c r="HL1750" s="4"/>
    </row>
    <row r="1751">
      <c r="A1751" s="2" t="s">
        <v>8015</v>
      </c>
      <c r="B1751" s="2" t="s">
        <v>287</v>
      </c>
      <c r="C1751" s="2" t="s">
        <v>288</v>
      </c>
      <c r="D1751" s="2" t="s">
        <v>458</v>
      </c>
      <c r="E1751" s="2" t="s">
        <v>459</v>
      </c>
      <c r="F1751" s="2" t="s">
        <v>8016</v>
      </c>
      <c r="G1751" s="2" t="s">
        <v>8016</v>
      </c>
      <c r="H1751" s="2" t="s">
        <v>8016</v>
      </c>
      <c r="I1751" s="2" t="s">
        <v>8017</v>
      </c>
      <c r="J1751" s="2" t="s">
        <v>462</v>
      </c>
      <c r="K1751" s="2" t="s">
        <v>234</v>
      </c>
      <c r="L1751" s="3">
        <v>14.85</v>
      </c>
      <c r="M1751" s="3">
        <v>15.59</v>
      </c>
      <c r="N1751" s="3">
        <v>29.99</v>
      </c>
      <c r="O1751" s="2" t="s">
        <v>243</v>
      </c>
      <c r="P1751" s="2" t="s">
        <v>341</v>
      </c>
      <c r="Q1751" s="2" t="s">
        <v>237</v>
      </c>
      <c r="R1751" s="2" t="s">
        <v>231</v>
      </c>
      <c r="S1751" s="2" t="s">
        <v>8018</v>
      </c>
      <c r="T1751" s="2" t="s">
        <v>8019</v>
      </c>
      <c r="U1751" s="2" t="s">
        <v>791</v>
      </c>
      <c r="V1751" s="2" t="s">
        <v>239</v>
      </c>
      <c r="W1751" s="2" t="s">
        <v>273</v>
      </c>
      <c r="X1751" s="2" t="s">
        <v>231</v>
      </c>
      <c r="Y1751" s="2" t="s">
        <v>7070</v>
      </c>
      <c r="Z1751" s="4">
        <v>10</v>
      </c>
      <c r="AA1751" s="4">
        <f>=ROUNDDOWN({0},0)</f>
      </c>
      <c r="AB1751" s="5"/>
      <c r="AC1751" s="2" t="s">
        <v>231</v>
      </c>
      <c r="AD1751" s="4"/>
      <c r="AE1751" s="4"/>
      <c r="AF1751" s="6">
        <v>74</v>
      </c>
      <c r="AG1751" s="6"/>
      <c r="AH1751" s="7">
        <v>1</v>
      </c>
      <c r="AI1751" s="4"/>
      <c r="AJ1751" s="4">
        <f>=ROUNDDOWN({0},0)</f>
      </c>
      <c r="AK1751" s="5"/>
      <c r="AL1751" s="2" t="s">
        <v>231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231</v>
      </c>
      <c r="AW1751" s="8" t="s">
        <v>231</v>
      </c>
      <c r="AX1751" s="4" t="s">
        <v>231</v>
      </c>
      <c r="AY1751" s="8" t="s">
        <v>231</v>
      </c>
      <c r="AZ1751" s="7" t="s">
        <v>231</v>
      </c>
      <c r="BA1751" s="7" t="s">
        <v>231</v>
      </c>
      <c r="BB1751" s="7"/>
      <c r="BC1751" s="4" t="s">
        <v>231</v>
      </c>
      <c r="BD1751" s="8" t="s">
        <v>231</v>
      </c>
      <c r="BE1751" s="4" t="s">
        <v>231</v>
      </c>
      <c r="BF1751" s="8" t="s">
        <v>231</v>
      </c>
      <c r="BG1751" s="7" t="s">
        <v>231</v>
      </c>
      <c r="BH1751" s="7" t="s">
        <v>231</v>
      </c>
      <c r="BI1751" s="7"/>
      <c r="BJ1751" s="4">
        <v>11</v>
      </c>
      <c r="BK1751" s="8">
        <v>184.3</v>
      </c>
      <c r="BL1751" s="2" t="s">
        <v>8020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8021</v>
      </c>
      <c r="BV1751" s="2" t="s">
        <v>231</v>
      </c>
      <c r="BW1751" s="2" t="s">
        <v>231</v>
      </c>
      <c r="BX1751" s="2" t="s">
        <v>231</v>
      </c>
      <c r="BY1751" s="2" t="s">
        <v>277</v>
      </c>
      <c r="BZ1751" s="2" t="s">
        <v>243</v>
      </c>
      <c r="CA1751" s="2" t="s">
        <v>8022</v>
      </c>
      <c r="CB1751" s="2" t="s">
        <v>2373</v>
      </c>
      <c r="CC1751" s="2" t="s">
        <v>244</v>
      </c>
      <c r="CD1751" s="2" t="s">
        <v>231</v>
      </c>
      <c r="CE1751" s="4">
        <v>10</v>
      </c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4"/>
      <c r="HJ1751" s="4"/>
      <c r="HK1751" s="4"/>
      <c r="HL1751" s="4"/>
    </row>
    <row r="1752">
      <c r="A1752" s="2" t="s">
        <v>8023</v>
      </c>
      <c r="B1752" s="2" t="s">
        <v>287</v>
      </c>
      <c r="C1752" s="2" t="s">
        <v>288</v>
      </c>
      <c r="D1752" s="2" t="s">
        <v>458</v>
      </c>
      <c r="E1752" s="2" t="s">
        <v>459</v>
      </c>
      <c r="F1752" s="2" t="s">
        <v>8016</v>
      </c>
      <c r="G1752" s="2" t="s">
        <v>8016</v>
      </c>
      <c r="H1752" s="2" t="s">
        <v>8016</v>
      </c>
      <c r="I1752" s="2" t="s">
        <v>8017</v>
      </c>
      <c r="J1752" s="2" t="s">
        <v>8024</v>
      </c>
      <c r="K1752" s="2" t="s">
        <v>234</v>
      </c>
      <c r="L1752" s="3">
        <v>12.85</v>
      </c>
      <c r="M1752" s="3">
        <v>13.49</v>
      </c>
      <c r="N1752" s="3">
        <v>24.99</v>
      </c>
      <c r="O1752" s="2" t="s">
        <v>243</v>
      </c>
      <c r="P1752" s="2" t="s">
        <v>341</v>
      </c>
      <c r="Q1752" s="2" t="s">
        <v>237</v>
      </c>
      <c r="R1752" s="2" t="s">
        <v>231</v>
      </c>
      <c r="S1752" s="2" t="s">
        <v>8018</v>
      </c>
      <c r="T1752" s="2" t="s">
        <v>8019</v>
      </c>
      <c r="U1752" s="2" t="s">
        <v>791</v>
      </c>
      <c r="V1752" s="2" t="s">
        <v>239</v>
      </c>
      <c r="W1752" s="2" t="s">
        <v>273</v>
      </c>
      <c r="X1752" s="2" t="s">
        <v>231</v>
      </c>
      <c r="Y1752" s="2" t="s">
        <v>7070</v>
      </c>
      <c r="Z1752" s="4">
        <v>2</v>
      </c>
      <c r="AA1752" s="4">
        <f>=ROUNDDOWN(3.33333333333333,0)</f>
      </c>
      <c r="AB1752" s="5">
        <v>0.6</v>
      </c>
      <c r="AC1752" s="2" t="s">
        <v>231</v>
      </c>
      <c r="AD1752" s="4"/>
      <c r="AE1752" s="4"/>
      <c r="AF1752" s="6">
        <v>74</v>
      </c>
      <c r="AG1752" s="6"/>
      <c r="AH1752" s="7">
        <v>1</v>
      </c>
      <c r="AI1752" s="4"/>
      <c r="AJ1752" s="4">
        <f>=ROUNDDOWN({0},0)</f>
      </c>
      <c r="AK1752" s="5"/>
      <c r="AL1752" s="2" t="s">
        <v>231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231</v>
      </c>
      <c r="AW1752" s="8" t="s">
        <v>231</v>
      </c>
      <c r="AX1752" s="4" t="s">
        <v>231</v>
      </c>
      <c r="AY1752" s="8" t="s">
        <v>231</v>
      </c>
      <c r="AZ1752" s="7" t="s">
        <v>231</v>
      </c>
      <c r="BA1752" s="7" t="s">
        <v>231</v>
      </c>
      <c r="BB1752" s="7"/>
      <c r="BC1752" s="4" t="s">
        <v>231</v>
      </c>
      <c r="BD1752" s="8" t="s">
        <v>231</v>
      </c>
      <c r="BE1752" s="4" t="s">
        <v>231</v>
      </c>
      <c r="BF1752" s="8" t="s">
        <v>231</v>
      </c>
      <c r="BG1752" s="7" t="s">
        <v>231</v>
      </c>
      <c r="BH1752" s="7" t="s">
        <v>231</v>
      </c>
      <c r="BI1752" s="7"/>
      <c r="BJ1752" s="4">
        <v>7</v>
      </c>
      <c r="BK1752" s="8">
        <v>89.23</v>
      </c>
      <c r="BL1752" s="2" t="s">
        <v>578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8025</v>
      </c>
      <c r="BV1752" s="2" t="s">
        <v>231</v>
      </c>
      <c r="BW1752" s="2" t="s">
        <v>231</v>
      </c>
      <c r="BX1752" s="2" t="s">
        <v>231</v>
      </c>
      <c r="BY1752" s="2" t="s">
        <v>277</v>
      </c>
      <c r="BZ1752" s="2" t="s">
        <v>243</v>
      </c>
      <c r="CA1752" s="2" t="s">
        <v>8022</v>
      </c>
      <c r="CB1752" s="2" t="s">
        <v>2373</v>
      </c>
      <c r="CC1752" s="2" t="s">
        <v>244</v>
      </c>
      <c r="CD1752" s="2" t="s">
        <v>231</v>
      </c>
      <c r="CE1752" s="4">
        <v>2</v>
      </c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4"/>
      <c r="HJ1752" s="4"/>
      <c r="HK1752" s="4"/>
      <c r="HL1752" s="4"/>
    </row>
    <row r="1753">
      <c r="A1753" s="2" t="s">
        <v>8026</v>
      </c>
      <c r="B1753" s="2" t="s">
        <v>847</v>
      </c>
      <c r="C1753" s="2" t="s">
        <v>288</v>
      </c>
      <c r="D1753" s="2" t="s">
        <v>882</v>
      </c>
      <c r="E1753" s="2" t="s">
        <v>2191</v>
      </c>
      <c r="F1753" s="2" t="s">
        <v>8027</v>
      </c>
      <c r="G1753" s="2" t="s">
        <v>8027</v>
      </c>
      <c r="H1753" s="2" t="s">
        <v>8027</v>
      </c>
      <c r="I1753" s="2" t="s">
        <v>8028</v>
      </c>
      <c r="J1753" s="2" t="s">
        <v>807</v>
      </c>
      <c r="K1753" s="2" t="s">
        <v>870</v>
      </c>
      <c r="L1753" s="3">
        <v>16.15</v>
      </c>
      <c r="M1753" s="3">
        <v>16.96</v>
      </c>
      <c r="N1753" s="3">
        <v>33.99</v>
      </c>
      <c r="O1753" s="2" t="s">
        <v>243</v>
      </c>
      <c r="P1753" s="2" t="s">
        <v>1985</v>
      </c>
      <c r="Q1753" s="2" t="s">
        <v>237</v>
      </c>
      <c r="R1753" s="2" t="s">
        <v>231</v>
      </c>
      <c r="S1753" s="2" t="s">
        <v>8029</v>
      </c>
      <c r="T1753" s="2" t="s">
        <v>231</v>
      </c>
      <c r="U1753" s="2" t="s">
        <v>835</v>
      </c>
      <c r="V1753" s="2" t="s">
        <v>1192</v>
      </c>
      <c r="W1753" s="2" t="s">
        <v>792</v>
      </c>
      <c r="X1753" s="2" t="s">
        <v>231</v>
      </c>
      <c r="Y1753" s="2" t="s">
        <v>274</v>
      </c>
      <c r="Z1753" s="4">
        <v>54</v>
      </c>
      <c r="AA1753" s="4">
        <f>=ROUNDDOWN(10.3846153846154,0)</f>
      </c>
      <c r="AB1753" s="5">
        <v>5.2</v>
      </c>
      <c r="AC1753" s="2" t="s">
        <v>582</v>
      </c>
      <c r="AD1753" s="4">
        <v>100</v>
      </c>
      <c r="AE1753" s="4">
        <v>100</v>
      </c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231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>
        <v>23</v>
      </c>
      <c r="BK1753" s="8">
        <v>454.85</v>
      </c>
      <c r="BL1753" s="2" t="s">
        <v>8030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8031</v>
      </c>
      <c r="BV1753" s="2" t="s">
        <v>231</v>
      </c>
      <c r="BW1753" s="2" t="s">
        <v>231</v>
      </c>
      <c r="BX1753" s="2" t="s">
        <v>241</v>
      </c>
      <c r="BY1753" s="2" t="s">
        <v>277</v>
      </c>
      <c r="BZ1753" s="2" t="s">
        <v>243</v>
      </c>
      <c r="CA1753" s="2" t="s">
        <v>284</v>
      </c>
      <c r="CB1753" s="2" t="s">
        <v>8032</v>
      </c>
      <c r="CC1753" s="2" t="s">
        <v>244</v>
      </c>
      <c r="CD1753" s="2" t="s">
        <v>231</v>
      </c>
      <c r="CE1753" s="4"/>
      <c r="CF1753" s="4">
        <v>54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>
        <v>100</v>
      </c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4"/>
      <c r="HJ1753" s="4"/>
      <c r="HK1753" s="4"/>
      <c r="HL1753" s="4"/>
    </row>
    <row r="1754">
      <c r="A1754" s="2" t="s">
        <v>8033</v>
      </c>
      <c r="B1754" s="2" t="s">
        <v>801</v>
      </c>
      <c r="C1754" s="2" t="s">
        <v>1105</v>
      </c>
      <c r="D1754" s="2" t="s">
        <v>1114</v>
      </c>
      <c r="E1754" s="2" t="s">
        <v>1115</v>
      </c>
      <c r="F1754" s="2" t="s">
        <v>8034</v>
      </c>
      <c r="G1754" s="2" t="s">
        <v>8034</v>
      </c>
      <c r="H1754" s="2" t="s">
        <v>8034</v>
      </c>
      <c r="I1754" s="2" t="s">
        <v>8035</v>
      </c>
      <c r="J1754" s="2" t="s">
        <v>807</v>
      </c>
      <c r="K1754" s="2" t="s">
        <v>818</v>
      </c>
      <c r="L1754" s="3">
        <v>76.5</v>
      </c>
      <c r="M1754" s="3">
        <v>80.33</v>
      </c>
      <c r="N1754" s="3">
        <v>159.99</v>
      </c>
      <c r="O1754" s="2" t="s">
        <v>243</v>
      </c>
      <c r="P1754" s="2" t="s">
        <v>236</v>
      </c>
      <c r="Q1754" s="2" t="s">
        <v>237</v>
      </c>
      <c r="R1754" s="2" t="s">
        <v>231</v>
      </c>
      <c r="S1754" s="2" t="s">
        <v>231</v>
      </c>
      <c r="T1754" s="2" t="s">
        <v>231</v>
      </c>
      <c r="U1754" s="2" t="s">
        <v>791</v>
      </c>
      <c r="V1754" s="2" t="s">
        <v>662</v>
      </c>
      <c r="W1754" s="2" t="s">
        <v>691</v>
      </c>
      <c r="X1754" s="2" t="s">
        <v>691</v>
      </c>
      <c r="Y1754" s="2" t="s">
        <v>2986</v>
      </c>
      <c r="Z1754" s="4">
        <v>82</v>
      </c>
      <c r="AA1754" s="4">
        <f>=ROUNDDOWN(82,0)</f>
      </c>
      <c r="AB1754" s="5">
        <v>1</v>
      </c>
      <c r="AC1754" s="2" t="s">
        <v>231</v>
      </c>
      <c r="AD1754" s="4"/>
      <c r="AE1754" s="4"/>
      <c r="AF1754" s="6">
        <v>63</v>
      </c>
      <c r="AG1754" s="6"/>
      <c r="AH1754" s="7">
        <v>1</v>
      </c>
      <c r="AI1754" s="4"/>
      <c r="AJ1754" s="4">
        <f>=ROUNDDOWN({0},0)</f>
      </c>
      <c r="AK1754" s="5"/>
      <c r="AL1754" s="2" t="s">
        <v>231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231</v>
      </c>
      <c r="BD1754" s="8" t="s">
        <v>231</v>
      </c>
      <c r="BE1754" s="4" t="s">
        <v>231</v>
      </c>
      <c r="BF1754" s="8" t="s">
        <v>231</v>
      </c>
      <c r="BG1754" s="7" t="s">
        <v>231</v>
      </c>
      <c r="BH1754" s="7" t="s">
        <v>231</v>
      </c>
      <c r="BI1754" s="7"/>
      <c r="BJ1754" s="4">
        <v>6</v>
      </c>
      <c r="BK1754" s="8">
        <v>501.23</v>
      </c>
      <c r="BL1754" s="2" t="s">
        <v>5426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8036</v>
      </c>
      <c r="BV1754" s="2" t="s">
        <v>231</v>
      </c>
      <c r="BW1754" s="2" t="s">
        <v>231</v>
      </c>
      <c r="BX1754" s="2" t="s">
        <v>241</v>
      </c>
      <c r="BY1754" s="2" t="s">
        <v>277</v>
      </c>
      <c r="BZ1754" s="2" t="s">
        <v>243</v>
      </c>
      <c r="CA1754" s="2" t="s">
        <v>3994</v>
      </c>
      <c r="CB1754" s="2" t="s">
        <v>5480</v>
      </c>
      <c r="CC1754" s="2" t="s">
        <v>244</v>
      </c>
      <c r="CD1754" s="2" t="s">
        <v>231</v>
      </c>
      <c r="CE1754" s="4"/>
      <c r="CF1754" s="4">
        <v>82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4"/>
      <c r="HJ1754" s="4"/>
      <c r="HK1754" s="4"/>
      <c r="HL1754" s="4"/>
    </row>
    <row r="1755">
      <c r="A1755" s="2" t="s">
        <v>8037</v>
      </c>
      <c r="B1755" s="2" t="s">
        <v>801</v>
      </c>
      <c r="C1755" s="2" t="s">
        <v>1105</v>
      </c>
      <c r="D1755" s="2" t="s">
        <v>1114</v>
      </c>
      <c r="E1755" s="2" t="s">
        <v>1115</v>
      </c>
      <c r="F1755" s="2" t="s">
        <v>8034</v>
      </c>
      <c r="G1755" s="2" t="s">
        <v>8034</v>
      </c>
      <c r="H1755" s="2" t="s">
        <v>8034</v>
      </c>
      <c r="I1755" s="2" t="s">
        <v>8035</v>
      </c>
      <c r="J1755" s="2" t="s">
        <v>807</v>
      </c>
      <c r="K1755" s="2" t="s">
        <v>8038</v>
      </c>
      <c r="L1755" s="3">
        <v>76.5</v>
      </c>
      <c r="M1755" s="3">
        <v>80.33</v>
      </c>
      <c r="N1755" s="3">
        <v>159.99</v>
      </c>
      <c r="O1755" s="2" t="s">
        <v>243</v>
      </c>
      <c r="P1755" s="2" t="s">
        <v>236</v>
      </c>
      <c r="Q1755" s="2" t="s">
        <v>237</v>
      </c>
      <c r="R1755" s="2" t="s">
        <v>231</v>
      </c>
      <c r="S1755" s="2" t="s">
        <v>231</v>
      </c>
      <c r="T1755" s="2" t="s">
        <v>231</v>
      </c>
      <c r="U1755" s="2" t="s">
        <v>791</v>
      </c>
      <c r="V1755" s="2" t="s">
        <v>662</v>
      </c>
      <c r="W1755" s="2" t="s">
        <v>691</v>
      </c>
      <c r="X1755" s="2" t="s">
        <v>691</v>
      </c>
      <c r="Y1755" s="2" t="s">
        <v>2986</v>
      </c>
      <c r="Z1755" s="4">
        <v>86</v>
      </c>
      <c r="AA1755" s="4">
        <f>=ROUNDDOWN(61.4285714285714,0)</f>
      </c>
      <c r="AB1755" s="5">
        <v>1.4</v>
      </c>
      <c r="AC1755" s="2" t="s">
        <v>231</v>
      </c>
      <c r="AD1755" s="4"/>
      <c r="AE1755" s="4"/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231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231</v>
      </c>
      <c r="BD1755" s="8" t="s">
        <v>231</v>
      </c>
      <c r="BE1755" s="4" t="s">
        <v>231</v>
      </c>
      <c r="BF1755" s="8" t="s">
        <v>231</v>
      </c>
      <c r="BG1755" s="7" t="s">
        <v>231</v>
      </c>
      <c r="BH1755" s="7" t="s">
        <v>231</v>
      </c>
      <c r="BI1755" s="7"/>
      <c r="BJ1755" s="4">
        <v>6</v>
      </c>
      <c r="BK1755" s="8">
        <v>458.65</v>
      </c>
      <c r="BL1755" s="2" t="s">
        <v>5426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8039</v>
      </c>
      <c r="BV1755" s="2" t="s">
        <v>231</v>
      </c>
      <c r="BW1755" s="2" t="s">
        <v>231</v>
      </c>
      <c r="BX1755" s="2" t="s">
        <v>241</v>
      </c>
      <c r="BY1755" s="2" t="s">
        <v>277</v>
      </c>
      <c r="BZ1755" s="2" t="s">
        <v>243</v>
      </c>
      <c r="CA1755" s="2" t="s">
        <v>3994</v>
      </c>
      <c r="CB1755" s="2" t="s">
        <v>231</v>
      </c>
      <c r="CC1755" s="2" t="s">
        <v>244</v>
      </c>
      <c r="CD1755" s="2" t="s">
        <v>231</v>
      </c>
      <c r="CE1755" s="4"/>
      <c r="CF1755" s="4">
        <v>86</v>
      </c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4"/>
      <c r="HJ1755" s="4"/>
      <c r="HK1755" s="4"/>
      <c r="HL1755" s="4"/>
    </row>
    <row r="1756">
      <c r="A1756" s="2" t="s">
        <v>8040</v>
      </c>
      <c r="B1756" s="2" t="s">
        <v>801</v>
      </c>
      <c r="C1756" s="2" t="s">
        <v>1105</v>
      </c>
      <c r="D1756" s="2" t="s">
        <v>1114</v>
      </c>
      <c r="E1756" s="2" t="s">
        <v>1115</v>
      </c>
      <c r="F1756" s="2" t="s">
        <v>8034</v>
      </c>
      <c r="G1756" s="2" t="s">
        <v>8034</v>
      </c>
      <c r="H1756" s="2" t="s">
        <v>8034</v>
      </c>
      <c r="I1756" s="2" t="s">
        <v>8035</v>
      </c>
      <c r="J1756" s="2" t="s">
        <v>807</v>
      </c>
      <c r="K1756" s="2" t="s">
        <v>8041</v>
      </c>
      <c r="L1756" s="3">
        <v>76.5</v>
      </c>
      <c r="M1756" s="3">
        <v>80.33</v>
      </c>
      <c r="N1756" s="3">
        <v>159.99</v>
      </c>
      <c r="O1756" s="2" t="s">
        <v>243</v>
      </c>
      <c r="P1756" s="2" t="s">
        <v>236</v>
      </c>
      <c r="Q1756" s="2" t="s">
        <v>237</v>
      </c>
      <c r="R1756" s="2" t="s">
        <v>231</v>
      </c>
      <c r="S1756" s="2" t="s">
        <v>231</v>
      </c>
      <c r="T1756" s="2" t="s">
        <v>231</v>
      </c>
      <c r="U1756" s="2" t="s">
        <v>791</v>
      </c>
      <c r="V1756" s="2" t="s">
        <v>662</v>
      </c>
      <c r="W1756" s="2" t="s">
        <v>691</v>
      </c>
      <c r="X1756" s="2" t="s">
        <v>691</v>
      </c>
      <c r="Y1756" s="2" t="s">
        <v>2986</v>
      </c>
      <c r="Z1756" s="4">
        <v>91</v>
      </c>
      <c r="AA1756" s="4">
        <f>=ROUNDDOWN(91,0)</f>
      </c>
      <c r="AB1756" s="5">
        <v>1</v>
      </c>
      <c r="AC1756" s="2" t="s">
        <v>231</v>
      </c>
      <c r="AD1756" s="4"/>
      <c r="AE1756" s="4"/>
      <c r="AF1756" s="6">
        <v>63</v>
      </c>
      <c r="AG1756" s="6"/>
      <c r="AH1756" s="7">
        <v>1</v>
      </c>
      <c r="AI1756" s="4"/>
      <c r="AJ1756" s="4">
        <f>=ROUNDDOWN({0},0)</f>
      </c>
      <c r="AK1756" s="5"/>
      <c r="AL1756" s="2" t="s">
        <v>231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231</v>
      </c>
      <c r="BD1756" s="8" t="s">
        <v>231</v>
      </c>
      <c r="BE1756" s="4" t="s">
        <v>231</v>
      </c>
      <c r="BF1756" s="8" t="s">
        <v>231</v>
      </c>
      <c r="BG1756" s="7" t="s">
        <v>231</v>
      </c>
      <c r="BH1756" s="7" t="s">
        <v>231</v>
      </c>
      <c r="BI1756" s="7"/>
      <c r="BJ1756" s="4">
        <v>6</v>
      </c>
      <c r="BK1756" s="8">
        <v>458.65</v>
      </c>
      <c r="BL1756" s="2" t="s">
        <v>5426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8042</v>
      </c>
      <c r="BV1756" s="2" t="s">
        <v>231</v>
      </c>
      <c r="BW1756" s="2" t="s">
        <v>231</v>
      </c>
      <c r="BX1756" s="2" t="s">
        <v>241</v>
      </c>
      <c r="BY1756" s="2" t="s">
        <v>277</v>
      </c>
      <c r="BZ1756" s="2" t="s">
        <v>243</v>
      </c>
      <c r="CA1756" s="2" t="s">
        <v>3994</v>
      </c>
      <c r="CB1756" s="2" t="s">
        <v>231</v>
      </c>
      <c r="CC1756" s="2" t="s">
        <v>244</v>
      </c>
      <c r="CD1756" s="2" t="s">
        <v>231</v>
      </c>
      <c r="CE1756" s="4"/>
      <c r="CF1756" s="4">
        <v>91</v>
      </c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4"/>
      <c r="HJ1756" s="4"/>
      <c r="HK1756" s="4"/>
      <c r="HL1756" s="4"/>
    </row>
    <row r="1757">
      <c r="A1757" s="2" t="s">
        <v>8043</v>
      </c>
      <c r="B1757" s="2" t="s">
        <v>226</v>
      </c>
      <c r="C1757" s="2" t="s">
        <v>288</v>
      </c>
      <c r="D1757" s="2" t="s">
        <v>228</v>
      </c>
      <c r="E1757" s="2" t="s">
        <v>229</v>
      </c>
      <c r="F1757" s="2" t="s">
        <v>8044</v>
      </c>
      <c r="G1757" s="2" t="s">
        <v>8044</v>
      </c>
      <c r="H1757" s="2" t="s">
        <v>8044</v>
      </c>
      <c r="I1757" s="2" t="s">
        <v>229</v>
      </c>
      <c r="J1757" s="2" t="s">
        <v>318</v>
      </c>
      <c r="K1757" s="2" t="s">
        <v>486</v>
      </c>
      <c r="L1757" s="3">
        <v>21.15</v>
      </c>
      <c r="M1757" s="3">
        <v>22.21</v>
      </c>
      <c r="N1757" s="3">
        <v>44.99</v>
      </c>
      <c r="O1757" s="2" t="s">
        <v>235</v>
      </c>
      <c r="P1757" s="2" t="s">
        <v>917</v>
      </c>
      <c r="Q1757" s="2" t="s">
        <v>237</v>
      </c>
      <c r="R1757" s="2" t="s">
        <v>231</v>
      </c>
      <c r="S1757" s="2" t="s">
        <v>8045</v>
      </c>
      <c r="T1757" s="2" t="s">
        <v>362</v>
      </c>
      <c r="U1757" s="2" t="s">
        <v>231</v>
      </c>
      <c r="V1757" s="2" t="s">
        <v>239</v>
      </c>
      <c r="W1757" s="2" t="s">
        <v>273</v>
      </c>
      <c r="X1757" s="2" t="s">
        <v>231</v>
      </c>
      <c r="Y1757" s="2" t="s">
        <v>1334</v>
      </c>
      <c r="Z1757" s="4">
        <v>128</v>
      </c>
      <c r="AA1757" s="4">
        <f>=ROUNDDOWN(23.7037037037037,0)</f>
      </c>
      <c r="AB1757" s="5">
        <v>5.4</v>
      </c>
      <c r="AC1757" s="2" t="s">
        <v>231</v>
      </c>
      <c r="AD1757" s="4"/>
      <c r="AE1757" s="4"/>
      <c r="AF1757" s="6">
        <v>69</v>
      </c>
      <c r="AG1757" s="6"/>
      <c r="AH1757" s="7">
        <v>1</v>
      </c>
      <c r="AI1757" s="4"/>
      <c r="AJ1757" s="4">
        <f>=ROUNDDOWN({0},0)</f>
      </c>
      <c r="AK1757" s="5"/>
      <c r="AL1757" s="2" t="s">
        <v>231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231</v>
      </c>
      <c r="BD1757" s="8" t="s">
        <v>231</v>
      </c>
      <c r="BE1757" s="4" t="s">
        <v>231</v>
      </c>
      <c r="BF1757" s="8" t="s">
        <v>231</v>
      </c>
      <c r="BG1757" s="7" t="s">
        <v>231</v>
      </c>
      <c r="BH1757" s="7" t="s">
        <v>231</v>
      </c>
      <c r="BI1757" s="7"/>
      <c r="BJ1757" s="4">
        <v>41</v>
      </c>
      <c r="BK1757" s="8">
        <v>769.99</v>
      </c>
      <c r="BL1757" s="2" t="s">
        <v>8046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8047</v>
      </c>
      <c r="BV1757" s="2" t="s">
        <v>231</v>
      </c>
      <c r="BW1757" s="2" t="s">
        <v>231</v>
      </c>
      <c r="BX1757" s="2" t="s">
        <v>241</v>
      </c>
      <c r="BY1757" s="2" t="s">
        <v>277</v>
      </c>
      <c r="BZ1757" s="2" t="s">
        <v>243</v>
      </c>
      <c r="CA1757" s="2" t="s">
        <v>430</v>
      </c>
      <c r="CB1757" s="2" t="s">
        <v>1337</v>
      </c>
      <c r="CC1757" s="2" t="s">
        <v>244</v>
      </c>
      <c r="CD1757" s="2" t="s">
        <v>231</v>
      </c>
      <c r="CE1757" s="4">
        <v>128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4"/>
      <c r="HJ1757" s="4"/>
      <c r="HK1757" s="4"/>
      <c r="HL1757" s="4"/>
    </row>
    <row r="1758">
      <c r="A1758" s="2" t="s">
        <v>8048</v>
      </c>
      <c r="B1758" s="2" t="s">
        <v>226</v>
      </c>
      <c r="C1758" s="2" t="s">
        <v>288</v>
      </c>
      <c r="D1758" s="2" t="s">
        <v>228</v>
      </c>
      <c r="E1758" s="2" t="s">
        <v>229</v>
      </c>
      <c r="F1758" s="2" t="s">
        <v>8044</v>
      </c>
      <c r="G1758" s="2" t="s">
        <v>8044</v>
      </c>
      <c r="H1758" s="2" t="s">
        <v>8044</v>
      </c>
      <c r="I1758" s="2" t="s">
        <v>229</v>
      </c>
      <c r="J1758" s="2" t="s">
        <v>658</v>
      </c>
      <c r="K1758" s="2" t="s">
        <v>253</v>
      </c>
      <c r="L1758" s="3">
        <v>26.4</v>
      </c>
      <c r="M1758" s="3">
        <v>27.72</v>
      </c>
      <c r="N1758" s="3">
        <v>54.99</v>
      </c>
      <c r="O1758" s="2" t="s">
        <v>243</v>
      </c>
      <c r="P1758" s="2" t="s">
        <v>270</v>
      </c>
      <c r="Q1758" s="2" t="s">
        <v>237</v>
      </c>
      <c r="R1758" s="2" t="s">
        <v>231</v>
      </c>
      <c r="S1758" s="2" t="s">
        <v>8049</v>
      </c>
      <c r="T1758" s="2" t="s">
        <v>362</v>
      </c>
      <c r="U1758" s="2" t="s">
        <v>231</v>
      </c>
      <c r="V1758" s="2" t="s">
        <v>239</v>
      </c>
      <c r="W1758" s="2" t="s">
        <v>273</v>
      </c>
      <c r="X1758" s="2" t="s">
        <v>231</v>
      </c>
      <c r="Y1758" s="2" t="s">
        <v>274</v>
      </c>
      <c r="Z1758" s="4">
        <v>107</v>
      </c>
      <c r="AA1758" s="4">
        <f>=ROUNDDOWN(2.54761904761905,0)</f>
      </c>
      <c r="AB1758" s="5">
        <v>42</v>
      </c>
      <c r="AC1758" s="2" t="s">
        <v>2262</v>
      </c>
      <c r="AD1758" s="4">
        <v>200</v>
      </c>
      <c r="AE1758" s="4">
        <v>900</v>
      </c>
      <c r="AF1758" s="6">
        <v>69</v>
      </c>
      <c r="AG1758" s="6"/>
      <c r="AH1758" s="7">
        <v>1</v>
      </c>
      <c r="AI1758" s="4"/>
      <c r="AJ1758" s="4">
        <f>=ROUNDDOWN({0},0)</f>
      </c>
      <c r="AK1758" s="5"/>
      <c r="AL1758" s="2" t="s">
        <v>231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231</v>
      </c>
      <c r="BD1758" s="8" t="s">
        <v>231</v>
      </c>
      <c r="BE1758" s="4" t="s">
        <v>231</v>
      </c>
      <c r="BF1758" s="8" t="s">
        <v>231</v>
      </c>
      <c r="BG1758" s="7" t="s">
        <v>231</v>
      </c>
      <c r="BH1758" s="7" t="s">
        <v>231</v>
      </c>
      <c r="BI1758" s="7"/>
      <c r="BJ1758" s="4">
        <v>392</v>
      </c>
      <c r="BK1758" s="8">
        <v>10432.94</v>
      </c>
      <c r="BL1758" s="2" t="s">
        <v>8050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8051</v>
      </c>
      <c r="BV1758" s="2" t="s">
        <v>231</v>
      </c>
      <c r="BW1758" s="2" t="s">
        <v>231</v>
      </c>
      <c r="BX1758" s="2" t="s">
        <v>231</v>
      </c>
      <c r="BY1758" s="2" t="s">
        <v>277</v>
      </c>
      <c r="BZ1758" s="2" t="s">
        <v>243</v>
      </c>
      <c r="CA1758" s="2" t="s">
        <v>284</v>
      </c>
      <c r="CB1758" s="2" t="s">
        <v>467</v>
      </c>
      <c r="CC1758" s="2" t="s">
        <v>244</v>
      </c>
      <c r="CD1758" s="2" t="s">
        <v>231</v>
      </c>
      <c r="CE1758" s="4">
        <v>107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>
        <v>200</v>
      </c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>
        <v>500</v>
      </c>
      <c r="GE1758" s="4">
        <v>200</v>
      </c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4"/>
      <c r="HJ1758" s="4"/>
      <c r="HK1758" s="4"/>
      <c r="HL1758" s="4"/>
    </row>
    <row r="1759">
      <c r="A1759" s="2" t="s">
        <v>8052</v>
      </c>
      <c r="B1759" s="2" t="s">
        <v>226</v>
      </c>
      <c r="C1759" s="2" t="s">
        <v>288</v>
      </c>
      <c r="D1759" s="2" t="s">
        <v>228</v>
      </c>
      <c r="E1759" s="2" t="s">
        <v>229</v>
      </c>
      <c r="F1759" s="2" t="s">
        <v>8044</v>
      </c>
      <c r="G1759" s="2" t="s">
        <v>8044</v>
      </c>
      <c r="H1759" s="2" t="s">
        <v>8044</v>
      </c>
      <c r="I1759" s="2" t="s">
        <v>229</v>
      </c>
      <c r="J1759" s="2" t="s">
        <v>302</v>
      </c>
      <c r="K1759" s="2" t="s">
        <v>306</v>
      </c>
      <c r="L1759" s="3">
        <v>31.85</v>
      </c>
      <c r="M1759" s="3">
        <v>33.44</v>
      </c>
      <c r="N1759" s="3">
        <v>64.99</v>
      </c>
      <c r="O1759" s="2" t="s">
        <v>243</v>
      </c>
      <c r="P1759" s="2" t="s">
        <v>270</v>
      </c>
      <c r="Q1759" s="2" t="s">
        <v>237</v>
      </c>
      <c r="R1759" s="2" t="s">
        <v>231</v>
      </c>
      <c r="S1759" s="2" t="s">
        <v>8053</v>
      </c>
      <c r="T1759" s="2" t="s">
        <v>362</v>
      </c>
      <c r="U1759" s="2" t="s">
        <v>231</v>
      </c>
      <c r="V1759" s="2" t="s">
        <v>239</v>
      </c>
      <c r="W1759" s="2" t="s">
        <v>273</v>
      </c>
      <c r="X1759" s="2" t="s">
        <v>231</v>
      </c>
      <c r="Y1759" s="2" t="s">
        <v>274</v>
      </c>
      <c r="Z1759" s="4">
        <v>750</v>
      </c>
      <c r="AA1759" s="4">
        <f>=ROUNDDOWN(31.25,0)</f>
      </c>
      <c r="AB1759" s="5">
        <v>24</v>
      </c>
      <c r="AC1759" s="2" t="s">
        <v>558</v>
      </c>
      <c r="AD1759" s="4">
        <v>160</v>
      </c>
      <c r="AE1759" s="4">
        <v>160</v>
      </c>
      <c r="AF1759" s="6">
        <v>69</v>
      </c>
      <c r="AG1759" s="6"/>
      <c r="AH1759" s="7">
        <v>1</v>
      </c>
      <c r="AI1759" s="4"/>
      <c r="AJ1759" s="4">
        <f>=ROUNDDOWN({0},0)</f>
      </c>
      <c r="AK1759" s="5"/>
      <c r="AL1759" s="2" t="s">
        <v>231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 t="s">
        <v>231</v>
      </c>
      <c r="BD1759" s="8" t="s">
        <v>231</v>
      </c>
      <c r="BE1759" s="4" t="s">
        <v>231</v>
      </c>
      <c r="BF1759" s="8" t="s">
        <v>231</v>
      </c>
      <c r="BG1759" s="7" t="s">
        <v>231</v>
      </c>
      <c r="BH1759" s="7" t="s">
        <v>231</v>
      </c>
      <c r="BI1759" s="7"/>
      <c r="BJ1759" s="4">
        <v>144</v>
      </c>
      <c r="BK1759" s="8">
        <v>4498.51</v>
      </c>
      <c r="BL1759" s="2" t="s">
        <v>4127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8054</v>
      </c>
      <c r="BV1759" s="2" t="s">
        <v>231</v>
      </c>
      <c r="BW1759" s="2" t="s">
        <v>231</v>
      </c>
      <c r="BX1759" s="2" t="s">
        <v>231</v>
      </c>
      <c r="BY1759" s="2" t="s">
        <v>277</v>
      </c>
      <c r="BZ1759" s="2" t="s">
        <v>243</v>
      </c>
      <c r="CA1759" s="2" t="s">
        <v>284</v>
      </c>
      <c r="CB1759" s="2" t="s">
        <v>551</v>
      </c>
      <c r="CC1759" s="2" t="s">
        <v>244</v>
      </c>
      <c r="CD1759" s="2" t="s">
        <v>231</v>
      </c>
      <c r="CE1759" s="4">
        <v>750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>
        <v>160</v>
      </c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4"/>
      <c r="HJ1759" s="4"/>
      <c r="HK1759" s="4"/>
      <c r="HL1759" s="4"/>
    </row>
    <row r="1760">
      <c r="A1760" s="2" t="s">
        <v>8055</v>
      </c>
      <c r="B1760" s="2" t="s">
        <v>226</v>
      </c>
      <c r="C1760" s="2" t="s">
        <v>288</v>
      </c>
      <c r="D1760" s="2" t="s">
        <v>228</v>
      </c>
      <c r="E1760" s="2" t="s">
        <v>229</v>
      </c>
      <c r="F1760" s="2" t="s">
        <v>8044</v>
      </c>
      <c r="G1760" s="2" t="s">
        <v>8044</v>
      </c>
      <c r="H1760" s="2" t="s">
        <v>8044</v>
      </c>
      <c r="I1760" s="2" t="s">
        <v>229</v>
      </c>
      <c r="J1760" s="2" t="s">
        <v>658</v>
      </c>
      <c r="K1760" s="2" t="s">
        <v>255</v>
      </c>
      <c r="L1760" s="3">
        <v>26.4</v>
      </c>
      <c r="M1760" s="3">
        <v>27.72</v>
      </c>
      <c r="N1760" s="3">
        <v>54.99</v>
      </c>
      <c r="O1760" s="2" t="s">
        <v>243</v>
      </c>
      <c r="P1760" s="2" t="s">
        <v>270</v>
      </c>
      <c r="Q1760" s="2" t="s">
        <v>237</v>
      </c>
      <c r="R1760" s="2" t="s">
        <v>231</v>
      </c>
      <c r="S1760" s="2" t="s">
        <v>8056</v>
      </c>
      <c r="T1760" s="2" t="s">
        <v>362</v>
      </c>
      <c r="U1760" s="2" t="s">
        <v>327</v>
      </c>
      <c r="V1760" s="2" t="s">
        <v>239</v>
      </c>
      <c r="W1760" s="2" t="s">
        <v>273</v>
      </c>
      <c r="X1760" s="2" t="s">
        <v>231</v>
      </c>
      <c r="Y1760" s="2" t="s">
        <v>5479</v>
      </c>
      <c r="Z1760" s="4">
        <v>192</v>
      </c>
      <c r="AA1760" s="4">
        <f>=ROUNDDOWN(9.6,0)</f>
      </c>
      <c r="AB1760" s="5">
        <v>20</v>
      </c>
      <c r="AC1760" s="2" t="s">
        <v>2262</v>
      </c>
      <c r="AD1760" s="4">
        <v>210</v>
      </c>
      <c r="AE1760" s="4">
        <v>510</v>
      </c>
      <c r="AF1760" s="6">
        <v>69</v>
      </c>
      <c r="AG1760" s="6"/>
      <c r="AH1760" s="7">
        <v>1</v>
      </c>
      <c r="AI1760" s="4"/>
      <c r="AJ1760" s="4">
        <f>=ROUNDDOWN({0},0)</f>
      </c>
      <c r="AK1760" s="5"/>
      <c r="AL1760" s="2" t="s">
        <v>231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231</v>
      </c>
      <c r="AW1760" s="8" t="s">
        <v>231</v>
      </c>
      <c r="AX1760" s="4" t="s">
        <v>231</v>
      </c>
      <c r="AY1760" s="8" t="s">
        <v>231</v>
      </c>
      <c r="AZ1760" s="7" t="s">
        <v>231</v>
      </c>
      <c r="BA1760" s="7" t="s">
        <v>231</v>
      </c>
      <c r="BB1760" s="7"/>
      <c r="BC1760" s="4" t="s">
        <v>231</v>
      </c>
      <c r="BD1760" s="8" t="s">
        <v>231</v>
      </c>
      <c r="BE1760" s="4" t="s">
        <v>231</v>
      </c>
      <c r="BF1760" s="8" t="s">
        <v>231</v>
      </c>
      <c r="BG1760" s="7" t="s">
        <v>231</v>
      </c>
      <c r="BH1760" s="7" t="s">
        <v>231</v>
      </c>
      <c r="BI1760" s="7"/>
      <c r="BJ1760" s="4">
        <v>78</v>
      </c>
      <c r="BK1760" s="8">
        <v>2143.5</v>
      </c>
      <c r="BL1760" s="2" t="s">
        <v>8057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8058</v>
      </c>
      <c r="BV1760" s="2" t="s">
        <v>231</v>
      </c>
      <c r="BW1760" s="2" t="s">
        <v>231</v>
      </c>
      <c r="BX1760" s="2" t="s">
        <v>241</v>
      </c>
      <c r="BY1760" s="2" t="s">
        <v>277</v>
      </c>
      <c r="BZ1760" s="2" t="s">
        <v>243</v>
      </c>
      <c r="CA1760" s="2" t="s">
        <v>2735</v>
      </c>
      <c r="CB1760" s="2" t="s">
        <v>231</v>
      </c>
      <c r="CC1760" s="2" t="s">
        <v>244</v>
      </c>
      <c r="CD1760" s="2" t="s">
        <v>231</v>
      </c>
      <c r="CE1760" s="4">
        <v>192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>
        <v>210</v>
      </c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>
        <v>300</v>
      </c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4"/>
      <c r="HJ1760" s="4"/>
      <c r="HK1760" s="4"/>
      <c r="HL1760" s="4"/>
    </row>
    <row r="1761">
      <c r="A1761" s="2" t="s">
        <v>8059</v>
      </c>
      <c r="B1761" s="2" t="s">
        <v>226</v>
      </c>
      <c r="C1761" s="2" t="s">
        <v>288</v>
      </c>
      <c r="D1761" s="2" t="s">
        <v>228</v>
      </c>
      <c r="E1761" s="2" t="s">
        <v>229</v>
      </c>
      <c r="F1761" s="2" t="s">
        <v>8044</v>
      </c>
      <c r="G1761" s="2" t="s">
        <v>8044</v>
      </c>
      <c r="H1761" s="2" t="s">
        <v>8044</v>
      </c>
      <c r="I1761" s="2" t="s">
        <v>229</v>
      </c>
      <c r="J1761" s="2" t="s">
        <v>302</v>
      </c>
      <c r="K1761" s="2" t="s">
        <v>255</v>
      </c>
      <c r="L1761" s="3">
        <v>31.85</v>
      </c>
      <c r="M1761" s="3">
        <v>33.44</v>
      </c>
      <c r="N1761" s="3">
        <v>64.99</v>
      </c>
      <c r="O1761" s="2" t="s">
        <v>243</v>
      </c>
      <c r="P1761" s="2" t="s">
        <v>270</v>
      </c>
      <c r="Q1761" s="2" t="s">
        <v>237</v>
      </c>
      <c r="R1761" s="2" t="s">
        <v>231</v>
      </c>
      <c r="S1761" s="2" t="s">
        <v>8056</v>
      </c>
      <c r="T1761" s="2" t="s">
        <v>362</v>
      </c>
      <c r="U1761" s="2" t="s">
        <v>327</v>
      </c>
      <c r="V1761" s="2" t="s">
        <v>239</v>
      </c>
      <c r="W1761" s="2" t="s">
        <v>273</v>
      </c>
      <c r="X1761" s="2" t="s">
        <v>231</v>
      </c>
      <c r="Y1761" s="2" t="s">
        <v>5479</v>
      </c>
      <c r="Z1761" s="4">
        <v>111</v>
      </c>
      <c r="AA1761" s="4">
        <f>=ROUNDDOWN(7.92857142857143,0)</f>
      </c>
      <c r="AB1761" s="5">
        <v>14</v>
      </c>
      <c r="AC1761" s="2" t="s">
        <v>2262</v>
      </c>
      <c r="AD1761" s="4">
        <v>170</v>
      </c>
      <c r="AE1761" s="4">
        <v>320</v>
      </c>
      <c r="AF1761" s="6">
        <v>69</v>
      </c>
      <c r="AG1761" s="6"/>
      <c r="AH1761" s="7">
        <v>1</v>
      </c>
      <c r="AI1761" s="4"/>
      <c r="AJ1761" s="4">
        <f>=ROUNDDOWN({0},0)</f>
      </c>
      <c r="AK1761" s="5"/>
      <c r="AL1761" s="2" t="s">
        <v>231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231</v>
      </c>
      <c r="AW1761" s="8" t="s">
        <v>231</v>
      </c>
      <c r="AX1761" s="4" t="s">
        <v>231</v>
      </c>
      <c r="AY1761" s="8" t="s">
        <v>231</v>
      </c>
      <c r="AZ1761" s="7" t="s">
        <v>231</v>
      </c>
      <c r="BA1761" s="7" t="s">
        <v>231</v>
      </c>
      <c r="BB1761" s="7"/>
      <c r="BC1761" s="4" t="s">
        <v>231</v>
      </c>
      <c r="BD1761" s="8" t="s">
        <v>231</v>
      </c>
      <c r="BE1761" s="4" t="s">
        <v>231</v>
      </c>
      <c r="BF1761" s="8" t="s">
        <v>231</v>
      </c>
      <c r="BG1761" s="7" t="s">
        <v>231</v>
      </c>
      <c r="BH1761" s="7" t="s">
        <v>231</v>
      </c>
      <c r="BI1761" s="7"/>
      <c r="BJ1761" s="4">
        <v>64</v>
      </c>
      <c r="BK1761" s="8">
        <v>2109.06</v>
      </c>
      <c r="BL1761" s="2" t="s">
        <v>2988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8060</v>
      </c>
      <c r="BV1761" s="2" t="s">
        <v>231</v>
      </c>
      <c r="BW1761" s="2" t="s">
        <v>231</v>
      </c>
      <c r="BX1761" s="2" t="s">
        <v>241</v>
      </c>
      <c r="BY1761" s="2" t="s">
        <v>277</v>
      </c>
      <c r="BZ1761" s="2" t="s">
        <v>243</v>
      </c>
      <c r="CA1761" s="2" t="s">
        <v>2735</v>
      </c>
      <c r="CB1761" s="2" t="s">
        <v>1436</v>
      </c>
      <c r="CC1761" s="2" t="s">
        <v>244</v>
      </c>
      <c r="CD1761" s="2" t="s">
        <v>231</v>
      </c>
      <c r="CE1761" s="4">
        <v>111</v>
      </c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>
        <v>170</v>
      </c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>
        <v>150</v>
      </c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4"/>
      <c r="HJ1761" s="4"/>
      <c r="HK1761" s="4"/>
      <c r="HL1761" s="4"/>
    </row>
    <row r="1762">
      <c r="A1762" s="2" t="s">
        <v>8061</v>
      </c>
      <c r="B1762" s="2" t="s">
        <v>226</v>
      </c>
      <c r="C1762" s="2" t="s">
        <v>288</v>
      </c>
      <c r="D1762" s="2" t="s">
        <v>228</v>
      </c>
      <c r="E1762" s="2" t="s">
        <v>229</v>
      </c>
      <c r="F1762" s="2" t="s">
        <v>8044</v>
      </c>
      <c r="G1762" s="2" t="s">
        <v>8044</v>
      </c>
      <c r="H1762" s="2" t="s">
        <v>8044</v>
      </c>
      <c r="I1762" s="2" t="s">
        <v>229</v>
      </c>
      <c r="J1762" s="2" t="s">
        <v>318</v>
      </c>
      <c r="K1762" s="2" t="s">
        <v>556</v>
      </c>
      <c r="L1762" s="3">
        <v>21.15</v>
      </c>
      <c r="M1762" s="3">
        <v>22.21</v>
      </c>
      <c r="N1762" s="3">
        <v>44.99</v>
      </c>
      <c r="O1762" s="2" t="s">
        <v>243</v>
      </c>
      <c r="P1762" s="2" t="s">
        <v>270</v>
      </c>
      <c r="Q1762" s="2" t="s">
        <v>237</v>
      </c>
      <c r="R1762" s="2" t="s">
        <v>231</v>
      </c>
      <c r="S1762" s="2" t="s">
        <v>8062</v>
      </c>
      <c r="T1762" s="2" t="s">
        <v>362</v>
      </c>
      <c r="U1762" s="2" t="s">
        <v>231</v>
      </c>
      <c r="V1762" s="2" t="s">
        <v>239</v>
      </c>
      <c r="W1762" s="2" t="s">
        <v>273</v>
      </c>
      <c r="X1762" s="2" t="s">
        <v>231</v>
      </c>
      <c r="Y1762" s="2" t="s">
        <v>274</v>
      </c>
      <c r="Z1762" s="4">
        <v>164</v>
      </c>
      <c r="AA1762" s="4">
        <f>=ROUNDDOWN(6.56,0)</f>
      </c>
      <c r="AB1762" s="5">
        <v>25</v>
      </c>
      <c r="AC1762" s="2" t="s">
        <v>2262</v>
      </c>
      <c r="AD1762" s="4">
        <v>300</v>
      </c>
      <c r="AE1762" s="4">
        <v>600</v>
      </c>
      <c r="AF1762" s="6">
        <v>69</v>
      </c>
      <c r="AG1762" s="6"/>
      <c r="AH1762" s="7">
        <v>1</v>
      </c>
      <c r="AI1762" s="4"/>
      <c r="AJ1762" s="4">
        <f>=ROUNDDOWN({0},0)</f>
      </c>
      <c r="AK1762" s="5"/>
      <c r="AL1762" s="2" t="s">
        <v>231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 t="s">
        <v>231</v>
      </c>
      <c r="BD1762" s="8" t="s">
        <v>231</v>
      </c>
      <c r="BE1762" s="4" t="s">
        <v>231</v>
      </c>
      <c r="BF1762" s="8" t="s">
        <v>231</v>
      </c>
      <c r="BG1762" s="7" t="s">
        <v>231</v>
      </c>
      <c r="BH1762" s="7" t="s">
        <v>231</v>
      </c>
      <c r="BI1762" s="7"/>
      <c r="BJ1762" s="4">
        <v>228</v>
      </c>
      <c r="BK1762" s="8">
        <v>4732.53</v>
      </c>
      <c r="BL1762" s="2" t="s">
        <v>8063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8064</v>
      </c>
      <c r="BV1762" s="2" t="s">
        <v>231</v>
      </c>
      <c r="BW1762" s="2" t="s">
        <v>231</v>
      </c>
      <c r="BX1762" s="2" t="s">
        <v>231</v>
      </c>
      <c r="BY1762" s="2" t="s">
        <v>277</v>
      </c>
      <c r="BZ1762" s="2" t="s">
        <v>243</v>
      </c>
      <c r="CA1762" s="2" t="s">
        <v>284</v>
      </c>
      <c r="CB1762" s="2" t="s">
        <v>8065</v>
      </c>
      <c r="CC1762" s="2" t="s">
        <v>244</v>
      </c>
      <c r="CD1762" s="2" t="s">
        <v>231</v>
      </c>
      <c r="CE1762" s="4">
        <v>164</v>
      </c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>
        <v>300</v>
      </c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>
        <v>300</v>
      </c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4"/>
      <c r="HJ1762" s="4"/>
      <c r="HK1762" s="4"/>
      <c r="HL1762" s="4"/>
    </row>
    <row r="1763">
      <c r="A1763" s="2" t="s">
        <v>8066</v>
      </c>
      <c r="B1763" s="2" t="s">
        <v>226</v>
      </c>
      <c r="C1763" s="2" t="s">
        <v>288</v>
      </c>
      <c r="D1763" s="2" t="s">
        <v>228</v>
      </c>
      <c r="E1763" s="2" t="s">
        <v>229</v>
      </c>
      <c r="F1763" s="2" t="s">
        <v>8044</v>
      </c>
      <c r="G1763" s="2" t="s">
        <v>8044</v>
      </c>
      <c r="H1763" s="2" t="s">
        <v>8044</v>
      </c>
      <c r="I1763" s="2" t="s">
        <v>229</v>
      </c>
      <c r="J1763" s="2" t="s">
        <v>318</v>
      </c>
      <c r="K1763" s="2" t="s">
        <v>319</v>
      </c>
      <c r="L1763" s="3">
        <v>21.15</v>
      </c>
      <c r="M1763" s="3">
        <v>22.21</v>
      </c>
      <c r="N1763" s="3">
        <v>44.99</v>
      </c>
      <c r="O1763" s="2" t="s">
        <v>243</v>
      </c>
      <c r="P1763" s="2" t="s">
        <v>1281</v>
      </c>
      <c r="Q1763" s="2" t="s">
        <v>237</v>
      </c>
      <c r="R1763" s="2" t="s">
        <v>231</v>
      </c>
      <c r="S1763" s="2" t="s">
        <v>8067</v>
      </c>
      <c r="T1763" s="2" t="s">
        <v>362</v>
      </c>
      <c r="U1763" s="2" t="s">
        <v>231</v>
      </c>
      <c r="V1763" s="2" t="s">
        <v>239</v>
      </c>
      <c r="W1763" s="2" t="s">
        <v>273</v>
      </c>
      <c r="X1763" s="2" t="s">
        <v>231</v>
      </c>
      <c r="Y1763" s="2" t="s">
        <v>274</v>
      </c>
      <c r="Z1763" s="4">
        <v>562</v>
      </c>
      <c r="AA1763" s="4">
        <f>=ROUNDDOWN(37.4666666666667,0)</f>
      </c>
      <c r="AB1763" s="5">
        <v>15</v>
      </c>
      <c r="AC1763" s="2" t="s">
        <v>2262</v>
      </c>
      <c r="AD1763" s="4">
        <v>30</v>
      </c>
      <c r="AE1763" s="4">
        <v>30</v>
      </c>
      <c r="AF1763" s="6">
        <v>69</v>
      </c>
      <c r="AG1763" s="6"/>
      <c r="AH1763" s="7">
        <v>1</v>
      </c>
      <c r="AI1763" s="4"/>
      <c r="AJ1763" s="4">
        <f>=ROUNDDOWN({0},0)</f>
      </c>
      <c r="AK1763" s="5"/>
      <c r="AL1763" s="2" t="s">
        <v>231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 t="s">
        <v>231</v>
      </c>
      <c r="BD1763" s="8" t="s">
        <v>231</v>
      </c>
      <c r="BE1763" s="4" t="s">
        <v>231</v>
      </c>
      <c r="BF1763" s="8" t="s">
        <v>231</v>
      </c>
      <c r="BG1763" s="7" t="s">
        <v>231</v>
      </c>
      <c r="BH1763" s="7" t="s">
        <v>231</v>
      </c>
      <c r="BI1763" s="7"/>
      <c r="BJ1763" s="4">
        <v>68</v>
      </c>
      <c r="BK1763" s="8">
        <v>1442.64</v>
      </c>
      <c r="BL1763" s="2" t="s">
        <v>8068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8069</v>
      </c>
      <c r="BV1763" s="2" t="s">
        <v>231</v>
      </c>
      <c r="BW1763" s="2" t="s">
        <v>231</v>
      </c>
      <c r="BX1763" s="2" t="s">
        <v>231</v>
      </c>
      <c r="BY1763" s="2" t="s">
        <v>277</v>
      </c>
      <c r="BZ1763" s="2" t="s">
        <v>243</v>
      </c>
      <c r="CA1763" s="2" t="s">
        <v>284</v>
      </c>
      <c r="CB1763" s="2" t="s">
        <v>1516</v>
      </c>
      <c r="CC1763" s="2" t="s">
        <v>244</v>
      </c>
      <c r="CD1763" s="2" t="s">
        <v>231</v>
      </c>
      <c r="CE1763" s="4">
        <v>562</v>
      </c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>
        <v>30</v>
      </c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4"/>
      <c r="HJ1763" s="4"/>
      <c r="HK1763" s="4"/>
      <c r="HL1763" s="4"/>
    </row>
    <row r="1764">
      <c r="A1764" s="2" t="s">
        <v>8070</v>
      </c>
      <c r="B1764" s="2" t="s">
        <v>1186</v>
      </c>
      <c r="C1764" s="2" t="s">
        <v>1836</v>
      </c>
      <c r="D1764" s="2" t="s">
        <v>826</v>
      </c>
      <c r="E1764" s="2" t="s">
        <v>827</v>
      </c>
      <c r="F1764" s="2" t="s">
        <v>8071</v>
      </c>
      <c r="G1764" s="2" t="s">
        <v>8071</v>
      </c>
      <c r="H1764" s="2" t="s">
        <v>8071</v>
      </c>
      <c r="I1764" s="2" t="s">
        <v>6535</v>
      </c>
      <c r="J1764" s="2" t="s">
        <v>658</v>
      </c>
      <c r="K1764" s="2" t="s">
        <v>870</v>
      </c>
      <c r="L1764" s="3">
        <v>75</v>
      </c>
      <c r="M1764" s="3">
        <v>78.74</v>
      </c>
      <c r="N1764" s="3">
        <v>149.99</v>
      </c>
      <c r="O1764" s="2" t="s">
        <v>243</v>
      </c>
      <c r="P1764" s="2" t="s">
        <v>1281</v>
      </c>
      <c r="Q1764" s="2" t="s">
        <v>237</v>
      </c>
      <c r="R1764" s="2" t="s">
        <v>231</v>
      </c>
      <c r="S1764" s="2" t="s">
        <v>8072</v>
      </c>
      <c r="T1764" s="2" t="s">
        <v>362</v>
      </c>
      <c r="U1764" s="2" t="s">
        <v>661</v>
      </c>
      <c r="V1764" s="2" t="s">
        <v>381</v>
      </c>
      <c r="W1764" s="2" t="s">
        <v>971</v>
      </c>
      <c r="X1764" s="2" t="s">
        <v>7614</v>
      </c>
      <c r="Y1764" s="2" t="s">
        <v>2788</v>
      </c>
      <c r="Z1764" s="4">
        <v>40</v>
      </c>
      <c r="AA1764" s="4">
        <f>=ROUNDDOWN(20,0)</f>
      </c>
      <c r="AB1764" s="5">
        <v>2</v>
      </c>
      <c r="AC1764" s="2" t="s">
        <v>1664</v>
      </c>
      <c r="AD1764" s="4">
        <v>25</v>
      </c>
      <c r="AE1764" s="4">
        <v>25</v>
      </c>
      <c r="AF1764" s="6">
        <v>66</v>
      </c>
      <c r="AG1764" s="6"/>
      <c r="AH1764" s="7">
        <v>1</v>
      </c>
      <c r="AI1764" s="4"/>
      <c r="AJ1764" s="4">
        <f>=ROUNDDOWN({0},0)</f>
      </c>
      <c r="AK1764" s="5"/>
      <c r="AL1764" s="2" t="s">
        <v>231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/>
      <c r="BD1764" s="8"/>
      <c r="BE1764" s="4"/>
      <c r="BF1764" s="8"/>
      <c r="BG1764" s="7"/>
      <c r="BH1764" s="7"/>
      <c r="BI1764" s="7"/>
      <c r="BJ1764" s="4">
        <v>7</v>
      </c>
      <c r="BK1764" s="8">
        <v>567.3</v>
      </c>
      <c r="BL1764" s="2" t="s">
        <v>353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8073</v>
      </c>
      <c r="BV1764" s="2" t="s">
        <v>231</v>
      </c>
      <c r="BW1764" s="2" t="s">
        <v>231</v>
      </c>
      <c r="BX1764" s="2" t="s">
        <v>231</v>
      </c>
      <c r="BY1764" s="2" t="s">
        <v>277</v>
      </c>
      <c r="BZ1764" s="2" t="s">
        <v>243</v>
      </c>
      <c r="CA1764" s="2" t="s">
        <v>8074</v>
      </c>
      <c r="CB1764" s="2" t="s">
        <v>734</v>
      </c>
      <c r="CC1764" s="2" t="s">
        <v>244</v>
      </c>
      <c r="CD1764" s="2" t="s">
        <v>231</v>
      </c>
      <c r="CE1764" s="4">
        <v>40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>
        <v>25</v>
      </c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4"/>
      <c r="HJ1764" s="4"/>
      <c r="HK1764" s="4"/>
      <c r="HL1764" s="4"/>
    </row>
    <row r="1765">
      <c r="A1765" s="2" t="s">
        <v>8075</v>
      </c>
      <c r="B1765" s="2" t="s">
        <v>940</v>
      </c>
      <c r="C1765" s="2" t="s">
        <v>288</v>
      </c>
      <c r="D1765" s="2" t="s">
        <v>1533</v>
      </c>
      <c r="E1765" s="2" t="s">
        <v>1534</v>
      </c>
      <c r="F1765" s="2" t="s">
        <v>8076</v>
      </c>
      <c r="G1765" s="2" t="s">
        <v>8077</v>
      </c>
      <c r="H1765" s="2" t="s">
        <v>3533</v>
      </c>
      <c r="I1765" s="2" t="s">
        <v>8078</v>
      </c>
      <c r="J1765" s="2" t="s">
        <v>1536</v>
      </c>
      <c r="K1765" s="2" t="s">
        <v>8079</v>
      </c>
      <c r="L1765" s="3">
        <v>17.6</v>
      </c>
      <c r="M1765" s="3">
        <v>18.48</v>
      </c>
      <c r="N1765" s="3">
        <v>39.99</v>
      </c>
      <c r="O1765" s="2" t="s">
        <v>243</v>
      </c>
      <c r="P1765" s="2" t="s">
        <v>270</v>
      </c>
      <c r="Q1765" s="2" t="s">
        <v>237</v>
      </c>
      <c r="R1765" s="2" t="s">
        <v>231</v>
      </c>
      <c r="S1765" s="2" t="s">
        <v>8080</v>
      </c>
      <c r="T1765" s="2" t="s">
        <v>362</v>
      </c>
      <c r="U1765" s="2" t="s">
        <v>231</v>
      </c>
      <c r="V1765" s="2" t="s">
        <v>1192</v>
      </c>
      <c r="W1765" s="2" t="s">
        <v>273</v>
      </c>
      <c r="X1765" s="2" t="s">
        <v>231</v>
      </c>
      <c r="Y1765" s="2" t="s">
        <v>8081</v>
      </c>
      <c r="Z1765" s="4">
        <v>358</v>
      </c>
      <c r="AA1765" s="4">
        <f>=ROUNDDOWN(17.9,0)</f>
      </c>
      <c r="AB1765" s="5">
        <v>20</v>
      </c>
      <c r="AC1765" s="2" t="s">
        <v>8082</v>
      </c>
      <c r="AD1765" s="4">
        <v>240</v>
      </c>
      <c r="AE1765" s="4">
        <v>480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231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 t="s">
        <v>231</v>
      </c>
      <c r="BD1765" s="8" t="s">
        <v>231</v>
      </c>
      <c r="BE1765" s="4" t="s">
        <v>231</v>
      </c>
      <c r="BF1765" s="8" t="s">
        <v>231</v>
      </c>
      <c r="BG1765" s="7" t="s">
        <v>231</v>
      </c>
      <c r="BH1765" s="7" t="s">
        <v>231</v>
      </c>
      <c r="BI1765" s="7"/>
      <c r="BJ1765" s="4">
        <v>85</v>
      </c>
      <c r="BK1765" s="8">
        <v>1651.16</v>
      </c>
      <c r="BL1765" s="2" t="s">
        <v>8083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8084</v>
      </c>
      <c r="BV1765" s="2" t="s">
        <v>231</v>
      </c>
      <c r="BW1765" s="2" t="s">
        <v>231</v>
      </c>
      <c r="BX1765" s="2" t="s">
        <v>231</v>
      </c>
      <c r="BY1765" s="2" t="s">
        <v>277</v>
      </c>
      <c r="BZ1765" s="2" t="s">
        <v>243</v>
      </c>
      <c r="CA1765" s="2" t="s">
        <v>8085</v>
      </c>
      <c r="CB1765" s="2" t="s">
        <v>8086</v>
      </c>
      <c r="CC1765" s="2" t="s">
        <v>244</v>
      </c>
      <c r="CD1765" s="2" t="s">
        <v>231</v>
      </c>
      <c r="CE1765" s="4">
        <v>358</v>
      </c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>
        <v>240</v>
      </c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>
        <v>240</v>
      </c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4"/>
      <c r="HJ1765" s="4"/>
      <c r="HK1765" s="4"/>
      <c r="HL1765" s="4"/>
    </row>
    <row r="1766">
      <c r="A1766" s="2" t="s">
        <v>8087</v>
      </c>
      <c r="B1766" s="2" t="s">
        <v>1004</v>
      </c>
      <c r="C1766" s="2" t="s">
        <v>288</v>
      </c>
      <c r="D1766" s="2" t="s">
        <v>1689</v>
      </c>
      <c r="E1766" s="2" t="s">
        <v>1690</v>
      </c>
      <c r="F1766" s="2" t="s">
        <v>8076</v>
      </c>
      <c r="G1766" s="2" t="s">
        <v>8088</v>
      </c>
      <c r="H1766" s="2" t="s">
        <v>5879</v>
      </c>
      <c r="I1766" s="2" t="s">
        <v>8089</v>
      </c>
      <c r="J1766" s="2" t="s">
        <v>807</v>
      </c>
      <c r="K1766" s="2" t="s">
        <v>452</v>
      </c>
      <c r="L1766" s="3">
        <v>106.2</v>
      </c>
      <c r="M1766" s="3">
        <v>111.51</v>
      </c>
      <c r="N1766" s="3">
        <v>229</v>
      </c>
      <c r="O1766" s="2" t="s">
        <v>243</v>
      </c>
      <c r="P1766" s="2" t="s">
        <v>1985</v>
      </c>
      <c r="Q1766" s="2" t="s">
        <v>237</v>
      </c>
      <c r="R1766" s="2" t="s">
        <v>231</v>
      </c>
      <c r="S1766" s="2" t="s">
        <v>8090</v>
      </c>
      <c r="T1766" s="2" t="s">
        <v>231</v>
      </c>
      <c r="U1766" s="2" t="s">
        <v>231</v>
      </c>
      <c r="V1766" s="2" t="s">
        <v>1685</v>
      </c>
      <c r="W1766" s="2" t="s">
        <v>792</v>
      </c>
      <c r="X1766" s="2" t="s">
        <v>231</v>
      </c>
      <c r="Y1766" s="2" t="s">
        <v>274</v>
      </c>
      <c r="Z1766" s="4">
        <v>207</v>
      </c>
      <c r="AA1766" s="4">
        <f>=ROUNDDOWN(51.75,0)</f>
      </c>
      <c r="AB1766" s="5">
        <v>4</v>
      </c>
      <c r="AC1766" s="2" t="s">
        <v>231</v>
      </c>
      <c r="AD1766" s="4"/>
      <c r="AE1766" s="4"/>
      <c r="AF1766" s="6">
        <v>76</v>
      </c>
      <c r="AG1766" s="6"/>
      <c r="AH1766" s="7">
        <v>1</v>
      </c>
      <c r="AI1766" s="4"/>
      <c r="AJ1766" s="4">
        <f>=ROUNDDOWN({0},0)</f>
      </c>
      <c r="AK1766" s="5"/>
      <c r="AL1766" s="2" t="s">
        <v>231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231</v>
      </c>
      <c r="BD1766" s="8" t="s">
        <v>231</v>
      </c>
      <c r="BE1766" s="4" t="s">
        <v>231</v>
      </c>
      <c r="BF1766" s="8" t="s">
        <v>231</v>
      </c>
      <c r="BG1766" s="7" t="s">
        <v>231</v>
      </c>
      <c r="BH1766" s="7" t="s">
        <v>231</v>
      </c>
      <c r="BI1766" s="7"/>
      <c r="BJ1766" s="4">
        <v>15</v>
      </c>
      <c r="BK1766" s="8">
        <v>1679.55</v>
      </c>
      <c r="BL1766" s="2" t="s">
        <v>8091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8092</v>
      </c>
      <c r="BV1766" s="2" t="s">
        <v>231</v>
      </c>
      <c r="BW1766" s="2" t="s">
        <v>231</v>
      </c>
      <c r="BX1766" s="2" t="s">
        <v>231</v>
      </c>
      <c r="BY1766" s="2" t="s">
        <v>277</v>
      </c>
      <c r="BZ1766" s="2" t="s">
        <v>243</v>
      </c>
      <c r="CA1766" s="2" t="s">
        <v>284</v>
      </c>
      <c r="CB1766" s="2" t="s">
        <v>8093</v>
      </c>
      <c r="CC1766" s="2" t="s">
        <v>244</v>
      </c>
      <c r="CD1766" s="2" t="s">
        <v>231</v>
      </c>
      <c r="CE1766" s="4"/>
      <c r="CF1766" s="4">
        <v>207</v>
      </c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4"/>
      <c r="HJ1766" s="4"/>
      <c r="HK1766" s="4"/>
      <c r="HL1766" s="4"/>
    </row>
    <row r="1767">
      <c r="A1767" s="2" t="s">
        <v>8094</v>
      </c>
      <c r="B1767" s="2" t="s">
        <v>1186</v>
      </c>
      <c r="C1767" s="2" t="s">
        <v>288</v>
      </c>
      <c r="D1767" s="2" t="s">
        <v>826</v>
      </c>
      <c r="E1767" s="2" t="s">
        <v>827</v>
      </c>
      <c r="F1767" s="2" t="s">
        <v>8076</v>
      </c>
      <c r="G1767" s="2" t="s">
        <v>8077</v>
      </c>
      <c r="H1767" s="2" t="s">
        <v>8095</v>
      </c>
      <c r="I1767" s="2" t="s">
        <v>8096</v>
      </c>
      <c r="J1767" s="2" t="s">
        <v>658</v>
      </c>
      <c r="K1767" s="2" t="s">
        <v>8097</v>
      </c>
      <c r="L1767" s="3">
        <v>54.99</v>
      </c>
      <c r="M1767" s="3">
        <v>57.74</v>
      </c>
      <c r="N1767" s="3">
        <v>109.99</v>
      </c>
      <c r="O1767" s="2" t="s">
        <v>243</v>
      </c>
      <c r="P1767" s="2" t="s">
        <v>270</v>
      </c>
      <c r="Q1767" s="2" t="s">
        <v>237</v>
      </c>
      <c r="R1767" s="2" t="s">
        <v>231</v>
      </c>
      <c r="S1767" s="2" t="s">
        <v>8098</v>
      </c>
      <c r="T1767" s="2" t="s">
        <v>231</v>
      </c>
      <c r="U1767" s="2" t="s">
        <v>765</v>
      </c>
      <c r="V1767" s="2" t="s">
        <v>1192</v>
      </c>
      <c r="W1767" s="2" t="s">
        <v>792</v>
      </c>
      <c r="X1767" s="2" t="s">
        <v>8099</v>
      </c>
      <c r="Y1767" s="2" t="s">
        <v>274</v>
      </c>
      <c r="Z1767" s="4">
        <v>166</v>
      </c>
      <c r="AA1767" s="4">
        <f>=ROUNDDOWN(27.6666666666667,0)</f>
      </c>
      <c r="AB1767" s="5">
        <v>6</v>
      </c>
      <c r="AC1767" s="2" t="s">
        <v>2082</v>
      </c>
      <c r="AD1767" s="4">
        <v>30</v>
      </c>
      <c r="AE1767" s="4">
        <v>110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231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 t="s">
        <v>231</v>
      </c>
      <c r="BD1767" s="8" t="s">
        <v>231</v>
      </c>
      <c r="BE1767" s="4" t="s">
        <v>231</v>
      </c>
      <c r="BF1767" s="8" t="s">
        <v>231</v>
      </c>
      <c r="BG1767" s="7" t="s">
        <v>231</v>
      </c>
      <c r="BH1767" s="7" t="s">
        <v>231</v>
      </c>
      <c r="BI1767" s="7"/>
      <c r="BJ1767" s="4">
        <v>26</v>
      </c>
      <c r="BK1767" s="8">
        <v>1512.07</v>
      </c>
      <c r="BL1767" s="2" t="s">
        <v>8100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8101</v>
      </c>
      <c r="BV1767" s="2" t="s">
        <v>231</v>
      </c>
      <c r="BW1767" s="2" t="s">
        <v>231</v>
      </c>
      <c r="BX1767" s="2" t="s">
        <v>241</v>
      </c>
      <c r="BY1767" s="2" t="s">
        <v>277</v>
      </c>
      <c r="BZ1767" s="2" t="s">
        <v>243</v>
      </c>
      <c r="CA1767" s="2" t="s">
        <v>284</v>
      </c>
      <c r="CB1767" s="2" t="s">
        <v>467</v>
      </c>
      <c r="CC1767" s="2" t="s">
        <v>244</v>
      </c>
      <c r="CD1767" s="2" t="s">
        <v>231</v>
      </c>
      <c r="CE1767" s="4">
        <v>166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>
        <v>30</v>
      </c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>
        <v>80</v>
      </c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4"/>
      <c r="HJ1767" s="4"/>
      <c r="HK1767" s="4"/>
      <c r="HL1767" s="4"/>
    </row>
    <row r="1768">
      <c r="A1768" s="2" t="s">
        <v>8102</v>
      </c>
      <c r="B1768" s="2" t="s">
        <v>1004</v>
      </c>
      <c r="C1768" s="2" t="s">
        <v>867</v>
      </c>
      <c r="D1768" s="2" t="s">
        <v>1031</v>
      </c>
      <c r="E1768" s="2" t="s">
        <v>1032</v>
      </c>
      <c r="F1768" s="2" t="s">
        <v>6323</v>
      </c>
      <c r="G1768" s="2" t="s">
        <v>6323</v>
      </c>
      <c r="H1768" s="2" t="s">
        <v>6323</v>
      </c>
      <c r="I1768" s="2" t="s">
        <v>8103</v>
      </c>
      <c r="J1768" s="2" t="s">
        <v>807</v>
      </c>
      <c r="K1768" s="2" t="s">
        <v>2321</v>
      </c>
      <c r="L1768" s="3">
        <v>558.6</v>
      </c>
      <c r="M1768" s="3">
        <v>586.53</v>
      </c>
      <c r="N1768" s="3">
        <v>1179</v>
      </c>
      <c r="O1768" s="2" t="s">
        <v>243</v>
      </c>
      <c r="P1768" s="2" t="s">
        <v>1037</v>
      </c>
      <c r="Q1768" s="2" t="s">
        <v>237</v>
      </c>
      <c r="R1768" s="2" t="s">
        <v>16</v>
      </c>
      <c r="S1768" s="2" t="s">
        <v>8104</v>
      </c>
      <c r="T1768" s="2" t="s">
        <v>231</v>
      </c>
      <c r="U1768" s="2" t="s">
        <v>791</v>
      </c>
      <c r="V1768" s="2" t="s">
        <v>239</v>
      </c>
      <c r="W1768" s="2" t="s">
        <v>896</v>
      </c>
      <c r="X1768" s="2" t="s">
        <v>874</v>
      </c>
      <c r="Y1768" s="2" t="s">
        <v>1131</v>
      </c>
      <c r="Z1768" s="4"/>
      <c r="AA1768" s="4">
        <f>=ROUNDDOWN({0},0)</f>
      </c>
      <c r="AB1768" s="5"/>
      <c r="AC1768" s="2" t="s">
        <v>231</v>
      </c>
      <c r="AD1768" s="4"/>
      <c r="AE1768" s="4"/>
      <c r="AF1768" s="6"/>
      <c r="AG1768" s="6"/>
      <c r="AH1768" s="7">
        <v>0</v>
      </c>
      <c r="AI1768" s="4"/>
      <c r="AJ1768" s="4">
        <f>=ROUNDDOWN({0},0)</f>
      </c>
      <c r="AK1768" s="5"/>
      <c r="AL1768" s="2" t="s">
        <v>231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/>
      <c r="BK1768" s="8"/>
      <c r="BL1768" s="2" t="s">
        <v>231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241</v>
      </c>
      <c r="BV1768" s="2" t="s">
        <v>231</v>
      </c>
      <c r="BW1768" s="2" t="s">
        <v>231</v>
      </c>
      <c r="BX1768" s="2" t="s">
        <v>312</v>
      </c>
      <c r="BY1768" s="2" t="s">
        <v>1121</v>
      </c>
      <c r="BZ1768" s="2" t="s">
        <v>243</v>
      </c>
      <c r="CA1768" s="2" t="s">
        <v>231</v>
      </c>
      <c r="CB1768" s="2" t="s">
        <v>231</v>
      </c>
      <c r="CC1768" s="2" t="s">
        <v>244</v>
      </c>
      <c r="CD1768" s="2" t="s">
        <v>231</v>
      </c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4"/>
      <c r="HJ1768" s="4"/>
      <c r="HK1768" s="4"/>
      <c r="HL1768" s="4"/>
    </row>
    <row r="1769">
      <c r="A1769" s="2" t="s">
        <v>8105</v>
      </c>
      <c r="B1769" s="2" t="s">
        <v>1186</v>
      </c>
      <c r="C1769" s="2" t="s">
        <v>1836</v>
      </c>
      <c r="D1769" s="2" t="s">
        <v>826</v>
      </c>
      <c r="E1769" s="2" t="s">
        <v>827</v>
      </c>
      <c r="F1769" s="2" t="s">
        <v>8106</v>
      </c>
      <c r="G1769" s="2" t="s">
        <v>8106</v>
      </c>
      <c r="H1769" s="2" t="s">
        <v>8106</v>
      </c>
      <c r="I1769" s="2" t="s">
        <v>8107</v>
      </c>
      <c r="J1769" s="2" t="s">
        <v>669</v>
      </c>
      <c r="K1769" s="2" t="s">
        <v>870</v>
      </c>
      <c r="L1769" s="3">
        <v>85</v>
      </c>
      <c r="M1769" s="3">
        <v>89.24</v>
      </c>
      <c r="N1769" s="3">
        <v>179.99</v>
      </c>
      <c r="O1769" s="2" t="s">
        <v>243</v>
      </c>
      <c r="P1769" s="2" t="s">
        <v>1281</v>
      </c>
      <c r="Q1769" s="2" t="s">
        <v>237</v>
      </c>
      <c r="R1769" s="2" t="s">
        <v>231</v>
      </c>
      <c r="S1769" s="2" t="s">
        <v>8108</v>
      </c>
      <c r="T1769" s="2" t="s">
        <v>231</v>
      </c>
      <c r="U1769" s="2" t="s">
        <v>231</v>
      </c>
      <c r="V1769" s="2" t="s">
        <v>381</v>
      </c>
      <c r="W1769" s="2" t="s">
        <v>363</v>
      </c>
      <c r="X1769" s="2" t="s">
        <v>971</v>
      </c>
      <c r="Y1769" s="2" t="s">
        <v>274</v>
      </c>
      <c r="Z1769" s="4">
        <v>69</v>
      </c>
      <c r="AA1769" s="4">
        <f>=ROUNDDOWN(23,0)</f>
      </c>
      <c r="AB1769" s="5">
        <v>3</v>
      </c>
      <c r="AC1769" s="2" t="s">
        <v>1754</v>
      </c>
      <c r="AD1769" s="4">
        <v>40</v>
      </c>
      <c r="AE1769" s="4">
        <v>40</v>
      </c>
      <c r="AF1769" s="6">
        <v>66</v>
      </c>
      <c r="AG1769" s="6"/>
      <c r="AH1769" s="7">
        <v>1</v>
      </c>
      <c r="AI1769" s="4"/>
      <c r="AJ1769" s="4">
        <f>=ROUNDDOWN({0},0)</f>
      </c>
      <c r="AK1769" s="5"/>
      <c r="AL1769" s="2" t="s">
        <v>231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/>
      <c r="BD1769" s="8"/>
      <c r="BE1769" s="4"/>
      <c r="BF1769" s="8"/>
      <c r="BG1769" s="7"/>
      <c r="BH1769" s="7"/>
      <c r="BI1769" s="7"/>
      <c r="BJ1769" s="4">
        <v>10</v>
      </c>
      <c r="BK1769" s="8">
        <v>859.62</v>
      </c>
      <c r="BL1769" s="2" t="s">
        <v>7462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8109</v>
      </c>
      <c r="BV1769" s="2" t="s">
        <v>231</v>
      </c>
      <c r="BW1769" s="2" t="s">
        <v>231</v>
      </c>
      <c r="BX1769" s="2" t="s">
        <v>231</v>
      </c>
      <c r="BY1769" s="2" t="s">
        <v>277</v>
      </c>
      <c r="BZ1769" s="2" t="s">
        <v>243</v>
      </c>
      <c r="CA1769" s="2" t="s">
        <v>6533</v>
      </c>
      <c r="CB1769" s="2" t="s">
        <v>8110</v>
      </c>
      <c r="CC1769" s="2" t="s">
        <v>244</v>
      </c>
      <c r="CD1769" s="2" t="s">
        <v>231</v>
      </c>
      <c r="CE1769" s="4">
        <v>69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>
        <v>40</v>
      </c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4"/>
      <c r="HJ1769" s="4"/>
      <c r="HK1769" s="4"/>
      <c r="HL1769" s="4"/>
    </row>
    <row r="1770">
      <c r="A1770" s="2" t="s">
        <v>8111</v>
      </c>
      <c r="B1770" s="2" t="s">
        <v>992</v>
      </c>
      <c r="C1770" s="2" t="s">
        <v>825</v>
      </c>
      <c r="D1770" s="2" t="s">
        <v>8112</v>
      </c>
      <c r="E1770" s="2" t="s">
        <v>8113</v>
      </c>
      <c r="F1770" s="2" t="s">
        <v>8114</v>
      </c>
      <c r="G1770" s="2" t="s">
        <v>829</v>
      </c>
      <c r="H1770" s="2" t="s">
        <v>8115</v>
      </c>
      <c r="I1770" s="2" t="s">
        <v>8116</v>
      </c>
      <c r="J1770" s="2" t="s">
        <v>8117</v>
      </c>
      <c r="K1770" s="2" t="s">
        <v>985</v>
      </c>
      <c r="L1770" s="3">
        <v>18.25</v>
      </c>
      <c r="M1770" s="3">
        <v>19.16</v>
      </c>
      <c r="N1770" s="3">
        <v>39.99</v>
      </c>
      <c r="O1770" s="2" t="s">
        <v>243</v>
      </c>
      <c r="P1770" s="2" t="s">
        <v>270</v>
      </c>
      <c r="Q1770" s="2" t="s">
        <v>237</v>
      </c>
      <c r="R1770" s="2" t="s">
        <v>231</v>
      </c>
      <c r="S1770" s="2" t="s">
        <v>8118</v>
      </c>
      <c r="T1770" s="2" t="s">
        <v>231</v>
      </c>
      <c r="U1770" s="2" t="s">
        <v>327</v>
      </c>
      <c r="V1770" s="2" t="s">
        <v>239</v>
      </c>
      <c r="W1770" s="2" t="s">
        <v>273</v>
      </c>
      <c r="X1770" s="2" t="s">
        <v>231</v>
      </c>
      <c r="Y1770" s="2" t="s">
        <v>8119</v>
      </c>
      <c r="Z1770" s="4">
        <v>64</v>
      </c>
      <c r="AA1770" s="4">
        <f>=ROUNDDOWN(5.81818181818182,0)</f>
      </c>
      <c r="AB1770" s="5">
        <v>11</v>
      </c>
      <c r="AC1770" s="2" t="s">
        <v>1128</v>
      </c>
      <c r="AD1770" s="4">
        <v>176</v>
      </c>
      <c r="AE1770" s="4">
        <v>336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231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231</v>
      </c>
      <c r="BD1770" s="8" t="s">
        <v>231</v>
      </c>
      <c r="BE1770" s="4" t="s">
        <v>231</v>
      </c>
      <c r="BF1770" s="8" t="s">
        <v>231</v>
      </c>
      <c r="BG1770" s="7" t="s">
        <v>231</v>
      </c>
      <c r="BH1770" s="7" t="s">
        <v>231</v>
      </c>
      <c r="BI1770" s="7"/>
      <c r="BJ1770" s="4">
        <v>24</v>
      </c>
      <c r="BK1770" s="8">
        <v>552.43</v>
      </c>
      <c r="BL1770" s="2" t="s">
        <v>8120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8121</v>
      </c>
      <c r="BV1770" s="2" t="s">
        <v>231</v>
      </c>
      <c r="BW1770" s="2" t="s">
        <v>231</v>
      </c>
      <c r="BX1770" s="2" t="s">
        <v>231</v>
      </c>
      <c r="BY1770" s="2" t="s">
        <v>277</v>
      </c>
      <c r="BZ1770" s="2" t="s">
        <v>243</v>
      </c>
      <c r="CA1770" s="2" t="s">
        <v>3833</v>
      </c>
      <c r="CB1770" s="2" t="s">
        <v>8122</v>
      </c>
      <c r="CC1770" s="2" t="s">
        <v>244</v>
      </c>
      <c r="CD1770" s="2" t="s">
        <v>231</v>
      </c>
      <c r="CE1770" s="4">
        <v>64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>
        <v>176</v>
      </c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>
        <v>160</v>
      </c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4"/>
      <c r="HJ1770" s="4"/>
      <c r="HK1770" s="4"/>
      <c r="HL1770" s="4"/>
    </row>
    <row r="1771">
      <c r="A1771" s="2" t="s">
        <v>8123</v>
      </c>
      <c r="B1771" s="2" t="s">
        <v>1186</v>
      </c>
      <c r="C1771" s="2" t="s">
        <v>1980</v>
      </c>
      <c r="D1771" s="2" t="s">
        <v>654</v>
      </c>
      <c r="E1771" s="2" t="s">
        <v>655</v>
      </c>
      <c r="F1771" s="2" t="s">
        <v>8114</v>
      </c>
      <c r="G1771" s="2" t="s">
        <v>8114</v>
      </c>
      <c r="H1771" s="2" t="s">
        <v>8114</v>
      </c>
      <c r="I1771" s="2" t="s">
        <v>7546</v>
      </c>
      <c r="J1771" s="2" t="s">
        <v>293</v>
      </c>
      <c r="K1771" s="2" t="s">
        <v>2321</v>
      </c>
      <c r="L1771" s="3">
        <v>170.23</v>
      </c>
      <c r="M1771" s="3">
        <v>178.74</v>
      </c>
      <c r="N1771" s="3">
        <v>499.99</v>
      </c>
      <c r="O1771" s="2" t="s">
        <v>243</v>
      </c>
      <c r="P1771" s="2" t="s">
        <v>270</v>
      </c>
      <c r="Q1771" s="2" t="s">
        <v>237</v>
      </c>
      <c r="R1771" s="2" t="s">
        <v>231</v>
      </c>
      <c r="S1771" s="2" t="s">
        <v>231</v>
      </c>
      <c r="T1771" s="2" t="s">
        <v>231</v>
      </c>
      <c r="U1771" s="2" t="s">
        <v>298</v>
      </c>
      <c r="V1771" s="2" t="s">
        <v>1986</v>
      </c>
      <c r="W1771" s="2" t="s">
        <v>676</v>
      </c>
      <c r="X1771" s="2" t="s">
        <v>231</v>
      </c>
      <c r="Y1771" s="2" t="s">
        <v>1992</v>
      </c>
      <c r="Z1771" s="4"/>
      <c r="AA1771" s="4">
        <f>=ROUNDDOWN({0},0)</f>
      </c>
      <c r="AB1771" s="5">
        <v>5</v>
      </c>
      <c r="AC1771" s="2" t="s">
        <v>1695</v>
      </c>
      <c r="AD1771" s="4">
        <v>180</v>
      </c>
      <c r="AE1771" s="4">
        <v>180</v>
      </c>
      <c r="AF1771" s="6">
        <v>65</v>
      </c>
      <c r="AG1771" s="6"/>
      <c r="AH1771" s="7">
        <v>0</v>
      </c>
      <c r="AI1771" s="4"/>
      <c r="AJ1771" s="4">
        <f>=ROUNDDOWN({0},0)</f>
      </c>
      <c r="AK1771" s="5"/>
      <c r="AL1771" s="2" t="s">
        <v>231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231</v>
      </c>
      <c r="AW1771" s="8" t="s">
        <v>231</v>
      </c>
      <c r="AX1771" s="4" t="s">
        <v>231</v>
      </c>
      <c r="AY1771" s="8" t="s">
        <v>231</v>
      </c>
      <c r="AZ1771" s="7" t="s">
        <v>231</v>
      </c>
      <c r="BA1771" s="7" t="s">
        <v>231</v>
      </c>
      <c r="BB1771" s="7"/>
      <c r="BC1771" s="4" t="s">
        <v>231</v>
      </c>
      <c r="BD1771" s="8" t="s">
        <v>231</v>
      </c>
      <c r="BE1771" s="4" t="s">
        <v>231</v>
      </c>
      <c r="BF1771" s="8" t="s">
        <v>231</v>
      </c>
      <c r="BG1771" s="7" t="s">
        <v>231</v>
      </c>
      <c r="BH1771" s="7" t="s">
        <v>231</v>
      </c>
      <c r="BI1771" s="7"/>
      <c r="BJ1771" s="4"/>
      <c r="BK1771" s="8"/>
      <c r="BL1771" s="2" t="s">
        <v>628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8124</v>
      </c>
      <c r="BV1771" s="2" t="s">
        <v>231</v>
      </c>
      <c r="BW1771" s="2" t="s">
        <v>231</v>
      </c>
      <c r="BX1771" s="2" t="s">
        <v>231</v>
      </c>
      <c r="BY1771" s="2" t="s">
        <v>277</v>
      </c>
      <c r="BZ1771" s="2" t="s">
        <v>243</v>
      </c>
      <c r="CA1771" s="2" t="s">
        <v>7055</v>
      </c>
      <c r="CB1771" s="2" t="s">
        <v>8125</v>
      </c>
      <c r="CC1771" s="2" t="s">
        <v>244</v>
      </c>
      <c r="CD1771" s="2" t="s">
        <v>231</v>
      </c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>
        <v>180</v>
      </c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4"/>
      <c r="HJ1771" s="4"/>
      <c r="HK1771" s="4"/>
      <c r="HL1771" s="4"/>
    </row>
    <row r="1772">
      <c r="A1772" s="2" t="s">
        <v>8126</v>
      </c>
      <c r="B1772" s="2" t="s">
        <v>1186</v>
      </c>
      <c r="C1772" s="2" t="s">
        <v>1980</v>
      </c>
      <c r="D1772" s="2" t="s">
        <v>654</v>
      </c>
      <c r="E1772" s="2" t="s">
        <v>655</v>
      </c>
      <c r="F1772" s="2" t="s">
        <v>8114</v>
      </c>
      <c r="G1772" s="2" t="s">
        <v>8114</v>
      </c>
      <c r="H1772" s="2" t="s">
        <v>8114</v>
      </c>
      <c r="I1772" s="2" t="s">
        <v>7546</v>
      </c>
      <c r="J1772" s="2" t="s">
        <v>304</v>
      </c>
      <c r="K1772" s="2" t="s">
        <v>2321</v>
      </c>
      <c r="L1772" s="3">
        <v>204.28</v>
      </c>
      <c r="M1772" s="3">
        <v>214.49</v>
      </c>
      <c r="N1772" s="3">
        <v>599.99</v>
      </c>
      <c r="O1772" s="2" t="s">
        <v>243</v>
      </c>
      <c r="P1772" s="2" t="s">
        <v>270</v>
      </c>
      <c r="Q1772" s="2" t="s">
        <v>237</v>
      </c>
      <c r="R1772" s="2" t="s">
        <v>231</v>
      </c>
      <c r="S1772" s="2" t="s">
        <v>231</v>
      </c>
      <c r="T1772" s="2" t="s">
        <v>231</v>
      </c>
      <c r="U1772" s="2" t="s">
        <v>298</v>
      </c>
      <c r="V1772" s="2" t="s">
        <v>1986</v>
      </c>
      <c r="W1772" s="2" t="s">
        <v>676</v>
      </c>
      <c r="X1772" s="2" t="s">
        <v>231</v>
      </c>
      <c r="Y1772" s="2" t="s">
        <v>1992</v>
      </c>
      <c r="Z1772" s="4"/>
      <c r="AA1772" s="4">
        <f>=ROUNDDOWN({0},0)</f>
      </c>
      <c r="AB1772" s="5">
        <v>1</v>
      </c>
      <c r="AC1772" s="2" t="s">
        <v>1695</v>
      </c>
      <c r="AD1772" s="4">
        <v>70</v>
      </c>
      <c r="AE1772" s="4">
        <v>70</v>
      </c>
      <c r="AF1772" s="6">
        <v>65</v>
      </c>
      <c r="AG1772" s="6"/>
      <c r="AH1772" s="7">
        <v>0</v>
      </c>
      <c r="AI1772" s="4"/>
      <c r="AJ1772" s="4">
        <f>=ROUNDDOWN({0},0)</f>
      </c>
      <c r="AK1772" s="5"/>
      <c r="AL1772" s="2" t="s">
        <v>231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231</v>
      </c>
      <c r="AW1772" s="8" t="s">
        <v>231</v>
      </c>
      <c r="AX1772" s="4" t="s">
        <v>231</v>
      </c>
      <c r="AY1772" s="8" t="s">
        <v>231</v>
      </c>
      <c r="AZ1772" s="7" t="s">
        <v>231</v>
      </c>
      <c r="BA1772" s="7" t="s">
        <v>231</v>
      </c>
      <c r="BB1772" s="7"/>
      <c r="BC1772" s="4" t="s">
        <v>231</v>
      </c>
      <c r="BD1772" s="8" t="s">
        <v>231</v>
      </c>
      <c r="BE1772" s="4" t="s">
        <v>231</v>
      </c>
      <c r="BF1772" s="8" t="s">
        <v>231</v>
      </c>
      <c r="BG1772" s="7" t="s">
        <v>231</v>
      </c>
      <c r="BH1772" s="7" t="s">
        <v>231</v>
      </c>
      <c r="BI1772" s="7"/>
      <c r="BJ1772" s="4"/>
      <c r="BK1772" s="8"/>
      <c r="BL1772" s="2" t="s">
        <v>1988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8127</v>
      </c>
      <c r="BV1772" s="2" t="s">
        <v>231</v>
      </c>
      <c r="BW1772" s="2" t="s">
        <v>231</v>
      </c>
      <c r="BX1772" s="2" t="s">
        <v>231</v>
      </c>
      <c r="BY1772" s="2" t="s">
        <v>277</v>
      </c>
      <c r="BZ1772" s="2" t="s">
        <v>243</v>
      </c>
      <c r="CA1772" s="2" t="s">
        <v>7055</v>
      </c>
      <c r="CB1772" s="2" t="s">
        <v>8128</v>
      </c>
      <c r="CC1772" s="2" t="s">
        <v>244</v>
      </c>
      <c r="CD1772" s="2" t="s">
        <v>231</v>
      </c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>
        <v>70</v>
      </c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4"/>
      <c r="HJ1772" s="4"/>
      <c r="HK1772" s="4"/>
      <c r="HL1772" s="4"/>
    </row>
    <row r="1773">
      <c r="A1773" s="2" t="s">
        <v>8129</v>
      </c>
      <c r="B1773" s="2" t="s">
        <v>824</v>
      </c>
      <c r="C1773" s="2" t="s">
        <v>825</v>
      </c>
      <c r="D1773" s="2" t="s">
        <v>654</v>
      </c>
      <c r="E1773" s="2" t="s">
        <v>1187</v>
      </c>
      <c r="F1773" s="2" t="s">
        <v>8114</v>
      </c>
      <c r="G1773" s="2" t="s">
        <v>8130</v>
      </c>
      <c r="H1773" s="2" t="s">
        <v>1053</v>
      </c>
      <c r="I1773" s="2" t="s">
        <v>8131</v>
      </c>
      <c r="J1773" s="2" t="s">
        <v>268</v>
      </c>
      <c r="K1773" s="2" t="s">
        <v>1077</v>
      </c>
      <c r="L1773" s="3">
        <v>31.97</v>
      </c>
      <c r="M1773" s="3">
        <v>33.57</v>
      </c>
      <c r="N1773" s="3">
        <v>68.99</v>
      </c>
      <c r="O1773" s="2" t="s">
        <v>243</v>
      </c>
      <c r="P1773" s="2" t="s">
        <v>871</v>
      </c>
      <c r="Q1773" s="2" t="s">
        <v>237</v>
      </c>
      <c r="R1773" s="2" t="s">
        <v>231</v>
      </c>
      <c r="S1773" s="2" t="s">
        <v>8132</v>
      </c>
      <c r="T1773" s="2" t="s">
        <v>472</v>
      </c>
      <c r="U1773" s="2" t="s">
        <v>700</v>
      </c>
      <c r="V1773" s="2" t="s">
        <v>5672</v>
      </c>
      <c r="W1773" s="2" t="s">
        <v>2541</v>
      </c>
      <c r="X1773" s="2" t="s">
        <v>1268</v>
      </c>
      <c r="Y1773" s="2" t="s">
        <v>2021</v>
      </c>
      <c r="Z1773" s="4">
        <v>428</v>
      </c>
      <c r="AA1773" s="4">
        <f>=ROUNDDOWN(28.5333333333333,0)</f>
      </c>
      <c r="AB1773" s="5">
        <v>15</v>
      </c>
      <c r="AC1773" s="2" t="s">
        <v>231</v>
      </c>
      <c r="AD1773" s="4"/>
      <c r="AE1773" s="4"/>
      <c r="AF1773" s="6">
        <v>64</v>
      </c>
      <c r="AG1773" s="6">
        <v>47</v>
      </c>
      <c r="AH1773" s="7">
        <v>1</v>
      </c>
      <c r="AI1773" s="4"/>
      <c r="AJ1773" s="4">
        <f>=ROUNDDOWN({0},0)</f>
      </c>
      <c r="AK1773" s="5"/>
      <c r="AL1773" s="2" t="s">
        <v>231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231</v>
      </c>
      <c r="BD1773" s="8" t="s">
        <v>231</v>
      </c>
      <c r="BE1773" s="4" t="s">
        <v>231</v>
      </c>
      <c r="BF1773" s="8" t="s">
        <v>231</v>
      </c>
      <c r="BG1773" s="7" t="s">
        <v>231</v>
      </c>
      <c r="BH1773" s="7" t="s">
        <v>231</v>
      </c>
      <c r="BI1773" s="7"/>
      <c r="BJ1773" s="4">
        <v>52</v>
      </c>
      <c r="BK1773" s="8">
        <v>1931.14</v>
      </c>
      <c r="BL1773" s="2" t="s">
        <v>8133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8134</v>
      </c>
      <c r="BV1773" s="2" t="s">
        <v>231</v>
      </c>
      <c r="BW1773" s="2" t="s">
        <v>231</v>
      </c>
      <c r="BX1773" s="2" t="s">
        <v>231</v>
      </c>
      <c r="BY1773" s="2" t="s">
        <v>277</v>
      </c>
      <c r="BZ1773" s="2" t="s">
        <v>243</v>
      </c>
      <c r="CA1773" s="2" t="s">
        <v>8135</v>
      </c>
      <c r="CB1773" s="2" t="s">
        <v>8136</v>
      </c>
      <c r="CC1773" s="2" t="s">
        <v>244</v>
      </c>
      <c r="CD1773" s="2" t="s">
        <v>231</v>
      </c>
      <c r="CE1773" s="4">
        <v>62</v>
      </c>
      <c r="CF1773" s="4">
        <v>101</v>
      </c>
      <c r="CG1773" s="4"/>
      <c r="CH1773" s="4"/>
      <c r="CI1773" s="4">
        <v>265</v>
      </c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4"/>
      <c r="HJ1773" s="4"/>
      <c r="HK1773" s="4"/>
      <c r="HL1773" s="4"/>
    </row>
    <row r="1774">
      <c r="A1774" s="2" t="s">
        <v>8137</v>
      </c>
      <c r="B1774" s="2" t="s">
        <v>1186</v>
      </c>
      <c r="C1774" s="2" t="s">
        <v>288</v>
      </c>
      <c r="D1774" s="2" t="s">
        <v>654</v>
      </c>
      <c r="E1774" s="2" t="s">
        <v>655</v>
      </c>
      <c r="F1774" s="2" t="s">
        <v>8138</v>
      </c>
      <c r="G1774" s="2" t="s">
        <v>8139</v>
      </c>
      <c r="H1774" s="2" t="s">
        <v>8140</v>
      </c>
      <c r="I1774" s="2" t="s">
        <v>2277</v>
      </c>
      <c r="J1774" s="2" t="s">
        <v>658</v>
      </c>
      <c r="K1774" s="2" t="s">
        <v>5846</v>
      </c>
      <c r="L1774" s="3">
        <v>41.14</v>
      </c>
      <c r="M1774" s="3">
        <v>43.2</v>
      </c>
      <c r="N1774" s="3">
        <v>89.99</v>
      </c>
      <c r="O1774" s="2" t="s">
        <v>243</v>
      </c>
      <c r="P1774" s="2" t="s">
        <v>236</v>
      </c>
      <c r="Q1774" s="2" t="s">
        <v>237</v>
      </c>
      <c r="R1774" s="2" t="s">
        <v>231</v>
      </c>
      <c r="S1774" s="2" t="s">
        <v>8141</v>
      </c>
      <c r="T1774" s="2" t="s">
        <v>1432</v>
      </c>
      <c r="U1774" s="2" t="s">
        <v>765</v>
      </c>
      <c r="V1774" s="2" t="s">
        <v>391</v>
      </c>
      <c r="W1774" s="2" t="s">
        <v>676</v>
      </c>
      <c r="X1774" s="2" t="s">
        <v>792</v>
      </c>
      <c r="Y1774" s="2" t="s">
        <v>1137</v>
      </c>
      <c r="Z1774" s="4"/>
      <c r="AA1774" s="4">
        <f>=ROUNDDOWN({0},0)</f>
      </c>
      <c r="AB1774" s="5"/>
      <c r="AC1774" s="2" t="s">
        <v>3693</v>
      </c>
      <c r="AD1774" s="4">
        <v>200</v>
      </c>
      <c r="AE1774" s="4">
        <v>400</v>
      </c>
      <c r="AF1774" s="6">
        <v>64</v>
      </c>
      <c r="AG1774" s="6"/>
      <c r="AH1774" s="7">
        <v>0</v>
      </c>
      <c r="AI1774" s="4"/>
      <c r="AJ1774" s="4">
        <f>=ROUNDDOWN({0},0)</f>
      </c>
      <c r="AK1774" s="5"/>
      <c r="AL1774" s="2" t="s">
        <v>231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231</v>
      </c>
      <c r="AW1774" s="8" t="s">
        <v>231</v>
      </c>
      <c r="AX1774" s="4" t="s">
        <v>231</v>
      </c>
      <c r="AY1774" s="8" t="s">
        <v>231</v>
      </c>
      <c r="AZ1774" s="7" t="s">
        <v>231</v>
      </c>
      <c r="BA1774" s="7" t="s">
        <v>231</v>
      </c>
      <c r="BB1774" s="7"/>
      <c r="BC1774" s="4" t="s">
        <v>231</v>
      </c>
      <c r="BD1774" s="8" t="s">
        <v>231</v>
      </c>
      <c r="BE1774" s="4" t="s">
        <v>231</v>
      </c>
      <c r="BF1774" s="8" t="s">
        <v>231</v>
      </c>
      <c r="BG1774" s="7" t="s">
        <v>231</v>
      </c>
      <c r="BH1774" s="7" t="s">
        <v>231</v>
      </c>
      <c r="BI1774" s="7"/>
      <c r="BJ1774" s="4"/>
      <c r="BK1774" s="8"/>
      <c r="BL1774" s="2" t="s">
        <v>231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241</v>
      </c>
      <c r="BV1774" s="2" t="s">
        <v>231</v>
      </c>
      <c r="BW1774" s="2" t="s">
        <v>231</v>
      </c>
      <c r="BX1774" s="2" t="s">
        <v>241</v>
      </c>
      <c r="BY1774" s="2" t="s">
        <v>242</v>
      </c>
      <c r="BZ1774" s="2" t="s">
        <v>243</v>
      </c>
      <c r="CA1774" s="2" t="s">
        <v>231</v>
      </c>
      <c r="CB1774" s="2" t="s">
        <v>231</v>
      </c>
      <c r="CC1774" s="2" t="s">
        <v>244</v>
      </c>
      <c r="CD1774" s="2" t="s">
        <v>231</v>
      </c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>
        <v>200</v>
      </c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>
        <v>200</v>
      </c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4"/>
      <c r="HJ1774" s="4"/>
      <c r="HK1774" s="4"/>
      <c r="HL1774" s="4"/>
    </row>
    <row r="1775">
      <c r="A1775" s="2" t="s">
        <v>8142</v>
      </c>
      <c r="B1775" s="2" t="s">
        <v>1186</v>
      </c>
      <c r="C1775" s="2" t="s">
        <v>288</v>
      </c>
      <c r="D1775" s="2" t="s">
        <v>654</v>
      </c>
      <c r="E1775" s="2" t="s">
        <v>655</v>
      </c>
      <c r="F1775" s="2" t="s">
        <v>8138</v>
      </c>
      <c r="G1775" s="2" t="s">
        <v>8139</v>
      </c>
      <c r="H1775" s="2" t="s">
        <v>8140</v>
      </c>
      <c r="I1775" s="2" t="s">
        <v>2277</v>
      </c>
      <c r="J1775" s="2" t="s">
        <v>669</v>
      </c>
      <c r="K1775" s="2" t="s">
        <v>5846</v>
      </c>
      <c r="L1775" s="3">
        <v>45.71</v>
      </c>
      <c r="M1775" s="3">
        <v>48</v>
      </c>
      <c r="N1775" s="3">
        <v>99.99</v>
      </c>
      <c r="O1775" s="2" t="s">
        <v>243</v>
      </c>
      <c r="P1775" s="2" t="s">
        <v>236</v>
      </c>
      <c r="Q1775" s="2" t="s">
        <v>237</v>
      </c>
      <c r="R1775" s="2" t="s">
        <v>231</v>
      </c>
      <c r="S1775" s="2" t="s">
        <v>8141</v>
      </c>
      <c r="T1775" s="2" t="s">
        <v>1432</v>
      </c>
      <c r="U1775" s="2" t="s">
        <v>765</v>
      </c>
      <c r="V1775" s="2" t="s">
        <v>391</v>
      </c>
      <c r="W1775" s="2" t="s">
        <v>676</v>
      </c>
      <c r="X1775" s="2" t="s">
        <v>792</v>
      </c>
      <c r="Y1775" s="2" t="s">
        <v>1137</v>
      </c>
      <c r="Z1775" s="4"/>
      <c r="AA1775" s="4">
        <f>=ROUNDDOWN({0},0)</f>
      </c>
      <c r="AB1775" s="5"/>
      <c r="AC1775" s="2" t="s">
        <v>3693</v>
      </c>
      <c r="AD1775" s="4">
        <v>200</v>
      </c>
      <c r="AE1775" s="4">
        <v>400</v>
      </c>
      <c r="AF1775" s="6">
        <v>64</v>
      </c>
      <c r="AG1775" s="6"/>
      <c r="AH1775" s="7">
        <v>0</v>
      </c>
      <c r="AI1775" s="4"/>
      <c r="AJ1775" s="4">
        <f>=ROUNDDOWN({0},0)</f>
      </c>
      <c r="AK1775" s="5"/>
      <c r="AL1775" s="2" t="s">
        <v>231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231</v>
      </c>
      <c r="AW1775" s="8" t="s">
        <v>231</v>
      </c>
      <c r="AX1775" s="4" t="s">
        <v>231</v>
      </c>
      <c r="AY1775" s="8" t="s">
        <v>231</v>
      </c>
      <c r="AZ1775" s="7" t="s">
        <v>231</v>
      </c>
      <c r="BA1775" s="7" t="s">
        <v>231</v>
      </c>
      <c r="BB1775" s="7"/>
      <c r="BC1775" s="4" t="s">
        <v>231</v>
      </c>
      <c r="BD1775" s="8" t="s">
        <v>231</v>
      </c>
      <c r="BE1775" s="4" t="s">
        <v>231</v>
      </c>
      <c r="BF1775" s="8" t="s">
        <v>231</v>
      </c>
      <c r="BG1775" s="7" t="s">
        <v>231</v>
      </c>
      <c r="BH1775" s="7" t="s">
        <v>231</v>
      </c>
      <c r="BI1775" s="7"/>
      <c r="BJ1775" s="4"/>
      <c r="BK1775" s="8"/>
      <c r="BL1775" s="2" t="s">
        <v>231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241</v>
      </c>
      <c r="BV1775" s="2" t="s">
        <v>231</v>
      </c>
      <c r="BW1775" s="2" t="s">
        <v>231</v>
      </c>
      <c r="BX1775" s="2" t="s">
        <v>241</v>
      </c>
      <c r="BY1775" s="2" t="s">
        <v>242</v>
      </c>
      <c r="BZ1775" s="2" t="s">
        <v>243</v>
      </c>
      <c r="CA1775" s="2" t="s">
        <v>231</v>
      </c>
      <c r="CB1775" s="2" t="s">
        <v>231</v>
      </c>
      <c r="CC1775" s="2" t="s">
        <v>244</v>
      </c>
      <c r="CD1775" s="2" t="s">
        <v>231</v>
      </c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>
        <v>200</v>
      </c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>
        <v>200</v>
      </c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4"/>
      <c r="HJ1775" s="4"/>
      <c r="HK1775" s="4"/>
      <c r="HL1775" s="4"/>
    </row>
    <row r="1776">
      <c r="A1776" s="2" t="s">
        <v>8143</v>
      </c>
      <c r="B1776" s="2" t="s">
        <v>1186</v>
      </c>
      <c r="C1776" s="2" t="s">
        <v>288</v>
      </c>
      <c r="D1776" s="2" t="s">
        <v>654</v>
      </c>
      <c r="E1776" s="2" t="s">
        <v>655</v>
      </c>
      <c r="F1776" s="2" t="s">
        <v>8138</v>
      </c>
      <c r="G1776" s="2" t="s">
        <v>8139</v>
      </c>
      <c r="H1776" s="2" t="s">
        <v>8140</v>
      </c>
      <c r="I1776" s="2" t="s">
        <v>2277</v>
      </c>
      <c r="J1776" s="2" t="s">
        <v>658</v>
      </c>
      <c r="K1776" s="2" t="s">
        <v>8144</v>
      </c>
      <c r="L1776" s="3">
        <v>41.14</v>
      </c>
      <c r="M1776" s="3">
        <v>43.2</v>
      </c>
      <c r="N1776" s="3">
        <v>89.99</v>
      </c>
      <c r="O1776" s="2" t="s">
        <v>243</v>
      </c>
      <c r="P1776" s="2" t="s">
        <v>236</v>
      </c>
      <c r="Q1776" s="2" t="s">
        <v>237</v>
      </c>
      <c r="R1776" s="2" t="s">
        <v>231</v>
      </c>
      <c r="S1776" s="2" t="s">
        <v>8145</v>
      </c>
      <c r="T1776" s="2" t="s">
        <v>1432</v>
      </c>
      <c r="U1776" s="2" t="s">
        <v>765</v>
      </c>
      <c r="V1776" s="2" t="s">
        <v>391</v>
      </c>
      <c r="W1776" s="2" t="s">
        <v>676</v>
      </c>
      <c r="X1776" s="2" t="s">
        <v>792</v>
      </c>
      <c r="Y1776" s="2" t="s">
        <v>1137</v>
      </c>
      <c r="Z1776" s="4"/>
      <c r="AA1776" s="4">
        <f>=ROUNDDOWN({0},0)</f>
      </c>
      <c r="AB1776" s="5"/>
      <c r="AC1776" s="2" t="s">
        <v>3693</v>
      </c>
      <c r="AD1776" s="4">
        <v>220</v>
      </c>
      <c r="AE1776" s="4">
        <v>440</v>
      </c>
      <c r="AF1776" s="6">
        <v>64</v>
      </c>
      <c r="AG1776" s="6"/>
      <c r="AH1776" s="7">
        <v>0</v>
      </c>
      <c r="AI1776" s="4"/>
      <c r="AJ1776" s="4">
        <f>=ROUNDDOWN({0},0)</f>
      </c>
      <c r="AK1776" s="5"/>
      <c r="AL1776" s="2" t="s">
        <v>231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231</v>
      </c>
      <c r="AW1776" s="8" t="s">
        <v>231</v>
      </c>
      <c r="AX1776" s="4" t="s">
        <v>231</v>
      </c>
      <c r="AY1776" s="8" t="s">
        <v>231</v>
      </c>
      <c r="AZ1776" s="7" t="s">
        <v>231</v>
      </c>
      <c r="BA1776" s="7" t="s">
        <v>231</v>
      </c>
      <c r="BB1776" s="7"/>
      <c r="BC1776" s="4" t="s">
        <v>231</v>
      </c>
      <c r="BD1776" s="8" t="s">
        <v>231</v>
      </c>
      <c r="BE1776" s="4" t="s">
        <v>231</v>
      </c>
      <c r="BF1776" s="8" t="s">
        <v>231</v>
      </c>
      <c r="BG1776" s="7" t="s">
        <v>231</v>
      </c>
      <c r="BH1776" s="7" t="s">
        <v>231</v>
      </c>
      <c r="BI1776" s="7"/>
      <c r="BJ1776" s="4"/>
      <c r="BK1776" s="8"/>
      <c r="BL1776" s="2" t="s">
        <v>231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241</v>
      </c>
      <c r="BV1776" s="2" t="s">
        <v>231</v>
      </c>
      <c r="BW1776" s="2" t="s">
        <v>231</v>
      </c>
      <c r="BX1776" s="2" t="s">
        <v>241</v>
      </c>
      <c r="BY1776" s="2" t="s">
        <v>242</v>
      </c>
      <c r="BZ1776" s="2" t="s">
        <v>243</v>
      </c>
      <c r="CA1776" s="2" t="s">
        <v>231</v>
      </c>
      <c r="CB1776" s="2" t="s">
        <v>231</v>
      </c>
      <c r="CC1776" s="2" t="s">
        <v>244</v>
      </c>
      <c r="CD1776" s="2" t="s">
        <v>231</v>
      </c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>
        <v>220</v>
      </c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>
        <v>220</v>
      </c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4"/>
      <c r="HJ1776" s="4"/>
      <c r="HK1776" s="4"/>
      <c r="HL1776" s="4"/>
    </row>
    <row r="1777">
      <c r="A1777" s="2" t="s">
        <v>8146</v>
      </c>
      <c r="B1777" s="2" t="s">
        <v>1186</v>
      </c>
      <c r="C1777" s="2" t="s">
        <v>288</v>
      </c>
      <c r="D1777" s="2" t="s">
        <v>654</v>
      </c>
      <c r="E1777" s="2" t="s">
        <v>655</v>
      </c>
      <c r="F1777" s="2" t="s">
        <v>8138</v>
      </c>
      <c r="G1777" s="2" t="s">
        <v>8139</v>
      </c>
      <c r="H1777" s="2" t="s">
        <v>8140</v>
      </c>
      <c r="I1777" s="2" t="s">
        <v>2277</v>
      </c>
      <c r="J1777" s="2" t="s">
        <v>669</v>
      </c>
      <c r="K1777" s="2" t="s">
        <v>8144</v>
      </c>
      <c r="L1777" s="3">
        <v>45.71</v>
      </c>
      <c r="M1777" s="3">
        <v>48</v>
      </c>
      <c r="N1777" s="3">
        <v>99.99</v>
      </c>
      <c r="O1777" s="2" t="s">
        <v>243</v>
      </c>
      <c r="P1777" s="2" t="s">
        <v>236</v>
      </c>
      <c r="Q1777" s="2" t="s">
        <v>237</v>
      </c>
      <c r="R1777" s="2" t="s">
        <v>231</v>
      </c>
      <c r="S1777" s="2" t="s">
        <v>8145</v>
      </c>
      <c r="T1777" s="2" t="s">
        <v>1432</v>
      </c>
      <c r="U1777" s="2" t="s">
        <v>765</v>
      </c>
      <c r="V1777" s="2" t="s">
        <v>391</v>
      </c>
      <c r="W1777" s="2" t="s">
        <v>676</v>
      </c>
      <c r="X1777" s="2" t="s">
        <v>792</v>
      </c>
      <c r="Y1777" s="2" t="s">
        <v>1137</v>
      </c>
      <c r="Z1777" s="4"/>
      <c r="AA1777" s="4">
        <f>=ROUNDDOWN({0},0)</f>
      </c>
      <c r="AB1777" s="5"/>
      <c r="AC1777" s="2" t="s">
        <v>3693</v>
      </c>
      <c r="AD1777" s="4">
        <v>180</v>
      </c>
      <c r="AE1777" s="4">
        <v>360</v>
      </c>
      <c r="AF1777" s="6">
        <v>64</v>
      </c>
      <c r="AG1777" s="6"/>
      <c r="AH1777" s="7">
        <v>0</v>
      </c>
      <c r="AI1777" s="4"/>
      <c r="AJ1777" s="4">
        <f>=ROUNDDOWN({0},0)</f>
      </c>
      <c r="AK1777" s="5"/>
      <c r="AL1777" s="2" t="s">
        <v>231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231</v>
      </c>
      <c r="AW1777" s="8" t="s">
        <v>231</v>
      </c>
      <c r="AX1777" s="4" t="s">
        <v>231</v>
      </c>
      <c r="AY1777" s="8" t="s">
        <v>231</v>
      </c>
      <c r="AZ1777" s="7" t="s">
        <v>231</v>
      </c>
      <c r="BA1777" s="7" t="s">
        <v>231</v>
      </c>
      <c r="BB1777" s="7"/>
      <c r="BC1777" s="4" t="s">
        <v>231</v>
      </c>
      <c r="BD1777" s="8" t="s">
        <v>231</v>
      </c>
      <c r="BE1777" s="4" t="s">
        <v>231</v>
      </c>
      <c r="BF1777" s="8" t="s">
        <v>231</v>
      </c>
      <c r="BG1777" s="7" t="s">
        <v>231</v>
      </c>
      <c r="BH1777" s="7" t="s">
        <v>231</v>
      </c>
      <c r="BI1777" s="7"/>
      <c r="BJ1777" s="4"/>
      <c r="BK1777" s="8"/>
      <c r="BL1777" s="2" t="s">
        <v>231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241</v>
      </c>
      <c r="BV1777" s="2" t="s">
        <v>231</v>
      </c>
      <c r="BW1777" s="2" t="s">
        <v>231</v>
      </c>
      <c r="BX1777" s="2" t="s">
        <v>241</v>
      </c>
      <c r="BY1777" s="2" t="s">
        <v>242</v>
      </c>
      <c r="BZ1777" s="2" t="s">
        <v>243</v>
      </c>
      <c r="CA1777" s="2" t="s">
        <v>231</v>
      </c>
      <c r="CB1777" s="2" t="s">
        <v>231</v>
      </c>
      <c r="CC1777" s="2" t="s">
        <v>244</v>
      </c>
      <c r="CD1777" s="2" t="s">
        <v>231</v>
      </c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>
        <v>180</v>
      </c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>
        <v>180</v>
      </c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4"/>
      <c r="HJ1777" s="4"/>
      <c r="HK1777" s="4"/>
      <c r="HL1777" s="4"/>
    </row>
    <row r="1778">
      <c r="A1778" s="2" t="s">
        <v>8147</v>
      </c>
      <c r="B1778" s="2" t="s">
        <v>784</v>
      </c>
      <c r="C1778" s="2" t="s">
        <v>653</v>
      </c>
      <c r="D1778" s="2" t="s">
        <v>785</v>
      </c>
      <c r="E1778" s="2" t="s">
        <v>786</v>
      </c>
      <c r="F1778" s="2" t="s">
        <v>8148</v>
      </c>
      <c r="G1778" s="2" t="s">
        <v>8148</v>
      </c>
      <c r="H1778" s="2" t="s">
        <v>8148</v>
      </c>
      <c r="I1778" s="2" t="s">
        <v>8149</v>
      </c>
      <c r="J1778" s="2" t="s">
        <v>1070</v>
      </c>
      <c r="K1778" s="2" t="s">
        <v>682</v>
      </c>
      <c r="L1778" s="3">
        <v>42.75</v>
      </c>
      <c r="M1778" s="3">
        <v>44.89</v>
      </c>
      <c r="N1778" s="3">
        <v>94.99</v>
      </c>
      <c r="O1778" s="2" t="s">
        <v>243</v>
      </c>
      <c r="P1778" s="2" t="s">
        <v>270</v>
      </c>
      <c r="Q1778" s="2" t="s">
        <v>237</v>
      </c>
      <c r="R1778" s="2" t="s">
        <v>231</v>
      </c>
      <c r="S1778" s="2" t="s">
        <v>8150</v>
      </c>
      <c r="T1778" s="2" t="s">
        <v>362</v>
      </c>
      <c r="U1778" s="2" t="s">
        <v>765</v>
      </c>
      <c r="V1778" s="2" t="s">
        <v>239</v>
      </c>
      <c r="W1778" s="2" t="s">
        <v>299</v>
      </c>
      <c r="X1778" s="2" t="s">
        <v>792</v>
      </c>
      <c r="Y1778" s="2" t="s">
        <v>1371</v>
      </c>
      <c r="Z1778" s="4">
        <v>364</v>
      </c>
      <c r="AA1778" s="4">
        <f>=ROUNDDOWN(52,0)</f>
      </c>
      <c r="AB1778" s="5">
        <v>7</v>
      </c>
      <c r="AC1778" s="2" t="s">
        <v>321</v>
      </c>
      <c r="AD1778" s="4">
        <v>486</v>
      </c>
      <c r="AE1778" s="4">
        <v>486</v>
      </c>
      <c r="AF1778" s="6">
        <v>73</v>
      </c>
      <c r="AG1778" s="6"/>
      <c r="AH1778" s="7">
        <v>1</v>
      </c>
      <c r="AI1778" s="4"/>
      <c r="AJ1778" s="4">
        <f>=ROUNDDOWN({0},0)</f>
      </c>
      <c r="AK1778" s="5"/>
      <c r="AL1778" s="2" t="s">
        <v>231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/>
      <c r="BD1778" s="8"/>
      <c r="BE1778" s="4"/>
      <c r="BF1778" s="8"/>
      <c r="BG1778" s="7"/>
      <c r="BH1778" s="7"/>
      <c r="BI1778" s="7"/>
      <c r="BJ1778" s="4">
        <v>30</v>
      </c>
      <c r="BK1778" s="8">
        <v>1451.79</v>
      </c>
      <c r="BL1778" s="2" t="s">
        <v>8151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8152</v>
      </c>
      <c r="BV1778" s="2" t="s">
        <v>231</v>
      </c>
      <c r="BW1778" s="2" t="s">
        <v>231</v>
      </c>
      <c r="BX1778" s="2" t="s">
        <v>312</v>
      </c>
      <c r="BY1778" s="2" t="s">
        <v>277</v>
      </c>
      <c r="BZ1778" s="2" t="s">
        <v>243</v>
      </c>
      <c r="CA1778" s="2" t="s">
        <v>3458</v>
      </c>
      <c r="CB1778" s="2" t="s">
        <v>7933</v>
      </c>
      <c r="CC1778" s="2" t="s">
        <v>244</v>
      </c>
      <c r="CD1778" s="2" t="s">
        <v>231</v>
      </c>
      <c r="CE1778" s="4">
        <v>364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>
        <v>486</v>
      </c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"/>
      <c r="HK1778" s="4"/>
      <c r="HL1778" s="4"/>
    </row>
    <row r="1779">
      <c r="A1779" s="2" t="s">
        <v>8153</v>
      </c>
      <c r="B1779" s="2" t="s">
        <v>1186</v>
      </c>
      <c r="C1779" s="2" t="s">
        <v>288</v>
      </c>
      <c r="D1779" s="2" t="s">
        <v>1462</v>
      </c>
      <c r="E1779" s="2" t="s">
        <v>1884</v>
      </c>
      <c r="F1779" s="2" t="s">
        <v>8154</v>
      </c>
      <c r="G1779" s="2" t="s">
        <v>8155</v>
      </c>
      <c r="H1779" s="2" t="s">
        <v>8156</v>
      </c>
      <c r="I1779" s="2" t="s">
        <v>8157</v>
      </c>
      <c r="J1779" s="2" t="s">
        <v>658</v>
      </c>
      <c r="K1779" s="2" t="s">
        <v>556</v>
      </c>
      <c r="L1779" s="3">
        <v>59.8</v>
      </c>
      <c r="M1779" s="3">
        <v>62.79</v>
      </c>
      <c r="N1779" s="3">
        <v>129.99</v>
      </c>
      <c r="O1779" s="2" t="s">
        <v>243</v>
      </c>
      <c r="P1779" s="2" t="s">
        <v>341</v>
      </c>
      <c r="Q1779" s="2" t="s">
        <v>237</v>
      </c>
      <c r="R1779" s="2" t="s">
        <v>231</v>
      </c>
      <c r="S1779" s="2" t="s">
        <v>8158</v>
      </c>
      <c r="T1779" s="2" t="s">
        <v>231</v>
      </c>
      <c r="U1779" s="2" t="s">
        <v>765</v>
      </c>
      <c r="V1779" s="2" t="s">
        <v>1828</v>
      </c>
      <c r="W1779" s="2" t="s">
        <v>2541</v>
      </c>
      <c r="X1779" s="2" t="s">
        <v>1486</v>
      </c>
      <c r="Y1779" s="2" t="s">
        <v>1078</v>
      </c>
      <c r="Z1779" s="4">
        <v>59</v>
      </c>
      <c r="AA1779" s="4">
        <f>=ROUNDDOWN(2.20973782771536,0)</f>
      </c>
      <c r="AB1779" s="5">
        <v>26.7</v>
      </c>
      <c r="AC1779" s="2" t="s">
        <v>231</v>
      </c>
      <c r="AD1779" s="4"/>
      <c r="AE1779" s="4"/>
      <c r="AF1779" s="6">
        <v>64</v>
      </c>
      <c r="AG1779" s="6"/>
      <c r="AH1779" s="7">
        <v>1</v>
      </c>
      <c r="AI1779" s="4"/>
      <c r="AJ1779" s="4">
        <f>=ROUNDDOWN({0},0)</f>
      </c>
      <c r="AK1779" s="5"/>
      <c r="AL1779" s="2" t="s">
        <v>231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/>
      <c r="BD1779" s="8"/>
      <c r="BE1779" s="4"/>
      <c r="BF1779" s="8"/>
      <c r="BG1779" s="7"/>
      <c r="BH1779" s="7"/>
      <c r="BI1779" s="7"/>
      <c r="BJ1779" s="4">
        <v>124</v>
      </c>
      <c r="BK1779" s="8">
        <v>4165.56</v>
      </c>
      <c r="BL1779" s="2" t="s">
        <v>8159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8160</v>
      </c>
      <c r="BV1779" s="2" t="s">
        <v>231</v>
      </c>
      <c r="BW1779" s="2" t="s">
        <v>231</v>
      </c>
      <c r="BX1779" s="2" t="s">
        <v>231</v>
      </c>
      <c r="BY1779" s="2" t="s">
        <v>277</v>
      </c>
      <c r="BZ1779" s="2" t="s">
        <v>243</v>
      </c>
      <c r="CA1779" s="2" t="s">
        <v>8161</v>
      </c>
      <c r="CB1779" s="2" t="s">
        <v>8162</v>
      </c>
      <c r="CC1779" s="2" t="s">
        <v>244</v>
      </c>
      <c r="CD1779" s="2" t="s">
        <v>231</v>
      </c>
      <c r="CE1779" s="4">
        <v>59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"/>
      <c r="HK1779" s="4"/>
      <c r="HL1779" s="4"/>
    </row>
    <row r="1780">
      <c r="A1780" s="2" t="s">
        <v>8163</v>
      </c>
      <c r="B1780" s="2" t="s">
        <v>824</v>
      </c>
      <c r="C1780" s="2" t="s">
        <v>825</v>
      </c>
      <c r="D1780" s="2" t="s">
        <v>654</v>
      </c>
      <c r="E1780" s="2" t="s">
        <v>890</v>
      </c>
      <c r="F1780" s="2" t="s">
        <v>8164</v>
      </c>
      <c r="G1780" s="2" t="s">
        <v>3392</v>
      </c>
      <c r="H1780" s="2" t="s">
        <v>8165</v>
      </c>
      <c r="I1780" s="2" t="s">
        <v>1880</v>
      </c>
      <c r="J1780" s="2" t="s">
        <v>832</v>
      </c>
      <c r="K1780" s="2" t="s">
        <v>294</v>
      </c>
      <c r="L1780" s="3">
        <v>33.33</v>
      </c>
      <c r="M1780" s="3">
        <v>35</v>
      </c>
      <c r="N1780" s="3">
        <v>69.99</v>
      </c>
      <c r="O1780" s="2" t="s">
        <v>243</v>
      </c>
      <c r="P1780" s="2" t="s">
        <v>270</v>
      </c>
      <c r="Q1780" s="2" t="s">
        <v>237</v>
      </c>
      <c r="R1780" s="2" t="s">
        <v>231</v>
      </c>
      <c r="S1780" s="2" t="s">
        <v>8166</v>
      </c>
      <c r="T1780" s="2" t="s">
        <v>1432</v>
      </c>
      <c r="U1780" s="2" t="s">
        <v>791</v>
      </c>
      <c r="V1780" s="2" t="s">
        <v>239</v>
      </c>
      <c r="W1780" s="2" t="s">
        <v>691</v>
      </c>
      <c r="X1780" s="2" t="s">
        <v>273</v>
      </c>
      <c r="Y1780" s="2" t="s">
        <v>2279</v>
      </c>
      <c r="Z1780" s="4">
        <v>150</v>
      </c>
      <c r="AA1780" s="4">
        <f>=ROUNDDOWN({0},0)</f>
      </c>
      <c r="AB1780" s="5"/>
      <c r="AC1780" s="2" t="s">
        <v>1128</v>
      </c>
      <c r="AD1780" s="4">
        <v>150</v>
      </c>
      <c r="AE1780" s="4">
        <v>150</v>
      </c>
      <c r="AF1780" s="6">
        <v>66</v>
      </c>
      <c r="AG1780" s="6"/>
      <c r="AH1780" s="7">
        <v>0</v>
      </c>
      <c r="AI1780" s="4"/>
      <c r="AJ1780" s="4">
        <f>=ROUNDDOWN({0},0)</f>
      </c>
      <c r="AK1780" s="5"/>
      <c r="AL1780" s="2" t="s">
        <v>231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231</v>
      </c>
      <c r="AW1780" s="8" t="s">
        <v>231</v>
      </c>
      <c r="AX1780" s="4" t="s">
        <v>231</v>
      </c>
      <c r="AY1780" s="8" t="s">
        <v>231</v>
      </c>
      <c r="AZ1780" s="7" t="s">
        <v>231</v>
      </c>
      <c r="BA1780" s="7" t="s">
        <v>231</v>
      </c>
      <c r="BB1780" s="7" t="s">
        <v>231</v>
      </c>
      <c r="BC1780" s="4" t="s">
        <v>231</v>
      </c>
      <c r="BD1780" s="8" t="s">
        <v>231</v>
      </c>
      <c r="BE1780" s="4" t="s">
        <v>231</v>
      </c>
      <c r="BF1780" s="8" t="s">
        <v>231</v>
      </c>
      <c r="BG1780" s="7" t="s">
        <v>231</v>
      </c>
      <c r="BH1780" s="7" t="s">
        <v>231</v>
      </c>
      <c r="BI1780" s="7"/>
      <c r="BJ1780" s="4"/>
      <c r="BK1780" s="8"/>
      <c r="BL1780" s="2" t="s">
        <v>231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8167</v>
      </c>
      <c r="BV1780" s="2" t="s">
        <v>231</v>
      </c>
      <c r="BW1780" s="2" t="s">
        <v>231</v>
      </c>
      <c r="BX1780" s="2" t="s">
        <v>241</v>
      </c>
      <c r="BY1780" s="2" t="s">
        <v>277</v>
      </c>
      <c r="BZ1780" s="2" t="s">
        <v>243</v>
      </c>
      <c r="CA1780" s="2" t="s">
        <v>231</v>
      </c>
      <c r="CB1780" s="2" t="s">
        <v>231</v>
      </c>
      <c r="CC1780" s="2" t="s">
        <v>244</v>
      </c>
      <c r="CD1780" s="2" t="s">
        <v>231</v>
      </c>
      <c r="CE1780" s="4"/>
      <c r="CF1780" s="4"/>
      <c r="CG1780" s="4"/>
      <c r="CH1780" s="4"/>
      <c r="CI1780" s="4"/>
      <c r="CJ1780" s="4"/>
      <c r="CK1780" s="4"/>
      <c r="CL1780" s="4">
        <v>150</v>
      </c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>
        <v>150</v>
      </c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4"/>
      <c r="HK1780" s="4"/>
      <c r="HL1780" s="4"/>
    </row>
    <row r="1781">
      <c r="A1781" s="2" t="s">
        <v>8168</v>
      </c>
      <c r="B1781" s="2" t="s">
        <v>824</v>
      </c>
      <c r="C1781" s="2" t="s">
        <v>825</v>
      </c>
      <c r="D1781" s="2" t="s">
        <v>826</v>
      </c>
      <c r="E1781" s="2" t="s">
        <v>1060</v>
      </c>
      <c r="F1781" s="2" t="s">
        <v>8164</v>
      </c>
      <c r="G1781" s="2" t="s">
        <v>3392</v>
      </c>
      <c r="H1781" s="2" t="s">
        <v>8165</v>
      </c>
      <c r="I1781" s="2" t="s">
        <v>1874</v>
      </c>
      <c r="J1781" s="2" t="s">
        <v>832</v>
      </c>
      <c r="K1781" s="2" t="s">
        <v>294</v>
      </c>
      <c r="L1781" s="3">
        <v>26.19</v>
      </c>
      <c r="M1781" s="3">
        <v>27.5</v>
      </c>
      <c r="N1781" s="3">
        <v>54.99</v>
      </c>
      <c r="O1781" s="2" t="s">
        <v>243</v>
      </c>
      <c r="P1781" s="2" t="s">
        <v>236</v>
      </c>
      <c r="Q1781" s="2" t="s">
        <v>237</v>
      </c>
      <c r="R1781" s="2" t="s">
        <v>231</v>
      </c>
      <c r="S1781" s="2" t="s">
        <v>8166</v>
      </c>
      <c r="T1781" s="2" t="s">
        <v>1432</v>
      </c>
      <c r="U1781" s="2" t="s">
        <v>791</v>
      </c>
      <c r="V1781" s="2" t="s">
        <v>239</v>
      </c>
      <c r="W1781" s="2" t="s">
        <v>691</v>
      </c>
      <c r="X1781" s="2" t="s">
        <v>273</v>
      </c>
      <c r="Y1781" s="2" t="s">
        <v>2279</v>
      </c>
      <c r="Z1781" s="4">
        <v>35</v>
      </c>
      <c r="AA1781" s="4">
        <f>=ROUNDDOWN({0},0)</f>
      </c>
      <c r="AB1781" s="5"/>
      <c r="AC1781" s="2" t="s">
        <v>1128</v>
      </c>
      <c r="AD1781" s="4">
        <v>35</v>
      </c>
      <c r="AE1781" s="4">
        <v>35</v>
      </c>
      <c r="AF1781" s="6">
        <v>66</v>
      </c>
      <c r="AG1781" s="6"/>
      <c r="AH1781" s="7">
        <v>0</v>
      </c>
      <c r="AI1781" s="4"/>
      <c r="AJ1781" s="4">
        <f>=ROUNDDOWN({0},0)</f>
      </c>
      <c r="AK1781" s="5"/>
      <c r="AL1781" s="2" t="s">
        <v>231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 t="s">
        <v>231</v>
      </c>
      <c r="AW1781" s="8" t="s">
        <v>231</v>
      </c>
      <c r="AX1781" s="4" t="s">
        <v>231</v>
      </c>
      <c r="AY1781" s="8" t="s">
        <v>231</v>
      </c>
      <c r="AZ1781" s="7" t="s">
        <v>231</v>
      </c>
      <c r="BA1781" s="7" t="s">
        <v>231</v>
      </c>
      <c r="BB1781" s="7" t="s">
        <v>231</v>
      </c>
      <c r="BC1781" s="4" t="s">
        <v>231</v>
      </c>
      <c r="BD1781" s="8" t="s">
        <v>231</v>
      </c>
      <c r="BE1781" s="4" t="s">
        <v>231</v>
      </c>
      <c r="BF1781" s="8" t="s">
        <v>231</v>
      </c>
      <c r="BG1781" s="7" t="s">
        <v>231</v>
      </c>
      <c r="BH1781" s="7" t="s">
        <v>231</v>
      </c>
      <c r="BI1781" s="7"/>
      <c r="BJ1781" s="4"/>
      <c r="BK1781" s="8"/>
      <c r="BL1781" s="2" t="s">
        <v>231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241</v>
      </c>
      <c r="BV1781" s="2" t="s">
        <v>231</v>
      </c>
      <c r="BW1781" s="2" t="s">
        <v>231</v>
      </c>
      <c r="BX1781" s="2" t="s">
        <v>241</v>
      </c>
      <c r="BY1781" s="2" t="s">
        <v>242</v>
      </c>
      <c r="BZ1781" s="2" t="s">
        <v>243</v>
      </c>
      <c r="CA1781" s="2" t="s">
        <v>231</v>
      </c>
      <c r="CB1781" s="2" t="s">
        <v>231</v>
      </c>
      <c r="CC1781" s="2" t="s">
        <v>244</v>
      </c>
      <c r="CD1781" s="2" t="s">
        <v>231</v>
      </c>
      <c r="CE1781" s="4"/>
      <c r="CF1781" s="4"/>
      <c r="CG1781" s="4"/>
      <c r="CH1781" s="4"/>
      <c r="CI1781" s="4"/>
      <c r="CJ1781" s="4"/>
      <c r="CK1781" s="4"/>
      <c r="CL1781" s="4">
        <v>35</v>
      </c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>
        <v>35</v>
      </c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4"/>
      <c r="HK1781" s="4"/>
      <c r="HL1781" s="4"/>
    </row>
    <row r="1782">
      <c r="A1782" s="2" t="s">
        <v>8169</v>
      </c>
      <c r="B1782" s="2" t="s">
        <v>824</v>
      </c>
      <c r="C1782" s="2" t="s">
        <v>825</v>
      </c>
      <c r="D1782" s="2" t="s">
        <v>654</v>
      </c>
      <c r="E1782" s="2" t="s">
        <v>890</v>
      </c>
      <c r="F1782" s="2" t="s">
        <v>8164</v>
      </c>
      <c r="G1782" s="2" t="s">
        <v>3392</v>
      </c>
      <c r="H1782" s="2" t="s">
        <v>8165</v>
      </c>
      <c r="I1782" s="2" t="s">
        <v>1880</v>
      </c>
      <c r="J1782" s="2" t="s">
        <v>658</v>
      </c>
      <c r="K1782" s="2" t="s">
        <v>294</v>
      </c>
      <c r="L1782" s="3">
        <v>38.09</v>
      </c>
      <c r="M1782" s="3">
        <v>40</v>
      </c>
      <c r="N1782" s="3">
        <v>79.99</v>
      </c>
      <c r="O1782" s="2" t="s">
        <v>243</v>
      </c>
      <c r="P1782" s="2" t="s">
        <v>270</v>
      </c>
      <c r="Q1782" s="2" t="s">
        <v>237</v>
      </c>
      <c r="R1782" s="2" t="s">
        <v>231</v>
      </c>
      <c r="S1782" s="2" t="s">
        <v>8166</v>
      </c>
      <c r="T1782" s="2" t="s">
        <v>1432</v>
      </c>
      <c r="U1782" s="2" t="s">
        <v>835</v>
      </c>
      <c r="V1782" s="2" t="s">
        <v>239</v>
      </c>
      <c r="W1782" s="2" t="s">
        <v>691</v>
      </c>
      <c r="X1782" s="2" t="s">
        <v>273</v>
      </c>
      <c r="Y1782" s="2" t="s">
        <v>2279</v>
      </c>
      <c r="Z1782" s="4">
        <v>160</v>
      </c>
      <c r="AA1782" s="4">
        <f>=ROUNDDOWN({0},0)</f>
      </c>
      <c r="AB1782" s="5"/>
      <c r="AC1782" s="2" t="s">
        <v>1128</v>
      </c>
      <c r="AD1782" s="4">
        <v>160</v>
      </c>
      <c r="AE1782" s="4">
        <v>160</v>
      </c>
      <c r="AF1782" s="6">
        <v>66</v>
      </c>
      <c r="AG1782" s="6"/>
      <c r="AH1782" s="7">
        <v>0</v>
      </c>
      <c r="AI1782" s="4"/>
      <c r="AJ1782" s="4">
        <f>=ROUNDDOWN({0},0)</f>
      </c>
      <c r="AK1782" s="5"/>
      <c r="AL1782" s="2" t="s">
        <v>231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 t="s">
        <v>231</v>
      </c>
      <c r="AW1782" s="8" t="s">
        <v>231</v>
      </c>
      <c r="AX1782" s="4" t="s">
        <v>231</v>
      </c>
      <c r="AY1782" s="8" t="s">
        <v>231</v>
      </c>
      <c r="AZ1782" s="7" t="s">
        <v>231</v>
      </c>
      <c r="BA1782" s="7" t="s">
        <v>231</v>
      </c>
      <c r="BB1782" s="7" t="s">
        <v>231</v>
      </c>
      <c r="BC1782" s="4" t="s">
        <v>231</v>
      </c>
      <c r="BD1782" s="8" t="s">
        <v>231</v>
      </c>
      <c r="BE1782" s="4" t="s">
        <v>231</v>
      </c>
      <c r="BF1782" s="8" t="s">
        <v>231</v>
      </c>
      <c r="BG1782" s="7" t="s">
        <v>231</v>
      </c>
      <c r="BH1782" s="7" t="s">
        <v>231</v>
      </c>
      <c r="BI1782" s="7"/>
      <c r="BJ1782" s="4"/>
      <c r="BK1782" s="8"/>
      <c r="BL1782" s="2" t="s">
        <v>231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8170</v>
      </c>
      <c r="BV1782" s="2" t="s">
        <v>231</v>
      </c>
      <c r="BW1782" s="2" t="s">
        <v>231</v>
      </c>
      <c r="BX1782" s="2" t="s">
        <v>241</v>
      </c>
      <c r="BY1782" s="2" t="s">
        <v>277</v>
      </c>
      <c r="BZ1782" s="2" t="s">
        <v>243</v>
      </c>
      <c r="CA1782" s="2" t="s">
        <v>231</v>
      </c>
      <c r="CB1782" s="2" t="s">
        <v>231</v>
      </c>
      <c r="CC1782" s="2" t="s">
        <v>244</v>
      </c>
      <c r="CD1782" s="2" t="s">
        <v>231</v>
      </c>
      <c r="CE1782" s="4"/>
      <c r="CF1782" s="4"/>
      <c r="CG1782" s="4"/>
      <c r="CH1782" s="4"/>
      <c r="CI1782" s="4"/>
      <c r="CJ1782" s="4"/>
      <c r="CK1782" s="4"/>
      <c r="CL1782" s="4">
        <v>160</v>
      </c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>
        <v>160</v>
      </c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4"/>
      <c r="HK1782" s="4"/>
      <c r="HL1782" s="4"/>
    </row>
    <row r="1783">
      <c r="A1783" s="2" t="s">
        <v>8171</v>
      </c>
      <c r="B1783" s="2" t="s">
        <v>824</v>
      </c>
      <c r="C1783" s="2" t="s">
        <v>825</v>
      </c>
      <c r="D1783" s="2" t="s">
        <v>826</v>
      </c>
      <c r="E1783" s="2" t="s">
        <v>1060</v>
      </c>
      <c r="F1783" s="2" t="s">
        <v>8164</v>
      </c>
      <c r="G1783" s="2" t="s">
        <v>3392</v>
      </c>
      <c r="H1783" s="2" t="s">
        <v>8165</v>
      </c>
      <c r="I1783" s="2" t="s">
        <v>1874</v>
      </c>
      <c r="J1783" s="2" t="s">
        <v>658</v>
      </c>
      <c r="K1783" s="2" t="s">
        <v>294</v>
      </c>
      <c r="L1783" s="3">
        <v>30.95</v>
      </c>
      <c r="M1783" s="3">
        <v>32.5</v>
      </c>
      <c r="N1783" s="3">
        <v>64.99</v>
      </c>
      <c r="O1783" s="2" t="s">
        <v>243</v>
      </c>
      <c r="P1783" s="2" t="s">
        <v>236</v>
      </c>
      <c r="Q1783" s="2" t="s">
        <v>237</v>
      </c>
      <c r="R1783" s="2" t="s">
        <v>231</v>
      </c>
      <c r="S1783" s="2" t="s">
        <v>8166</v>
      </c>
      <c r="T1783" s="2" t="s">
        <v>1432</v>
      </c>
      <c r="U1783" s="2" t="s">
        <v>835</v>
      </c>
      <c r="V1783" s="2" t="s">
        <v>239</v>
      </c>
      <c r="W1783" s="2" t="s">
        <v>691</v>
      </c>
      <c r="X1783" s="2" t="s">
        <v>273</v>
      </c>
      <c r="Y1783" s="2" t="s">
        <v>2279</v>
      </c>
      <c r="Z1783" s="4">
        <v>65</v>
      </c>
      <c r="AA1783" s="4">
        <f>=ROUNDDOWN({0},0)</f>
      </c>
      <c r="AB1783" s="5"/>
      <c r="AC1783" s="2" t="s">
        <v>1128</v>
      </c>
      <c r="AD1783" s="4">
        <v>65</v>
      </c>
      <c r="AE1783" s="4">
        <v>65</v>
      </c>
      <c r="AF1783" s="6">
        <v>66</v>
      </c>
      <c r="AG1783" s="6"/>
      <c r="AH1783" s="7">
        <v>0</v>
      </c>
      <c r="AI1783" s="4"/>
      <c r="AJ1783" s="4">
        <f>=ROUNDDOWN({0},0)</f>
      </c>
      <c r="AK1783" s="5"/>
      <c r="AL1783" s="2" t="s">
        <v>231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231</v>
      </c>
      <c r="AW1783" s="8" t="s">
        <v>231</v>
      </c>
      <c r="AX1783" s="4" t="s">
        <v>231</v>
      </c>
      <c r="AY1783" s="8" t="s">
        <v>231</v>
      </c>
      <c r="AZ1783" s="7" t="s">
        <v>231</v>
      </c>
      <c r="BA1783" s="7" t="s">
        <v>231</v>
      </c>
      <c r="BB1783" s="7" t="s">
        <v>231</v>
      </c>
      <c r="BC1783" s="4" t="s">
        <v>231</v>
      </c>
      <c r="BD1783" s="8" t="s">
        <v>231</v>
      </c>
      <c r="BE1783" s="4" t="s">
        <v>231</v>
      </c>
      <c r="BF1783" s="8" t="s">
        <v>231</v>
      </c>
      <c r="BG1783" s="7" t="s">
        <v>231</v>
      </c>
      <c r="BH1783" s="7" t="s">
        <v>231</v>
      </c>
      <c r="BI1783" s="7"/>
      <c r="BJ1783" s="4"/>
      <c r="BK1783" s="8"/>
      <c r="BL1783" s="2" t="s">
        <v>231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241</v>
      </c>
      <c r="BV1783" s="2" t="s">
        <v>231</v>
      </c>
      <c r="BW1783" s="2" t="s">
        <v>231</v>
      </c>
      <c r="BX1783" s="2" t="s">
        <v>241</v>
      </c>
      <c r="BY1783" s="2" t="s">
        <v>242</v>
      </c>
      <c r="BZ1783" s="2" t="s">
        <v>243</v>
      </c>
      <c r="CA1783" s="2" t="s">
        <v>231</v>
      </c>
      <c r="CB1783" s="2" t="s">
        <v>231</v>
      </c>
      <c r="CC1783" s="2" t="s">
        <v>244</v>
      </c>
      <c r="CD1783" s="2" t="s">
        <v>231</v>
      </c>
      <c r="CE1783" s="4"/>
      <c r="CF1783" s="4"/>
      <c r="CG1783" s="4"/>
      <c r="CH1783" s="4"/>
      <c r="CI1783" s="4"/>
      <c r="CJ1783" s="4"/>
      <c r="CK1783" s="4"/>
      <c r="CL1783" s="4">
        <v>65</v>
      </c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>
        <v>65</v>
      </c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4"/>
      <c r="HK1783" s="4"/>
      <c r="HL1783" s="4"/>
    </row>
    <row r="1784">
      <c r="A1784" s="2" t="s">
        <v>8172</v>
      </c>
      <c r="B1784" s="2" t="s">
        <v>824</v>
      </c>
      <c r="C1784" s="2" t="s">
        <v>825</v>
      </c>
      <c r="D1784" s="2" t="s">
        <v>654</v>
      </c>
      <c r="E1784" s="2" t="s">
        <v>890</v>
      </c>
      <c r="F1784" s="2" t="s">
        <v>8164</v>
      </c>
      <c r="G1784" s="2" t="s">
        <v>3392</v>
      </c>
      <c r="H1784" s="2" t="s">
        <v>8165</v>
      </c>
      <c r="I1784" s="2" t="s">
        <v>1880</v>
      </c>
      <c r="J1784" s="2" t="s">
        <v>669</v>
      </c>
      <c r="K1784" s="2" t="s">
        <v>294</v>
      </c>
      <c r="L1784" s="3">
        <v>42.85</v>
      </c>
      <c r="M1784" s="3">
        <v>44.99</v>
      </c>
      <c r="N1784" s="3">
        <v>89.99</v>
      </c>
      <c r="O1784" s="2" t="s">
        <v>243</v>
      </c>
      <c r="P1784" s="2" t="s">
        <v>270</v>
      </c>
      <c r="Q1784" s="2" t="s">
        <v>237</v>
      </c>
      <c r="R1784" s="2" t="s">
        <v>231</v>
      </c>
      <c r="S1784" s="2" t="s">
        <v>8166</v>
      </c>
      <c r="T1784" s="2" t="s">
        <v>1432</v>
      </c>
      <c r="U1784" s="2" t="s">
        <v>835</v>
      </c>
      <c r="V1784" s="2" t="s">
        <v>239</v>
      </c>
      <c r="W1784" s="2" t="s">
        <v>691</v>
      </c>
      <c r="X1784" s="2" t="s">
        <v>273</v>
      </c>
      <c r="Y1784" s="2" t="s">
        <v>2279</v>
      </c>
      <c r="Z1784" s="4">
        <v>90</v>
      </c>
      <c r="AA1784" s="4">
        <f>=ROUNDDOWN({0},0)</f>
      </c>
      <c r="AB1784" s="5"/>
      <c r="AC1784" s="2" t="s">
        <v>1128</v>
      </c>
      <c r="AD1784" s="4">
        <v>90</v>
      </c>
      <c r="AE1784" s="4">
        <v>90</v>
      </c>
      <c r="AF1784" s="6">
        <v>66</v>
      </c>
      <c r="AG1784" s="6"/>
      <c r="AH1784" s="7">
        <v>0</v>
      </c>
      <c r="AI1784" s="4"/>
      <c r="AJ1784" s="4">
        <f>=ROUNDDOWN({0},0)</f>
      </c>
      <c r="AK1784" s="5"/>
      <c r="AL1784" s="2" t="s">
        <v>231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231</v>
      </c>
      <c r="AW1784" s="8" t="s">
        <v>231</v>
      </c>
      <c r="AX1784" s="4" t="s">
        <v>231</v>
      </c>
      <c r="AY1784" s="8" t="s">
        <v>231</v>
      </c>
      <c r="AZ1784" s="7" t="s">
        <v>231</v>
      </c>
      <c r="BA1784" s="7" t="s">
        <v>231</v>
      </c>
      <c r="BB1784" s="7"/>
      <c r="BC1784" s="4" t="s">
        <v>231</v>
      </c>
      <c r="BD1784" s="8" t="s">
        <v>231</v>
      </c>
      <c r="BE1784" s="4" t="s">
        <v>231</v>
      </c>
      <c r="BF1784" s="8" t="s">
        <v>231</v>
      </c>
      <c r="BG1784" s="7" t="s">
        <v>231</v>
      </c>
      <c r="BH1784" s="7" t="s">
        <v>231</v>
      </c>
      <c r="BI1784" s="7"/>
      <c r="BJ1784" s="4"/>
      <c r="BK1784" s="8"/>
      <c r="BL1784" s="2" t="s">
        <v>231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8173</v>
      </c>
      <c r="BV1784" s="2" t="s">
        <v>231</v>
      </c>
      <c r="BW1784" s="2" t="s">
        <v>231</v>
      </c>
      <c r="BX1784" s="2" t="s">
        <v>241</v>
      </c>
      <c r="BY1784" s="2" t="s">
        <v>277</v>
      </c>
      <c r="BZ1784" s="2" t="s">
        <v>243</v>
      </c>
      <c r="CA1784" s="2" t="s">
        <v>231</v>
      </c>
      <c r="CB1784" s="2" t="s">
        <v>231</v>
      </c>
      <c r="CC1784" s="2" t="s">
        <v>244</v>
      </c>
      <c r="CD1784" s="2" t="s">
        <v>231</v>
      </c>
      <c r="CE1784" s="4"/>
      <c r="CF1784" s="4"/>
      <c r="CG1784" s="4"/>
      <c r="CH1784" s="4"/>
      <c r="CI1784" s="4"/>
      <c r="CJ1784" s="4"/>
      <c r="CK1784" s="4"/>
      <c r="CL1784" s="4">
        <v>90</v>
      </c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>
        <v>90</v>
      </c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4"/>
      <c r="HK1784" s="4"/>
      <c r="HL1784" s="4"/>
    </row>
    <row r="1785">
      <c r="A1785" s="2" t="s">
        <v>8174</v>
      </c>
      <c r="B1785" s="2" t="s">
        <v>824</v>
      </c>
      <c r="C1785" s="2" t="s">
        <v>825</v>
      </c>
      <c r="D1785" s="2" t="s">
        <v>654</v>
      </c>
      <c r="E1785" s="2" t="s">
        <v>890</v>
      </c>
      <c r="F1785" s="2" t="s">
        <v>8164</v>
      </c>
      <c r="G1785" s="2" t="s">
        <v>3392</v>
      </c>
      <c r="H1785" s="2" t="s">
        <v>8165</v>
      </c>
      <c r="I1785" s="2" t="s">
        <v>1880</v>
      </c>
      <c r="J1785" s="2" t="s">
        <v>832</v>
      </c>
      <c r="K1785" s="2" t="s">
        <v>269</v>
      </c>
      <c r="L1785" s="3">
        <v>33.33</v>
      </c>
      <c r="M1785" s="3">
        <v>35</v>
      </c>
      <c r="N1785" s="3">
        <v>69.99</v>
      </c>
      <c r="O1785" s="2" t="s">
        <v>243</v>
      </c>
      <c r="P1785" s="2" t="s">
        <v>270</v>
      </c>
      <c r="Q1785" s="2" t="s">
        <v>237</v>
      </c>
      <c r="R1785" s="2" t="s">
        <v>231</v>
      </c>
      <c r="S1785" s="2" t="s">
        <v>8175</v>
      </c>
      <c r="T1785" s="2" t="s">
        <v>1432</v>
      </c>
      <c r="U1785" s="2" t="s">
        <v>791</v>
      </c>
      <c r="V1785" s="2" t="s">
        <v>239</v>
      </c>
      <c r="W1785" s="2" t="s">
        <v>691</v>
      </c>
      <c r="X1785" s="2" t="s">
        <v>273</v>
      </c>
      <c r="Y1785" s="2" t="s">
        <v>2279</v>
      </c>
      <c r="Z1785" s="4">
        <v>145</v>
      </c>
      <c r="AA1785" s="4">
        <f>=ROUNDDOWN({0},0)</f>
      </c>
      <c r="AB1785" s="5"/>
      <c r="AC1785" s="2" t="s">
        <v>1128</v>
      </c>
      <c r="AD1785" s="4">
        <v>145</v>
      </c>
      <c r="AE1785" s="4">
        <v>145</v>
      </c>
      <c r="AF1785" s="6">
        <v>66</v>
      </c>
      <c r="AG1785" s="6"/>
      <c r="AH1785" s="7">
        <v>0</v>
      </c>
      <c r="AI1785" s="4"/>
      <c r="AJ1785" s="4">
        <f>=ROUNDDOWN({0},0)</f>
      </c>
      <c r="AK1785" s="5"/>
      <c r="AL1785" s="2" t="s">
        <v>231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231</v>
      </c>
      <c r="AW1785" s="8" t="s">
        <v>231</v>
      </c>
      <c r="AX1785" s="4" t="s">
        <v>231</v>
      </c>
      <c r="AY1785" s="8" t="s">
        <v>231</v>
      </c>
      <c r="AZ1785" s="7" t="s">
        <v>231</v>
      </c>
      <c r="BA1785" s="7" t="s">
        <v>231</v>
      </c>
      <c r="BB1785" s="7" t="s">
        <v>231</v>
      </c>
      <c r="BC1785" s="4" t="s">
        <v>231</v>
      </c>
      <c r="BD1785" s="8" t="s">
        <v>231</v>
      </c>
      <c r="BE1785" s="4" t="s">
        <v>231</v>
      </c>
      <c r="BF1785" s="8" t="s">
        <v>231</v>
      </c>
      <c r="BG1785" s="7" t="s">
        <v>231</v>
      </c>
      <c r="BH1785" s="7" t="s">
        <v>231</v>
      </c>
      <c r="BI1785" s="7"/>
      <c r="BJ1785" s="4"/>
      <c r="BK1785" s="8"/>
      <c r="BL1785" s="2" t="s">
        <v>231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8176</v>
      </c>
      <c r="BV1785" s="2" t="s">
        <v>231</v>
      </c>
      <c r="BW1785" s="2" t="s">
        <v>231</v>
      </c>
      <c r="BX1785" s="2" t="s">
        <v>241</v>
      </c>
      <c r="BY1785" s="2" t="s">
        <v>277</v>
      </c>
      <c r="BZ1785" s="2" t="s">
        <v>243</v>
      </c>
      <c r="CA1785" s="2" t="s">
        <v>231</v>
      </c>
      <c r="CB1785" s="2" t="s">
        <v>231</v>
      </c>
      <c r="CC1785" s="2" t="s">
        <v>244</v>
      </c>
      <c r="CD1785" s="2" t="s">
        <v>231</v>
      </c>
      <c r="CE1785" s="4"/>
      <c r="CF1785" s="4"/>
      <c r="CG1785" s="4"/>
      <c r="CH1785" s="4"/>
      <c r="CI1785" s="4"/>
      <c r="CJ1785" s="4"/>
      <c r="CK1785" s="4"/>
      <c r="CL1785" s="4">
        <v>145</v>
      </c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>
        <v>145</v>
      </c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4"/>
      <c r="HK1785" s="4"/>
      <c r="HL1785" s="4"/>
    </row>
    <row r="1786">
      <c r="A1786" s="2" t="s">
        <v>8177</v>
      </c>
      <c r="B1786" s="2" t="s">
        <v>824</v>
      </c>
      <c r="C1786" s="2" t="s">
        <v>825</v>
      </c>
      <c r="D1786" s="2" t="s">
        <v>826</v>
      </c>
      <c r="E1786" s="2" t="s">
        <v>1060</v>
      </c>
      <c r="F1786" s="2" t="s">
        <v>8164</v>
      </c>
      <c r="G1786" s="2" t="s">
        <v>3392</v>
      </c>
      <c r="H1786" s="2" t="s">
        <v>8165</v>
      </c>
      <c r="I1786" s="2" t="s">
        <v>1874</v>
      </c>
      <c r="J1786" s="2" t="s">
        <v>832</v>
      </c>
      <c r="K1786" s="2" t="s">
        <v>269</v>
      </c>
      <c r="L1786" s="3">
        <v>26.19</v>
      </c>
      <c r="M1786" s="3">
        <v>27.5</v>
      </c>
      <c r="N1786" s="3">
        <v>54.99</v>
      </c>
      <c r="O1786" s="2" t="s">
        <v>243</v>
      </c>
      <c r="P1786" s="2" t="s">
        <v>236</v>
      </c>
      <c r="Q1786" s="2" t="s">
        <v>237</v>
      </c>
      <c r="R1786" s="2" t="s">
        <v>231</v>
      </c>
      <c r="S1786" s="2" t="s">
        <v>8175</v>
      </c>
      <c r="T1786" s="2" t="s">
        <v>1432</v>
      </c>
      <c r="U1786" s="2" t="s">
        <v>791</v>
      </c>
      <c r="V1786" s="2" t="s">
        <v>239</v>
      </c>
      <c r="W1786" s="2" t="s">
        <v>691</v>
      </c>
      <c r="X1786" s="2" t="s">
        <v>273</v>
      </c>
      <c r="Y1786" s="2" t="s">
        <v>2279</v>
      </c>
      <c r="Z1786" s="4">
        <v>45</v>
      </c>
      <c r="AA1786" s="4">
        <f>=ROUNDDOWN({0},0)</f>
      </c>
      <c r="AB1786" s="5"/>
      <c r="AC1786" s="2" t="s">
        <v>1128</v>
      </c>
      <c r="AD1786" s="4">
        <v>45</v>
      </c>
      <c r="AE1786" s="4">
        <v>45</v>
      </c>
      <c r="AF1786" s="6">
        <v>66</v>
      </c>
      <c r="AG1786" s="6"/>
      <c r="AH1786" s="7">
        <v>0</v>
      </c>
      <c r="AI1786" s="4"/>
      <c r="AJ1786" s="4">
        <f>=ROUNDDOWN({0},0)</f>
      </c>
      <c r="AK1786" s="5"/>
      <c r="AL1786" s="2" t="s">
        <v>231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231</v>
      </c>
      <c r="AW1786" s="8" t="s">
        <v>231</v>
      </c>
      <c r="AX1786" s="4" t="s">
        <v>231</v>
      </c>
      <c r="AY1786" s="8" t="s">
        <v>231</v>
      </c>
      <c r="AZ1786" s="7" t="s">
        <v>231</v>
      </c>
      <c r="BA1786" s="7" t="s">
        <v>231</v>
      </c>
      <c r="BB1786" s="7" t="s">
        <v>231</v>
      </c>
      <c r="BC1786" s="4" t="s">
        <v>231</v>
      </c>
      <c r="BD1786" s="8" t="s">
        <v>231</v>
      </c>
      <c r="BE1786" s="4" t="s">
        <v>231</v>
      </c>
      <c r="BF1786" s="8" t="s">
        <v>231</v>
      </c>
      <c r="BG1786" s="7" t="s">
        <v>231</v>
      </c>
      <c r="BH1786" s="7" t="s">
        <v>231</v>
      </c>
      <c r="BI1786" s="7"/>
      <c r="BJ1786" s="4"/>
      <c r="BK1786" s="8"/>
      <c r="BL1786" s="2" t="s">
        <v>231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241</v>
      </c>
      <c r="BV1786" s="2" t="s">
        <v>231</v>
      </c>
      <c r="BW1786" s="2" t="s">
        <v>231</v>
      </c>
      <c r="BX1786" s="2" t="s">
        <v>241</v>
      </c>
      <c r="BY1786" s="2" t="s">
        <v>242</v>
      </c>
      <c r="BZ1786" s="2" t="s">
        <v>243</v>
      </c>
      <c r="CA1786" s="2" t="s">
        <v>231</v>
      </c>
      <c r="CB1786" s="2" t="s">
        <v>231</v>
      </c>
      <c r="CC1786" s="2" t="s">
        <v>244</v>
      </c>
      <c r="CD1786" s="2" t="s">
        <v>231</v>
      </c>
      <c r="CE1786" s="4"/>
      <c r="CF1786" s="4"/>
      <c r="CG1786" s="4"/>
      <c r="CH1786" s="4"/>
      <c r="CI1786" s="4"/>
      <c r="CJ1786" s="4"/>
      <c r="CK1786" s="4"/>
      <c r="CL1786" s="4">
        <v>45</v>
      </c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>
        <v>45</v>
      </c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4"/>
      <c r="HK1786" s="4"/>
      <c r="HL1786" s="4"/>
    </row>
    <row r="1787">
      <c r="A1787" s="2" t="s">
        <v>8178</v>
      </c>
      <c r="B1787" s="2" t="s">
        <v>824</v>
      </c>
      <c r="C1787" s="2" t="s">
        <v>825</v>
      </c>
      <c r="D1787" s="2" t="s">
        <v>654</v>
      </c>
      <c r="E1787" s="2" t="s">
        <v>890</v>
      </c>
      <c r="F1787" s="2" t="s">
        <v>8164</v>
      </c>
      <c r="G1787" s="2" t="s">
        <v>3392</v>
      </c>
      <c r="H1787" s="2" t="s">
        <v>8165</v>
      </c>
      <c r="I1787" s="2" t="s">
        <v>1880</v>
      </c>
      <c r="J1787" s="2" t="s">
        <v>658</v>
      </c>
      <c r="K1787" s="2" t="s">
        <v>269</v>
      </c>
      <c r="L1787" s="3">
        <v>38.09</v>
      </c>
      <c r="M1787" s="3">
        <v>40</v>
      </c>
      <c r="N1787" s="3">
        <v>79.99</v>
      </c>
      <c r="O1787" s="2" t="s">
        <v>243</v>
      </c>
      <c r="P1787" s="2" t="s">
        <v>270</v>
      </c>
      <c r="Q1787" s="2" t="s">
        <v>237</v>
      </c>
      <c r="R1787" s="2" t="s">
        <v>231</v>
      </c>
      <c r="S1787" s="2" t="s">
        <v>8175</v>
      </c>
      <c r="T1787" s="2" t="s">
        <v>1432</v>
      </c>
      <c r="U1787" s="2" t="s">
        <v>835</v>
      </c>
      <c r="V1787" s="2" t="s">
        <v>239</v>
      </c>
      <c r="W1787" s="2" t="s">
        <v>691</v>
      </c>
      <c r="X1787" s="2" t="s">
        <v>273</v>
      </c>
      <c r="Y1787" s="2" t="s">
        <v>2279</v>
      </c>
      <c r="Z1787" s="4">
        <v>150</v>
      </c>
      <c r="AA1787" s="4">
        <f>=ROUNDDOWN({0},0)</f>
      </c>
      <c r="AB1787" s="5"/>
      <c r="AC1787" s="2" t="s">
        <v>1128</v>
      </c>
      <c r="AD1787" s="4">
        <v>150</v>
      </c>
      <c r="AE1787" s="4">
        <v>150</v>
      </c>
      <c r="AF1787" s="6">
        <v>66</v>
      </c>
      <c r="AG1787" s="6"/>
      <c r="AH1787" s="7">
        <v>0</v>
      </c>
      <c r="AI1787" s="4"/>
      <c r="AJ1787" s="4">
        <f>=ROUNDDOWN({0},0)</f>
      </c>
      <c r="AK1787" s="5"/>
      <c r="AL1787" s="2" t="s">
        <v>231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231</v>
      </c>
      <c r="AW1787" s="8" t="s">
        <v>231</v>
      </c>
      <c r="AX1787" s="4" t="s">
        <v>231</v>
      </c>
      <c r="AY1787" s="8" t="s">
        <v>231</v>
      </c>
      <c r="AZ1787" s="7" t="s">
        <v>231</v>
      </c>
      <c r="BA1787" s="7" t="s">
        <v>231</v>
      </c>
      <c r="BB1787" s="7" t="s">
        <v>231</v>
      </c>
      <c r="BC1787" s="4" t="s">
        <v>231</v>
      </c>
      <c r="BD1787" s="8" t="s">
        <v>231</v>
      </c>
      <c r="BE1787" s="4" t="s">
        <v>231</v>
      </c>
      <c r="BF1787" s="8" t="s">
        <v>231</v>
      </c>
      <c r="BG1787" s="7" t="s">
        <v>231</v>
      </c>
      <c r="BH1787" s="7" t="s">
        <v>231</v>
      </c>
      <c r="BI1787" s="7"/>
      <c r="BJ1787" s="4"/>
      <c r="BK1787" s="8"/>
      <c r="BL1787" s="2" t="s">
        <v>231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8179</v>
      </c>
      <c r="BV1787" s="2" t="s">
        <v>231</v>
      </c>
      <c r="BW1787" s="2" t="s">
        <v>231</v>
      </c>
      <c r="BX1787" s="2" t="s">
        <v>241</v>
      </c>
      <c r="BY1787" s="2" t="s">
        <v>277</v>
      </c>
      <c r="BZ1787" s="2" t="s">
        <v>243</v>
      </c>
      <c r="CA1787" s="2" t="s">
        <v>231</v>
      </c>
      <c r="CB1787" s="2" t="s">
        <v>231</v>
      </c>
      <c r="CC1787" s="2" t="s">
        <v>244</v>
      </c>
      <c r="CD1787" s="2" t="s">
        <v>231</v>
      </c>
      <c r="CE1787" s="4"/>
      <c r="CF1787" s="4"/>
      <c r="CG1787" s="4"/>
      <c r="CH1787" s="4"/>
      <c r="CI1787" s="4"/>
      <c r="CJ1787" s="4"/>
      <c r="CK1787" s="4"/>
      <c r="CL1787" s="4">
        <v>150</v>
      </c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>
        <v>150</v>
      </c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4"/>
      <c r="HK1787" s="4"/>
      <c r="HL1787" s="4"/>
    </row>
    <row r="1788">
      <c r="A1788" s="2" t="s">
        <v>8180</v>
      </c>
      <c r="B1788" s="2" t="s">
        <v>824</v>
      </c>
      <c r="C1788" s="2" t="s">
        <v>825</v>
      </c>
      <c r="D1788" s="2" t="s">
        <v>826</v>
      </c>
      <c r="E1788" s="2" t="s">
        <v>1060</v>
      </c>
      <c r="F1788" s="2" t="s">
        <v>8164</v>
      </c>
      <c r="G1788" s="2" t="s">
        <v>3392</v>
      </c>
      <c r="H1788" s="2" t="s">
        <v>8165</v>
      </c>
      <c r="I1788" s="2" t="s">
        <v>1874</v>
      </c>
      <c r="J1788" s="2" t="s">
        <v>658</v>
      </c>
      <c r="K1788" s="2" t="s">
        <v>269</v>
      </c>
      <c r="L1788" s="3">
        <v>30.95</v>
      </c>
      <c r="M1788" s="3">
        <v>32.5</v>
      </c>
      <c r="N1788" s="3">
        <v>64.99</v>
      </c>
      <c r="O1788" s="2" t="s">
        <v>243</v>
      </c>
      <c r="P1788" s="2" t="s">
        <v>236</v>
      </c>
      <c r="Q1788" s="2" t="s">
        <v>237</v>
      </c>
      <c r="R1788" s="2" t="s">
        <v>231</v>
      </c>
      <c r="S1788" s="2" t="s">
        <v>8175</v>
      </c>
      <c r="T1788" s="2" t="s">
        <v>1432</v>
      </c>
      <c r="U1788" s="2" t="s">
        <v>835</v>
      </c>
      <c r="V1788" s="2" t="s">
        <v>239</v>
      </c>
      <c r="W1788" s="2" t="s">
        <v>691</v>
      </c>
      <c r="X1788" s="2" t="s">
        <v>273</v>
      </c>
      <c r="Y1788" s="2" t="s">
        <v>2279</v>
      </c>
      <c r="Z1788" s="4">
        <v>75</v>
      </c>
      <c r="AA1788" s="4">
        <f>=ROUNDDOWN({0},0)</f>
      </c>
      <c r="AB1788" s="5"/>
      <c r="AC1788" s="2" t="s">
        <v>1128</v>
      </c>
      <c r="AD1788" s="4">
        <v>75</v>
      </c>
      <c r="AE1788" s="4">
        <v>75</v>
      </c>
      <c r="AF1788" s="6">
        <v>66</v>
      </c>
      <c r="AG1788" s="6"/>
      <c r="AH1788" s="7">
        <v>0</v>
      </c>
      <c r="AI1788" s="4"/>
      <c r="AJ1788" s="4">
        <f>=ROUNDDOWN({0},0)</f>
      </c>
      <c r="AK1788" s="5"/>
      <c r="AL1788" s="2" t="s">
        <v>231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231</v>
      </c>
      <c r="AW1788" s="8" t="s">
        <v>231</v>
      </c>
      <c r="AX1788" s="4" t="s">
        <v>231</v>
      </c>
      <c r="AY1788" s="8" t="s">
        <v>231</v>
      </c>
      <c r="AZ1788" s="7" t="s">
        <v>231</v>
      </c>
      <c r="BA1788" s="7" t="s">
        <v>231</v>
      </c>
      <c r="BB1788" s="7" t="s">
        <v>231</v>
      </c>
      <c r="BC1788" s="4" t="s">
        <v>231</v>
      </c>
      <c r="BD1788" s="8" t="s">
        <v>231</v>
      </c>
      <c r="BE1788" s="4" t="s">
        <v>231</v>
      </c>
      <c r="BF1788" s="8" t="s">
        <v>231</v>
      </c>
      <c r="BG1788" s="7" t="s">
        <v>231</v>
      </c>
      <c r="BH1788" s="7" t="s">
        <v>231</v>
      </c>
      <c r="BI1788" s="7"/>
      <c r="BJ1788" s="4"/>
      <c r="BK1788" s="8"/>
      <c r="BL1788" s="2" t="s">
        <v>231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241</v>
      </c>
      <c r="BV1788" s="2" t="s">
        <v>231</v>
      </c>
      <c r="BW1788" s="2" t="s">
        <v>231</v>
      </c>
      <c r="BX1788" s="2" t="s">
        <v>241</v>
      </c>
      <c r="BY1788" s="2" t="s">
        <v>242</v>
      </c>
      <c r="BZ1788" s="2" t="s">
        <v>243</v>
      </c>
      <c r="CA1788" s="2" t="s">
        <v>231</v>
      </c>
      <c r="CB1788" s="2" t="s">
        <v>231</v>
      </c>
      <c r="CC1788" s="2" t="s">
        <v>244</v>
      </c>
      <c r="CD1788" s="2" t="s">
        <v>231</v>
      </c>
      <c r="CE1788" s="4"/>
      <c r="CF1788" s="4"/>
      <c r="CG1788" s="4"/>
      <c r="CH1788" s="4"/>
      <c r="CI1788" s="4"/>
      <c r="CJ1788" s="4"/>
      <c r="CK1788" s="4"/>
      <c r="CL1788" s="4">
        <v>75</v>
      </c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>
        <v>75</v>
      </c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4"/>
      <c r="HK1788" s="4"/>
      <c r="HL1788" s="4"/>
    </row>
    <row r="1789">
      <c r="A1789" s="2" t="s">
        <v>8181</v>
      </c>
      <c r="B1789" s="2" t="s">
        <v>824</v>
      </c>
      <c r="C1789" s="2" t="s">
        <v>825</v>
      </c>
      <c r="D1789" s="2" t="s">
        <v>654</v>
      </c>
      <c r="E1789" s="2" t="s">
        <v>890</v>
      </c>
      <c r="F1789" s="2" t="s">
        <v>8164</v>
      </c>
      <c r="G1789" s="2" t="s">
        <v>3392</v>
      </c>
      <c r="H1789" s="2" t="s">
        <v>8165</v>
      </c>
      <c r="I1789" s="2" t="s">
        <v>1880</v>
      </c>
      <c r="J1789" s="2" t="s">
        <v>669</v>
      </c>
      <c r="K1789" s="2" t="s">
        <v>269</v>
      </c>
      <c r="L1789" s="3">
        <v>42.85</v>
      </c>
      <c r="M1789" s="3">
        <v>44.99</v>
      </c>
      <c r="N1789" s="3">
        <v>89.99</v>
      </c>
      <c r="O1789" s="2" t="s">
        <v>243</v>
      </c>
      <c r="P1789" s="2" t="s">
        <v>270</v>
      </c>
      <c r="Q1789" s="2" t="s">
        <v>237</v>
      </c>
      <c r="R1789" s="2" t="s">
        <v>231</v>
      </c>
      <c r="S1789" s="2" t="s">
        <v>8175</v>
      </c>
      <c r="T1789" s="2" t="s">
        <v>1432</v>
      </c>
      <c r="U1789" s="2" t="s">
        <v>835</v>
      </c>
      <c r="V1789" s="2" t="s">
        <v>239</v>
      </c>
      <c r="W1789" s="2" t="s">
        <v>691</v>
      </c>
      <c r="X1789" s="2" t="s">
        <v>273</v>
      </c>
      <c r="Y1789" s="2" t="s">
        <v>2279</v>
      </c>
      <c r="Z1789" s="4">
        <v>80</v>
      </c>
      <c r="AA1789" s="4">
        <f>=ROUNDDOWN({0},0)</f>
      </c>
      <c r="AB1789" s="5"/>
      <c r="AC1789" s="2" t="s">
        <v>8182</v>
      </c>
      <c r="AD1789" s="4">
        <v>5</v>
      </c>
      <c r="AE1789" s="4">
        <v>90</v>
      </c>
      <c r="AF1789" s="6">
        <v>66</v>
      </c>
      <c r="AG1789" s="6"/>
      <c r="AH1789" s="7">
        <v>0</v>
      </c>
      <c r="AI1789" s="4"/>
      <c r="AJ1789" s="4">
        <f>=ROUNDDOWN({0},0)</f>
      </c>
      <c r="AK1789" s="5"/>
      <c r="AL1789" s="2" t="s">
        <v>231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231</v>
      </c>
      <c r="AW1789" s="8" t="s">
        <v>231</v>
      </c>
      <c r="AX1789" s="4" t="s">
        <v>231</v>
      </c>
      <c r="AY1789" s="8" t="s">
        <v>231</v>
      </c>
      <c r="AZ1789" s="7" t="s">
        <v>231</v>
      </c>
      <c r="BA1789" s="7" t="s">
        <v>231</v>
      </c>
      <c r="BB1789" s="7"/>
      <c r="BC1789" s="4" t="s">
        <v>231</v>
      </c>
      <c r="BD1789" s="8" t="s">
        <v>231</v>
      </c>
      <c r="BE1789" s="4" t="s">
        <v>231</v>
      </c>
      <c r="BF1789" s="8" t="s">
        <v>231</v>
      </c>
      <c r="BG1789" s="7" t="s">
        <v>231</v>
      </c>
      <c r="BH1789" s="7" t="s">
        <v>231</v>
      </c>
      <c r="BI1789" s="7"/>
      <c r="BJ1789" s="4"/>
      <c r="BK1789" s="8"/>
      <c r="BL1789" s="2" t="s">
        <v>231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8183</v>
      </c>
      <c r="BV1789" s="2" t="s">
        <v>231</v>
      </c>
      <c r="BW1789" s="2" t="s">
        <v>231</v>
      </c>
      <c r="BX1789" s="2" t="s">
        <v>241</v>
      </c>
      <c r="BY1789" s="2" t="s">
        <v>277</v>
      </c>
      <c r="BZ1789" s="2" t="s">
        <v>243</v>
      </c>
      <c r="CA1789" s="2" t="s">
        <v>231</v>
      </c>
      <c r="CB1789" s="2" t="s">
        <v>231</v>
      </c>
      <c r="CC1789" s="2" t="s">
        <v>244</v>
      </c>
      <c r="CD1789" s="2" t="s">
        <v>231</v>
      </c>
      <c r="CE1789" s="4"/>
      <c r="CF1789" s="4"/>
      <c r="CG1789" s="4"/>
      <c r="CH1789" s="4"/>
      <c r="CI1789" s="4"/>
      <c r="CJ1789" s="4"/>
      <c r="CK1789" s="4"/>
      <c r="CL1789" s="4">
        <v>80</v>
      </c>
      <c r="CM1789" s="4"/>
      <c r="CN1789" s="4"/>
      <c r="CO1789" s="4"/>
      <c r="CP1789" s="4"/>
      <c r="CQ1789" s="4"/>
      <c r="CR1789" s="4"/>
      <c r="CS1789" s="4"/>
      <c r="CT1789" s="4"/>
      <c r="CU1789" s="4"/>
      <c r="CV1789" s="4">
        <v>5</v>
      </c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>
        <v>85</v>
      </c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4"/>
      <c r="HK1789" s="4"/>
      <c r="HL1789" s="4"/>
    </row>
    <row r="1790">
      <c r="A1790" s="2" t="s">
        <v>8184</v>
      </c>
      <c r="B1790" s="2" t="s">
        <v>824</v>
      </c>
      <c r="C1790" s="2" t="s">
        <v>825</v>
      </c>
      <c r="D1790" s="2" t="s">
        <v>654</v>
      </c>
      <c r="E1790" s="2" t="s">
        <v>890</v>
      </c>
      <c r="F1790" s="2" t="s">
        <v>8164</v>
      </c>
      <c r="G1790" s="2" t="s">
        <v>3392</v>
      </c>
      <c r="H1790" s="2" t="s">
        <v>8165</v>
      </c>
      <c r="I1790" s="2" t="s">
        <v>1880</v>
      </c>
      <c r="J1790" s="2" t="s">
        <v>832</v>
      </c>
      <c r="K1790" s="2" t="s">
        <v>253</v>
      </c>
      <c r="L1790" s="3">
        <v>33.33</v>
      </c>
      <c r="M1790" s="3">
        <v>35</v>
      </c>
      <c r="N1790" s="3">
        <v>69.99</v>
      </c>
      <c r="O1790" s="2" t="s">
        <v>243</v>
      </c>
      <c r="P1790" s="2" t="s">
        <v>270</v>
      </c>
      <c r="Q1790" s="2" t="s">
        <v>237</v>
      </c>
      <c r="R1790" s="2" t="s">
        <v>231</v>
      </c>
      <c r="S1790" s="2" t="s">
        <v>8185</v>
      </c>
      <c r="T1790" s="2" t="s">
        <v>1432</v>
      </c>
      <c r="U1790" s="2" t="s">
        <v>791</v>
      </c>
      <c r="V1790" s="2" t="s">
        <v>239</v>
      </c>
      <c r="W1790" s="2" t="s">
        <v>691</v>
      </c>
      <c r="X1790" s="2" t="s">
        <v>273</v>
      </c>
      <c r="Y1790" s="2" t="s">
        <v>1583</v>
      </c>
      <c r="Z1790" s="4">
        <v>455</v>
      </c>
      <c r="AA1790" s="4">
        <f>=ROUNDDOWN(65,0)</f>
      </c>
      <c r="AB1790" s="5">
        <v>7</v>
      </c>
      <c r="AC1790" s="2" t="s">
        <v>231</v>
      </c>
      <c r="AD1790" s="4"/>
      <c r="AE1790" s="4"/>
      <c r="AF1790" s="6">
        <v>66</v>
      </c>
      <c r="AG1790" s="6"/>
      <c r="AH1790" s="7">
        <v>1</v>
      </c>
      <c r="AI1790" s="4"/>
      <c r="AJ1790" s="4">
        <f>=ROUNDDOWN({0},0)</f>
      </c>
      <c r="AK1790" s="5"/>
      <c r="AL1790" s="2" t="s">
        <v>231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231</v>
      </c>
      <c r="AW1790" s="8" t="s">
        <v>231</v>
      </c>
      <c r="AX1790" s="4" t="s">
        <v>231</v>
      </c>
      <c r="AY1790" s="8" t="s">
        <v>231</v>
      </c>
      <c r="AZ1790" s="7" t="s">
        <v>231</v>
      </c>
      <c r="BA1790" s="7" t="s">
        <v>231</v>
      </c>
      <c r="BB1790" s="7" t="s">
        <v>231</v>
      </c>
      <c r="BC1790" s="4" t="s">
        <v>231</v>
      </c>
      <c r="BD1790" s="8" t="s">
        <v>231</v>
      </c>
      <c r="BE1790" s="4" t="s">
        <v>231</v>
      </c>
      <c r="BF1790" s="8" t="s">
        <v>231</v>
      </c>
      <c r="BG1790" s="7" t="s">
        <v>231</v>
      </c>
      <c r="BH1790" s="7" t="s">
        <v>231</v>
      </c>
      <c r="BI1790" s="7"/>
      <c r="BJ1790" s="4">
        <v>4</v>
      </c>
      <c r="BK1790" s="8">
        <v>131.6</v>
      </c>
      <c r="BL1790" s="2" t="s">
        <v>1240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8186</v>
      </c>
      <c r="BV1790" s="2" t="s">
        <v>231</v>
      </c>
      <c r="BW1790" s="2" t="s">
        <v>231</v>
      </c>
      <c r="BX1790" s="2" t="s">
        <v>241</v>
      </c>
      <c r="BY1790" s="2" t="s">
        <v>277</v>
      </c>
      <c r="BZ1790" s="2" t="s">
        <v>243</v>
      </c>
      <c r="CA1790" s="2" t="s">
        <v>3136</v>
      </c>
      <c r="CB1790" s="2" t="s">
        <v>8187</v>
      </c>
      <c r="CC1790" s="2" t="s">
        <v>244</v>
      </c>
      <c r="CD1790" s="2" t="s">
        <v>231</v>
      </c>
      <c r="CE1790" s="4">
        <v>255</v>
      </c>
      <c r="CF1790" s="4"/>
      <c r="CG1790" s="4"/>
      <c r="CH1790" s="4"/>
      <c r="CI1790" s="4"/>
      <c r="CJ1790" s="4"/>
      <c r="CK1790" s="4"/>
      <c r="CL1790" s="4">
        <v>200</v>
      </c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</row>
    <row r="1791">
      <c r="A1791" s="2" t="s">
        <v>8188</v>
      </c>
      <c r="B1791" s="2" t="s">
        <v>824</v>
      </c>
      <c r="C1791" s="2" t="s">
        <v>825</v>
      </c>
      <c r="D1791" s="2" t="s">
        <v>826</v>
      </c>
      <c r="E1791" s="2" t="s">
        <v>1060</v>
      </c>
      <c r="F1791" s="2" t="s">
        <v>8164</v>
      </c>
      <c r="G1791" s="2" t="s">
        <v>3392</v>
      </c>
      <c r="H1791" s="2" t="s">
        <v>8165</v>
      </c>
      <c r="I1791" s="2" t="s">
        <v>1874</v>
      </c>
      <c r="J1791" s="2" t="s">
        <v>832</v>
      </c>
      <c r="K1791" s="2" t="s">
        <v>253</v>
      </c>
      <c r="L1791" s="3">
        <v>26.19</v>
      </c>
      <c r="M1791" s="3">
        <v>27.5</v>
      </c>
      <c r="N1791" s="3">
        <v>54.99</v>
      </c>
      <c r="O1791" s="2" t="s">
        <v>243</v>
      </c>
      <c r="P1791" s="2" t="s">
        <v>270</v>
      </c>
      <c r="Q1791" s="2" t="s">
        <v>237</v>
      </c>
      <c r="R1791" s="2" t="s">
        <v>231</v>
      </c>
      <c r="S1791" s="2" t="s">
        <v>8185</v>
      </c>
      <c r="T1791" s="2" t="s">
        <v>1432</v>
      </c>
      <c r="U1791" s="2" t="s">
        <v>791</v>
      </c>
      <c r="V1791" s="2" t="s">
        <v>239</v>
      </c>
      <c r="W1791" s="2" t="s">
        <v>691</v>
      </c>
      <c r="X1791" s="2" t="s">
        <v>273</v>
      </c>
      <c r="Y1791" s="2" t="s">
        <v>1583</v>
      </c>
      <c r="Z1791" s="4">
        <v>197</v>
      </c>
      <c r="AA1791" s="4">
        <f>=ROUNDDOWN(98.5,0)</f>
      </c>
      <c r="AB1791" s="5">
        <v>2</v>
      </c>
      <c r="AC1791" s="2" t="s">
        <v>1664</v>
      </c>
      <c r="AD1791" s="4">
        <v>100</v>
      </c>
      <c r="AE1791" s="4">
        <v>100</v>
      </c>
      <c r="AF1791" s="6">
        <v>66</v>
      </c>
      <c r="AG1791" s="6"/>
      <c r="AH1791" s="7">
        <v>1</v>
      </c>
      <c r="AI1791" s="4"/>
      <c r="AJ1791" s="4">
        <f>=ROUNDDOWN({0},0)</f>
      </c>
      <c r="AK1791" s="5"/>
      <c r="AL1791" s="2" t="s">
        <v>231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231</v>
      </c>
      <c r="AW1791" s="8" t="s">
        <v>231</v>
      </c>
      <c r="AX1791" s="4" t="s">
        <v>231</v>
      </c>
      <c r="AY1791" s="8" t="s">
        <v>231</v>
      </c>
      <c r="AZ1791" s="7" t="s">
        <v>231</v>
      </c>
      <c r="BA1791" s="7" t="s">
        <v>231</v>
      </c>
      <c r="BB1791" s="7" t="s">
        <v>231</v>
      </c>
      <c r="BC1791" s="4" t="s">
        <v>231</v>
      </c>
      <c r="BD1791" s="8" t="s">
        <v>231</v>
      </c>
      <c r="BE1791" s="4" t="s">
        <v>231</v>
      </c>
      <c r="BF1791" s="8" t="s">
        <v>231</v>
      </c>
      <c r="BG1791" s="7" t="s">
        <v>231</v>
      </c>
      <c r="BH1791" s="7" t="s">
        <v>231</v>
      </c>
      <c r="BI1791" s="7"/>
      <c r="BJ1791" s="4">
        <v>3</v>
      </c>
      <c r="BK1791" s="8">
        <v>70.94</v>
      </c>
      <c r="BL1791" s="2" t="s">
        <v>1240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8189</v>
      </c>
      <c r="BV1791" s="2" t="s">
        <v>231</v>
      </c>
      <c r="BW1791" s="2" t="s">
        <v>231</v>
      </c>
      <c r="BX1791" s="2" t="s">
        <v>241</v>
      </c>
      <c r="BY1791" s="2" t="s">
        <v>277</v>
      </c>
      <c r="BZ1791" s="2" t="s">
        <v>243</v>
      </c>
      <c r="CA1791" s="2" t="s">
        <v>7141</v>
      </c>
      <c r="CB1791" s="2" t="s">
        <v>231</v>
      </c>
      <c r="CC1791" s="2" t="s">
        <v>244</v>
      </c>
      <c r="CD1791" s="2" t="s">
        <v>231</v>
      </c>
      <c r="CE1791" s="4">
        <v>197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>
        <v>100</v>
      </c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4"/>
      <c r="HK1791" s="4"/>
      <c r="HL1791" s="4"/>
    </row>
    <row r="1792">
      <c r="A1792" s="2" t="s">
        <v>8190</v>
      </c>
      <c r="B1792" s="2" t="s">
        <v>824</v>
      </c>
      <c r="C1792" s="2" t="s">
        <v>825</v>
      </c>
      <c r="D1792" s="2" t="s">
        <v>826</v>
      </c>
      <c r="E1792" s="2" t="s">
        <v>1060</v>
      </c>
      <c r="F1792" s="2" t="s">
        <v>8164</v>
      </c>
      <c r="G1792" s="2" t="s">
        <v>3392</v>
      </c>
      <c r="H1792" s="2" t="s">
        <v>8165</v>
      </c>
      <c r="I1792" s="2" t="s">
        <v>1874</v>
      </c>
      <c r="J1792" s="2" t="s">
        <v>658</v>
      </c>
      <c r="K1792" s="2" t="s">
        <v>253</v>
      </c>
      <c r="L1792" s="3">
        <v>30.95</v>
      </c>
      <c r="M1792" s="3">
        <v>32.5</v>
      </c>
      <c r="N1792" s="3">
        <v>64.99</v>
      </c>
      <c r="O1792" s="2" t="s">
        <v>243</v>
      </c>
      <c r="P1792" s="2" t="s">
        <v>270</v>
      </c>
      <c r="Q1792" s="2" t="s">
        <v>237</v>
      </c>
      <c r="R1792" s="2" t="s">
        <v>231</v>
      </c>
      <c r="S1792" s="2" t="s">
        <v>8185</v>
      </c>
      <c r="T1792" s="2" t="s">
        <v>1432</v>
      </c>
      <c r="U1792" s="2" t="s">
        <v>835</v>
      </c>
      <c r="V1792" s="2" t="s">
        <v>239</v>
      </c>
      <c r="W1792" s="2" t="s">
        <v>691</v>
      </c>
      <c r="X1792" s="2" t="s">
        <v>273</v>
      </c>
      <c r="Y1792" s="2" t="s">
        <v>8191</v>
      </c>
      <c r="Z1792" s="4">
        <v>215</v>
      </c>
      <c r="AA1792" s="4">
        <f>=ROUNDDOWN(43,0)</f>
      </c>
      <c r="AB1792" s="5">
        <v>5</v>
      </c>
      <c r="AC1792" s="2" t="s">
        <v>1664</v>
      </c>
      <c r="AD1792" s="4">
        <v>110</v>
      </c>
      <c r="AE1792" s="4">
        <v>110</v>
      </c>
      <c r="AF1792" s="6">
        <v>66</v>
      </c>
      <c r="AG1792" s="6"/>
      <c r="AH1792" s="7">
        <v>1</v>
      </c>
      <c r="AI1792" s="4"/>
      <c r="AJ1792" s="4">
        <f>=ROUNDDOWN({0},0)</f>
      </c>
      <c r="AK1792" s="5"/>
      <c r="AL1792" s="2" t="s">
        <v>231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231</v>
      </c>
      <c r="AW1792" s="8" t="s">
        <v>231</v>
      </c>
      <c r="AX1792" s="4" t="s">
        <v>231</v>
      </c>
      <c r="AY1792" s="8" t="s">
        <v>231</v>
      </c>
      <c r="AZ1792" s="7" t="s">
        <v>231</v>
      </c>
      <c r="BA1792" s="7" t="s">
        <v>231</v>
      </c>
      <c r="BB1792" s="7"/>
      <c r="BC1792" s="4" t="s">
        <v>231</v>
      </c>
      <c r="BD1792" s="8" t="s">
        <v>231</v>
      </c>
      <c r="BE1792" s="4" t="s">
        <v>231</v>
      </c>
      <c r="BF1792" s="8" t="s">
        <v>231</v>
      </c>
      <c r="BG1792" s="7" t="s">
        <v>231</v>
      </c>
      <c r="BH1792" s="7" t="s">
        <v>231</v>
      </c>
      <c r="BI1792" s="7"/>
      <c r="BJ1792" s="4">
        <v>2</v>
      </c>
      <c r="BK1792" s="8">
        <v>69.71</v>
      </c>
      <c r="BL1792" s="2" t="s">
        <v>3890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8192</v>
      </c>
      <c r="BV1792" s="2" t="s">
        <v>231</v>
      </c>
      <c r="BW1792" s="2" t="s">
        <v>231</v>
      </c>
      <c r="BX1792" s="2" t="s">
        <v>241</v>
      </c>
      <c r="BY1792" s="2" t="s">
        <v>277</v>
      </c>
      <c r="BZ1792" s="2" t="s">
        <v>243</v>
      </c>
      <c r="CA1792" s="2" t="s">
        <v>7141</v>
      </c>
      <c r="CB1792" s="2" t="s">
        <v>3201</v>
      </c>
      <c r="CC1792" s="2" t="s">
        <v>244</v>
      </c>
      <c r="CD1792" s="2" t="s">
        <v>231</v>
      </c>
      <c r="CE1792" s="4">
        <v>215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>
        <v>110</v>
      </c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</row>
    <row r="1793">
      <c r="A1793" s="2" t="s">
        <v>8193</v>
      </c>
      <c r="B1793" s="2" t="s">
        <v>824</v>
      </c>
      <c r="C1793" s="2" t="s">
        <v>825</v>
      </c>
      <c r="D1793" s="2" t="s">
        <v>654</v>
      </c>
      <c r="E1793" s="2" t="s">
        <v>890</v>
      </c>
      <c r="F1793" s="2" t="s">
        <v>8164</v>
      </c>
      <c r="G1793" s="2" t="s">
        <v>3392</v>
      </c>
      <c r="H1793" s="2" t="s">
        <v>8165</v>
      </c>
      <c r="I1793" s="2" t="s">
        <v>1880</v>
      </c>
      <c r="J1793" s="2" t="s">
        <v>669</v>
      </c>
      <c r="K1793" s="2" t="s">
        <v>253</v>
      </c>
      <c r="L1793" s="3">
        <v>42.85</v>
      </c>
      <c r="M1793" s="3">
        <v>44.99</v>
      </c>
      <c r="N1793" s="3">
        <v>89.99</v>
      </c>
      <c r="O1793" s="2" t="s">
        <v>243</v>
      </c>
      <c r="P1793" s="2" t="s">
        <v>270</v>
      </c>
      <c r="Q1793" s="2" t="s">
        <v>237</v>
      </c>
      <c r="R1793" s="2" t="s">
        <v>231</v>
      </c>
      <c r="S1793" s="2" t="s">
        <v>8185</v>
      </c>
      <c r="T1793" s="2" t="s">
        <v>1432</v>
      </c>
      <c r="U1793" s="2" t="s">
        <v>835</v>
      </c>
      <c r="V1793" s="2" t="s">
        <v>239</v>
      </c>
      <c r="W1793" s="2" t="s">
        <v>691</v>
      </c>
      <c r="X1793" s="2" t="s">
        <v>273</v>
      </c>
      <c r="Y1793" s="2" t="s">
        <v>2821</v>
      </c>
      <c r="Z1793" s="4">
        <v>259</v>
      </c>
      <c r="AA1793" s="4">
        <f>=ROUNDDOWN(28.7777777777778,0)</f>
      </c>
      <c r="AB1793" s="5">
        <v>9</v>
      </c>
      <c r="AC1793" s="2" t="s">
        <v>1664</v>
      </c>
      <c r="AD1793" s="4">
        <v>160</v>
      </c>
      <c r="AE1793" s="4">
        <v>160</v>
      </c>
      <c r="AF1793" s="6">
        <v>66</v>
      </c>
      <c r="AG1793" s="6"/>
      <c r="AH1793" s="7">
        <v>1</v>
      </c>
      <c r="AI1793" s="4"/>
      <c r="AJ1793" s="4">
        <f>=ROUNDDOWN({0},0)</f>
      </c>
      <c r="AK1793" s="5"/>
      <c r="AL1793" s="2" t="s">
        <v>231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231</v>
      </c>
      <c r="AW1793" s="8" t="s">
        <v>231</v>
      </c>
      <c r="AX1793" s="4" t="s">
        <v>231</v>
      </c>
      <c r="AY1793" s="8" t="s">
        <v>231</v>
      </c>
      <c r="AZ1793" s="7" t="s">
        <v>231</v>
      </c>
      <c r="BA1793" s="7" t="s">
        <v>231</v>
      </c>
      <c r="BB1793" s="7"/>
      <c r="BC1793" s="4" t="s">
        <v>231</v>
      </c>
      <c r="BD1793" s="8" t="s">
        <v>231</v>
      </c>
      <c r="BE1793" s="4" t="s">
        <v>231</v>
      </c>
      <c r="BF1793" s="8" t="s">
        <v>231</v>
      </c>
      <c r="BG1793" s="7" t="s">
        <v>231</v>
      </c>
      <c r="BH1793" s="7" t="s">
        <v>231</v>
      </c>
      <c r="BI1793" s="7"/>
      <c r="BJ1793" s="4">
        <v>17</v>
      </c>
      <c r="BK1793" s="8">
        <v>773.17</v>
      </c>
      <c r="BL1793" s="2" t="s">
        <v>8194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8195</v>
      </c>
      <c r="BV1793" s="2" t="s">
        <v>231</v>
      </c>
      <c r="BW1793" s="2" t="s">
        <v>231</v>
      </c>
      <c r="BX1793" s="2" t="s">
        <v>241</v>
      </c>
      <c r="BY1793" s="2" t="s">
        <v>277</v>
      </c>
      <c r="BZ1793" s="2" t="s">
        <v>243</v>
      </c>
      <c r="CA1793" s="2" t="s">
        <v>3136</v>
      </c>
      <c r="CB1793" s="2" t="s">
        <v>926</v>
      </c>
      <c r="CC1793" s="2" t="s">
        <v>244</v>
      </c>
      <c r="CD1793" s="2" t="s">
        <v>231</v>
      </c>
      <c r="CE1793" s="4">
        <v>259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>
        <v>160</v>
      </c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</row>
    <row r="1794">
      <c r="A1794" s="2" t="s">
        <v>8196</v>
      </c>
      <c r="B1794" s="2" t="s">
        <v>824</v>
      </c>
      <c r="C1794" s="2" t="s">
        <v>825</v>
      </c>
      <c r="D1794" s="2" t="s">
        <v>654</v>
      </c>
      <c r="E1794" s="2" t="s">
        <v>890</v>
      </c>
      <c r="F1794" s="2" t="s">
        <v>8164</v>
      </c>
      <c r="G1794" s="2" t="s">
        <v>3392</v>
      </c>
      <c r="H1794" s="2" t="s">
        <v>8165</v>
      </c>
      <c r="I1794" s="2" t="s">
        <v>1880</v>
      </c>
      <c r="J1794" s="2" t="s">
        <v>832</v>
      </c>
      <c r="K1794" s="2" t="s">
        <v>306</v>
      </c>
      <c r="L1794" s="3">
        <v>33.33</v>
      </c>
      <c r="M1794" s="3">
        <v>35</v>
      </c>
      <c r="N1794" s="3">
        <v>69.99</v>
      </c>
      <c r="O1794" s="2" t="s">
        <v>243</v>
      </c>
      <c r="P1794" s="2" t="s">
        <v>270</v>
      </c>
      <c r="Q1794" s="2" t="s">
        <v>237</v>
      </c>
      <c r="R1794" s="2" t="s">
        <v>231</v>
      </c>
      <c r="S1794" s="2" t="s">
        <v>8197</v>
      </c>
      <c r="T1794" s="2" t="s">
        <v>1432</v>
      </c>
      <c r="U1794" s="2" t="s">
        <v>791</v>
      </c>
      <c r="V1794" s="2" t="s">
        <v>239</v>
      </c>
      <c r="W1794" s="2" t="s">
        <v>691</v>
      </c>
      <c r="X1794" s="2" t="s">
        <v>273</v>
      </c>
      <c r="Y1794" s="2" t="s">
        <v>5375</v>
      </c>
      <c r="Z1794" s="4">
        <v>808</v>
      </c>
      <c r="AA1794" s="4">
        <f>=ROUNDDOWN(36.7272727272727,0)</f>
      </c>
      <c r="AB1794" s="5">
        <v>22</v>
      </c>
      <c r="AC1794" s="2" t="s">
        <v>2427</v>
      </c>
      <c r="AD1794" s="4">
        <v>280</v>
      </c>
      <c r="AE1794" s="4">
        <v>880</v>
      </c>
      <c r="AF1794" s="6">
        <v>66</v>
      </c>
      <c r="AG1794" s="6"/>
      <c r="AH1794" s="7">
        <v>1</v>
      </c>
      <c r="AI1794" s="4"/>
      <c r="AJ1794" s="4">
        <f>=ROUNDDOWN({0},0)</f>
      </c>
      <c r="AK1794" s="5"/>
      <c r="AL1794" s="2" t="s">
        <v>231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231</v>
      </c>
      <c r="BD1794" s="8" t="s">
        <v>231</v>
      </c>
      <c r="BE1794" s="4" t="s">
        <v>231</v>
      </c>
      <c r="BF1794" s="8" t="s">
        <v>231</v>
      </c>
      <c r="BG1794" s="7" t="s">
        <v>231</v>
      </c>
      <c r="BH1794" s="7" t="s">
        <v>231</v>
      </c>
      <c r="BI1794" s="7"/>
      <c r="BJ1794" s="4">
        <v>61</v>
      </c>
      <c r="BK1794" s="8">
        <v>2232.5</v>
      </c>
      <c r="BL1794" s="2" t="s">
        <v>6761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8198</v>
      </c>
      <c r="BV1794" s="2" t="s">
        <v>231</v>
      </c>
      <c r="BW1794" s="2" t="s">
        <v>231</v>
      </c>
      <c r="BX1794" s="2" t="s">
        <v>231</v>
      </c>
      <c r="BY1794" s="2" t="s">
        <v>277</v>
      </c>
      <c r="BZ1794" s="2" t="s">
        <v>243</v>
      </c>
      <c r="CA1794" s="2" t="s">
        <v>1643</v>
      </c>
      <c r="CB1794" s="2" t="s">
        <v>8199</v>
      </c>
      <c r="CC1794" s="2" t="s">
        <v>244</v>
      </c>
      <c r="CD1794" s="2" t="s">
        <v>231</v>
      </c>
      <c r="CE1794" s="4">
        <v>808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>
        <v>280</v>
      </c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>
        <v>200</v>
      </c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>
        <v>400</v>
      </c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</row>
    <row r="1795">
      <c r="A1795" s="2" t="s">
        <v>8200</v>
      </c>
      <c r="B1795" s="2" t="s">
        <v>824</v>
      </c>
      <c r="C1795" s="2" t="s">
        <v>825</v>
      </c>
      <c r="D1795" s="2" t="s">
        <v>826</v>
      </c>
      <c r="E1795" s="2" t="s">
        <v>1060</v>
      </c>
      <c r="F1795" s="2" t="s">
        <v>8164</v>
      </c>
      <c r="G1795" s="2" t="s">
        <v>3392</v>
      </c>
      <c r="H1795" s="2" t="s">
        <v>8165</v>
      </c>
      <c r="I1795" s="2" t="s">
        <v>1874</v>
      </c>
      <c r="J1795" s="2" t="s">
        <v>658</v>
      </c>
      <c r="K1795" s="2" t="s">
        <v>255</v>
      </c>
      <c r="L1795" s="3">
        <v>30.95</v>
      </c>
      <c r="M1795" s="3">
        <v>32.5</v>
      </c>
      <c r="N1795" s="3">
        <v>64.99</v>
      </c>
      <c r="O1795" s="2" t="s">
        <v>243</v>
      </c>
      <c r="P1795" s="2" t="s">
        <v>270</v>
      </c>
      <c r="Q1795" s="2" t="s">
        <v>237</v>
      </c>
      <c r="R1795" s="2" t="s">
        <v>231</v>
      </c>
      <c r="S1795" s="2" t="s">
        <v>8201</v>
      </c>
      <c r="T1795" s="2" t="s">
        <v>1432</v>
      </c>
      <c r="U1795" s="2" t="s">
        <v>835</v>
      </c>
      <c r="V1795" s="2" t="s">
        <v>239</v>
      </c>
      <c r="W1795" s="2" t="s">
        <v>691</v>
      </c>
      <c r="X1795" s="2" t="s">
        <v>273</v>
      </c>
      <c r="Y1795" s="2" t="s">
        <v>8191</v>
      </c>
      <c r="Z1795" s="4">
        <v>311</v>
      </c>
      <c r="AA1795" s="4">
        <f>=ROUNDDOWN(62.2,0)</f>
      </c>
      <c r="AB1795" s="5">
        <v>5</v>
      </c>
      <c r="AC1795" s="2" t="s">
        <v>231</v>
      </c>
      <c r="AD1795" s="4"/>
      <c r="AE1795" s="4"/>
      <c r="AF1795" s="6">
        <v>66</v>
      </c>
      <c r="AG1795" s="6"/>
      <c r="AH1795" s="7">
        <v>1</v>
      </c>
      <c r="AI1795" s="4"/>
      <c r="AJ1795" s="4">
        <f>=ROUNDDOWN({0},0)</f>
      </c>
      <c r="AK1795" s="5"/>
      <c r="AL1795" s="2" t="s">
        <v>231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231</v>
      </c>
      <c r="AW1795" s="8" t="s">
        <v>231</v>
      </c>
      <c r="AX1795" s="4" t="s">
        <v>231</v>
      </c>
      <c r="AY1795" s="8" t="s">
        <v>231</v>
      </c>
      <c r="AZ1795" s="7" t="s">
        <v>231</v>
      </c>
      <c r="BA1795" s="7" t="s">
        <v>231</v>
      </c>
      <c r="BB1795" s="7"/>
      <c r="BC1795" s="4" t="s">
        <v>231</v>
      </c>
      <c r="BD1795" s="8" t="s">
        <v>231</v>
      </c>
      <c r="BE1795" s="4" t="s">
        <v>231</v>
      </c>
      <c r="BF1795" s="8" t="s">
        <v>231</v>
      </c>
      <c r="BG1795" s="7" t="s">
        <v>231</v>
      </c>
      <c r="BH1795" s="7" t="s">
        <v>231</v>
      </c>
      <c r="BI1795" s="7"/>
      <c r="BJ1795" s="4">
        <v>6</v>
      </c>
      <c r="BK1795" s="8">
        <v>202.12</v>
      </c>
      <c r="BL1795" s="2" t="s">
        <v>3002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8202</v>
      </c>
      <c r="BV1795" s="2" t="s">
        <v>231</v>
      </c>
      <c r="BW1795" s="2" t="s">
        <v>231</v>
      </c>
      <c r="BX1795" s="2" t="s">
        <v>241</v>
      </c>
      <c r="BY1795" s="2" t="s">
        <v>277</v>
      </c>
      <c r="BZ1795" s="2" t="s">
        <v>243</v>
      </c>
      <c r="CA1795" s="2" t="s">
        <v>7141</v>
      </c>
      <c r="CB1795" s="2" t="s">
        <v>3201</v>
      </c>
      <c r="CC1795" s="2" t="s">
        <v>244</v>
      </c>
      <c r="CD1795" s="2" t="s">
        <v>231</v>
      </c>
      <c r="CE1795" s="4">
        <v>311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</row>
    <row r="1796">
      <c r="A1796" s="2" t="s">
        <v>8203</v>
      </c>
      <c r="B1796" s="2" t="s">
        <v>824</v>
      </c>
      <c r="C1796" s="2" t="s">
        <v>825</v>
      </c>
      <c r="D1796" s="2" t="s">
        <v>654</v>
      </c>
      <c r="E1796" s="2" t="s">
        <v>890</v>
      </c>
      <c r="F1796" s="2" t="s">
        <v>8164</v>
      </c>
      <c r="G1796" s="2" t="s">
        <v>3392</v>
      </c>
      <c r="H1796" s="2" t="s">
        <v>8165</v>
      </c>
      <c r="I1796" s="2" t="s">
        <v>1880</v>
      </c>
      <c r="J1796" s="2" t="s">
        <v>669</v>
      </c>
      <c r="K1796" s="2" t="s">
        <v>255</v>
      </c>
      <c r="L1796" s="3">
        <v>42.85</v>
      </c>
      <c r="M1796" s="3">
        <v>44.99</v>
      </c>
      <c r="N1796" s="3">
        <v>89.99</v>
      </c>
      <c r="O1796" s="2" t="s">
        <v>243</v>
      </c>
      <c r="P1796" s="2" t="s">
        <v>270</v>
      </c>
      <c r="Q1796" s="2" t="s">
        <v>237</v>
      </c>
      <c r="R1796" s="2" t="s">
        <v>231</v>
      </c>
      <c r="S1796" s="2" t="s">
        <v>8201</v>
      </c>
      <c r="T1796" s="2" t="s">
        <v>1432</v>
      </c>
      <c r="U1796" s="2" t="s">
        <v>835</v>
      </c>
      <c r="V1796" s="2" t="s">
        <v>239</v>
      </c>
      <c r="W1796" s="2" t="s">
        <v>691</v>
      </c>
      <c r="X1796" s="2" t="s">
        <v>273</v>
      </c>
      <c r="Y1796" s="2" t="s">
        <v>2821</v>
      </c>
      <c r="Z1796" s="4">
        <v>321</v>
      </c>
      <c r="AA1796" s="4">
        <f>=ROUNDDOWN(20.0625,0)</f>
      </c>
      <c r="AB1796" s="5">
        <v>16</v>
      </c>
      <c r="AC1796" s="2" t="s">
        <v>1580</v>
      </c>
      <c r="AD1796" s="4">
        <v>310</v>
      </c>
      <c r="AE1796" s="4">
        <v>310</v>
      </c>
      <c r="AF1796" s="6">
        <v>66</v>
      </c>
      <c r="AG1796" s="6"/>
      <c r="AH1796" s="7">
        <v>1</v>
      </c>
      <c r="AI1796" s="4"/>
      <c r="AJ1796" s="4">
        <f>=ROUNDDOWN({0},0)</f>
      </c>
      <c r="AK1796" s="5"/>
      <c r="AL1796" s="2" t="s">
        <v>231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231</v>
      </c>
      <c r="AW1796" s="8" t="s">
        <v>231</v>
      </c>
      <c r="AX1796" s="4" t="s">
        <v>231</v>
      </c>
      <c r="AY1796" s="8" t="s">
        <v>231</v>
      </c>
      <c r="AZ1796" s="7" t="s">
        <v>231</v>
      </c>
      <c r="BA1796" s="7" t="s">
        <v>231</v>
      </c>
      <c r="BB1796" s="7"/>
      <c r="BC1796" s="4" t="s">
        <v>231</v>
      </c>
      <c r="BD1796" s="8" t="s">
        <v>231</v>
      </c>
      <c r="BE1796" s="4" t="s">
        <v>231</v>
      </c>
      <c r="BF1796" s="8" t="s">
        <v>231</v>
      </c>
      <c r="BG1796" s="7" t="s">
        <v>231</v>
      </c>
      <c r="BH1796" s="7" t="s">
        <v>231</v>
      </c>
      <c r="BI1796" s="7"/>
      <c r="BJ1796" s="4">
        <v>42</v>
      </c>
      <c r="BK1796" s="8">
        <v>1804.92</v>
      </c>
      <c r="BL1796" s="2" t="s">
        <v>8204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8205</v>
      </c>
      <c r="BV1796" s="2" t="s">
        <v>231</v>
      </c>
      <c r="BW1796" s="2" t="s">
        <v>231</v>
      </c>
      <c r="BX1796" s="2" t="s">
        <v>241</v>
      </c>
      <c r="BY1796" s="2" t="s">
        <v>277</v>
      </c>
      <c r="BZ1796" s="2" t="s">
        <v>243</v>
      </c>
      <c r="CA1796" s="2" t="s">
        <v>3136</v>
      </c>
      <c r="CB1796" s="2" t="s">
        <v>3776</v>
      </c>
      <c r="CC1796" s="2" t="s">
        <v>244</v>
      </c>
      <c r="CD1796" s="2" t="s">
        <v>231</v>
      </c>
      <c r="CE1796" s="4">
        <v>321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>
        <v>310</v>
      </c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</row>
    <row r="1797">
      <c r="A1797" s="2" t="s">
        <v>8206</v>
      </c>
      <c r="B1797" s="2" t="s">
        <v>824</v>
      </c>
      <c r="C1797" s="2" t="s">
        <v>825</v>
      </c>
      <c r="D1797" s="2" t="s">
        <v>654</v>
      </c>
      <c r="E1797" s="2" t="s">
        <v>890</v>
      </c>
      <c r="F1797" s="2" t="s">
        <v>8164</v>
      </c>
      <c r="G1797" s="2" t="s">
        <v>3392</v>
      </c>
      <c r="H1797" s="2" t="s">
        <v>8165</v>
      </c>
      <c r="I1797" s="2" t="s">
        <v>1880</v>
      </c>
      <c r="J1797" s="2" t="s">
        <v>669</v>
      </c>
      <c r="K1797" s="2" t="s">
        <v>2125</v>
      </c>
      <c r="L1797" s="3">
        <v>42.85</v>
      </c>
      <c r="M1797" s="3">
        <v>44.99</v>
      </c>
      <c r="N1797" s="3">
        <v>89.99</v>
      </c>
      <c r="O1797" s="2" t="s">
        <v>243</v>
      </c>
      <c r="P1797" s="2" t="s">
        <v>871</v>
      </c>
      <c r="Q1797" s="2" t="s">
        <v>237</v>
      </c>
      <c r="R1797" s="2" t="s">
        <v>231</v>
      </c>
      <c r="S1797" s="2" t="s">
        <v>8207</v>
      </c>
      <c r="T1797" s="2" t="s">
        <v>1432</v>
      </c>
      <c r="U1797" s="2" t="s">
        <v>835</v>
      </c>
      <c r="V1797" s="2" t="s">
        <v>239</v>
      </c>
      <c r="W1797" s="2" t="s">
        <v>691</v>
      </c>
      <c r="X1797" s="2" t="s">
        <v>273</v>
      </c>
      <c r="Y1797" s="2" t="s">
        <v>1583</v>
      </c>
      <c r="Z1797" s="4">
        <v>308</v>
      </c>
      <c r="AA1797" s="4">
        <f>=ROUNDDOWN(28,0)</f>
      </c>
      <c r="AB1797" s="5">
        <v>11</v>
      </c>
      <c r="AC1797" s="2" t="s">
        <v>1580</v>
      </c>
      <c r="AD1797" s="4">
        <v>200</v>
      </c>
      <c r="AE1797" s="4">
        <v>200</v>
      </c>
      <c r="AF1797" s="6">
        <v>66</v>
      </c>
      <c r="AG1797" s="6"/>
      <c r="AH1797" s="7">
        <v>1</v>
      </c>
      <c r="AI1797" s="4"/>
      <c r="AJ1797" s="4">
        <f>=ROUNDDOWN({0},0)</f>
      </c>
      <c r="AK1797" s="5"/>
      <c r="AL1797" s="2" t="s">
        <v>231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231</v>
      </c>
      <c r="BD1797" s="8" t="s">
        <v>231</v>
      </c>
      <c r="BE1797" s="4" t="s">
        <v>231</v>
      </c>
      <c r="BF1797" s="8" t="s">
        <v>231</v>
      </c>
      <c r="BG1797" s="7" t="s">
        <v>231</v>
      </c>
      <c r="BH1797" s="7" t="s">
        <v>231</v>
      </c>
      <c r="BI1797" s="7"/>
      <c r="BJ1797" s="4">
        <v>21</v>
      </c>
      <c r="BK1797" s="8">
        <v>916.14</v>
      </c>
      <c r="BL1797" s="2" t="s">
        <v>8208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8209</v>
      </c>
      <c r="BV1797" s="2" t="s">
        <v>231</v>
      </c>
      <c r="BW1797" s="2" t="s">
        <v>231</v>
      </c>
      <c r="BX1797" s="2" t="s">
        <v>241</v>
      </c>
      <c r="BY1797" s="2" t="s">
        <v>277</v>
      </c>
      <c r="BZ1797" s="2" t="s">
        <v>243</v>
      </c>
      <c r="CA1797" s="2" t="s">
        <v>3136</v>
      </c>
      <c r="CB1797" s="2" t="s">
        <v>4540</v>
      </c>
      <c r="CC1797" s="2" t="s">
        <v>244</v>
      </c>
      <c r="CD1797" s="2" t="s">
        <v>231</v>
      </c>
      <c r="CE1797" s="4">
        <v>308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>
        <v>200</v>
      </c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</row>
    <row r="1798">
      <c r="A1798" s="2" t="s">
        <v>8210</v>
      </c>
      <c r="B1798" s="2" t="s">
        <v>824</v>
      </c>
      <c r="C1798" s="2" t="s">
        <v>825</v>
      </c>
      <c r="D1798" s="2" t="s">
        <v>826</v>
      </c>
      <c r="E1798" s="2" t="s">
        <v>1060</v>
      </c>
      <c r="F1798" s="2" t="s">
        <v>8164</v>
      </c>
      <c r="G1798" s="2" t="s">
        <v>3392</v>
      </c>
      <c r="H1798" s="2" t="s">
        <v>8165</v>
      </c>
      <c r="I1798" s="2" t="s">
        <v>1874</v>
      </c>
      <c r="J1798" s="2" t="s">
        <v>658</v>
      </c>
      <c r="K1798" s="2" t="s">
        <v>2978</v>
      </c>
      <c r="L1798" s="3">
        <v>30.95</v>
      </c>
      <c r="M1798" s="3">
        <v>32.5</v>
      </c>
      <c r="N1798" s="3">
        <v>64.99</v>
      </c>
      <c r="O1798" s="2" t="s">
        <v>243</v>
      </c>
      <c r="P1798" s="2" t="s">
        <v>270</v>
      </c>
      <c r="Q1798" s="2" t="s">
        <v>237</v>
      </c>
      <c r="R1798" s="2" t="s">
        <v>231</v>
      </c>
      <c r="S1798" s="2" t="s">
        <v>8211</v>
      </c>
      <c r="T1798" s="2" t="s">
        <v>1432</v>
      </c>
      <c r="U1798" s="2" t="s">
        <v>835</v>
      </c>
      <c r="V1798" s="2" t="s">
        <v>239</v>
      </c>
      <c r="W1798" s="2" t="s">
        <v>691</v>
      </c>
      <c r="X1798" s="2" t="s">
        <v>273</v>
      </c>
      <c r="Y1798" s="2" t="s">
        <v>8191</v>
      </c>
      <c r="Z1798" s="4">
        <v>291</v>
      </c>
      <c r="AA1798" s="4">
        <f>=ROUNDDOWN(58.2,0)</f>
      </c>
      <c r="AB1798" s="5">
        <v>5</v>
      </c>
      <c r="AC1798" s="2" t="s">
        <v>231</v>
      </c>
      <c r="AD1798" s="4"/>
      <c r="AE1798" s="4"/>
      <c r="AF1798" s="6">
        <v>66</v>
      </c>
      <c r="AG1798" s="6"/>
      <c r="AH1798" s="7">
        <v>1</v>
      </c>
      <c r="AI1798" s="4"/>
      <c r="AJ1798" s="4">
        <f>=ROUNDDOWN({0},0)</f>
      </c>
      <c r="AK1798" s="5"/>
      <c r="AL1798" s="2" t="s">
        <v>231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231</v>
      </c>
      <c r="AW1798" s="8" t="s">
        <v>231</v>
      </c>
      <c r="AX1798" s="4" t="s">
        <v>231</v>
      </c>
      <c r="AY1798" s="8" t="s">
        <v>231</v>
      </c>
      <c r="AZ1798" s="7" t="s">
        <v>231</v>
      </c>
      <c r="BA1798" s="7" t="s">
        <v>231</v>
      </c>
      <c r="BB1798" s="7"/>
      <c r="BC1798" s="4" t="s">
        <v>231</v>
      </c>
      <c r="BD1798" s="8" t="s">
        <v>231</v>
      </c>
      <c r="BE1798" s="4" t="s">
        <v>231</v>
      </c>
      <c r="BF1798" s="8" t="s">
        <v>231</v>
      </c>
      <c r="BG1798" s="7" t="s">
        <v>231</v>
      </c>
      <c r="BH1798" s="7" t="s">
        <v>231</v>
      </c>
      <c r="BI1798" s="7"/>
      <c r="BJ1798" s="4">
        <v>4</v>
      </c>
      <c r="BK1798" s="8">
        <v>143.57</v>
      </c>
      <c r="BL1798" s="2" t="s">
        <v>810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8212</v>
      </c>
      <c r="BV1798" s="2" t="s">
        <v>231</v>
      </c>
      <c r="BW1798" s="2" t="s">
        <v>231</v>
      </c>
      <c r="BX1798" s="2" t="s">
        <v>241</v>
      </c>
      <c r="BY1798" s="2" t="s">
        <v>277</v>
      </c>
      <c r="BZ1798" s="2" t="s">
        <v>243</v>
      </c>
      <c r="CA1798" s="2" t="s">
        <v>7141</v>
      </c>
      <c r="CB1798" s="2" t="s">
        <v>8187</v>
      </c>
      <c r="CC1798" s="2" t="s">
        <v>244</v>
      </c>
      <c r="CD1798" s="2" t="s">
        <v>231</v>
      </c>
      <c r="CE1798" s="4">
        <v>291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</row>
    <row r="1799">
      <c r="A1799" s="2" t="s">
        <v>8213</v>
      </c>
      <c r="B1799" s="2" t="s">
        <v>824</v>
      </c>
      <c r="C1799" s="2" t="s">
        <v>825</v>
      </c>
      <c r="D1799" s="2" t="s">
        <v>654</v>
      </c>
      <c r="E1799" s="2" t="s">
        <v>890</v>
      </c>
      <c r="F1799" s="2" t="s">
        <v>8164</v>
      </c>
      <c r="G1799" s="2" t="s">
        <v>3392</v>
      </c>
      <c r="H1799" s="2" t="s">
        <v>8165</v>
      </c>
      <c r="I1799" s="2" t="s">
        <v>1880</v>
      </c>
      <c r="J1799" s="2" t="s">
        <v>669</v>
      </c>
      <c r="K1799" s="2" t="s">
        <v>2978</v>
      </c>
      <c r="L1799" s="3">
        <v>42.85</v>
      </c>
      <c r="M1799" s="3">
        <v>44.99</v>
      </c>
      <c r="N1799" s="3">
        <v>89.99</v>
      </c>
      <c r="O1799" s="2" t="s">
        <v>243</v>
      </c>
      <c r="P1799" s="2" t="s">
        <v>270</v>
      </c>
      <c r="Q1799" s="2" t="s">
        <v>237</v>
      </c>
      <c r="R1799" s="2" t="s">
        <v>231</v>
      </c>
      <c r="S1799" s="2" t="s">
        <v>8211</v>
      </c>
      <c r="T1799" s="2" t="s">
        <v>1432</v>
      </c>
      <c r="U1799" s="2" t="s">
        <v>835</v>
      </c>
      <c r="V1799" s="2" t="s">
        <v>239</v>
      </c>
      <c r="W1799" s="2" t="s">
        <v>691</v>
      </c>
      <c r="X1799" s="2" t="s">
        <v>273</v>
      </c>
      <c r="Y1799" s="2" t="s">
        <v>1583</v>
      </c>
      <c r="Z1799" s="4">
        <v>343</v>
      </c>
      <c r="AA1799" s="4">
        <f>=ROUNDDOWN(38.1111111111111,0)</f>
      </c>
      <c r="AB1799" s="5">
        <v>9</v>
      </c>
      <c r="AC1799" s="2" t="s">
        <v>1580</v>
      </c>
      <c r="AD1799" s="4">
        <v>90</v>
      </c>
      <c r="AE1799" s="4">
        <v>90</v>
      </c>
      <c r="AF1799" s="6">
        <v>66</v>
      </c>
      <c r="AG1799" s="6"/>
      <c r="AH1799" s="7">
        <v>1</v>
      </c>
      <c r="AI1799" s="4"/>
      <c r="AJ1799" s="4">
        <f>=ROUNDDOWN({0},0)</f>
      </c>
      <c r="AK1799" s="5"/>
      <c r="AL1799" s="2" t="s">
        <v>231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231</v>
      </c>
      <c r="AW1799" s="8" t="s">
        <v>231</v>
      </c>
      <c r="AX1799" s="4" t="s">
        <v>231</v>
      </c>
      <c r="AY1799" s="8" t="s">
        <v>231</v>
      </c>
      <c r="AZ1799" s="7" t="s">
        <v>231</v>
      </c>
      <c r="BA1799" s="7" t="s">
        <v>231</v>
      </c>
      <c r="BB1799" s="7"/>
      <c r="BC1799" s="4" t="s">
        <v>231</v>
      </c>
      <c r="BD1799" s="8" t="s">
        <v>231</v>
      </c>
      <c r="BE1799" s="4" t="s">
        <v>231</v>
      </c>
      <c r="BF1799" s="8" t="s">
        <v>231</v>
      </c>
      <c r="BG1799" s="7" t="s">
        <v>231</v>
      </c>
      <c r="BH1799" s="7" t="s">
        <v>231</v>
      </c>
      <c r="BI1799" s="7"/>
      <c r="BJ1799" s="4">
        <v>32</v>
      </c>
      <c r="BK1799" s="8">
        <v>1489.18</v>
      </c>
      <c r="BL1799" s="2" t="s">
        <v>8214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8215</v>
      </c>
      <c r="BV1799" s="2" t="s">
        <v>231</v>
      </c>
      <c r="BW1799" s="2" t="s">
        <v>231</v>
      </c>
      <c r="BX1799" s="2" t="s">
        <v>241</v>
      </c>
      <c r="BY1799" s="2" t="s">
        <v>277</v>
      </c>
      <c r="BZ1799" s="2" t="s">
        <v>243</v>
      </c>
      <c r="CA1799" s="2" t="s">
        <v>3136</v>
      </c>
      <c r="CB1799" s="2" t="s">
        <v>3776</v>
      </c>
      <c r="CC1799" s="2" t="s">
        <v>244</v>
      </c>
      <c r="CD1799" s="2" t="s">
        <v>231</v>
      </c>
      <c r="CE1799" s="4">
        <v>343</v>
      </c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>
        <v>90</v>
      </c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</row>
    <row r="1800">
      <c r="A1800" s="2" t="s">
        <v>8216</v>
      </c>
      <c r="B1800" s="2" t="s">
        <v>824</v>
      </c>
      <c r="C1800" s="2" t="s">
        <v>3567</v>
      </c>
      <c r="D1800" s="2" t="s">
        <v>826</v>
      </c>
      <c r="E1800" s="2" t="s">
        <v>827</v>
      </c>
      <c r="F1800" s="2" t="s">
        <v>8217</v>
      </c>
      <c r="G1800" s="2" t="s">
        <v>7371</v>
      </c>
      <c r="H1800" s="2" t="s">
        <v>5641</v>
      </c>
      <c r="I1800" s="2" t="s">
        <v>8218</v>
      </c>
      <c r="J1800" s="2" t="s">
        <v>318</v>
      </c>
      <c r="K1800" s="2" t="s">
        <v>778</v>
      </c>
      <c r="L1800" s="3">
        <v>28.57</v>
      </c>
      <c r="M1800" s="3">
        <v>30</v>
      </c>
      <c r="N1800" s="3">
        <v>59.99</v>
      </c>
      <c r="O1800" s="2" t="s">
        <v>243</v>
      </c>
      <c r="P1800" s="2" t="s">
        <v>236</v>
      </c>
      <c r="Q1800" s="2" t="s">
        <v>237</v>
      </c>
      <c r="R1800" s="2" t="s">
        <v>231</v>
      </c>
      <c r="S1800" s="2" t="s">
        <v>8219</v>
      </c>
      <c r="T1800" s="2" t="s">
        <v>362</v>
      </c>
      <c r="U1800" s="2" t="s">
        <v>835</v>
      </c>
      <c r="V1800" s="2" t="s">
        <v>1192</v>
      </c>
      <c r="W1800" s="2" t="s">
        <v>273</v>
      </c>
      <c r="X1800" s="2" t="s">
        <v>231</v>
      </c>
      <c r="Y1800" s="2" t="s">
        <v>364</v>
      </c>
      <c r="Z1800" s="4">
        <v>263</v>
      </c>
      <c r="AA1800" s="4">
        <f>=ROUNDDOWN(526,0)</f>
      </c>
      <c r="AB1800" s="5">
        <v>0.5</v>
      </c>
      <c r="AC1800" s="2" t="s">
        <v>231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231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3</v>
      </c>
      <c r="BK1800" s="8">
        <v>97.66</v>
      </c>
      <c r="BL1800" s="2" t="s">
        <v>374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8220</v>
      </c>
      <c r="BV1800" s="2" t="s">
        <v>231</v>
      </c>
      <c r="BW1800" s="2" t="s">
        <v>231</v>
      </c>
      <c r="BX1800" s="2" t="s">
        <v>241</v>
      </c>
      <c r="BY1800" s="2" t="s">
        <v>277</v>
      </c>
      <c r="BZ1800" s="2" t="s">
        <v>243</v>
      </c>
      <c r="CA1800" s="2" t="s">
        <v>367</v>
      </c>
      <c r="CB1800" s="2" t="s">
        <v>231</v>
      </c>
      <c r="CC1800" s="2" t="s">
        <v>244</v>
      </c>
      <c r="CD1800" s="2" t="s">
        <v>231</v>
      </c>
      <c r="CE1800" s="4">
        <v>263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</row>
    <row r="1801">
      <c r="A1801" s="2" t="s">
        <v>8221</v>
      </c>
      <c r="B1801" s="2" t="s">
        <v>824</v>
      </c>
      <c r="C1801" s="2" t="s">
        <v>825</v>
      </c>
      <c r="D1801" s="2" t="s">
        <v>654</v>
      </c>
      <c r="E1801" s="2" t="s">
        <v>655</v>
      </c>
      <c r="F1801" s="2" t="s">
        <v>8222</v>
      </c>
      <c r="G1801" s="2" t="s">
        <v>3029</v>
      </c>
      <c r="H1801" s="2" t="s">
        <v>8223</v>
      </c>
      <c r="I1801" s="2" t="s">
        <v>893</v>
      </c>
      <c r="J1801" s="2" t="s">
        <v>832</v>
      </c>
      <c r="K1801" s="2" t="s">
        <v>253</v>
      </c>
      <c r="L1801" s="3">
        <v>31.25</v>
      </c>
      <c r="M1801" s="3">
        <v>32.81</v>
      </c>
      <c r="N1801" s="3">
        <v>69.99</v>
      </c>
      <c r="O1801" s="2" t="s">
        <v>243</v>
      </c>
      <c r="P1801" s="2" t="s">
        <v>341</v>
      </c>
      <c r="Q1801" s="2" t="s">
        <v>237</v>
      </c>
      <c r="R1801" s="2" t="s">
        <v>231</v>
      </c>
      <c r="S1801" s="2" t="s">
        <v>8224</v>
      </c>
      <c r="T1801" s="2" t="s">
        <v>231</v>
      </c>
      <c r="U1801" s="2" t="s">
        <v>835</v>
      </c>
      <c r="V1801" s="2" t="s">
        <v>391</v>
      </c>
      <c r="W1801" s="2" t="s">
        <v>273</v>
      </c>
      <c r="X1801" s="2" t="s">
        <v>2286</v>
      </c>
      <c r="Y1801" s="2" t="s">
        <v>8225</v>
      </c>
      <c r="Z1801" s="4">
        <v>219</v>
      </c>
      <c r="AA1801" s="4">
        <f>=ROUNDDOWN(438,0)</f>
      </c>
      <c r="AB1801" s="5">
        <v>0.5</v>
      </c>
      <c r="AC1801" s="2" t="s">
        <v>231</v>
      </c>
      <c r="AD1801" s="4"/>
      <c r="AE1801" s="4"/>
      <c r="AF1801" s="6">
        <v>64</v>
      </c>
      <c r="AG1801" s="6"/>
      <c r="AH1801" s="7">
        <v>1</v>
      </c>
      <c r="AI1801" s="4"/>
      <c r="AJ1801" s="4">
        <f>=ROUNDDOWN({0},0)</f>
      </c>
      <c r="AK1801" s="5"/>
      <c r="AL1801" s="2" t="s">
        <v>231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231</v>
      </c>
      <c r="AW1801" s="8" t="s">
        <v>231</v>
      </c>
      <c r="AX1801" s="4" t="s">
        <v>231</v>
      </c>
      <c r="AY1801" s="8" t="s">
        <v>231</v>
      </c>
      <c r="AZ1801" s="7" t="s">
        <v>231</v>
      </c>
      <c r="BA1801" s="7" t="s">
        <v>231</v>
      </c>
      <c r="BB1801" s="7" t="s">
        <v>231</v>
      </c>
      <c r="BC1801" s="4" t="s">
        <v>231</v>
      </c>
      <c r="BD1801" s="8" t="s">
        <v>231</v>
      </c>
      <c r="BE1801" s="4" t="s">
        <v>231</v>
      </c>
      <c r="BF1801" s="8" t="s">
        <v>231</v>
      </c>
      <c r="BG1801" s="7" t="s">
        <v>231</v>
      </c>
      <c r="BH1801" s="7" t="s">
        <v>231</v>
      </c>
      <c r="BI1801" s="7"/>
      <c r="BJ1801" s="4">
        <v>9</v>
      </c>
      <c r="BK1801" s="8">
        <v>279.13</v>
      </c>
      <c r="BL1801" s="2" t="s">
        <v>8226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8227</v>
      </c>
      <c r="BV1801" s="2" t="s">
        <v>231</v>
      </c>
      <c r="BW1801" s="2" t="s">
        <v>231</v>
      </c>
      <c r="BX1801" s="2" t="s">
        <v>231</v>
      </c>
      <c r="BY1801" s="2" t="s">
        <v>277</v>
      </c>
      <c r="BZ1801" s="2" t="s">
        <v>243</v>
      </c>
      <c r="CA1801" s="2" t="s">
        <v>7321</v>
      </c>
      <c r="CB1801" s="2" t="s">
        <v>3161</v>
      </c>
      <c r="CC1801" s="2" t="s">
        <v>244</v>
      </c>
      <c r="CD1801" s="2" t="s">
        <v>231</v>
      </c>
      <c r="CE1801" s="4">
        <v>219</v>
      </c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</row>
    <row r="1802">
      <c r="A1802" s="2" t="s">
        <v>8228</v>
      </c>
      <c r="B1802" s="2" t="s">
        <v>824</v>
      </c>
      <c r="C1802" s="2" t="s">
        <v>825</v>
      </c>
      <c r="D1802" s="2" t="s">
        <v>826</v>
      </c>
      <c r="E1802" s="2" t="s">
        <v>827</v>
      </c>
      <c r="F1802" s="2" t="s">
        <v>8222</v>
      </c>
      <c r="G1802" s="2" t="s">
        <v>3029</v>
      </c>
      <c r="H1802" s="2" t="s">
        <v>8223</v>
      </c>
      <c r="I1802" s="2" t="s">
        <v>8229</v>
      </c>
      <c r="J1802" s="2" t="s">
        <v>832</v>
      </c>
      <c r="K1802" s="2" t="s">
        <v>253</v>
      </c>
      <c r="L1802" s="3">
        <v>23.96</v>
      </c>
      <c r="M1802" s="3">
        <v>25.16</v>
      </c>
      <c r="N1802" s="3">
        <v>54.99</v>
      </c>
      <c r="O1802" s="2" t="s">
        <v>243</v>
      </c>
      <c r="P1802" s="2" t="s">
        <v>341</v>
      </c>
      <c r="Q1802" s="2" t="s">
        <v>237</v>
      </c>
      <c r="R1802" s="2" t="s">
        <v>231</v>
      </c>
      <c r="S1802" s="2" t="s">
        <v>8224</v>
      </c>
      <c r="T1802" s="2" t="s">
        <v>231</v>
      </c>
      <c r="U1802" s="2" t="s">
        <v>835</v>
      </c>
      <c r="V1802" s="2" t="s">
        <v>391</v>
      </c>
      <c r="W1802" s="2" t="s">
        <v>273</v>
      </c>
      <c r="X1802" s="2" t="s">
        <v>2286</v>
      </c>
      <c r="Y1802" s="2" t="s">
        <v>8225</v>
      </c>
      <c r="Z1802" s="4">
        <v>89</v>
      </c>
      <c r="AA1802" s="4">
        <f>=ROUNDDOWN(111.25,0)</f>
      </c>
      <c r="AB1802" s="5">
        <v>0.8</v>
      </c>
      <c r="AC1802" s="2" t="s">
        <v>231</v>
      </c>
      <c r="AD1802" s="4"/>
      <c r="AE1802" s="4"/>
      <c r="AF1802" s="6">
        <v>64</v>
      </c>
      <c r="AG1802" s="6"/>
      <c r="AH1802" s="7">
        <v>1</v>
      </c>
      <c r="AI1802" s="4"/>
      <c r="AJ1802" s="4">
        <f>=ROUNDDOWN({0},0)</f>
      </c>
      <c r="AK1802" s="5"/>
      <c r="AL1802" s="2" t="s">
        <v>231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231</v>
      </c>
      <c r="AW1802" s="8" t="s">
        <v>231</v>
      </c>
      <c r="AX1802" s="4" t="s">
        <v>231</v>
      </c>
      <c r="AY1802" s="8" t="s">
        <v>231</v>
      </c>
      <c r="AZ1802" s="7" t="s">
        <v>231</v>
      </c>
      <c r="BA1802" s="7" t="s">
        <v>231</v>
      </c>
      <c r="BB1802" s="7" t="s">
        <v>231</v>
      </c>
      <c r="BC1802" s="4" t="s">
        <v>231</v>
      </c>
      <c r="BD1802" s="8" t="s">
        <v>231</v>
      </c>
      <c r="BE1802" s="4" t="s">
        <v>231</v>
      </c>
      <c r="BF1802" s="8" t="s">
        <v>231</v>
      </c>
      <c r="BG1802" s="7" t="s">
        <v>231</v>
      </c>
      <c r="BH1802" s="7" t="s">
        <v>231</v>
      </c>
      <c r="BI1802" s="7"/>
      <c r="BJ1802" s="4">
        <v>11</v>
      </c>
      <c r="BK1802" s="8">
        <v>211.71</v>
      </c>
      <c r="BL1802" s="2" t="s">
        <v>8230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8231</v>
      </c>
      <c r="BV1802" s="2" t="s">
        <v>231</v>
      </c>
      <c r="BW1802" s="2" t="s">
        <v>231</v>
      </c>
      <c r="BX1802" s="2" t="s">
        <v>231</v>
      </c>
      <c r="BY1802" s="2" t="s">
        <v>277</v>
      </c>
      <c r="BZ1802" s="2" t="s">
        <v>243</v>
      </c>
      <c r="CA1802" s="2" t="s">
        <v>7321</v>
      </c>
      <c r="CB1802" s="2" t="s">
        <v>1395</v>
      </c>
      <c r="CC1802" s="2" t="s">
        <v>244</v>
      </c>
      <c r="CD1802" s="2" t="s">
        <v>231</v>
      </c>
      <c r="CE1802" s="4">
        <v>89</v>
      </c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</row>
    <row r="1803">
      <c r="A1803" s="2" t="s">
        <v>8232</v>
      </c>
      <c r="B1803" s="2" t="s">
        <v>824</v>
      </c>
      <c r="C1803" s="2" t="s">
        <v>825</v>
      </c>
      <c r="D1803" s="2" t="s">
        <v>654</v>
      </c>
      <c r="E1803" s="2" t="s">
        <v>655</v>
      </c>
      <c r="F1803" s="2" t="s">
        <v>8222</v>
      </c>
      <c r="G1803" s="2" t="s">
        <v>3029</v>
      </c>
      <c r="H1803" s="2" t="s">
        <v>8223</v>
      </c>
      <c r="I1803" s="2" t="s">
        <v>893</v>
      </c>
      <c r="J1803" s="2" t="s">
        <v>658</v>
      </c>
      <c r="K1803" s="2" t="s">
        <v>253</v>
      </c>
      <c r="L1803" s="3">
        <v>36.67</v>
      </c>
      <c r="M1803" s="3">
        <v>38.5</v>
      </c>
      <c r="N1803" s="3">
        <v>79.99</v>
      </c>
      <c r="O1803" s="2" t="s">
        <v>243</v>
      </c>
      <c r="P1803" s="2" t="s">
        <v>341</v>
      </c>
      <c r="Q1803" s="2" t="s">
        <v>237</v>
      </c>
      <c r="R1803" s="2" t="s">
        <v>231</v>
      </c>
      <c r="S1803" s="2" t="s">
        <v>8224</v>
      </c>
      <c r="T1803" s="2" t="s">
        <v>231</v>
      </c>
      <c r="U1803" s="2" t="s">
        <v>298</v>
      </c>
      <c r="V1803" s="2" t="s">
        <v>391</v>
      </c>
      <c r="W1803" s="2" t="s">
        <v>273</v>
      </c>
      <c r="X1803" s="2" t="s">
        <v>2286</v>
      </c>
      <c r="Y1803" s="2" t="s">
        <v>8225</v>
      </c>
      <c r="Z1803" s="4">
        <v>345</v>
      </c>
      <c r="AA1803" s="4">
        <f>=ROUNDDOWN(58.4745762711864,0)</f>
      </c>
      <c r="AB1803" s="5">
        <v>5.9</v>
      </c>
      <c r="AC1803" s="2" t="s">
        <v>231</v>
      </c>
      <c r="AD1803" s="4"/>
      <c r="AE1803" s="4"/>
      <c r="AF1803" s="6">
        <v>64</v>
      </c>
      <c r="AG1803" s="6"/>
      <c r="AH1803" s="7">
        <v>1</v>
      </c>
      <c r="AI1803" s="4"/>
      <c r="AJ1803" s="4">
        <f>=ROUNDDOWN({0},0)</f>
      </c>
      <c r="AK1803" s="5"/>
      <c r="AL1803" s="2" t="s">
        <v>231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231</v>
      </c>
      <c r="AW1803" s="8" t="s">
        <v>231</v>
      </c>
      <c r="AX1803" s="4" t="s">
        <v>231</v>
      </c>
      <c r="AY1803" s="8" t="s">
        <v>231</v>
      </c>
      <c r="AZ1803" s="7" t="s">
        <v>231</v>
      </c>
      <c r="BA1803" s="7" t="s">
        <v>231</v>
      </c>
      <c r="BB1803" s="7"/>
      <c r="BC1803" s="4" t="s">
        <v>231</v>
      </c>
      <c r="BD1803" s="8" t="s">
        <v>231</v>
      </c>
      <c r="BE1803" s="4" t="s">
        <v>231</v>
      </c>
      <c r="BF1803" s="8" t="s">
        <v>231</v>
      </c>
      <c r="BG1803" s="7" t="s">
        <v>231</v>
      </c>
      <c r="BH1803" s="7" t="s">
        <v>231</v>
      </c>
      <c r="BI1803" s="7"/>
      <c r="BJ1803" s="4">
        <v>26</v>
      </c>
      <c r="BK1803" s="8">
        <v>834.55</v>
      </c>
      <c r="BL1803" s="2" t="s">
        <v>4849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8233</v>
      </c>
      <c r="BV1803" s="2" t="s">
        <v>231</v>
      </c>
      <c r="BW1803" s="2" t="s">
        <v>231</v>
      </c>
      <c r="BX1803" s="2" t="s">
        <v>231</v>
      </c>
      <c r="BY1803" s="2" t="s">
        <v>277</v>
      </c>
      <c r="BZ1803" s="2" t="s">
        <v>243</v>
      </c>
      <c r="CA1803" s="2" t="s">
        <v>7321</v>
      </c>
      <c r="CB1803" s="2" t="s">
        <v>8234</v>
      </c>
      <c r="CC1803" s="2" t="s">
        <v>244</v>
      </c>
      <c r="CD1803" s="2" t="s">
        <v>231</v>
      </c>
      <c r="CE1803" s="4">
        <v>345</v>
      </c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</row>
    <row r="1804">
      <c r="A1804" s="2" t="s">
        <v>8235</v>
      </c>
      <c r="B1804" s="2" t="s">
        <v>801</v>
      </c>
      <c r="C1804" s="2" t="s">
        <v>802</v>
      </c>
      <c r="D1804" s="2" t="s">
        <v>3871</v>
      </c>
      <c r="E1804" s="2" t="s">
        <v>3872</v>
      </c>
      <c r="F1804" s="2" t="s">
        <v>8236</v>
      </c>
      <c r="G1804" s="2" t="s">
        <v>8236</v>
      </c>
      <c r="H1804" s="2" t="s">
        <v>8236</v>
      </c>
      <c r="I1804" s="2" t="s">
        <v>8237</v>
      </c>
      <c r="J1804" s="2" t="s">
        <v>807</v>
      </c>
      <c r="K1804" s="2" t="s">
        <v>5141</v>
      </c>
      <c r="L1804" s="3">
        <v>45</v>
      </c>
      <c r="M1804" s="3">
        <v>47.25</v>
      </c>
      <c r="N1804" s="3">
        <v>94.99</v>
      </c>
      <c r="O1804" s="2" t="s">
        <v>243</v>
      </c>
      <c r="P1804" s="2" t="s">
        <v>236</v>
      </c>
      <c r="Q1804" s="2" t="s">
        <v>237</v>
      </c>
      <c r="R1804" s="2" t="s">
        <v>231</v>
      </c>
      <c r="S1804" s="2" t="s">
        <v>231</v>
      </c>
      <c r="T1804" s="2" t="s">
        <v>231</v>
      </c>
      <c r="U1804" s="2" t="s">
        <v>327</v>
      </c>
      <c r="V1804" s="2" t="s">
        <v>662</v>
      </c>
      <c r="W1804" s="2" t="s">
        <v>676</v>
      </c>
      <c r="X1804" s="2" t="s">
        <v>299</v>
      </c>
      <c r="Y1804" s="2" t="s">
        <v>8238</v>
      </c>
      <c r="Z1804" s="4">
        <v>100</v>
      </c>
      <c r="AA1804" s="4">
        <f>=ROUNDDOWN(25,0)</f>
      </c>
      <c r="AB1804" s="5">
        <v>4</v>
      </c>
      <c r="AC1804" s="2" t="s">
        <v>231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231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/>
      <c r="BK1804" s="8"/>
      <c r="BL1804" s="2" t="s">
        <v>231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241</v>
      </c>
      <c r="BV1804" s="2" t="s">
        <v>231</v>
      </c>
      <c r="BW1804" s="2" t="s">
        <v>231</v>
      </c>
      <c r="BX1804" s="2" t="s">
        <v>241</v>
      </c>
      <c r="BY1804" s="2" t="s">
        <v>242</v>
      </c>
      <c r="BZ1804" s="2" t="s">
        <v>243</v>
      </c>
      <c r="CA1804" s="2" t="s">
        <v>231</v>
      </c>
      <c r="CB1804" s="2" t="s">
        <v>231</v>
      </c>
      <c r="CC1804" s="2" t="s">
        <v>244</v>
      </c>
      <c r="CD1804" s="2" t="s">
        <v>231</v>
      </c>
      <c r="CE1804" s="4"/>
      <c r="CF1804" s="4">
        <v>100</v>
      </c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</row>
    <row r="1805">
      <c r="A1805" s="2" t="s">
        <v>8239</v>
      </c>
      <c r="B1805" s="2" t="s">
        <v>847</v>
      </c>
      <c r="C1805" s="2" t="s">
        <v>288</v>
      </c>
      <c r="D1805" s="2" t="s">
        <v>882</v>
      </c>
      <c r="E1805" s="2" t="s">
        <v>2191</v>
      </c>
      <c r="F1805" s="2" t="s">
        <v>8240</v>
      </c>
      <c r="G1805" s="2" t="s">
        <v>8240</v>
      </c>
      <c r="H1805" s="2" t="s">
        <v>8240</v>
      </c>
      <c r="I1805" s="2" t="s">
        <v>8241</v>
      </c>
      <c r="J1805" s="2" t="s">
        <v>807</v>
      </c>
      <c r="K1805" s="2" t="s">
        <v>269</v>
      </c>
      <c r="L1805" s="3">
        <v>24.48</v>
      </c>
      <c r="M1805" s="3">
        <v>25.7</v>
      </c>
      <c r="N1805" s="3">
        <v>59.49</v>
      </c>
      <c r="O1805" s="2" t="s">
        <v>243</v>
      </c>
      <c r="P1805" s="2" t="s">
        <v>1985</v>
      </c>
      <c r="Q1805" s="2" t="s">
        <v>237</v>
      </c>
      <c r="R1805" s="2" t="s">
        <v>231</v>
      </c>
      <c r="S1805" s="2" t="s">
        <v>231</v>
      </c>
      <c r="T1805" s="2" t="s">
        <v>231</v>
      </c>
      <c r="U1805" s="2" t="s">
        <v>327</v>
      </c>
      <c r="V1805" s="2" t="s">
        <v>1192</v>
      </c>
      <c r="W1805" s="2" t="s">
        <v>792</v>
      </c>
      <c r="X1805" s="2" t="s">
        <v>231</v>
      </c>
      <c r="Y1805" s="2" t="s">
        <v>8242</v>
      </c>
      <c r="Z1805" s="4">
        <v>47</v>
      </c>
      <c r="AA1805" s="4">
        <f>=ROUNDDOWN(11.75,0)</f>
      </c>
      <c r="AB1805" s="5">
        <v>4</v>
      </c>
      <c r="AC1805" s="2" t="s">
        <v>392</v>
      </c>
      <c r="AD1805" s="4">
        <v>100</v>
      </c>
      <c r="AE1805" s="4">
        <v>100</v>
      </c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231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12</v>
      </c>
      <c r="BK1805" s="8">
        <v>401.46</v>
      </c>
      <c r="BL1805" s="2" t="s">
        <v>8243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8244</v>
      </c>
      <c r="BV1805" s="2" t="s">
        <v>231</v>
      </c>
      <c r="BW1805" s="2" t="s">
        <v>231</v>
      </c>
      <c r="BX1805" s="2" t="s">
        <v>231</v>
      </c>
      <c r="BY1805" s="2" t="s">
        <v>277</v>
      </c>
      <c r="BZ1805" s="2" t="s">
        <v>243</v>
      </c>
      <c r="CA1805" s="2" t="s">
        <v>8245</v>
      </c>
      <c r="CB1805" s="2" t="s">
        <v>8246</v>
      </c>
      <c r="CC1805" s="2" t="s">
        <v>244</v>
      </c>
      <c r="CD1805" s="2" t="s">
        <v>231</v>
      </c>
      <c r="CE1805" s="4"/>
      <c r="CF1805" s="4">
        <v>47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>
        <v>100</v>
      </c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</row>
    <row r="1806">
      <c r="A1806" s="2" t="s">
        <v>8247</v>
      </c>
      <c r="B1806" s="2" t="s">
        <v>1186</v>
      </c>
      <c r="C1806" s="2" t="s">
        <v>357</v>
      </c>
      <c r="D1806" s="2" t="s">
        <v>654</v>
      </c>
      <c r="E1806" s="2" t="s">
        <v>1187</v>
      </c>
      <c r="F1806" s="2" t="s">
        <v>8248</v>
      </c>
      <c r="G1806" s="2" t="s">
        <v>8249</v>
      </c>
      <c r="H1806" s="2" t="s">
        <v>1428</v>
      </c>
      <c r="I1806" s="2" t="s">
        <v>8250</v>
      </c>
      <c r="J1806" s="2" t="s">
        <v>318</v>
      </c>
      <c r="K1806" s="2" t="s">
        <v>269</v>
      </c>
      <c r="L1806" s="3">
        <v>26.19</v>
      </c>
      <c r="M1806" s="3">
        <v>27.5</v>
      </c>
      <c r="N1806" s="3">
        <v>54.99</v>
      </c>
      <c r="O1806" s="2" t="s">
        <v>243</v>
      </c>
      <c r="P1806" s="2" t="s">
        <v>236</v>
      </c>
      <c r="Q1806" s="2" t="s">
        <v>237</v>
      </c>
      <c r="R1806" s="2" t="s">
        <v>231</v>
      </c>
      <c r="S1806" s="2" t="s">
        <v>8251</v>
      </c>
      <c r="T1806" s="2" t="s">
        <v>472</v>
      </c>
      <c r="U1806" s="2" t="s">
        <v>661</v>
      </c>
      <c r="V1806" s="2" t="s">
        <v>1192</v>
      </c>
      <c r="W1806" s="2" t="s">
        <v>273</v>
      </c>
      <c r="X1806" s="2" t="s">
        <v>808</v>
      </c>
      <c r="Y1806" s="2" t="s">
        <v>231</v>
      </c>
      <c r="Z1806" s="4"/>
      <c r="AA1806" s="4">
        <f>=ROUNDDOWN({0},0)</f>
      </c>
      <c r="AB1806" s="5"/>
      <c r="AC1806" s="2" t="s">
        <v>321</v>
      </c>
      <c r="AD1806" s="4">
        <v>62</v>
      </c>
      <c r="AE1806" s="4">
        <v>142</v>
      </c>
      <c r="AF1806" s="6">
        <v>65</v>
      </c>
      <c r="AG1806" s="6"/>
      <c r="AH1806" s="7">
        <v>0</v>
      </c>
      <c r="AI1806" s="4"/>
      <c r="AJ1806" s="4">
        <f>=ROUNDDOWN({0},0)</f>
      </c>
      <c r="AK1806" s="5"/>
      <c r="AL1806" s="2" t="s">
        <v>231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231</v>
      </c>
      <c r="AW1806" s="8" t="s">
        <v>231</v>
      </c>
      <c r="AX1806" s="4" t="s">
        <v>231</v>
      </c>
      <c r="AY1806" s="8" t="s">
        <v>231</v>
      </c>
      <c r="AZ1806" s="7" t="s">
        <v>231</v>
      </c>
      <c r="BA1806" s="7" t="s">
        <v>231</v>
      </c>
      <c r="BB1806" s="7"/>
      <c r="BC1806" s="4" t="s">
        <v>231</v>
      </c>
      <c r="BD1806" s="8" t="s">
        <v>231</v>
      </c>
      <c r="BE1806" s="4" t="s">
        <v>231</v>
      </c>
      <c r="BF1806" s="8" t="s">
        <v>231</v>
      </c>
      <c r="BG1806" s="7" t="s">
        <v>231</v>
      </c>
      <c r="BH1806" s="7" t="s">
        <v>231</v>
      </c>
      <c r="BI1806" s="7"/>
      <c r="BJ1806" s="4"/>
      <c r="BK1806" s="8"/>
      <c r="BL1806" s="2" t="s">
        <v>231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241</v>
      </c>
      <c r="BV1806" s="2" t="s">
        <v>231</v>
      </c>
      <c r="BW1806" s="2" t="s">
        <v>231</v>
      </c>
      <c r="BX1806" s="2" t="s">
        <v>241</v>
      </c>
      <c r="BY1806" s="2" t="s">
        <v>242</v>
      </c>
      <c r="BZ1806" s="2" t="s">
        <v>243</v>
      </c>
      <c r="CA1806" s="2" t="s">
        <v>231</v>
      </c>
      <c r="CB1806" s="2" t="s">
        <v>231</v>
      </c>
      <c r="CC1806" s="2" t="s">
        <v>244</v>
      </c>
      <c r="CD1806" s="2" t="s">
        <v>231</v>
      </c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>
        <v>62</v>
      </c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>
        <v>40</v>
      </c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>
        <v>40</v>
      </c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</row>
    <row r="1807">
      <c r="A1807" s="2" t="s">
        <v>8252</v>
      </c>
      <c r="B1807" s="2" t="s">
        <v>1186</v>
      </c>
      <c r="C1807" s="2" t="s">
        <v>357</v>
      </c>
      <c r="D1807" s="2" t="s">
        <v>654</v>
      </c>
      <c r="E1807" s="2" t="s">
        <v>1187</v>
      </c>
      <c r="F1807" s="2" t="s">
        <v>8248</v>
      </c>
      <c r="G1807" s="2" t="s">
        <v>8249</v>
      </c>
      <c r="H1807" s="2" t="s">
        <v>1428</v>
      </c>
      <c r="I1807" s="2" t="s">
        <v>8250</v>
      </c>
      <c r="J1807" s="2" t="s">
        <v>281</v>
      </c>
      <c r="K1807" s="2" t="s">
        <v>269</v>
      </c>
      <c r="L1807" s="3">
        <v>28.57</v>
      </c>
      <c r="M1807" s="3">
        <v>30</v>
      </c>
      <c r="N1807" s="3">
        <v>59.99</v>
      </c>
      <c r="O1807" s="2" t="s">
        <v>243</v>
      </c>
      <c r="P1807" s="2" t="s">
        <v>236</v>
      </c>
      <c r="Q1807" s="2" t="s">
        <v>237</v>
      </c>
      <c r="R1807" s="2" t="s">
        <v>231</v>
      </c>
      <c r="S1807" s="2" t="s">
        <v>8251</v>
      </c>
      <c r="T1807" s="2" t="s">
        <v>472</v>
      </c>
      <c r="U1807" s="2" t="s">
        <v>700</v>
      </c>
      <c r="V1807" s="2" t="s">
        <v>1192</v>
      </c>
      <c r="W1807" s="2" t="s">
        <v>273</v>
      </c>
      <c r="X1807" s="2" t="s">
        <v>808</v>
      </c>
      <c r="Y1807" s="2" t="s">
        <v>231</v>
      </c>
      <c r="Z1807" s="4"/>
      <c r="AA1807" s="4">
        <f>=ROUNDDOWN({0},0)</f>
      </c>
      <c r="AB1807" s="5"/>
      <c r="AC1807" s="2" t="s">
        <v>321</v>
      </c>
      <c r="AD1807" s="4">
        <v>82</v>
      </c>
      <c r="AE1807" s="4">
        <v>202</v>
      </c>
      <c r="AF1807" s="6">
        <v>65</v>
      </c>
      <c r="AG1807" s="6"/>
      <c r="AH1807" s="7">
        <v>0</v>
      </c>
      <c r="AI1807" s="4"/>
      <c r="AJ1807" s="4">
        <f>=ROUNDDOWN({0},0)</f>
      </c>
      <c r="AK1807" s="5"/>
      <c r="AL1807" s="2" t="s">
        <v>231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231</v>
      </c>
      <c r="AW1807" s="8" t="s">
        <v>231</v>
      </c>
      <c r="AX1807" s="4" t="s">
        <v>231</v>
      </c>
      <c r="AY1807" s="8" t="s">
        <v>231</v>
      </c>
      <c r="AZ1807" s="7" t="s">
        <v>231</v>
      </c>
      <c r="BA1807" s="7" t="s">
        <v>231</v>
      </c>
      <c r="BB1807" s="7"/>
      <c r="BC1807" s="4" t="s">
        <v>231</v>
      </c>
      <c r="BD1807" s="8" t="s">
        <v>231</v>
      </c>
      <c r="BE1807" s="4" t="s">
        <v>231</v>
      </c>
      <c r="BF1807" s="8" t="s">
        <v>231</v>
      </c>
      <c r="BG1807" s="7" t="s">
        <v>231</v>
      </c>
      <c r="BH1807" s="7" t="s">
        <v>231</v>
      </c>
      <c r="BI1807" s="7"/>
      <c r="BJ1807" s="4"/>
      <c r="BK1807" s="8"/>
      <c r="BL1807" s="2" t="s">
        <v>231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241</v>
      </c>
      <c r="BV1807" s="2" t="s">
        <v>231</v>
      </c>
      <c r="BW1807" s="2" t="s">
        <v>231</v>
      </c>
      <c r="BX1807" s="2" t="s">
        <v>241</v>
      </c>
      <c r="BY1807" s="2" t="s">
        <v>242</v>
      </c>
      <c r="BZ1807" s="2" t="s">
        <v>243</v>
      </c>
      <c r="CA1807" s="2" t="s">
        <v>231</v>
      </c>
      <c r="CB1807" s="2" t="s">
        <v>231</v>
      </c>
      <c r="CC1807" s="2" t="s">
        <v>244</v>
      </c>
      <c r="CD1807" s="2" t="s">
        <v>231</v>
      </c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>
        <v>82</v>
      </c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>
        <v>60</v>
      </c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>
        <v>60</v>
      </c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</row>
    <row r="1808">
      <c r="A1808" s="2" t="s">
        <v>8253</v>
      </c>
      <c r="B1808" s="2" t="s">
        <v>1186</v>
      </c>
      <c r="C1808" s="2" t="s">
        <v>357</v>
      </c>
      <c r="D1808" s="2" t="s">
        <v>654</v>
      </c>
      <c r="E1808" s="2" t="s">
        <v>1187</v>
      </c>
      <c r="F1808" s="2" t="s">
        <v>8248</v>
      </c>
      <c r="G1808" s="2" t="s">
        <v>8249</v>
      </c>
      <c r="H1808" s="2" t="s">
        <v>1428</v>
      </c>
      <c r="I1808" s="2" t="s">
        <v>8250</v>
      </c>
      <c r="J1808" s="2" t="s">
        <v>293</v>
      </c>
      <c r="K1808" s="2" t="s">
        <v>269</v>
      </c>
      <c r="L1808" s="3">
        <v>30.95</v>
      </c>
      <c r="M1808" s="3">
        <v>32.5</v>
      </c>
      <c r="N1808" s="3">
        <v>64.99</v>
      </c>
      <c r="O1808" s="2" t="s">
        <v>243</v>
      </c>
      <c r="P1808" s="2" t="s">
        <v>236</v>
      </c>
      <c r="Q1808" s="2" t="s">
        <v>237</v>
      </c>
      <c r="R1808" s="2" t="s">
        <v>231</v>
      </c>
      <c r="S1808" s="2" t="s">
        <v>8251</v>
      </c>
      <c r="T1808" s="2" t="s">
        <v>472</v>
      </c>
      <c r="U1808" s="2" t="s">
        <v>700</v>
      </c>
      <c r="V1808" s="2" t="s">
        <v>1192</v>
      </c>
      <c r="W1808" s="2" t="s">
        <v>273</v>
      </c>
      <c r="X1808" s="2" t="s">
        <v>808</v>
      </c>
      <c r="Y1808" s="2" t="s">
        <v>231</v>
      </c>
      <c r="Z1808" s="4"/>
      <c r="AA1808" s="4">
        <f>=ROUNDDOWN({0},0)</f>
      </c>
      <c r="AB1808" s="5"/>
      <c r="AC1808" s="2" t="s">
        <v>321</v>
      </c>
      <c r="AD1808" s="4">
        <v>230</v>
      </c>
      <c r="AE1808" s="4">
        <v>540</v>
      </c>
      <c r="AF1808" s="6">
        <v>65</v>
      </c>
      <c r="AG1808" s="6"/>
      <c r="AH1808" s="7">
        <v>0</v>
      </c>
      <c r="AI1808" s="4"/>
      <c r="AJ1808" s="4">
        <f>=ROUNDDOWN({0},0)</f>
      </c>
      <c r="AK1808" s="5"/>
      <c r="AL1808" s="2" t="s">
        <v>231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 t="s">
        <v>231</v>
      </c>
      <c r="AW1808" s="8" t="s">
        <v>231</v>
      </c>
      <c r="AX1808" s="4" t="s">
        <v>231</v>
      </c>
      <c r="AY1808" s="8" t="s">
        <v>231</v>
      </c>
      <c r="AZ1808" s="7" t="s">
        <v>231</v>
      </c>
      <c r="BA1808" s="7" t="s">
        <v>231</v>
      </c>
      <c r="BB1808" s="7"/>
      <c r="BC1808" s="4" t="s">
        <v>231</v>
      </c>
      <c r="BD1808" s="8" t="s">
        <v>231</v>
      </c>
      <c r="BE1808" s="4" t="s">
        <v>231</v>
      </c>
      <c r="BF1808" s="8" t="s">
        <v>231</v>
      </c>
      <c r="BG1808" s="7" t="s">
        <v>231</v>
      </c>
      <c r="BH1808" s="7" t="s">
        <v>231</v>
      </c>
      <c r="BI1808" s="7"/>
      <c r="BJ1808" s="4"/>
      <c r="BK1808" s="8"/>
      <c r="BL1808" s="2" t="s">
        <v>231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241</v>
      </c>
      <c r="BV1808" s="2" t="s">
        <v>231</v>
      </c>
      <c r="BW1808" s="2" t="s">
        <v>231</v>
      </c>
      <c r="BX1808" s="2" t="s">
        <v>241</v>
      </c>
      <c r="BY1808" s="2" t="s">
        <v>242</v>
      </c>
      <c r="BZ1808" s="2" t="s">
        <v>243</v>
      </c>
      <c r="CA1808" s="2" t="s">
        <v>231</v>
      </c>
      <c r="CB1808" s="2" t="s">
        <v>231</v>
      </c>
      <c r="CC1808" s="2" t="s">
        <v>244</v>
      </c>
      <c r="CD1808" s="2" t="s">
        <v>231</v>
      </c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>
        <v>230</v>
      </c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>
        <v>180</v>
      </c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>
        <v>130</v>
      </c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</row>
    <row r="1809">
      <c r="A1809" s="2" t="s">
        <v>8254</v>
      </c>
      <c r="B1809" s="2" t="s">
        <v>1186</v>
      </c>
      <c r="C1809" s="2" t="s">
        <v>357</v>
      </c>
      <c r="D1809" s="2" t="s">
        <v>654</v>
      </c>
      <c r="E1809" s="2" t="s">
        <v>1187</v>
      </c>
      <c r="F1809" s="2" t="s">
        <v>8248</v>
      </c>
      <c r="G1809" s="2" t="s">
        <v>8249</v>
      </c>
      <c r="H1809" s="2" t="s">
        <v>1428</v>
      </c>
      <c r="I1809" s="2" t="s">
        <v>8250</v>
      </c>
      <c r="J1809" s="2" t="s">
        <v>302</v>
      </c>
      <c r="K1809" s="2" t="s">
        <v>269</v>
      </c>
      <c r="L1809" s="3">
        <v>35.71</v>
      </c>
      <c r="M1809" s="3">
        <v>37.5</v>
      </c>
      <c r="N1809" s="3">
        <v>74.99</v>
      </c>
      <c r="O1809" s="2" t="s">
        <v>243</v>
      </c>
      <c r="P1809" s="2" t="s">
        <v>236</v>
      </c>
      <c r="Q1809" s="2" t="s">
        <v>237</v>
      </c>
      <c r="R1809" s="2" t="s">
        <v>231</v>
      </c>
      <c r="S1809" s="2" t="s">
        <v>8251</v>
      </c>
      <c r="T1809" s="2" t="s">
        <v>472</v>
      </c>
      <c r="U1809" s="2" t="s">
        <v>700</v>
      </c>
      <c r="V1809" s="2" t="s">
        <v>1192</v>
      </c>
      <c r="W1809" s="2" t="s">
        <v>273</v>
      </c>
      <c r="X1809" s="2" t="s">
        <v>808</v>
      </c>
      <c r="Y1809" s="2" t="s">
        <v>231</v>
      </c>
      <c r="Z1809" s="4"/>
      <c r="AA1809" s="4">
        <f>=ROUNDDOWN({0},0)</f>
      </c>
      <c r="AB1809" s="5"/>
      <c r="AC1809" s="2" t="s">
        <v>321</v>
      </c>
      <c r="AD1809" s="4">
        <v>131</v>
      </c>
      <c r="AE1809" s="4">
        <v>331</v>
      </c>
      <c r="AF1809" s="6">
        <v>65</v>
      </c>
      <c r="AG1809" s="6"/>
      <c r="AH1809" s="7">
        <v>0</v>
      </c>
      <c r="AI1809" s="4"/>
      <c r="AJ1809" s="4">
        <f>=ROUNDDOWN({0},0)</f>
      </c>
      <c r="AK1809" s="5"/>
      <c r="AL1809" s="2" t="s">
        <v>231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231</v>
      </c>
      <c r="AW1809" s="8" t="s">
        <v>231</v>
      </c>
      <c r="AX1809" s="4" t="s">
        <v>231</v>
      </c>
      <c r="AY1809" s="8" t="s">
        <v>231</v>
      </c>
      <c r="AZ1809" s="7" t="s">
        <v>231</v>
      </c>
      <c r="BA1809" s="7" t="s">
        <v>231</v>
      </c>
      <c r="BB1809" s="7"/>
      <c r="BC1809" s="4" t="s">
        <v>231</v>
      </c>
      <c r="BD1809" s="8" t="s">
        <v>231</v>
      </c>
      <c r="BE1809" s="4" t="s">
        <v>231</v>
      </c>
      <c r="BF1809" s="8" t="s">
        <v>231</v>
      </c>
      <c r="BG1809" s="7" t="s">
        <v>231</v>
      </c>
      <c r="BH1809" s="7" t="s">
        <v>231</v>
      </c>
      <c r="BI1809" s="7"/>
      <c r="BJ1809" s="4"/>
      <c r="BK1809" s="8"/>
      <c r="BL1809" s="2" t="s">
        <v>231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241</v>
      </c>
      <c r="BV1809" s="2" t="s">
        <v>231</v>
      </c>
      <c r="BW1809" s="2" t="s">
        <v>231</v>
      </c>
      <c r="BX1809" s="2" t="s">
        <v>241</v>
      </c>
      <c r="BY1809" s="2" t="s">
        <v>242</v>
      </c>
      <c r="BZ1809" s="2" t="s">
        <v>243</v>
      </c>
      <c r="CA1809" s="2" t="s">
        <v>231</v>
      </c>
      <c r="CB1809" s="2" t="s">
        <v>231</v>
      </c>
      <c r="CC1809" s="2" t="s">
        <v>244</v>
      </c>
      <c r="CD1809" s="2" t="s">
        <v>231</v>
      </c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>
        <v>131</v>
      </c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>
        <v>110</v>
      </c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>
        <v>90</v>
      </c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</row>
    <row r="1810">
      <c r="A1810" s="2" t="s">
        <v>8255</v>
      </c>
      <c r="B1810" s="2" t="s">
        <v>1186</v>
      </c>
      <c r="C1810" s="2" t="s">
        <v>357</v>
      </c>
      <c r="D1810" s="2" t="s">
        <v>654</v>
      </c>
      <c r="E1810" s="2" t="s">
        <v>1187</v>
      </c>
      <c r="F1810" s="2" t="s">
        <v>8248</v>
      </c>
      <c r="G1810" s="2" t="s">
        <v>8249</v>
      </c>
      <c r="H1810" s="2" t="s">
        <v>1428</v>
      </c>
      <c r="I1810" s="2" t="s">
        <v>8250</v>
      </c>
      <c r="J1810" s="2" t="s">
        <v>304</v>
      </c>
      <c r="K1810" s="2" t="s">
        <v>269</v>
      </c>
      <c r="L1810" s="3">
        <v>35.71</v>
      </c>
      <c r="M1810" s="3">
        <v>37.5</v>
      </c>
      <c r="N1810" s="3">
        <v>74.99</v>
      </c>
      <c r="O1810" s="2" t="s">
        <v>243</v>
      </c>
      <c r="P1810" s="2" t="s">
        <v>236</v>
      </c>
      <c r="Q1810" s="2" t="s">
        <v>237</v>
      </c>
      <c r="R1810" s="2" t="s">
        <v>231</v>
      </c>
      <c r="S1810" s="2" t="s">
        <v>8251</v>
      </c>
      <c r="T1810" s="2" t="s">
        <v>472</v>
      </c>
      <c r="U1810" s="2" t="s">
        <v>700</v>
      </c>
      <c r="V1810" s="2" t="s">
        <v>1192</v>
      </c>
      <c r="W1810" s="2" t="s">
        <v>273</v>
      </c>
      <c r="X1810" s="2" t="s">
        <v>808</v>
      </c>
      <c r="Y1810" s="2" t="s">
        <v>231</v>
      </c>
      <c r="Z1810" s="4"/>
      <c r="AA1810" s="4">
        <f>=ROUNDDOWN({0},0)</f>
      </c>
      <c r="AB1810" s="5"/>
      <c r="AC1810" s="2" t="s">
        <v>321</v>
      </c>
      <c r="AD1810" s="4">
        <v>82</v>
      </c>
      <c r="AE1810" s="4">
        <v>192</v>
      </c>
      <c r="AF1810" s="6">
        <v>65</v>
      </c>
      <c r="AG1810" s="6"/>
      <c r="AH1810" s="7">
        <v>0</v>
      </c>
      <c r="AI1810" s="4"/>
      <c r="AJ1810" s="4">
        <f>=ROUNDDOWN({0},0)</f>
      </c>
      <c r="AK1810" s="5"/>
      <c r="AL1810" s="2" t="s">
        <v>231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231</v>
      </c>
      <c r="AW1810" s="8" t="s">
        <v>231</v>
      </c>
      <c r="AX1810" s="4" t="s">
        <v>231</v>
      </c>
      <c r="AY1810" s="8" t="s">
        <v>231</v>
      </c>
      <c r="AZ1810" s="7" t="s">
        <v>231</v>
      </c>
      <c r="BA1810" s="7" t="s">
        <v>231</v>
      </c>
      <c r="BB1810" s="7"/>
      <c r="BC1810" s="4" t="s">
        <v>231</v>
      </c>
      <c r="BD1810" s="8" t="s">
        <v>231</v>
      </c>
      <c r="BE1810" s="4" t="s">
        <v>231</v>
      </c>
      <c r="BF1810" s="8" t="s">
        <v>231</v>
      </c>
      <c r="BG1810" s="7" t="s">
        <v>231</v>
      </c>
      <c r="BH1810" s="7" t="s">
        <v>231</v>
      </c>
      <c r="BI1810" s="7"/>
      <c r="BJ1810" s="4"/>
      <c r="BK1810" s="8"/>
      <c r="BL1810" s="2" t="s">
        <v>231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241</v>
      </c>
      <c r="BV1810" s="2" t="s">
        <v>231</v>
      </c>
      <c r="BW1810" s="2" t="s">
        <v>231</v>
      </c>
      <c r="BX1810" s="2" t="s">
        <v>241</v>
      </c>
      <c r="BY1810" s="2" t="s">
        <v>242</v>
      </c>
      <c r="BZ1810" s="2" t="s">
        <v>243</v>
      </c>
      <c r="CA1810" s="2" t="s">
        <v>231</v>
      </c>
      <c r="CB1810" s="2" t="s">
        <v>231</v>
      </c>
      <c r="CC1810" s="2" t="s">
        <v>244</v>
      </c>
      <c r="CD1810" s="2" t="s">
        <v>231</v>
      </c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>
        <v>82</v>
      </c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>
        <v>60</v>
      </c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>
        <v>50</v>
      </c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</row>
    <row r="1811">
      <c r="A1811" s="2" t="s">
        <v>8256</v>
      </c>
      <c r="B1811" s="2" t="s">
        <v>1186</v>
      </c>
      <c r="C1811" s="2" t="s">
        <v>357</v>
      </c>
      <c r="D1811" s="2" t="s">
        <v>654</v>
      </c>
      <c r="E1811" s="2" t="s">
        <v>1187</v>
      </c>
      <c r="F1811" s="2" t="s">
        <v>8248</v>
      </c>
      <c r="G1811" s="2" t="s">
        <v>8249</v>
      </c>
      <c r="H1811" s="2" t="s">
        <v>1428</v>
      </c>
      <c r="I1811" s="2" t="s">
        <v>8250</v>
      </c>
      <c r="J1811" s="2" t="s">
        <v>318</v>
      </c>
      <c r="K1811" s="2" t="s">
        <v>452</v>
      </c>
      <c r="L1811" s="3">
        <v>26.19</v>
      </c>
      <c r="M1811" s="3">
        <v>27.5</v>
      </c>
      <c r="N1811" s="3">
        <v>54.99</v>
      </c>
      <c r="O1811" s="2" t="s">
        <v>243</v>
      </c>
      <c r="P1811" s="2" t="s">
        <v>236</v>
      </c>
      <c r="Q1811" s="2" t="s">
        <v>237</v>
      </c>
      <c r="R1811" s="2" t="s">
        <v>231</v>
      </c>
      <c r="S1811" s="2" t="s">
        <v>8257</v>
      </c>
      <c r="T1811" s="2" t="s">
        <v>472</v>
      </c>
      <c r="U1811" s="2" t="s">
        <v>661</v>
      </c>
      <c r="V1811" s="2" t="s">
        <v>1192</v>
      </c>
      <c r="W1811" s="2" t="s">
        <v>273</v>
      </c>
      <c r="X1811" s="2" t="s">
        <v>808</v>
      </c>
      <c r="Y1811" s="2" t="s">
        <v>231</v>
      </c>
      <c r="Z1811" s="4"/>
      <c r="AA1811" s="4">
        <f>=ROUNDDOWN({0},0)</f>
      </c>
      <c r="AB1811" s="5"/>
      <c r="AC1811" s="2" t="s">
        <v>321</v>
      </c>
      <c r="AD1811" s="4">
        <v>62</v>
      </c>
      <c r="AE1811" s="4">
        <v>142</v>
      </c>
      <c r="AF1811" s="6">
        <v>65</v>
      </c>
      <c r="AG1811" s="6"/>
      <c r="AH1811" s="7">
        <v>0</v>
      </c>
      <c r="AI1811" s="4"/>
      <c r="AJ1811" s="4">
        <f>=ROUNDDOWN({0},0)</f>
      </c>
      <c r="AK1811" s="5"/>
      <c r="AL1811" s="2" t="s">
        <v>231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231</v>
      </c>
      <c r="AW1811" s="8" t="s">
        <v>231</v>
      </c>
      <c r="AX1811" s="4" t="s">
        <v>231</v>
      </c>
      <c r="AY1811" s="8" t="s">
        <v>231</v>
      </c>
      <c r="AZ1811" s="7" t="s">
        <v>231</v>
      </c>
      <c r="BA1811" s="7" t="s">
        <v>231</v>
      </c>
      <c r="BB1811" s="7"/>
      <c r="BC1811" s="4" t="s">
        <v>231</v>
      </c>
      <c r="BD1811" s="8" t="s">
        <v>231</v>
      </c>
      <c r="BE1811" s="4" t="s">
        <v>231</v>
      </c>
      <c r="BF1811" s="8" t="s">
        <v>231</v>
      </c>
      <c r="BG1811" s="7" t="s">
        <v>231</v>
      </c>
      <c r="BH1811" s="7" t="s">
        <v>231</v>
      </c>
      <c r="BI1811" s="7"/>
      <c r="BJ1811" s="4"/>
      <c r="BK1811" s="8"/>
      <c r="BL1811" s="2" t="s">
        <v>231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241</v>
      </c>
      <c r="BV1811" s="2" t="s">
        <v>231</v>
      </c>
      <c r="BW1811" s="2" t="s">
        <v>231</v>
      </c>
      <c r="BX1811" s="2" t="s">
        <v>241</v>
      </c>
      <c r="BY1811" s="2" t="s">
        <v>242</v>
      </c>
      <c r="BZ1811" s="2" t="s">
        <v>243</v>
      </c>
      <c r="CA1811" s="2" t="s">
        <v>231</v>
      </c>
      <c r="CB1811" s="2" t="s">
        <v>231</v>
      </c>
      <c r="CC1811" s="2" t="s">
        <v>244</v>
      </c>
      <c r="CD1811" s="2" t="s">
        <v>231</v>
      </c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>
        <v>62</v>
      </c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>
        <v>40</v>
      </c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>
        <v>40</v>
      </c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</row>
    <row r="1812">
      <c r="A1812" s="2" t="s">
        <v>8258</v>
      </c>
      <c r="B1812" s="2" t="s">
        <v>1186</v>
      </c>
      <c r="C1812" s="2" t="s">
        <v>357</v>
      </c>
      <c r="D1812" s="2" t="s">
        <v>654</v>
      </c>
      <c r="E1812" s="2" t="s">
        <v>1187</v>
      </c>
      <c r="F1812" s="2" t="s">
        <v>8248</v>
      </c>
      <c r="G1812" s="2" t="s">
        <v>8249</v>
      </c>
      <c r="H1812" s="2" t="s">
        <v>1428</v>
      </c>
      <c r="I1812" s="2" t="s">
        <v>8250</v>
      </c>
      <c r="J1812" s="2" t="s">
        <v>281</v>
      </c>
      <c r="K1812" s="2" t="s">
        <v>452</v>
      </c>
      <c r="L1812" s="3">
        <v>28.57</v>
      </c>
      <c r="M1812" s="3">
        <v>30</v>
      </c>
      <c r="N1812" s="3">
        <v>59.99</v>
      </c>
      <c r="O1812" s="2" t="s">
        <v>243</v>
      </c>
      <c r="P1812" s="2" t="s">
        <v>236</v>
      </c>
      <c r="Q1812" s="2" t="s">
        <v>237</v>
      </c>
      <c r="R1812" s="2" t="s">
        <v>231</v>
      </c>
      <c r="S1812" s="2" t="s">
        <v>8257</v>
      </c>
      <c r="T1812" s="2" t="s">
        <v>472</v>
      </c>
      <c r="U1812" s="2" t="s">
        <v>700</v>
      </c>
      <c r="V1812" s="2" t="s">
        <v>1192</v>
      </c>
      <c r="W1812" s="2" t="s">
        <v>273</v>
      </c>
      <c r="X1812" s="2" t="s">
        <v>808</v>
      </c>
      <c r="Y1812" s="2" t="s">
        <v>231</v>
      </c>
      <c r="Z1812" s="4"/>
      <c r="AA1812" s="4">
        <f>=ROUNDDOWN({0},0)</f>
      </c>
      <c r="AB1812" s="5"/>
      <c r="AC1812" s="2" t="s">
        <v>321</v>
      </c>
      <c r="AD1812" s="4">
        <v>80</v>
      </c>
      <c r="AE1812" s="4">
        <v>200</v>
      </c>
      <c r="AF1812" s="6">
        <v>65</v>
      </c>
      <c r="AG1812" s="6"/>
      <c r="AH1812" s="7">
        <v>0</v>
      </c>
      <c r="AI1812" s="4"/>
      <c r="AJ1812" s="4">
        <f>=ROUNDDOWN({0},0)</f>
      </c>
      <c r="AK1812" s="5"/>
      <c r="AL1812" s="2" t="s">
        <v>231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231</v>
      </c>
      <c r="AW1812" s="8" t="s">
        <v>231</v>
      </c>
      <c r="AX1812" s="4" t="s">
        <v>231</v>
      </c>
      <c r="AY1812" s="8" t="s">
        <v>231</v>
      </c>
      <c r="AZ1812" s="7" t="s">
        <v>231</v>
      </c>
      <c r="BA1812" s="7" t="s">
        <v>231</v>
      </c>
      <c r="BB1812" s="7"/>
      <c r="BC1812" s="4" t="s">
        <v>231</v>
      </c>
      <c r="BD1812" s="8" t="s">
        <v>231</v>
      </c>
      <c r="BE1812" s="4" t="s">
        <v>231</v>
      </c>
      <c r="BF1812" s="8" t="s">
        <v>231</v>
      </c>
      <c r="BG1812" s="7" t="s">
        <v>231</v>
      </c>
      <c r="BH1812" s="7" t="s">
        <v>231</v>
      </c>
      <c r="BI1812" s="7"/>
      <c r="BJ1812" s="4"/>
      <c r="BK1812" s="8"/>
      <c r="BL1812" s="2" t="s">
        <v>231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241</v>
      </c>
      <c r="BV1812" s="2" t="s">
        <v>231</v>
      </c>
      <c r="BW1812" s="2" t="s">
        <v>231</v>
      </c>
      <c r="BX1812" s="2" t="s">
        <v>241</v>
      </c>
      <c r="BY1812" s="2" t="s">
        <v>242</v>
      </c>
      <c r="BZ1812" s="2" t="s">
        <v>243</v>
      </c>
      <c r="CA1812" s="2" t="s">
        <v>231</v>
      </c>
      <c r="CB1812" s="2" t="s">
        <v>231</v>
      </c>
      <c r="CC1812" s="2" t="s">
        <v>244</v>
      </c>
      <c r="CD1812" s="2" t="s">
        <v>231</v>
      </c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>
        <v>80</v>
      </c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>
        <v>60</v>
      </c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>
        <v>60</v>
      </c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</row>
    <row r="1813">
      <c r="A1813" s="2" t="s">
        <v>8259</v>
      </c>
      <c r="B1813" s="2" t="s">
        <v>1186</v>
      </c>
      <c r="C1813" s="2" t="s">
        <v>357</v>
      </c>
      <c r="D1813" s="2" t="s">
        <v>654</v>
      </c>
      <c r="E1813" s="2" t="s">
        <v>1187</v>
      </c>
      <c r="F1813" s="2" t="s">
        <v>8248</v>
      </c>
      <c r="G1813" s="2" t="s">
        <v>8249</v>
      </c>
      <c r="H1813" s="2" t="s">
        <v>1428</v>
      </c>
      <c r="I1813" s="2" t="s">
        <v>8250</v>
      </c>
      <c r="J1813" s="2" t="s">
        <v>293</v>
      </c>
      <c r="K1813" s="2" t="s">
        <v>452</v>
      </c>
      <c r="L1813" s="3">
        <v>30.95</v>
      </c>
      <c r="M1813" s="3">
        <v>32.5</v>
      </c>
      <c r="N1813" s="3">
        <v>64.99</v>
      </c>
      <c r="O1813" s="2" t="s">
        <v>243</v>
      </c>
      <c r="P1813" s="2" t="s">
        <v>236</v>
      </c>
      <c r="Q1813" s="2" t="s">
        <v>237</v>
      </c>
      <c r="R1813" s="2" t="s">
        <v>231</v>
      </c>
      <c r="S1813" s="2" t="s">
        <v>8257</v>
      </c>
      <c r="T1813" s="2" t="s">
        <v>472</v>
      </c>
      <c r="U1813" s="2" t="s">
        <v>700</v>
      </c>
      <c r="V1813" s="2" t="s">
        <v>1192</v>
      </c>
      <c r="W1813" s="2" t="s">
        <v>273</v>
      </c>
      <c r="X1813" s="2" t="s">
        <v>808</v>
      </c>
      <c r="Y1813" s="2" t="s">
        <v>231</v>
      </c>
      <c r="Z1813" s="4"/>
      <c r="AA1813" s="4">
        <f>=ROUNDDOWN({0},0)</f>
      </c>
      <c r="AB1813" s="5"/>
      <c r="AC1813" s="2" t="s">
        <v>321</v>
      </c>
      <c r="AD1813" s="4">
        <v>231</v>
      </c>
      <c r="AE1813" s="4">
        <v>541</v>
      </c>
      <c r="AF1813" s="6">
        <v>65</v>
      </c>
      <c r="AG1813" s="6"/>
      <c r="AH1813" s="7">
        <v>0</v>
      </c>
      <c r="AI1813" s="4"/>
      <c r="AJ1813" s="4">
        <f>=ROUNDDOWN({0},0)</f>
      </c>
      <c r="AK1813" s="5"/>
      <c r="AL1813" s="2" t="s">
        <v>231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231</v>
      </c>
      <c r="AW1813" s="8" t="s">
        <v>231</v>
      </c>
      <c r="AX1813" s="4" t="s">
        <v>231</v>
      </c>
      <c r="AY1813" s="8" t="s">
        <v>231</v>
      </c>
      <c r="AZ1813" s="7" t="s">
        <v>231</v>
      </c>
      <c r="BA1813" s="7" t="s">
        <v>231</v>
      </c>
      <c r="BB1813" s="7"/>
      <c r="BC1813" s="4" t="s">
        <v>231</v>
      </c>
      <c r="BD1813" s="8" t="s">
        <v>231</v>
      </c>
      <c r="BE1813" s="4" t="s">
        <v>231</v>
      </c>
      <c r="BF1813" s="8" t="s">
        <v>231</v>
      </c>
      <c r="BG1813" s="7" t="s">
        <v>231</v>
      </c>
      <c r="BH1813" s="7" t="s">
        <v>231</v>
      </c>
      <c r="BI1813" s="7"/>
      <c r="BJ1813" s="4"/>
      <c r="BK1813" s="8"/>
      <c r="BL1813" s="2" t="s">
        <v>231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241</v>
      </c>
      <c r="BV1813" s="2" t="s">
        <v>231</v>
      </c>
      <c r="BW1813" s="2" t="s">
        <v>231</v>
      </c>
      <c r="BX1813" s="2" t="s">
        <v>241</v>
      </c>
      <c r="BY1813" s="2" t="s">
        <v>242</v>
      </c>
      <c r="BZ1813" s="2" t="s">
        <v>243</v>
      </c>
      <c r="CA1813" s="2" t="s">
        <v>231</v>
      </c>
      <c r="CB1813" s="2" t="s">
        <v>231</v>
      </c>
      <c r="CC1813" s="2" t="s">
        <v>244</v>
      </c>
      <c r="CD1813" s="2" t="s">
        <v>231</v>
      </c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>
        <v>231</v>
      </c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>
        <v>180</v>
      </c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>
        <v>130</v>
      </c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</row>
    <row r="1814">
      <c r="A1814" s="2" t="s">
        <v>8260</v>
      </c>
      <c r="B1814" s="2" t="s">
        <v>1186</v>
      </c>
      <c r="C1814" s="2" t="s">
        <v>357</v>
      </c>
      <c r="D1814" s="2" t="s">
        <v>654</v>
      </c>
      <c r="E1814" s="2" t="s">
        <v>1187</v>
      </c>
      <c r="F1814" s="2" t="s">
        <v>8248</v>
      </c>
      <c r="G1814" s="2" t="s">
        <v>8249</v>
      </c>
      <c r="H1814" s="2" t="s">
        <v>1428</v>
      </c>
      <c r="I1814" s="2" t="s">
        <v>8250</v>
      </c>
      <c r="J1814" s="2" t="s">
        <v>302</v>
      </c>
      <c r="K1814" s="2" t="s">
        <v>452</v>
      </c>
      <c r="L1814" s="3">
        <v>35.71</v>
      </c>
      <c r="M1814" s="3">
        <v>37.5</v>
      </c>
      <c r="N1814" s="3">
        <v>74.99</v>
      </c>
      <c r="O1814" s="2" t="s">
        <v>243</v>
      </c>
      <c r="P1814" s="2" t="s">
        <v>236</v>
      </c>
      <c r="Q1814" s="2" t="s">
        <v>237</v>
      </c>
      <c r="R1814" s="2" t="s">
        <v>231</v>
      </c>
      <c r="S1814" s="2" t="s">
        <v>8257</v>
      </c>
      <c r="T1814" s="2" t="s">
        <v>472</v>
      </c>
      <c r="U1814" s="2" t="s">
        <v>700</v>
      </c>
      <c r="V1814" s="2" t="s">
        <v>1192</v>
      </c>
      <c r="W1814" s="2" t="s">
        <v>273</v>
      </c>
      <c r="X1814" s="2" t="s">
        <v>808</v>
      </c>
      <c r="Y1814" s="2" t="s">
        <v>231</v>
      </c>
      <c r="Z1814" s="4"/>
      <c r="AA1814" s="4">
        <f>=ROUNDDOWN({0},0)</f>
      </c>
      <c r="AB1814" s="5"/>
      <c r="AC1814" s="2" t="s">
        <v>321</v>
      </c>
      <c r="AD1814" s="4">
        <v>132</v>
      </c>
      <c r="AE1814" s="4">
        <v>332</v>
      </c>
      <c r="AF1814" s="6">
        <v>65</v>
      </c>
      <c r="AG1814" s="6"/>
      <c r="AH1814" s="7">
        <v>0</v>
      </c>
      <c r="AI1814" s="4"/>
      <c r="AJ1814" s="4">
        <f>=ROUNDDOWN({0},0)</f>
      </c>
      <c r="AK1814" s="5"/>
      <c r="AL1814" s="2" t="s">
        <v>231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231</v>
      </c>
      <c r="AW1814" s="8" t="s">
        <v>231</v>
      </c>
      <c r="AX1814" s="4" t="s">
        <v>231</v>
      </c>
      <c r="AY1814" s="8" t="s">
        <v>231</v>
      </c>
      <c r="AZ1814" s="7" t="s">
        <v>231</v>
      </c>
      <c r="BA1814" s="7" t="s">
        <v>231</v>
      </c>
      <c r="BB1814" s="7"/>
      <c r="BC1814" s="4" t="s">
        <v>231</v>
      </c>
      <c r="BD1814" s="8" t="s">
        <v>231</v>
      </c>
      <c r="BE1814" s="4" t="s">
        <v>231</v>
      </c>
      <c r="BF1814" s="8" t="s">
        <v>231</v>
      </c>
      <c r="BG1814" s="7" t="s">
        <v>231</v>
      </c>
      <c r="BH1814" s="7" t="s">
        <v>231</v>
      </c>
      <c r="BI1814" s="7"/>
      <c r="BJ1814" s="4"/>
      <c r="BK1814" s="8"/>
      <c r="BL1814" s="2" t="s">
        <v>231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241</v>
      </c>
      <c r="BV1814" s="2" t="s">
        <v>231</v>
      </c>
      <c r="BW1814" s="2" t="s">
        <v>231</v>
      </c>
      <c r="BX1814" s="2" t="s">
        <v>241</v>
      </c>
      <c r="BY1814" s="2" t="s">
        <v>242</v>
      </c>
      <c r="BZ1814" s="2" t="s">
        <v>243</v>
      </c>
      <c r="CA1814" s="2" t="s">
        <v>231</v>
      </c>
      <c r="CB1814" s="2" t="s">
        <v>231</v>
      </c>
      <c r="CC1814" s="2" t="s">
        <v>244</v>
      </c>
      <c r="CD1814" s="2" t="s">
        <v>231</v>
      </c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>
        <v>132</v>
      </c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>
        <v>110</v>
      </c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>
        <v>90</v>
      </c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</row>
    <row r="1815">
      <c r="A1815" s="2" t="s">
        <v>8261</v>
      </c>
      <c r="B1815" s="2" t="s">
        <v>1186</v>
      </c>
      <c r="C1815" s="2" t="s">
        <v>357</v>
      </c>
      <c r="D1815" s="2" t="s">
        <v>654</v>
      </c>
      <c r="E1815" s="2" t="s">
        <v>1187</v>
      </c>
      <c r="F1815" s="2" t="s">
        <v>8248</v>
      </c>
      <c r="G1815" s="2" t="s">
        <v>8249</v>
      </c>
      <c r="H1815" s="2" t="s">
        <v>1428</v>
      </c>
      <c r="I1815" s="2" t="s">
        <v>8250</v>
      </c>
      <c r="J1815" s="2" t="s">
        <v>304</v>
      </c>
      <c r="K1815" s="2" t="s">
        <v>452</v>
      </c>
      <c r="L1815" s="3">
        <v>35.71</v>
      </c>
      <c r="M1815" s="3">
        <v>37.5</v>
      </c>
      <c r="N1815" s="3">
        <v>74.99</v>
      </c>
      <c r="O1815" s="2" t="s">
        <v>243</v>
      </c>
      <c r="P1815" s="2" t="s">
        <v>236</v>
      </c>
      <c r="Q1815" s="2" t="s">
        <v>237</v>
      </c>
      <c r="R1815" s="2" t="s">
        <v>231</v>
      </c>
      <c r="S1815" s="2" t="s">
        <v>8257</v>
      </c>
      <c r="T1815" s="2" t="s">
        <v>472</v>
      </c>
      <c r="U1815" s="2" t="s">
        <v>700</v>
      </c>
      <c r="V1815" s="2" t="s">
        <v>1192</v>
      </c>
      <c r="W1815" s="2" t="s">
        <v>273</v>
      </c>
      <c r="X1815" s="2" t="s">
        <v>808</v>
      </c>
      <c r="Y1815" s="2" t="s">
        <v>231</v>
      </c>
      <c r="Z1815" s="4"/>
      <c r="AA1815" s="4">
        <f>=ROUNDDOWN({0},0)</f>
      </c>
      <c r="AB1815" s="5"/>
      <c r="AC1815" s="2" t="s">
        <v>321</v>
      </c>
      <c r="AD1815" s="4">
        <v>82</v>
      </c>
      <c r="AE1815" s="4">
        <v>192</v>
      </c>
      <c r="AF1815" s="6">
        <v>65</v>
      </c>
      <c r="AG1815" s="6"/>
      <c r="AH1815" s="7">
        <v>0</v>
      </c>
      <c r="AI1815" s="4"/>
      <c r="AJ1815" s="4">
        <f>=ROUNDDOWN({0},0)</f>
      </c>
      <c r="AK1815" s="5"/>
      <c r="AL1815" s="2" t="s">
        <v>231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231</v>
      </c>
      <c r="AW1815" s="8" t="s">
        <v>231</v>
      </c>
      <c r="AX1815" s="4" t="s">
        <v>231</v>
      </c>
      <c r="AY1815" s="8" t="s">
        <v>231</v>
      </c>
      <c r="AZ1815" s="7" t="s">
        <v>231</v>
      </c>
      <c r="BA1815" s="7" t="s">
        <v>231</v>
      </c>
      <c r="BB1815" s="7"/>
      <c r="BC1815" s="4" t="s">
        <v>231</v>
      </c>
      <c r="BD1815" s="8" t="s">
        <v>231</v>
      </c>
      <c r="BE1815" s="4" t="s">
        <v>231</v>
      </c>
      <c r="BF1815" s="8" t="s">
        <v>231</v>
      </c>
      <c r="BG1815" s="7" t="s">
        <v>231</v>
      </c>
      <c r="BH1815" s="7" t="s">
        <v>231</v>
      </c>
      <c r="BI1815" s="7"/>
      <c r="BJ1815" s="4"/>
      <c r="BK1815" s="8"/>
      <c r="BL1815" s="2" t="s">
        <v>231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241</v>
      </c>
      <c r="BV1815" s="2" t="s">
        <v>231</v>
      </c>
      <c r="BW1815" s="2" t="s">
        <v>231</v>
      </c>
      <c r="BX1815" s="2" t="s">
        <v>241</v>
      </c>
      <c r="BY1815" s="2" t="s">
        <v>242</v>
      </c>
      <c r="BZ1815" s="2" t="s">
        <v>243</v>
      </c>
      <c r="CA1815" s="2" t="s">
        <v>231</v>
      </c>
      <c r="CB1815" s="2" t="s">
        <v>231</v>
      </c>
      <c r="CC1815" s="2" t="s">
        <v>244</v>
      </c>
      <c r="CD1815" s="2" t="s">
        <v>231</v>
      </c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>
        <v>82</v>
      </c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>
        <v>60</v>
      </c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>
        <v>50</v>
      </c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</row>
    <row r="1816">
      <c r="A1816" s="2" t="s">
        <v>8262</v>
      </c>
      <c r="B1816" s="2" t="s">
        <v>801</v>
      </c>
      <c r="C1816" s="2" t="s">
        <v>802</v>
      </c>
      <c r="D1816" s="2" t="s">
        <v>1114</v>
      </c>
      <c r="E1816" s="2" t="s">
        <v>1115</v>
      </c>
      <c r="F1816" s="2" t="s">
        <v>8263</v>
      </c>
      <c r="G1816" s="2" t="s">
        <v>8263</v>
      </c>
      <c r="H1816" s="2" t="s">
        <v>8263</v>
      </c>
      <c r="I1816" s="2" t="s">
        <v>8264</v>
      </c>
      <c r="J1816" s="2" t="s">
        <v>807</v>
      </c>
      <c r="K1816" s="2" t="s">
        <v>1011</v>
      </c>
      <c r="L1816" s="3">
        <v>62</v>
      </c>
      <c r="M1816" s="3">
        <v>65.1</v>
      </c>
      <c r="N1816" s="3">
        <v>129.99</v>
      </c>
      <c r="O1816" s="2" t="s">
        <v>243</v>
      </c>
      <c r="P1816" s="2" t="s">
        <v>236</v>
      </c>
      <c r="Q1816" s="2" t="s">
        <v>237</v>
      </c>
      <c r="R1816" s="2" t="s">
        <v>231</v>
      </c>
      <c r="S1816" s="2" t="s">
        <v>231</v>
      </c>
      <c r="T1816" s="2" t="s">
        <v>231</v>
      </c>
      <c r="U1816" s="2" t="s">
        <v>327</v>
      </c>
      <c r="V1816" s="2" t="s">
        <v>662</v>
      </c>
      <c r="W1816" s="2" t="s">
        <v>273</v>
      </c>
      <c r="X1816" s="2" t="s">
        <v>676</v>
      </c>
      <c r="Y1816" s="2" t="s">
        <v>3957</v>
      </c>
      <c r="Z1816" s="4">
        <v>94</v>
      </c>
      <c r="AA1816" s="4">
        <f>=ROUNDDOWN(52.2222222222222,0)</f>
      </c>
      <c r="AB1816" s="5">
        <v>1.8</v>
      </c>
      <c r="AC1816" s="2" t="s">
        <v>231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231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231</v>
      </c>
      <c r="BD1816" s="8" t="s">
        <v>231</v>
      </c>
      <c r="BE1816" s="4" t="s">
        <v>231</v>
      </c>
      <c r="BF1816" s="8" t="s">
        <v>231</v>
      </c>
      <c r="BG1816" s="7" t="s">
        <v>231</v>
      </c>
      <c r="BH1816" s="7" t="s">
        <v>231</v>
      </c>
      <c r="BI1816" s="7"/>
      <c r="BJ1816" s="4">
        <v>3</v>
      </c>
      <c r="BK1816" s="8">
        <v>175.78</v>
      </c>
      <c r="BL1816" s="2" t="s">
        <v>2343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8265</v>
      </c>
      <c r="BV1816" s="2" t="s">
        <v>231</v>
      </c>
      <c r="BW1816" s="2" t="s">
        <v>231</v>
      </c>
      <c r="BX1816" s="2" t="s">
        <v>241</v>
      </c>
      <c r="BY1816" s="2" t="s">
        <v>277</v>
      </c>
      <c r="BZ1816" s="2" t="s">
        <v>243</v>
      </c>
      <c r="CA1816" s="2" t="s">
        <v>2986</v>
      </c>
      <c r="CB1816" s="2" t="s">
        <v>231</v>
      </c>
      <c r="CC1816" s="2" t="s">
        <v>244</v>
      </c>
      <c r="CD1816" s="2" t="s">
        <v>231</v>
      </c>
      <c r="CE1816" s="4"/>
      <c r="CF1816" s="4">
        <v>94</v>
      </c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</row>
    <row r="1817">
      <c r="A1817" s="2" t="s">
        <v>8266</v>
      </c>
      <c r="B1817" s="2" t="s">
        <v>801</v>
      </c>
      <c r="C1817" s="2" t="s">
        <v>802</v>
      </c>
      <c r="D1817" s="2" t="s">
        <v>1114</v>
      </c>
      <c r="E1817" s="2" t="s">
        <v>1115</v>
      </c>
      <c r="F1817" s="2" t="s">
        <v>8263</v>
      </c>
      <c r="G1817" s="2" t="s">
        <v>8263</v>
      </c>
      <c r="H1817" s="2" t="s">
        <v>8263</v>
      </c>
      <c r="I1817" s="2" t="s">
        <v>8264</v>
      </c>
      <c r="J1817" s="2" t="s">
        <v>807</v>
      </c>
      <c r="K1817" s="2" t="s">
        <v>269</v>
      </c>
      <c r="L1817" s="3">
        <v>57</v>
      </c>
      <c r="M1817" s="3">
        <v>59.85</v>
      </c>
      <c r="N1817" s="3">
        <v>119</v>
      </c>
      <c r="O1817" s="2" t="s">
        <v>243</v>
      </c>
      <c r="P1817" s="2" t="s">
        <v>236</v>
      </c>
      <c r="Q1817" s="2" t="s">
        <v>237</v>
      </c>
      <c r="R1817" s="2" t="s">
        <v>231</v>
      </c>
      <c r="S1817" s="2" t="s">
        <v>231</v>
      </c>
      <c r="T1817" s="2" t="s">
        <v>231</v>
      </c>
      <c r="U1817" s="2" t="s">
        <v>327</v>
      </c>
      <c r="V1817" s="2" t="s">
        <v>662</v>
      </c>
      <c r="W1817" s="2" t="s">
        <v>273</v>
      </c>
      <c r="X1817" s="2" t="s">
        <v>676</v>
      </c>
      <c r="Y1817" s="2" t="s">
        <v>6046</v>
      </c>
      <c r="Z1817" s="4">
        <v>68</v>
      </c>
      <c r="AA1817" s="4">
        <f>=ROUNDDOWN(48.5714285714286,0)</f>
      </c>
      <c r="AB1817" s="5">
        <v>1.4</v>
      </c>
      <c r="AC1817" s="2" t="s">
        <v>231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231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231</v>
      </c>
      <c r="BD1817" s="8" t="s">
        <v>231</v>
      </c>
      <c r="BE1817" s="4" t="s">
        <v>231</v>
      </c>
      <c r="BF1817" s="8" t="s">
        <v>231</v>
      </c>
      <c r="BG1817" s="7" t="s">
        <v>231</v>
      </c>
      <c r="BH1817" s="7" t="s">
        <v>231</v>
      </c>
      <c r="BI1817" s="7"/>
      <c r="BJ1817" s="4">
        <v>7</v>
      </c>
      <c r="BK1817" s="8">
        <v>383.05</v>
      </c>
      <c r="BL1817" s="2" t="s">
        <v>2343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8267</v>
      </c>
      <c r="BV1817" s="2" t="s">
        <v>231</v>
      </c>
      <c r="BW1817" s="2" t="s">
        <v>231</v>
      </c>
      <c r="BX1817" s="2" t="s">
        <v>241</v>
      </c>
      <c r="BY1817" s="2" t="s">
        <v>277</v>
      </c>
      <c r="BZ1817" s="2" t="s">
        <v>243</v>
      </c>
      <c r="CA1817" s="2" t="s">
        <v>2986</v>
      </c>
      <c r="CB1817" s="2" t="s">
        <v>231</v>
      </c>
      <c r="CC1817" s="2" t="s">
        <v>244</v>
      </c>
      <c r="CD1817" s="2" t="s">
        <v>231</v>
      </c>
      <c r="CE1817" s="4"/>
      <c r="CF1817" s="4">
        <v>68</v>
      </c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</row>
    <row r="1818">
      <c r="A1818" s="2" t="s">
        <v>8268</v>
      </c>
      <c r="B1818" s="2" t="s">
        <v>287</v>
      </c>
      <c r="C1818" s="2" t="s">
        <v>913</v>
      </c>
      <c r="D1818" s="2" t="s">
        <v>289</v>
      </c>
      <c r="E1818" s="2" t="s">
        <v>290</v>
      </c>
      <c r="F1818" s="2" t="s">
        <v>8269</v>
      </c>
      <c r="G1818" s="2" t="s">
        <v>8269</v>
      </c>
      <c r="H1818" s="2" t="s">
        <v>8269</v>
      </c>
      <c r="I1818" s="2" t="s">
        <v>8270</v>
      </c>
      <c r="J1818" s="2" t="s">
        <v>293</v>
      </c>
      <c r="K1818" s="2" t="s">
        <v>253</v>
      </c>
      <c r="L1818" s="3">
        <v>63.11</v>
      </c>
      <c r="M1818" s="3">
        <v>66.27</v>
      </c>
      <c r="N1818" s="3">
        <v>169.99</v>
      </c>
      <c r="O1818" s="2" t="s">
        <v>243</v>
      </c>
      <c r="P1818" s="2" t="s">
        <v>270</v>
      </c>
      <c r="Q1818" s="2" t="s">
        <v>237</v>
      </c>
      <c r="R1818" s="2" t="s">
        <v>231</v>
      </c>
      <c r="S1818" s="2" t="s">
        <v>231</v>
      </c>
      <c r="T1818" s="2" t="s">
        <v>362</v>
      </c>
      <c r="U1818" s="2" t="s">
        <v>231</v>
      </c>
      <c r="V1818" s="2" t="s">
        <v>239</v>
      </c>
      <c r="W1818" s="2" t="s">
        <v>299</v>
      </c>
      <c r="X1818" s="2" t="s">
        <v>231</v>
      </c>
      <c r="Y1818" s="2" t="s">
        <v>3869</v>
      </c>
      <c r="Z1818" s="4">
        <v>311</v>
      </c>
      <c r="AA1818" s="4">
        <f>=ROUNDDOWN(44.4285714285714,0)</f>
      </c>
      <c r="AB1818" s="5">
        <v>7</v>
      </c>
      <c r="AC1818" s="2" t="s">
        <v>231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231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231</v>
      </c>
      <c r="AW1818" s="8" t="s">
        <v>231</v>
      </c>
      <c r="AX1818" s="4" t="s">
        <v>231</v>
      </c>
      <c r="AY1818" s="8" t="s">
        <v>231</v>
      </c>
      <c r="AZ1818" s="7" t="s">
        <v>231</v>
      </c>
      <c r="BA1818" s="7" t="s">
        <v>231</v>
      </c>
      <c r="BB1818" s="7"/>
      <c r="BC1818" s="4" t="s">
        <v>231</v>
      </c>
      <c r="BD1818" s="8" t="s">
        <v>231</v>
      </c>
      <c r="BE1818" s="4" t="s">
        <v>231</v>
      </c>
      <c r="BF1818" s="8" t="s">
        <v>231</v>
      </c>
      <c r="BG1818" s="7" t="s">
        <v>231</v>
      </c>
      <c r="BH1818" s="7" t="s">
        <v>231</v>
      </c>
      <c r="BI1818" s="7"/>
      <c r="BJ1818" s="4">
        <v>18</v>
      </c>
      <c r="BK1818" s="8">
        <v>1302.51</v>
      </c>
      <c r="BL1818" s="2" t="s">
        <v>2356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8271</v>
      </c>
      <c r="BV1818" s="2" t="s">
        <v>231</v>
      </c>
      <c r="BW1818" s="2" t="s">
        <v>231</v>
      </c>
      <c r="BX1818" s="2" t="s">
        <v>231</v>
      </c>
      <c r="BY1818" s="2" t="s">
        <v>277</v>
      </c>
      <c r="BZ1818" s="2" t="s">
        <v>243</v>
      </c>
      <c r="CA1818" s="2" t="s">
        <v>7986</v>
      </c>
      <c r="CB1818" s="2" t="s">
        <v>8191</v>
      </c>
      <c r="CC1818" s="2" t="s">
        <v>244</v>
      </c>
      <c r="CD1818" s="2" t="s">
        <v>231</v>
      </c>
      <c r="CE1818" s="4">
        <v>311</v>
      </c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</row>
    <row r="1819">
      <c r="A1819" s="2" t="s">
        <v>8272</v>
      </c>
      <c r="B1819" s="2" t="s">
        <v>287</v>
      </c>
      <c r="C1819" s="2" t="s">
        <v>913</v>
      </c>
      <c r="D1819" s="2" t="s">
        <v>289</v>
      </c>
      <c r="E1819" s="2" t="s">
        <v>290</v>
      </c>
      <c r="F1819" s="2" t="s">
        <v>8269</v>
      </c>
      <c r="G1819" s="2" t="s">
        <v>8269</v>
      </c>
      <c r="H1819" s="2" t="s">
        <v>8269</v>
      </c>
      <c r="I1819" s="2" t="s">
        <v>8270</v>
      </c>
      <c r="J1819" s="2" t="s">
        <v>302</v>
      </c>
      <c r="K1819" s="2" t="s">
        <v>253</v>
      </c>
      <c r="L1819" s="3">
        <v>74.28</v>
      </c>
      <c r="M1819" s="3">
        <v>77.99</v>
      </c>
      <c r="N1819" s="3">
        <v>199.99</v>
      </c>
      <c r="O1819" s="2" t="s">
        <v>243</v>
      </c>
      <c r="P1819" s="2" t="s">
        <v>270</v>
      </c>
      <c r="Q1819" s="2" t="s">
        <v>237</v>
      </c>
      <c r="R1819" s="2" t="s">
        <v>231</v>
      </c>
      <c r="S1819" s="2" t="s">
        <v>231</v>
      </c>
      <c r="T1819" s="2" t="s">
        <v>362</v>
      </c>
      <c r="U1819" s="2" t="s">
        <v>231</v>
      </c>
      <c r="V1819" s="2" t="s">
        <v>239</v>
      </c>
      <c r="W1819" s="2" t="s">
        <v>299</v>
      </c>
      <c r="X1819" s="2" t="s">
        <v>231</v>
      </c>
      <c r="Y1819" s="2" t="s">
        <v>3869</v>
      </c>
      <c r="Z1819" s="4">
        <v>243</v>
      </c>
      <c r="AA1819" s="4">
        <f>=ROUNDDOWN(48.6,0)</f>
      </c>
      <c r="AB1819" s="5">
        <v>5</v>
      </c>
      <c r="AC1819" s="2" t="s">
        <v>231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231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231</v>
      </c>
      <c r="AW1819" s="8" t="s">
        <v>231</v>
      </c>
      <c r="AX1819" s="4" t="s">
        <v>231</v>
      </c>
      <c r="AY1819" s="8" t="s">
        <v>231</v>
      </c>
      <c r="AZ1819" s="7" t="s">
        <v>231</v>
      </c>
      <c r="BA1819" s="7" t="s">
        <v>231</v>
      </c>
      <c r="BB1819" s="7" t="s">
        <v>231</v>
      </c>
      <c r="BC1819" s="4" t="s">
        <v>231</v>
      </c>
      <c r="BD1819" s="8" t="s">
        <v>231</v>
      </c>
      <c r="BE1819" s="4" t="s">
        <v>231</v>
      </c>
      <c r="BF1819" s="8" t="s">
        <v>231</v>
      </c>
      <c r="BG1819" s="7" t="s">
        <v>231</v>
      </c>
      <c r="BH1819" s="7" t="s">
        <v>231</v>
      </c>
      <c r="BI1819" s="7"/>
      <c r="BJ1819" s="4">
        <v>22</v>
      </c>
      <c r="BK1819" s="8">
        <v>1852.71</v>
      </c>
      <c r="BL1819" s="2" t="s">
        <v>8273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8274</v>
      </c>
      <c r="BV1819" s="2" t="s">
        <v>231</v>
      </c>
      <c r="BW1819" s="2" t="s">
        <v>231</v>
      </c>
      <c r="BX1819" s="2" t="s">
        <v>231</v>
      </c>
      <c r="BY1819" s="2" t="s">
        <v>277</v>
      </c>
      <c r="BZ1819" s="2" t="s">
        <v>243</v>
      </c>
      <c r="CA1819" s="2" t="s">
        <v>7986</v>
      </c>
      <c r="CB1819" s="2" t="s">
        <v>2515</v>
      </c>
      <c r="CC1819" s="2" t="s">
        <v>244</v>
      </c>
      <c r="CD1819" s="2" t="s">
        <v>231</v>
      </c>
      <c r="CE1819" s="4">
        <v>243</v>
      </c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</row>
    <row r="1820">
      <c r="A1820" s="2" t="s">
        <v>8275</v>
      </c>
      <c r="B1820" s="2" t="s">
        <v>287</v>
      </c>
      <c r="C1820" s="2" t="s">
        <v>913</v>
      </c>
      <c r="D1820" s="2" t="s">
        <v>289</v>
      </c>
      <c r="E1820" s="2" t="s">
        <v>290</v>
      </c>
      <c r="F1820" s="2" t="s">
        <v>8269</v>
      </c>
      <c r="G1820" s="2" t="s">
        <v>8269</v>
      </c>
      <c r="H1820" s="2" t="s">
        <v>8269</v>
      </c>
      <c r="I1820" s="2" t="s">
        <v>8276</v>
      </c>
      <c r="J1820" s="2" t="s">
        <v>302</v>
      </c>
      <c r="K1820" s="2" t="s">
        <v>253</v>
      </c>
      <c r="L1820" s="3">
        <v>22.28</v>
      </c>
      <c r="M1820" s="3">
        <v>23.39</v>
      </c>
      <c r="N1820" s="3">
        <v>59.99</v>
      </c>
      <c r="O1820" s="2" t="s">
        <v>243</v>
      </c>
      <c r="P1820" s="2" t="s">
        <v>270</v>
      </c>
      <c r="Q1820" s="2" t="s">
        <v>237</v>
      </c>
      <c r="R1820" s="2" t="s">
        <v>231</v>
      </c>
      <c r="S1820" s="2" t="s">
        <v>231</v>
      </c>
      <c r="T1820" s="2" t="s">
        <v>362</v>
      </c>
      <c r="U1820" s="2" t="s">
        <v>231</v>
      </c>
      <c r="V1820" s="2" t="s">
        <v>239</v>
      </c>
      <c r="W1820" s="2" t="s">
        <v>299</v>
      </c>
      <c r="X1820" s="2" t="s">
        <v>231</v>
      </c>
      <c r="Y1820" s="2" t="s">
        <v>3869</v>
      </c>
      <c r="Z1820" s="4">
        <v>48</v>
      </c>
      <c r="AA1820" s="4">
        <f>=ROUNDDOWN(24,0)</f>
      </c>
      <c r="AB1820" s="5">
        <v>2</v>
      </c>
      <c r="AC1820" s="2" t="s">
        <v>231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231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231</v>
      </c>
      <c r="AW1820" s="8" t="s">
        <v>231</v>
      </c>
      <c r="AX1820" s="4" t="s">
        <v>231</v>
      </c>
      <c r="AY1820" s="8" t="s">
        <v>231</v>
      </c>
      <c r="AZ1820" s="7" t="s">
        <v>231</v>
      </c>
      <c r="BA1820" s="7" t="s">
        <v>231</v>
      </c>
      <c r="BB1820" s="7" t="s">
        <v>231</v>
      </c>
      <c r="BC1820" s="4" t="s">
        <v>231</v>
      </c>
      <c r="BD1820" s="8" t="s">
        <v>231</v>
      </c>
      <c r="BE1820" s="4" t="s">
        <v>231</v>
      </c>
      <c r="BF1820" s="8" t="s">
        <v>231</v>
      </c>
      <c r="BG1820" s="7" t="s">
        <v>231</v>
      </c>
      <c r="BH1820" s="7" t="s">
        <v>231</v>
      </c>
      <c r="BI1820" s="7"/>
      <c r="BJ1820" s="4">
        <v>4</v>
      </c>
      <c r="BK1820" s="8">
        <v>119.15</v>
      </c>
      <c r="BL1820" s="2" t="s">
        <v>8277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8278</v>
      </c>
      <c r="BV1820" s="2" t="s">
        <v>231</v>
      </c>
      <c r="BW1820" s="2" t="s">
        <v>231</v>
      </c>
      <c r="BX1820" s="2" t="s">
        <v>231</v>
      </c>
      <c r="BY1820" s="2" t="s">
        <v>277</v>
      </c>
      <c r="BZ1820" s="2" t="s">
        <v>243</v>
      </c>
      <c r="CA1820" s="2" t="s">
        <v>7986</v>
      </c>
      <c r="CB1820" s="2" t="s">
        <v>1957</v>
      </c>
      <c r="CC1820" s="2" t="s">
        <v>244</v>
      </c>
      <c r="CD1820" s="2" t="s">
        <v>231</v>
      </c>
      <c r="CE1820" s="4">
        <v>48</v>
      </c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</row>
    <row r="1821">
      <c r="A1821" s="2" t="s">
        <v>8279</v>
      </c>
      <c r="B1821" s="2" t="s">
        <v>287</v>
      </c>
      <c r="C1821" s="2" t="s">
        <v>913</v>
      </c>
      <c r="D1821" s="2" t="s">
        <v>289</v>
      </c>
      <c r="E1821" s="2" t="s">
        <v>290</v>
      </c>
      <c r="F1821" s="2" t="s">
        <v>8269</v>
      </c>
      <c r="G1821" s="2" t="s">
        <v>8269</v>
      </c>
      <c r="H1821" s="2" t="s">
        <v>8269</v>
      </c>
      <c r="I1821" s="2" t="s">
        <v>8270</v>
      </c>
      <c r="J1821" s="2" t="s">
        <v>304</v>
      </c>
      <c r="K1821" s="2" t="s">
        <v>253</v>
      </c>
      <c r="L1821" s="3">
        <v>74.28</v>
      </c>
      <c r="M1821" s="3">
        <v>77.99</v>
      </c>
      <c r="N1821" s="3">
        <v>199.99</v>
      </c>
      <c r="O1821" s="2" t="s">
        <v>243</v>
      </c>
      <c r="P1821" s="2" t="s">
        <v>270</v>
      </c>
      <c r="Q1821" s="2" t="s">
        <v>237</v>
      </c>
      <c r="R1821" s="2" t="s">
        <v>231</v>
      </c>
      <c r="S1821" s="2" t="s">
        <v>231</v>
      </c>
      <c r="T1821" s="2" t="s">
        <v>362</v>
      </c>
      <c r="U1821" s="2" t="s">
        <v>231</v>
      </c>
      <c r="V1821" s="2" t="s">
        <v>239</v>
      </c>
      <c r="W1821" s="2" t="s">
        <v>299</v>
      </c>
      <c r="X1821" s="2" t="s">
        <v>231</v>
      </c>
      <c r="Y1821" s="2" t="s">
        <v>3869</v>
      </c>
      <c r="Z1821" s="4">
        <v>116</v>
      </c>
      <c r="AA1821" s="4">
        <f>=ROUNDDOWN(58,0)</f>
      </c>
      <c r="AB1821" s="5">
        <v>2</v>
      </c>
      <c r="AC1821" s="2" t="s">
        <v>231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231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231</v>
      </c>
      <c r="AW1821" s="8" t="s">
        <v>231</v>
      </c>
      <c r="AX1821" s="4" t="s">
        <v>231</v>
      </c>
      <c r="AY1821" s="8" t="s">
        <v>231</v>
      </c>
      <c r="AZ1821" s="7" t="s">
        <v>231</v>
      </c>
      <c r="BA1821" s="7" t="s">
        <v>231</v>
      </c>
      <c r="BB1821" s="7"/>
      <c r="BC1821" s="4" t="s">
        <v>231</v>
      </c>
      <c r="BD1821" s="8" t="s">
        <v>231</v>
      </c>
      <c r="BE1821" s="4" t="s">
        <v>231</v>
      </c>
      <c r="BF1821" s="8" t="s">
        <v>231</v>
      </c>
      <c r="BG1821" s="7" t="s">
        <v>231</v>
      </c>
      <c r="BH1821" s="7" t="s">
        <v>231</v>
      </c>
      <c r="BI1821" s="7"/>
      <c r="BJ1821" s="4">
        <v>10</v>
      </c>
      <c r="BK1821" s="8">
        <v>776.49</v>
      </c>
      <c r="BL1821" s="2" t="s">
        <v>3249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8280</v>
      </c>
      <c r="BV1821" s="2" t="s">
        <v>231</v>
      </c>
      <c r="BW1821" s="2" t="s">
        <v>231</v>
      </c>
      <c r="BX1821" s="2" t="s">
        <v>231</v>
      </c>
      <c r="BY1821" s="2" t="s">
        <v>277</v>
      </c>
      <c r="BZ1821" s="2" t="s">
        <v>243</v>
      </c>
      <c r="CA1821" s="2" t="s">
        <v>7986</v>
      </c>
      <c r="CB1821" s="2" t="s">
        <v>3776</v>
      </c>
      <c r="CC1821" s="2" t="s">
        <v>244</v>
      </c>
      <c r="CD1821" s="2" t="s">
        <v>231</v>
      </c>
      <c r="CE1821" s="4">
        <v>116</v>
      </c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</row>
    <row r="1822">
      <c r="A1822" s="2" t="s">
        <v>8281</v>
      </c>
      <c r="B1822" s="2" t="s">
        <v>287</v>
      </c>
      <c r="C1822" s="2" t="s">
        <v>913</v>
      </c>
      <c r="D1822" s="2" t="s">
        <v>289</v>
      </c>
      <c r="E1822" s="2" t="s">
        <v>290</v>
      </c>
      <c r="F1822" s="2" t="s">
        <v>8269</v>
      </c>
      <c r="G1822" s="2" t="s">
        <v>8269</v>
      </c>
      <c r="H1822" s="2" t="s">
        <v>8269</v>
      </c>
      <c r="I1822" s="2" t="s">
        <v>8276</v>
      </c>
      <c r="J1822" s="2" t="s">
        <v>8282</v>
      </c>
      <c r="K1822" s="2" t="s">
        <v>253</v>
      </c>
      <c r="L1822" s="3">
        <v>18.57</v>
      </c>
      <c r="M1822" s="3">
        <v>19.5</v>
      </c>
      <c r="N1822" s="3">
        <v>49.99</v>
      </c>
      <c r="O1822" s="2" t="s">
        <v>243</v>
      </c>
      <c r="P1822" s="2" t="s">
        <v>270</v>
      </c>
      <c r="Q1822" s="2" t="s">
        <v>237</v>
      </c>
      <c r="R1822" s="2" t="s">
        <v>231</v>
      </c>
      <c r="S1822" s="2" t="s">
        <v>231</v>
      </c>
      <c r="T1822" s="2" t="s">
        <v>362</v>
      </c>
      <c r="U1822" s="2" t="s">
        <v>231</v>
      </c>
      <c r="V1822" s="2" t="s">
        <v>239</v>
      </c>
      <c r="W1822" s="2" t="s">
        <v>299</v>
      </c>
      <c r="X1822" s="2" t="s">
        <v>231</v>
      </c>
      <c r="Y1822" s="2" t="s">
        <v>3869</v>
      </c>
      <c r="Z1822" s="4">
        <v>80</v>
      </c>
      <c r="AA1822" s="4">
        <f>=ROUNDDOWN(40,0)</f>
      </c>
      <c r="AB1822" s="5">
        <v>2</v>
      </c>
      <c r="AC1822" s="2" t="s">
        <v>231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231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231</v>
      </c>
      <c r="AW1822" s="8" t="s">
        <v>231</v>
      </c>
      <c r="AX1822" s="4" t="s">
        <v>231</v>
      </c>
      <c r="AY1822" s="8" t="s">
        <v>231</v>
      </c>
      <c r="AZ1822" s="7" t="s">
        <v>231</v>
      </c>
      <c r="BA1822" s="7" t="s">
        <v>231</v>
      </c>
      <c r="BB1822" s="7"/>
      <c r="BC1822" s="4" t="s">
        <v>231</v>
      </c>
      <c r="BD1822" s="8" t="s">
        <v>231</v>
      </c>
      <c r="BE1822" s="4" t="s">
        <v>231</v>
      </c>
      <c r="BF1822" s="8" t="s">
        <v>231</v>
      </c>
      <c r="BG1822" s="7" t="s">
        <v>231</v>
      </c>
      <c r="BH1822" s="7" t="s">
        <v>231</v>
      </c>
      <c r="BI1822" s="7"/>
      <c r="BJ1822" s="4">
        <v>4</v>
      </c>
      <c r="BK1822" s="8">
        <v>98.11</v>
      </c>
      <c r="BL1822" s="2" t="s">
        <v>8283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8284</v>
      </c>
      <c r="BV1822" s="2" t="s">
        <v>231</v>
      </c>
      <c r="BW1822" s="2" t="s">
        <v>231</v>
      </c>
      <c r="BX1822" s="2" t="s">
        <v>231</v>
      </c>
      <c r="BY1822" s="2" t="s">
        <v>277</v>
      </c>
      <c r="BZ1822" s="2" t="s">
        <v>243</v>
      </c>
      <c r="CA1822" s="2" t="s">
        <v>7986</v>
      </c>
      <c r="CB1822" s="2" t="s">
        <v>2515</v>
      </c>
      <c r="CC1822" s="2" t="s">
        <v>244</v>
      </c>
      <c r="CD1822" s="2" t="s">
        <v>231</v>
      </c>
      <c r="CE1822" s="4">
        <v>80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</row>
    <row r="1823">
      <c r="A1823" s="2" t="s">
        <v>8285</v>
      </c>
      <c r="B1823" s="2" t="s">
        <v>287</v>
      </c>
      <c r="C1823" s="2" t="s">
        <v>913</v>
      </c>
      <c r="D1823" s="2" t="s">
        <v>289</v>
      </c>
      <c r="E1823" s="2" t="s">
        <v>290</v>
      </c>
      <c r="F1823" s="2" t="s">
        <v>8269</v>
      </c>
      <c r="G1823" s="2" t="s">
        <v>8269</v>
      </c>
      <c r="H1823" s="2" t="s">
        <v>8269</v>
      </c>
      <c r="I1823" s="2" t="s">
        <v>8276</v>
      </c>
      <c r="J1823" s="2" t="s">
        <v>302</v>
      </c>
      <c r="K1823" s="2" t="s">
        <v>306</v>
      </c>
      <c r="L1823" s="3">
        <v>22.28</v>
      </c>
      <c r="M1823" s="3">
        <v>23.39</v>
      </c>
      <c r="N1823" s="3">
        <v>59.99</v>
      </c>
      <c r="O1823" s="2" t="s">
        <v>243</v>
      </c>
      <c r="P1823" s="2" t="s">
        <v>270</v>
      </c>
      <c r="Q1823" s="2" t="s">
        <v>237</v>
      </c>
      <c r="R1823" s="2" t="s">
        <v>231</v>
      </c>
      <c r="S1823" s="2" t="s">
        <v>231</v>
      </c>
      <c r="T1823" s="2" t="s">
        <v>362</v>
      </c>
      <c r="U1823" s="2" t="s">
        <v>231</v>
      </c>
      <c r="V1823" s="2" t="s">
        <v>239</v>
      </c>
      <c r="W1823" s="2" t="s">
        <v>299</v>
      </c>
      <c r="X1823" s="2" t="s">
        <v>231</v>
      </c>
      <c r="Y1823" s="2" t="s">
        <v>3869</v>
      </c>
      <c r="Z1823" s="4">
        <v>49</v>
      </c>
      <c r="AA1823" s="4">
        <f>=ROUNDDOWN(12.25,0)</f>
      </c>
      <c r="AB1823" s="5">
        <v>4</v>
      </c>
      <c r="AC1823" s="2" t="s">
        <v>231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231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 t="s">
        <v>231</v>
      </c>
      <c r="AW1823" s="8" t="s">
        <v>231</v>
      </c>
      <c r="AX1823" s="4" t="s">
        <v>231</v>
      </c>
      <c r="AY1823" s="8" t="s">
        <v>231</v>
      </c>
      <c r="AZ1823" s="7" t="s">
        <v>231</v>
      </c>
      <c r="BA1823" s="7" t="s">
        <v>231</v>
      </c>
      <c r="BB1823" s="7"/>
      <c r="BC1823" s="4" t="s">
        <v>231</v>
      </c>
      <c r="BD1823" s="8" t="s">
        <v>231</v>
      </c>
      <c r="BE1823" s="4" t="s">
        <v>231</v>
      </c>
      <c r="BF1823" s="8" t="s">
        <v>231</v>
      </c>
      <c r="BG1823" s="7" t="s">
        <v>231</v>
      </c>
      <c r="BH1823" s="7" t="s">
        <v>231</v>
      </c>
      <c r="BI1823" s="7"/>
      <c r="BJ1823" s="4">
        <v>10</v>
      </c>
      <c r="BK1823" s="8">
        <v>230.73</v>
      </c>
      <c r="BL1823" s="2" t="s">
        <v>702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8286</v>
      </c>
      <c r="BV1823" s="2" t="s">
        <v>231</v>
      </c>
      <c r="BW1823" s="2" t="s">
        <v>231</v>
      </c>
      <c r="BX1823" s="2" t="s">
        <v>231</v>
      </c>
      <c r="BY1823" s="2" t="s">
        <v>277</v>
      </c>
      <c r="BZ1823" s="2" t="s">
        <v>243</v>
      </c>
      <c r="CA1823" s="2" t="s">
        <v>7986</v>
      </c>
      <c r="CB1823" s="2" t="s">
        <v>1583</v>
      </c>
      <c r="CC1823" s="2" t="s">
        <v>244</v>
      </c>
      <c r="CD1823" s="2" t="s">
        <v>231</v>
      </c>
      <c r="CE1823" s="4">
        <v>49</v>
      </c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</row>
    <row r="1824">
      <c r="A1824" s="2" t="s">
        <v>8287</v>
      </c>
      <c r="B1824" s="2" t="s">
        <v>287</v>
      </c>
      <c r="C1824" s="2" t="s">
        <v>913</v>
      </c>
      <c r="D1824" s="2" t="s">
        <v>289</v>
      </c>
      <c r="E1824" s="2" t="s">
        <v>290</v>
      </c>
      <c r="F1824" s="2" t="s">
        <v>8269</v>
      </c>
      <c r="G1824" s="2" t="s">
        <v>8269</v>
      </c>
      <c r="H1824" s="2" t="s">
        <v>8269</v>
      </c>
      <c r="I1824" s="2" t="s">
        <v>8270</v>
      </c>
      <c r="J1824" s="2" t="s">
        <v>304</v>
      </c>
      <c r="K1824" s="2" t="s">
        <v>306</v>
      </c>
      <c r="L1824" s="3">
        <v>74.28</v>
      </c>
      <c r="M1824" s="3">
        <v>77.99</v>
      </c>
      <c r="N1824" s="3">
        <v>199.99</v>
      </c>
      <c r="O1824" s="2" t="s">
        <v>243</v>
      </c>
      <c r="P1824" s="2" t="s">
        <v>270</v>
      </c>
      <c r="Q1824" s="2" t="s">
        <v>237</v>
      </c>
      <c r="R1824" s="2" t="s">
        <v>231</v>
      </c>
      <c r="S1824" s="2" t="s">
        <v>231</v>
      </c>
      <c r="T1824" s="2" t="s">
        <v>362</v>
      </c>
      <c r="U1824" s="2" t="s">
        <v>231</v>
      </c>
      <c r="V1824" s="2" t="s">
        <v>239</v>
      </c>
      <c r="W1824" s="2" t="s">
        <v>299</v>
      </c>
      <c r="X1824" s="2" t="s">
        <v>231</v>
      </c>
      <c r="Y1824" s="2" t="s">
        <v>3869</v>
      </c>
      <c r="Z1824" s="4">
        <v>94</v>
      </c>
      <c r="AA1824" s="4">
        <f>=ROUNDDOWN(31.3333333333333,0)</f>
      </c>
      <c r="AB1824" s="5">
        <v>3</v>
      </c>
      <c r="AC1824" s="2" t="s">
        <v>231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231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231</v>
      </c>
      <c r="AW1824" s="8" t="s">
        <v>231</v>
      </c>
      <c r="AX1824" s="4" t="s">
        <v>231</v>
      </c>
      <c r="AY1824" s="8" t="s">
        <v>231</v>
      </c>
      <c r="AZ1824" s="7" t="s">
        <v>231</v>
      </c>
      <c r="BA1824" s="7" t="s">
        <v>231</v>
      </c>
      <c r="BB1824" s="7"/>
      <c r="BC1824" s="4" t="s">
        <v>231</v>
      </c>
      <c r="BD1824" s="8" t="s">
        <v>231</v>
      </c>
      <c r="BE1824" s="4" t="s">
        <v>231</v>
      </c>
      <c r="BF1824" s="8" t="s">
        <v>231</v>
      </c>
      <c r="BG1824" s="7" t="s">
        <v>231</v>
      </c>
      <c r="BH1824" s="7" t="s">
        <v>231</v>
      </c>
      <c r="BI1824" s="7"/>
      <c r="BJ1824" s="4">
        <v>6</v>
      </c>
      <c r="BK1824" s="8">
        <v>497.99</v>
      </c>
      <c r="BL1824" s="2" t="s">
        <v>8288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8289</v>
      </c>
      <c r="BV1824" s="2" t="s">
        <v>231</v>
      </c>
      <c r="BW1824" s="2" t="s">
        <v>231</v>
      </c>
      <c r="BX1824" s="2" t="s">
        <v>231</v>
      </c>
      <c r="BY1824" s="2" t="s">
        <v>277</v>
      </c>
      <c r="BZ1824" s="2" t="s">
        <v>243</v>
      </c>
      <c r="CA1824" s="2" t="s">
        <v>7986</v>
      </c>
      <c r="CB1824" s="2" t="s">
        <v>3776</v>
      </c>
      <c r="CC1824" s="2" t="s">
        <v>244</v>
      </c>
      <c r="CD1824" s="2" t="s">
        <v>231</v>
      </c>
      <c r="CE1824" s="4">
        <v>94</v>
      </c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</row>
    <row r="1825">
      <c r="A1825" s="2" t="s">
        <v>8290</v>
      </c>
      <c r="B1825" s="2" t="s">
        <v>287</v>
      </c>
      <c r="C1825" s="2" t="s">
        <v>913</v>
      </c>
      <c r="D1825" s="2" t="s">
        <v>289</v>
      </c>
      <c r="E1825" s="2" t="s">
        <v>290</v>
      </c>
      <c r="F1825" s="2" t="s">
        <v>8269</v>
      </c>
      <c r="G1825" s="2" t="s">
        <v>8269</v>
      </c>
      <c r="H1825" s="2" t="s">
        <v>8269</v>
      </c>
      <c r="I1825" s="2" t="s">
        <v>8270</v>
      </c>
      <c r="J1825" s="2" t="s">
        <v>293</v>
      </c>
      <c r="K1825" s="2" t="s">
        <v>319</v>
      </c>
      <c r="L1825" s="3">
        <v>63.11</v>
      </c>
      <c r="M1825" s="3">
        <v>66.27</v>
      </c>
      <c r="N1825" s="3">
        <v>169.99</v>
      </c>
      <c r="O1825" s="2" t="s">
        <v>243</v>
      </c>
      <c r="P1825" s="2" t="s">
        <v>270</v>
      </c>
      <c r="Q1825" s="2" t="s">
        <v>237</v>
      </c>
      <c r="R1825" s="2" t="s">
        <v>231</v>
      </c>
      <c r="S1825" s="2" t="s">
        <v>231</v>
      </c>
      <c r="T1825" s="2" t="s">
        <v>362</v>
      </c>
      <c r="U1825" s="2" t="s">
        <v>231</v>
      </c>
      <c r="V1825" s="2" t="s">
        <v>239</v>
      </c>
      <c r="W1825" s="2" t="s">
        <v>299</v>
      </c>
      <c r="X1825" s="2" t="s">
        <v>231</v>
      </c>
      <c r="Y1825" s="2" t="s">
        <v>3869</v>
      </c>
      <c r="Z1825" s="4">
        <v>328</v>
      </c>
      <c r="AA1825" s="4">
        <f>=ROUNDDOWN(46.8571428571429,0)</f>
      </c>
      <c r="AB1825" s="5">
        <v>7</v>
      </c>
      <c r="AC1825" s="2" t="s">
        <v>231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231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231</v>
      </c>
      <c r="AW1825" s="8" t="s">
        <v>231</v>
      </c>
      <c r="AX1825" s="4" t="s">
        <v>231</v>
      </c>
      <c r="AY1825" s="8" t="s">
        <v>231</v>
      </c>
      <c r="AZ1825" s="7" t="s">
        <v>231</v>
      </c>
      <c r="BA1825" s="7" t="s">
        <v>231</v>
      </c>
      <c r="BB1825" s="7"/>
      <c r="BC1825" s="4" t="s">
        <v>231</v>
      </c>
      <c r="BD1825" s="8" t="s">
        <v>231</v>
      </c>
      <c r="BE1825" s="4" t="s">
        <v>231</v>
      </c>
      <c r="BF1825" s="8" t="s">
        <v>231</v>
      </c>
      <c r="BG1825" s="7" t="s">
        <v>231</v>
      </c>
      <c r="BH1825" s="7" t="s">
        <v>231</v>
      </c>
      <c r="BI1825" s="7"/>
      <c r="BJ1825" s="4">
        <v>33</v>
      </c>
      <c r="BK1825" s="8">
        <v>2163.66</v>
      </c>
      <c r="BL1825" s="2" t="s">
        <v>3607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8291</v>
      </c>
      <c r="BV1825" s="2" t="s">
        <v>231</v>
      </c>
      <c r="BW1825" s="2" t="s">
        <v>231</v>
      </c>
      <c r="BX1825" s="2" t="s">
        <v>231</v>
      </c>
      <c r="BY1825" s="2" t="s">
        <v>277</v>
      </c>
      <c r="BZ1825" s="2" t="s">
        <v>243</v>
      </c>
      <c r="CA1825" s="2" t="s">
        <v>7986</v>
      </c>
      <c r="CB1825" s="2" t="s">
        <v>7055</v>
      </c>
      <c r="CC1825" s="2" t="s">
        <v>244</v>
      </c>
      <c r="CD1825" s="2" t="s">
        <v>231</v>
      </c>
      <c r="CE1825" s="4">
        <v>328</v>
      </c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</row>
    <row r="1826">
      <c r="A1826" s="2" t="s">
        <v>8292</v>
      </c>
      <c r="B1826" s="2" t="s">
        <v>287</v>
      </c>
      <c r="C1826" s="2" t="s">
        <v>913</v>
      </c>
      <c r="D1826" s="2" t="s">
        <v>289</v>
      </c>
      <c r="E1826" s="2" t="s">
        <v>290</v>
      </c>
      <c r="F1826" s="2" t="s">
        <v>8269</v>
      </c>
      <c r="G1826" s="2" t="s">
        <v>8269</v>
      </c>
      <c r="H1826" s="2" t="s">
        <v>8269</v>
      </c>
      <c r="I1826" s="2" t="s">
        <v>8276</v>
      </c>
      <c r="J1826" s="2" t="s">
        <v>302</v>
      </c>
      <c r="K1826" s="2" t="s">
        <v>319</v>
      </c>
      <c r="L1826" s="3">
        <v>22.28</v>
      </c>
      <c r="M1826" s="3">
        <v>23.39</v>
      </c>
      <c r="N1826" s="3">
        <v>59.99</v>
      </c>
      <c r="O1826" s="2" t="s">
        <v>243</v>
      </c>
      <c r="P1826" s="2" t="s">
        <v>270</v>
      </c>
      <c r="Q1826" s="2" t="s">
        <v>237</v>
      </c>
      <c r="R1826" s="2" t="s">
        <v>231</v>
      </c>
      <c r="S1826" s="2" t="s">
        <v>231</v>
      </c>
      <c r="T1826" s="2" t="s">
        <v>362</v>
      </c>
      <c r="U1826" s="2" t="s">
        <v>231</v>
      </c>
      <c r="V1826" s="2" t="s">
        <v>239</v>
      </c>
      <c r="W1826" s="2" t="s">
        <v>299</v>
      </c>
      <c r="X1826" s="2" t="s">
        <v>231</v>
      </c>
      <c r="Y1826" s="2" t="s">
        <v>3869</v>
      </c>
      <c r="Z1826" s="4">
        <v>21</v>
      </c>
      <c r="AA1826" s="4">
        <f>=ROUNDDOWN(11.0526315789474,0)</f>
      </c>
      <c r="AB1826" s="5">
        <v>1.9</v>
      </c>
      <c r="AC1826" s="2" t="s">
        <v>231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231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231</v>
      </c>
      <c r="AW1826" s="8" t="s">
        <v>231</v>
      </c>
      <c r="AX1826" s="4" t="s">
        <v>231</v>
      </c>
      <c r="AY1826" s="8" t="s">
        <v>231</v>
      </c>
      <c r="AZ1826" s="7" t="s">
        <v>231</v>
      </c>
      <c r="BA1826" s="7" t="s">
        <v>231</v>
      </c>
      <c r="BB1826" s="7"/>
      <c r="BC1826" s="4" t="s">
        <v>231</v>
      </c>
      <c r="BD1826" s="8" t="s">
        <v>231</v>
      </c>
      <c r="BE1826" s="4" t="s">
        <v>231</v>
      </c>
      <c r="BF1826" s="8" t="s">
        <v>231</v>
      </c>
      <c r="BG1826" s="7" t="s">
        <v>231</v>
      </c>
      <c r="BH1826" s="7" t="s">
        <v>231</v>
      </c>
      <c r="BI1826" s="7"/>
      <c r="BJ1826" s="4">
        <v>10</v>
      </c>
      <c r="BK1826" s="8">
        <v>236.95</v>
      </c>
      <c r="BL1826" s="2" t="s">
        <v>6123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8293</v>
      </c>
      <c r="BV1826" s="2" t="s">
        <v>231</v>
      </c>
      <c r="BW1826" s="2" t="s">
        <v>231</v>
      </c>
      <c r="BX1826" s="2" t="s">
        <v>241</v>
      </c>
      <c r="BY1826" s="2" t="s">
        <v>277</v>
      </c>
      <c r="BZ1826" s="2" t="s">
        <v>243</v>
      </c>
      <c r="CA1826" s="2" t="s">
        <v>5422</v>
      </c>
      <c r="CB1826" s="2" t="s">
        <v>231</v>
      </c>
      <c r="CC1826" s="2" t="s">
        <v>244</v>
      </c>
      <c r="CD1826" s="2" t="s">
        <v>231</v>
      </c>
      <c r="CE1826" s="4">
        <v>21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</row>
    <row r="1827">
      <c r="A1827" s="2" t="s">
        <v>8294</v>
      </c>
      <c r="B1827" s="2" t="s">
        <v>1004</v>
      </c>
      <c r="C1827" s="2" t="s">
        <v>288</v>
      </c>
      <c r="D1827" s="2" t="s">
        <v>6082</v>
      </c>
      <c r="E1827" s="2" t="s">
        <v>6083</v>
      </c>
      <c r="F1827" s="2" t="s">
        <v>8295</v>
      </c>
      <c r="G1827" s="2" t="s">
        <v>8296</v>
      </c>
      <c r="H1827" s="2" t="s">
        <v>3570</v>
      </c>
      <c r="I1827" s="2" t="s">
        <v>6083</v>
      </c>
      <c r="J1827" s="2" t="s">
        <v>807</v>
      </c>
      <c r="K1827" s="2" t="s">
        <v>294</v>
      </c>
      <c r="L1827" s="3">
        <v>475</v>
      </c>
      <c r="M1827" s="3">
        <v>498.75</v>
      </c>
      <c r="N1827" s="3">
        <v>999</v>
      </c>
      <c r="O1827" s="2" t="s">
        <v>243</v>
      </c>
      <c r="P1827" s="2" t="s">
        <v>341</v>
      </c>
      <c r="Q1827" s="2" t="s">
        <v>237</v>
      </c>
      <c r="R1827" s="2" t="s">
        <v>231</v>
      </c>
      <c r="S1827" s="2" t="s">
        <v>8297</v>
      </c>
      <c r="T1827" s="2" t="s">
        <v>231</v>
      </c>
      <c r="U1827" s="2" t="s">
        <v>231</v>
      </c>
      <c r="V1827" s="2" t="s">
        <v>239</v>
      </c>
      <c r="W1827" s="2" t="s">
        <v>792</v>
      </c>
      <c r="X1827" s="2" t="s">
        <v>231</v>
      </c>
      <c r="Y1827" s="2" t="s">
        <v>8298</v>
      </c>
      <c r="Z1827" s="4">
        <v>118</v>
      </c>
      <c r="AA1827" s="4">
        <f>=ROUNDDOWN(118,0)</f>
      </c>
      <c r="AB1827" s="5">
        <v>1</v>
      </c>
      <c r="AC1827" s="2" t="s">
        <v>231</v>
      </c>
      <c r="AD1827" s="4"/>
      <c r="AE1827" s="4"/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231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/>
      <c r="BD1827" s="8"/>
      <c r="BE1827" s="4"/>
      <c r="BF1827" s="8"/>
      <c r="BG1827" s="7"/>
      <c r="BH1827" s="7"/>
      <c r="BI1827" s="7"/>
      <c r="BJ1827" s="4">
        <v>7</v>
      </c>
      <c r="BK1827" s="8">
        <v>2704.54</v>
      </c>
      <c r="BL1827" s="2" t="s">
        <v>2343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8299</v>
      </c>
      <c r="BV1827" s="2" t="s">
        <v>231</v>
      </c>
      <c r="BW1827" s="2" t="s">
        <v>231</v>
      </c>
      <c r="BX1827" s="2" t="s">
        <v>231</v>
      </c>
      <c r="BY1827" s="2" t="s">
        <v>277</v>
      </c>
      <c r="BZ1827" s="2" t="s">
        <v>243</v>
      </c>
      <c r="CA1827" s="2" t="s">
        <v>2582</v>
      </c>
      <c r="CB1827" s="2" t="s">
        <v>6090</v>
      </c>
      <c r="CC1827" s="2" t="s">
        <v>244</v>
      </c>
      <c r="CD1827" s="2" t="s">
        <v>231</v>
      </c>
      <c r="CE1827" s="4"/>
      <c r="CF1827" s="4">
        <v>118</v>
      </c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</row>
    <row r="1828">
      <c r="A1828" s="2" t="s">
        <v>8300</v>
      </c>
      <c r="B1828" s="2" t="s">
        <v>801</v>
      </c>
      <c r="C1828" s="2" t="s">
        <v>802</v>
      </c>
      <c r="D1828" s="2" t="s">
        <v>1114</v>
      </c>
      <c r="E1828" s="2" t="s">
        <v>1115</v>
      </c>
      <c r="F1828" s="2" t="s">
        <v>8301</v>
      </c>
      <c r="G1828" s="2" t="s">
        <v>8301</v>
      </c>
      <c r="H1828" s="2" t="s">
        <v>8301</v>
      </c>
      <c r="I1828" s="2" t="s">
        <v>8302</v>
      </c>
      <c r="J1828" s="2" t="s">
        <v>807</v>
      </c>
      <c r="K1828" s="2" t="s">
        <v>1491</v>
      </c>
      <c r="L1828" s="3">
        <v>38</v>
      </c>
      <c r="M1828" s="3">
        <v>39.9</v>
      </c>
      <c r="N1828" s="3">
        <v>79.99</v>
      </c>
      <c r="O1828" s="2" t="s">
        <v>243</v>
      </c>
      <c r="P1828" s="2" t="s">
        <v>236</v>
      </c>
      <c r="Q1828" s="2" t="s">
        <v>237</v>
      </c>
      <c r="R1828" s="2" t="s">
        <v>231</v>
      </c>
      <c r="S1828" s="2" t="s">
        <v>231</v>
      </c>
      <c r="T1828" s="2" t="s">
        <v>231</v>
      </c>
      <c r="U1828" s="2" t="s">
        <v>327</v>
      </c>
      <c r="V1828" s="2" t="s">
        <v>662</v>
      </c>
      <c r="W1828" s="2" t="s">
        <v>792</v>
      </c>
      <c r="X1828" s="2" t="s">
        <v>231</v>
      </c>
      <c r="Y1828" s="2" t="s">
        <v>3693</v>
      </c>
      <c r="Z1828" s="4">
        <v>100</v>
      </c>
      <c r="AA1828" s="4">
        <f>=ROUNDDOWN({0},0)</f>
      </c>
      <c r="AB1828" s="5"/>
      <c r="AC1828" s="2" t="s">
        <v>231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231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/>
      <c r="BK1828" s="8"/>
      <c r="BL1828" s="2" t="s">
        <v>231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241</v>
      </c>
      <c r="BV1828" s="2" t="s">
        <v>231</v>
      </c>
      <c r="BW1828" s="2" t="s">
        <v>231</v>
      </c>
      <c r="BX1828" s="2" t="s">
        <v>241</v>
      </c>
      <c r="BY1828" s="2" t="s">
        <v>242</v>
      </c>
      <c r="BZ1828" s="2" t="s">
        <v>243</v>
      </c>
      <c r="CA1828" s="2" t="s">
        <v>231</v>
      </c>
      <c r="CB1828" s="2" t="s">
        <v>231</v>
      </c>
      <c r="CC1828" s="2" t="s">
        <v>244</v>
      </c>
      <c r="CD1828" s="2" t="s">
        <v>231</v>
      </c>
      <c r="CE1828" s="4"/>
      <c r="CF1828" s="4">
        <v>100</v>
      </c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</row>
    <row r="1829">
      <c r="A1829" s="2" t="s">
        <v>8303</v>
      </c>
      <c r="B1829" s="2" t="s">
        <v>1186</v>
      </c>
      <c r="C1829" s="2" t="s">
        <v>1017</v>
      </c>
      <c r="D1829" s="2" t="s">
        <v>654</v>
      </c>
      <c r="E1829" s="2" t="s">
        <v>655</v>
      </c>
      <c r="F1829" s="2" t="s">
        <v>8304</v>
      </c>
      <c r="G1829" s="2" t="s">
        <v>8304</v>
      </c>
      <c r="H1829" s="2" t="s">
        <v>8304</v>
      </c>
      <c r="I1829" s="2" t="s">
        <v>8305</v>
      </c>
      <c r="J1829" s="2" t="s">
        <v>832</v>
      </c>
      <c r="K1829" s="2" t="s">
        <v>234</v>
      </c>
      <c r="L1829" s="3">
        <v>19.04</v>
      </c>
      <c r="M1829" s="3">
        <v>19.99</v>
      </c>
      <c r="N1829" s="3">
        <v>39.99</v>
      </c>
      <c r="O1829" s="2" t="s">
        <v>243</v>
      </c>
      <c r="P1829" s="2" t="s">
        <v>341</v>
      </c>
      <c r="Q1829" s="2" t="s">
        <v>237</v>
      </c>
      <c r="R1829" s="2" t="s">
        <v>231</v>
      </c>
      <c r="S1829" s="2" t="s">
        <v>8306</v>
      </c>
      <c r="T1829" s="2" t="s">
        <v>472</v>
      </c>
      <c r="U1829" s="2" t="s">
        <v>791</v>
      </c>
      <c r="V1829" s="2" t="s">
        <v>239</v>
      </c>
      <c r="W1829" s="2" t="s">
        <v>691</v>
      </c>
      <c r="X1829" s="2" t="s">
        <v>2541</v>
      </c>
      <c r="Y1829" s="2" t="s">
        <v>7493</v>
      </c>
      <c r="Z1829" s="4">
        <v>122</v>
      </c>
      <c r="AA1829" s="4">
        <f>=ROUNDDOWN(40.6666666666667,0)</f>
      </c>
      <c r="AB1829" s="5">
        <v>3</v>
      </c>
      <c r="AC1829" s="2" t="s">
        <v>321</v>
      </c>
      <c r="AD1829" s="4">
        <v>99</v>
      </c>
      <c r="AE1829" s="4">
        <v>201</v>
      </c>
      <c r="AF1829" s="6">
        <v>63</v>
      </c>
      <c r="AG1829" s="6">
        <v>46</v>
      </c>
      <c r="AH1829" s="7">
        <v>1</v>
      </c>
      <c r="AI1829" s="4"/>
      <c r="AJ1829" s="4">
        <f>=ROUNDDOWN({0},0)</f>
      </c>
      <c r="AK1829" s="5"/>
      <c r="AL1829" s="2" t="s">
        <v>231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 t="s">
        <v>231</v>
      </c>
      <c r="AW1829" s="8" t="s">
        <v>231</v>
      </c>
      <c r="AX1829" s="4" t="s">
        <v>231</v>
      </c>
      <c r="AY1829" s="8" t="s">
        <v>231</v>
      </c>
      <c r="AZ1829" s="7" t="s">
        <v>231</v>
      </c>
      <c r="BA1829" s="7" t="s">
        <v>231</v>
      </c>
      <c r="BB1829" s="7" t="s">
        <v>231</v>
      </c>
      <c r="BC1829" s="4" t="s">
        <v>231</v>
      </c>
      <c r="BD1829" s="8" t="s">
        <v>231</v>
      </c>
      <c r="BE1829" s="4" t="s">
        <v>231</v>
      </c>
      <c r="BF1829" s="8" t="s">
        <v>231</v>
      </c>
      <c r="BG1829" s="7" t="s">
        <v>231</v>
      </c>
      <c r="BH1829" s="7" t="s">
        <v>231</v>
      </c>
      <c r="BI1829" s="7"/>
      <c r="BJ1829" s="4">
        <v>16</v>
      </c>
      <c r="BK1829" s="8">
        <v>346.65</v>
      </c>
      <c r="BL1829" s="2" t="s">
        <v>8307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8308</v>
      </c>
      <c r="BV1829" s="2" t="s">
        <v>231</v>
      </c>
      <c r="BW1829" s="2" t="s">
        <v>231</v>
      </c>
      <c r="BX1829" s="2" t="s">
        <v>241</v>
      </c>
      <c r="BY1829" s="2" t="s">
        <v>277</v>
      </c>
      <c r="BZ1829" s="2" t="s">
        <v>243</v>
      </c>
      <c r="CA1829" s="2" t="s">
        <v>1242</v>
      </c>
      <c r="CB1829" s="2" t="s">
        <v>231</v>
      </c>
      <c r="CC1829" s="2" t="s">
        <v>244</v>
      </c>
      <c r="CD1829" s="2" t="s">
        <v>231</v>
      </c>
      <c r="CE1829" s="4">
        <v>1</v>
      </c>
      <c r="CF1829" s="4"/>
      <c r="CG1829" s="4"/>
      <c r="CH1829" s="4"/>
      <c r="CI1829" s="4">
        <v>121</v>
      </c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>
        <v>99</v>
      </c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>
        <v>102</v>
      </c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</row>
    <row r="1830">
      <c r="A1830" s="2" t="s">
        <v>8309</v>
      </c>
      <c r="B1830" s="2" t="s">
        <v>1186</v>
      </c>
      <c r="C1830" s="2" t="s">
        <v>1017</v>
      </c>
      <c r="D1830" s="2" t="s">
        <v>826</v>
      </c>
      <c r="E1830" s="2" t="s">
        <v>827</v>
      </c>
      <c r="F1830" s="2" t="s">
        <v>8304</v>
      </c>
      <c r="G1830" s="2" t="s">
        <v>8304</v>
      </c>
      <c r="H1830" s="2" t="s">
        <v>8304</v>
      </c>
      <c r="I1830" s="2" t="s">
        <v>8310</v>
      </c>
      <c r="J1830" s="2" t="s">
        <v>832</v>
      </c>
      <c r="K1830" s="2" t="s">
        <v>234</v>
      </c>
      <c r="L1830" s="3">
        <v>14.28</v>
      </c>
      <c r="M1830" s="3">
        <v>14.99</v>
      </c>
      <c r="N1830" s="3">
        <v>29.99</v>
      </c>
      <c r="O1830" s="2" t="s">
        <v>243</v>
      </c>
      <c r="P1830" s="2" t="s">
        <v>341</v>
      </c>
      <c r="Q1830" s="2" t="s">
        <v>237</v>
      </c>
      <c r="R1830" s="2" t="s">
        <v>231</v>
      </c>
      <c r="S1830" s="2" t="s">
        <v>8306</v>
      </c>
      <c r="T1830" s="2" t="s">
        <v>472</v>
      </c>
      <c r="U1830" s="2" t="s">
        <v>791</v>
      </c>
      <c r="V1830" s="2" t="s">
        <v>239</v>
      </c>
      <c r="W1830" s="2" t="s">
        <v>691</v>
      </c>
      <c r="X1830" s="2" t="s">
        <v>2541</v>
      </c>
      <c r="Y1830" s="2" t="s">
        <v>8311</v>
      </c>
      <c r="Z1830" s="4">
        <v>241</v>
      </c>
      <c r="AA1830" s="4">
        <f>=ROUNDDOWN(241,0)</f>
      </c>
      <c r="AB1830" s="5">
        <v>1</v>
      </c>
      <c r="AC1830" s="2" t="s">
        <v>231</v>
      </c>
      <c r="AD1830" s="4"/>
      <c r="AE1830" s="4"/>
      <c r="AF1830" s="6">
        <v>63</v>
      </c>
      <c r="AG1830" s="6">
        <v>46</v>
      </c>
      <c r="AH1830" s="7">
        <v>1</v>
      </c>
      <c r="AI1830" s="4"/>
      <c r="AJ1830" s="4">
        <f>=ROUNDDOWN({0},0)</f>
      </c>
      <c r="AK1830" s="5"/>
      <c r="AL1830" s="2" t="s">
        <v>231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231</v>
      </c>
      <c r="AW1830" s="8" t="s">
        <v>231</v>
      </c>
      <c r="AX1830" s="4" t="s">
        <v>231</v>
      </c>
      <c r="AY1830" s="8" t="s">
        <v>231</v>
      </c>
      <c r="AZ1830" s="7" t="s">
        <v>231</v>
      </c>
      <c r="BA1830" s="7" t="s">
        <v>231</v>
      </c>
      <c r="BB1830" s="7" t="s">
        <v>231</v>
      </c>
      <c r="BC1830" s="4" t="s">
        <v>231</v>
      </c>
      <c r="BD1830" s="8" t="s">
        <v>231</v>
      </c>
      <c r="BE1830" s="4" t="s">
        <v>231</v>
      </c>
      <c r="BF1830" s="8" t="s">
        <v>231</v>
      </c>
      <c r="BG1830" s="7" t="s">
        <v>231</v>
      </c>
      <c r="BH1830" s="7" t="s">
        <v>231</v>
      </c>
      <c r="BI1830" s="7"/>
      <c r="BJ1830" s="4">
        <v>8</v>
      </c>
      <c r="BK1830" s="8">
        <v>136</v>
      </c>
      <c r="BL1830" s="2" t="s">
        <v>1020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8312</v>
      </c>
      <c r="BV1830" s="2" t="s">
        <v>231</v>
      </c>
      <c r="BW1830" s="2" t="s">
        <v>231</v>
      </c>
      <c r="BX1830" s="2" t="s">
        <v>241</v>
      </c>
      <c r="BY1830" s="2" t="s">
        <v>277</v>
      </c>
      <c r="BZ1830" s="2" t="s">
        <v>243</v>
      </c>
      <c r="CA1830" s="2" t="s">
        <v>1242</v>
      </c>
      <c r="CB1830" s="2" t="s">
        <v>231</v>
      </c>
      <c r="CC1830" s="2" t="s">
        <v>244</v>
      </c>
      <c r="CD1830" s="2" t="s">
        <v>231</v>
      </c>
      <c r="CE1830" s="4">
        <v>118</v>
      </c>
      <c r="CF1830" s="4"/>
      <c r="CG1830" s="4"/>
      <c r="CH1830" s="4"/>
      <c r="CI1830" s="4">
        <v>123</v>
      </c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/>
      <c r="HL1830" s="4"/>
    </row>
    <row r="1831">
      <c r="A1831" s="2" t="s">
        <v>8313</v>
      </c>
      <c r="B1831" s="2" t="s">
        <v>1186</v>
      </c>
      <c r="C1831" s="2" t="s">
        <v>1017</v>
      </c>
      <c r="D1831" s="2" t="s">
        <v>654</v>
      </c>
      <c r="E1831" s="2" t="s">
        <v>655</v>
      </c>
      <c r="F1831" s="2" t="s">
        <v>8304</v>
      </c>
      <c r="G1831" s="2" t="s">
        <v>8304</v>
      </c>
      <c r="H1831" s="2" t="s">
        <v>8304</v>
      </c>
      <c r="I1831" s="2" t="s">
        <v>8305</v>
      </c>
      <c r="J1831" s="2" t="s">
        <v>658</v>
      </c>
      <c r="K1831" s="2" t="s">
        <v>234</v>
      </c>
      <c r="L1831" s="3">
        <v>23.8</v>
      </c>
      <c r="M1831" s="3">
        <v>24.99</v>
      </c>
      <c r="N1831" s="3">
        <v>49.99</v>
      </c>
      <c r="O1831" s="2" t="s">
        <v>243</v>
      </c>
      <c r="P1831" s="2" t="s">
        <v>341</v>
      </c>
      <c r="Q1831" s="2" t="s">
        <v>237</v>
      </c>
      <c r="R1831" s="2" t="s">
        <v>231</v>
      </c>
      <c r="S1831" s="2" t="s">
        <v>8306</v>
      </c>
      <c r="T1831" s="2" t="s">
        <v>472</v>
      </c>
      <c r="U1831" s="2" t="s">
        <v>835</v>
      </c>
      <c r="V1831" s="2" t="s">
        <v>239</v>
      </c>
      <c r="W1831" s="2" t="s">
        <v>691</v>
      </c>
      <c r="X1831" s="2" t="s">
        <v>2541</v>
      </c>
      <c r="Y1831" s="2" t="s">
        <v>7493</v>
      </c>
      <c r="Z1831" s="4">
        <v>2880</v>
      </c>
      <c r="AA1831" s="4">
        <f>=ROUNDDOWN(480,0)</f>
      </c>
      <c r="AB1831" s="5">
        <v>6</v>
      </c>
      <c r="AC1831" s="2" t="s">
        <v>231</v>
      </c>
      <c r="AD1831" s="4"/>
      <c r="AE1831" s="4"/>
      <c r="AF1831" s="6">
        <v>63</v>
      </c>
      <c r="AG1831" s="6">
        <v>46</v>
      </c>
      <c r="AH1831" s="7">
        <v>1</v>
      </c>
      <c r="AI1831" s="4"/>
      <c r="AJ1831" s="4">
        <f>=ROUNDDOWN({0},0)</f>
      </c>
      <c r="AK1831" s="5"/>
      <c r="AL1831" s="2" t="s">
        <v>231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231</v>
      </c>
      <c r="AW1831" s="8" t="s">
        <v>231</v>
      </c>
      <c r="AX1831" s="4" t="s">
        <v>231</v>
      </c>
      <c r="AY1831" s="8" t="s">
        <v>231</v>
      </c>
      <c r="AZ1831" s="7" t="s">
        <v>231</v>
      </c>
      <c r="BA1831" s="7" t="s">
        <v>231</v>
      </c>
      <c r="BB1831" s="7" t="s">
        <v>231</v>
      </c>
      <c r="BC1831" s="4" t="s">
        <v>231</v>
      </c>
      <c r="BD1831" s="8" t="s">
        <v>231</v>
      </c>
      <c r="BE1831" s="4" t="s">
        <v>231</v>
      </c>
      <c r="BF1831" s="8" t="s">
        <v>231</v>
      </c>
      <c r="BG1831" s="7" t="s">
        <v>231</v>
      </c>
      <c r="BH1831" s="7" t="s">
        <v>231</v>
      </c>
      <c r="BI1831" s="7"/>
      <c r="BJ1831" s="4">
        <v>7</v>
      </c>
      <c r="BK1831" s="8">
        <v>168.95</v>
      </c>
      <c r="BL1831" s="2" t="s">
        <v>1976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8314</v>
      </c>
      <c r="BV1831" s="2" t="s">
        <v>231</v>
      </c>
      <c r="BW1831" s="2" t="s">
        <v>231</v>
      </c>
      <c r="BX1831" s="2" t="s">
        <v>241</v>
      </c>
      <c r="BY1831" s="2" t="s">
        <v>277</v>
      </c>
      <c r="BZ1831" s="2" t="s">
        <v>243</v>
      </c>
      <c r="CA1831" s="2" t="s">
        <v>1242</v>
      </c>
      <c r="CB1831" s="2" t="s">
        <v>1978</v>
      </c>
      <c r="CC1831" s="2" t="s">
        <v>244</v>
      </c>
      <c r="CD1831" s="2" t="s">
        <v>231</v>
      </c>
      <c r="CE1831" s="4">
        <v>1578</v>
      </c>
      <c r="CF1831" s="4"/>
      <c r="CG1831" s="4"/>
      <c r="CH1831" s="4"/>
      <c r="CI1831" s="4">
        <v>1302</v>
      </c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</row>
    <row r="1832">
      <c r="A1832" s="2" t="s">
        <v>8315</v>
      </c>
      <c r="B1832" s="2" t="s">
        <v>1186</v>
      </c>
      <c r="C1832" s="2" t="s">
        <v>1017</v>
      </c>
      <c r="D1832" s="2" t="s">
        <v>826</v>
      </c>
      <c r="E1832" s="2" t="s">
        <v>827</v>
      </c>
      <c r="F1832" s="2" t="s">
        <v>8304</v>
      </c>
      <c r="G1832" s="2" t="s">
        <v>8304</v>
      </c>
      <c r="H1832" s="2" t="s">
        <v>8304</v>
      </c>
      <c r="I1832" s="2" t="s">
        <v>8310</v>
      </c>
      <c r="J1832" s="2" t="s">
        <v>658</v>
      </c>
      <c r="K1832" s="2" t="s">
        <v>234</v>
      </c>
      <c r="L1832" s="3">
        <v>17.85</v>
      </c>
      <c r="M1832" s="3">
        <v>18.74</v>
      </c>
      <c r="N1832" s="3">
        <v>37.49</v>
      </c>
      <c r="O1832" s="2" t="s">
        <v>243</v>
      </c>
      <c r="P1832" s="2" t="s">
        <v>341</v>
      </c>
      <c r="Q1832" s="2" t="s">
        <v>237</v>
      </c>
      <c r="R1832" s="2" t="s">
        <v>231</v>
      </c>
      <c r="S1832" s="2" t="s">
        <v>8306</v>
      </c>
      <c r="T1832" s="2" t="s">
        <v>472</v>
      </c>
      <c r="U1832" s="2" t="s">
        <v>835</v>
      </c>
      <c r="V1832" s="2" t="s">
        <v>239</v>
      </c>
      <c r="W1832" s="2" t="s">
        <v>691</v>
      </c>
      <c r="X1832" s="2" t="s">
        <v>2541</v>
      </c>
      <c r="Y1832" s="2" t="s">
        <v>8311</v>
      </c>
      <c r="Z1832" s="4">
        <v>3011</v>
      </c>
      <c r="AA1832" s="4">
        <f>=ROUNDDOWN(376.375,0)</f>
      </c>
      <c r="AB1832" s="5">
        <v>8</v>
      </c>
      <c r="AC1832" s="2" t="s">
        <v>231</v>
      </c>
      <c r="AD1832" s="4"/>
      <c r="AE1832" s="4"/>
      <c r="AF1832" s="6">
        <v>63</v>
      </c>
      <c r="AG1832" s="6">
        <v>46</v>
      </c>
      <c r="AH1832" s="7">
        <v>1</v>
      </c>
      <c r="AI1832" s="4"/>
      <c r="AJ1832" s="4">
        <f>=ROUNDDOWN({0},0)</f>
      </c>
      <c r="AK1832" s="5"/>
      <c r="AL1832" s="2" t="s">
        <v>231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 t="s">
        <v>231</v>
      </c>
      <c r="AW1832" s="8" t="s">
        <v>231</v>
      </c>
      <c r="AX1832" s="4" t="s">
        <v>231</v>
      </c>
      <c r="AY1832" s="8" t="s">
        <v>231</v>
      </c>
      <c r="AZ1832" s="7" t="s">
        <v>231</v>
      </c>
      <c r="BA1832" s="7" t="s">
        <v>231</v>
      </c>
      <c r="BB1832" s="7" t="s">
        <v>231</v>
      </c>
      <c r="BC1832" s="4" t="s">
        <v>231</v>
      </c>
      <c r="BD1832" s="8" t="s">
        <v>231</v>
      </c>
      <c r="BE1832" s="4" t="s">
        <v>231</v>
      </c>
      <c r="BF1832" s="8" t="s">
        <v>231</v>
      </c>
      <c r="BG1832" s="7" t="s">
        <v>231</v>
      </c>
      <c r="BH1832" s="7" t="s">
        <v>231</v>
      </c>
      <c r="BI1832" s="7"/>
      <c r="BJ1832" s="4"/>
      <c r="BK1832" s="8"/>
      <c r="BL1832" s="2" t="s">
        <v>231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8316</v>
      </c>
      <c r="BV1832" s="2" t="s">
        <v>231</v>
      </c>
      <c r="BW1832" s="2" t="s">
        <v>231</v>
      </c>
      <c r="BX1832" s="2" t="s">
        <v>241</v>
      </c>
      <c r="BY1832" s="2" t="s">
        <v>277</v>
      </c>
      <c r="BZ1832" s="2" t="s">
        <v>243</v>
      </c>
      <c r="CA1832" s="2" t="s">
        <v>1242</v>
      </c>
      <c r="CB1832" s="2" t="s">
        <v>231</v>
      </c>
      <c r="CC1832" s="2" t="s">
        <v>244</v>
      </c>
      <c r="CD1832" s="2" t="s">
        <v>231</v>
      </c>
      <c r="CE1832" s="4">
        <v>2284</v>
      </c>
      <c r="CF1832" s="4"/>
      <c r="CG1832" s="4"/>
      <c r="CH1832" s="4"/>
      <c r="CI1832" s="4">
        <v>727</v>
      </c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</row>
    <row r="1833">
      <c r="A1833" s="2" t="s">
        <v>8317</v>
      </c>
      <c r="B1833" s="2" t="s">
        <v>1186</v>
      </c>
      <c r="C1833" s="2" t="s">
        <v>1017</v>
      </c>
      <c r="D1833" s="2" t="s">
        <v>654</v>
      </c>
      <c r="E1833" s="2" t="s">
        <v>655</v>
      </c>
      <c r="F1833" s="2" t="s">
        <v>8304</v>
      </c>
      <c r="G1833" s="2" t="s">
        <v>8304</v>
      </c>
      <c r="H1833" s="2" t="s">
        <v>8304</v>
      </c>
      <c r="I1833" s="2" t="s">
        <v>8305</v>
      </c>
      <c r="J1833" s="2" t="s">
        <v>669</v>
      </c>
      <c r="K1833" s="2" t="s">
        <v>234</v>
      </c>
      <c r="L1833" s="3">
        <v>26.19</v>
      </c>
      <c r="M1833" s="3">
        <v>27.5</v>
      </c>
      <c r="N1833" s="3">
        <v>54.99</v>
      </c>
      <c r="O1833" s="2" t="s">
        <v>243</v>
      </c>
      <c r="P1833" s="2" t="s">
        <v>341</v>
      </c>
      <c r="Q1833" s="2" t="s">
        <v>237</v>
      </c>
      <c r="R1833" s="2" t="s">
        <v>231</v>
      </c>
      <c r="S1833" s="2" t="s">
        <v>8306</v>
      </c>
      <c r="T1833" s="2" t="s">
        <v>472</v>
      </c>
      <c r="U1833" s="2" t="s">
        <v>835</v>
      </c>
      <c r="V1833" s="2" t="s">
        <v>239</v>
      </c>
      <c r="W1833" s="2" t="s">
        <v>691</v>
      </c>
      <c r="X1833" s="2" t="s">
        <v>2541</v>
      </c>
      <c r="Y1833" s="2" t="s">
        <v>1789</v>
      </c>
      <c r="Z1833" s="4">
        <v>602</v>
      </c>
      <c r="AA1833" s="4">
        <f>=ROUNDDOWN(86,0)</f>
      </c>
      <c r="AB1833" s="5">
        <v>7</v>
      </c>
      <c r="AC1833" s="2" t="s">
        <v>231</v>
      </c>
      <c r="AD1833" s="4"/>
      <c r="AE1833" s="4"/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231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231</v>
      </c>
      <c r="AW1833" s="8" t="s">
        <v>231</v>
      </c>
      <c r="AX1833" s="4" t="s">
        <v>231</v>
      </c>
      <c r="AY1833" s="8" t="s">
        <v>231</v>
      </c>
      <c r="AZ1833" s="7" t="s">
        <v>231</v>
      </c>
      <c r="BA1833" s="7" t="s">
        <v>231</v>
      </c>
      <c r="BB1833" s="7" t="s">
        <v>231</v>
      </c>
      <c r="BC1833" s="4" t="s">
        <v>231</v>
      </c>
      <c r="BD1833" s="8" t="s">
        <v>231</v>
      </c>
      <c r="BE1833" s="4" t="s">
        <v>231</v>
      </c>
      <c r="BF1833" s="8" t="s">
        <v>231</v>
      </c>
      <c r="BG1833" s="7" t="s">
        <v>231</v>
      </c>
      <c r="BH1833" s="7" t="s">
        <v>231</v>
      </c>
      <c r="BI1833" s="7"/>
      <c r="BJ1833" s="4">
        <v>12</v>
      </c>
      <c r="BK1833" s="8">
        <v>363.37</v>
      </c>
      <c r="BL1833" s="2" t="s">
        <v>8318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8319</v>
      </c>
      <c r="BV1833" s="2" t="s">
        <v>231</v>
      </c>
      <c r="BW1833" s="2" t="s">
        <v>231</v>
      </c>
      <c r="BX1833" s="2" t="s">
        <v>241</v>
      </c>
      <c r="BY1833" s="2" t="s">
        <v>277</v>
      </c>
      <c r="BZ1833" s="2" t="s">
        <v>243</v>
      </c>
      <c r="CA1833" s="2" t="s">
        <v>1242</v>
      </c>
      <c r="CB1833" s="2" t="s">
        <v>231</v>
      </c>
      <c r="CC1833" s="2" t="s">
        <v>244</v>
      </c>
      <c r="CD1833" s="2" t="s">
        <v>231</v>
      </c>
      <c r="CE1833" s="4">
        <v>385</v>
      </c>
      <c r="CF1833" s="4"/>
      <c r="CG1833" s="4"/>
      <c r="CH1833" s="4"/>
      <c r="CI1833" s="4">
        <v>217</v>
      </c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</row>
    <row r="1834">
      <c r="A1834" s="2" t="s">
        <v>8320</v>
      </c>
      <c r="B1834" s="2" t="s">
        <v>1186</v>
      </c>
      <c r="C1834" s="2" t="s">
        <v>1017</v>
      </c>
      <c r="D1834" s="2" t="s">
        <v>826</v>
      </c>
      <c r="E1834" s="2" t="s">
        <v>827</v>
      </c>
      <c r="F1834" s="2" t="s">
        <v>8304</v>
      </c>
      <c r="G1834" s="2" t="s">
        <v>8304</v>
      </c>
      <c r="H1834" s="2" t="s">
        <v>8304</v>
      </c>
      <c r="I1834" s="2" t="s">
        <v>8310</v>
      </c>
      <c r="J1834" s="2" t="s">
        <v>669</v>
      </c>
      <c r="K1834" s="2" t="s">
        <v>234</v>
      </c>
      <c r="L1834" s="3">
        <v>20.23</v>
      </c>
      <c r="M1834" s="3">
        <v>21.24</v>
      </c>
      <c r="N1834" s="3">
        <v>42.49</v>
      </c>
      <c r="O1834" s="2" t="s">
        <v>243</v>
      </c>
      <c r="P1834" s="2" t="s">
        <v>341</v>
      </c>
      <c r="Q1834" s="2" t="s">
        <v>237</v>
      </c>
      <c r="R1834" s="2" t="s">
        <v>231</v>
      </c>
      <c r="S1834" s="2" t="s">
        <v>8306</v>
      </c>
      <c r="T1834" s="2" t="s">
        <v>472</v>
      </c>
      <c r="U1834" s="2" t="s">
        <v>835</v>
      </c>
      <c r="V1834" s="2" t="s">
        <v>239</v>
      </c>
      <c r="W1834" s="2" t="s">
        <v>691</v>
      </c>
      <c r="X1834" s="2" t="s">
        <v>2541</v>
      </c>
      <c r="Y1834" s="2" t="s">
        <v>8311</v>
      </c>
      <c r="Z1834" s="4">
        <v>674</v>
      </c>
      <c r="AA1834" s="4">
        <f>=ROUNDDOWN(224.666666666667,0)</f>
      </c>
      <c r="AB1834" s="5">
        <v>3</v>
      </c>
      <c r="AC1834" s="2" t="s">
        <v>231</v>
      </c>
      <c r="AD1834" s="4"/>
      <c r="AE1834" s="4"/>
      <c r="AF1834" s="6">
        <v>63</v>
      </c>
      <c r="AG1834" s="6">
        <v>46</v>
      </c>
      <c r="AH1834" s="7">
        <v>1</v>
      </c>
      <c r="AI1834" s="4"/>
      <c r="AJ1834" s="4">
        <f>=ROUNDDOWN({0},0)</f>
      </c>
      <c r="AK1834" s="5"/>
      <c r="AL1834" s="2" t="s">
        <v>231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231</v>
      </c>
      <c r="AW1834" s="8" t="s">
        <v>231</v>
      </c>
      <c r="AX1834" s="4" t="s">
        <v>231</v>
      </c>
      <c r="AY1834" s="8" t="s">
        <v>231</v>
      </c>
      <c r="AZ1834" s="7" t="s">
        <v>231</v>
      </c>
      <c r="BA1834" s="7" t="s">
        <v>231</v>
      </c>
      <c r="BB1834" s="7" t="s">
        <v>231</v>
      </c>
      <c r="BC1834" s="4" t="s">
        <v>231</v>
      </c>
      <c r="BD1834" s="8" t="s">
        <v>231</v>
      </c>
      <c r="BE1834" s="4" t="s">
        <v>231</v>
      </c>
      <c r="BF1834" s="8" t="s">
        <v>231</v>
      </c>
      <c r="BG1834" s="7" t="s">
        <v>231</v>
      </c>
      <c r="BH1834" s="7" t="s">
        <v>231</v>
      </c>
      <c r="BI1834" s="7"/>
      <c r="BJ1834" s="4">
        <v>16</v>
      </c>
      <c r="BK1834" s="8">
        <v>368</v>
      </c>
      <c r="BL1834" s="2" t="s">
        <v>1020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8321</v>
      </c>
      <c r="BV1834" s="2" t="s">
        <v>231</v>
      </c>
      <c r="BW1834" s="2" t="s">
        <v>231</v>
      </c>
      <c r="BX1834" s="2" t="s">
        <v>241</v>
      </c>
      <c r="BY1834" s="2" t="s">
        <v>277</v>
      </c>
      <c r="BZ1834" s="2" t="s">
        <v>243</v>
      </c>
      <c r="CA1834" s="2" t="s">
        <v>1242</v>
      </c>
      <c r="CB1834" s="2" t="s">
        <v>231</v>
      </c>
      <c r="CC1834" s="2" t="s">
        <v>244</v>
      </c>
      <c r="CD1834" s="2" t="s">
        <v>231</v>
      </c>
      <c r="CE1834" s="4">
        <v>535</v>
      </c>
      <c r="CF1834" s="4"/>
      <c r="CG1834" s="4"/>
      <c r="CH1834" s="4"/>
      <c r="CI1834" s="4">
        <v>139</v>
      </c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</row>
    <row r="1835">
      <c r="A1835" s="2" t="s">
        <v>8322</v>
      </c>
      <c r="B1835" s="2" t="s">
        <v>1186</v>
      </c>
      <c r="C1835" s="2" t="s">
        <v>1017</v>
      </c>
      <c r="D1835" s="2" t="s">
        <v>654</v>
      </c>
      <c r="E1835" s="2" t="s">
        <v>655</v>
      </c>
      <c r="F1835" s="2" t="s">
        <v>8304</v>
      </c>
      <c r="G1835" s="2" t="s">
        <v>8304</v>
      </c>
      <c r="H1835" s="2" t="s">
        <v>8304</v>
      </c>
      <c r="I1835" s="2" t="s">
        <v>8305</v>
      </c>
      <c r="J1835" s="2" t="s">
        <v>832</v>
      </c>
      <c r="K1835" s="2" t="s">
        <v>1939</v>
      </c>
      <c r="L1835" s="3">
        <v>19.04</v>
      </c>
      <c r="M1835" s="3">
        <v>19.99</v>
      </c>
      <c r="N1835" s="3">
        <v>39.99</v>
      </c>
      <c r="O1835" s="2" t="s">
        <v>243</v>
      </c>
      <c r="P1835" s="2" t="s">
        <v>341</v>
      </c>
      <c r="Q1835" s="2" t="s">
        <v>237</v>
      </c>
      <c r="R1835" s="2" t="s">
        <v>231</v>
      </c>
      <c r="S1835" s="2" t="s">
        <v>8323</v>
      </c>
      <c r="T1835" s="2" t="s">
        <v>472</v>
      </c>
      <c r="U1835" s="2" t="s">
        <v>791</v>
      </c>
      <c r="V1835" s="2" t="s">
        <v>239</v>
      </c>
      <c r="W1835" s="2" t="s">
        <v>691</v>
      </c>
      <c r="X1835" s="2" t="s">
        <v>2541</v>
      </c>
      <c r="Y1835" s="2" t="s">
        <v>7493</v>
      </c>
      <c r="Z1835" s="4">
        <v>503</v>
      </c>
      <c r="AA1835" s="4">
        <f>=ROUNDDOWN(167.666666666667,0)</f>
      </c>
      <c r="AB1835" s="5">
        <v>3</v>
      </c>
      <c r="AC1835" s="2" t="s">
        <v>231</v>
      </c>
      <c r="AD1835" s="4"/>
      <c r="AE1835" s="4"/>
      <c r="AF1835" s="6">
        <v>63</v>
      </c>
      <c r="AG1835" s="6">
        <v>46</v>
      </c>
      <c r="AH1835" s="7">
        <v>1</v>
      </c>
      <c r="AI1835" s="4"/>
      <c r="AJ1835" s="4">
        <f>=ROUNDDOWN({0},0)</f>
      </c>
      <c r="AK1835" s="5"/>
      <c r="AL1835" s="2" t="s">
        <v>231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 t="s">
        <v>231</v>
      </c>
      <c r="AW1835" s="8" t="s">
        <v>231</v>
      </c>
      <c r="AX1835" s="4" t="s">
        <v>231</v>
      </c>
      <c r="AY1835" s="8" t="s">
        <v>231</v>
      </c>
      <c r="AZ1835" s="7" t="s">
        <v>231</v>
      </c>
      <c r="BA1835" s="7" t="s">
        <v>231</v>
      </c>
      <c r="BB1835" s="7" t="s">
        <v>231</v>
      </c>
      <c r="BC1835" s="4" t="s">
        <v>231</v>
      </c>
      <c r="BD1835" s="8" t="s">
        <v>231</v>
      </c>
      <c r="BE1835" s="4" t="s">
        <v>231</v>
      </c>
      <c r="BF1835" s="8" t="s">
        <v>231</v>
      </c>
      <c r="BG1835" s="7" t="s">
        <v>231</v>
      </c>
      <c r="BH1835" s="7" t="s">
        <v>231</v>
      </c>
      <c r="BI1835" s="7"/>
      <c r="BJ1835" s="4">
        <v>43</v>
      </c>
      <c r="BK1835" s="8">
        <v>819.02</v>
      </c>
      <c r="BL1835" s="2" t="s">
        <v>600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8324</v>
      </c>
      <c r="BV1835" s="2" t="s">
        <v>231</v>
      </c>
      <c r="BW1835" s="2" t="s">
        <v>231</v>
      </c>
      <c r="BX1835" s="2" t="s">
        <v>241</v>
      </c>
      <c r="BY1835" s="2" t="s">
        <v>277</v>
      </c>
      <c r="BZ1835" s="2" t="s">
        <v>243</v>
      </c>
      <c r="CA1835" s="2" t="s">
        <v>1242</v>
      </c>
      <c r="CB1835" s="2" t="s">
        <v>3284</v>
      </c>
      <c r="CC1835" s="2" t="s">
        <v>244</v>
      </c>
      <c r="CD1835" s="2" t="s">
        <v>231</v>
      </c>
      <c r="CE1835" s="4">
        <v>182</v>
      </c>
      <c r="CF1835" s="4"/>
      <c r="CG1835" s="4"/>
      <c r="CH1835" s="4"/>
      <c r="CI1835" s="4">
        <v>321</v>
      </c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</row>
    <row r="1836">
      <c r="A1836" s="2" t="s">
        <v>8325</v>
      </c>
      <c r="B1836" s="2" t="s">
        <v>1186</v>
      </c>
      <c r="C1836" s="2" t="s">
        <v>1017</v>
      </c>
      <c r="D1836" s="2" t="s">
        <v>826</v>
      </c>
      <c r="E1836" s="2" t="s">
        <v>827</v>
      </c>
      <c r="F1836" s="2" t="s">
        <v>8304</v>
      </c>
      <c r="G1836" s="2" t="s">
        <v>8304</v>
      </c>
      <c r="H1836" s="2" t="s">
        <v>8304</v>
      </c>
      <c r="I1836" s="2" t="s">
        <v>8310</v>
      </c>
      <c r="J1836" s="2" t="s">
        <v>832</v>
      </c>
      <c r="K1836" s="2" t="s">
        <v>1939</v>
      </c>
      <c r="L1836" s="3">
        <v>14.28</v>
      </c>
      <c r="M1836" s="3">
        <v>14.99</v>
      </c>
      <c r="N1836" s="3">
        <v>29.99</v>
      </c>
      <c r="O1836" s="2" t="s">
        <v>243</v>
      </c>
      <c r="P1836" s="2" t="s">
        <v>341</v>
      </c>
      <c r="Q1836" s="2" t="s">
        <v>237</v>
      </c>
      <c r="R1836" s="2" t="s">
        <v>231</v>
      </c>
      <c r="S1836" s="2" t="s">
        <v>8323</v>
      </c>
      <c r="T1836" s="2" t="s">
        <v>472</v>
      </c>
      <c r="U1836" s="2" t="s">
        <v>791</v>
      </c>
      <c r="V1836" s="2" t="s">
        <v>239</v>
      </c>
      <c r="W1836" s="2" t="s">
        <v>691</v>
      </c>
      <c r="X1836" s="2" t="s">
        <v>2541</v>
      </c>
      <c r="Y1836" s="2" t="s">
        <v>8311</v>
      </c>
      <c r="Z1836" s="4">
        <v>167</v>
      </c>
      <c r="AA1836" s="4">
        <f>=ROUNDDOWN(167,0)</f>
      </c>
      <c r="AB1836" s="5">
        <v>1</v>
      </c>
      <c r="AC1836" s="2" t="s">
        <v>321</v>
      </c>
      <c r="AD1836" s="4">
        <v>100</v>
      </c>
      <c r="AE1836" s="4">
        <v>100</v>
      </c>
      <c r="AF1836" s="6">
        <v>63</v>
      </c>
      <c r="AG1836" s="6">
        <v>46</v>
      </c>
      <c r="AH1836" s="7">
        <v>1</v>
      </c>
      <c r="AI1836" s="4"/>
      <c r="AJ1836" s="4">
        <f>=ROUNDDOWN({0},0)</f>
      </c>
      <c r="AK1836" s="5"/>
      <c r="AL1836" s="2" t="s">
        <v>231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 t="s">
        <v>231</v>
      </c>
      <c r="AW1836" s="8" t="s">
        <v>231</v>
      </c>
      <c r="AX1836" s="4" t="s">
        <v>231</v>
      </c>
      <c r="AY1836" s="8" t="s">
        <v>231</v>
      </c>
      <c r="AZ1836" s="7" t="s">
        <v>231</v>
      </c>
      <c r="BA1836" s="7" t="s">
        <v>231</v>
      </c>
      <c r="BB1836" s="7" t="s">
        <v>231</v>
      </c>
      <c r="BC1836" s="4" t="s">
        <v>231</v>
      </c>
      <c r="BD1836" s="8" t="s">
        <v>231</v>
      </c>
      <c r="BE1836" s="4" t="s">
        <v>231</v>
      </c>
      <c r="BF1836" s="8" t="s">
        <v>231</v>
      </c>
      <c r="BG1836" s="7" t="s">
        <v>231</v>
      </c>
      <c r="BH1836" s="7" t="s">
        <v>231</v>
      </c>
      <c r="BI1836" s="7"/>
      <c r="BJ1836" s="4">
        <v>4</v>
      </c>
      <c r="BK1836" s="8">
        <v>70</v>
      </c>
      <c r="BL1836" s="2" t="s">
        <v>1020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8326</v>
      </c>
      <c r="BV1836" s="2" t="s">
        <v>231</v>
      </c>
      <c r="BW1836" s="2" t="s">
        <v>231</v>
      </c>
      <c r="BX1836" s="2" t="s">
        <v>241</v>
      </c>
      <c r="BY1836" s="2" t="s">
        <v>277</v>
      </c>
      <c r="BZ1836" s="2" t="s">
        <v>243</v>
      </c>
      <c r="CA1836" s="2" t="s">
        <v>1242</v>
      </c>
      <c r="CB1836" s="2" t="s">
        <v>231</v>
      </c>
      <c r="CC1836" s="2" t="s">
        <v>244</v>
      </c>
      <c r="CD1836" s="2" t="s">
        <v>231</v>
      </c>
      <c r="CE1836" s="4">
        <v>64</v>
      </c>
      <c r="CF1836" s="4"/>
      <c r="CG1836" s="4"/>
      <c r="CH1836" s="4"/>
      <c r="CI1836" s="4">
        <v>103</v>
      </c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>
        <v>100</v>
      </c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</row>
    <row r="1837">
      <c r="A1837" s="2" t="s">
        <v>8327</v>
      </c>
      <c r="B1837" s="2" t="s">
        <v>1186</v>
      </c>
      <c r="C1837" s="2" t="s">
        <v>1017</v>
      </c>
      <c r="D1837" s="2" t="s">
        <v>654</v>
      </c>
      <c r="E1837" s="2" t="s">
        <v>655</v>
      </c>
      <c r="F1837" s="2" t="s">
        <v>8304</v>
      </c>
      <c r="G1837" s="2" t="s">
        <v>8304</v>
      </c>
      <c r="H1837" s="2" t="s">
        <v>8304</v>
      </c>
      <c r="I1837" s="2" t="s">
        <v>8305</v>
      </c>
      <c r="J1837" s="2" t="s">
        <v>658</v>
      </c>
      <c r="K1837" s="2" t="s">
        <v>1939</v>
      </c>
      <c r="L1837" s="3">
        <v>23.8</v>
      </c>
      <c r="M1837" s="3">
        <v>24.99</v>
      </c>
      <c r="N1837" s="3">
        <v>49.99</v>
      </c>
      <c r="O1837" s="2" t="s">
        <v>243</v>
      </c>
      <c r="P1837" s="2" t="s">
        <v>341</v>
      </c>
      <c r="Q1837" s="2" t="s">
        <v>237</v>
      </c>
      <c r="R1837" s="2" t="s">
        <v>231</v>
      </c>
      <c r="S1837" s="2" t="s">
        <v>8323</v>
      </c>
      <c r="T1837" s="2" t="s">
        <v>472</v>
      </c>
      <c r="U1837" s="2" t="s">
        <v>835</v>
      </c>
      <c r="V1837" s="2" t="s">
        <v>239</v>
      </c>
      <c r="W1837" s="2" t="s">
        <v>691</v>
      </c>
      <c r="X1837" s="2" t="s">
        <v>2541</v>
      </c>
      <c r="Y1837" s="2" t="s">
        <v>7493</v>
      </c>
      <c r="Z1837" s="4">
        <v>688</v>
      </c>
      <c r="AA1837" s="4">
        <f>=ROUNDDOWN(172,0)</f>
      </c>
      <c r="AB1837" s="5">
        <v>4</v>
      </c>
      <c r="AC1837" s="2" t="s">
        <v>2510</v>
      </c>
      <c r="AD1837" s="4">
        <v>300</v>
      </c>
      <c r="AE1837" s="4">
        <v>300</v>
      </c>
      <c r="AF1837" s="6">
        <v>63</v>
      </c>
      <c r="AG1837" s="6">
        <v>46</v>
      </c>
      <c r="AH1837" s="7">
        <v>1</v>
      </c>
      <c r="AI1837" s="4"/>
      <c r="AJ1837" s="4">
        <f>=ROUNDDOWN({0},0)</f>
      </c>
      <c r="AK1837" s="5"/>
      <c r="AL1837" s="2" t="s">
        <v>231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 t="s">
        <v>231</v>
      </c>
      <c r="AW1837" s="8" t="s">
        <v>231</v>
      </c>
      <c r="AX1837" s="4" t="s">
        <v>231</v>
      </c>
      <c r="AY1837" s="8" t="s">
        <v>231</v>
      </c>
      <c r="AZ1837" s="7" t="s">
        <v>231</v>
      </c>
      <c r="BA1837" s="7" t="s">
        <v>231</v>
      </c>
      <c r="BB1837" s="7"/>
      <c r="BC1837" s="4" t="s">
        <v>231</v>
      </c>
      <c r="BD1837" s="8" t="s">
        <v>231</v>
      </c>
      <c r="BE1837" s="4" t="s">
        <v>231</v>
      </c>
      <c r="BF1837" s="8" t="s">
        <v>231</v>
      </c>
      <c r="BG1837" s="7" t="s">
        <v>231</v>
      </c>
      <c r="BH1837" s="7" t="s">
        <v>231</v>
      </c>
      <c r="BI1837" s="7"/>
      <c r="BJ1837" s="4"/>
      <c r="BK1837" s="8"/>
      <c r="BL1837" s="2" t="s">
        <v>231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8328</v>
      </c>
      <c r="BV1837" s="2" t="s">
        <v>231</v>
      </c>
      <c r="BW1837" s="2" t="s">
        <v>231</v>
      </c>
      <c r="BX1837" s="2" t="s">
        <v>241</v>
      </c>
      <c r="BY1837" s="2" t="s">
        <v>277</v>
      </c>
      <c r="BZ1837" s="2" t="s">
        <v>243</v>
      </c>
      <c r="CA1837" s="2" t="s">
        <v>1242</v>
      </c>
      <c r="CB1837" s="2" t="s">
        <v>231</v>
      </c>
      <c r="CC1837" s="2" t="s">
        <v>244</v>
      </c>
      <c r="CD1837" s="2" t="s">
        <v>231</v>
      </c>
      <c r="CE1837" s="4">
        <v>408</v>
      </c>
      <c r="CF1837" s="4"/>
      <c r="CG1837" s="4"/>
      <c r="CH1837" s="4"/>
      <c r="CI1837" s="4">
        <v>280</v>
      </c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>
        <v>300</v>
      </c>
      <c r="GL1837" s="4"/>
      <c r="GM1837" s="4"/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  <c r="HG1837" s="4"/>
      <c r="HH1837" s="4"/>
      <c r="HI1837" s="4"/>
      <c r="HJ1837" s="4"/>
      <c r="HK1837" s="4"/>
      <c r="HL1837" s="4"/>
    </row>
    <row r="1838">
      <c r="A1838" s="2" t="s">
        <v>8329</v>
      </c>
      <c r="B1838" s="2" t="s">
        <v>1186</v>
      </c>
      <c r="C1838" s="2" t="s">
        <v>1017</v>
      </c>
      <c r="D1838" s="2" t="s">
        <v>654</v>
      </c>
      <c r="E1838" s="2" t="s">
        <v>655</v>
      </c>
      <c r="F1838" s="2" t="s">
        <v>8304</v>
      </c>
      <c r="G1838" s="2" t="s">
        <v>8304</v>
      </c>
      <c r="H1838" s="2" t="s">
        <v>8304</v>
      </c>
      <c r="I1838" s="2" t="s">
        <v>8305</v>
      </c>
      <c r="J1838" s="2" t="s">
        <v>669</v>
      </c>
      <c r="K1838" s="2" t="s">
        <v>1939</v>
      </c>
      <c r="L1838" s="3">
        <v>26.19</v>
      </c>
      <c r="M1838" s="3">
        <v>27.5</v>
      </c>
      <c r="N1838" s="3">
        <v>54.99</v>
      </c>
      <c r="O1838" s="2" t="s">
        <v>243</v>
      </c>
      <c r="P1838" s="2" t="s">
        <v>341</v>
      </c>
      <c r="Q1838" s="2" t="s">
        <v>237</v>
      </c>
      <c r="R1838" s="2" t="s">
        <v>231</v>
      </c>
      <c r="S1838" s="2" t="s">
        <v>8323</v>
      </c>
      <c r="T1838" s="2" t="s">
        <v>472</v>
      </c>
      <c r="U1838" s="2" t="s">
        <v>835</v>
      </c>
      <c r="V1838" s="2" t="s">
        <v>239</v>
      </c>
      <c r="W1838" s="2" t="s">
        <v>691</v>
      </c>
      <c r="X1838" s="2" t="s">
        <v>2541</v>
      </c>
      <c r="Y1838" s="2" t="s">
        <v>930</v>
      </c>
      <c r="Z1838" s="4">
        <v>544</v>
      </c>
      <c r="AA1838" s="4">
        <f>=ROUNDDOWN(136,0)</f>
      </c>
      <c r="AB1838" s="5">
        <v>4</v>
      </c>
      <c r="AC1838" s="2" t="s">
        <v>2510</v>
      </c>
      <c r="AD1838" s="4">
        <v>300</v>
      </c>
      <c r="AE1838" s="4">
        <v>300</v>
      </c>
      <c r="AF1838" s="6">
        <v>63</v>
      </c>
      <c r="AG1838" s="6">
        <v>46</v>
      </c>
      <c r="AH1838" s="7">
        <v>1</v>
      </c>
      <c r="AI1838" s="4"/>
      <c r="AJ1838" s="4">
        <f>=ROUNDDOWN({0},0)</f>
      </c>
      <c r="AK1838" s="5"/>
      <c r="AL1838" s="2" t="s">
        <v>231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 t="s">
        <v>231</v>
      </c>
      <c r="AW1838" s="8" t="s">
        <v>231</v>
      </c>
      <c r="AX1838" s="4" t="s">
        <v>231</v>
      </c>
      <c r="AY1838" s="8" t="s">
        <v>231</v>
      </c>
      <c r="AZ1838" s="7" t="s">
        <v>231</v>
      </c>
      <c r="BA1838" s="7" t="s">
        <v>231</v>
      </c>
      <c r="BB1838" s="7"/>
      <c r="BC1838" s="4" t="s">
        <v>231</v>
      </c>
      <c r="BD1838" s="8" t="s">
        <v>231</v>
      </c>
      <c r="BE1838" s="4" t="s">
        <v>231</v>
      </c>
      <c r="BF1838" s="8" t="s">
        <v>231</v>
      </c>
      <c r="BG1838" s="7" t="s">
        <v>231</v>
      </c>
      <c r="BH1838" s="7" t="s">
        <v>231</v>
      </c>
      <c r="BI1838" s="7"/>
      <c r="BJ1838" s="4">
        <v>3</v>
      </c>
      <c r="BK1838" s="8">
        <v>95.37</v>
      </c>
      <c r="BL1838" s="2" t="s">
        <v>8330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8331</v>
      </c>
      <c r="BV1838" s="2" t="s">
        <v>231</v>
      </c>
      <c r="BW1838" s="2" t="s">
        <v>231</v>
      </c>
      <c r="BX1838" s="2" t="s">
        <v>241</v>
      </c>
      <c r="BY1838" s="2" t="s">
        <v>277</v>
      </c>
      <c r="BZ1838" s="2" t="s">
        <v>243</v>
      </c>
      <c r="CA1838" s="2" t="s">
        <v>1242</v>
      </c>
      <c r="CB1838" s="2" t="s">
        <v>231</v>
      </c>
      <c r="CC1838" s="2" t="s">
        <v>244</v>
      </c>
      <c r="CD1838" s="2" t="s">
        <v>231</v>
      </c>
      <c r="CE1838" s="4">
        <v>275</v>
      </c>
      <c r="CF1838" s="4"/>
      <c r="CG1838" s="4"/>
      <c r="CH1838" s="4"/>
      <c r="CI1838" s="4">
        <v>269</v>
      </c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>
        <v>300</v>
      </c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  <c r="HG1838" s="4"/>
      <c r="HH1838" s="4"/>
      <c r="HI1838" s="4"/>
      <c r="HJ1838" s="4"/>
      <c r="HK1838" s="4"/>
      <c r="HL1838" s="4"/>
    </row>
    <row r="1839">
      <c r="A1839" s="2" t="s">
        <v>8332</v>
      </c>
      <c r="B1839" s="2" t="s">
        <v>1186</v>
      </c>
      <c r="C1839" s="2" t="s">
        <v>1017</v>
      </c>
      <c r="D1839" s="2" t="s">
        <v>654</v>
      </c>
      <c r="E1839" s="2" t="s">
        <v>655</v>
      </c>
      <c r="F1839" s="2" t="s">
        <v>8304</v>
      </c>
      <c r="G1839" s="2" t="s">
        <v>8304</v>
      </c>
      <c r="H1839" s="2" t="s">
        <v>8304</v>
      </c>
      <c r="I1839" s="2" t="s">
        <v>8305</v>
      </c>
      <c r="J1839" s="2" t="s">
        <v>832</v>
      </c>
      <c r="K1839" s="2" t="s">
        <v>452</v>
      </c>
      <c r="L1839" s="3">
        <v>19.04</v>
      </c>
      <c r="M1839" s="3">
        <v>19.99</v>
      </c>
      <c r="N1839" s="3">
        <v>39.99</v>
      </c>
      <c r="O1839" s="2" t="s">
        <v>243</v>
      </c>
      <c r="P1839" s="2" t="s">
        <v>341</v>
      </c>
      <c r="Q1839" s="2" t="s">
        <v>237</v>
      </c>
      <c r="R1839" s="2" t="s">
        <v>231</v>
      </c>
      <c r="S1839" s="2" t="s">
        <v>8333</v>
      </c>
      <c r="T1839" s="2" t="s">
        <v>472</v>
      </c>
      <c r="U1839" s="2" t="s">
        <v>791</v>
      </c>
      <c r="V1839" s="2" t="s">
        <v>239</v>
      </c>
      <c r="W1839" s="2" t="s">
        <v>691</v>
      </c>
      <c r="X1839" s="2" t="s">
        <v>2541</v>
      </c>
      <c r="Y1839" s="2" t="s">
        <v>7493</v>
      </c>
      <c r="Z1839" s="4">
        <v>194</v>
      </c>
      <c r="AA1839" s="4">
        <f>=ROUNDDOWN(48.5,0)</f>
      </c>
      <c r="AB1839" s="5">
        <v>4</v>
      </c>
      <c r="AC1839" s="2" t="s">
        <v>231</v>
      </c>
      <c r="AD1839" s="4"/>
      <c r="AE1839" s="4"/>
      <c r="AF1839" s="6">
        <v>63</v>
      </c>
      <c r="AG1839" s="6">
        <v>46</v>
      </c>
      <c r="AH1839" s="7">
        <v>1</v>
      </c>
      <c r="AI1839" s="4"/>
      <c r="AJ1839" s="4">
        <f>=ROUNDDOWN({0},0)</f>
      </c>
      <c r="AK1839" s="5"/>
      <c r="AL1839" s="2" t="s">
        <v>231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 t="s">
        <v>231</v>
      </c>
      <c r="AW1839" s="8" t="s">
        <v>231</v>
      </c>
      <c r="AX1839" s="4" t="s">
        <v>231</v>
      </c>
      <c r="AY1839" s="8" t="s">
        <v>231</v>
      </c>
      <c r="AZ1839" s="7" t="s">
        <v>231</v>
      </c>
      <c r="BA1839" s="7" t="s">
        <v>231</v>
      </c>
      <c r="BB1839" s="7" t="s">
        <v>231</v>
      </c>
      <c r="BC1839" s="4" t="s">
        <v>231</v>
      </c>
      <c r="BD1839" s="8" t="s">
        <v>231</v>
      </c>
      <c r="BE1839" s="4" t="s">
        <v>231</v>
      </c>
      <c r="BF1839" s="8" t="s">
        <v>231</v>
      </c>
      <c r="BG1839" s="7" t="s">
        <v>231</v>
      </c>
      <c r="BH1839" s="7" t="s">
        <v>231</v>
      </c>
      <c r="BI1839" s="7"/>
      <c r="BJ1839" s="4">
        <v>3</v>
      </c>
      <c r="BK1839" s="8">
        <v>57</v>
      </c>
      <c r="BL1839" s="2" t="s">
        <v>1020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8334</v>
      </c>
      <c r="BV1839" s="2" t="s">
        <v>231</v>
      </c>
      <c r="BW1839" s="2" t="s">
        <v>231</v>
      </c>
      <c r="BX1839" s="2" t="s">
        <v>241</v>
      </c>
      <c r="BY1839" s="2" t="s">
        <v>277</v>
      </c>
      <c r="BZ1839" s="2" t="s">
        <v>243</v>
      </c>
      <c r="CA1839" s="2" t="s">
        <v>1242</v>
      </c>
      <c r="CB1839" s="2" t="s">
        <v>231</v>
      </c>
      <c r="CC1839" s="2" t="s">
        <v>244</v>
      </c>
      <c r="CD1839" s="2" t="s">
        <v>231</v>
      </c>
      <c r="CE1839" s="4"/>
      <c r="CF1839" s="4"/>
      <c r="CG1839" s="4"/>
      <c r="CH1839" s="4"/>
      <c r="CI1839" s="4">
        <v>194</v>
      </c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  <c r="HG1839" s="4"/>
      <c r="HH1839" s="4"/>
      <c r="HI1839" s="4"/>
      <c r="HJ1839" s="4"/>
      <c r="HK1839" s="4"/>
      <c r="HL1839" s="4"/>
    </row>
    <row r="1840">
      <c r="A1840" s="2" t="s">
        <v>8335</v>
      </c>
      <c r="B1840" s="2" t="s">
        <v>1186</v>
      </c>
      <c r="C1840" s="2" t="s">
        <v>1017</v>
      </c>
      <c r="D1840" s="2" t="s">
        <v>826</v>
      </c>
      <c r="E1840" s="2" t="s">
        <v>827</v>
      </c>
      <c r="F1840" s="2" t="s">
        <v>8304</v>
      </c>
      <c r="G1840" s="2" t="s">
        <v>8304</v>
      </c>
      <c r="H1840" s="2" t="s">
        <v>8304</v>
      </c>
      <c r="I1840" s="2" t="s">
        <v>8310</v>
      </c>
      <c r="J1840" s="2" t="s">
        <v>832</v>
      </c>
      <c r="K1840" s="2" t="s">
        <v>452</v>
      </c>
      <c r="L1840" s="3">
        <v>14.28</v>
      </c>
      <c r="M1840" s="3">
        <v>14.99</v>
      </c>
      <c r="N1840" s="3">
        <v>29.99</v>
      </c>
      <c r="O1840" s="2" t="s">
        <v>243</v>
      </c>
      <c r="P1840" s="2" t="s">
        <v>341</v>
      </c>
      <c r="Q1840" s="2" t="s">
        <v>237</v>
      </c>
      <c r="R1840" s="2" t="s">
        <v>231</v>
      </c>
      <c r="S1840" s="2" t="s">
        <v>8333</v>
      </c>
      <c r="T1840" s="2" t="s">
        <v>472</v>
      </c>
      <c r="U1840" s="2" t="s">
        <v>791</v>
      </c>
      <c r="V1840" s="2" t="s">
        <v>239</v>
      </c>
      <c r="W1840" s="2" t="s">
        <v>691</v>
      </c>
      <c r="X1840" s="2" t="s">
        <v>2541</v>
      </c>
      <c r="Y1840" s="2" t="s">
        <v>8311</v>
      </c>
      <c r="Z1840" s="4">
        <v>128</v>
      </c>
      <c r="AA1840" s="4">
        <f>=ROUNDDOWN(64,0)</f>
      </c>
      <c r="AB1840" s="5">
        <v>2</v>
      </c>
      <c r="AC1840" s="2" t="s">
        <v>231</v>
      </c>
      <c r="AD1840" s="4"/>
      <c r="AE1840" s="4"/>
      <c r="AF1840" s="6">
        <v>63</v>
      </c>
      <c r="AG1840" s="6">
        <v>46</v>
      </c>
      <c r="AH1840" s="7">
        <v>1</v>
      </c>
      <c r="AI1840" s="4"/>
      <c r="AJ1840" s="4">
        <f>=ROUNDDOWN({0},0)</f>
      </c>
      <c r="AK1840" s="5"/>
      <c r="AL1840" s="2" t="s">
        <v>231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 t="s">
        <v>231</v>
      </c>
      <c r="AW1840" s="8" t="s">
        <v>231</v>
      </c>
      <c r="AX1840" s="4" t="s">
        <v>231</v>
      </c>
      <c r="AY1840" s="8" t="s">
        <v>231</v>
      </c>
      <c r="AZ1840" s="7" t="s">
        <v>231</v>
      </c>
      <c r="BA1840" s="7" t="s">
        <v>231</v>
      </c>
      <c r="BB1840" s="7" t="s">
        <v>231</v>
      </c>
      <c r="BC1840" s="4" t="s">
        <v>231</v>
      </c>
      <c r="BD1840" s="8" t="s">
        <v>231</v>
      </c>
      <c r="BE1840" s="4" t="s">
        <v>231</v>
      </c>
      <c r="BF1840" s="8" t="s">
        <v>231</v>
      </c>
      <c r="BG1840" s="7" t="s">
        <v>231</v>
      </c>
      <c r="BH1840" s="7" t="s">
        <v>231</v>
      </c>
      <c r="BI1840" s="7"/>
      <c r="BJ1840" s="4">
        <v>4</v>
      </c>
      <c r="BK1840" s="8">
        <v>70</v>
      </c>
      <c r="BL1840" s="2" t="s">
        <v>1020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8336</v>
      </c>
      <c r="BV1840" s="2" t="s">
        <v>231</v>
      </c>
      <c r="BW1840" s="2" t="s">
        <v>231</v>
      </c>
      <c r="BX1840" s="2" t="s">
        <v>241</v>
      </c>
      <c r="BY1840" s="2" t="s">
        <v>277</v>
      </c>
      <c r="BZ1840" s="2" t="s">
        <v>243</v>
      </c>
      <c r="CA1840" s="2" t="s">
        <v>1242</v>
      </c>
      <c r="CB1840" s="2" t="s">
        <v>231</v>
      </c>
      <c r="CC1840" s="2" t="s">
        <v>244</v>
      </c>
      <c r="CD1840" s="2" t="s">
        <v>231</v>
      </c>
      <c r="CE1840" s="4"/>
      <c r="CF1840" s="4"/>
      <c r="CG1840" s="4"/>
      <c r="CH1840" s="4"/>
      <c r="CI1840" s="4">
        <v>128</v>
      </c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</row>
    <row r="1841">
      <c r="A1841" s="2" t="s">
        <v>8337</v>
      </c>
      <c r="B1841" s="2" t="s">
        <v>1186</v>
      </c>
      <c r="C1841" s="2" t="s">
        <v>1017</v>
      </c>
      <c r="D1841" s="2" t="s">
        <v>654</v>
      </c>
      <c r="E1841" s="2" t="s">
        <v>655</v>
      </c>
      <c r="F1841" s="2" t="s">
        <v>8304</v>
      </c>
      <c r="G1841" s="2" t="s">
        <v>8304</v>
      </c>
      <c r="H1841" s="2" t="s">
        <v>8304</v>
      </c>
      <c r="I1841" s="2" t="s">
        <v>8305</v>
      </c>
      <c r="J1841" s="2" t="s">
        <v>658</v>
      </c>
      <c r="K1841" s="2" t="s">
        <v>452</v>
      </c>
      <c r="L1841" s="3">
        <v>23.8</v>
      </c>
      <c r="M1841" s="3">
        <v>24.99</v>
      </c>
      <c r="N1841" s="3">
        <v>49.99</v>
      </c>
      <c r="O1841" s="2" t="s">
        <v>243</v>
      </c>
      <c r="P1841" s="2" t="s">
        <v>341</v>
      </c>
      <c r="Q1841" s="2" t="s">
        <v>237</v>
      </c>
      <c r="R1841" s="2" t="s">
        <v>231</v>
      </c>
      <c r="S1841" s="2" t="s">
        <v>8333</v>
      </c>
      <c r="T1841" s="2" t="s">
        <v>472</v>
      </c>
      <c r="U1841" s="2" t="s">
        <v>835</v>
      </c>
      <c r="V1841" s="2" t="s">
        <v>239</v>
      </c>
      <c r="W1841" s="2" t="s">
        <v>691</v>
      </c>
      <c r="X1841" s="2" t="s">
        <v>2541</v>
      </c>
      <c r="Y1841" s="2" t="s">
        <v>7493</v>
      </c>
      <c r="Z1841" s="4">
        <v>332</v>
      </c>
      <c r="AA1841" s="4">
        <f>=ROUNDDOWN(55.3333333333333,0)</f>
      </c>
      <c r="AB1841" s="5">
        <v>6</v>
      </c>
      <c r="AC1841" s="2" t="s">
        <v>231</v>
      </c>
      <c r="AD1841" s="4"/>
      <c r="AE1841" s="4"/>
      <c r="AF1841" s="6">
        <v>63</v>
      </c>
      <c r="AG1841" s="6">
        <v>46</v>
      </c>
      <c r="AH1841" s="7">
        <v>1</v>
      </c>
      <c r="AI1841" s="4"/>
      <c r="AJ1841" s="4">
        <f>=ROUNDDOWN({0},0)</f>
      </c>
      <c r="AK1841" s="5"/>
      <c r="AL1841" s="2" t="s">
        <v>231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 t="s">
        <v>231</v>
      </c>
      <c r="AW1841" s="8" t="s">
        <v>231</v>
      </c>
      <c r="AX1841" s="4" t="s">
        <v>231</v>
      </c>
      <c r="AY1841" s="8" t="s">
        <v>231</v>
      </c>
      <c r="AZ1841" s="7" t="s">
        <v>231</v>
      </c>
      <c r="BA1841" s="7" t="s">
        <v>231</v>
      </c>
      <c r="BB1841" s="7" t="s">
        <v>231</v>
      </c>
      <c r="BC1841" s="4" t="s">
        <v>231</v>
      </c>
      <c r="BD1841" s="8" t="s">
        <v>231</v>
      </c>
      <c r="BE1841" s="4" t="s">
        <v>231</v>
      </c>
      <c r="BF1841" s="8" t="s">
        <v>231</v>
      </c>
      <c r="BG1841" s="7" t="s">
        <v>231</v>
      </c>
      <c r="BH1841" s="7" t="s">
        <v>231</v>
      </c>
      <c r="BI1841" s="7"/>
      <c r="BJ1841" s="4">
        <v>8</v>
      </c>
      <c r="BK1841" s="8">
        <v>210.79</v>
      </c>
      <c r="BL1841" s="2" t="s">
        <v>8318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8338</v>
      </c>
      <c r="BV1841" s="2" t="s">
        <v>231</v>
      </c>
      <c r="BW1841" s="2" t="s">
        <v>231</v>
      </c>
      <c r="BX1841" s="2" t="s">
        <v>241</v>
      </c>
      <c r="BY1841" s="2" t="s">
        <v>277</v>
      </c>
      <c r="BZ1841" s="2" t="s">
        <v>243</v>
      </c>
      <c r="CA1841" s="2" t="s">
        <v>1242</v>
      </c>
      <c r="CB1841" s="2" t="s">
        <v>231</v>
      </c>
      <c r="CC1841" s="2" t="s">
        <v>244</v>
      </c>
      <c r="CD1841" s="2" t="s">
        <v>231</v>
      </c>
      <c r="CE1841" s="4">
        <v>285</v>
      </c>
      <c r="CF1841" s="4"/>
      <c r="CG1841" s="4"/>
      <c r="CH1841" s="4"/>
      <c r="CI1841" s="4">
        <v>47</v>
      </c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</row>
    <row r="1842">
      <c r="A1842" s="2" t="s">
        <v>8339</v>
      </c>
      <c r="B1842" s="2" t="s">
        <v>1186</v>
      </c>
      <c r="C1842" s="2" t="s">
        <v>1017</v>
      </c>
      <c r="D1842" s="2" t="s">
        <v>826</v>
      </c>
      <c r="E1842" s="2" t="s">
        <v>827</v>
      </c>
      <c r="F1842" s="2" t="s">
        <v>8304</v>
      </c>
      <c r="G1842" s="2" t="s">
        <v>8304</v>
      </c>
      <c r="H1842" s="2" t="s">
        <v>8304</v>
      </c>
      <c r="I1842" s="2" t="s">
        <v>8310</v>
      </c>
      <c r="J1842" s="2" t="s">
        <v>658</v>
      </c>
      <c r="K1842" s="2" t="s">
        <v>452</v>
      </c>
      <c r="L1842" s="3">
        <v>17.85</v>
      </c>
      <c r="M1842" s="3">
        <v>18.74</v>
      </c>
      <c r="N1842" s="3">
        <v>37.49</v>
      </c>
      <c r="O1842" s="2" t="s">
        <v>243</v>
      </c>
      <c r="P1842" s="2" t="s">
        <v>341</v>
      </c>
      <c r="Q1842" s="2" t="s">
        <v>237</v>
      </c>
      <c r="R1842" s="2" t="s">
        <v>231</v>
      </c>
      <c r="S1842" s="2" t="s">
        <v>8333</v>
      </c>
      <c r="T1842" s="2" t="s">
        <v>472</v>
      </c>
      <c r="U1842" s="2" t="s">
        <v>835</v>
      </c>
      <c r="V1842" s="2" t="s">
        <v>239</v>
      </c>
      <c r="W1842" s="2" t="s">
        <v>691</v>
      </c>
      <c r="X1842" s="2" t="s">
        <v>2541</v>
      </c>
      <c r="Y1842" s="2" t="s">
        <v>8311</v>
      </c>
      <c r="Z1842" s="4">
        <v>333</v>
      </c>
      <c r="AA1842" s="4">
        <f>=ROUNDDOWN(111,0)</f>
      </c>
      <c r="AB1842" s="5">
        <v>3</v>
      </c>
      <c r="AC1842" s="2" t="s">
        <v>231</v>
      </c>
      <c r="AD1842" s="4"/>
      <c r="AE1842" s="4"/>
      <c r="AF1842" s="6">
        <v>63</v>
      </c>
      <c r="AG1842" s="6">
        <v>46</v>
      </c>
      <c r="AH1842" s="7">
        <v>1</v>
      </c>
      <c r="AI1842" s="4"/>
      <c r="AJ1842" s="4">
        <f>=ROUNDDOWN({0},0)</f>
      </c>
      <c r="AK1842" s="5"/>
      <c r="AL1842" s="2" t="s">
        <v>231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 t="s">
        <v>231</v>
      </c>
      <c r="AW1842" s="8" t="s">
        <v>231</v>
      </c>
      <c r="AX1842" s="4" t="s">
        <v>231</v>
      </c>
      <c r="AY1842" s="8" t="s">
        <v>231</v>
      </c>
      <c r="AZ1842" s="7" t="s">
        <v>231</v>
      </c>
      <c r="BA1842" s="7" t="s">
        <v>231</v>
      </c>
      <c r="BB1842" s="7" t="s">
        <v>231</v>
      </c>
      <c r="BC1842" s="4" t="s">
        <v>231</v>
      </c>
      <c r="BD1842" s="8" t="s">
        <v>231</v>
      </c>
      <c r="BE1842" s="4" t="s">
        <v>231</v>
      </c>
      <c r="BF1842" s="8" t="s">
        <v>231</v>
      </c>
      <c r="BG1842" s="7" t="s">
        <v>231</v>
      </c>
      <c r="BH1842" s="7" t="s">
        <v>231</v>
      </c>
      <c r="BI1842" s="7"/>
      <c r="BJ1842" s="4">
        <v>4</v>
      </c>
      <c r="BK1842" s="8">
        <v>78.4</v>
      </c>
      <c r="BL1842" s="2" t="s">
        <v>1020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8340</v>
      </c>
      <c r="BV1842" s="2" t="s">
        <v>231</v>
      </c>
      <c r="BW1842" s="2" t="s">
        <v>231</v>
      </c>
      <c r="BX1842" s="2" t="s">
        <v>241</v>
      </c>
      <c r="BY1842" s="2" t="s">
        <v>277</v>
      </c>
      <c r="BZ1842" s="2" t="s">
        <v>243</v>
      </c>
      <c r="CA1842" s="2" t="s">
        <v>1242</v>
      </c>
      <c r="CB1842" s="2" t="s">
        <v>231</v>
      </c>
      <c r="CC1842" s="2" t="s">
        <v>244</v>
      </c>
      <c r="CD1842" s="2" t="s">
        <v>231</v>
      </c>
      <c r="CE1842" s="4">
        <v>300</v>
      </c>
      <c r="CF1842" s="4"/>
      <c r="CG1842" s="4"/>
      <c r="CH1842" s="4"/>
      <c r="CI1842" s="4">
        <v>33</v>
      </c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</row>
    <row r="1843">
      <c r="A1843" s="2" t="s">
        <v>8341</v>
      </c>
      <c r="B1843" s="2" t="s">
        <v>1186</v>
      </c>
      <c r="C1843" s="2" t="s">
        <v>1017</v>
      </c>
      <c r="D1843" s="2" t="s">
        <v>654</v>
      </c>
      <c r="E1843" s="2" t="s">
        <v>655</v>
      </c>
      <c r="F1843" s="2" t="s">
        <v>8304</v>
      </c>
      <c r="G1843" s="2" t="s">
        <v>8304</v>
      </c>
      <c r="H1843" s="2" t="s">
        <v>8304</v>
      </c>
      <c r="I1843" s="2" t="s">
        <v>8305</v>
      </c>
      <c r="J1843" s="2" t="s">
        <v>669</v>
      </c>
      <c r="K1843" s="2" t="s">
        <v>452</v>
      </c>
      <c r="L1843" s="3">
        <v>26.19</v>
      </c>
      <c r="M1843" s="3">
        <v>27.5</v>
      </c>
      <c r="N1843" s="3">
        <v>54.99</v>
      </c>
      <c r="O1843" s="2" t="s">
        <v>243</v>
      </c>
      <c r="P1843" s="2" t="s">
        <v>341</v>
      </c>
      <c r="Q1843" s="2" t="s">
        <v>237</v>
      </c>
      <c r="R1843" s="2" t="s">
        <v>231</v>
      </c>
      <c r="S1843" s="2" t="s">
        <v>8333</v>
      </c>
      <c r="T1843" s="2" t="s">
        <v>472</v>
      </c>
      <c r="U1843" s="2" t="s">
        <v>835</v>
      </c>
      <c r="V1843" s="2" t="s">
        <v>239</v>
      </c>
      <c r="W1843" s="2" t="s">
        <v>691</v>
      </c>
      <c r="X1843" s="2" t="s">
        <v>2541</v>
      </c>
      <c r="Y1843" s="2" t="s">
        <v>1789</v>
      </c>
      <c r="Z1843" s="4">
        <v>520</v>
      </c>
      <c r="AA1843" s="4">
        <f>=ROUNDDOWN(104,0)</f>
      </c>
      <c r="AB1843" s="5">
        <v>5</v>
      </c>
      <c r="AC1843" s="2" t="s">
        <v>231</v>
      </c>
      <c r="AD1843" s="4"/>
      <c r="AE1843" s="4"/>
      <c r="AF1843" s="6">
        <v>63</v>
      </c>
      <c r="AG1843" s="6">
        <v>46</v>
      </c>
      <c r="AH1843" s="7">
        <v>1</v>
      </c>
      <c r="AI1843" s="4"/>
      <c r="AJ1843" s="4">
        <f>=ROUNDDOWN({0},0)</f>
      </c>
      <c r="AK1843" s="5"/>
      <c r="AL1843" s="2" t="s">
        <v>231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 t="s">
        <v>231</v>
      </c>
      <c r="AW1843" s="8" t="s">
        <v>231</v>
      </c>
      <c r="AX1843" s="4" t="s">
        <v>231</v>
      </c>
      <c r="AY1843" s="8" t="s">
        <v>231</v>
      </c>
      <c r="AZ1843" s="7" t="s">
        <v>231</v>
      </c>
      <c r="BA1843" s="7" t="s">
        <v>231</v>
      </c>
      <c r="BB1843" s="7" t="s">
        <v>231</v>
      </c>
      <c r="BC1843" s="4" t="s">
        <v>231</v>
      </c>
      <c r="BD1843" s="8" t="s">
        <v>231</v>
      </c>
      <c r="BE1843" s="4" t="s">
        <v>231</v>
      </c>
      <c r="BF1843" s="8" t="s">
        <v>231</v>
      </c>
      <c r="BG1843" s="7" t="s">
        <v>231</v>
      </c>
      <c r="BH1843" s="7" t="s">
        <v>231</v>
      </c>
      <c r="BI1843" s="7"/>
      <c r="BJ1843" s="4">
        <v>3</v>
      </c>
      <c r="BK1843" s="8">
        <v>103.46</v>
      </c>
      <c r="BL1843" s="2" t="s">
        <v>8342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8343</v>
      </c>
      <c r="BV1843" s="2" t="s">
        <v>231</v>
      </c>
      <c r="BW1843" s="2" t="s">
        <v>231</v>
      </c>
      <c r="BX1843" s="2" t="s">
        <v>241</v>
      </c>
      <c r="BY1843" s="2" t="s">
        <v>277</v>
      </c>
      <c r="BZ1843" s="2" t="s">
        <v>243</v>
      </c>
      <c r="CA1843" s="2" t="s">
        <v>1242</v>
      </c>
      <c r="CB1843" s="2" t="s">
        <v>231</v>
      </c>
      <c r="CC1843" s="2" t="s">
        <v>244</v>
      </c>
      <c r="CD1843" s="2" t="s">
        <v>231</v>
      </c>
      <c r="CE1843" s="4">
        <v>482</v>
      </c>
      <c r="CF1843" s="4"/>
      <c r="CG1843" s="4"/>
      <c r="CH1843" s="4"/>
      <c r="CI1843" s="4">
        <v>38</v>
      </c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</row>
    <row r="1844">
      <c r="A1844" s="2" t="s">
        <v>8344</v>
      </c>
      <c r="B1844" s="2" t="s">
        <v>1186</v>
      </c>
      <c r="C1844" s="2" t="s">
        <v>1017</v>
      </c>
      <c r="D1844" s="2" t="s">
        <v>826</v>
      </c>
      <c r="E1844" s="2" t="s">
        <v>827</v>
      </c>
      <c r="F1844" s="2" t="s">
        <v>8304</v>
      </c>
      <c r="G1844" s="2" t="s">
        <v>8304</v>
      </c>
      <c r="H1844" s="2" t="s">
        <v>8304</v>
      </c>
      <c r="I1844" s="2" t="s">
        <v>8310</v>
      </c>
      <c r="J1844" s="2" t="s">
        <v>669</v>
      </c>
      <c r="K1844" s="2" t="s">
        <v>452</v>
      </c>
      <c r="L1844" s="3">
        <v>20.23</v>
      </c>
      <c r="M1844" s="3">
        <v>21.24</v>
      </c>
      <c r="N1844" s="3">
        <v>42.49</v>
      </c>
      <c r="O1844" s="2" t="s">
        <v>243</v>
      </c>
      <c r="P1844" s="2" t="s">
        <v>341</v>
      </c>
      <c r="Q1844" s="2" t="s">
        <v>237</v>
      </c>
      <c r="R1844" s="2" t="s">
        <v>231</v>
      </c>
      <c r="S1844" s="2" t="s">
        <v>8333</v>
      </c>
      <c r="T1844" s="2" t="s">
        <v>472</v>
      </c>
      <c r="U1844" s="2" t="s">
        <v>835</v>
      </c>
      <c r="V1844" s="2" t="s">
        <v>239</v>
      </c>
      <c r="W1844" s="2" t="s">
        <v>691</v>
      </c>
      <c r="X1844" s="2" t="s">
        <v>2541</v>
      </c>
      <c r="Y1844" s="2" t="s">
        <v>8311</v>
      </c>
      <c r="Z1844" s="4">
        <v>595</v>
      </c>
      <c r="AA1844" s="4">
        <f>=ROUNDDOWN(297.5,0)</f>
      </c>
      <c r="AB1844" s="5">
        <v>2</v>
      </c>
      <c r="AC1844" s="2" t="s">
        <v>231</v>
      </c>
      <c r="AD1844" s="4"/>
      <c r="AE1844" s="4"/>
      <c r="AF1844" s="6">
        <v>63</v>
      </c>
      <c r="AG1844" s="6">
        <v>46</v>
      </c>
      <c r="AH1844" s="7">
        <v>1</v>
      </c>
      <c r="AI1844" s="4"/>
      <c r="AJ1844" s="4">
        <f>=ROUNDDOWN({0},0)</f>
      </c>
      <c r="AK1844" s="5"/>
      <c r="AL1844" s="2" t="s">
        <v>231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 t="s">
        <v>231</v>
      </c>
      <c r="AW1844" s="8" t="s">
        <v>231</v>
      </c>
      <c r="AX1844" s="4" t="s">
        <v>231</v>
      </c>
      <c r="AY1844" s="8" t="s">
        <v>231</v>
      </c>
      <c r="AZ1844" s="7" t="s">
        <v>231</v>
      </c>
      <c r="BA1844" s="7" t="s">
        <v>231</v>
      </c>
      <c r="BB1844" s="7" t="s">
        <v>231</v>
      </c>
      <c r="BC1844" s="4" t="s">
        <v>231</v>
      </c>
      <c r="BD1844" s="8" t="s">
        <v>231</v>
      </c>
      <c r="BE1844" s="4" t="s">
        <v>231</v>
      </c>
      <c r="BF1844" s="8" t="s">
        <v>231</v>
      </c>
      <c r="BG1844" s="7" t="s">
        <v>231</v>
      </c>
      <c r="BH1844" s="7" t="s">
        <v>231</v>
      </c>
      <c r="BI1844" s="7"/>
      <c r="BJ1844" s="4"/>
      <c r="BK1844" s="8"/>
      <c r="BL1844" s="2" t="s">
        <v>231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8345</v>
      </c>
      <c r="BV1844" s="2" t="s">
        <v>231</v>
      </c>
      <c r="BW1844" s="2" t="s">
        <v>231</v>
      </c>
      <c r="BX1844" s="2" t="s">
        <v>241</v>
      </c>
      <c r="BY1844" s="2" t="s">
        <v>277</v>
      </c>
      <c r="BZ1844" s="2" t="s">
        <v>243</v>
      </c>
      <c r="CA1844" s="2" t="s">
        <v>1242</v>
      </c>
      <c r="CB1844" s="2" t="s">
        <v>231</v>
      </c>
      <c r="CC1844" s="2" t="s">
        <v>244</v>
      </c>
      <c r="CD1844" s="2" t="s">
        <v>231</v>
      </c>
      <c r="CE1844" s="4">
        <v>492</v>
      </c>
      <c r="CF1844" s="4"/>
      <c r="CG1844" s="4"/>
      <c r="CH1844" s="4"/>
      <c r="CI1844" s="4">
        <v>103</v>
      </c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</row>
    <row r="1845">
      <c r="A1845" s="2" t="s">
        <v>8346</v>
      </c>
      <c r="B1845" s="2" t="s">
        <v>1004</v>
      </c>
      <c r="C1845" s="2" t="s">
        <v>815</v>
      </c>
      <c r="D1845" s="2" t="s">
        <v>1689</v>
      </c>
      <c r="E1845" s="2" t="s">
        <v>1690</v>
      </c>
      <c r="F1845" s="2" t="s">
        <v>8347</v>
      </c>
      <c r="G1845" s="2" t="s">
        <v>8347</v>
      </c>
      <c r="H1845" s="2" t="s">
        <v>8347</v>
      </c>
      <c r="I1845" s="2" t="s">
        <v>2651</v>
      </c>
      <c r="J1845" s="2" t="s">
        <v>807</v>
      </c>
      <c r="K1845" s="2" t="s">
        <v>253</v>
      </c>
      <c r="L1845" s="3">
        <v>251.75</v>
      </c>
      <c r="M1845" s="3">
        <v>264.34</v>
      </c>
      <c r="N1845" s="3">
        <v>529</v>
      </c>
      <c r="O1845" s="2" t="s">
        <v>243</v>
      </c>
      <c r="P1845" s="2" t="s">
        <v>1985</v>
      </c>
      <c r="Q1845" s="2" t="s">
        <v>237</v>
      </c>
      <c r="R1845" s="2" t="s">
        <v>231</v>
      </c>
      <c r="S1845" s="2" t="s">
        <v>231</v>
      </c>
      <c r="T1845" s="2" t="s">
        <v>231</v>
      </c>
      <c r="U1845" s="2" t="s">
        <v>327</v>
      </c>
      <c r="V1845" s="2" t="s">
        <v>239</v>
      </c>
      <c r="W1845" s="2" t="s">
        <v>808</v>
      </c>
      <c r="X1845" s="2" t="s">
        <v>231</v>
      </c>
      <c r="Y1845" s="2" t="s">
        <v>8348</v>
      </c>
      <c r="Z1845" s="4">
        <v>98</v>
      </c>
      <c r="AA1845" s="4">
        <f>=ROUNDDOWN(25.1282051282051,0)</f>
      </c>
      <c r="AB1845" s="5">
        <v>3.9</v>
      </c>
      <c r="AC1845" s="2" t="s">
        <v>231</v>
      </c>
      <c r="AD1845" s="4"/>
      <c r="AE1845" s="4"/>
      <c r="AF1845" s="6">
        <v>66</v>
      </c>
      <c r="AG1845" s="6"/>
      <c r="AH1845" s="7">
        <v>0.5484</v>
      </c>
      <c r="AI1845" s="4"/>
      <c r="AJ1845" s="4">
        <f>=ROUNDDOWN({0},0)</f>
      </c>
      <c r="AK1845" s="5"/>
      <c r="AL1845" s="2" t="s">
        <v>231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6</v>
      </c>
      <c r="BK1845" s="8">
        <v>1589.36</v>
      </c>
      <c r="BL1845" s="2" t="s">
        <v>8349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8350</v>
      </c>
      <c r="BV1845" s="2" t="s">
        <v>231</v>
      </c>
      <c r="BW1845" s="2" t="s">
        <v>231</v>
      </c>
      <c r="BX1845" s="2" t="s">
        <v>231</v>
      </c>
      <c r="BY1845" s="2" t="s">
        <v>277</v>
      </c>
      <c r="BZ1845" s="2" t="s">
        <v>243</v>
      </c>
      <c r="CA1845" s="2" t="s">
        <v>3500</v>
      </c>
      <c r="CB1845" s="2" t="s">
        <v>8351</v>
      </c>
      <c r="CC1845" s="2" t="s">
        <v>244</v>
      </c>
      <c r="CD1845" s="2" t="s">
        <v>231</v>
      </c>
      <c r="CE1845" s="4"/>
      <c r="CF1845" s="4">
        <v>98</v>
      </c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</row>
    <row r="1846">
      <c r="A1846" s="2" t="s">
        <v>8352</v>
      </c>
      <c r="B1846" s="2" t="s">
        <v>1186</v>
      </c>
      <c r="C1846" s="2" t="s">
        <v>631</v>
      </c>
      <c r="D1846" s="2" t="s">
        <v>654</v>
      </c>
      <c r="E1846" s="2" t="s">
        <v>890</v>
      </c>
      <c r="F1846" s="2" t="s">
        <v>8353</v>
      </c>
      <c r="G1846" s="2" t="s">
        <v>8353</v>
      </c>
      <c r="H1846" s="2" t="s">
        <v>8353</v>
      </c>
      <c r="I1846" s="2" t="s">
        <v>8354</v>
      </c>
      <c r="J1846" s="2" t="s">
        <v>658</v>
      </c>
      <c r="K1846" s="2" t="s">
        <v>269</v>
      </c>
      <c r="L1846" s="3">
        <v>45.71</v>
      </c>
      <c r="M1846" s="3">
        <v>48</v>
      </c>
      <c r="N1846" s="3">
        <v>99.99</v>
      </c>
      <c r="O1846" s="2" t="s">
        <v>243</v>
      </c>
      <c r="P1846" s="2" t="s">
        <v>341</v>
      </c>
      <c r="Q1846" s="2" t="s">
        <v>237</v>
      </c>
      <c r="R1846" s="2" t="s">
        <v>231</v>
      </c>
      <c r="S1846" s="2" t="s">
        <v>8355</v>
      </c>
      <c r="T1846" s="2" t="s">
        <v>231</v>
      </c>
      <c r="U1846" s="2" t="s">
        <v>835</v>
      </c>
      <c r="V1846" s="2" t="s">
        <v>239</v>
      </c>
      <c r="W1846" s="2" t="s">
        <v>273</v>
      </c>
      <c r="X1846" s="2" t="s">
        <v>231</v>
      </c>
      <c r="Y1846" s="2" t="s">
        <v>1640</v>
      </c>
      <c r="Z1846" s="4">
        <v>285</v>
      </c>
      <c r="AA1846" s="4">
        <f>=ROUNDDOWN(47.5,0)</f>
      </c>
      <c r="AB1846" s="5">
        <v>6</v>
      </c>
      <c r="AC1846" s="2" t="s">
        <v>231</v>
      </c>
      <c r="AD1846" s="4"/>
      <c r="AE1846" s="4"/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231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 t="s">
        <v>231</v>
      </c>
      <c r="AW1846" s="8" t="s">
        <v>231</v>
      </c>
      <c r="AX1846" s="4" t="s">
        <v>231</v>
      </c>
      <c r="AY1846" s="8" t="s">
        <v>231</v>
      </c>
      <c r="AZ1846" s="7" t="s">
        <v>231</v>
      </c>
      <c r="BA1846" s="7" t="s">
        <v>231</v>
      </c>
      <c r="BB1846" s="7" t="s">
        <v>231</v>
      </c>
      <c r="BC1846" s="4" t="s">
        <v>231</v>
      </c>
      <c r="BD1846" s="8" t="s">
        <v>231</v>
      </c>
      <c r="BE1846" s="4" t="s">
        <v>231</v>
      </c>
      <c r="BF1846" s="8" t="s">
        <v>231</v>
      </c>
      <c r="BG1846" s="7" t="s">
        <v>231</v>
      </c>
      <c r="BH1846" s="7" t="s">
        <v>231</v>
      </c>
      <c r="BI1846" s="7"/>
      <c r="BJ1846" s="4">
        <v>34</v>
      </c>
      <c r="BK1846" s="8">
        <v>995.52</v>
      </c>
      <c r="BL1846" s="2" t="s">
        <v>8356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8357</v>
      </c>
      <c r="BV1846" s="2" t="s">
        <v>231</v>
      </c>
      <c r="BW1846" s="2" t="s">
        <v>231</v>
      </c>
      <c r="BX1846" s="2" t="s">
        <v>231</v>
      </c>
      <c r="BY1846" s="2" t="s">
        <v>277</v>
      </c>
      <c r="BZ1846" s="2" t="s">
        <v>243</v>
      </c>
      <c r="CA1846" s="2" t="s">
        <v>1643</v>
      </c>
      <c r="CB1846" s="2" t="s">
        <v>8358</v>
      </c>
      <c r="CC1846" s="2" t="s">
        <v>244</v>
      </c>
      <c r="CD1846" s="2" t="s">
        <v>231</v>
      </c>
      <c r="CE1846" s="4">
        <v>285</v>
      </c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</row>
    <row r="1847">
      <c r="A1847" s="2" t="s">
        <v>8359</v>
      </c>
      <c r="B1847" s="2" t="s">
        <v>1186</v>
      </c>
      <c r="C1847" s="2" t="s">
        <v>631</v>
      </c>
      <c r="D1847" s="2" t="s">
        <v>826</v>
      </c>
      <c r="E1847" s="2" t="s">
        <v>1060</v>
      </c>
      <c r="F1847" s="2" t="s">
        <v>8353</v>
      </c>
      <c r="G1847" s="2" t="s">
        <v>8353</v>
      </c>
      <c r="H1847" s="2" t="s">
        <v>8353</v>
      </c>
      <c r="I1847" s="2" t="s">
        <v>8360</v>
      </c>
      <c r="J1847" s="2" t="s">
        <v>658</v>
      </c>
      <c r="K1847" s="2" t="s">
        <v>269</v>
      </c>
      <c r="L1847" s="3">
        <v>32</v>
      </c>
      <c r="M1847" s="3">
        <v>33.6</v>
      </c>
      <c r="N1847" s="3">
        <v>69.99</v>
      </c>
      <c r="O1847" s="2" t="s">
        <v>243</v>
      </c>
      <c r="P1847" s="2" t="s">
        <v>341</v>
      </c>
      <c r="Q1847" s="2" t="s">
        <v>237</v>
      </c>
      <c r="R1847" s="2" t="s">
        <v>231</v>
      </c>
      <c r="S1847" s="2" t="s">
        <v>8355</v>
      </c>
      <c r="T1847" s="2" t="s">
        <v>231</v>
      </c>
      <c r="U1847" s="2" t="s">
        <v>835</v>
      </c>
      <c r="V1847" s="2" t="s">
        <v>239</v>
      </c>
      <c r="W1847" s="2" t="s">
        <v>273</v>
      </c>
      <c r="X1847" s="2" t="s">
        <v>231</v>
      </c>
      <c r="Y1847" s="2" t="s">
        <v>1640</v>
      </c>
      <c r="Z1847" s="4">
        <v>171</v>
      </c>
      <c r="AA1847" s="4">
        <f>=ROUNDDOWN(42.75,0)</f>
      </c>
      <c r="AB1847" s="5">
        <v>4</v>
      </c>
      <c r="AC1847" s="2" t="s">
        <v>231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231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 t="s">
        <v>231</v>
      </c>
      <c r="AW1847" s="8" t="s">
        <v>231</v>
      </c>
      <c r="AX1847" s="4" t="s">
        <v>231</v>
      </c>
      <c r="AY1847" s="8" t="s">
        <v>231</v>
      </c>
      <c r="AZ1847" s="7" t="s">
        <v>231</v>
      </c>
      <c r="BA1847" s="7" t="s">
        <v>231</v>
      </c>
      <c r="BB1847" s="7" t="s">
        <v>231</v>
      </c>
      <c r="BC1847" s="4" t="s">
        <v>231</v>
      </c>
      <c r="BD1847" s="8" t="s">
        <v>231</v>
      </c>
      <c r="BE1847" s="4" t="s">
        <v>231</v>
      </c>
      <c r="BF1847" s="8" t="s">
        <v>231</v>
      </c>
      <c r="BG1847" s="7" t="s">
        <v>231</v>
      </c>
      <c r="BH1847" s="7" t="s">
        <v>231</v>
      </c>
      <c r="BI1847" s="7"/>
      <c r="BJ1847" s="4">
        <v>42</v>
      </c>
      <c r="BK1847" s="8">
        <v>827.91</v>
      </c>
      <c r="BL1847" s="2" t="s">
        <v>8361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8362</v>
      </c>
      <c r="BV1847" s="2" t="s">
        <v>231</v>
      </c>
      <c r="BW1847" s="2" t="s">
        <v>231</v>
      </c>
      <c r="BX1847" s="2" t="s">
        <v>231</v>
      </c>
      <c r="BY1847" s="2" t="s">
        <v>277</v>
      </c>
      <c r="BZ1847" s="2" t="s">
        <v>243</v>
      </c>
      <c r="CA1847" s="2" t="s">
        <v>1643</v>
      </c>
      <c r="CB1847" s="2" t="s">
        <v>3628</v>
      </c>
      <c r="CC1847" s="2" t="s">
        <v>244</v>
      </c>
      <c r="CD1847" s="2" t="s">
        <v>231</v>
      </c>
      <c r="CE1847" s="4">
        <v>171</v>
      </c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  <c r="HG1847" s="4"/>
      <c r="HH1847" s="4"/>
      <c r="HI1847" s="4"/>
      <c r="HJ1847" s="4"/>
      <c r="HK1847" s="4"/>
      <c r="HL1847" s="4"/>
    </row>
    <row r="1848">
      <c r="A1848" s="2" t="s">
        <v>8363</v>
      </c>
      <c r="B1848" s="2" t="s">
        <v>1186</v>
      </c>
      <c r="C1848" s="2" t="s">
        <v>631</v>
      </c>
      <c r="D1848" s="2" t="s">
        <v>654</v>
      </c>
      <c r="E1848" s="2" t="s">
        <v>890</v>
      </c>
      <c r="F1848" s="2" t="s">
        <v>8353</v>
      </c>
      <c r="G1848" s="2" t="s">
        <v>8353</v>
      </c>
      <c r="H1848" s="2" t="s">
        <v>8353</v>
      </c>
      <c r="I1848" s="2" t="s">
        <v>8354</v>
      </c>
      <c r="J1848" s="2" t="s">
        <v>669</v>
      </c>
      <c r="K1848" s="2" t="s">
        <v>269</v>
      </c>
      <c r="L1848" s="3">
        <v>50.28</v>
      </c>
      <c r="M1848" s="3">
        <v>52.79</v>
      </c>
      <c r="N1848" s="3">
        <v>109.99</v>
      </c>
      <c r="O1848" s="2" t="s">
        <v>243</v>
      </c>
      <c r="P1848" s="2" t="s">
        <v>341</v>
      </c>
      <c r="Q1848" s="2" t="s">
        <v>237</v>
      </c>
      <c r="R1848" s="2" t="s">
        <v>231</v>
      </c>
      <c r="S1848" s="2" t="s">
        <v>8355</v>
      </c>
      <c r="T1848" s="2" t="s">
        <v>231</v>
      </c>
      <c r="U1848" s="2" t="s">
        <v>835</v>
      </c>
      <c r="V1848" s="2" t="s">
        <v>239</v>
      </c>
      <c r="W1848" s="2" t="s">
        <v>273</v>
      </c>
      <c r="X1848" s="2" t="s">
        <v>231</v>
      </c>
      <c r="Y1848" s="2" t="s">
        <v>1640</v>
      </c>
      <c r="Z1848" s="4">
        <v>202</v>
      </c>
      <c r="AA1848" s="4">
        <f>=ROUNDDOWN(33.6666666666667,0)</f>
      </c>
      <c r="AB1848" s="5">
        <v>6</v>
      </c>
      <c r="AC1848" s="2" t="s">
        <v>231</v>
      </c>
      <c r="AD1848" s="4"/>
      <c r="AE1848" s="4"/>
      <c r="AF1848" s="6">
        <v>65</v>
      </c>
      <c r="AG1848" s="6"/>
      <c r="AH1848" s="7">
        <v>0.0645</v>
      </c>
      <c r="AI1848" s="4"/>
      <c r="AJ1848" s="4">
        <f>=ROUNDDOWN({0},0)</f>
      </c>
      <c r="AK1848" s="5"/>
      <c r="AL1848" s="2" t="s">
        <v>231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 t="s">
        <v>231</v>
      </c>
      <c r="AW1848" s="8" t="s">
        <v>231</v>
      </c>
      <c r="AX1848" s="4" t="s">
        <v>231</v>
      </c>
      <c r="AY1848" s="8" t="s">
        <v>231</v>
      </c>
      <c r="AZ1848" s="7" t="s">
        <v>231</v>
      </c>
      <c r="BA1848" s="7" t="s">
        <v>231</v>
      </c>
      <c r="BB1848" s="7"/>
      <c r="BC1848" s="4" t="s">
        <v>231</v>
      </c>
      <c r="BD1848" s="8" t="s">
        <v>231</v>
      </c>
      <c r="BE1848" s="4" t="s">
        <v>231</v>
      </c>
      <c r="BF1848" s="8" t="s">
        <v>231</v>
      </c>
      <c r="BG1848" s="7" t="s">
        <v>231</v>
      </c>
      <c r="BH1848" s="7" t="s">
        <v>231</v>
      </c>
      <c r="BI1848" s="7"/>
      <c r="BJ1848" s="4">
        <v>8</v>
      </c>
      <c r="BK1848" s="8">
        <v>422.32</v>
      </c>
      <c r="BL1848" s="2" t="s">
        <v>1474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8364</v>
      </c>
      <c r="BV1848" s="2" t="s">
        <v>231</v>
      </c>
      <c r="BW1848" s="2" t="s">
        <v>231</v>
      </c>
      <c r="BX1848" s="2" t="s">
        <v>231</v>
      </c>
      <c r="BY1848" s="2" t="s">
        <v>277</v>
      </c>
      <c r="BZ1848" s="2" t="s">
        <v>243</v>
      </c>
      <c r="CA1848" s="2" t="s">
        <v>1643</v>
      </c>
      <c r="CB1848" s="2" t="s">
        <v>8365</v>
      </c>
      <c r="CC1848" s="2" t="s">
        <v>244</v>
      </c>
      <c r="CD1848" s="2" t="s">
        <v>231</v>
      </c>
      <c r="CE1848" s="4">
        <v>202</v>
      </c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  <c r="HG1848" s="4"/>
      <c r="HH1848" s="4"/>
      <c r="HI1848" s="4"/>
      <c r="HJ1848" s="4"/>
      <c r="HK1848" s="4"/>
      <c r="HL1848" s="4"/>
    </row>
    <row r="1849">
      <c r="A1849" s="2" t="s">
        <v>8366</v>
      </c>
      <c r="B1849" s="2" t="s">
        <v>1186</v>
      </c>
      <c r="C1849" s="2" t="s">
        <v>631</v>
      </c>
      <c r="D1849" s="2" t="s">
        <v>826</v>
      </c>
      <c r="E1849" s="2" t="s">
        <v>1060</v>
      </c>
      <c r="F1849" s="2" t="s">
        <v>8353</v>
      </c>
      <c r="G1849" s="2" t="s">
        <v>8353</v>
      </c>
      <c r="H1849" s="2" t="s">
        <v>8353</v>
      </c>
      <c r="I1849" s="2" t="s">
        <v>8360</v>
      </c>
      <c r="J1849" s="2" t="s">
        <v>658</v>
      </c>
      <c r="K1849" s="2" t="s">
        <v>1496</v>
      </c>
      <c r="L1849" s="3">
        <v>32</v>
      </c>
      <c r="M1849" s="3">
        <v>33.6</v>
      </c>
      <c r="N1849" s="3">
        <v>69.99</v>
      </c>
      <c r="O1849" s="2" t="s">
        <v>243</v>
      </c>
      <c r="P1849" s="2" t="s">
        <v>341</v>
      </c>
      <c r="Q1849" s="2" t="s">
        <v>237</v>
      </c>
      <c r="R1849" s="2" t="s">
        <v>231</v>
      </c>
      <c r="S1849" s="2" t="s">
        <v>8367</v>
      </c>
      <c r="T1849" s="2" t="s">
        <v>231</v>
      </c>
      <c r="U1849" s="2" t="s">
        <v>835</v>
      </c>
      <c r="V1849" s="2" t="s">
        <v>239</v>
      </c>
      <c r="W1849" s="2" t="s">
        <v>273</v>
      </c>
      <c r="X1849" s="2" t="s">
        <v>231</v>
      </c>
      <c r="Y1849" s="2" t="s">
        <v>1640</v>
      </c>
      <c r="Z1849" s="4">
        <v>195</v>
      </c>
      <c r="AA1849" s="4">
        <f>=ROUNDDOWN(32.5,0)</f>
      </c>
      <c r="AB1849" s="5"/>
      <c r="AC1849" s="2" t="s">
        <v>231</v>
      </c>
      <c r="AD1849" s="4"/>
      <c r="AE1849" s="4"/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231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231</v>
      </c>
      <c r="BD1849" s="8" t="s">
        <v>231</v>
      </c>
      <c r="BE1849" s="4" t="s">
        <v>231</v>
      </c>
      <c r="BF1849" s="8" t="s">
        <v>231</v>
      </c>
      <c r="BG1849" s="7" t="s">
        <v>231</v>
      </c>
      <c r="BH1849" s="7" t="s">
        <v>231</v>
      </c>
      <c r="BI1849" s="7"/>
      <c r="BJ1849" s="4">
        <v>27</v>
      </c>
      <c r="BK1849" s="8">
        <v>522.82</v>
      </c>
      <c r="BL1849" s="2" t="s">
        <v>8368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8369</v>
      </c>
      <c r="BV1849" s="2" t="s">
        <v>231</v>
      </c>
      <c r="BW1849" s="2" t="s">
        <v>231</v>
      </c>
      <c r="BX1849" s="2" t="s">
        <v>231</v>
      </c>
      <c r="BY1849" s="2" t="s">
        <v>277</v>
      </c>
      <c r="BZ1849" s="2" t="s">
        <v>243</v>
      </c>
      <c r="CA1849" s="2" t="s">
        <v>1643</v>
      </c>
      <c r="CB1849" s="2" t="s">
        <v>822</v>
      </c>
      <c r="CC1849" s="2" t="s">
        <v>244</v>
      </c>
      <c r="CD1849" s="2" t="s">
        <v>231</v>
      </c>
      <c r="CE1849" s="4">
        <v>195</v>
      </c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</row>
    <row r="1850">
      <c r="A1850" s="2" t="s">
        <v>8370</v>
      </c>
      <c r="B1850" s="2" t="s">
        <v>801</v>
      </c>
      <c r="C1850" s="2" t="s">
        <v>802</v>
      </c>
      <c r="D1850" s="2" t="s">
        <v>1114</v>
      </c>
      <c r="E1850" s="2" t="s">
        <v>1115</v>
      </c>
      <c r="F1850" s="2" t="s">
        <v>8371</v>
      </c>
      <c r="G1850" s="2" t="s">
        <v>8371</v>
      </c>
      <c r="H1850" s="2" t="s">
        <v>8371</v>
      </c>
      <c r="I1850" s="2" t="s">
        <v>8372</v>
      </c>
      <c r="J1850" s="2" t="s">
        <v>807</v>
      </c>
      <c r="K1850" s="2" t="s">
        <v>985</v>
      </c>
      <c r="L1850" s="3">
        <v>50</v>
      </c>
      <c r="M1850" s="3">
        <v>52.5</v>
      </c>
      <c r="N1850" s="3">
        <v>104.99</v>
      </c>
      <c r="O1850" s="2" t="s">
        <v>243</v>
      </c>
      <c r="P1850" s="2" t="s">
        <v>236</v>
      </c>
      <c r="Q1850" s="2" t="s">
        <v>237</v>
      </c>
      <c r="R1850" s="2" t="s">
        <v>231</v>
      </c>
      <c r="S1850" s="2" t="s">
        <v>231</v>
      </c>
      <c r="T1850" s="2" t="s">
        <v>231</v>
      </c>
      <c r="U1850" s="2" t="s">
        <v>327</v>
      </c>
      <c r="V1850" s="2" t="s">
        <v>662</v>
      </c>
      <c r="W1850" s="2" t="s">
        <v>363</v>
      </c>
      <c r="X1850" s="2" t="s">
        <v>792</v>
      </c>
      <c r="Y1850" s="2" t="s">
        <v>3034</v>
      </c>
      <c r="Z1850" s="4">
        <v>84</v>
      </c>
      <c r="AA1850" s="4">
        <f>=ROUNDDOWN(36.5217391304348,0)</f>
      </c>
      <c r="AB1850" s="5">
        <v>2.3</v>
      </c>
      <c r="AC1850" s="2" t="s">
        <v>231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231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7</v>
      </c>
      <c r="BK1850" s="8">
        <v>356.48</v>
      </c>
      <c r="BL1850" s="2" t="s">
        <v>1013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8373</v>
      </c>
      <c r="BV1850" s="2" t="s">
        <v>231</v>
      </c>
      <c r="BW1850" s="2" t="s">
        <v>231</v>
      </c>
      <c r="BX1850" s="2" t="s">
        <v>241</v>
      </c>
      <c r="BY1850" s="2" t="s">
        <v>277</v>
      </c>
      <c r="BZ1850" s="2" t="s">
        <v>243</v>
      </c>
      <c r="CA1850" s="2" t="s">
        <v>8374</v>
      </c>
      <c r="CB1850" s="2" t="s">
        <v>231</v>
      </c>
      <c r="CC1850" s="2" t="s">
        <v>244</v>
      </c>
      <c r="CD1850" s="2" t="s">
        <v>231</v>
      </c>
      <c r="CE1850" s="4"/>
      <c r="CF1850" s="4">
        <v>84</v>
      </c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</row>
    <row r="1851">
      <c r="A1851" s="2" t="s">
        <v>8375</v>
      </c>
      <c r="B1851" s="2" t="s">
        <v>1186</v>
      </c>
      <c r="C1851" s="2" t="s">
        <v>357</v>
      </c>
      <c r="D1851" s="2" t="s">
        <v>654</v>
      </c>
      <c r="E1851" s="2" t="s">
        <v>1187</v>
      </c>
      <c r="F1851" s="2" t="s">
        <v>8376</v>
      </c>
      <c r="G1851" s="2" t="s">
        <v>8377</v>
      </c>
      <c r="H1851" s="2" t="s">
        <v>2017</v>
      </c>
      <c r="I1851" s="2" t="s">
        <v>8378</v>
      </c>
      <c r="J1851" s="2" t="s">
        <v>304</v>
      </c>
      <c r="K1851" s="2" t="s">
        <v>778</v>
      </c>
      <c r="L1851" s="3">
        <v>65.28</v>
      </c>
      <c r="M1851" s="3">
        <v>68.54</v>
      </c>
      <c r="N1851" s="3">
        <v>119.99</v>
      </c>
      <c r="O1851" s="2" t="s">
        <v>243</v>
      </c>
      <c r="P1851" s="2" t="s">
        <v>270</v>
      </c>
      <c r="Q1851" s="2" t="s">
        <v>237</v>
      </c>
      <c r="R1851" s="2" t="s">
        <v>231</v>
      </c>
      <c r="S1851" s="2" t="s">
        <v>8379</v>
      </c>
      <c r="T1851" s="2" t="s">
        <v>231</v>
      </c>
      <c r="U1851" s="2" t="s">
        <v>1196</v>
      </c>
      <c r="V1851" s="2" t="s">
        <v>1192</v>
      </c>
      <c r="W1851" s="2" t="s">
        <v>792</v>
      </c>
      <c r="X1851" s="2" t="s">
        <v>1486</v>
      </c>
      <c r="Y1851" s="2" t="s">
        <v>8380</v>
      </c>
      <c r="Z1851" s="4">
        <v>139</v>
      </c>
      <c r="AA1851" s="4">
        <f>=ROUNDDOWN(23.1666666666667,0)</f>
      </c>
      <c r="AB1851" s="5">
        <v>6</v>
      </c>
      <c r="AC1851" s="2" t="s">
        <v>582</v>
      </c>
      <c r="AD1851" s="4">
        <v>40</v>
      </c>
      <c r="AE1851" s="4">
        <v>40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231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7</v>
      </c>
      <c r="BK1851" s="8">
        <v>476.94</v>
      </c>
      <c r="BL1851" s="2" t="s">
        <v>8381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8382</v>
      </c>
      <c r="BV1851" s="2" t="s">
        <v>231</v>
      </c>
      <c r="BW1851" s="2" t="s">
        <v>231</v>
      </c>
      <c r="BX1851" s="2" t="s">
        <v>231</v>
      </c>
      <c r="BY1851" s="2" t="s">
        <v>277</v>
      </c>
      <c r="BZ1851" s="2" t="s">
        <v>243</v>
      </c>
      <c r="CA1851" s="2" t="s">
        <v>8383</v>
      </c>
      <c r="CB1851" s="2" t="s">
        <v>8384</v>
      </c>
      <c r="CC1851" s="2" t="s">
        <v>244</v>
      </c>
      <c r="CD1851" s="2" t="s">
        <v>231</v>
      </c>
      <c r="CE1851" s="4">
        <v>139</v>
      </c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>
        <v>40</v>
      </c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</row>
    <row r="1852">
      <c r="A1852" s="2" t="s">
        <v>8385</v>
      </c>
      <c r="B1852" s="2" t="s">
        <v>1004</v>
      </c>
      <c r="C1852" s="2" t="s">
        <v>288</v>
      </c>
      <c r="D1852" s="2" t="s">
        <v>1917</v>
      </c>
      <c r="E1852" s="2" t="s">
        <v>1918</v>
      </c>
      <c r="F1852" s="2" t="s">
        <v>8386</v>
      </c>
      <c r="G1852" s="2" t="s">
        <v>8387</v>
      </c>
      <c r="H1852" s="2" t="s">
        <v>8388</v>
      </c>
      <c r="I1852" s="2" t="s">
        <v>1918</v>
      </c>
      <c r="J1852" s="2" t="s">
        <v>807</v>
      </c>
      <c r="K1852" s="2" t="s">
        <v>8389</v>
      </c>
      <c r="L1852" s="3">
        <v>80</v>
      </c>
      <c r="M1852" s="3">
        <v>84</v>
      </c>
      <c r="N1852" s="3">
        <v>169</v>
      </c>
      <c r="O1852" s="2" t="s">
        <v>243</v>
      </c>
      <c r="P1852" s="2" t="s">
        <v>236</v>
      </c>
      <c r="Q1852" s="2" t="s">
        <v>237</v>
      </c>
      <c r="R1852" s="2" t="s">
        <v>231</v>
      </c>
      <c r="S1852" s="2" t="s">
        <v>231</v>
      </c>
      <c r="T1852" s="2" t="s">
        <v>231</v>
      </c>
      <c r="U1852" s="2" t="s">
        <v>327</v>
      </c>
      <c r="V1852" s="2" t="s">
        <v>239</v>
      </c>
      <c r="W1852" s="2" t="s">
        <v>691</v>
      </c>
      <c r="X1852" s="2" t="s">
        <v>808</v>
      </c>
      <c r="Y1852" s="2" t="s">
        <v>231</v>
      </c>
      <c r="Z1852" s="4"/>
      <c r="AA1852" s="4">
        <f>=ROUNDDOWN({0},0)</f>
      </c>
      <c r="AB1852" s="5">
        <v>13</v>
      </c>
      <c r="AC1852" s="2" t="s">
        <v>231</v>
      </c>
      <c r="AD1852" s="4"/>
      <c r="AE1852" s="4"/>
      <c r="AF1852" s="6">
        <v>66</v>
      </c>
      <c r="AG1852" s="6"/>
      <c r="AH1852" s="7">
        <v>0</v>
      </c>
      <c r="AI1852" s="4"/>
      <c r="AJ1852" s="4">
        <f>=ROUNDDOWN({0},0)</f>
      </c>
      <c r="AK1852" s="5"/>
      <c r="AL1852" s="2" t="s">
        <v>231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/>
      <c r="BK1852" s="8"/>
      <c r="BL1852" s="2" t="s">
        <v>231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241</v>
      </c>
      <c r="BV1852" s="2" t="s">
        <v>231</v>
      </c>
      <c r="BW1852" s="2" t="s">
        <v>231</v>
      </c>
      <c r="BX1852" s="2" t="s">
        <v>241</v>
      </c>
      <c r="BY1852" s="2" t="s">
        <v>242</v>
      </c>
      <c r="BZ1852" s="2" t="s">
        <v>243</v>
      </c>
      <c r="CA1852" s="2" t="s">
        <v>231</v>
      </c>
      <c r="CB1852" s="2" t="s">
        <v>231</v>
      </c>
      <c r="CC1852" s="2" t="s">
        <v>244</v>
      </c>
      <c r="CD1852" s="2" t="s">
        <v>231</v>
      </c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</row>
    <row r="1853">
      <c r="A1853" s="2" t="s">
        <v>8390</v>
      </c>
      <c r="B1853" s="2" t="s">
        <v>1004</v>
      </c>
      <c r="C1853" s="2" t="s">
        <v>288</v>
      </c>
      <c r="D1853" s="2" t="s">
        <v>1689</v>
      </c>
      <c r="E1853" s="2" t="s">
        <v>1690</v>
      </c>
      <c r="F1853" s="2" t="s">
        <v>8391</v>
      </c>
      <c r="G1853" s="2" t="s">
        <v>8392</v>
      </c>
      <c r="H1853" s="2" t="s">
        <v>8393</v>
      </c>
      <c r="I1853" s="2" t="s">
        <v>2651</v>
      </c>
      <c r="J1853" s="2" t="s">
        <v>807</v>
      </c>
      <c r="K1853" s="2" t="s">
        <v>234</v>
      </c>
      <c r="L1853" s="3">
        <v>178.2</v>
      </c>
      <c r="M1853" s="3">
        <v>187.11</v>
      </c>
      <c r="N1853" s="3">
        <v>379</v>
      </c>
      <c r="O1853" s="2" t="s">
        <v>235</v>
      </c>
      <c r="P1853" s="2" t="s">
        <v>341</v>
      </c>
      <c r="Q1853" s="2" t="s">
        <v>237</v>
      </c>
      <c r="R1853" s="2" t="s">
        <v>231</v>
      </c>
      <c r="S1853" s="2" t="s">
        <v>231</v>
      </c>
      <c r="T1853" s="2" t="s">
        <v>231</v>
      </c>
      <c r="U1853" s="2" t="s">
        <v>327</v>
      </c>
      <c r="V1853" s="2" t="s">
        <v>239</v>
      </c>
      <c r="W1853" s="2" t="s">
        <v>792</v>
      </c>
      <c r="X1853" s="2" t="s">
        <v>231</v>
      </c>
      <c r="Y1853" s="2" t="s">
        <v>1049</v>
      </c>
      <c r="Z1853" s="4">
        <v>39</v>
      </c>
      <c r="AA1853" s="4">
        <f>=ROUNDDOWN(21.6666666666667,0)</f>
      </c>
      <c r="AB1853" s="5">
        <v>1.8</v>
      </c>
      <c r="AC1853" s="2" t="s">
        <v>231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231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7</v>
      </c>
      <c r="BK1853" s="8">
        <v>639.45</v>
      </c>
      <c r="BL1853" s="2" t="s">
        <v>8394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8395</v>
      </c>
      <c r="BV1853" s="2" t="s">
        <v>231</v>
      </c>
      <c r="BW1853" s="2" t="s">
        <v>231</v>
      </c>
      <c r="BX1853" s="2" t="s">
        <v>231</v>
      </c>
      <c r="BY1853" s="2" t="s">
        <v>277</v>
      </c>
      <c r="BZ1853" s="2" t="s">
        <v>243</v>
      </c>
      <c r="CA1853" s="2" t="s">
        <v>2502</v>
      </c>
      <c r="CB1853" s="2" t="s">
        <v>8396</v>
      </c>
      <c r="CC1853" s="2" t="s">
        <v>244</v>
      </c>
      <c r="CD1853" s="2" t="s">
        <v>231</v>
      </c>
      <c r="CE1853" s="4"/>
      <c r="CF1853" s="4">
        <v>39</v>
      </c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</row>
    <row r="1854">
      <c r="A1854" s="2" t="s">
        <v>8397</v>
      </c>
      <c r="B1854" s="2" t="s">
        <v>226</v>
      </c>
      <c r="C1854" s="2" t="s">
        <v>825</v>
      </c>
      <c r="D1854" s="2" t="s">
        <v>654</v>
      </c>
      <c r="E1854" s="2" t="s">
        <v>890</v>
      </c>
      <c r="F1854" s="2" t="s">
        <v>8398</v>
      </c>
      <c r="G1854" s="2" t="s">
        <v>8399</v>
      </c>
      <c r="H1854" s="2" t="s">
        <v>8399</v>
      </c>
      <c r="I1854" s="2" t="s">
        <v>8400</v>
      </c>
      <c r="J1854" s="2" t="s">
        <v>669</v>
      </c>
      <c r="K1854" s="2" t="s">
        <v>985</v>
      </c>
      <c r="L1854" s="3">
        <v>41.61</v>
      </c>
      <c r="M1854" s="3">
        <v>43.69</v>
      </c>
      <c r="N1854" s="3">
        <v>89.99</v>
      </c>
      <c r="O1854" s="2" t="s">
        <v>243</v>
      </c>
      <c r="P1854" s="2" t="s">
        <v>270</v>
      </c>
      <c r="Q1854" s="2" t="s">
        <v>237</v>
      </c>
      <c r="R1854" s="2" t="s">
        <v>231</v>
      </c>
      <c r="S1854" s="2" t="s">
        <v>8401</v>
      </c>
      <c r="T1854" s="2" t="s">
        <v>895</v>
      </c>
      <c r="U1854" s="2" t="s">
        <v>835</v>
      </c>
      <c r="V1854" s="2" t="s">
        <v>239</v>
      </c>
      <c r="W1854" s="2" t="s">
        <v>299</v>
      </c>
      <c r="X1854" s="2" t="s">
        <v>691</v>
      </c>
      <c r="Y1854" s="2" t="s">
        <v>8402</v>
      </c>
      <c r="Z1854" s="4">
        <v>265</v>
      </c>
      <c r="AA1854" s="4">
        <f>=ROUNDDOWN(22.0833333333333,0)</f>
      </c>
      <c r="AB1854" s="5">
        <v>12</v>
      </c>
      <c r="AC1854" s="2" t="s">
        <v>1537</v>
      </c>
      <c r="AD1854" s="4">
        <v>150</v>
      </c>
      <c r="AE1854" s="4">
        <v>230</v>
      </c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231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231</v>
      </c>
      <c r="BD1854" s="8" t="s">
        <v>231</v>
      </c>
      <c r="BE1854" s="4" t="s">
        <v>231</v>
      </c>
      <c r="BF1854" s="8" t="s">
        <v>231</v>
      </c>
      <c r="BG1854" s="7" t="s">
        <v>231</v>
      </c>
      <c r="BH1854" s="7" t="s">
        <v>231</v>
      </c>
      <c r="BI1854" s="7"/>
      <c r="BJ1854" s="4">
        <v>11</v>
      </c>
      <c r="BK1854" s="8">
        <v>535.19</v>
      </c>
      <c r="BL1854" s="2" t="s">
        <v>8403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8404</v>
      </c>
      <c r="BV1854" s="2" t="s">
        <v>231</v>
      </c>
      <c r="BW1854" s="2" t="s">
        <v>231</v>
      </c>
      <c r="BX1854" s="2" t="s">
        <v>231</v>
      </c>
      <c r="BY1854" s="2" t="s">
        <v>277</v>
      </c>
      <c r="BZ1854" s="2" t="s">
        <v>243</v>
      </c>
      <c r="CA1854" s="2" t="s">
        <v>5283</v>
      </c>
      <c r="CB1854" s="2" t="s">
        <v>6016</v>
      </c>
      <c r="CC1854" s="2" t="s">
        <v>244</v>
      </c>
      <c r="CD1854" s="2" t="s">
        <v>231</v>
      </c>
      <c r="CE1854" s="4">
        <v>265</v>
      </c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>
        <v>150</v>
      </c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>
        <v>80</v>
      </c>
      <c r="HF1854" s="4"/>
      <c r="HG1854" s="4"/>
      <c r="HH1854" s="4"/>
      <c r="HI1854" s="4"/>
      <c r="HJ1854" s="4"/>
      <c r="HK1854" s="4"/>
      <c r="HL1854" s="4"/>
    </row>
    <row r="1855">
      <c r="A1855" s="2" t="s">
        <v>8405</v>
      </c>
      <c r="B1855" s="2" t="s">
        <v>226</v>
      </c>
      <c r="C1855" s="2" t="s">
        <v>825</v>
      </c>
      <c r="D1855" s="2" t="s">
        <v>826</v>
      </c>
      <c r="E1855" s="2" t="s">
        <v>1060</v>
      </c>
      <c r="F1855" s="2" t="s">
        <v>8398</v>
      </c>
      <c r="G1855" s="2" t="s">
        <v>8399</v>
      </c>
      <c r="H1855" s="2" t="s">
        <v>8399</v>
      </c>
      <c r="I1855" s="2" t="s">
        <v>8406</v>
      </c>
      <c r="J1855" s="2" t="s">
        <v>318</v>
      </c>
      <c r="K1855" s="2" t="s">
        <v>294</v>
      </c>
      <c r="L1855" s="3">
        <v>25.8</v>
      </c>
      <c r="M1855" s="3">
        <v>27.09</v>
      </c>
      <c r="N1855" s="3">
        <v>59.99</v>
      </c>
      <c r="O1855" s="2" t="s">
        <v>243</v>
      </c>
      <c r="P1855" s="2" t="s">
        <v>270</v>
      </c>
      <c r="Q1855" s="2" t="s">
        <v>237</v>
      </c>
      <c r="R1855" s="2" t="s">
        <v>231</v>
      </c>
      <c r="S1855" s="2" t="s">
        <v>8407</v>
      </c>
      <c r="T1855" s="2" t="s">
        <v>895</v>
      </c>
      <c r="U1855" s="2" t="s">
        <v>791</v>
      </c>
      <c r="V1855" s="2" t="s">
        <v>239</v>
      </c>
      <c r="W1855" s="2" t="s">
        <v>299</v>
      </c>
      <c r="X1855" s="2" t="s">
        <v>691</v>
      </c>
      <c r="Y1855" s="2" t="s">
        <v>3174</v>
      </c>
      <c r="Z1855" s="4">
        <v>202</v>
      </c>
      <c r="AA1855" s="4">
        <f>=ROUNDDOWN(67.3333333333333,0)</f>
      </c>
      <c r="AB1855" s="5">
        <v>3</v>
      </c>
      <c r="AC1855" s="2" t="s">
        <v>231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231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231</v>
      </c>
      <c r="AW1855" s="8" t="s">
        <v>231</v>
      </c>
      <c r="AX1855" s="4" t="s">
        <v>231</v>
      </c>
      <c r="AY1855" s="8" t="s">
        <v>231</v>
      </c>
      <c r="AZ1855" s="7" t="s">
        <v>231</v>
      </c>
      <c r="BA1855" s="7" t="s">
        <v>231</v>
      </c>
      <c r="BB1855" s="7"/>
      <c r="BC1855" s="4" t="s">
        <v>231</v>
      </c>
      <c r="BD1855" s="8" t="s">
        <v>231</v>
      </c>
      <c r="BE1855" s="4" t="s">
        <v>231</v>
      </c>
      <c r="BF1855" s="8" t="s">
        <v>231</v>
      </c>
      <c r="BG1855" s="7" t="s">
        <v>231</v>
      </c>
      <c r="BH1855" s="7" t="s">
        <v>231</v>
      </c>
      <c r="BI1855" s="7"/>
      <c r="BJ1855" s="4">
        <v>5</v>
      </c>
      <c r="BK1855" s="8">
        <v>158.73</v>
      </c>
      <c r="BL1855" s="2" t="s">
        <v>8408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8409</v>
      </c>
      <c r="BV1855" s="2" t="s">
        <v>231</v>
      </c>
      <c r="BW1855" s="2" t="s">
        <v>231</v>
      </c>
      <c r="BX1855" s="2" t="s">
        <v>231</v>
      </c>
      <c r="BY1855" s="2" t="s">
        <v>277</v>
      </c>
      <c r="BZ1855" s="2" t="s">
        <v>243</v>
      </c>
      <c r="CA1855" s="2" t="s">
        <v>8410</v>
      </c>
      <c r="CB1855" s="2" t="s">
        <v>8411</v>
      </c>
      <c r="CC1855" s="2" t="s">
        <v>244</v>
      </c>
      <c r="CD1855" s="2" t="s">
        <v>231</v>
      </c>
      <c r="CE1855" s="4">
        <v>124</v>
      </c>
      <c r="CF1855" s="4">
        <v>78</v>
      </c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  <c r="HG1855" s="4"/>
      <c r="HH1855" s="4"/>
      <c r="HI1855" s="4"/>
      <c r="HJ1855" s="4"/>
      <c r="HK1855" s="4"/>
      <c r="HL1855" s="4"/>
    </row>
    <row r="1856">
      <c r="A1856" s="2" t="s">
        <v>8412</v>
      </c>
      <c r="B1856" s="2" t="s">
        <v>226</v>
      </c>
      <c r="C1856" s="2" t="s">
        <v>825</v>
      </c>
      <c r="D1856" s="2" t="s">
        <v>654</v>
      </c>
      <c r="E1856" s="2" t="s">
        <v>890</v>
      </c>
      <c r="F1856" s="2" t="s">
        <v>8398</v>
      </c>
      <c r="G1856" s="2" t="s">
        <v>8399</v>
      </c>
      <c r="H1856" s="2" t="s">
        <v>8399</v>
      </c>
      <c r="I1856" s="2" t="s">
        <v>8400</v>
      </c>
      <c r="J1856" s="2" t="s">
        <v>832</v>
      </c>
      <c r="K1856" s="2" t="s">
        <v>294</v>
      </c>
      <c r="L1856" s="3">
        <v>28.47</v>
      </c>
      <c r="M1856" s="3">
        <v>29.89</v>
      </c>
      <c r="N1856" s="3">
        <v>59.99</v>
      </c>
      <c r="O1856" s="2" t="s">
        <v>243</v>
      </c>
      <c r="P1856" s="2" t="s">
        <v>1281</v>
      </c>
      <c r="Q1856" s="2" t="s">
        <v>237</v>
      </c>
      <c r="R1856" s="2" t="s">
        <v>231</v>
      </c>
      <c r="S1856" s="2" t="s">
        <v>8407</v>
      </c>
      <c r="T1856" s="2" t="s">
        <v>895</v>
      </c>
      <c r="U1856" s="2" t="s">
        <v>791</v>
      </c>
      <c r="V1856" s="2" t="s">
        <v>239</v>
      </c>
      <c r="W1856" s="2" t="s">
        <v>299</v>
      </c>
      <c r="X1856" s="2" t="s">
        <v>691</v>
      </c>
      <c r="Y1856" s="2" t="s">
        <v>8413</v>
      </c>
      <c r="Z1856" s="4">
        <v>318</v>
      </c>
      <c r="AA1856" s="4">
        <f>=ROUNDDOWN(26.5,0)</f>
      </c>
      <c r="AB1856" s="5">
        <v>12</v>
      </c>
      <c r="AC1856" s="2" t="s">
        <v>1128</v>
      </c>
      <c r="AD1856" s="4">
        <v>70</v>
      </c>
      <c r="AE1856" s="4">
        <v>290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231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231</v>
      </c>
      <c r="AW1856" s="8" t="s">
        <v>231</v>
      </c>
      <c r="AX1856" s="4" t="s">
        <v>231</v>
      </c>
      <c r="AY1856" s="8" t="s">
        <v>231</v>
      </c>
      <c r="AZ1856" s="7" t="s">
        <v>231</v>
      </c>
      <c r="BA1856" s="7" t="s">
        <v>231</v>
      </c>
      <c r="BB1856" s="7"/>
      <c r="BC1856" s="4" t="s">
        <v>231</v>
      </c>
      <c r="BD1856" s="8" t="s">
        <v>231</v>
      </c>
      <c r="BE1856" s="4" t="s">
        <v>231</v>
      </c>
      <c r="BF1856" s="8" t="s">
        <v>231</v>
      </c>
      <c r="BG1856" s="7" t="s">
        <v>231</v>
      </c>
      <c r="BH1856" s="7" t="s">
        <v>231</v>
      </c>
      <c r="BI1856" s="7"/>
      <c r="BJ1856" s="4">
        <v>27</v>
      </c>
      <c r="BK1856" s="8">
        <v>822.92</v>
      </c>
      <c r="BL1856" s="2" t="s">
        <v>8414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8415</v>
      </c>
      <c r="BV1856" s="2" t="s">
        <v>231</v>
      </c>
      <c r="BW1856" s="2" t="s">
        <v>231</v>
      </c>
      <c r="BX1856" s="2" t="s">
        <v>241</v>
      </c>
      <c r="BY1856" s="2" t="s">
        <v>277</v>
      </c>
      <c r="BZ1856" s="2" t="s">
        <v>243</v>
      </c>
      <c r="CA1856" s="2" t="s">
        <v>8413</v>
      </c>
      <c r="CB1856" s="2" t="s">
        <v>6768</v>
      </c>
      <c r="CC1856" s="2" t="s">
        <v>244</v>
      </c>
      <c r="CD1856" s="2" t="s">
        <v>231</v>
      </c>
      <c r="CE1856" s="4">
        <v>318</v>
      </c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>
        <v>70</v>
      </c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>
        <v>120</v>
      </c>
      <c r="GC1856" s="4"/>
      <c r="GD1856" s="4"/>
      <c r="GE1856" s="4"/>
      <c r="GF1856" s="4"/>
      <c r="GG1856" s="4"/>
      <c r="GH1856" s="4"/>
      <c r="GI1856" s="4"/>
      <c r="GJ1856" s="4"/>
      <c r="GK1856" s="4">
        <v>100</v>
      </c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  <c r="HG1856" s="4"/>
      <c r="HH1856" s="4"/>
      <c r="HI1856" s="4"/>
      <c r="HJ1856" s="4"/>
      <c r="HK1856" s="4"/>
      <c r="HL1856" s="4"/>
    </row>
    <row r="1857">
      <c r="A1857" s="2" t="s">
        <v>8416</v>
      </c>
      <c r="B1857" s="2" t="s">
        <v>226</v>
      </c>
      <c r="C1857" s="2" t="s">
        <v>825</v>
      </c>
      <c r="D1857" s="2" t="s">
        <v>654</v>
      </c>
      <c r="E1857" s="2" t="s">
        <v>890</v>
      </c>
      <c r="F1857" s="2" t="s">
        <v>8398</v>
      </c>
      <c r="G1857" s="2" t="s">
        <v>8399</v>
      </c>
      <c r="H1857" s="2" t="s">
        <v>8399</v>
      </c>
      <c r="I1857" s="2" t="s">
        <v>8400</v>
      </c>
      <c r="J1857" s="2" t="s">
        <v>832</v>
      </c>
      <c r="K1857" s="2" t="s">
        <v>3221</v>
      </c>
      <c r="L1857" s="3">
        <v>28.47</v>
      </c>
      <c r="M1857" s="3">
        <v>29.89</v>
      </c>
      <c r="N1857" s="3">
        <v>59.99</v>
      </c>
      <c r="O1857" s="2" t="s">
        <v>243</v>
      </c>
      <c r="P1857" s="2" t="s">
        <v>270</v>
      </c>
      <c r="Q1857" s="2" t="s">
        <v>237</v>
      </c>
      <c r="R1857" s="2" t="s">
        <v>231</v>
      </c>
      <c r="S1857" s="2" t="s">
        <v>8417</v>
      </c>
      <c r="T1857" s="2" t="s">
        <v>895</v>
      </c>
      <c r="U1857" s="2" t="s">
        <v>791</v>
      </c>
      <c r="V1857" s="2" t="s">
        <v>239</v>
      </c>
      <c r="W1857" s="2" t="s">
        <v>299</v>
      </c>
      <c r="X1857" s="2" t="s">
        <v>691</v>
      </c>
      <c r="Y1857" s="2" t="s">
        <v>1620</v>
      </c>
      <c r="Z1857" s="4">
        <v>141</v>
      </c>
      <c r="AA1857" s="4">
        <f>=ROUNDDOWN(32.0454545454545,0)</f>
      </c>
      <c r="AB1857" s="5">
        <v>4.4</v>
      </c>
      <c r="AC1857" s="2" t="s">
        <v>1128</v>
      </c>
      <c r="AD1857" s="4">
        <v>350</v>
      </c>
      <c r="AE1857" s="4">
        <v>350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231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 t="s">
        <v>231</v>
      </c>
      <c r="AW1857" s="8" t="s">
        <v>231</v>
      </c>
      <c r="AX1857" s="4" t="s">
        <v>231</v>
      </c>
      <c r="AY1857" s="8" t="s">
        <v>231</v>
      </c>
      <c r="AZ1857" s="7" t="s">
        <v>231</v>
      </c>
      <c r="BA1857" s="7" t="s">
        <v>231</v>
      </c>
      <c r="BB1857" s="7"/>
      <c r="BC1857" s="4" t="s">
        <v>231</v>
      </c>
      <c r="BD1857" s="8" t="s">
        <v>231</v>
      </c>
      <c r="BE1857" s="4" t="s">
        <v>231</v>
      </c>
      <c r="BF1857" s="8" t="s">
        <v>231</v>
      </c>
      <c r="BG1857" s="7" t="s">
        <v>231</v>
      </c>
      <c r="BH1857" s="7" t="s">
        <v>231</v>
      </c>
      <c r="BI1857" s="7"/>
      <c r="BJ1857" s="4">
        <v>13</v>
      </c>
      <c r="BK1857" s="8">
        <v>369.58</v>
      </c>
      <c r="BL1857" s="2" t="s">
        <v>8418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8419</v>
      </c>
      <c r="BV1857" s="2" t="s">
        <v>231</v>
      </c>
      <c r="BW1857" s="2" t="s">
        <v>231</v>
      </c>
      <c r="BX1857" s="2" t="s">
        <v>231</v>
      </c>
      <c r="BY1857" s="2" t="s">
        <v>277</v>
      </c>
      <c r="BZ1857" s="2" t="s">
        <v>243</v>
      </c>
      <c r="CA1857" s="2" t="s">
        <v>387</v>
      </c>
      <c r="CB1857" s="2" t="s">
        <v>2515</v>
      </c>
      <c r="CC1857" s="2" t="s">
        <v>244</v>
      </c>
      <c r="CD1857" s="2" t="s">
        <v>231</v>
      </c>
      <c r="CE1857" s="4">
        <v>141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>
        <v>350</v>
      </c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4"/>
      <c r="HH1857" s="4"/>
      <c r="HI1857" s="4"/>
      <c r="HJ1857" s="4"/>
      <c r="HK1857" s="4"/>
      <c r="HL1857" s="4"/>
    </row>
    <row r="1858">
      <c r="A1858" s="2" t="s">
        <v>8420</v>
      </c>
      <c r="B1858" s="2" t="s">
        <v>226</v>
      </c>
      <c r="C1858" s="2" t="s">
        <v>825</v>
      </c>
      <c r="D1858" s="2" t="s">
        <v>654</v>
      </c>
      <c r="E1858" s="2" t="s">
        <v>890</v>
      </c>
      <c r="F1858" s="2" t="s">
        <v>8398</v>
      </c>
      <c r="G1858" s="2" t="s">
        <v>8399</v>
      </c>
      <c r="H1858" s="2" t="s">
        <v>8399</v>
      </c>
      <c r="I1858" s="2" t="s">
        <v>8400</v>
      </c>
      <c r="J1858" s="2" t="s">
        <v>658</v>
      </c>
      <c r="K1858" s="2" t="s">
        <v>3221</v>
      </c>
      <c r="L1858" s="3">
        <v>37.23</v>
      </c>
      <c r="M1858" s="3">
        <v>39.09</v>
      </c>
      <c r="N1858" s="3">
        <v>79.99</v>
      </c>
      <c r="O1858" s="2" t="s">
        <v>243</v>
      </c>
      <c r="P1858" s="2" t="s">
        <v>270</v>
      </c>
      <c r="Q1858" s="2" t="s">
        <v>237</v>
      </c>
      <c r="R1858" s="2" t="s">
        <v>231</v>
      </c>
      <c r="S1858" s="2" t="s">
        <v>8417</v>
      </c>
      <c r="T1858" s="2" t="s">
        <v>895</v>
      </c>
      <c r="U1858" s="2" t="s">
        <v>835</v>
      </c>
      <c r="V1858" s="2" t="s">
        <v>239</v>
      </c>
      <c r="W1858" s="2" t="s">
        <v>299</v>
      </c>
      <c r="X1858" s="2" t="s">
        <v>691</v>
      </c>
      <c r="Y1858" s="2" t="s">
        <v>1620</v>
      </c>
      <c r="Z1858" s="4">
        <v>237</v>
      </c>
      <c r="AA1858" s="4">
        <f>=ROUNDDOWN(26.3333333333333,0)</f>
      </c>
      <c r="AB1858" s="5">
        <v>9</v>
      </c>
      <c r="AC1858" s="2" t="s">
        <v>1537</v>
      </c>
      <c r="AD1858" s="4">
        <v>300</v>
      </c>
      <c r="AE1858" s="4">
        <v>300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231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 t="s">
        <v>231</v>
      </c>
      <c r="AW1858" s="8" t="s">
        <v>231</v>
      </c>
      <c r="AX1858" s="4" t="s">
        <v>231</v>
      </c>
      <c r="AY1858" s="8" t="s">
        <v>231</v>
      </c>
      <c r="AZ1858" s="7" t="s">
        <v>231</v>
      </c>
      <c r="BA1858" s="7" t="s">
        <v>231</v>
      </c>
      <c r="BB1858" s="7"/>
      <c r="BC1858" s="4" t="s">
        <v>231</v>
      </c>
      <c r="BD1858" s="8" t="s">
        <v>231</v>
      </c>
      <c r="BE1858" s="4" t="s">
        <v>231</v>
      </c>
      <c r="BF1858" s="8" t="s">
        <v>231</v>
      </c>
      <c r="BG1858" s="7" t="s">
        <v>231</v>
      </c>
      <c r="BH1858" s="7" t="s">
        <v>231</v>
      </c>
      <c r="BI1858" s="7"/>
      <c r="BJ1858" s="4">
        <v>19</v>
      </c>
      <c r="BK1858" s="8">
        <v>768.98</v>
      </c>
      <c r="BL1858" s="2" t="s">
        <v>8421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8422</v>
      </c>
      <c r="BV1858" s="2" t="s">
        <v>231</v>
      </c>
      <c r="BW1858" s="2" t="s">
        <v>231</v>
      </c>
      <c r="BX1858" s="2" t="s">
        <v>231</v>
      </c>
      <c r="BY1858" s="2" t="s">
        <v>277</v>
      </c>
      <c r="BZ1858" s="2" t="s">
        <v>243</v>
      </c>
      <c r="CA1858" s="2" t="s">
        <v>387</v>
      </c>
      <c r="CB1858" s="2" t="s">
        <v>1612</v>
      </c>
      <c r="CC1858" s="2" t="s">
        <v>244</v>
      </c>
      <c r="CD1858" s="2" t="s">
        <v>231</v>
      </c>
      <c r="CE1858" s="4">
        <v>237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>
        <v>300</v>
      </c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4"/>
      <c r="HH1858" s="4"/>
      <c r="HI1858" s="4"/>
      <c r="HJ1858" s="4"/>
      <c r="HK1858" s="4"/>
      <c r="HL1858" s="4"/>
    </row>
    <row r="1859">
      <c r="A1859" s="2" t="s">
        <v>8423</v>
      </c>
      <c r="B1859" s="2" t="s">
        <v>226</v>
      </c>
      <c r="C1859" s="2" t="s">
        <v>825</v>
      </c>
      <c r="D1859" s="2" t="s">
        <v>654</v>
      </c>
      <c r="E1859" s="2" t="s">
        <v>890</v>
      </c>
      <c r="F1859" s="2" t="s">
        <v>8398</v>
      </c>
      <c r="G1859" s="2" t="s">
        <v>8399</v>
      </c>
      <c r="H1859" s="2" t="s">
        <v>8399</v>
      </c>
      <c r="I1859" s="2" t="s">
        <v>8400</v>
      </c>
      <c r="J1859" s="2" t="s">
        <v>669</v>
      </c>
      <c r="K1859" s="2" t="s">
        <v>3221</v>
      </c>
      <c r="L1859" s="3">
        <v>41.61</v>
      </c>
      <c r="M1859" s="3">
        <v>43.69</v>
      </c>
      <c r="N1859" s="3">
        <v>89.99</v>
      </c>
      <c r="O1859" s="2" t="s">
        <v>243</v>
      </c>
      <c r="P1859" s="2" t="s">
        <v>270</v>
      </c>
      <c r="Q1859" s="2" t="s">
        <v>237</v>
      </c>
      <c r="R1859" s="2" t="s">
        <v>231</v>
      </c>
      <c r="S1859" s="2" t="s">
        <v>8417</v>
      </c>
      <c r="T1859" s="2" t="s">
        <v>895</v>
      </c>
      <c r="U1859" s="2" t="s">
        <v>835</v>
      </c>
      <c r="V1859" s="2" t="s">
        <v>239</v>
      </c>
      <c r="W1859" s="2" t="s">
        <v>299</v>
      </c>
      <c r="X1859" s="2" t="s">
        <v>691</v>
      </c>
      <c r="Y1859" s="2" t="s">
        <v>1620</v>
      </c>
      <c r="Z1859" s="4">
        <v>255</v>
      </c>
      <c r="AA1859" s="4">
        <f>=ROUNDDOWN(36.4285714285714,0)</f>
      </c>
      <c r="AB1859" s="5">
        <v>7</v>
      </c>
      <c r="AC1859" s="2" t="s">
        <v>1537</v>
      </c>
      <c r="AD1859" s="4">
        <v>80</v>
      </c>
      <c r="AE1859" s="4">
        <v>80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231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231</v>
      </c>
      <c r="AW1859" s="8" t="s">
        <v>231</v>
      </c>
      <c r="AX1859" s="4" t="s">
        <v>231</v>
      </c>
      <c r="AY1859" s="8" t="s">
        <v>231</v>
      </c>
      <c r="AZ1859" s="7" t="s">
        <v>231</v>
      </c>
      <c r="BA1859" s="7" t="s">
        <v>231</v>
      </c>
      <c r="BB1859" s="7"/>
      <c r="BC1859" s="4" t="s">
        <v>231</v>
      </c>
      <c r="BD1859" s="8" t="s">
        <v>231</v>
      </c>
      <c r="BE1859" s="4" t="s">
        <v>231</v>
      </c>
      <c r="BF1859" s="8" t="s">
        <v>231</v>
      </c>
      <c r="BG1859" s="7" t="s">
        <v>231</v>
      </c>
      <c r="BH1859" s="7" t="s">
        <v>231</v>
      </c>
      <c r="BI1859" s="7"/>
      <c r="BJ1859" s="4">
        <v>17</v>
      </c>
      <c r="BK1859" s="8">
        <v>769.3</v>
      </c>
      <c r="BL1859" s="2" t="s">
        <v>8424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8425</v>
      </c>
      <c r="BV1859" s="2" t="s">
        <v>231</v>
      </c>
      <c r="BW1859" s="2" t="s">
        <v>231</v>
      </c>
      <c r="BX1859" s="2" t="s">
        <v>231</v>
      </c>
      <c r="BY1859" s="2" t="s">
        <v>277</v>
      </c>
      <c r="BZ1859" s="2" t="s">
        <v>243</v>
      </c>
      <c r="CA1859" s="2" t="s">
        <v>387</v>
      </c>
      <c r="CB1859" s="2" t="s">
        <v>5107</v>
      </c>
      <c r="CC1859" s="2" t="s">
        <v>244</v>
      </c>
      <c r="CD1859" s="2" t="s">
        <v>231</v>
      </c>
      <c r="CE1859" s="4">
        <v>255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>
        <v>80</v>
      </c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4"/>
      <c r="HH1859" s="4"/>
      <c r="HI1859" s="4"/>
      <c r="HJ1859" s="4"/>
      <c r="HK1859" s="4"/>
      <c r="HL1859" s="4"/>
    </row>
    <row r="1860">
      <c r="A1860" s="2" t="s">
        <v>8426</v>
      </c>
      <c r="B1860" s="2" t="s">
        <v>226</v>
      </c>
      <c r="C1860" s="2" t="s">
        <v>825</v>
      </c>
      <c r="D1860" s="2" t="s">
        <v>654</v>
      </c>
      <c r="E1860" s="2" t="s">
        <v>890</v>
      </c>
      <c r="F1860" s="2" t="s">
        <v>8398</v>
      </c>
      <c r="G1860" s="2" t="s">
        <v>8399</v>
      </c>
      <c r="H1860" s="2" t="s">
        <v>8399</v>
      </c>
      <c r="I1860" s="2" t="s">
        <v>8427</v>
      </c>
      <c r="J1860" s="2" t="s">
        <v>832</v>
      </c>
      <c r="K1860" s="2" t="s">
        <v>8428</v>
      </c>
      <c r="L1860" s="3">
        <v>28.47</v>
      </c>
      <c r="M1860" s="3">
        <v>29.89</v>
      </c>
      <c r="N1860" s="3">
        <v>59.99</v>
      </c>
      <c r="O1860" s="2" t="s">
        <v>243</v>
      </c>
      <c r="P1860" s="2" t="s">
        <v>295</v>
      </c>
      <c r="Q1860" s="2" t="s">
        <v>237</v>
      </c>
      <c r="R1860" s="2" t="s">
        <v>231</v>
      </c>
      <c r="S1860" s="2" t="s">
        <v>8429</v>
      </c>
      <c r="T1860" s="2" t="s">
        <v>895</v>
      </c>
      <c r="U1860" s="2" t="s">
        <v>791</v>
      </c>
      <c r="V1860" s="2" t="s">
        <v>239</v>
      </c>
      <c r="W1860" s="2" t="s">
        <v>299</v>
      </c>
      <c r="X1860" s="2" t="s">
        <v>691</v>
      </c>
      <c r="Y1860" s="2" t="s">
        <v>231</v>
      </c>
      <c r="Z1860" s="4"/>
      <c r="AA1860" s="4">
        <f>=ROUNDDOWN({0},0)</f>
      </c>
      <c r="AB1860" s="5"/>
      <c r="AC1860" s="2" t="s">
        <v>8430</v>
      </c>
      <c r="AD1860" s="4">
        <v>80</v>
      </c>
      <c r="AE1860" s="4">
        <v>160</v>
      </c>
      <c r="AF1860" s="6">
        <v>65</v>
      </c>
      <c r="AG1860" s="6"/>
      <c r="AH1860" s="7">
        <v>0</v>
      </c>
      <c r="AI1860" s="4"/>
      <c r="AJ1860" s="4">
        <f>=ROUNDDOWN({0},0)</f>
      </c>
      <c r="AK1860" s="5"/>
      <c r="AL1860" s="2" t="s">
        <v>231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231</v>
      </c>
      <c r="AW1860" s="8" t="s">
        <v>231</v>
      </c>
      <c r="AX1860" s="4" t="s">
        <v>231</v>
      </c>
      <c r="AY1860" s="8" t="s">
        <v>231</v>
      </c>
      <c r="AZ1860" s="7" t="s">
        <v>231</v>
      </c>
      <c r="BA1860" s="7" t="s">
        <v>231</v>
      </c>
      <c r="BB1860" s="7"/>
      <c r="BC1860" s="4" t="s">
        <v>231</v>
      </c>
      <c r="BD1860" s="8" t="s">
        <v>231</v>
      </c>
      <c r="BE1860" s="4" t="s">
        <v>231</v>
      </c>
      <c r="BF1860" s="8" t="s">
        <v>231</v>
      </c>
      <c r="BG1860" s="7" t="s">
        <v>231</v>
      </c>
      <c r="BH1860" s="7" t="s">
        <v>231</v>
      </c>
      <c r="BI1860" s="7"/>
      <c r="BJ1860" s="4"/>
      <c r="BK1860" s="8"/>
      <c r="BL1860" s="2" t="s">
        <v>231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241</v>
      </c>
      <c r="BV1860" s="2" t="s">
        <v>231</v>
      </c>
      <c r="BW1860" s="2" t="s">
        <v>231</v>
      </c>
      <c r="BX1860" s="2" t="s">
        <v>241</v>
      </c>
      <c r="BY1860" s="2" t="s">
        <v>242</v>
      </c>
      <c r="BZ1860" s="2" t="s">
        <v>243</v>
      </c>
      <c r="CA1860" s="2" t="s">
        <v>231</v>
      </c>
      <c r="CB1860" s="2" t="s">
        <v>231</v>
      </c>
      <c r="CC1860" s="2" t="s">
        <v>244</v>
      </c>
      <c r="CD1860" s="2" t="s">
        <v>231</v>
      </c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>
        <v>80</v>
      </c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>
        <v>80</v>
      </c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4"/>
      <c r="HH1860" s="4"/>
      <c r="HI1860" s="4"/>
      <c r="HJ1860" s="4"/>
      <c r="HK1860" s="4"/>
      <c r="HL1860" s="4"/>
    </row>
    <row r="1861">
      <c r="A1861" s="2" t="s">
        <v>8431</v>
      </c>
      <c r="B1861" s="2" t="s">
        <v>226</v>
      </c>
      <c r="C1861" s="2" t="s">
        <v>825</v>
      </c>
      <c r="D1861" s="2" t="s">
        <v>654</v>
      </c>
      <c r="E1861" s="2" t="s">
        <v>890</v>
      </c>
      <c r="F1861" s="2" t="s">
        <v>8398</v>
      </c>
      <c r="G1861" s="2" t="s">
        <v>8399</v>
      </c>
      <c r="H1861" s="2" t="s">
        <v>8399</v>
      </c>
      <c r="I1861" s="2" t="s">
        <v>8427</v>
      </c>
      <c r="J1861" s="2" t="s">
        <v>658</v>
      </c>
      <c r="K1861" s="2" t="s">
        <v>8428</v>
      </c>
      <c r="L1861" s="3">
        <v>37.23</v>
      </c>
      <c r="M1861" s="3">
        <v>39.09</v>
      </c>
      <c r="N1861" s="3">
        <v>79.99</v>
      </c>
      <c r="O1861" s="2" t="s">
        <v>243</v>
      </c>
      <c r="P1861" s="2" t="s">
        <v>295</v>
      </c>
      <c r="Q1861" s="2" t="s">
        <v>237</v>
      </c>
      <c r="R1861" s="2" t="s">
        <v>231</v>
      </c>
      <c r="S1861" s="2" t="s">
        <v>8429</v>
      </c>
      <c r="T1861" s="2" t="s">
        <v>895</v>
      </c>
      <c r="U1861" s="2" t="s">
        <v>835</v>
      </c>
      <c r="V1861" s="2" t="s">
        <v>239</v>
      </c>
      <c r="W1861" s="2" t="s">
        <v>299</v>
      </c>
      <c r="X1861" s="2" t="s">
        <v>691</v>
      </c>
      <c r="Y1861" s="2" t="s">
        <v>231</v>
      </c>
      <c r="Z1861" s="4"/>
      <c r="AA1861" s="4">
        <f>=ROUNDDOWN({0},0)</f>
      </c>
      <c r="AB1861" s="5">
        <v>17</v>
      </c>
      <c r="AC1861" s="2" t="s">
        <v>8430</v>
      </c>
      <c r="AD1861" s="4">
        <v>200</v>
      </c>
      <c r="AE1861" s="4">
        <v>420</v>
      </c>
      <c r="AF1861" s="6">
        <v>65</v>
      </c>
      <c r="AG1861" s="6"/>
      <c r="AH1861" s="7">
        <v>0</v>
      </c>
      <c r="AI1861" s="4"/>
      <c r="AJ1861" s="4">
        <f>=ROUNDDOWN({0},0)</f>
      </c>
      <c r="AK1861" s="5"/>
      <c r="AL1861" s="2" t="s">
        <v>231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 t="s">
        <v>231</v>
      </c>
      <c r="AW1861" s="8" t="s">
        <v>231</v>
      </c>
      <c r="AX1861" s="4" t="s">
        <v>231</v>
      </c>
      <c r="AY1861" s="8" t="s">
        <v>231</v>
      </c>
      <c r="AZ1861" s="7" t="s">
        <v>231</v>
      </c>
      <c r="BA1861" s="7" t="s">
        <v>231</v>
      </c>
      <c r="BB1861" s="7"/>
      <c r="BC1861" s="4" t="s">
        <v>231</v>
      </c>
      <c r="BD1861" s="8" t="s">
        <v>231</v>
      </c>
      <c r="BE1861" s="4" t="s">
        <v>231</v>
      </c>
      <c r="BF1861" s="8" t="s">
        <v>231</v>
      </c>
      <c r="BG1861" s="7" t="s">
        <v>231</v>
      </c>
      <c r="BH1861" s="7" t="s">
        <v>231</v>
      </c>
      <c r="BI1861" s="7"/>
      <c r="BJ1861" s="4"/>
      <c r="BK1861" s="8"/>
      <c r="BL1861" s="2" t="s">
        <v>231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241</v>
      </c>
      <c r="BV1861" s="2" t="s">
        <v>231</v>
      </c>
      <c r="BW1861" s="2" t="s">
        <v>231</v>
      </c>
      <c r="BX1861" s="2" t="s">
        <v>241</v>
      </c>
      <c r="BY1861" s="2" t="s">
        <v>242</v>
      </c>
      <c r="BZ1861" s="2" t="s">
        <v>243</v>
      </c>
      <c r="CA1861" s="2" t="s">
        <v>231</v>
      </c>
      <c r="CB1861" s="2" t="s">
        <v>231</v>
      </c>
      <c r="CC1861" s="2" t="s">
        <v>244</v>
      </c>
      <c r="CD1861" s="2" t="s">
        <v>231</v>
      </c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>
        <v>200</v>
      </c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>
        <v>220</v>
      </c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4"/>
      <c r="HH1861" s="4"/>
      <c r="HI1861" s="4"/>
      <c r="HJ1861" s="4"/>
      <c r="HK1861" s="4"/>
      <c r="HL1861" s="4"/>
    </row>
    <row r="1862">
      <c r="A1862" s="2" t="s">
        <v>8432</v>
      </c>
      <c r="B1862" s="2" t="s">
        <v>226</v>
      </c>
      <c r="C1862" s="2" t="s">
        <v>825</v>
      </c>
      <c r="D1862" s="2" t="s">
        <v>654</v>
      </c>
      <c r="E1862" s="2" t="s">
        <v>890</v>
      </c>
      <c r="F1862" s="2" t="s">
        <v>8398</v>
      </c>
      <c r="G1862" s="2" t="s">
        <v>8399</v>
      </c>
      <c r="H1862" s="2" t="s">
        <v>8399</v>
      </c>
      <c r="I1862" s="2" t="s">
        <v>8427</v>
      </c>
      <c r="J1862" s="2" t="s">
        <v>669</v>
      </c>
      <c r="K1862" s="2" t="s">
        <v>8428</v>
      </c>
      <c r="L1862" s="3">
        <v>41.61</v>
      </c>
      <c r="M1862" s="3">
        <v>43.69</v>
      </c>
      <c r="N1862" s="3">
        <v>89.99</v>
      </c>
      <c r="O1862" s="2" t="s">
        <v>243</v>
      </c>
      <c r="P1862" s="2" t="s">
        <v>295</v>
      </c>
      <c r="Q1862" s="2" t="s">
        <v>237</v>
      </c>
      <c r="R1862" s="2" t="s">
        <v>231</v>
      </c>
      <c r="S1862" s="2" t="s">
        <v>8429</v>
      </c>
      <c r="T1862" s="2" t="s">
        <v>895</v>
      </c>
      <c r="U1862" s="2" t="s">
        <v>835</v>
      </c>
      <c r="V1862" s="2" t="s">
        <v>239</v>
      </c>
      <c r="W1862" s="2" t="s">
        <v>299</v>
      </c>
      <c r="X1862" s="2" t="s">
        <v>691</v>
      </c>
      <c r="Y1862" s="2" t="s">
        <v>231</v>
      </c>
      <c r="Z1862" s="4"/>
      <c r="AA1862" s="4">
        <f>=ROUNDDOWN({0},0)</f>
      </c>
      <c r="AB1862" s="5">
        <v>11</v>
      </c>
      <c r="AC1862" s="2" t="s">
        <v>8430</v>
      </c>
      <c r="AD1862" s="4">
        <v>130</v>
      </c>
      <c r="AE1862" s="4">
        <v>260</v>
      </c>
      <c r="AF1862" s="6">
        <v>65</v>
      </c>
      <c r="AG1862" s="6"/>
      <c r="AH1862" s="7">
        <v>0</v>
      </c>
      <c r="AI1862" s="4"/>
      <c r="AJ1862" s="4">
        <f>=ROUNDDOWN({0},0)</f>
      </c>
      <c r="AK1862" s="5"/>
      <c r="AL1862" s="2" t="s">
        <v>231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231</v>
      </c>
      <c r="AW1862" s="8" t="s">
        <v>231</v>
      </c>
      <c r="AX1862" s="4" t="s">
        <v>231</v>
      </c>
      <c r="AY1862" s="8" t="s">
        <v>231</v>
      </c>
      <c r="AZ1862" s="7" t="s">
        <v>231</v>
      </c>
      <c r="BA1862" s="7" t="s">
        <v>231</v>
      </c>
      <c r="BB1862" s="7"/>
      <c r="BC1862" s="4" t="s">
        <v>231</v>
      </c>
      <c r="BD1862" s="8" t="s">
        <v>231</v>
      </c>
      <c r="BE1862" s="4" t="s">
        <v>231</v>
      </c>
      <c r="BF1862" s="8" t="s">
        <v>231</v>
      </c>
      <c r="BG1862" s="7" t="s">
        <v>231</v>
      </c>
      <c r="BH1862" s="7" t="s">
        <v>231</v>
      </c>
      <c r="BI1862" s="7"/>
      <c r="BJ1862" s="4"/>
      <c r="BK1862" s="8"/>
      <c r="BL1862" s="2" t="s">
        <v>231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241</v>
      </c>
      <c r="BV1862" s="2" t="s">
        <v>231</v>
      </c>
      <c r="BW1862" s="2" t="s">
        <v>231</v>
      </c>
      <c r="BX1862" s="2" t="s">
        <v>241</v>
      </c>
      <c r="BY1862" s="2" t="s">
        <v>242</v>
      </c>
      <c r="BZ1862" s="2" t="s">
        <v>243</v>
      </c>
      <c r="CA1862" s="2" t="s">
        <v>231</v>
      </c>
      <c r="CB1862" s="2" t="s">
        <v>231</v>
      </c>
      <c r="CC1862" s="2" t="s">
        <v>244</v>
      </c>
      <c r="CD1862" s="2" t="s">
        <v>231</v>
      </c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>
        <v>130</v>
      </c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>
        <v>130</v>
      </c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4"/>
      <c r="HH1862" s="4"/>
      <c r="HI1862" s="4"/>
      <c r="HJ1862" s="4"/>
      <c r="HK1862" s="4"/>
      <c r="HL1862" s="4"/>
    </row>
    <row r="1863">
      <c r="A1863" s="2" t="s">
        <v>8433</v>
      </c>
      <c r="B1863" s="2" t="s">
        <v>226</v>
      </c>
      <c r="C1863" s="2" t="s">
        <v>825</v>
      </c>
      <c r="D1863" s="2" t="s">
        <v>654</v>
      </c>
      <c r="E1863" s="2" t="s">
        <v>890</v>
      </c>
      <c r="F1863" s="2" t="s">
        <v>8398</v>
      </c>
      <c r="G1863" s="2" t="s">
        <v>8399</v>
      </c>
      <c r="H1863" s="2" t="s">
        <v>8399</v>
      </c>
      <c r="I1863" s="2" t="s">
        <v>8427</v>
      </c>
      <c r="J1863" s="2" t="s">
        <v>832</v>
      </c>
      <c r="K1863" s="2" t="s">
        <v>8434</v>
      </c>
      <c r="L1863" s="3">
        <v>28.47</v>
      </c>
      <c r="M1863" s="3">
        <v>29.89</v>
      </c>
      <c r="N1863" s="3">
        <v>59.99</v>
      </c>
      <c r="O1863" s="2" t="s">
        <v>243</v>
      </c>
      <c r="P1863" s="2" t="s">
        <v>295</v>
      </c>
      <c r="Q1863" s="2" t="s">
        <v>237</v>
      </c>
      <c r="R1863" s="2" t="s">
        <v>231</v>
      </c>
      <c r="S1863" s="2" t="s">
        <v>8435</v>
      </c>
      <c r="T1863" s="2" t="s">
        <v>895</v>
      </c>
      <c r="U1863" s="2" t="s">
        <v>791</v>
      </c>
      <c r="V1863" s="2" t="s">
        <v>239</v>
      </c>
      <c r="W1863" s="2" t="s">
        <v>299</v>
      </c>
      <c r="X1863" s="2" t="s">
        <v>691</v>
      </c>
      <c r="Y1863" s="2" t="s">
        <v>231</v>
      </c>
      <c r="Z1863" s="4"/>
      <c r="AA1863" s="4">
        <f>=ROUNDDOWN({0},0)</f>
      </c>
      <c r="AB1863" s="5">
        <v>12</v>
      </c>
      <c r="AC1863" s="2" t="s">
        <v>8430</v>
      </c>
      <c r="AD1863" s="4">
        <v>120</v>
      </c>
      <c r="AE1863" s="4">
        <v>260</v>
      </c>
      <c r="AF1863" s="6">
        <v>65</v>
      </c>
      <c r="AG1863" s="6"/>
      <c r="AH1863" s="7">
        <v>0</v>
      </c>
      <c r="AI1863" s="4"/>
      <c r="AJ1863" s="4">
        <f>=ROUNDDOWN({0},0)</f>
      </c>
      <c r="AK1863" s="5"/>
      <c r="AL1863" s="2" t="s">
        <v>231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231</v>
      </c>
      <c r="AW1863" s="8" t="s">
        <v>231</v>
      </c>
      <c r="AX1863" s="4" t="s">
        <v>231</v>
      </c>
      <c r="AY1863" s="8" t="s">
        <v>231</v>
      </c>
      <c r="AZ1863" s="7" t="s">
        <v>231</v>
      </c>
      <c r="BA1863" s="7" t="s">
        <v>231</v>
      </c>
      <c r="BB1863" s="7"/>
      <c r="BC1863" s="4" t="s">
        <v>231</v>
      </c>
      <c r="BD1863" s="8" t="s">
        <v>231</v>
      </c>
      <c r="BE1863" s="4" t="s">
        <v>231</v>
      </c>
      <c r="BF1863" s="8" t="s">
        <v>231</v>
      </c>
      <c r="BG1863" s="7" t="s">
        <v>231</v>
      </c>
      <c r="BH1863" s="7" t="s">
        <v>231</v>
      </c>
      <c r="BI1863" s="7"/>
      <c r="BJ1863" s="4"/>
      <c r="BK1863" s="8"/>
      <c r="BL1863" s="2" t="s">
        <v>231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241</v>
      </c>
      <c r="BV1863" s="2" t="s">
        <v>231</v>
      </c>
      <c r="BW1863" s="2" t="s">
        <v>231</v>
      </c>
      <c r="BX1863" s="2" t="s">
        <v>241</v>
      </c>
      <c r="BY1863" s="2" t="s">
        <v>242</v>
      </c>
      <c r="BZ1863" s="2" t="s">
        <v>243</v>
      </c>
      <c r="CA1863" s="2" t="s">
        <v>231</v>
      </c>
      <c r="CB1863" s="2" t="s">
        <v>231</v>
      </c>
      <c r="CC1863" s="2" t="s">
        <v>244</v>
      </c>
      <c r="CD1863" s="2" t="s">
        <v>231</v>
      </c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>
        <v>120</v>
      </c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>
        <v>140</v>
      </c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  <c r="HG1863" s="4"/>
      <c r="HH1863" s="4"/>
      <c r="HI1863" s="4"/>
      <c r="HJ1863" s="4"/>
      <c r="HK1863" s="4"/>
      <c r="HL1863" s="4"/>
    </row>
    <row r="1864">
      <c r="A1864" s="2" t="s">
        <v>8436</v>
      </c>
      <c r="B1864" s="2" t="s">
        <v>226</v>
      </c>
      <c r="C1864" s="2" t="s">
        <v>825</v>
      </c>
      <c r="D1864" s="2" t="s">
        <v>654</v>
      </c>
      <c r="E1864" s="2" t="s">
        <v>890</v>
      </c>
      <c r="F1864" s="2" t="s">
        <v>8398</v>
      </c>
      <c r="G1864" s="2" t="s">
        <v>8399</v>
      </c>
      <c r="H1864" s="2" t="s">
        <v>8399</v>
      </c>
      <c r="I1864" s="2" t="s">
        <v>8427</v>
      </c>
      <c r="J1864" s="2" t="s">
        <v>658</v>
      </c>
      <c r="K1864" s="2" t="s">
        <v>8434</v>
      </c>
      <c r="L1864" s="3">
        <v>37.23</v>
      </c>
      <c r="M1864" s="3">
        <v>39.09</v>
      </c>
      <c r="N1864" s="3">
        <v>79.99</v>
      </c>
      <c r="O1864" s="2" t="s">
        <v>243</v>
      </c>
      <c r="P1864" s="2" t="s">
        <v>295</v>
      </c>
      <c r="Q1864" s="2" t="s">
        <v>237</v>
      </c>
      <c r="R1864" s="2" t="s">
        <v>231</v>
      </c>
      <c r="S1864" s="2" t="s">
        <v>8435</v>
      </c>
      <c r="T1864" s="2" t="s">
        <v>895</v>
      </c>
      <c r="U1864" s="2" t="s">
        <v>835</v>
      </c>
      <c r="V1864" s="2" t="s">
        <v>239</v>
      </c>
      <c r="W1864" s="2" t="s">
        <v>299</v>
      </c>
      <c r="X1864" s="2" t="s">
        <v>691</v>
      </c>
      <c r="Y1864" s="2" t="s">
        <v>231</v>
      </c>
      <c r="Z1864" s="4"/>
      <c r="AA1864" s="4">
        <f>=ROUNDDOWN({0},0)</f>
      </c>
      <c r="AB1864" s="5">
        <v>20</v>
      </c>
      <c r="AC1864" s="2" t="s">
        <v>8430</v>
      </c>
      <c r="AD1864" s="4">
        <v>180</v>
      </c>
      <c r="AE1864" s="4">
        <v>410</v>
      </c>
      <c r="AF1864" s="6">
        <v>65</v>
      </c>
      <c r="AG1864" s="6"/>
      <c r="AH1864" s="7">
        <v>0</v>
      </c>
      <c r="AI1864" s="4"/>
      <c r="AJ1864" s="4">
        <f>=ROUNDDOWN({0},0)</f>
      </c>
      <c r="AK1864" s="5"/>
      <c r="AL1864" s="2" t="s">
        <v>231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231</v>
      </c>
      <c r="AW1864" s="8" t="s">
        <v>231</v>
      </c>
      <c r="AX1864" s="4" t="s">
        <v>231</v>
      </c>
      <c r="AY1864" s="8" t="s">
        <v>231</v>
      </c>
      <c r="AZ1864" s="7" t="s">
        <v>231</v>
      </c>
      <c r="BA1864" s="7" t="s">
        <v>231</v>
      </c>
      <c r="BB1864" s="7"/>
      <c r="BC1864" s="4" t="s">
        <v>231</v>
      </c>
      <c r="BD1864" s="8" t="s">
        <v>231</v>
      </c>
      <c r="BE1864" s="4" t="s">
        <v>231</v>
      </c>
      <c r="BF1864" s="8" t="s">
        <v>231</v>
      </c>
      <c r="BG1864" s="7" t="s">
        <v>231</v>
      </c>
      <c r="BH1864" s="7" t="s">
        <v>231</v>
      </c>
      <c r="BI1864" s="7"/>
      <c r="BJ1864" s="4"/>
      <c r="BK1864" s="8"/>
      <c r="BL1864" s="2" t="s">
        <v>231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241</v>
      </c>
      <c r="BV1864" s="2" t="s">
        <v>231</v>
      </c>
      <c r="BW1864" s="2" t="s">
        <v>231</v>
      </c>
      <c r="BX1864" s="2" t="s">
        <v>241</v>
      </c>
      <c r="BY1864" s="2" t="s">
        <v>242</v>
      </c>
      <c r="BZ1864" s="2" t="s">
        <v>243</v>
      </c>
      <c r="CA1864" s="2" t="s">
        <v>231</v>
      </c>
      <c r="CB1864" s="2" t="s">
        <v>231</v>
      </c>
      <c r="CC1864" s="2" t="s">
        <v>244</v>
      </c>
      <c r="CD1864" s="2" t="s">
        <v>231</v>
      </c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>
        <v>180</v>
      </c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>
        <v>230</v>
      </c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  <c r="HG1864" s="4"/>
      <c r="HH1864" s="4"/>
      <c r="HI1864" s="4"/>
      <c r="HJ1864" s="4"/>
      <c r="HK1864" s="4"/>
      <c r="HL1864" s="4"/>
    </row>
    <row r="1865">
      <c r="A1865" s="2" t="s">
        <v>8437</v>
      </c>
      <c r="B1865" s="2" t="s">
        <v>226</v>
      </c>
      <c r="C1865" s="2" t="s">
        <v>825</v>
      </c>
      <c r="D1865" s="2" t="s">
        <v>654</v>
      </c>
      <c r="E1865" s="2" t="s">
        <v>890</v>
      </c>
      <c r="F1865" s="2" t="s">
        <v>8398</v>
      </c>
      <c r="G1865" s="2" t="s">
        <v>8399</v>
      </c>
      <c r="H1865" s="2" t="s">
        <v>8399</v>
      </c>
      <c r="I1865" s="2" t="s">
        <v>8427</v>
      </c>
      <c r="J1865" s="2" t="s">
        <v>669</v>
      </c>
      <c r="K1865" s="2" t="s">
        <v>8434</v>
      </c>
      <c r="L1865" s="3">
        <v>41.61</v>
      </c>
      <c r="M1865" s="3">
        <v>43.69</v>
      </c>
      <c r="N1865" s="3">
        <v>89.99</v>
      </c>
      <c r="O1865" s="2" t="s">
        <v>243</v>
      </c>
      <c r="P1865" s="2" t="s">
        <v>295</v>
      </c>
      <c r="Q1865" s="2" t="s">
        <v>237</v>
      </c>
      <c r="R1865" s="2" t="s">
        <v>231</v>
      </c>
      <c r="S1865" s="2" t="s">
        <v>8435</v>
      </c>
      <c r="T1865" s="2" t="s">
        <v>895</v>
      </c>
      <c r="U1865" s="2" t="s">
        <v>835</v>
      </c>
      <c r="V1865" s="2" t="s">
        <v>239</v>
      </c>
      <c r="W1865" s="2" t="s">
        <v>299</v>
      </c>
      <c r="X1865" s="2" t="s">
        <v>691</v>
      </c>
      <c r="Y1865" s="2" t="s">
        <v>231</v>
      </c>
      <c r="Z1865" s="4"/>
      <c r="AA1865" s="4">
        <f>=ROUNDDOWN({0},0)</f>
      </c>
      <c r="AB1865" s="5">
        <v>10</v>
      </c>
      <c r="AC1865" s="2" t="s">
        <v>8430</v>
      </c>
      <c r="AD1865" s="4">
        <v>90</v>
      </c>
      <c r="AE1865" s="4">
        <v>180</v>
      </c>
      <c r="AF1865" s="6">
        <v>65</v>
      </c>
      <c r="AG1865" s="6"/>
      <c r="AH1865" s="7">
        <v>0</v>
      </c>
      <c r="AI1865" s="4"/>
      <c r="AJ1865" s="4">
        <f>=ROUNDDOWN({0},0)</f>
      </c>
      <c r="AK1865" s="5"/>
      <c r="AL1865" s="2" t="s">
        <v>231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231</v>
      </c>
      <c r="AW1865" s="8" t="s">
        <v>231</v>
      </c>
      <c r="AX1865" s="4" t="s">
        <v>231</v>
      </c>
      <c r="AY1865" s="8" t="s">
        <v>231</v>
      </c>
      <c r="AZ1865" s="7" t="s">
        <v>231</v>
      </c>
      <c r="BA1865" s="7" t="s">
        <v>231</v>
      </c>
      <c r="BB1865" s="7"/>
      <c r="BC1865" s="4" t="s">
        <v>231</v>
      </c>
      <c r="BD1865" s="8" t="s">
        <v>231</v>
      </c>
      <c r="BE1865" s="4" t="s">
        <v>231</v>
      </c>
      <c r="BF1865" s="8" t="s">
        <v>231</v>
      </c>
      <c r="BG1865" s="7" t="s">
        <v>231</v>
      </c>
      <c r="BH1865" s="7" t="s">
        <v>231</v>
      </c>
      <c r="BI1865" s="7"/>
      <c r="BJ1865" s="4"/>
      <c r="BK1865" s="8"/>
      <c r="BL1865" s="2" t="s">
        <v>231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241</v>
      </c>
      <c r="BV1865" s="2" t="s">
        <v>231</v>
      </c>
      <c r="BW1865" s="2" t="s">
        <v>231</v>
      </c>
      <c r="BX1865" s="2" t="s">
        <v>241</v>
      </c>
      <c r="BY1865" s="2" t="s">
        <v>242</v>
      </c>
      <c r="BZ1865" s="2" t="s">
        <v>243</v>
      </c>
      <c r="CA1865" s="2" t="s">
        <v>231</v>
      </c>
      <c r="CB1865" s="2" t="s">
        <v>231</v>
      </c>
      <c r="CC1865" s="2" t="s">
        <v>244</v>
      </c>
      <c r="CD1865" s="2" t="s">
        <v>231</v>
      </c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>
        <v>90</v>
      </c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>
        <v>90</v>
      </c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  <c r="HG1865" s="4"/>
      <c r="HH1865" s="4"/>
      <c r="HI1865" s="4"/>
      <c r="HJ1865" s="4"/>
      <c r="HK1865" s="4"/>
      <c r="HL1865" s="4"/>
    </row>
    <row r="1866">
      <c r="A1866" s="2" t="s">
        <v>8438</v>
      </c>
      <c r="B1866" s="2" t="s">
        <v>226</v>
      </c>
      <c r="C1866" s="2" t="s">
        <v>3948</v>
      </c>
      <c r="D1866" s="2" t="s">
        <v>1549</v>
      </c>
      <c r="E1866" s="2" t="s">
        <v>1550</v>
      </c>
      <c r="F1866" s="2" t="s">
        <v>8439</v>
      </c>
      <c r="G1866" s="2" t="s">
        <v>8440</v>
      </c>
      <c r="H1866" s="2" t="s">
        <v>8440</v>
      </c>
      <c r="I1866" s="2" t="s">
        <v>8441</v>
      </c>
      <c r="J1866" s="2" t="s">
        <v>1554</v>
      </c>
      <c r="K1866" s="2" t="s">
        <v>319</v>
      </c>
      <c r="L1866" s="3">
        <v>36.17</v>
      </c>
      <c r="M1866" s="3">
        <v>37.98</v>
      </c>
      <c r="N1866" s="3">
        <v>79.99</v>
      </c>
      <c r="O1866" s="2" t="s">
        <v>243</v>
      </c>
      <c r="P1866" s="2" t="s">
        <v>270</v>
      </c>
      <c r="Q1866" s="2" t="s">
        <v>237</v>
      </c>
      <c r="R1866" s="2" t="s">
        <v>231</v>
      </c>
      <c r="S1866" s="2" t="s">
        <v>231</v>
      </c>
      <c r="T1866" s="2" t="s">
        <v>895</v>
      </c>
      <c r="U1866" s="2" t="s">
        <v>327</v>
      </c>
      <c r="V1866" s="2" t="s">
        <v>239</v>
      </c>
      <c r="W1866" s="2" t="s">
        <v>299</v>
      </c>
      <c r="X1866" s="2" t="s">
        <v>273</v>
      </c>
      <c r="Y1866" s="2" t="s">
        <v>8442</v>
      </c>
      <c r="Z1866" s="4">
        <v>312</v>
      </c>
      <c r="AA1866" s="4">
        <f>=ROUNDDOWN(19.5,0)</f>
      </c>
      <c r="AB1866" s="5">
        <v>16</v>
      </c>
      <c r="AC1866" s="2" t="s">
        <v>1537</v>
      </c>
      <c r="AD1866" s="4">
        <v>230</v>
      </c>
      <c r="AE1866" s="4">
        <v>640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231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/>
      <c r="BD1866" s="8"/>
      <c r="BE1866" s="4"/>
      <c r="BF1866" s="8"/>
      <c r="BG1866" s="7"/>
      <c r="BH1866" s="7"/>
      <c r="BI1866" s="7"/>
      <c r="BJ1866" s="4">
        <v>19</v>
      </c>
      <c r="BK1866" s="8">
        <v>738.15</v>
      </c>
      <c r="BL1866" s="2" t="s">
        <v>8443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8444</v>
      </c>
      <c r="BV1866" s="2" t="s">
        <v>231</v>
      </c>
      <c r="BW1866" s="2" t="s">
        <v>231</v>
      </c>
      <c r="BX1866" s="2" t="s">
        <v>231</v>
      </c>
      <c r="BY1866" s="2" t="s">
        <v>277</v>
      </c>
      <c r="BZ1866" s="2" t="s">
        <v>243</v>
      </c>
      <c r="CA1866" s="2" t="s">
        <v>8445</v>
      </c>
      <c r="CB1866" s="2" t="s">
        <v>8446</v>
      </c>
      <c r="CC1866" s="2" t="s">
        <v>244</v>
      </c>
      <c r="CD1866" s="2" t="s">
        <v>231</v>
      </c>
      <c r="CE1866" s="4">
        <v>312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>
        <v>230</v>
      </c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>
        <v>410</v>
      </c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</row>
    <row r="1867">
      <c r="A1867" s="2" t="s">
        <v>8447</v>
      </c>
      <c r="B1867" s="2" t="s">
        <v>1004</v>
      </c>
      <c r="C1867" s="2" t="s">
        <v>815</v>
      </c>
      <c r="D1867" s="2" t="s">
        <v>1689</v>
      </c>
      <c r="E1867" s="2" t="s">
        <v>1690</v>
      </c>
      <c r="F1867" s="2" t="s">
        <v>8448</v>
      </c>
      <c r="G1867" s="2" t="s">
        <v>8448</v>
      </c>
      <c r="H1867" s="2" t="s">
        <v>8448</v>
      </c>
      <c r="I1867" s="2" t="s">
        <v>2651</v>
      </c>
      <c r="J1867" s="2" t="s">
        <v>807</v>
      </c>
      <c r="K1867" s="2" t="s">
        <v>255</v>
      </c>
      <c r="L1867" s="3">
        <v>209.95</v>
      </c>
      <c r="M1867" s="3">
        <v>220.45</v>
      </c>
      <c r="N1867" s="3">
        <v>439</v>
      </c>
      <c r="O1867" s="2" t="s">
        <v>243</v>
      </c>
      <c r="P1867" s="2" t="s">
        <v>341</v>
      </c>
      <c r="Q1867" s="2" t="s">
        <v>237</v>
      </c>
      <c r="R1867" s="2" t="s">
        <v>231</v>
      </c>
      <c r="S1867" s="2" t="s">
        <v>231</v>
      </c>
      <c r="T1867" s="2" t="s">
        <v>231</v>
      </c>
      <c r="U1867" s="2" t="s">
        <v>327</v>
      </c>
      <c r="V1867" s="2" t="s">
        <v>662</v>
      </c>
      <c r="W1867" s="2" t="s">
        <v>273</v>
      </c>
      <c r="X1867" s="2" t="s">
        <v>231</v>
      </c>
      <c r="Y1867" s="2" t="s">
        <v>8449</v>
      </c>
      <c r="Z1867" s="4">
        <v>86</v>
      </c>
      <c r="AA1867" s="4">
        <f>=ROUNDDOWN(107.5,0)</f>
      </c>
      <c r="AB1867" s="5">
        <v>0.8</v>
      </c>
      <c r="AC1867" s="2" t="s">
        <v>231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231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/>
      <c r="BD1867" s="8"/>
      <c r="BE1867" s="4"/>
      <c r="BF1867" s="8"/>
      <c r="BG1867" s="7"/>
      <c r="BH1867" s="7"/>
      <c r="BI1867" s="7"/>
      <c r="BJ1867" s="4">
        <v>3</v>
      </c>
      <c r="BK1867" s="8">
        <v>467.79</v>
      </c>
      <c r="BL1867" s="2" t="s">
        <v>8450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8451</v>
      </c>
      <c r="BV1867" s="2" t="s">
        <v>231</v>
      </c>
      <c r="BW1867" s="2" t="s">
        <v>231</v>
      </c>
      <c r="BX1867" s="2" t="s">
        <v>231</v>
      </c>
      <c r="BY1867" s="2" t="s">
        <v>277</v>
      </c>
      <c r="BZ1867" s="2" t="s">
        <v>243</v>
      </c>
      <c r="CA1867" s="2" t="s">
        <v>8449</v>
      </c>
      <c r="CB1867" s="2" t="s">
        <v>7784</v>
      </c>
      <c r="CC1867" s="2" t="s">
        <v>244</v>
      </c>
      <c r="CD1867" s="2" t="s">
        <v>231</v>
      </c>
      <c r="CE1867" s="4"/>
      <c r="CF1867" s="4">
        <v>86</v>
      </c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</row>
    <row r="1868">
      <c r="A1868" s="2" t="s">
        <v>8452</v>
      </c>
      <c r="B1868" s="2" t="s">
        <v>1004</v>
      </c>
      <c r="C1868" s="2" t="s">
        <v>867</v>
      </c>
      <c r="D1868" s="2" t="s">
        <v>1689</v>
      </c>
      <c r="E1868" s="2" t="s">
        <v>2651</v>
      </c>
      <c r="F1868" s="2" t="s">
        <v>8453</v>
      </c>
      <c r="G1868" s="2" t="s">
        <v>8453</v>
      </c>
      <c r="H1868" s="2" t="s">
        <v>8453</v>
      </c>
      <c r="I1868" s="2" t="s">
        <v>2651</v>
      </c>
      <c r="J1868" s="2" t="s">
        <v>807</v>
      </c>
      <c r="K1868" s="2" t="s">
        <v>1939</v>
      </c>
      <c r="L1868" s="3">
        <v>250</v>
      </c>
      <c r="M1868" s="3">
        <v>262.5</v>
      </c>
      <c r="N1868" s="3">
        <v>519</v>
      </c>
      <c r="O1868" s="2" t="s">
        <v>235</v>
      </c>
      <c r="P1868" s="2" t="s">
        <v>341</v>
      </c>
      <c r="Q1868" s="2" t="s">
        <v>237</v>
      </c>
      <c r="R1868" s="2" t="s">
        <v>231</v>
      </c>
      <c r="S1868" s="2" t="s">
        <v>231</v>
      </c>
      <c r="T1868" s="2" t="s">
        <v>231</v>
      </c>
      <c r="U1868" s="2" t="s">
        <v>231</v>
      </c>
      <c r="V1868" s="2" t="s">
        <v>239</v>
      </c>
      <c r="W1868" s="2" t="s">
        <v>691</v>
      </c>
      <c r="X1868" s="2" t="s">
        <v>1694</v>
      </c>
      <c r="Y1868" s="2" t="s">
        <v>1371</v>
      </c>
      <c r="Z1868" s="4">
        <v>48</v>
      </c>
      <c r="AA1868" s="4">
        <f>=ROUNDDOWN({0},0)</f>
      </c>
      <c r="AB1868" s="5"/>
      <c r="AC1868" s="2" t="s">
        <v>231</v>
      </c>
      <c r="AD1868" s="4"/>
      <c r="AE1868" s="4"/>
      <c r="AF1868" s="6">
        <v>66</v>
      </c>
      <c r="AG1868" s="6"/>
      <c r="AH1868" s="7">
        <v>1</v>
      </c>
      <c r="AI1868" s="4"/>
      <c r="AJ1868" s="4">
        <f>=ROUNDDOWN({0},0)</f>
      </c>
      <c r="AK1868" s="5"/>
      <c r="AL1868" s="2" t="s">
        <v>231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1</v>
      </c>
      <c r="BK1868" s="8">
        <v>262.5</v>
      </c>
      <c r="BL1868" s="2" t="s">
        <v>1306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8454</v>
      </c>
      <c r="BV1868" s="2" t="s">
        <v>231</v>
      </c>
      <c r="BW1868" s="2" t="s">
        <v>231</v>
      </c>
      <c r="BX1868" s="2" t="s">
        <v>241</v>
      </c>
      <c r="BY1868" s="2" t="s">
        <v>277</v>
      </c>
      <c r="BZ1868" s="2" t="s">
        <v>243</v>
      </c>
      <c r="CA1868" s="2" t="s">
        <v>8410</v>
      </c>
      <c r="CB1868" s="2" t="s">
        <v>8396</v>
      </c>
      <c r="CC1868" s="2" t="s">
        <v>244</v>
      </c>
      <c r="CD1868" s="2" t="s">
        <v>231</v>
      </c>
      <c r="CE1868" s="4"/>
      <c r="CF1868" s="4">
        <v>48</v>
      </c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</row>
    <row r="1869">
      <c r="A1869" s="2" t="s">
        <v>8455</v>
      </c>
      <c r="B1869" s="2" t="s">
        <v>1186</v>
      </c>
      <c r="C1869" s="2" t="s">
        <v>1211</v>
      </c>
      <c r="D1869" s="2" t="s">
        <v>654</v>
      </c>
      <c r="E1869" s="2" t="s">
        <v>890</v>
      </c>
      <c r="F1869" s="2" t="s">
        <v>8456</v>
      </c>
      <c r="G1869" s="2" t="s">
        <v>1009</v>
      </c>
      <c r="H1869" s="2" t="s">
        <v>5409</v>
      </c>
      <c r="I1869" s="2" t="s">
        <v>8457</v>
      </c>
      <c r="J1869" s="2" t="s">
        <v>669</v>
      </c>
      <c r="K1869" s="2" t="s">
        <v>452</v>
      </c>
      <c r="L1869" s="3">
        <v>90.47</v>
      </c>
      <c r="M1869" s="3">
        <v>94.99</v>
      </c>
      <c r="N1869" s="3">
        <v>189.99</v>
      </c>
      <c r="O1869" s="2" t="s">
        <v>243</v>
      </c>
      <c r="P1869" s="2" t="s">
        <v>917</v>
      </c>
      <c r="Q1869" s="2" t="s">
        <v>237</v>
      </c>
      <c r="R1869" s="2" t="s">
        <v>231</v>
      </c>
      <c r="S1869" s="2" t="s">
        <v>8458</v>
      </c>
      <c r="T1869" s="2" t="s">
        <v>231</v>
      </c>
      <c r="U1869" s="2" t="s">
        <v>298</v>
      </c>
      <c r="V1869" s="2" t="s">
        <v>239</v>
      </c>
      <c r="W1869" s="2" t="s">
        <v>273</v>
      </c>
      <c r="X1869" s="2" t="s">
        <v>7614</v>
      </c>
      <c r="Y1869" s="2" t="s">
        <v>8459</v>
      </c>
      <c r="Z1869" s="4">
        <v>125</v>
      </c>
      <c r="AA1869" s="4">
        <f>=ROUNDDOWN(20.8333333333333,0)</f>
      </c>
      <c r="AB1869" s="5">
        <v>6</v>
      </c>
      <c r="AC1869" s="2" t="s">
        <v>231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231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36</v>
      </c>
      <c r="BK1869" s="8">
        <v>3582.04</v>
      </c>
      <c r="BL1869" s="2" t="s">
        <v>8460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8461</v>
      </c>
      <c r="BV1869" s="2" t="s">
        <v>231</v>
      </c>
      <c r="BW1869" s="2" t="s">
        <v>231</v>
      </c>
      <c r="BX1869" s="2" t="s">
        <v>231</v>
      </c>
      <c r="BY1869" s="2" t="s">
        <v>277</v>
      </c>
      <c r="BZ1869" s="2" t="s">
        <v>243</v>
      </c>
      <c r="CA1869" s="2" t="s">
        <v>2011</v>
      </c>
      <c r="CB1869" s="2" t="s">
        <v>8462</v>
      </c>
      <c r="CC1869" s="2" t="s">
        <v>244</v>
      </c>
      <c r="CD1869" s="2" t="s">
        <v>231</v>
      </c>
      <c r="CE1869" s="4">
        <v>125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</row>
    <row r="1870">
      <c r="A1870" s="2" t="s">
        <v>8463</v>
      </c>
      <c r="B1870" s="2" t="s">
        <v>226</v>
      </c>
      <c r="C1870" s="2" t="s">
        <v>965</v>
      </c>
      <c r="D1870" s="2" t="s">
        <v>1549</v>
      </c>
      <c r="E1870" s="2" t="s">
        <v>1550</v>
      </c>
      <c r="F1870" s="2" t="s">
        <v>8464</v>
      </c>
      <c r="G1870" s="2" t="s">
        <v>8464</v>
      </c>
      <c r="H1870" s="2" t="s">
        <v>8464</v>
      </c>
      <c r="I1870" s="2" t="s">
        <v>8465</v>
      </c>
      <c r="J1870" s="2" t="s">
        <v>1554</v>
      </c>
      <c r="K1870" s="2" t="s">
        <v>269</v>
      </c>
      <c r="L1870" s="3">
        <v>30.95</v>
      </c>
      <c r="M1870" s="3">
        <v>32.5</v>
      </c>
      <c r="N1870" s="3">
        <v>64.99</v>
      </c>
      <c r="O1870" s="2" t="s">
        <v>243</v>
      </c>
      <c r="P1870" s="2" t="s">
        <v>270</v>
      </c>
      <c r="Q1870" s="2" t="s">
        <v>237</v>
      </c>
      <c r="R1870" s="2" t="s">
        <v>231</v>
      </c>
      <c r="S1870" s="2" t="s">
        <v>8466</v>
      </c>
      <c r="T1870" s="2" t="s">
        <v>970</v>
      </c>
      <c r="U1870" s="2" t="s">
        <v>327</v>
      </c>
      <c r="V1870" s="2" t="s">
        <v>239</v>
      </c>
      <c r="W1870" s="2" t="s">
        <v>273</v>
      </c>
      <c r="X1870" s="2" t="s">
        <v>231</v>
      </c>
      <c r="Y1870" s="2" t="s">
        <v>8467</v>
      </c>
      <c r="Z1870" s="4">
        <v>1012</v>
      </c>
      <c r="AA1870" s="4">
        <f>=ROUNDDOWN(26.6315789473684,0)</f>
      </c>
      <c r="AB1870" s="5">
        <v>38</v>
      </c>
      <c r="AC1870" s="2" t="s">
        <v>383</v>
      </c>
      <c r="AD1870" s="4">
        <v>500</v>
      </c>
      <c r="AE1870" s="4">
        <v>500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231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231</v>
      </c>
      <c r="BD1870" s="8" t="s">
        <v>231</v>
      </c>
      <c r="BE1870" s="4" t="s">
        <v>231</v>
      </c>
      <c r="BF1870" s="8" t="s">
        <v>231</v>
      </c>
      <c r="BG1870" s="7" t="s">
        <v>231</v>
      </c>
      <c r="BH1870" s="7" t="s">
        <v>231</v>
      </c>
      <c r="BI1870" s="7"/>
      <c r="BJ1870" s="4">
        <v>15</v>
      </c>
      <c r="BK1870" s="8">
        <v>516.09</v>
      </c>
      <c r="BL1870" s="2" t="s">
        <v>587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8468</v>
      </c>
      <c r="BV1870" s="2" t="s">
        <v>231</v>
      </c>
      <c r="BW1870" s="2" t="s">
        <v>231</v>
      </c>
      <c r="BX1870" s="2" t="s">
        <v>231</v>
      </c>
      <c r="BY1870" s="2" t="s">
        <v>277</v>
      </c>
      <c r="BZ1870" s="2" t="s">
        <v>243</v>
      </c>
      <c r="CA1870" s="2" t="s">
        <v>3687</v>
      </c>
      <c r="CB1870" s="2" t="s">
        <v>926</v>
      </c>
      <c r="CC1870" s="2" t="s">
        <v>244</v>
      </c>
      <c r="CD1870" s="2" t="s">
        <v>231</v>
      </c>
      <c r="CE1870" s="4">
        <v>1012</v>
      </c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>
        <v>500</v>
      </c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</row>
    <row r="1871">
      <c r="A1871" s="2" t="s">
        <v>8469</v>
      </c>
      <c r="B1871" s="2" t="s">
        <v>226</v>
      </c>
      <c r="C1871" s="2" t="s">
        <v>965</v>
      </c>
      <c r="D1871" s="2" t="s">
        <v>1549</v>
      </c>
      <c r="E1871" s="2" t="s">
        <v>1550</v>
      </c>
      <c r="F1871" s="2" t="s">
        <v>8464</v>
      </c>
      <c r="G1871" s="2" t="s">
        <v>8464</v>
      </c>
      <c r="H1871" s="2" t="s">
        <v>8464</v>
      </c>
      <c r="I1871" s="2" t="s">
        <v>8465</v>
      </c>
      <c r="J1871" s="2" t="s">
        <v>1554</v>
      </c>
      <c r="K1871" s="2" t="s">
        <v>901</v>
      </c>
      <c r="L1871" s="3">
        <v>30.95</v>
      </c>
      <c r="M1871" s="3">
        <v>32.5</v>
      </c>
      <c r="N1871" s="3">
        <v>64.99</v>
      </c>
      <c r="O1871" s="2" t="s">
        <v>243</v>
      </c>
      <c r="P1871" s="2" t="s">
        <v>270</v>
      </c>
      <c r="Q1871" s="2" t="s">
        <v>237</v>
      </c>
      <c r="R1871" s="2" t="s">
        <v>231</v>
      </c>
      <c r="S1871" s="2" t="s">
        <v>8470</v>
      </c>
      <c r="T1871" s="2" t="s">
        <v>970</v>
      </c>
      <c r="U1871" s="2" t="s">
        <v>327</v>
      </c>
      <c r="V1871" s="2" t="s">
        <v>239</v>
      </c>
      <c r="W1871" s="2" t="s">
        <v>273</v>
      </c>
      <c r="X1871" s="2" t="s">
        <v>231</v>
      </c>
      <c r="Y1871" s="2" t="s">
        <v>8467</v>
      </c>
      <c r="Z1871" s="4">
        <v>1075</v>
      </c>
      <c r="AA1871" s="4">
        <f>=ROUNDDOWN(44.7916666666667,0)</f>
      </c>
      <c r="AB1871" s="5">
        <v>24</v>
      </c>
      <c r="AC1871" s="2" t="s">
        <v>231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231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231</v>
      </c>
      <c r="BD1871" s="8" t="s">
        <v>231</v>
      </c>
      <c r="BE1871" s="4" t="s">
        <v>231</v>
      </c>
      <c r="BF1871" s="8" t="s">
        <v>231</v>
      </c>
      <c r="BG1871" s="7" t="s">
        <v>231</v>
      </c>
      <c r="BH1871" s="7" t="s">
        <v>231</v>
      </c>
      <c r="BI1871" s="7"/>
      <c r="BJ1871" s="4">
        <v>6</v>
      </c>
      <c r="BK1871" s="8">
        <v>207.66</v>
      </c>
      <c r="BL1871" s="2" t="s">
        <v>924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8471</v>
      </c>
      <c r="BV1871" s="2" t="s">
        <v>231</v>
      </c>
      <c r="BW1871" s="2" t="s">
        <v>231</v>
      </c>
      <c r="BX1871" s="2" t="s">
        <v>231</v>
      </c>
      <c r="BY1871" s="2" t="s">
        <v>277</v>
      </c>
      <c r="BZ1871" s="2" t="s">
        <v>243</v>
      </c>
      <c r="CA1871" s="2" t="s">
        <v>3687</v>
      </c>
      <c r="CB1871" s="2" t="s">
        <v>8472</v>
      </c>
      <c r="CC1871" s="2" t="s">
        <v>244</v>
      </c>
      <c r="CD1871" s="2" t="s">
        <v>231</v>
      </c>
      <c r="CE1871" s="4">
        <v>1075</v>
      </c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</row>
    <row r="1872">
      <c r="A1872" s="2" t="s">
        <v>8473</v>
      </c>
      <c r="B1872" s="2" t="s">
        <v>226</v>
      </c>
      <c r="C1872" s="2" t="s">
        <v>965</v>
      </c>
      <c r="D1872" s="2" t="s">
        <v>1549</v>
      </c>
      <c r="E1872" s="2" t="s">
        <v>1550</v>
      </c>
      <c r="F1872" s="2" t="s">
        <v>8464</v>
      </c>
      <c r="G1872" s="2" t="s">
        <v>8464</v>
      </c>
      <c r="H1872" s="2" t="s">
        <v>8464</v>
      </c>
      <c r="I1872" s="2" t="s">
        <v>8465</v>
      </c>
      <c r="J1872" s="2" t="s">
        <v>1554</v>
      </c>
      <c r="K1872" s="2" t="s">
        <v>253</v>
      </c>
      <c r="L1872" s="3">
        <v>30.95</v>
      </c>
      <c r="M1872" s="3">
        <v>32.5</v>
      </c>
      <c r="N1872" s="3">
        <v>64.99</v>
      </c>
      <c r="O1872" s="2" t="s">
        <v>243</v>
      </c>
      <c r="P1872" s="2" t="s">
        <v>270</v>
      </c>
      <c r="Q1872" s="2" t="s">
        <v>237</v>
      </c>
      <c r="R1872" s="2" t="s">
        <v>231</v>
      </c>
      <c r="S1872" s="2" t="s">
        <v>8474</v>
      </c>
      <c r="T1872" s="2" t="s">
        <v>970</v>
      </c>
      <c r="U1872" s="2" t="s">
        <v>327</v>
      </c>
      <c r="V1872" s="2" t="s">
        <v>239</v>
      </c>
      <c r="W1872" s="2" t="s">
        <v>273</v>
      </c>
      <c r="X1872" s="2" t="s">
        <v>231</v>
      </c>
      <c r="Y1872" s="2" t="s">
        <v>8467</v>
      </c>
      <c r="Z1872" s="4">
        <v>1011</v>
      </c>
      <c r="AA1872" s="4">
        <f>=ROUNDDOWN(17.135593220339,0)</f>
      </c>
      <c r="AB1872" s="5">
        <v>59</v>
      </c>
      <c r="AC1872" s="2" t="s">
        <v>2049</v>
      </c>
      <c r="AD1872" s="4">
        <v>460</v>
      </c>
      <c r="AE1872" s="4">
        <v>1440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231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231</v>
      </c>
      <c r="BD1872" s="8" t="s">
        <v>231</v>
      </c>
      <c r="BE1872" s="4" t="s">
        <v>231</v>
      </c>
      <c r="BF1872" s="8" t="s">
        <v>231</v>
      </c>
      <c r="BG1872" s="7" t="s">
        <v>231</v>
      </c>
      <c r="BH1872" s="7" t="s">
        <v>231</v>
      </c>
      <c r="BI1872" s="7"/>
      <c r="BJ1872" s="4">
        <v>13</v>
      </c>
      <c r="BK1872" s="8">
        <v>452.38</v>
      </c>
      <c r="BL1872" s="2" t="s">
        <v>8475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8476</v>
      </c>
      <c r="BV1872" s="2" t="s">
        <v>231</v>
      </c>
      <c r="BW1872" s="2" t="s">
        <v>231</v>
      </c>
      <c r="BX1872" s="2" t="s">
        <v>231</v>
      </c>
      <c r="BY1872" s="2" t="s">
        <v>277</v>
      </c>
      <c r="BZ1872" s="2" t="s">
        <v>243</v>
      </c>
      <c r="CA1872" s="2" t="s">
        <v>3687</v>
      </c>
      <c r="CB1872" s="2" t="s">
        <v>3776</v>
      </c>
      <c r="CC1872" s="2" t="s">
        <v>244</v>
      </c>
      <c r="CD1872" s="2" t="s">
        <v>231</v>
      </c>
      <c r="CE1872" s="4">
        <v>1011</v>
      </c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>
        <v>460</v>
      </c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>
        <v>980</v>
      </c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</row>
    <row r="1873">
      <c r="A1873" s="2" t="s">
        <v>8477</v>
      </c>
      <c r="B1873" s="2" t="s">
        <v>1004</v>
      </c>
      <c r="C1873" s="2" t="s">
        <v>288</v>
      </c>
      <c r="D1873" s="2" t="s">
        <v>1837</v>
      </c>
      <c r="E1873" s="2" t="s">
        <v>1838</v>
      </c>
      <c r="F1873" s="2" t="s">
        <v>8478</v>
      </c>
      <c r="G1873" s="2" t="s">
        <v>7663</v>
      </c>
      <c r="H1873" s="2" t="s">
        <v>8479</v>
      </c>
      <c r="I1873" s="2" t="s">
        <v>1838</v>
      </c>
      <c r="J1873" s="2" t="s">
        <v>807</v>
      </c>
      <c r="K1873" s="2" t="s">
        <v>3221</v>
      </c>
      <c r="L1873" s="3">
        <v>171</v>
      </c>
      <c r="M1873" s="3">
        <v>179.55</v>
      </c>
      <c r="N1873" s="3">
        <v>359</v>
      </c>
      <c r="O1873" s="2" t="s">
        <v>243</v>
      </c>
      <c r="P1873" s="2" t="s">
        <v>270</v>
      </c>
      <c r="Q1873" s="2" t="s">
        <v>237</v>
      </c>
      <c r="R1873" s="2" t="s">
        <v>231</v>
      </c>
      <c r="S1873" s="2" t="s">
        <v>8480</v>
      </c>
      <c r="T1873" s="2" t="s">
        <v>231</v>
      </c>
      <c r="U1873" s="2" t="s">
        <v>231</v>
      </c>
      <c r="V1873" s="2" t="s">
        <v>239</v>
      </c>
      <c r="W1873" s="2" t="s">
        <v>691</v>
      </c>
      <c r="X1873" s="2" t="s">
        <v>231</v>
      </c>
      <c r="Y1873" s="2" t="s">
        <v>8481</v>
      </c>
      <c r="Z1873" s="4">
        <v>133</v>
      </c>
      <c r="AA1873" s="4">
        <f>=ROUNDDOWN(33.25,0)</f>
      </c>
      <c r="AB1873" s="5">
        <v>4</v>
      </c>
      <c r="AC1873" s="2" t="s">
        <v>8482</v>
      </c>
      <c r="AD1873" s="4">
        <v>100</v>
      </c>
      <c r="AE1873" s="4">
        <v>100</v>
      </c>
      <c r="AF1873" s="6">
        <v>66</v>
      </c>
      <c r="AG1873" s="6"/>
      <c r="AH1873" s="7">
        <v>1</v>
      </c>
      <c r="AI1873" s="4"/>
      <c r="AJ1873" s="4">
        <f>=ROUNDDOWN({0},0)</f>
      </c>
      <c r="AK1873" s="5"/>
      <c r="AL1873" s="2" t="s">
        <v>231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13</v>
      </c>
      <c r="BK1873" s="8">
        <v>2347.65</v>
      </c>
      <c r="BL1873" s="2" t="s">
        <v>8483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8484</v>
      </c>
      <c r="BV1873" s="2" t="s">
        <v>231</v>
      </c>
      <c r="BW1873" s="2" t="s">
        <v>231</v>
      </c>
      <c r="BX1873" s="2" t="s">
        <v>241</v>
      </c>
      <c r="BY1873" s="2" t="s">
        <v>277</v>
      </c>
      <c r="BZ1873" s="2" t="s">
        <v>243</v>
      </c>
      <c r="CA1873" s="2" t="s">
        <v>8485</v>
      </c>
      <c r="CB1873" s="2" t="s">
        <v>8486</v>
      </c>
      <c r="CC1873" s="2" t="s">
        <v>244</v>
      </c>
      <c r="CD1873" s="2" t="s">
        <v>231</v>
      </c>
      <c r="CE1873" s="4"/>
      <c r="CF1873" s="4">
        <v>133</v>
      </c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>
        <v>100</v>
      </c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</row>
    <row r="1874">
      <c r="A1874" s="2" t="s">
        <v>8487</v>
      </c>
      <c r="B1874" s="2" t="s">
        <v>1186</v>
      </c>
      <c r="C1874" s="2" t="s">
        <v>288</v>
      </c>
      <c r="D1874" s="2" t="s">
        <v>654</v>
      </c>
      <c r="E1874" s="2" t="s">
        <v>655</v>
      </c>
      <c r="F1874" s="2" t="s">
        <v>8488</v>
      </c>
      <c r="G1874" s="2" t="s">
        <v>8489</v>
      </c>
      <c r="H1874" s="2" t="s">
        <v>3332</v>
      </c>
      <c r="I1874" s="2" t="s">
        <v>8490</v>
      </c>
      <c r="J1874" s="2" t="s">
        <v>658</v>
      </c>
      <c r="K1874" s="2" t="s">
        <v>255</v>
      </c>
      <c r="L1874" s="3">
        <v>36.57</v>
      </c>
      <c r="M1874" s="3">
        <v>38.4</v>
      </c>
      <c r="N1874" s="3">
        <v>79.99</v>
      </c>
      <c r="O1874" s="2" t="s">
        <v>243</v>
      </c>
      <c r="P1874" s="2" t="s">
        <v>236</v>
      </c>
      <c r="Q1874" s="2" t="s">
        <v>237</v>
      </c>
      <c r="R1874" s="2" t="s">
        <v>231</v>
      </c>
      <c r="S1874" s="2" t="s">
        <v>8491</v>
      </c>
      <c r="T1874" s="2" t="s">
        <v>472</v>
      </c>
      <c r="U1874" s="2" t="s">
        <v>298</v>
      </c>
      <c r="V1874" s="2" t="s">
        <v>1192</v>
      </c>
      <c r="W1874" s="2" t="s">
        <v>896</v>
      </c>
      <c r="X1874" s="2" t="s">
        <v>273</v>
      </c>
      <c r="Y1874" s="2" t="s">
        <v>8492</v>
      </c>
      <c r="Z1874" s="4">
        <v>146</v>
      </c>
      <c r="AA1874" s="4">
        <f>=ROUNDDOWN(85.8823529411765,0)</f>
      </c>
      <c r="AB1874" s="5">
        <v>1.7</v>
      </c>
      <c r="AC1874" s="2" t="s">
        <v>701</v>
      </c>
      <c r="AD1874" s="4">
        <v>150</v>
      </c>
      <c r="AE1874" s="4">
        <v>150</v>
      </c>
      <c r="AF1874" s="6">
        <v>64</v>
      </c>
      <c r="AG1874" s="6"/>
      <c r="AH1874" s="7">
        <v>1</v>
      </c>
      <c r="AI1874" s="4"/>
      <c r="AJ1874" s="4">
        <f>=ROUNDDOWN({0},0)</f>
      </c>
      <c r="AK1874" s="5"/>
      <c r="AL1874" s="2" t="s">
        <v>231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 t="s">
        <v>231</v>
      </c>
      <c r="AW1874" s="8" t="s">
        <v>231</v>
      </c>
      <c r="AX1874" s="4" t="s">
        <v>231</v>
      </c>
      <c r="AY1874" s="8" t="s">
        <v>231</v>
      </c>
      <c r="AZ1874" s="7" t="s">
        <v>231</v>
      </c>
      <c r="BA1874" s="7" t="s">
        <v>231</v>
      </c>
      <c r="BB1874" s="7" t="s">
        <v>231</v>
      </c>
      <c r="BC1874" s="4" t="s">
        <v>231</v>
      </c>
      <c r="BD1874" s="8" t="s">
        <v>231</v>
      </c>
      <c r="BE1874" s="4" t="s">
        <v>231</v>
      </c>
      <c r="BF1874" s="8" t="s">
        <v>231</v>
      </c>
      <c r="BG1874" s="7" t="s">
        <v>231</v>
      </c>
      <c r="BH1874" s="7" t="s">
        <v>231</v>
      </c>
      <c r="BI1874" s="7"/>
      <c r="BJ1874" s="4">
        <v>4</v>
      </c>
      <c r="BK1874" s="8">
        <v>165.88</v>
      </c>
      <c r="BL1874" s="2" t="s">
        <v>838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241</v>
      </c>
      <c r="BV1874" s="2" t="s">
        <v>231</v>
      </c>
      <c r="BW1874" s="2" t="s">
        <v>231</v>
      </c>
      <c r="BX1874" s="2" t="s">
        <v>241</v>
      </c>
      <c r="BY1874" s="2" t="s">
        <v>1121</v>
      </c>
      <c r="BZ1874" s="2" t="s">
        <v>243</v>
      </c>
      <c r="CA1874" s="2" t="s">
        <v>231</v>
      </c>
      <c r="CB1874" s="2" t="s">
        <v>231</v>
      </c>
      <c r="CC1874" s="2" t="s">
        <v>244</v>
      </c>
      <c r="CD1874" s="2" t="s">
        <v>231</v>
      </c>
      <c r="CE1874" s="4">
        <v>146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>
        <v>150</v>
      </c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</row>
    <row r="1875">
      <c r="A1875" s="2" t="s">
        <v>8493</v>
      </c>
      <c r="B1875" s="2" t="s">
        <v>1186</v>
      </c>
      <c r="C1875" s="2" t="s">
        <v>288</v>
      </c>
      <c r="D1875" s="2" t="s">
        <v>826</v>
      </c>
      <c r="E1875" s="2" t="s">
        <v>1060</v>
      </c>
      <c r="F1875" s="2" t="s">
        <v>8488</v>
      </c>
      <c r="G1875" s="2" t="s">
        <v>8489</v>
      </c>
      <c r="H1875" s="2" t="s">
        <v>3332</v>
      </c>
      <c r="I1875" s="2" t="s">
        <v>8494</v>
      </c>
      <c r="J1875" s="2" t="s">
        <v>658</v>
      </c>
      <c r="K1875" s="2" t="s">
        <v>255</v>
      </c>
      <c r="L1875" s="3">
        <v>22.85</v>
      </c>
      <c r="M1875" s="3">
        <v>23.99</v>
      </c>
      <c r="N1875" s="3">
        <v>49.99</v>
      </c>
      <c r="O1875" s="2" t="s">
        <v>243</v>
      </c>
      <c r="P1875" s="2" t="s">
        <v>236</v>
      </c>
      <c r="Q1875" s="2" t="s">
        <v>237</v>
      </c>
      <c r="R1875" s="2" t="s">
        <v>231</v>
      </c>
      <c r="S1875" s="2" t="s">
        <v>8491</v>
      </c>
      <c r="T1875" s="2" t="s">
        <v>472</v>
      </c>
      <c r="U1875" s="2" t="s">
        <v>835</v>
      </c>
      <c r="V1875" s="2" t="s">
        <v>1192</v>
      </c>
      <c r="W1875" s="2" t="s">
        <v>896</v>
      </c>
      <c r="X1875" s="2" t="s">
        <v>273</v>
      </c>
      <c r="Y1875" s="2" t="s">
        <v>8492</v>
      </c>
      <c r="Z1875" s="4">
        <v>70</v>
      </c>
      <c r="AA1875" s="4">
        <f>=ROUNDDOWN({0},0)</f>
      </c>
      <c r="AB1875" s="5"/>
      <c r="AC1875" s="2" t="s">
        <v>701</v>
      </c>
      <c r="AD1875" s="4">
        <v>60</v>
      </c>
      <c r="AE1875" s="4">
        <v>60</v>
      </c>
      <c r="AF1875" s="6">
        <v>64</v>
      </c>
      <c r="AG1875" s="6"/>
      <c r="AH1875" s="7">
        <v>1</v>
      </c>
      <c r="AI1875" s="4"/>
      <c r="AJ1875" s="4">
        <f>=ROUNDDOWN({0},0)</f>
      </c>
      <c r="AK1875" s="5"/>
      <c r="AL1875" s="2" t="s">
        <v>231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 t="s">
        <v>231</v>
      </c>
      <c r="AW1875" s="8" t="s">
        <v>231</v>
      </c>
      <c r="AX1875" s="4" t="s">
        <v>231</v>
      </c>
      <c r="AY1875" s="8" t="s">
        <v>231</v>
      </c>
      <c r="AZ1875" s="7" t="s">
        <v>231</v>
      </c>
      <c r="BA1875" s="7" t="s">
        <v>231</v>
      </c>
      <c r="BB1875" s="7" t="s">
        <v>231</v>
      </c>
      <c r="BC1875" s="4" t="s">
        <v>231</v>
      </c>
      <c r="BD1875" s="8" t="s">
        <v>231</v>
      </c>
      <c r="BE1875" s="4" t="s">
        <v>231</v>
      </c>
      <c r="BF1875" s="8" t="s">
        <v>231</v>
      </c>
      <c r="BG1875" s="7" t="s">
        <v>231</v>
      </c>
      <c r="BH1875" s="7" t="s">
        <v>231</v>
      </c>
      <c r="BI1875" s="7"/>
      <c r="BJ1875" s="4"/>
      <c r="BK1875" s="8"/>
      <c r="BL1875" s="2" t="s">
        <v>231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241</v>
      </c>
      <c r="BV1875" s="2" t="s">
        <v>231</v>
      </c>
      <c r="BW1875" s="2" t="s">
        <v>231</v>
      </c>
      <c r="BX1875" s="2" t="s">
        <v>241</v>
      </c>
      <c r="BY1875" s="2" t="s">
        <v>1121</v>
      </c>
      <c r="BZ1875" s="2" t="s">
        <v>243</v>
      </c>
      <c r="CA1875" s="2" t="s">
        <v>231</v>
      </c>
      <c r="CB1875" s="2" t="s">
        <v>231</v>
      </c>
      <c r="CC1875" s="2" t="s">
        <v>244</v>
      </c>
      <c r="CD1875" s="2" t="s">
        <v>231</v>
      </c>
      <c r="CE1875" s="4">
        <v>70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>
        <v>60</v>
      </c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</row>
    <row r="1876">
      <c r="A1876" s="2" t="s">
        <v>8495</v>
      </c>
      <c r="B1876" s="2" t="s">
        <v>1186</v>
      </c>
      <c r="C1876" s="2" t="s">
        <v>288</v>
      </c>
      <c r="D1876" s="2" t="s">
        <v>654</v>
      </c>
      <c r="E1876" s="2" t="s">
        <v>655</v>
      </c>
      <c r="F1876" s="2" t="s">
        <v>8488</v>
      </c>
      <c r="G1876" s="2" t="s">
        <v>8489</v>
      </c>
      <c r="H1876" s="2" t="s">
        <v>3332</v>
      </c>
      <c r="I1876" s="2" t="s">
        <v>8490</v>
      </c>
      <c r="J1876" s="2" t="s">
        <v>669</v>
      </c>
      <c r="K1876" s="2" t="s">
        <v>255</v>
      </c>
      <c r="L1876" s="3">
        <v>41.14</v>
      </c>
      <c r="M1876" s="3">
        <v>43.2</v>
      </c>
      <c r="N1876" s="3">
        <v>89.99</v>
      </c>
      <c r="O1876" s="2" t="s">
        <v>243</v>
      </c>
      <c r="P1876" s="2" t="s">
        <v>236</v>
      </c>
      <c r="Q1876" s="2" t="s">
        <v>237</v>
      </c>
      <c r="R1876" s="2" t="s">
        <v>231</v>
      </c>
      <c r="S1876" s="2" t="s">
        <v>8491</v>
      </c>
      <c r="T1876" s="2" t="s">
        <v>472</v>
      </c>
      <c r="U1876" s="2" t="s">
        <v>298</v>
      </c>
      <c r="V1876" s="2" t="s">
        <v>1192</v>
      </c>
      <c r="W1876" s="2" t="s">
        <v>896</v>
      </c>
      <c r="X1876" s="2" t="s">
        <v>273</v>
      </c>
      <c r="Y1876" s="2" t="s">
        <v>8492</v>
      </c>
      <c r="Z1876" s="4">
        <v>121</v>
      </c>
      <c r="AA1876" s="4">
        <f>=ROUNDDOWN({0},0)</f>
      </c>
      <c r="AB1876" s="5"/>
      <c r="AC1876" s="2" t="s">
        <v>701</v>
      </c>
      <c r="AD1876" s="4">
        <v>120</v>
      </c>
      <c r="AE1876" s="4">
        <v>120</v>
      </c>
      <c r="AF1876" s="6">
        <v>64</v>
      </c>
      <c r="AG1876" s="6"/>
      <c r="AH1876" s="7">
        <v>1</v>
      </c>
      <c r="AI1876" s="4"/>
      <c r="AJ1876" s="4">
        <f>=ROUNDDOWN({0},0)</f>
      </c>
      <c r="AK1876" s="5"/>
      <c r="AL1876" s="2" t="s">
        <v>231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 t="s">
        <v>231</v>
      </c>
      <c r="AW1876" s="8" t="s">
        <v>231</v>
      </c>
      <c r="AX1876" s="4" t="s">
        <v>231</v>
      </c>
      <c r="AY1876" s="8" t="s">
        <v>231</v>
      </c>
      <c r="AZ1876" s="7" t="s">
        <v>231</v>
      </c>
      <c r="BA1876" s="7" t="s">
        <v>231</v>
      </c>
      <c r="BB1876" s="7" t="s">
        <v>231</v>
      </c>
      <c r="BC1876" s="4" t="s">
        <v>231</v>
      </c>
      <c r="BD1876" s="8" t="s">
        <v>231</v>
      </c>
      <c r="BE1876" s="4" t="s">
        <v>231</v>
      </c>
      <c r="BF1876" s="8" t="s">
        <v>231</v>
      </c>
      <c r="BG1876" s="7" t="s">
        <v>231</v>
      </c>
      <c r="BH1876" s="7" t="s">
        <v>231</v>
      </c>
      <c r="BI1876" s="7"/>
      <c r="BJ1876" s="4"/>
      <c r="BK1876" s="8"/>
      <c r="BL1876" s="2" t="s">
        <v>231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241</v>
      </c>
      <c r="BV1876" s="2" t="s">
        <v>231</v>
      </c>
      <c r="BW1876" s="2" t="s">
        <v>231</v>
      </c>
      <c r="BX1876" s="2" t="s">
        <v>241</v>
      </c>
      <c r="BY1876" s="2" t="s">
        <v>1121</v>
      </c>
      <c r="BZ1876" s="2" t="s">
        <v>243</v>
      </c>
      <c r="CA1876" s="2" t="s">
        <v>231</v>
      </c>
      <c r="CB1876" s="2" t="s">
        <v>231</v>
      </c>
      <c r="CC1876" s="2" t="s">
        <v>244</v>
      </c>
      <c r="CD1876" s="2" t="s">
        <v>231</v>
      </c>
      <c r="CE1876" s="4">
        <v>120</v>
      </c>
      <c r="CF1876" s="4"/>
      <c r="CG1876" s="4"/>
      <c r="CH1876" s="4"/>
      <c r="CI1876" s="4"/>
      <c r="CJ1876" s="4"/>
      <c r="CK1876" s="4"/>
      <c r="CL1876" s="4">
        <v>1</v>
      </c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>
        <v>120</v>
      </c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</row>
    <row r="1877">
      <c r="A1877" s="2" t="s">
        <v>8496</v>
      </c>
      <c r="B1877" s="2" t="s">
        <v>1186</v>
      </c>
      <c r="C1877" s="2" t="s">
        <v>288</v>
      </c>
      <c r="D1877" s="2" t="s">
        <v>826</v>
      </c>
      <c r="E1877" s="2" t="s">
        <v>1060</v>
      </c>
      <c r="F1877" s="2" t="s">
        <v>8488</v>
      </c>
      <c r="G1877" s="2" t="s">
        <v>8489</v>
      </c>
      <c r="H1877" s="2" t="s">
        <v>3332</v>
      </c>
      <c r="I1877" s="2" t="s">
        <v>8494</v>
      </c>
      <c r="J1877" s="2" t="s">
        <v>669</v>
      </c>
      <c r="K1877" s="2" t="s">
        <v>255</v>
      </c>
      <c r="L1877" s="3">
        <v>27.42</v>
      </c>
      <c r="M1877" s="3">
        <v>28.79</v>
      </c>
      <c r="N1877" s="3">
        <v>59.99</v>
      </c>
      <c r="O1877" s="2" t="s">
        <v>243</v>
      </c>
      <c r="P1877" s="2" t="s">
        <v>236</v>
      </c>
      <c r="Q1877" s="2" t="s">
        <v>237</v>
      </c>
      <c r="R1877" s="2" t="s">
        <v>231</v>
      </c>
      <c r="S1877" s="2" t="s">
        <v>8491</v>
      </c>
      <c r="T1877" s="2" t="s">
        <v>472</v>
      </c>
      <c r="U1877" s="2" t="s">
        <v>835</v>
      </c>
      <c r="V1877" s="2" t="s">
        <v>1192</v>
      </c>
      <c r="W1877" s="2" t="s">
        <v>896</v>
      </c>
      <c r="X1877" s="2" t="s">
        <v>273</v>
      </c>
      <c r="Y1877" s="2" t="s">
        <v>8492</v>
      </c>
      <c r="Z1877" s="4">
        <v>69</v>
      </c>
      <c r="AA1877" s="4">
        <f>=ROUNDDOWN(230,0)</f>
      </c>
      <c r="AB1877" s="5">
        <v>0.3</v>
      </c>
      <c r="AC1877" s="2" t="s">
        <v>701</v>
      </c>
      <c r="AD1877" s="4">
        <v>60</v>
      </c>
      <c r="AE1877" s="4">
        <v>60</v>
      </c>
      <c r="AF1877" s="6">
        <v>64</v>
      </c>
      <c r="AG1877" s="6"/>
      <c r="AH1877" s="7">
        <v>1</v>
      </c>
      <c r="AI1877" s="4"/>
      <c r="AJ1877" s="4">
        <f>=ROUNDDOWN({0},0)</f>
      </c>
      <c r="AK1877" s="5"/>
      <c r="AL1877" s="2" t="s">
        <v>231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 t="s">
        <v>231</v>
      </c>
      <c r="AW1877" s="8" t="s">
        <v>231</v>
      </c>
      <c r="AX1877" s="4" t="s">
        <v>231</v>
      </c>
      <c r="AY1877" s="8" t="s">
        <v>231</v>
      </c>
      <c r="AZ1877" s="7" t="s">
        <v>231</v>
      </c>
      <c r="BA1877" s="7" t="s">
        <v>231</v>
      </c>
      <c r="BB1877" s="7" t="s">
        <v>231</v>
      </c>
      <c r="BC1877" s="4" t="s">
        <v>231</v>
      </c>
      <c r="BD1877" s="8" t="s">
        <v>231</v>
      </c>
      <c r="BE1877" s="4" t="s">
        <v>231</v>
      </c>
      <c r="BF1877" s="8" t="s">
        <v>231</v>
      </c>
      <c r="BG1877" s="7" t="s">
        <v>231</v>
      </c>
      <c r="BH1877" s="7" t="s">
        <v>231</v>
      </c>
      <c r="BI1877" s="7"/>
      <c r="BJ1877" s="4">
        <v>1</v>
      </c>
      <c r="BK1877" s="8">
        <v>29.99</v>
      </c>
      <c r="BL1877" s="2" t="s">
        <v>1028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241</v>
      </c>
      <c r="BV1877" s="2" t="s">
        <v>231</v>
      </c>
      <c r="BW1877" s="2" t="s">
        <v>231</v>
      </c>
      <c r="BX1877" s="2" t="s">
        <v>241</v>
      </c>
      <c r="BY1877" s="2" t="s">
        <v>1121</v>
      </c>
      <c r="BZ1877" s="2" t="s">
        <v>243</v>
      </c>
      <c r="CA1877" s="2" t="s">
        <v>231</v>
      </c>
      <c r="CB1877" s="2" t="s">
        <v>231</v>
      </c>
      <c r="CC1877" s="2" t="s">
        <v>244</v>
      </c>
      <c r="CD1877" s="2" t="s">
        <v>231</v>
      </c>
      <c r="CE1877" s="4">
        <v>69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>
        <v>60</v>
      </c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/>
      <c r="HH1877" s="4"/>
      <c r="HI1877" s="4"/>
      <c r="HJ1877" s="4"/>
      <c r="HK1877" s="4"/>
      <c r="HL1877" s="4"/>
    </row>
    <row r="1878">
      <c r="A1878" s="2" t="s">
        <v>8497</v>
      </c>
      <c r="B1878" s="2" t="s">
        <v>1004</v>
      </c>
      <c r="C1878" s="2" t="s">
        <v>288</v>
      </c>
      <c r="D1878" s="2" t="s">
        <v>2130</v>
      </c>
      <c r="E1878" s="2" t="s">
        <v>2131</v>
      </c>
      <c r="F1878" s="2" t="s">
        <v>8498</v>
      </c>
      <c r="G1878" s="2" t="s">
        <v>8499</v>
      </c>
      <c r="H1878" s="2" t="s">
        <v>8500</v>
      </c>
      <c r="I1878" s="2" t="s">
        <v>8501</v>
      </c>
      <c r="J1878" s="2" t="s">
        <v>807</v>
      </c>
      <c r="K1878" s="2" t="s">
        <v>319</v>
      </c>
      <c r="L1878" s="3">
        <v>285</v>
      </c>
      <c r="M1878" s="3">
        <v>299.25</v>
      </c>
      <c r="N1878" s="3">
        <v>599</v>
      </c>
      <c r="O1878" s="2" t="s">
        <v>250</v>
      </c>
      <c r="P1878" s="2" t="s">
        <v>341</v>
      </c>
      <c r="Q1878" s="2" t="s">
        <v>237</v>
      </c>
      <c r="R1878" s="2" t="s">
        <v>231</v>
      </c>
      <c r="S1878" s="2" t="s">
        <v>8502</v>
      </c>
      <c r="T1878" s="2" t="s">
        <v>231</v>
      </c>
      <c r="U1878" s="2" t="s">
        <v>231</v>
      </c>
      <c r="V1878" s="2" t="s">
        <v>987</v>
      </c>
      <c r="W1878" s="2" t="s">
        <v>691</v>
      </c>
      <c r="X1878" s="2" t="s">
        <v>231</v>
      </c>
      <c r="Y1878" s="2" t="s">
        <v>274</v>
      </c>
      <c r="Z1878" s="4">
        <v>1</v>
      </c>
      <c r="AA1878" s="4">
        <f>=ROUNDDOWN(1.66666666666667,0)</f>
      </c>
      <c r="AB1878" s="5">
        <v>0.6</v>
      </c>
      <c r="AC1878" s="2" t="s">
        <v>231</v>
      </c>
      <c r="AD1878" s="4"/>
      <c r="AE1878" s="4"/>
      <c r="AF1878" s="6">
        <v>65</v>
      </c>
      <c r="AG1878" s="6">
        <v>48</v>
      </c>
      <c r="AH1878" s="7">
        <v>1</v>
      </c>
      <c r="AI1878" s="4"/>
      <c r="AJ1878" s="4">
        <f>=ROUNDDOWN({0},0)</f>
      </c>
      <c r="AK1878" s="5"/>
      <c r="AL1878" s="2" t="s">
        <v>231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2</v>
      </c>
      <c r="BK1878" s="8">
        <v>527.22</v>
      </c>
      <c r="BL1878" s="2" t="s">
        <v>2343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8503</v>
      </c>
      <c r="BV1878" s="2" t="s">
        <v>231</v>
      </c>
      <c r="BW1878" s="2" t="s">
        <v>231</v>
      </c>
      <c r="BX1878" s="2" t="s">
        <v>231</v>
      </c>
      <c r="BY1878" s="2" t="s">
        <v>277</v>
      </c>
      <c r="BZ1878" s="2" t="s">
        <v>243</v>
      </c>
      <c r="CA1878" s="2" t="s">
        <v>6922</v>
      </c>
      <c r="CB1878" s="2" t="s">
        <v>599</v>
      </c>
      <c r="CC1878" s="2" t="s">
        <v>244</v>
      </c>
      <c r="CD1878" s="2" t="s">
        <v>231</v>
      </c>
      <c r="CE1878" s="4"/>
      <c r="CF1878" s="4">
        <v>1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</row>
    <row r="1879">
      <c r="A1879" s="2" t="s">
        <v>8504</v>
      </c>
      <c r="B1879" s="2" t="s">
        <v>1004</v>
      </c>
      <c r="C1879" s="2" t="s">
        <v>288</v>
      </c>
      <c r="D1879" s="2" t="s">
        <v>1917</v>
      </c>
      <c r="E1879" s="2" t="s">
        <v>1918</v>
      </c>
      <c r="F1879" s="2" t="s">
        <v>8505</v>
      </c>
      <c r="G1879" s="2" t="s">
        <v>8506</v>
      </c>
      <c r="H1879" s="2" t="s">
        <v>8507</v>
      </c>
      <c r="I1879" s="2" t="s">
        <v>8508</v>
      </c>
      <c r="J1879" s="2" t="s">
        <v>807</v>
      </c>
      <c r="K1879" s="2" t="s">
        <v>747</v>
      </c>
      <c r="L1879" s="3">
        <v>84.15</v>
      </c>
      <c r="M1879" s="3">
        <v>88.36</v>
      </c>
      <c r="N1879" s="3">
        <v>179</v>
      </c>
      <c r="O1879" s="2" t="s">
        <v>243</v>
      </c>
      <c r="P1879" s="2" t="s">
        <v>270</v>
      </c>
      <c r="Q1879" s="2" t="s">
        <v>237</v>
      </c>
      <c r="R1879" s="2" t="s">
        <v>231</v>
      </c>
      <c r="S1879" s="2" t="s">
        <v>231</v>
      </c>
      <c r="T1879" s="2" t="s">
        <v>231</v>
      </c>
      <c r="U1879" s="2" t="s">
        <v>231</v>
      </c>
      <c r="V1879" s="2" t="s">
        <v>662</v>
      </c>
      <c r="W1879" s="2" t="s">
        <v>792</v>
      </c>
      <c r="X1879" s="2" t="s">
        <v>231</v>
      </c>
      <c r="Y1879" s="2" t="s">
        <v>8509</v>
      </c>
      <c r="Z1879" s="4">
        <v>346</v>
      </c>
      <c r="AA1879" s="4">
        <f>=ROUNDDOWN(43.25,0)</f>
      </c>
      <c r="AB1879" s="5">
        <v>8</v>
      </c>
      <c r="AC1879" s="2" t="s">
        <v>1754</v>
      </c>
      <c r="AD1879" s="4">
        <v>130</v>
      </c>
      <c r="AE1879" s="4">
        <v>130</v>
      </c>
      <c r="AF1879" s="6">
        <v>76</v>
      </c>
      <c r="AG1879" s="6"/>
      <c r="AH1879" s="7">
        <v>1</v>
      </c>
      <c r="AI1879" s="4"/>
      <c r="AJ1879" s="4">
        <f>=ROUNDDOWN({0},0)</f>
      </c>
      <c r="AK1879" s="5"/>
      <c r="AL1879" s="2" t="s">
        <v>231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19</v>
      </c>
      <c r="BK1879" s="8">
        <v>1696.98</v>
      </c>
      <c r="BL1879" s="2" t="s">
        <v>8510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8511</v>
      </c>
      <c r="BV1879" s="2" t="s">
        <v>231</v>
      </c>
      <c r="BW1879" s="2" t="s">
        <v>231</v>
      </c>
      <c r="BX1879" s="2" t="s">
        <v>1812</v>
      </c>
      <c r="BY1879" s="2" t="s">
        <v>277</v>
      </c>
      <c r="BZ1879" s="2" t="s">
        <v>243</v>
      </c>
      <c r="CA1879" s="2" t="s">
        <v>8512</v>
      </c>
      <c r="CB1879" s="2" t="s">
        <v>5087</v>
      </c>
      <c r="CC1879" s="2" t="s">
        <v>244</v>
      </c>
      <c r="CD1879" s="2" t="s">
        <v>231</v>
      </c>
      <c r="CE1879" s="4"/>
      <c r="CF1879" s="4">
        <v>346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>
        <v>130</v>
      </c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</row>
    <row r="1880">
      <c r="A1880" s="2" t="s">
        <v>8513</v>
      </c>
      <c r="B1880" s="2" t="s">
        <v>1004</v>
      </c>
      <c r="C1880" s="2" t="s">
        <v>867</v>
      </c>
      <c r="D1880" s="2" t="s">
        <v>1689</v>
      </c>
      <c r="E1880" s="2" t="s">
        <v>2651</v>
      </c>
      <c r="F1880" s="2" t="s">
        <v>8514</v>
      </c>
      <c r="G1880" s="2" t="s">
        <v>8514</v>
      </c>
      <c r="H1880" s="2" t="s">
        <v>8514</v>
      </c>
      <c r="I1880" s="2" t="s">
        <v>8515</v>
      </c>
      <c r="J1880" s="2" t="s">
        <v>807</v>
      </c>
      <c r="K1880" s="2" t="s">
        <v>8516</v>
      </c>
      <c r="L1880" s="3">
        <v>190</v>
      </c>
      <c r="M1880" s="3">
        <v>199.5</v>
      </c>
      <c r="N1880" s="3">
        <v>399</v>
      </c>
      <c r="O1880" s="2" t="s">
        <v>235</v>
      </c>
      <c r="P1880" s="2" t="s">
        <v>341</v>
      </c>
      <c r="Q1880" s="2" t="s">
        <v>237</v>
      </c>
      <c r="R1880" s="2" t="s">
        <v>231</v>
      </c>
      <c r="S1880" s="2" t="s">
        <v>231</v>
      </c>
      <c r="T1880" s="2" t="s">
        <v>231</v>
      </c>
      <c r="U1880" s="2" t="s">
        <v>327</v>
      </c>
      <c r="V1880" s="2" t="s">
        <v>662</v>
      </c>
      <c r="W1880" s="2" t="s">
        <v>896</v>
      </c>
      <c r="X1880" s="2" t="s">
        <v>874</v>
      </c>
      <c r="Y1880" s="2" t="s">
        <v>8517</v>
      </c>
      <c r="Z1880" s="4">
        <v>43</v>
      </c>
      <c r="AA1880" s="4">
        <f>=ROUNDDOWN(13.4375,0)</f>
      </c>
      <c r="AB1880" s="5">
        <v>3.2</v>
      </c>
      <c r="AC1880" s="2" t="s">
        <v>231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231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13</v>
      </c>
      <c r="BK1880" s="8">
        <v>1084.98</v>
      </c>
      <c r="BL1880" s="2" t="s">
        <v>8518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8519</v>
      </c>
      <c r="BV1880" s="2" t="s">
        <v>231</v>
      </c>
      <c r="BW1880" s="2" t="s">
        <v>231</v>
      </c>
      <c r="BX1880" s="2" t="s">
        <v>231</v>
      </c>
      <c r="BY1880" s="2" t="s">
        <v>277</v>
      </c>
      <c r="BZ1880" s="2" t="s">
        <v>243</v>
      </c>
      <c r="CA1880" s="2" t="s">
        <v>3868</v>
      </c>
      <c r="CB1880" s="2" t="s">
        <v>1851</v>
      </c>
      <c r="CC1880" s="2" t="s">
        <v>244</v>
      </c>
      <c r="CD1880" s="2" t="s">
        <v>231</v>
      </c>
      <c r="CE1880" s="4"/>
      <c r="CF1880" s="4">
        <v>43</v>
      </c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</row>
    <row r="1881">
      <c r="A1881" s="2" t="s">
        <v>8520</v>
      </c>
      <c r="B1881" s="2" t="s">
        <v>1186</v>
      </c>
      <c r="C1881" s="2" t="s">
        <v>288</v>
      </c>
      <c r="D1881" s="2" t="s">
        <v>1462</v>
      </c>
      <c r="E1881" s="2" t="s">
        <v>1884</v>
      </c>
      <c r="F1881" s="2" t="s">
        <v>8521</v>
      </c>
      <c r="G1881" s="2" t="s">
        <v>8522</v>
      </c>
      <c r="H1881" s="2" t="s">
        <v>8523</v>
      </c>
      <c r="I1881" s="2" t="s">
        <v>8524</v>
      </c>
      <c r="J1881" s="2" t="s">
        <v>658</v>
      </c>
      <c r="K1881" s="2" t="s">
        <v>1169</v>
      </c>
      <c r="L1881" s="3">
        <v>52.92</v>
      </c>
      <c r="M1881" s="3">
        <v>55.57</v>
      </c>
      <c r="N1881" s="3">
        <v>109.99</v>
      </c>
      <c r="O1881" s="2" t="s">
        <v>243</v>
      </c>
      <c r="P1881" s="2" t="s">
        <v>270</v>
      </c>
      <c r="Q1881" s="2" t="s">
        <v>237</v>
      </c>
      <c r="R1881" s="2" t="s">
        <v>231</v>
      </c>
      <c r="S1881" s="2" t="s">
        <v>8525</v>
      </c>
      <c r="T1881" s="2" t="s">
        <v>472</v>
      </c>
      <c r="U1881" s="2" t="s">
        <v>765</v>
      </c>
      <c r="V1881" s="2" t="s">
        <v>391</v>
      </c>
      <c r="W1881" s="2" t="s">
        <v>363</v>
      </c>
      <c r="X1881" s="2" t="s">
        <v>1268</v>
      </c>
      <c r="Y1881" s="2" t="s">
        <v>8526</v>
      </c>
      <c r="Z1881" s="4">
        <v>196</v>
      </c>
      <c r="AA1881" s="4">
        <f>=ROUNDDOWN(24.5,0)</f>
      </c>
      <c r="AB1881" s="5">
        <v>8</v>
      </c>
      <c r="AC1881" s="2" t="s">
        <v>5150</v>
      </c>
      <c r="AD1881" s="4">
        <v>70</v>
      </c>
      <c r="AE1881" s="4">
        <v>70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231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26</v>
      </c>
      <c r="BK1881" s="8">
        <v>1590.74</v>
      </c>
      <c r="BL1881" s="2" t="s">
        <v>8527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8528</v>
      </c>
      <c r="BV1881" s="2" t="s">
        <v>231</v>
      </c>
      <c r="BW1881" s="2" t="s">
        <v>231</v>
      </c>
      <c r="BX1881" s="2" t="s">
        <v>231</v>
      </c>
      <c r="BY1881" s="2" t="s">
        <v>277</v>
      </c>
      <c r="BZ1881" s="2" t="s">
        <v>243</v>
      </c>
      <c r="CA1881" s="2" t="s">
        <v>845</v>
      </c>
      <c r="CB1881" s="2" t="s">
        <v>8529</v>
      </c>
      <c r="CC1881" s="2" t="s">
        <v>244</v>
      </c>
      <c r="CD1881" s="2" t="s">
        <v>231</v>
      </c>
      <c r="CE1881" s="4">
        <v>196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>
        <v>70</v>
      </c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</row>
    <row r="1882">
      <c r="A1882" s="2" t="s">
        <v>8530</v>
      </c>
      <c r="B1882" s="2" t="s">
        <v>1004</v>
      </c>
      <c r="C1882" s="2" t="s">
        <v>815</v>
      </c>
      <c r="D1882" s="2" t="s">
        <v>1917</v>
      </c>
      <c r="E1882" s="2" t="s">
        <v>1918</v>
      </c>
      <c r="F1882" s="2" t="s">
        <v>8531</v>
      </c>
      <c r="G1882" s="2" t="s">
        <v>8531</v>
      </c>
      <c r="H1882" s="2" t="s">
        <v>8531</v>
      </c>
      <c r="I1882" s="2" t="s">
        <v>8532</v>
      </c>
      <c r="J1882" s="2" t="s">
        <v>807</v>
      </c>
      <c r="K1882" s="2" t="s">
        <v>306</v>
      </c>
      <c r="L1882" s="3">
        <v>66.5</v>
      </c>
      <c r="M1882" s="3">
        <v>69.82</v>
      </c>
      <c r="N1882" s="3">
        <v>139</v>
      </c>
      <c r="O1882" s="2" t="s">
        <v>243</v>
      </c>
      <c r="P1882" s="2" t="s">
        <v>270</v>
      </c>
      <c r="Q1882" s="2" t="s">
        <v>237</v>
      </c>
      <c r="R1882" s="2" t="s">
        <v>231</v>
      </c>
      <c r="S1882" s="2" t="s">
        <v>231</v>
      </c>
      <c r="T1882" s="2" t="s">
        <v>231</v>
      </c>
      <c r="U1882" s="2" t="s">
        <v>327</v>
      </c>
      <c r="V1882" s="2" t="s">
        <v>662</v>
      </c>
      <c r="W1882" s="2" t="s">
        <v>691</v>
      </c>
      <c r="X1882" s="2" t="s">
        <v>231</v>
      </c>
      <c r="Y1882" s="2" t="s">
        <v>8533</v>
      </c>
      <c r="Z1882" s="4">
        <v>531</v>
      </c>
      <c r="AA1882" s="4">
        <f>=ROUNDDOWN(44.25,0)</f>
      </c>
      <c r="AB1882" s="5">
        <v>12</v>
      </c>
      <c r="AC1882" s="2" t="s">
        <v>231</v>
      </c>
      <c r="AD1882" s="4"/>
      <c r="AE1882" s="4"/>
      <c r="AF1882" s="6">
        <v>66</v>
      </c>
      <c r="AG1882" s="6"/>
      <c r="AH1882" s="7">
        <v>1</v>
      </c>
      <c r="AI1882" s="4"/>
      <c r="AJ1882" s="4">
        <f>=ROUNDDOWN({0},0)</f>
      </c>
      <c r="AK1882" s="5"/>
      <c r="AL1882" s="2" t="s">
        <v>231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45</v>
      </c>
      <c r="BK1882" s="8">
        <v>2969.68</v>
      </c>
      <c r="BL1882" s="2" t="s">
        <v>8534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8535</v>
      </c>
      <c r="BV1882" s="2" t="s">
        <v>231</v>
      </c>
      <c r="BW1882" s="2" t="s">
        <v>231</v>
      </c>
      <c r="BX1882" s="2" t="s">
        <v>231</v>
      </c>
      <c r="BY1882" s="2" t="s">
        <v>277</v>
      </c>
      <c r="BZ1882" s="2" t="s">
        <v>243</v>
      </c>
      <c r="CA1882" s="2" t="s">
        <v>8533</v>
      </c>
      <c r="CB1882" s="2" t="s">
        <v>8536</v>
      </c>
      <c r="CC1882" s="2" t="s">
        <v>244</v>
      </c>
      <c r="CD1882" s="2" t="s">
        <v>231</v>
      </c>
      <c r="CE1882" s="4"/>
      <c r="CF1882" s="4">
        <v>531</v>
      </c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</row>
    <row r="1883">
      <c r="A1883" s="2" t="s">
        <v>8537</v>
      </c>
      <c r="B1883" s="2" t="s">
        <v>1186</v>
      </c>
      <c r="C1883" s="2" t="s">
        <v>288</v>
      </c>
      <c r="D1883" s="2" t="s">
        <v>654</v>
      </c>
      <c r="E1883" s="2" t="s">
        <v>655</v>
      </c>
      <c r="F1883" s="2" t="s">
        <v>8538</v>
      </c>
      <c r="G1883" s="2" t="s">
        <v>8539</v>
      </c>
      <c r="H1883" s="2" t="s">
        <v>8540</v>
      </c>
      <c r="I1883" s="2" t="s">
        <v>8541</v>
      </c>
      <c r="J1883" s="2" t="s">
        <v>658</v>
      </c>
      <c r="K1883" s="2" t="s">
        <v>901</v>
      </c>
      <c r="L1883" s="3">
        <v>36.57</v>
      </c>
      <c r="M1883" s="3">
        <v>38.4</v>
      </c>
      <c r="N1883" s="3">
        <v>79.99</v>
      </c>
      <c r="O1883" s="2" t="s">
        <v>243</v>
      </c>
      <c r="P1883" s="2" t="s">
        <v>236</v>
      </c>
      <c r="Q1883" s="2" t="s">
        <v>237</v>
      </c>
      <c r="R1883" s="2" t="s">
        <v>231</v>
      </c>
      <c r="S1883" s="2" t="s">
        <v>8542</v>
      </c>
      <c r="T1883" s="2" t="s">
        <v>1432</v>
      </c>
      <c r="U1883" s="2" t="s">
        <v>661</v>
      </c>
      <c r="V1883" s="2" t="s">
        <v>2484</v>
      </c>
      <c r="W1883" s="2" t="s">
        <v>5673</v>
      </c>
      <c r="X1883" s="2" t="s">
        <v>897</v>
      </c>
      <c r="Y1883" s="2" t="s">
        <v>1041</v>
      </c>
      <c r="Z1883" s="4">
        <v>3</v>
      </c>
      <c r="AA1883" s="4">
        <f>=ROUNDDOWN({0},0)</f>
      </c>
      <c r="AB1883" s="5"/>
      <c r="AC1883" s="2" t="s">
        <v>321</v>
      </c>
      <c r="AD1883" s="4">
        <v>240</v>
      </c>
      <c r="AE1883" s="4">
        <v>487</v>
      </c>
      <c r="AF1883" s="6">
        <v>64</v>
      </c>
      <c r="AG1883" s="6"/>
      <c r="AH1883" s="7">
        <v>0</v>
      </c>
      <c r="AI1883" s="4"/>
      <c r="AJ1883" s="4">
        <f>=ROUNDDOWN({0},0)</f>
      </c>
      <c r="AK1883" s="5"/>
      <c r="AL1883" s="2" t="s">
        <v>231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231</v>
      </c>
      <c r="AW1883" s="8" t="s">
        <v>231</v>
      </c>
      <c r="AX1883" s="4" t="s">
        <v>231</v>
      </c>
      <c r="AY1883" s="8" t="s">
        <v>231</v>
      </c>
      <c r="AZ1883" s="7" t="s">
        <v>231</v>
      </c>
      <c r="BA1883" s="7" t="s">
        <v>231</v>
      </c>
      <c r="BB1883" s="7"/>
      <c r="BC1883" s="4" t="s">
        <v>231</v>
      </c>
      <c r="BD1883" s="8" t="s">
        <v>231</v>
      </c>
      <c r="BE1883" s="4" t="s">
        <v>231</v>
      </c>
      <c r="BF1883" s="8" t="s">
        <v>231</v>
      </c>
      <c r="BG1883" s="7" t="s">
        <v>231</v>
      </c>
      <c r="BH1883" s="7" t="s">
        <v>231</v>
      </c>
      <c r="BI1883" s="7"/>
      <c r="BJ1883" s="4"/>
      <c r="BK1883" s="8"/>
      <c r="BL1883" s="2" t="s">
        <v>231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241</v>
      </c>
      <c r="BV1883" s="2" t="s">
        <v>231</v>
      </c>
      <c r="BW1883" s="2" t="s">
        <v>231</v>
      </c>
      <c r="BX1883" s="2" t="s">
        <v>241</v>
      </c>
      <c r="BY1883" s="2" t="s">
        <v>242</v>
      </c>
      <c r="BZ1883" s="2" t="s">
        <v>243</v>
      </c>
      <c r="CA1883" s="2" t="s">
        <v>231</v>
      </c>
      <c r="CB1883" s="2" t="s">
        <v>231</v>
      </c>
      <c r="CC1883" s="2" t="s">
        <v>244</v>
      </c>
      <c r="CD1883" s="2" t="s">
        <v>231</v>
      </c>
      <c r="CE1883" s="4"/>
      <c r="CF1883" s="4"/>
      <c r="CG1883" s="4"/>
      <c r="CH1883" s="4"/>
      <c r="CI1883" s="4">
        <v>3</v>
      </c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>
        <v>240</v>
      </c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>
        <v>247</v>
      </c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</row>
    <row r="1884">
      <c r="A1884" s="2" t="s">
        <v>8543</v>
      </c>
      <c r="B1884" s="2" t="s">
        <v>1186</v>
      </c>
      <c r="C1884" s="2" t="s">
        <v>288</v>
      </c>
      <c r="D1884" s="2" t="s">
        <v>654</v>
      </c>
      <c r="E1884" s="2" t="s">
        <v>655</v>
      </c>
      <c r="F1884" s="2" t="s">
        <v>8538</v>
      </c>
      <c r="G1884" s="2" t="s">
        <v>8539</v>
      </c>
      <c r="H1884" s="2" t="s">
        <v>8540</v>
      </c>
      <c r="I1884" s="2" t="s">
        <v>8541</v>
      </c>
      <c r="J1884" s="2" t="s">
        <v>669</v>
      </c>
      <c r="K1884" s="2" t="s">
        <v>901</v>
      </c>
      <c r="L1884" s="3">
        <v>41.14</v>
      </c>
      <c r="M1884" s="3">
        <v>43.2</v>
      </c>
      <c r="N1884" s="3">
        <v>89.99</v>
      </c>
      <c r="O1884" s="2" t="s">
        <v>243</v>
      </c>
      <c r="P1884" s="2" t="s">
        <v>236</v>
      </c>
      <c r="Q1884" s="2" t="s">
        <v>237</v>
      </c>
      <c r="R1884" s="2" t="s">
        <v>231</v>
      </c>
      <c r="S1884" s="2" t="s">
        <v>8542</v>
      </c>
      <c r="T1884" s="2" t="s">
        <v>1432</v>
      </c>
      <c r="U1884" s="2" t="s">
        <v>661</v>
      </c>
      <c r="V1884" s="2" t="s">
        <v>2484</v>
      </c>
      <c r="W1884" s="2" t="s">
        <v>5673</v>
      </c>
      <c r="X1884" s="2" t="s">
        <v>897</v>
      </c>
      <c r="Y1884" s="2" t="s">
        <v>1041</v>
      </c>
      <c r="Z1884" s="4">
        <v>3</v>
      </c>
      <c r="AA1884" s="4">
        <f>=ROUNDDOWN({0},0)</f>
      </c>
      <c r="AB1884" s="5"/>
      <c r="AC1884" s="2" t="s">
        <v>321</v>
      </c>
      <c r="AD1884" s="4">
        <v>160</v>
      </c>
      <c r="AE1884" s="4">
        <v>327</v>
      </c>
      <c r="AF1884" s="6">
        <v>64</v>
      </c>
      <c r="AG1884" s="6"/>
      <c r="AH1884" s="7">
        <v>0</v>
      </c>
      <c r="AI1884" s="4"/>
      <c r="AJ1884" s="4">
        <f>=ROUNDDOWN({0},0)</f>
      </c>
      <c r="AK1884" s="5"/>
      <c r="AL1884" s="2" t="s">
        <v>231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231</v>
      </c>
      <c r="AW1884" s="8" t="s">
        <v>231</v>
      </c>
      <c r="AX1884" s="4" t="s">
        <v>231</v>
      </c>
      <c r="AY1884" s="8" t="s">
        <v>231</v>
      </c>
      <c r="AZ1884" s="7" t="s">
        <v>231</v>
      </c>
      <c r="BA1884" s="7" t="s">
        <v>231</v>
      </c>
      <c r="BB1884" s="7"/>
      <c r="BC1884" s="4" t="s">
        <v>231</v>
      </c>
      <c r="BD1884" s="8" t="s">
        <v>231</v>
      </c>
      <c r="BE1884" s="4" t="s">
        <v>231</v>
      </c>
      <c r="BF1884" s="8" t="s">
        <v>231</v>
      </c>
      <c r="BG1884" s="7" t="s">
        <v>231</v>
      </c>
      <c r="BH1884" s="7" t="s">
        <v>231</v>
      </c>
      <c r="BI1884" s="7"/>
      <c r="BJ1884" s="4"/>
      <c r="BK1884" s="8"/>
      <c r="BL1884" s="2" t="s">
        <v>231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241</v>
      </c>
      <c r="BV1884" s="2" t="s">
        <v>231</v>
      </c>
      <c r="BW1884" s="2" t="s">
        <v>231</v>
      </c>
      <c r="BX1884" s="2" t="s">
        <v>241</v>
      </c>
      <c r="BY1884" s="2" t="s">
        <v>242</v>
      </c>
      <c r="BZ1884" s="2" t="s">
        <v>243</v>
      </c>
      <c r="CA1884" s="2" t="s">
        <v>231</v>
      </c>
      <c r="CB1884" s="2" t="s">
        <v>231</v>
      </c>
      <c r="CC1884" s="2" t="s">
        <v>244</v>
      </c>
      <c r="CD1884" s="2" t="s">
        <v>231</v>
      </c>
      <c r="CE1884" s="4"/>
      <c r="CF1884" s="4"/>
      <c r="CG1884" s="4"/>
      <c r="CH1884" s="4"/>
      <c r="CI1884" s="4">
        <v>3</v>
      </c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>
        <v>160</v>
      </c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>
        <v>167</v>
      </c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</row>
    <row r="1885">
      <c r="A1885" s="2" t="s">
        <v>8544</v>
      </c>
      <c r="B1885" s="2" t="s">
        <v>847</v>
      </c>
      <c r="C1885" s="2" t="s">
        <v>653</v>
      </c>
      <c r="D1885" s="2" t="s">
        <v>906</v>
      </c>
      <c r="E1885" s="2" t="s">
        <v>5338</v>
      </c>
      <c r="F1885" s="2" t="s">
        <v>8545</v>
      </c>
      <c r="G1885" s="2" t="s">
        <v>8545</v>
      </c>
      <c r="H1885" s="2" t="s">
        <v>8545</v>
      </c>
      <c r="I1885" s="2" t="s">
        <v>8546</v>
      </c>
      <c r="J1885" s="2" t="s">
        <v>8547</v>
      </c>
      <c r="K1885" s="2" t="s">
        <v>294</v>
      </c>
      <c r="L1885" s="3">
        <v>74.11</v>
      </c>
      <c r="M1885" s="3">
        <v>77.82</v>
      </c>
      <c r="N1885" s="3">
        <v>141.94</v>
      </c>
      <c r="O1885" s="2" t="s">
        <v>243</v>
      </c>
      <c r="P1885" s="2" t="s">
        <v>1332</v>
      </c>
      <c r="Q1885" s="2" t="s">
        <v>237</v>
      </c>
      <c r="R1885" s="2" t="s">
        <v>231</v>
      </c>
      <c r="S1885" s="2" t="s">
        <v>8548</v>
      </c>
      <c r="T1885" s="2" t="s">
        <v>231</v>
      </c>
      <c r="U1885" s="2" t="s">
        <v>327</v>
      </c>
      <c r="V1885" s="2" t="s">
        <v>987</v>
      </c>
      <c r="W1885" s="2" t="s">
        <v>691</v>
      </c>
      <c r="X1885" s="2" t="s">
        <v>299</v>
      </c>
      <c r="Y1885" s="2" t="s">
        <v>8549</v>
      </c>
      <c r="Z1885" s="4">
        <v>279</v>
      </c>
      <c r="AA1885" s="4">
        <f>=ROUNDDOWN(17.4375,0)</f>
      </c>
      <c r="AB1885" s="5">
        <v>16</v>
      </c>
      <c r="AC1885" s="2" t="s">
        <v>3898</v>
      </c>
      <c r="AD1885" s="4">
        <v>150</v>
      </c>
      <c r="AE1885" s="4">
        <v>150</v>
      </c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231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231</v>
      </c>
      <c r="BD1885" s="8" t="s">
        <v>231</v>
      </c>
      <c r="BE1885" s="4" t="s">
        <v>231</v>
      </c>
      <c r="BF1885" s="8" t="s">
        <v>231</v>
      </c>
      <c r="BG1885" s="7" t="s">
        <v>231</v>
      </c>
      <c r="BH1885" s="7" t="s">
        <v>231</v>
      </c>
      <c r="BI1885" s="7"/>
      <c r="BJ1885" s="4">
        <v>105</v>
      </c>
      <c r="BK1885" s="8">
        <v>8159.23</v>
      </c>
      <c r="BL1885" s="2" t="s">
        <v>8550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8551</v>
      </c>
      <c r="BV1885" s="2" t="s">
        <v>231</v>
      </c>
      <c r="BW1885" s="2" t="s">
        <v>231</v>
      </c>
      <c r="BX1885" s="2" t="s">
        <v>312</v>
      </c>
      <c r="BY1885" s="2" t="s">
        <v>277</v>
      </c>
      <c r="BZ1885" s="2" t="s">
        <v>243</v>
      </c>
      <c r="CA1885" s="2" t="s">
        <v>2858</v>
      </c>
      <c r="CB1885" s="2" t="s">
        <v>1039</v>
      </c>
      <c r="CC1885" s="2" t="s">
        <v>244</v>
      </c>
      <c r="CD1885" s="2" t="s">
        <v>231</v>
      </c>
      <c r="CE1885" s="4"/>
      <c r="CF1885" s="4">
        <v>279</v>
      </c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>
        <v>150</v>
      </c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</row>
    <row r="1886">
      <c r="A1886" s="2" t="s">
        <v>8552</v>
      </c>
      <c r="B1886" s="2" t="s">
        <v>847</v>
      </c>
      <c r="C1886" s="2" t="s">
        <v>653</v>
      </c>
      <c r="D1886" s="2" t="s">
        <v>906</v>
      </c>
      <c r="E1886" s="2" t="s">
        <v>5338</v>
      </c>
      <c r="F1886" s="2" t="s">
        <v>8545</v>
      </c>
      <c r="G1886" s="2" t="s">
        <v>8545</v>
      </c>
      <c r="H1886" s="2" t="s">
        <v>8545</v>
      </c>
      <c r="I1886" s="2" t="s">
        <v>8546</v>
      </c>
      <c r="J1886" s="2" t="s">
        <v>8547</v>
      </c>
      <c r="K1886" s="2" t="s">
        <v>463</v>
      </c>
      <c r="L1886" s="3">
        <v>74.11</v>
      </c>
      <c r="M1886" s="3">
        <v>77.82</v>
      </c>
      <c r="N1886" s="3">
        <v>141.94</v>
      </c>
      <c r="O1886" s="2" t="s">
        <v>243</v>
      </c>
      <c r="P1886" s="2" t="s">
        <v>871</v>
      </c>
      <c r="Q1886" s="2" t="s">
        <v>237</v>
      </c>
      <c r="R1886" s="2" t="s">
        <v>231</v>
      </c>
      <c r="S1886" s="2" t="s">
        <v>231</v>
      </c>
      <c r="T1886" s="2" t="s">
        <v>231</v>
      </c>
      <c r="U1886" s="2" t="s">
        <v>327</v>
      </c>
      <c r="V1886" s="2" t="s">
        <v>987</v>
      </c>
      <c r="W1886" s="2" t="s">
        <v>691</v>
      </c>
      <c r="X1886" s="2" t="s">
        <v>299</v>
      </c>
      <c r="Y1886" s="2" t="s">
        <v>8553</v>
      </c>
      <c r="Z1886" s="4">
        <v>187</v>
      </c>
      <c r="AA1886" s="4">
        <f>=ROUNDDOWN(18.7,0)</f>
      </c>
      <c r="AB1886" s="5">
        <v>10</v>
      </c>
      <c r="AC1886" s="2" t="s">
        <v>1664</v>
      </c>
      <c r="AD1886" s="4">
        <v>100</v>
      </c>
      <c r="AE1886" s="4">
        <v>100</v>
      </c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231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231</v>
      </c>
      <c r="AW1886" s="8" t="s">
        <v>231</v>
      </c>
      <c r="AX1886" s="4" t="s">
        <v>231</v>
      </c>
      <c r="AY1886" s="8" t="s">
        <v>231</v>
      </c>
      <c r="AZ1886" s="7" t="s">
        <v>231</v>
      </c>
      <c r="BA1886" s="7" t="s">
        <v>231</v>
      </c>
      <c r="BB1886" s="7"/>
      <c r="BC1886" s="4" t="s">
        <v>231</v>
      </c>
      <c r="BD1886" s="8" t="s">
        <v>231</v>
      </c>
      <c r="BE1886" s="4" t="s">
        <v>231</v>
      </c>
      <c r="BF1886" s="8" t="s">
        <v>231</v>
      </c>
      <c r="BG1886" s="7" t="s">
        <v>231</v>
      </c>
      <c r="BH1886" s="7" t="s">
        <v>231</v>
      </c>
      <c r="BI1886" s="7"/>
      <c r="BJ1886" s="4">
        <v>71</v>
      </c>
      <c r="BK1886" s="8">
        <v>5640.88</v>
      </c>
      <c r="BL1886" s="2" t="s">
        <v>8554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8555</v>
      </c>
      <c r="BV1886" s="2" t="s">
        <v>231</v>
      </c>
      <c r="BW1886" s="2" t="s">
        <v>231</v>
      </c>
      <c r="BX1886" s="2" t="s">
        <v>312</v>
      </c>
      <c r="BY1886" s="2" t="s">
        <v>277</v>
      </c>
      <c r="BZ1886" s="2" t="s">
        <v>243</v>
      </c>
      <c r="CA1886" s="2" t="s">
        <v>8556</v>
      </c>
      <c r="CB1886" s="2" t="s">
        <v>8557</v>
      </c>
      <c r="CC1886" s="2" t="s">
        <v>244</v>
      </c>
      <c r="CD1886" s="2" t="s">
        <v>231</v>
      </c>
      <c r="CE1886" s="4"/>
      <c r="CF1886" s="4">
        <v>187</v>
      </c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>
        <v>100</v>
      </c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</row>
    <row r="1887">
      <c r="A1887" s="2" t="s">
        <v>8558</v>
      </c>
      <c r="B1887" s="2" t="s">
        <v>847</v>
      </c>
      <c r="C1887" s="2" t="s">
        <v>653</v>
      </c>
      <c r="D1887" s="2" t="s">
        <v>906</v>
      </c>
      <c r="E1887" s="2" t="s">
        <v>5338</v>
      </c>
      <c r="F1887" s="2" t="s">
        <v>8545</v>
      </c>
      <c r="G1887" s="2" t="s">
        <v>8545</v>
      </c>
      <c r="H1887" s="2" t="s">
        <v>8545</v>
      </c>
      <c r="I1887" s="2" t="s">
        <v>8559</v>
      </c>
      <c r="J1887" s="2" t="s">
        <v>8560</v>
      </c>
      <c r="K1887" s="2" t="s">
        <v>463</v>
      </c>
      <c r="L1887" s="3">
        <v>111.24</v>
      </c>
      <c r="M1887" s="3">
        <v>116.8</v>
      </c>
      <c r="N1887" s="3">
        <v>209.94</v>
      </c>
      <c r="O1887" s="2" t="s">
        <v>243</v>
      </c>
      <c r="P1887" s="2" t="s">
        <v>871</v>
      </c>
      <c r="Q1887" s="2" t="s">
        <v>237</v>
      </c>
      <c r="R1887" s="2" t="s">
        <v>231</v>
      </c>
      <c r="S1887" s="2" t="s">
        <v>231</v>
      </c>
      <c r="T1887" s="2" t="s">
        <v>231</v>
      </c>
      <c r="U1887" s="2" t="s">
        <v>327</v>
      </c>
      <c r="V1887" s="2" t="s">
        <v>987</v>
      </c>
      <c r="W1887" s="2" t="s">
        <v>691</v>
      </c>
      <c r="X1887" s="2" t="s">
        <v>299</v>
      </c>
      <c r="Y1887" s="2" t="s">
        <v>1342</v>
      </c>
      <c r="Z1887" s="4">
        <v>243</v>
      </c>
      <c r="AA1887" s="4">
        <f>=ROUNDDOWN(34.7142857142857,0)</f>
      </c>
      <c r="AB1887" s="5">
        <v>7</v>
      </c>
      <c r="AC1887" s="2" t="s">
        <v>231</v>
      </c>
      <c r="AD1887" s="4"/>
      <c r="AE1887" s="4"/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231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 t="s">
        <v>231</v>
      </c>
      <c r="AW1887" s="8" t="s">
        <v>231</v>
      </c>
      <c r="AX1887" s="4" t="s">
        <v>231</v>
      </c>
      <c r="AY1887" s="8" t="s">
        <v>231</v>
      </c>
      <c r="AZ1887" s="7" t="s">
        <v>231</v>
      </c>
      <c r="BA1887" s="7" t="s">
        <v>231</v>
      </c>
      <c r="BB1887" s="7"/>
      <c r="BC1887" s="4" t="s">
        <v>231</v>
      </c>
      <c r="BD1887" s="8" t="s">
        <v>231</v>
      </c>
      <c r="BE1887" s="4" t="s">
        <v>231</v>
      </c>
      <c r="BF1887" s="8" t="s">
        <v>231</v>
      </c>
      <c r="BG1887" s="7" t="s">
        <v>231</v>
      </c>
      <c r="BH1887" s="7" t="s">
        <v>231</v>
      </c>
      <c r="BI1887" s="7"/>
      <c r="BJ1887" s="4">
        <v>25</v>
      </c>
      <c r="BK1887" s="8">
        <v>3049.63</v>
      </c>
      <c r="BL1887" s="2" t="s">
        <v>8561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8562</v>
      </c>
      <c r="BV1887" s="2" t="s">
        <v>231</v>
      </c>
      <c r="BW1887" s="2" t="s">
        <v>231</v>
      </c>
      <c r="BX1887" s="2" t="s">
        <v>312</v>
      </c>
      <c r="BY1887" s="2" t="s">
        <v>277</v>
      </c>
      <c r="BZ1887" s="2" t="s">
        <v>243</v>
      </c>
      <c r="CA1887" s="2" t="s">
        <v>8563</v>
      </c>
      <c r="CB1887" s="2" t="s">
        <v>8564</v>
      </c>
      <c r="CC1887" s="2" t="s">
        <v>244</v>
      </c>
      <c r="CD1887" s="2" t="s">
        <v>231</v>
      </c>
      <c r="CE1887" s="4"/>
      <c r="CF1887" s="4">
        <v>243</v>
      </c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</row>
    <row r="1888">
      <c r="A1888" s="2" t="s">
        <v>8565</v>
      </c>
      <c r="B1888" s="2" t="s">
        <v>3036</v>
      </c>
      <c r="C1888" s="2" t="s">
        <v>1233</v>
      </c>
      <c r="D1888" s="2" t="s">
        <v>3037</v>
      </c>
      <c r="E1888" s="2" t="s">
        <v>3038</v>
      </c>
      <c r="F1888" s="2" t="s">
        <v>8566</v>
      </c>
      <c r="G1888" s="2" t="s">
        <v>8566</v>
      </c>
      <c r="H1888" s="2" t="s">
        <v>8566</v>
      </c>
      <c r="I1888" s="2" t="s">
        <v>8567</v>
      </c>
      <c r="J1888" s="2" t="s">
        <v>1238</v>
      </c>
      <c r="K1888" s="2" t="s">
        <v>294</v>
      </c>
      <c r="L1888" s="3">
        <v>5.28</v>
      </c>
      <c r="M1888" s="3">
        <v>5.54</v>
      </c>
      <c r="N1888" s="3">
        <v>8.99</v>
      </c>
      <c r="O1888" s="2" t="s">
        <v>235</v>
      </c>
      <c r="P1888" s="2" t="s">
        <v>1019</v>
      </c>
      <c r="Q1888" s="2" t="s">
        <v>237</v>
      </c>
      <c r="R1888" s="2" t="s">
        <v>1020</v>
      </c>
      <c r="S1888" s="2" t="s">
        <v>231</v>
      </c>
      <c r="T1888" s="2" t="s">
        <v>231</v>
      </c>
      <c r="U1888" s="2" t="s">
        <v>231</v>
      </c>
      <c r="V1888" s="2" t="s">
        <v>662</v>
      </c>
      <c r="W1888" s="2" t="s">
        <v>231</v>
      </c>
      <c r="X1888" s="2" t="s">
        <v>231</v>
      </c>
      <c r="Y1888" s="2" t="s">
        <v>1946</v>
      </c>
      <c r="Z1888" s="4">
        <v>468</v>
      </c>
      <c r="AA1888" s="4">
        <f>=ROUNDDOWN(234,0)</f>
      </c>
      <c r="AB1888" s="5">
        <v>2</v>
      </c>
      <c r="AC1888" s="2" t="s">
        <v>231</v>
      </c>
      <c r="AD1888" s="4"/>
      <c r="AE1888" s="4"/>
      <c r="AF1888" s="6"/>
      <c r="AG1888" s="6">
        <v>47</v>
      </c>
      <c r="AH1888" s="7">
        <v>1</v>
      </c>
      <c r="AI1888" s="4"/>
      <c r="AJ1888" s="4">
        <f>=ROUNDDOWN({0},0)</f>
      </c>
      <c r="AK1888" s="5"/>
      <c r="AL1888" s="2" t="s">
        <v>231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 t="s">
        <v>231</v>
      </c>
      <c r="AW1888" s="8" t="s">
        <v>231</v>
      </c>
      <c r="AX1888" s="4" t="s">
        <v>231</v>
      </c>
      <c r="AY1888" s="8" t="s">
        <v>231</v>
      </c>
      <c r="AZ1888" s="7" t="s">
        <v>231</v>
      </c>
      <c r="BA1888" s="7" t="s">
        <v>231</v>
      </c>
      <c r="BB1888" s="7"/>
      <c r="BC1888" s="4" t="s">
        <v>231</v>
      </c>
      <c r="BD1888" s="8" t="s">
        <v>231</v>
      </c>
      <c r="BE1888" s="4" t="s">
        <v>231</v>
      </c>
      <c r="BF1888" s="8" t="s">
        <v>231</v>
      </c>
      <c r="BG1888" s="7" t="s">
        <v>231</v>
      </c>
      <c r="BH1888" s="7" t="s">
        <v>231</v>
      </c>
      <c r="BI1888" s="7"/>
      <c r="BJ1888" s="4">
        <v>19</v>
      </c>
      <c r="BK1888" s="8">
        <v>115.33</v>
      </c>
      <c r="BL1888" s="2" t="s">
        <v>2565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8568</v>
      </c>
      <c r="BV1888" s="2" t="s">
        <v>231</v>
      </c>
      <c r="BW1888" s="2" t="s">
        <v>231</v>
      </c>
      <c r="BX1888" s="2" t="s">
        <v>241</v>
      </c>
      <c r="BY1888" s="2" t="s">
        <v>277</v>
      </c>
      <c r="BZ1888" s="2" t="s">
        <v>243</v>
      </c>
      <c r="CA1888" s="2" t="s">
        <v>231</v>
      </c>
      <c r="CB1888" s="2" t="s">
        <v>231</v>
      </c>
      <c r="CC1888" s="2" t="s">
        <v>244</v>
      </c>
      <c r="CD1888" s="2" t="s">
        <v>231</v>
      </c>
      <c r="CE1888" s="4"/>
      <c r="CF1888" s="4">
        <v>468</v>
      </c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</row>
    <row r="1889">
      <c r="A1889" s="2" t="s">
        <v>8569</v>
      </c>
      <c r="B1889" s="2" t="s">
        <v>3036</v>
      </c>
      <c r="C1889" s="2" t="s">
        <v>1233</v>
      </c>
      <c r="D1889" s="2" t="s">
        <v>3037</v>
      </c>
      <c r="E1889" s="2" t="s">
        <v>3038</v>
      </c>
      <c r="F1889" s="2" t="s">
        <v>8566</v>
      </c>
      <c r="G1889" s="2" t="s">
        <v>8566</v>
      </c>
      <c r="H1889" s="2" t="s">
        <v>8566</v>
      </c>
      <c r="I1889" s="2" t="s">
        <v>8567</v>
      </c>
      <c r="J1889" s="2" t="s">
        <v>1245</v>
      </c>
      <c r="K1889" s="2" t="s">
        <v>294</v>
      </c>
      <c r="L1889" s="3">
        <v>5.52</v>
      </c>
      <c r="M1889" s="3">
        <v>5.8</v>
      </c>
      <c r="N1889" s="3">
        <v>8.99</v>
      </c>
      <c r="O1889" s="2" t="s">
        <v>235</v>
      </c>
      <c r="P1889" s="2" t="s">
        <v>1019</v>
      </c>
      <c r="Q1889" s="2" t="s">
        <v>237</v>
      </c>
      <c r="R1889" s="2" t="s">
        <v>1020</v>
      </c>
      <c r="S1889" s="2" t="s">
        <v>231</v>
      </c>
      <c r="T1889" s="2" t="s">
        <v>231</v>
      </c>
      <c r="U1889" s="2" t="s">
        <v>231</v>
      </c>
      <c r="V1889" s="2" t="s">
        <v>662</v>
      </c>
      <c r="W1889" s="2" t="s">
        <v>231</v>
      </c>
      <c r="X1889" s="2" t="s">
        <v>231</v>
      </c>
      <c r="Y1889" s="2" t="s">
        <v>1946</v>
      </c>
      <c r="Z1889" s="4">
        <v>693</v>
      </c>
      <c r="AA1889" s="4">
        <f>=ROUNDDOWN(577.5,0)</f>
      </c>
      <c r="AB1889" s="5">
        <v>1.2</v>
      </c>
      <c r="AC1889" s="2" t="s">
        <v>231</v>
      </c>
      <c r="AD1889" s="4"/>
      <c r="AE1889" s="4"/>
      <c r="AF1889" s="6"/>
      <c r="AG1889" s="6">
        <v>47</v>
      </c>
      <c r="AH1889" s="7">
        <v>1</v>
      </c>
      <c r="AI1889" s="4"/>
      <c r="AJ1889" s="4">
        <f>=ROUNDDOWN({0},0)</f>
      </c>
      <c r="AK1889" s="5"/>
      <c r="AL1889" s="2" t="s">
        <v>231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 t="s">
        <v>231</v>
      </c>
      <c r="AW1889" s="8" t="s">
        <v>231</v>
      </c>
      <c r="AX1889" s="4" t="s">
        <v>231</v>
      </c>
      <c r="AY1889" s="8" t="s">
        <v>231</v>
      </c>
      <c r="AZ1889" s="7" t="s">
        <v>231</v>
      </c>
      <c r="BA1889" s="7" t="s">
        <v>231</v>
      </c>
      <c r="BB1889" s="7"/>
      <c r="BC1889" s="4" t="s">
        <v>231</v>
      </c>
      <c r="BD1889" s="8" t="s">
        <v>231</v>
      </c>
      <c r="BE1889" s="4" t="s">
        <v>231</v>
      </c>
      <c r="BF1889" s="8" t="s">
        <v>231</v>
      </c>
      <c r="BG1889" s="7" t="s">
        <v>231</v>
      </c>
      <c r="BH1889" s="7" t="s">
        <v>231</v>
      </c>
      <c r="BI1889" s="7"/>
      <c r="BJ1889" s="4"/>
      <c r="BK1889" s="8"/>
      <c r="BL1889" s="2" t="s">
        <v>2565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8570</v>
      </c>
      <c r="BV1889" s="2" t="s">
        <v>231</v>
      </c>
      <c r="BW1889" s="2" t="s">
        <v>231</v>
      </c>
      <c r="BX1889" s="2" t="s">
        <v>241</v>
      </c>
      <c r="BY1889" s="2" t="s">
        <v>277</v>
      </c>
      <c r="BZ1889" s="2" t="s">
        <v>243</v>
      </c>
      <c r="CA1889" s="2" t="s">
        <v>231</v>
      </c>
      <c r="CB1889" s="2" t="s">
        <v>231</v>
      </c>
      <c r="CC1889" s="2" t="s">
        <v>244</v>
      </c>
      <c r="CD1889" s="2" t="s">
        <v>231</v>
      </c>
      <c r="CE1889" s="4"/>
      <c r="CF1889" s="4">
        <v>693</v>
      </c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</row>
    <row r="1890">
      <c r="A1890" s="2" t="s">
        <v>8571</v>
      </c>
      <c r="B1890" s="2" t="s">
        <v>1186</v>
      </c>
      <c r="C1890" s="2" t="s">
        <v>815</v>
      </c>
      <c r="D1890" s="2" t="s">
        <v>826</v>
      </c>
      <c r="E1890" s="2" t="s">
        <v>827</v>
      </c>
      <c r="F1890" s="2" t="s">
        <v>8572</v>
      </c>
      <c r="G1890" s="2" t="s">
        <v>8572</v>
      </c>
      <c r="H1890" s="2" t="s">
        <v>8572</v>
      </c>
      <c r="I1890" s="2" t="s">
        <v>8573</v>
      </c>
      <c r="J1890" s="2" t="s">
        <v>658</v>
      </c>
      <c r="K1890" s="2" t="s">
        <v>486</v>
      </c>
      <c r="L1890" s="3">
        <v>49</v>
      </c>
      <c r="M1890" s="3">
        <v>51.44</v>
      </c>
      <c r="N1890" s="3">
        <v>99.99</v>
      </c>
      <c r="O1890" s="2" t="s">
        <v>235</v>
      </c>
      <c r="P1890" s="2" t="s">
        <v>341</v>
      </c>
      <c r="Q1890" s="2" t="s">
        <v>237</v>
      </c>
      <c r="R1890" s="2" t="s">
        <v>231</v>
      </c>
      <c r="S1890" s="2" t="s">
        <v>8574</v>
      </c>
      <c r="T1890" s="2" t="s">
        <v>231</v>
      </c>
      <c r="U1890" s="2" t="s">
        <v>231</v>
      </c>
      <c r="V1890" s="2" t="s">
        <v>239</v>
      </c>
      <c r="W1890" s="2" t="s">
        <v>792</v>
      </c>
      <c r="X1890" s="2" t="s">
        <v>1268</v>
      </c>
      <c r="Y1890" s="2" t="s">
        <v>2899</v>
      </c>
      <c r="Z1890" s="4"/>
      <c r="AA1890" s="4">
        <f>=ROUNDDOWN({0},0)</f>
      </c>
      <c r="AB1890" s="5">
        <v>3.5</v>
      </c>
      <c r="AC1890" s="2" t="s">
        <v>231</v>
      </c>
      <c r="AD1890" s="4"/>
      <c r="AE1890" s="4"/>
      <c r="AF1890" s="6">
        <v>67</v>
      </c>
      <c r="AG1890" s="6"/>
      <c r="AH1890" s="7">
        <v>0</v>
      </c>
      <c r="AI1890" s="4"/>
      <c r="AJ1890" s="4">
        <f>=ROUNDDOWN({0},0)</f>
      </c>
      <c r="AK1890" s="5"/>
      <c r="AL1890" s="2" t="s">
        <v>231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 t="s">
        <v>231</v>
      </c>
      <c r="AW1890" s="8" t="s">
        <v>231</v>
      </c>
      <c r="AX1890" s="4" t="s">
        <v>231</v>
      </c>
      <c r="AY1890" s="8" t="s">
        <v>231</v>
      </c>
      <c r="AZ1890" s="7" t="s">
        <v>231</v>
      </c>
      <c r="BA1890" s="7" t="s">
        <v>231</v>
      </c>
      <c r="BB1890" s="7"/>
      <c r="BC1890" s="4" t="s">
        <v>231</v>
      </c>
      <c r="BD1890" s="8" t="s">
        <v>231</v>
      </c>
      <c r="BE1890" s="4" t="s">
        <v>231</v>
      </c>
      <c r="BF1890" s="8" t="s">
        <v>231</v>
      </c>
      <c r="BG1890" s="7" t="s">
        <v>231</v>
      </c>
      <c r="BH1890" s="7" t="s">
        <v>231</v>
      </c>
      <c r="BI1890" s="7"/>
      <c r="BJ1890" s="4"/>
      <c r="BK1890" s="8"/>
      <c r="BL1890" s="2" t="s">
        <v>3968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8575</v>
      </c>
      <c r="BV1890" s="2" t="s">
        <v>231</v>
      </c>
      <c r="BW1890" s="2" t="s">
        <v>231</v>
      </c>
      <c r="BX1890" s="2" t="s">
        <v>231</v>
      </c>
      <c r="BY1890" s="2" t="s">
        <v>277</v>
      </c>
      <c r="BZ1890" s="2" t="s">
        <v>243</v>
      </c>
      <c r="CA1890" s="2" t="s">
        <v>8576</v>
      </c>
      <c r="CB1890" s="2" t="s">
        <v>7469</v>
      </c>
      <c r="CC1890" s="2" t="s">
        <v>244</v>
      </c>
      <c r="CD1890" s="2" t="s">
        <v>231</v>
      </c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</row>
    <row r="1891">
      <c r="A1891" s="2" t="s">
        <v>8577</v>
      </c>
      <c r="B1891" s="2" t="s">
        <v>1186</v>
      </c>
      <c r="C1891" s="2" t="s">
        <v>815</v>
      </c>
      <c r="D1891" s="2" t="s">
        <v>826</v>
      </c>
      <c r="E1891" s="2" t="s">
        <v>827</v>
      </c>
      <c r="F1891" s="2" t="s">
        <v>8572</v>
      </c>
      <c r="G1891" s="2" t="s">
        <v>8572</v>
      </c>
      <c r="H1891" s="2" t="s">
        <v>8572</v>
      </c>
      <c r="I1891" s="2" t="s">
        <v>8573</v>
      </c>
      <c r="J1891" s="2" t="s">
        <v>669</v>
      </c>
      <c r="K1891" s="2" t="s">
        <v>486</v>
      </c>
      <c r="L1891" s="3">
        <v>65</v>
      </c>
      <c r="M1891" s="3">
        <v>68.24</v>
      </c>
      <c r="N1891" s="3">
        <v>129.99</v>
      </c>
      <c r="O1891" s="2" t="s">
        <v>235</v>
      </c>
      <c r="P1891" s="2" t="s">
        <v>341</v>
      </c>
      <c r="Q1891" s="2" t="s">
        <v>237</v>
      </c>
      <c r="R1891" s="2" t="s">
        <v>231</v>
      </c>
      <c r="S1891" s="2" t="s">
        <v>8574</v>
      </c>
      <c r="T1891" s="2" t="s">
        <v>231</v>
      </c>
      <c r="U1891" s="2" t="s">
        <v>231</v>
      </c>
      <c r="V1891" s="2" t="s">
        <v>239</v>
      </c>
      <c r="W1891" s="2" t="s">
        <v>792</v>
      </c>
      <c r="X1891" s="2" t="s">
        <v>1268</v>
      </c>
      <c r="Y1891" s="2" t="s">
        <v>2899</v>
      </c>
      <c r="Z1891" s="4">
        <v>97</v>
      </c>
      <c r="AA1891" s="4">
        <f>=ROUNDDOWN(64.6666666666667,0)</f>
      </c>
      <c r="AB1891" s="5">
        <v>1.5</v>
      </c>
      <c r="AC1891" s="2" t="s">
        <v>231</v>
      </c>
      <c r="AD1891" s="4"/>
      <c r="AE1891" s="4"/>
      <c r="AF1891" s="6">
        <v>67</v>
      </c>
      <c r="AG1891" s="6"/>
      <c r="AH1891" s="7">
        <v>1</v>
      </c>
      <c r="AI1891" s="4"/>
      <c r="AJ1891" s="4">
        <f>=ROUNDDOWN({0},0)</f>
      </c>
      <c r="AK1891" s="5"/>
      <c r="AL1891" s="2" t="s">
        <v>231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 t="s">
        <v>231</v>
      </c>
      <c r="AW1891" s="8" t="s">
        <v>231</v>
      </c>
      <c r="AX1891" s="4" t="s">
        <v>231</v>
      </c>
      <c r="AY1891" s="8" t="s">
        <v>231</v>
      </c>
      <c r="AZ1891" s="7" t="s">
        <v>231</v>
      </c>
      <c r="BA1891" s="7" t="s">
        <v>231</v>
      </c>
      <c r="BB1891" s="7"/>
      <c r="BC1891" s="4" t="s">
        <v>231</v>
      </c>
      <c r="BD1891" s="8" t="s">
        <v>231</v>
      </c>
      <c r="BE1891" s="4" t="s">
        <v>231</v>
      </c>
      <c r="BF1891" s="8" t="s">
        <v>231</v>
      </c>
      <c r="BG1891" s="7" t="s">
        <v>231</v>
      </c>
      <c r="BH1891" s="7" t="s">
        <v>231</v>
      </c>
      <c r="BI1891" s="7"/>
      <c r="BJ1891" s="4">
        <v>10</v>
      </c>
      <c r="BK1891" s="8">
        <v>679.82</v>
      </c>
      <c r="BL1891" s="2" t="s">
        <v>8578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8579</v>
      </c>
      <c r="BV1891" s="2" t="s">
        <v>231</v>
      </c>
      <c r="BW1891" s="2" t="s">
        <v>231</v>
      </c>
      <c r="BX1891" s="2" t="s">
        <v>231</v>
      </c>
      <c r="BY1891" s="2" t="s">
        <v>277</v>
      </c>
      <c r="BZ1891" s="2" t="s">
        <v>243</v>
      </c>
      <c r="CA1891" s="2" t="s">
        <v>8576</v>
      </c>
      <c r="CB1891" s="2" t="s">
        <v>8580</v>
      </c>
      <c r="CC1891" s="2" t="s">
        <v>244</v>
      </c>
      <c r="CD1891" s="2" t="s">
        <v>231</v>
      </c>
      <c r="CE1891" s="4">
        <v>97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4"/>
      <c r="HH1891" s="4"/>
      <c r="HI1891" s="4"/>
      <c r="HJ1891" s="4"/>
      <c r="HK1891" s="4"/>
      <c r="HL1891" s="4"/>
    </row>
    <row r="1892">
      <c r="A1892" s="2" t="s">
        <v>8581</v>
      </c>
      <c r="B1892" s="2" t="s">
        <v>847</v>
      </c>
      <c r="C1892" s="2" t="s">
        <v>288</v>
      </c>
      <c r="D1892" s="2" t="s">
        <v>8582</v>
      </c>
      <c r="E1892" s="2" t="s">
        <v>8583</v>
      </c>
      <c r="F1892" s="2" t="s">
        <v>3012</v>
      </c>
      <c r="G1892" s="2" t="s">
        <v>3012</v>
      </c>
      <c r="H1892" s="2" t="s">
        <v>3012</v>
      </c>
      <c r="I1892" s="2" t="s">
        <v>8584</v>
      </c>
      <c r="J1892" s="2" t="s">
        <v>807</v>
      </c>
      <c r="K1892" s="2" t="s">
        <v>8585</v>
      </c>
      <c r="L1892" s="3">
        <v>40.19</v>
      </c>
      <c r="M1892" s="3">
        <v>42.2</v>
      </c>
      <c r="N1892" s="3">
        <v>89.99</v>
      </c>
      <c r="O1892" s="2" t="s">
        <v>243</v>
      </c>
      <c r="P1892" s="2" t="s">
        <v>270</v>
      </c>
      <c r="Q1892" s="2" t="s">
        <v>237</v>
      </c>
      <c r="R1892" s="2" t="s">
        <v>231</v>
      </c>
      <c r="S1892" s="2" t="s">
        <v>8586</v>
      </c>
      <c r="T1892" s="2" t="s">
        <v>231</v>
      </c>
      <c r="U1892" s="2" t="s">
        <v>327</v>
      </c>
      <c r="V1892" s="2" t="s">
        <v>239</v>
      </c>
      <c r="W1892" s="2" t="s">
        <v>691</v>
      </c>
      <c r="X1892" s="2" t="s">
        <v>896</v>
      </c>
      <c r="Y1892" s="2" t="s">
        <v>3268</v>
      </c>
      <c r="Z1892" s="4">
        <v>142</v>
      </c>
      <c r="AA1892" s="4">
        <f>=ROUNDDOWN(38.3783783783784,0)</f>
      </c>
      <c r="AB1892" s="5">
        <v>3.7</v>
      </c>
      <c r="AC1892" s="2" t="s">
        <v>231</v>
      </c>
      <c r="AD1892" s="4"/>
      <c r="AE1892" s="4"/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231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18</v>
      </c>
      <c r="BK1892" s="8">
        <v>831.84</v>
      </c>
      <c r="BL1892" s="2" t="s">
        <v>8587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8588</v>
      </c>
      <c r="BV1892" s="2" t="s">
        <v>231</v>
      </c>
      <c r="BW1892" s="2" t="s">
        <v>231</v>
      </c>
      <c r="BX1892" s="2" t="s">
        <v>231</v>
      </c>
      <c r="BY1892" s="2" t="s">
        <v>277</v>
      </c>
      <c r="BZ1892" s="2" t="s">
        <v>243</v>
      </c>
      <c r="CA1892" s="2" t="s">
        <v>8589</v>
      </c>
      <c r="CB1892" s="2" t="s">
        <v>3625</v>
      </c>
      <c r="CC1892" s="2" t="s">
        <v>244</v>
      </c>
      <c r="CD1892" s="2" t="s">
        <v>231</v>
      </c>
      <c r="CE1892" s="4"/>
      <c r="CF1892" s="4">
        <v>142</v>
      </c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</row>
    <row r="1893">
      <c r="A1893" s="2" t="s">
        <v>8590</v>
      </c>
      <c r="B1893" s="2" t="s">
        <v>1389</v>
      </c>
      <c r="C1893" s="2" t="s">
        <v>288</v>
      </c>
      <c r="D1893" s="2" t="s">
        <v>1389</v>
      </c>
      <c r="E1893" s="2" t="s">
        <v>1389</v>
      </c>
      <c r="F1893" s="2" t="s">
        <v>8591</v>
      </c>
      <c r="G1893" s="2" t="s">
        <v>8592</v>
      </c>
      <c r="H1893" s="2" t="s">
        <v>8593</v>
      </c>
      <c r="I1893" s="2" t="s">
        <v>8594</v>
      </c>
      <c r="J1893" s="2" t="s">
        <v>6119</v>
      </c>
      <c r="K1893" s="2" t="s">
        <v>2599</v>
      </c>
      <c r="L1893" s="3">
        <v>22</v>
      </c>
      <c r="M1893" s="3">
        <v>23.1</v>
      </c>
      <c r="N1893" s="3">
        <v>49.99</v>
      </c>
      <c r="O1893" s="2" t="s">
        <v>243</v>
      </c>
      <c r="P1893" s="2" t="s">
        <v>341</v>
      </c>
      <c r="Q1893" s="2" t="s">
        <v>237</v>
      </c>
      <c r="R1893" s="2" t="s">
        <v>231</v>
      </c>
      <c r="S1893" s="2" t="s">
        <v>8595</v>
      </c>
      <c r="T1893" s="2" t="s">
        <v>231</v>
      </c>
      <c r="U1893" s="2" t="s">
        <v>327</v>
      </c>
      <c r="V1893" s="2" t="s">
        <v>5672</v>
      </c>
      <c r="W1893" s="2" t="s">
        <v>2541</v>
      </c>
      <c r="X1893" s="2" t="s">
        <v>231</v>
      </c>
      <c r="Y1893" s="2" t="s">
        <v>845</v>
      </c>
      <c r="Z1893" s="4">
        <v>9</v>
      </c>
      <c r="AA1893" s="4">
        <f>=ROUNDDOWN(15,0)</f>
      </c>
      <c r="AB1893" s="5">
        <v>0.6</v>
      </c>
      <c r="AC1893" s="2" t="s">
        <v>231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231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 t="s">
        <v>231</v>
      </c>
      <c r="AW1893" s="8" t="s">
        <v>231</v>
      </c>
      <c r="AX1893" s="4" t="s">
        <v>231</v>
      </c>
      <c r="AY1893" s="8" t="s">
        <v>231</v>
      </c>
      <c r="AZ1893" s="7" t="s">
        <v>231</v>
      </c>
      <c r="BA1893" s="7" t="s">
        <v>231</v>
      </c>
      <c r="BB1893" s="7"/>
      <c r="BC1893" s="4" t="s">
        <v>231</v>
      </c>
      <c r="BD1893" s="8" t="s">
        <v>231</v>
      </c>
      <c r="BE1893" s="4" t="s">
        <v>231</v>
      </c>
      <c r="BF1893" s="8" t="s">
        <v>231</v>
      </c>
      <c r="BG1893" s="7" t="s">
        <v>231</v>
      </c>
      <c r="BH1893" s="7" t="s">
        <v>231</v>
      </c>
      <c r="BI1893" s="7"/>
      <c r="BJ1893" s="4">
        <v>6</v>
      </c>
      <c r="BK1893" s="8">
        <v>155.8</v>
      </c>
      <c r="BL1893" s="2" t="s">
        <v>863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8596</v>
      </c>
      <c r="BV1893" s="2" t="s">
        <v>231</v>
      </c>
      <c r="BW1893" s="2" t="s">
        <v>231</v>
      </c>
      <c r="BX1893" s="2" t="s">
        <v>231</v>
      </c>
      <c r="BY1893" s="2" t="s">
        <v>277</v>
      </c>
      <c r="BZ1893" s="2" t="s">
        <v>243</v>
      </c>
      <c r="CA1893" s="2" t="s">
        <v>5855</v>
      </c>
      <c r="CB1893" s="2" t="s">
        <v>1769</v>
      </c>
      <c r="CC1893" s="2" t="s">
        <v>244</v>
      </c>
      <c r="CD1893" s="2" t="s">
        <v>231</v>
      </c>
      <c r="CE1893" s="4">
        <v>2</v>
      </c>
      <c r="CF1893" s="4">
        <v>7</v>
      </c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</row>
    <row r="1894">
      <c r="A1894" s="2" t="s">
        <v>8597</v>
      </c>
      <c r="B1894" s="2" t="s">
        <v>1389</v>
      </c>
      <c r="C1894" s="2" t="s">
        <v>288</v>
      </c>
      <c r="D1894" s="2" t="s">
        <v>1389</v>
      </c>
      <c r="E1894" s="2" t="s">
        <v>1389</v>
      </c>
      <c r="F1894" s="2" t="s">
        <v>8591</v>
      </c>
      <c r="G1894" s="2" t="s">
        <v>8592</v>
      </c>
      <c r="H1894" s="2" t="s">
        <v>8593</v>
      </c>
      <c r="I1894" s="2" t="s">
        <v>8594</v>
      </c>
      <c r="J1894" s="2" t="s">
        <v>1401</v>
      </c>
      <c r="K1894" s="2" t="s">
        <v>2599</v>
      </c>
      <c r="L1894" s="3">
        <v>67.5</v>
      </c>
      <c r="M1894" s="3">
        <v>70.88</v>
      </c>
      <c r="N1894" s="3">
        <v>149.98</v>
      </c>
      <c r="O1894" s="2" t="s">
        <v>243</v>
      </c>
      <c r="P1894" s="2" t="s">
        <v>341</v>
      </c>
      <c r="Q1894" s="2" t="s">
        <v>237</v>
      </c>
      <c r="R1894" s="2" t="s">
        <v>231</v>
      </c>
      <c r="S1894" s="2" t="s">
        <v>8595</v>
      </c>
      <c r="T1894" s="2" t="s">
        <v>231</v>
      </c>
      <c r="U1894" s="2" t="s">
        <v>327</v>
      </c>
      <c r="V1894" s="2" t="s">
        <v>5672</v>
      </c>
      <c r="W1894" s="2" t="s">
        <v>2541</v>
      </c>
      <c r="X1894" s="2" t="s">
        <v>231</v>
      </c>
      <c r="Y1894" s="2" t="s">
        <v>845</v>
      </c>
      <c r="Z1894" s="4">
        <v>79</v>
      </c>
      <c r="AA1894" s="4">
        <f>=ROUNDDOWN(395,0)</f>
      </c>
      <c r="AB1894" s="5">
        <v>0.2</v>
      </c>
      <c r="AC1894" s="2" t="s">
        <v>231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231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 t="s">
        <v>231</v>
      </c>
      <c r="AW1894" s="8" t="s">
        <v>231</v>
      </c>
      <c r="AX1894" s="4" t="s">
        <v>231</v>
      </c>
      <c r="AY1894" s="8" t="s">
        <v>231</v>
      </c>
      <c r="AZ1894" s="7" t="s">
        <v>231</v>
      </c>
      <c r="BA1894" s="7" t="s">
        <v>231</v>
      </c>
      <c r="BB1894" s="7"/>
      <c r="BC1894" s="4" t="s">
        <v>231</v>
      </c>
      <c r="BD1894" s="8" t="s">
        <v>231</v>
      </c>
      <c r="BE1894" s="4" t="s">
        <v>231</v>
      </c>
      <c r="BF1894" s="8" t="s">
        <v>231</v>
      </c>
      <c r="BG1894" s="7" t="s">
        <v>231</v>
      </c>
      <c r="BH1894" s="7" t="s">
        <v>231</v>
      </c>
      <c r="BI1894" s="7"/>
      <c r="BJ1894" s="4">
        <v>1</v>
      </c>
      <c r="BK1894" s="8">
        <v>70.88</v>
      </c>
      <c r="BL1894" s="2" t="s">
        <v>628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8598</v>
      </c>
      <c r="BV1894" s="2" t="s">
        <v>231</v>
      </c>
      <c r="BW1894" s="2" t="s">
        <v>231</v>
      </c>
      <c r="BX1894" s="2" t="s">
        <v>231</v>
      </c>
      <c r="BY1894" s="2" t="s">
        <v>277</v>
      </c>
      <c r="BZ1894" s="2" t="s">
        <v>243</v>
      </c>
      <c r="CA1894" s="2" t="s">
        <v>5855</v>
      </c>
      <c r="CB1894" s="2" t="s">
        <v>8599</v>
      </c>
      <c r="CC1894" s="2" t="s">
        <v>244</v>
      </c>
      <c r="CD1894" s="2" t="s">
        <v>231</v>
      </c>
      <c r="CE1894" s="4"/>
      <c r="CF1894" s="4">
        <v>79</v>
      </c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4"/>
      <c r="HH1894" s="4"/>
      <c r="HI1894" s="4"/>
      <c r="HJ1894" s="4"/>
      <c r="HK1894" s="4"/>
      <c r="HL1894" s="4"/>
    </row>
    <row r="1895">
      <c r="A1895" s="2" t="s">
        <v>8600</v>
      </c>
      <c r="B1895" s="2" t="s">
        <v>1389</v>
      </c>
      <c r="C1895" s="2" t="s">
        <v>288</v>
      </c>
      <c r="D1895" s="2" t="s">
        <v>1389</v>
      </c>
      <c r="E1895" s="2" t="s">
        <v>1389</v>
      </c>
      <c r="F1895" s="2" t="s">
        <v>8591</v>
      </c>
      <c r="G1895" s="2" t="s">
        <v>8592</v>
      </c>
      <c r="H1895" s="2" t="s">
        <v>8593</v>
      </c>
      <c r="I1895" s="2" t="s">
        <v>8594</v>
      </c>
      <c r="J1895" s="2" t="s">
        <v>2039</v>
      </c>
      <c r="K1895" s="2" t="s">
        <v>2599</v>
      </c>
      <c r="L1895" s="3">
        <v>94.5</v>
      </c>
      <c r="M1895" s="3">
        <v>99.23</v>
      </c>
      <c r="N1895" s="3">
        <v>199.98</v>
      </c>
      <c r="O1895" s="2" t="s">
        <v>243</v>
      </c>
      <c r="P1895" s="2" t="s">
        <v>341</v>
      </c>
      <c r="Q1895" s="2" t="s">
        <v>237</v>
      </c>
      <c r="R1895" s="2" t="s">
        <v>231</v>
      </c>
      <c r="S1895" s="2" t="s">
        <v>8595</v>
      </c>
      <c r="T1895" s="2" t="s">
        <v>231</v>
      </c>
      <c r="U1895" s="2" t="s">
        <v>327</v>
      </c>
      <c r="V1895" s="2" t="s">
        <v>5672</v>
      </c>
      <c r="W1895" s="2" t="s">
        <v>2541</v>
      </c>
      <c r="X1895" s="2" t="s">
        <v>231</v>
      </c>
      <c r="Y1895" s="2" t="s">
        <v>845</v>
      </c>
      <c r="Z1895" s="4">
        <v>33</v>
      </c>
      <c r="AA1895" s="4">
        <f>=ROUNDDOWN(55,0)</f>
      </c>
      <c r="AB1895" s="5">
        <v>0.6</v>
      </c>
      <c r="AC1895" s="2" t="s">
        <v>231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231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 t="s">
        <v>231</v>
      </c>
      <c r="AW1895" s="8" t="s">
        <v>231</v>
      </c>
      <c r="AX1895" s="4" t="s">
        <v>231</v>
      </c>
      <c r="AY1895" s="8" t="s">
        <v>231</v>
      </c>
      <c r="AZ1895" s="7" t="s">
        <v>231</v>
      </c>
      <c r="BA1895" s="7" t="s">
        <v>231</v>
      </c>
      <c r="BB1895" s="7"/>
      <c r="BC1895" s="4" t="s">
        <v>231</v>
      </c>
      <c r="BD1895" s="8" t="s">
        <v>231</v>
      </c>
      <c r="BE1895" s="4" t="s">
        <v>231</v>
      </c>
      <c r="BF1895" s="8" t="s">
        <v>231</v>
      </c>
      <c r="BG1895" s="7" t="s">
        <v>231</v>
      </c>
      <c r="BH1895" s="7" t="s">
        <v>231</v>
      </c>
      <c r="BI1895" s="7"/>
      <c r="BJ1895" s="4">
        <v>4</v>
      </c>
      <c r="BK1895" s="8">
        <v>445.2</v>
      </c>
      <c r="BL1895" s="2" t="s">
        <v>7344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8601</v>
      </c>
      <c r="BV1895" s="2" t="s">
        <v>231</v>
      </c>
      <c r="BW1895" s="2" t="s">
        <v>231</v>
      </c>
      <c r="BX1895" s="2" t="s">
        <v>231</v>
      </c>
      <c r="BY1895" s="2" t="s">
        <v>277</v>
      </c>
      <c r="BZ1895" s="2" t="s">
        <v>243</v>
      </c>
      <c r="CA1895" s="2" t="s">
        <v>5855</v>
      </c>
      <c r="CB1895" s="2" t="s">
        <v>231</v>
      </c>
      <c r="CC1895" s="2" t="s">
        <v>244</v>
      </c>
      <c r="CD1895" s="2" t="s">
        <v>231</v>
      </c>
      <c r="CE1895" s="4"/>
      <c r="CF1895" s="4">
        <v>33</v>
      </c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4"/>
      <c r="HH1895" s="4"/>
      <c r="HI1895" s="4"/>
      <c r="HJ1895" s="4"/>
      <c r="HK1895" s="4"/>
      <c r="HL1895" s="4"/>
    </row>
    <row r="1896">
      <c r="A1896" s="2" t="s">
        <v>8602</v>
      </c>
      <c r="B1896" s="2" t="s">
        <v>1004</v>
      </c>
      <c r="C1896" s="2" t="s">
        <v>288</v>
      </c>
      <c r="D1896" s="2" t="s">
        <v>1917</v>
      </c>
      <c r="E1896" s="2" t="s">
        <v>1918</v>
      </c>
      <c r="F1896" s="2" t="s">
        <v>8591</v>
      </c>
      <c r="G1896" s="2" t="s">
        <v>8603</v>
      </c>
      <c r="H1896" s="2" t="s">
        <v>8604</v>
      </c>
      <c r="I1896" s="2" t="s">
        <v>8605</v>
      </c>
      <c r="J1896" s="2" t="s">
        <v>807</v>
      </c>
      <c r="K1896" s="2" t="s">
        <v>253</v>
      </c>
      <c r="L1896" s="3">
        <v>142.86</v>
      </c>
      <c r="M1896" s="3">
        <v>150</v>
      </c>
      <c r="N1896" s="3">
        <v>299</v>
      </c>
      <c r="O1896" s="2" t="s">
        <v>243</v>
      </c>
      <c r="P1896" s="2" t="s">
        <v>1985</v>
      </c>
      <c r="Q1896" s="2" t="s">
        <v>237</v>
      </c>
      <c r="R1896" s="2" t="s">
        <v>231</v>
      </c>
      <c r="S1896" s="2" t="s">
        <v>231</v>
      </c>
      <c r="T1896" s="2" t="s">
        <v>231</v>
      </c>
      <c r="U1896" s="2" t="s">
        <v>327</v>
      </c>
      <c r="V1896" s="2" t="s">
        <v>239</v>
      </c>
      <c r="W1896" s="2" t="s">
        <v>792</v>
      </c>
      <c r="X1896" s="2" t="s">
        <v>273</v>
      </c>
      <c r="Y1896" s="2" t="s">
        <v>8606</v>
      </c>
      <c r="Z1896" s="4">
        <v>43</v>
      </c>
      <c r="AA1896" s="4">
        <f>=ROUNDDOWN(86,0)</f>
      </c>
      <c r="AB1896" s="5">
        <v>0.5</v>
      </c>
      <c r="AC1896" s="2" t="s">
        <v>730</v>
      </c>
      <c r="AD1896" s="4">
        <v>35</v>
      </c>
      <c r="AE1896" s="4">
        <v>35</v>
      </c>
      <c r="AF1896" s="6">
        <v>66</v>
      </c>
      <c r="AG1896" s="6"/>
      <c r="AH1896" s="7">
        <v>1</v>
      </c>
      <c r="AI1896" s="4"/>
      <c r="AJ1896" s="4">
        <f>=ROUNDDOWN({0},0)</f>
      </c>
      <c r="AK1896" s="5"/>
      <c r="AL1896" s="2" t="s">
        <v>231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 t="s">
        <v>231</v>
      </c>
      <c r="BD1896" s="8" t="s">
        <v>231</v>
      </c>
      <c r="BE1896" s="4" t="s">
        <v>231</v>
      </c>
      <c r="BF1896" s="8" t="s">
        <v>231</v>
      </c>
      <c r="BG1896" s="7" t="s">
        <v>231</v>
      </c>
      <c r="BH1896" s="7" t="s">
        <v>231</v>
      </c>
      <c r="BI1896" s="7"/>
      <c r="BJ1896" s="4">
        <v>2</v>
      </c>
      <c r="BK1896" s="8">
        <v>286.12</v>
      </c>
      <c r="BL1896" s="2" t="s">
        <v>7594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8607</v>
      </c>
      <c r="BV1896" s="2" t="s">
        <v>231</v>
      </c>
      <c r="BW1896" s="2" t="s">
        <v>231</v>
      </c>
      <c r="BX1896" s="2" t="s">
        <v>1812</v>
      </c>
      <c r="BY1896" s="2" t="s">
        <v>277</v>
      </c>
      <c r="BZ1896" s="2" t="s">
        <v>243</v>
      </c>
      <c r="CA1896" s="2" t="s">
        <v>8606</v>
      </c>
      <c r="CB1896" s="2" t="s">
        <v>2062</v>
      </c>
      <c r="CC1896" s="2" t="s">
        <v>244</v>
      </c>
      <c r="CD1896" s="2" t="s">
        <v>231</v>
      </c>
      <c r="CE1896" s="4"/>
      <c r="CF1896" s="4">
        <v>43</v>
      </c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>
        <v>35</v>
      </c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</row>
    <row r="1897">
      <c r="A1897" s="2" t="s">
        <v>8608</v>
      </c>
      <c r="B1897" s="2" t="s">
        <v>1004</v>
      </c>
      <c r="C1897" s="2" t="s">
        <v>288</v>
      </c>
      <c r="D1897" s="2" t="s">
        <v>1031</v>
      </c>
      <c r="E1897" s="2" t="s">
        <v>8609</v>
      </c>
      <c r="F1897" s="2" t="s">
        <v>8610</v>
      </c>
      <c r="G1897" s="2" t="s">
        <v>8611</v>
      </c>
      <c r="H1897" s="2" t="s">
        <v>8612</v>
      </c>
      <c r="I1897" s="2" t="s">
        <v>8613</v>
      </c>
      <c r="J1897" s="2" t="s">
        <v>807</v>
      </c>
      <c r="K1897" s="2" t="s">
        <v>234</v>
      </c>
      <c r="L1897" s="3">
        <v>270.75</v>
      </c>
      <c r="M1897" s="3">
        <v>284.29</v>
      </c>
      <c r="N1897" s="3">
        <v>569</v>
      </c>
      <c r="O1897" s="2" t="s">
        <v>243</v>
      </c>
      <c r="P1897" s="2" t="s">
        <v>1985</v>
      </c>
      <c r="Q1897" s="2" t="s">
        <v>237</v>
      </c>
      <c r="R1897" s="2" t="s">
        <v>231</v>
      </c>
      <c r="S1897" s="2" t="s">
        <v>231</v>
      </c>
      <c r="T1897" s="2" t="s">
        <v>231</v>
      </c>
      <c r="U1897" s="2" t="s">
        <v>327</v>
      </c>
      <c r="V1897" s="2" t="s">
        <v>239</v>
      </c>
      <c r="W1897" s="2" t="s">
        <v>676</v>
      </c>
      <c r="X1897" s="2" t="s">
        <v>231</v>
      </c>
      <c r="Y1897" s="2" t="s">
        <v>1049</v>
      </c>
      <c r="Z1897" s="4">
        <v>87</v>
      </c>
      <c r="AA1897" s="4">
        <f>=ROUNDDOWN(54.375,0)</f>
      </c>
      <c r="AB1897" s="5">
        <v>1.6</v>
      </c>
      <c r="AC1897" s="2" t="s">
        <v>231</v>
      </c>
      <c r="AD1897" s="4"/>
      <c r="AE1897" s="4"/>
      <c r="AF1897" s="6">
        <v>66</v>
      </c>
      <c r="AG1897" s="6"/>
      <c r="AH1897" s="7">
        <v>1</v>
      </c>
      <c r="AI1897" s="4"/>
      <c r="AJ1897" s="4">
        <f>=ROUNDDOWN({0},0)</f>
      </c>
      <c r="AK1897" s="5"/>
      <c r="AL1897" s="2" t="s">
        <v>231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7</v>
      </c>
      <c r="BK1897" s="8">
        <v>1477.02</v>
      </c>
      <c r="BL1897" s="2" t="s">
        <v>5426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8614</v>
      </c>
      <c r="BV1897" s="2" t="s">
        <v>231</v>
      </c>
      <c r="BW1897" s="2" t="s">
        <v>231</v>
      </c>
      <c r="BX1897" s="2" t="s">
        <v>231</v>
      </c>
      <c r="BY1897" s="2" t="s">
        <v>277</v>
      </c>
      <c r="BZ1897" s="2" t="s">
        <v>243</v>
      </c>
      <c r="CA1897" s="2" t="s">
        <v>2502</v>
      </c>
      <c r="CB1897" s="2" t="s">
        <v>8615</v>
      </c>
      <c r="CC1897" s="2" t="s">
        <v>244</v>
      </c>
      <c r="CD1897" s="2" t="s">
        <v>231</v>
      </c>
      <c r="CE1897" s="4"/>
      <c r="CF1897" s="4">
        <v>87</v>
      </c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/>
      <c r="HJ1897" s="4"/>
      <c r="HK1897" s="4"/>
      <c r="HL1897" s="4"/>
    </row>
    <row r="1898">
      <c r="A1898" s="2" t="s">
        <v>8616</v>
      </c>
      <c r="B1898" s="2" t="s">
        <v>824</v>
      </c>
      <c r="C1898" s="2" t="s">
        <v>825</v>
      </c>
      <c r="D1898" s="2" t="s">
        <v>654</v>
      </c>
      <c r="E1898" s="2" t="s">
        <v>890</v>
      </c>
      <c r="F1898" s="2" t="s">
        <v>8617</v>
      </c>
      <c r="G1898" s="2" t="s">
        <v>8618</v>
      </c>
      <c r="H1898" s="2" t="s">
        <v>3409</v>
      </c>
      <c r="I1898" s="2" t="s">
        <v>8619</v>
      </c>
      <c r="J1898" s="2" t="s">
        <v>832</v>
      </c>
      <c r="K1898" s="2" t="s">
        <v>3221</v>
      </c>
      <c r="L1898" s="3">
        <v>23.8</v>
      </c>
      <c r="M1898" s="3">
        <v>24.99</v>
      </c>
      <c r="N1898" s="3">
        <v>49.99</v>
      </c>
      <c r="O1898" s="2" t="s">
        <v>243</v>
      </c>
      <c r="P1898" s="2" t="s">
        <v>341</v>
      </c>
      <c r="Q1898" s="2" t="s">
        <v>237</v>
      </c>
      <c r="R1898" s="2" t="s">
        <v>231</v>
      </c>
      <c r="S1898" s="2" t="s">
        <v>8620</v>
      </c>
      <c r="T1898" s="2" t="s">
        <v>472</v>
      </c>
      <c r="U1898" s="2" t="s">
        <v>791</v>
      </c>
      <c r="V1898" s="2" t="s">
        <v>1192</v>
      </c>
      <c r="W1898" s="2" t="s">
        <v>273</v>
      </c>
      <c r="X1898" s="2" t="s">
        <v>231</v>
      </c>
      <c r="Y1898" s="2" t="s">
        <v>5685</v>
      </c>
      <c r="Z1898" s="4">
        <v>257</v>
      </c>
      <c r="AA1898" s="4">
        <f>=ROUNDDOWN(85.6666666666667,0)</f>
      </c>
      <c r="AB1898" s="5">
        <v>3</v>
      </c>
      <c r="AC1898" s="2" t="s">
        <v>231</v>
      </c>
      <c r="AD1898" s="4"/>
      <c r="AE1898" s="4"/>
      <c r="AF1898" s="6">
        <v>64</v>
      </c>
      <c r="AG1898" s="6"/>
      <c r="AH1898" s="7">
        <v>1</v>
      </c>
      <c r="AI1898" s="4"/>
      <c r="AJ1898" s="4">
        <f>=ROUNDDOWN({0},0)</f>
      </c>
      <c r="AK1898" s="5"/>
      <c r="AL1898" s="2" t="s">
        <v>231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 t="s">
        <v>231</v>
      </c>
      <c r="AW1898" s="8" t="s">
        <v>231</v>
      </c>
      <c r="AX1898" s="4" t="s">
        <v>231</v>
      </c>
      <c r="AY1898" s="8" t="s">
        <v>231</v>
      </c>
      <c r="AZ1898" s="7" t="s">
        <v>231</v>
      </c>
      <c r="BA1898" s="7" t="s">
        <v>231</v>
      </c>
      <c r="BB1898" s="7"/>
      <c r="BC1898" s="4" t="s">
        <v>231</v>
      </c>
      <c r="BD1898" s="8" t="s">
        <v>231</v>
      </c>
      <c r="BE1898" s="4" t="s">
        <v>231</v>
      </c>
      <c r="BF1898" s="8" t="s">
        <v>231</v>
      </c>
      <c r="BG1898" s="7" t="s">
        <v>231</v>
      </c>
      <c r="BH1898" s="7" t="s">
        <v>231</v>
      </c>
      <c r="BI1898" s="7"/>
      <c r="BJ1898" s="4">
        <v>26</v>
      </c>
      <c r="BK1898" s="8">
        <v>584.83</v>
      </c>
      <c r="BL1898" s="2" t="s">
        <v>8621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8622</v>
      </c>
      <c r="BV1898" s="2" t="s">
        <v>231</v>
      </c>
      <c r="BW1898" s="2" t="s">
        <v>231</v>
      </c>
      <c r="BX1898" s="2" t="s">
        <v>231</v>
      </c>
      <c r="BY1898" s="2" t="s">
        <v>277</v>
      </c>
      <c r="BZ1898" s="2" t="s">
        <v>243</v>
      </c>
      <c r="CA1898" s="2" t="s">
        <v>7072</v>
      </c>
      <c r="CB1898" s="2" t="s">
        <v>2079</v>
      </c>
      <c r="CC1898" s="2" t="s">
        <v>244</v>
      </c>
      <c r="CD1898" s="2" t="s">
        <v>231</v>
      </c>
      <c r="CE1898" s="4">
        <v>257</v>
      </c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/>
      <c r="HJ1898" s="4"/>
      <c r="HK1898" s="4"/>
      <c r="HL1898" s="4"/>
    </row>
    <row r="1899">
      <c r="A1899" s="2" t="s">
        <v>8623</v>
      </c>
      <c r="B1899" s="2" t="s">
        <v>824</v>
      </c>
      <c r="C1899" s="2" t="s">
        <v>825</v>
      </c>
      <c r="D1899" s="2" t="s">
        <v>654</v>
      </c>
      <c r="E1899" s="2" t="s">
        <v>890</v>
      </c>
      <c r="F1899" s="2" t="s">
        <v>8617</v>
      </c>
      <c r="G1899" s="2" t="s">
        <v>8618</v>
      </c>
      <c r="H1899" s="2" t="s">
        <v>3409</v>
      </c>
      <c r="I1899" s="2" t="s">
        <v>8619</v>
      </c>
      <c r="J1899" s="2" t="s">
        <v>658</v>
      </c>
      <c r="K1899" s="2" t="s">
        <v>3221</v>
      </c>
      <c r="L1899" s="3">
        <v>28.57</v>
      </c>
      <c r="M1899" s="3">
        <v>30</v>
      </c>
      <c r="N1899" s="3">
        <v>59.99</v>
      </c>
      <c r="O1899" s="2" t="s">
        <v>243</v>
      </c>
      <c r="P1899" s="2" t="s">
        <v>341</v>
      </c>
      <c r="Q1899" s="2" t="s">
        <v>237</v>
      </c>
      <c r="R1899" s="2" t="s">
        <v>231</v>
      </c>
      <c r="S1899" s="2" t="s">
        <v>8620</v>
      </c>
      <c r="T1899" s="2" t="s">
        <v>472</v>
      </c>
      <c r="U1899" s="2" t="s">
        <v>835</v>
      </c>
      <c r="V1899" s="2" t="s">
        <v>1192</v>
      </c>
      <c r="W1899" s="2" t="s">
        <v>273</v>
      </c>
      <c r="X1899" s="2" t="s">
        <v>231</v>
      </c>
      <c r="Y1899" s="2" t="s">
        <v>5685</v>
      </c>
      <c r="Z1899" s="4">
        <v>571</v>
      </c>
      <c r="AA1899" s="4">
        <f>=ROUNDDOWN(95.1666666666667,0)</f>
      </c>
      <c r="AB1899" s="5">
        <v>6</v>
      </c>
      <c r="AC1899" s="2" t="s">
        <v>231</v>
      </c>
      <c r="AD1899" s="4"/>
      <c r="AE1899" s="4"/>
      <c r="AF1899" s="6">
        <v>64</v>
      </c>
      <c r="AG1899" s="6"/>
      <c r="AH1899" s="7">
        <v>1</v>
      </c>
      <c r="AI1899" s="4"/>
      <c r="AJ1899" s="4">
        <f>=ROUNDDOWN({0},0)</f>
      </c>
      <c r="AK1899" s="5"/>
      <c r="AL1899" s="2" t="s">
        <v>231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 t="s">
        <v>231</v>
      </c>
      <c r="AW1899" s="8" t="s">
        <v>231</v>
      </c>
      <c r="AX1899" s="4" t="s">
        <v>231</v>
      </c>
      <c r="AY1899" s="8" t="s">
        <v>231</v>
      </c>
      <c r="AZ1899" s="7" t="s">
        <v>231</v>
      </c>
      <c r="BA1899" s="7" t="s">
        <v>231</v>
      </c>
      <c r="BB1899" s="7"/>
      <c r="BC1899" s="4" t="s">
        <v>231</v>
      </c>
      <c r="BD1899" s="8" t="s">
        <v>231</v>
      </c>
      <c r="BE1899" s="4" t="s">
        <v>231</v>
      </c>
      <c r="BF1899" s="8" t="s">
        <v>231</v>
      </c>
      <c r="BG1899" s="7" t="s">
        <v>231</v>
      </c>
      <c r="BH1899" s="7" t="s">
        <v>231</v>
      </c>
      <c r="BI1899" s="7"/>
      <c r="BJ1899" s="4">
        <v>24</v>
      </c>
      <c r="BK1899" s="8">
        <v>517.74</v>
      </c>
      <c r="BL1899" s="2" t="s">
        <v>399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8624</v>
      </c>
      <c r="BV1899" s="2" t="s">
        <v>231</v>
      </c>
      <c r="BW1899" s="2" t="s">
        <v>231</v>
      </c>
      <c r="BX1899" s="2" t="s">
        <v>231</v>
      </c>
      <c r="BY1899" s="2" t="s">
        <v>277</v>
      </c>
      <c r="BZ1899" s="2" t="s">
        <v>243</v>
      </c>
      <c r="CA1899" s="2" t="s">
        <v>7072</v>
      </c>
      <c r="CB1899" s="2" t="s">
        <v>8625</v>
      </c>
      <c r="CC1899" s="2" t="s">
        <v>244</v>
      </c>
      <c r="CD1899" s="2" t="s">
        <v>231</v>
      </c>
      <c r="CE1899" s="4">
        <v>571</v>
      </c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/>
      <c r="HJ1899" s="4"/>
      <c r="HK1899" s="4"/>
      <c r="HL1899" s="4"/>
    </row>
    <row r="1900">
      <c r="A1900" s="2" t="s">
        <v>8626</v>
      </c>
      <c r="B1900" s="2" t="s">
        <v>262</v>
      </c>
      <c r="C1900" s="2" t="s">
        <v>263</v>
      </c>
      <c r="D1900" s="2" t="s">
        <v>654</v>
      </c>
      <c r="E1900" s="2" t="s">
        <v>1212</v>
      </c>
      <c r="F1900" s="2" t="s">
        <v>8627</v>
      </c>
      <c r="G1900" s="2" t="s">
        <v>8627</v>
      </c>
      <c r="H1900" s="2" t="s">
        <v>8627</v>
      </c>
      <c r="I1900" s="2" t="s">
        <v>8628</v>
      </c>
      <c r="J1900" s="2" t="s">
        <v>658</v>
      </c>
      <c r="K1900" s="2" t="s">
        <v>319</v>
      </c>
      <c r="L1900" s="3">
        <v>55</v>
      </c>
      <c r="M1900" s="3">
        <v>57.75</v>
      </c>
      <c r="N1900" s="3">
        <v>109.99</v>
      </c>
      <c r="O1900" s="2" t="s">
        <v>243</v>
      </c>
      <c r="P1900" s="2" t="s">
        <v>270</v>
      </c>
      <c r="Q1900" s="2" t="s">
        <v>237</v>
      </c>
      <c r="R1900" s="2" t="s">
        <v>231</v>
      </c>
      <c r="S1900" s="2" t="s">
        <v>8629</v>
      </c>
      <c r="T1900" s="2" t="s">
        <v>362</v>
      </c>
      <c r="U1900" s="2" t="s">
        <v>231</v>
      </c>
      <c r="V1900" s="2" t="s">
        <v>239</v>
      </c>
      <c r="W1900" s="2" t="s">
        <v>273</v>
      </c>
      <c r="X1900" s="2" t="s">
        <v>231</v>
      </c>
      <c r="Y1900" s="2" t="s">
        <v>274</v>
      </c>
      <c r="Z1900" s="4">
        <v>255</v>
      </c>
      <c r="AA1900" s="4">
        <f>=ROUNDDOWN(42.5,0)</f>
      </c>
      <c r="AB1900" s="5">
        <v>6</v>
      </c>
      <c r="AC1900" s="2" t="s">
        <v>1754</v>
      </c>
      <c r="AD1900" s="4">
        <v>30</v>
      </c>
      <c r="AE1900" s="4">
        <v>30</v>
      </c>
      <c r="AF1900" s="6">
        <v>66</v>
      </c>
      <c r="AG1900" s="6"/>
      <c r="AH1900" s="7">
        <v>1</v>
      </c>
      <c r="AI1900" s="4"/>
      <c r="AJ1900" s="4">
        <f>=ROUNDDOWN({0},0)</f>
      </c>
      <c r="AK1900" s="5"/>
      <c r="AL1900" s="2" t="s">
        <v>231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 t="s">
        <v>231</v>
      </c>
      <c r="AW1900" s="8" t="s">
        <v>231</v>
      </c>
      <c r="AX1900" s="4" t="s">
        <v>231</v>
      </c>
      <c r="AY1900" s="8" t="s">
        <v>231</v>
      </c>
      <c r="AZ1900" s="7" t="s">
        <v>231</v>
      </c>
      <c r="BA1900" s="7" t="s">
        <v>231</v>
      </c>
      <c r="BB1900" s="7"/>
      <c r="BC1900" s="4" t="s">
        <v>231</v>
      </c>
      <c r="BD1900" s="8" t="s">
        <v>231</v>
      </c>
      <c r="BE1900" s="4" t="s">
        <v>231</v>
      </c>
      <c r="BF1900" s="8" t="s">
        <v>231</v>
      </c>
      <c r="BG1900" s="7" t="s">
        <v>231</v>
      </c>
      <c r="BH1900" s="7" t="s">
        <v>231</v>
      </c>
      <c r="BI1900" s="7"/>
      <c r="BJ1900" s="4">
        <v>14</v>
      </c>
      <c r="BK1900" s="8">
        <v>760.7</v>
      </c>
      <c r="BL1900" s="2" t="s">
        <v>4084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8630</v>
      </c>
      <c r="BV1900" s="2" t="s">
        <v>231</v>
      </c>
      <c r="BW1900" s="2" t="s">
        <v>231</v>
      </c>
      <c r="BX1900" s="2" t="s">
        <v>231</v>
      </c>
      <c r="BY1900" s="2" t="s">
        <v>277</v>
      </c>
      <c r="BZ1900" s="2" t="s">
        <v>243</v>
      </c>
      <c r="CA1900" s="2" t="s">
        <v>284</v>
      </c>
      <c r="CB1900" s="2" t="s">
        <v>8631</v>
      </c>
      <c r="CC1900" s="2" t="s">
        <v>244</v>
      </c>
      <c r="CD1900" s="2" t="s">
        <v>231</v>
      </c>
      <c r="CE1900" s="4">
        <v>255</v>
      </c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>
        <v>30</v>
      </c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</row>
    <row r="1901">
      <c r="A1901" s="2" t="s">
        <v>8632</v>
      </c>
      <c r="B1901" s="2" t="s">
        <v>262</v>
      </c>
      <c r="C1901" s="2" t="s">
        <v>263</v>
      </c>
      <c r="D1901" s="2" t="s">
        <v>654</v>
      </c>
      <c r="E1901" s="2" t="s">
        <v>1212</v>
      </c>
      <c r="F1901" s="2" t="s">
        <v>8627</v>
      </c>
      <c r="G1901" s="2" t="s">
        <v>8627</v>
      </c>
      <c r="H1901" s="2" t="s">
        <v>8627</v>
      </c>
      <c r="I1901" s="2" t="s">
        <v>8628</v>
      </c>
      <c r="J1901" s="2" t="s">
        <v>302</v>
      </c>
      <c r="K1901" s="2" t="s">
        <v>319</v>
      </c>
      <c r="L1901" s="3">
        <v>65</v>
      </c>
      <c r="M1901" s="3">
        <v>68.25</v>
      </c>
      <c r="N1901" s="3">
        <v>129.99</v>
      </c>
      <c r="O1901" s="2" t="s">
        <v>243</v>
      </c>
      <c r="P1901" s="2" t="s">
        <v>270</v>
      </c>
      <c r="Q1901" s="2" t="s">
        <v>237</v>
      </c>
      <c r="R1901" s="2" t="s">
        <v>231</v>
      </c>
      <c r="S1901" s="2" t="s">
        <v>8629</v>
      </c>
      <c r="T1901" s="2" t="s">
        <v>362</v>
      </c>
      <c r="U1901" s="2" t="s">
        <v>231</v>
      </c>
      <c r="V1901" s="2" t="s">
        <v>239</v>
      </c>
      <c r="W1901" s="2" t="s">
        <v>273</v>
      </c>
      <c r="X1901" s="2" t="s">
        <v>231</v>
      </c>
      <c r="Y1901" s="2" t="s">
        <v>274</v>
      </c>
      <c r="Z1901" s="4">
        <v>207</v>
      </c>
      <c r="AA1901" s="4">
        <f>=ROUNDDOWN(41.4,0)</f>
      </c>
      <c r="AB1901" s="5">
        <v>5</v>
      </c>
      <c r="AC1901" s="2" t="s">
        <v>1754</v>
      </c>
      <c r="AD1901" s="4">
        <v>30</v>
      </c>
      <c r="AE1901" s="4">
        <v>30</v>
      </c>
      <c r="AF1901" s="6">
        <v>66</v>
      </c>
      <c r="AG1901" s="6"/>
      <c r="AH1901" s="7">
        <v>1</v>
      </c>
      <c r="AI1901" s="4"/>
      <c r="AJ1901" s="4">
        <f>=ROUNDDOWN({0},0)</f>
      </c>
      <c r="AK1901" s="5"/>
      <c r="AL1901" s="2" t="s">
        <v>231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 t="s">
        <v>231</v>
      </c>
      <c r="AW1901" s="8" t="s">
        <v>231</v>
      </c>
      <c r="AX1901" s="4" t="s">
        <v>231</v>
      </c>
      <c r="AY1901" s="8" t="s">
        <v>231</v>
      </c>
      <c r="AZ1901" s="7" t="s">
        <v>231</v>
      </c>
      <c r="BA1901" s="7" t="s">
        <v>231</v>
      </c>
      <c r="BB1901" s="7"/>
      <c r="BC1901" s="4" t="s">
        <v>231</v>
      </c>
      <c r="BD1901" s="8" t="s">
        <v>231</v>
      </c>
      <c r="BE1901" s="4" t="s">
        <v>231</v>
      </c>
      <c r="BF1901" s="8" t="s">
        <v>231</v>
      </c>
      <c r="BG1901" s="7" t="s">
        <v>231</v>
      </c>
      <c r="BH1901" s="7" t="s">
        <v>231</v>
      </c>
      <c r="BI1901" s="7"/>
      <c r="BJ1901" s="4">
        <v>10</v>
      </c>
      <c r="BK1901" s="8">
        <v>661.11</v>
      </c>
      <c r="BL1901" s="2" t="s">
        <v>988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8633</v>
      </c>
      <c r="BV1901" s="2" t="s">
        <v>231</v>
      </c>
      <c r="BW1901" s="2" t="s">
        <v>231</v>
      </c>
      <c r="BX1901" s="2" t="s">
        <v>231</v>
      </c>
      <c r="BY1901" s="2" t="s">
        <v>277</v>
      </c>
      <c r="BZ1901" s="2" t="s">
        <v>243</v>
      </c>
      <c r="CA1901" s="2" t="s">
        <v>284</v>
      </c>
      <c r="CB1901" s="2" t="s">
        <v>6696</v>
      </c>
      <c r="CC1901" s="2" t="s">
        <v>244</v>
      </c>
      <c r="CD1901" s="2" t="s">
        <v>231</v>
      </c>
      <c r="CE1901" s="4">
        <v>207</v>
      </c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>
        <v>30</v>
      </c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</row>
    <row r="1902">
      <c r="A1902" s="2" t="s">
        <v>8634</v>
      </c>
      <c r="B1902" s="2" t="s">
        <v>1004</v>
      </c>
      <c r="C1902" s="2" t="s">
        <v>288</v>
      </c>
      <c r="D1902" s="2" t="s">
        <v>1689</v>
      </c>
      <c r="E1902" s="2" t="s">
        <v>1690</v>
      </c>
      <c r="F1902" s="2" t="s">
        <v>8635</v>
      </c>
      <c r="G1902" s="2" t="s">
        <v>8636</v>
      </c>
      <c r="H1902" s="2" t="s">
        <v>8295</v>
      </c>
      <c r="I1902" s="2" t="s">
        <v>8637</v>
      </c>
      <c r="J1902" s="2" t="s">
        <v>807</v>
      </c>
      <c r="K1902" s="2" t="s">
        <v>8019</v>
      </c>
      <c r="L1902" s="3">
        <v>207</v>
      </c>
      <c r="M1902" s="3">
        <v>217.35</v>
      </c>
      <c r="N1902" s="3">
        <v>439</v>
      </c>
      <c r="O1902" s="2" t="s">
        <v>243</v>
      </c>
      <c r="P1902" s="2" t="s">
        <v>1985</v>
      </c>
      <c r="Q1902" s="2" t="s">
        <v>237</v>
      </c>
      <c r="R1902" s="2" t="s">
        <v>231</v>
      </c>
      <c r="S1902" s="2" t="s">
        <v>8638</v>
      </c>
      <c r="T1902" s="2" t="s">
        <v>231</v>
      </c>
      <c r="U1902" s="2" t="s">
        <v>231</v>
      </c>
      <c r="V1902" s="2" t="s">
        <v>239</v>
      </c>
      <c r="W1902" s="2" t="s">
        <v>792</v>
      </c>
      <c r="X1902" s="2" t="s">
        <v>231</v>
      </c>
      <c r="Y1902" s="2" t="s">
        <v>274</v>
      </c>
      <c r="Z1902" s="4">
        <v>45</v>
      </c>
      <c r="AA1902" s="4">
        <f>=ROUNDDOWN(11.25,0)</f>
      </c>
      <c r="AB1902" s="5">
        <v>4</v>
      </c>
      <c r="AC1902" s="2" t="s">
        <v>876</v>
      </c>
      <c r="AD1902" s="4">
        <v>10</v>
      </c>
      <c r="AE1902" s="4">
        <v>170</v>
      </c>
      <c r="AF1902" s="6">
        <v>74</v>
      </c>
      <c r="AG1902" s="6"/>
      <c r="AH1902" s="7">
        <v>1</v>
      </c>
      <c r="AI1902" s="4"/>
      <c r="AJ1902" s="4">
        <f>=ROUNDDOWN({0},0)</f>
      </c>
      <c r="AK1902" s="5"/>
      <c r="AL1902" s="2" t="s">
        <v>231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4</v>
      </c>
      <c r="BK1902" s="8">
        <v>814.21</v>
      </c>
      <c r="BL1902" s="2" t="s">
        <v>8639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8640</v>
      </c>
      <c r="BV1902" s="2" t="s">
        <v>231</v>
      </c>
      <c r="BW1902" s="2" t="s">
        <v>231</v>
      </c>
      <c r="BX1902" s="2" t="s">
        <v>241</v>
      </c>
      <c r="BY1902" s="2" t="s">
        <v>277</v>
      </c>
      <c r="BZ1902" s="2" t="s">
        <v>243</v>
      </c>
      <c r="CA1902" s="2" t="s">
        <v>1709</v>
      </c>
      <c r="CB1902" s="2" t="s">
        <v>4478</v>
      </c>
      <c r="CC1902" s="2" t="s">
        <v>244</v>
      </c>
      <c r="CD1902" s="2" t="s">
        <v>231</v>
      </c>
      <c r="CE1902" s="4"/>
      <c r="CF1902" s="4">
        <v>45</v>
      </c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>
        <v>10</v>
      </c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>
        <v>60</v>
      </c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>
        <v>100</v>
      </c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</row>
    <row r="1903">
      <c r="A1903" s="2" t="s">
        <v>8641</v>
      </c>
      <c r="B1903" s="2" t="s">
        <v>992</v>
      </c>
      <c r="C1903" s="2" t="s">
        <v>1439</v>
      </c>
      <c r="D1903" s="2" t="s">
        <v>993</v>
      </c>
      <c r="E1903" s="2" t="s">
        <v>994</v>
      </c>
      <c r="F1903" s="2" t="s">
        <v>7982</v>
      </c>
      <c r="G1903" s="2" t="s">
        <v>8642</v>
      </c>
      <c r="H1903" s="2" t="s">
        <v>8643</v>
      </c>
      <c r="I1903" s="2" t="s">
        <v>8644</v>
      </c>
      <c r="J1903" s="2" t="s">
        <v>1586</v>
      </c>
      <c r="K1903" s="2" t="s">
        <v>8645</v>
      </c>
      <c r="L1903" s="3">
        <v>18</v>
      </c>
      <c r="M1903" s="3">
        <v>18.9</v>
      </c>
      <c r="N1903" s="3">
        <v>39.99</v>
      </c>
      <c r="O1903" s="2" t="s">
        <v>243</v>
      </c>
      <c r="P1903" s="2" t="s">
        <v>917</v>
      </c>
      <c r="Q1903" s="2" t="s">
        <v>237</v>
      </c>
      <c r="R1903" s="2" t="s">
        <v>231</v>
      </c>
      <c r="S1903" s="2" t="s">
        <v>8646</v>
      </c>
      <c r="T1903" s="2" t="s">
        <v>231</v>
      </c>
      <c r="U1903" s="2" t="s">
        <v>231</v>
      </c>
      <c r="V1903" s="2" t="s">
        <v>239</v>
      </c>
      <c r="W1903" s="2" t="s">
        <v>273</v>
      </c>
      <c r="X1903" s="2" t="s">
        <v>231</v>
      </c>
      <c r="Y1903" s="2" t="s">
        <v>7526</v>
      </c>
      <c r="Z1903" s="4">
        <v>1</v>
      </c>
      <c r="AA1903" s="4">
        <f>=ROUNDDOWN(1.66666666666667,0)</f>
      </c>
      <c r="AB1903" s="5">
        <v>0.6</v>
      </c>
      <c r="AC1903" s="2" t="s">
        <v>231</v>
      </c>
      <c r="AD1903" s="4"/>
      <c r="AE1903" s="4"/>
      <c r="AF1903" s="6">
        <v>65</v>
      </c>
      <c r="AG1903" s="6"/>
      <c r="AH1903" s="7">
        <v>0.9032</v>
      </c>
      <c r="AI1903" s="4"/>
      <c r="AJ1903" s="4">
        <f>=ROUNDDOWN({0},0)</f>
      </c>
      <c r="AK1903" s="5"/>
      <c r="AL1903" s="2" t="s">
        <v>231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 t="s">
        <v>231</v>
      </c>
      <c r="AW1903" s="8" t="s">
        <v>231</v>
      </c>
      <c r="AX1903" s="4" t="s">
        <v>231</v>
      </c>
      <c r="AY1903" s="8" t="s">
        <v>231</v>
      </c>
      <c r="AZ1903" s="7" t="s">
        <v>231</v>
      </c>
      <c r="BA1903" s="7" t="s">
        <v>231</v>
      </c>
      <c r="BB1903" s="7"/>
      <c r="BC1903" s="4" t="s">
        <v>231</v>
      </c>
      <c r="BD1903" s="8" t="s">
        <v>231</v>
      </c>
      <c r="BE1903" s="4" t="s">
        <v>231</v>
      </c>
      <c r="BF1903" s="8" t="s">
        <v>231</v>
      </c>
      <c r="BG1903" s="7" t="s">
        <v>231</v>
      </c>
      <c r="BH1903" s="7" t="s">
        <v>231</v>
      </c>
      <c r="BI1903" s="7"/>
      <c r="BJ1903" s="4">
        <v>3</v>
      </c>
      <c r="BK1903" s="8">
        <v>78.53</v>
      </c>
      <c r="BL1903" s="2" t="s">
        <v>8647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8648</v>
      </c>
      <c r="BV1903" s="2" t="s">
        <v>231</v>
      </c>
      <c r="BW1903" s="2" t="s">
        <v>231</v>
      </c>
      <c r="BX1903" s="2" t="s">
        <v>231</v>
      </c>
      <c r="BY1903" s="2" t="s">
        <v>277</v>
      </c>
      <c r="BZ1903" s="2" t="s">
        <v>243</v>
      </c>
      <c r="CA1903" s="2" t="s">
        <v>7528</v>
      </c>
      <c r="CB1903" s="2" t="s">
        <v>8649</v>
      </c>
      <c r="CC1903" s="2" t="s">
        <v>244</v>
      </c>
      <c r="CD1903" s="2" t="s">
        <v>231</v>
      </c>
      <c r="CE1903" s="4">
        <v>1</v>
      </c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</row>
    <row r="1904">
      <c r="A1904" s="2" t="s">
        <v>8650</v>
      </c>
      <c r="B1904" s="2" t="s">
        <v>992</v>
      </c>
      <c r="C1904" s="2" t="s">
        <v>1439</v>
      </c>
      <c r="D1904" s="2" t="s">
        <v>993</v>
      </c>
      <c r="E1904" s="2" t="s">
        <v>994</v>
      </c>
      <c r="F1904" s="2" t="s">
        <v>7982</v>
      </c>
      <c r="G1904" s="2" t="s">
        <v>8642</v>
      </c>
      <c r="H1904" s="2" t="s">
        <v>8643</v>
      </c>
      <c r="I1904" s="2" t="s">
        <v>8644</v>
      </c>
      <c r="J1904" s="2" t="s">
        <v>8651</v>
      </c>
      <c r="K1904" s="2" t="s">
        <v>8645</v>
      </c>
      <c r="L1904" s="3">
        <v>12.76</v>
      </c>
      <c r="M1904" s="3">
        <v>13.4</v>
      </c>
      <c r="N1904" s="3">
        <v>28.99</v>
      </c>
      <c r="O1904" s="2" t="s">
        <v>243</v>
      </c>
      <c r="P1904" s="2" t="s">
        <v>270</v>
      </c>
      <c r="Q1904" s="2" t="s">
        <v>237</v>
      </c>
      <c r="R1904" s="2" t="s">
        <v>231</v>
      </c>
      <c r="S1904" s="2" t="s">
        <v>8652</v>
      </c>
      <c r="T1904" s="2" t="s">
        <v>231</v>
      </c>
      <c r="U1904" s="2" t="s">
        <v>231</v>
      </c>
      <c r="V1904" s="2" t="s">
        <v>239</v>
      </c>
      <c r="W1904" s="2" t="s">
        <v>273</v>
      </c>
      <c r="X1904" s="2" t="s">
        <v>2579</v>
      </c>
      <c r="Y1904" s="2" t="s">
        <v>7526</v>
      </c>
      <c r="Z1904" s="4">
        <v>87</v>
      </c>
      <c r="AA1904" s="4">
        <f>=ROUNDDOWN(21.75,0)</f>
      </c>
      <c r="AB1904" s="5">
        <v>4</v>
      </c>
      <c r="AC1904" s="2" t="s">
        <v>231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231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 t="s">
        <v>231</v>
      </c>
      <c r="AW1904" s="8" t="s">
        <v>231</v>
      </c>
      <c r="AX1904" s="4" t="s">
        <v>231</v>
      </c>
      <c r="AY1904" s="8" t="s">
        <v>231</v>
      </c>
      <c r="AZ1904" s="7" t="s">
        <v>231</v>
      </c>
      <c r="BA1904" s="7" t="s">
        <v>231</v>
      </c>
      <c r="BB1904" s="7"/>
      <c r="BC1904" s="4" t="s">
        <v>231</v>
      </c>
      <c r="BD1904" s="8" t="s">
        <v>231</v>
      </c>
      <c r="BE1904" s="4" t="s">
        <v>231</v>
      </c>
      <c r="BF1904" s="8" t="s">
        <v>231</v>
      </c>
      <c r="BG1904" s="7" t="s">
        <v>231</v>
      </c>
      <c r="BH1904" s="7" t="s">
        <v>231</v>
      </c>
      <c r="BI1904" s="7"/>
      <c r="BJ1904" s="4">
        <v>26</v>
      </c>
      <c r="BK1904" s="8">
        <v>323.07</v>
      </c>
      <c r="BL1904" s="2" t="s">
        <v>8653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8654</v>
      </c>
      <c r="BV1904" s="2" t="s">
        <v>231</v>
      </c>
      <c r="BW1904" s="2" t="s">
        <v>231</v>
      </c>
      <c r="BX1904" s="2" t="s">
        <v>231</v>
      </c>
      <c r="BY1904" s="2" t="s">
        <v>277</v>
      </c>
      <c r="BZ1904" s="2" t="s">
        <v>243</v>
      </c>
      <c r="CA1904" s="2" t="s">
        <v>7528</v>
      </c>
      <c r="CB1904" s="2" t="s">
        <v>1950</v>
      </c>
      <c r="CC1904" s="2" t="s">
        <v>244</v>
      </c>
      <c r="CD1904" s="2" t="s">
        <v>231</v>
      </c>
      <c r="CE1904" s="4">
        <v>87</v>
      </c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</row>
    <row r="1905">
      <c r="A1905" s="2" t="s">
        <v>8655</v>
      </c>
      <c r="B1905" s="2" t="s">
        <v>992</v>
      </c>
      <c r="C1905" s="2" t="s">
        <v>1439</v>
      </c>
      <c r="D1905" s="2" t="s">
        <v>993</v>
      </c>
      <c r="E1905" s="2" t="s">
        <v>994</v>
      </c>
      <c r="F1905" s="2" t="s">
        <v>7982</v>
      </c>
      <c r="G1905" s="2" t="s">
        <v>8642</v>
      </c>
      <c r="H1905" s="2" t="s">
        <v>8643</v>
      </c>
      <c r="I1905" s="2" t="s">
        <v>8644</v>
      </c>
      <c r="J1905" s="2" t="s">
        <v>996</v>
      </c>
      <c r="K1905" s="2" t="s">
        <v>452</v>
      </c>
      <c r="L1905" s="3">
        <v>16.28</v>
      </c>
      <c r="M1905" s="3">
        <v>17.09</v>
      </c>
      <c r="N1905" s="3">
        <v>36.99</v>
      </c>
      <c r="O1905" s="2" t="s">
        <v>243</v>
      </c>
      <c r="P1905" s="2" t="s">
        <v>270</v>
      </c>
      <c r="Q1905" s="2" t="s">
        <v>237</v>
      </c>
      <c r="R1905" s="2" t="s">
        <v>231</v>
      </c>
      <c r="S1905" s="2" t="s">
        <v>8656</v>
      </c>
      <c r="T1905" s="2" t="s">
        <v>231</v>
      </c>
      <c r="U1905" s="2" t="s">
        <v>231</v>
      </c>
      <c r="V1905" s="2" t="s">
        <v>239</v>
      </c>
      <c r="W1905" s="2" t="s">
        <v>273</v>
      </c>
      <c r="X1905" s="2" t="s">
        <v>2579</v>
      </c>
      <c r="Y1905" s="2" t="s">
        <v>7526</v>
      </c>
      <c r="Z1905" s="4">
        <v>458</v>
      </c>
      <c r="AA1905" s="4">
        <f>=ROUNDDOWN(41.6363636363636,0)</f>
      </c>
      <c r="AB1905" s="5">
        <v>11</v>
      </c>
      <c r="AC1905" s="2" t="s">
        <v>231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231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 t="s">
        <v>231</v>
      </c>
      <c r="AW1905" s="8" t="s">
        <v>231</v>
      </c>
      <c r="AX1905" s="4" t="s">
        <v>231</v>
      </c>
      <c r="AY1905" s="8" t="s">
        <v>231</v>
      </c>
      <c r="AZ1905" s="7" t="s">
        <v>231</v>
      </c>
      <c r="BA1905" s="7" t="s">
        <v>231</v>
      </c>
      <c r="BB1905" s="7"/>
      <c r="BC1905" s="4" t="s">
        <v>231</v>
      </c>
      <c r="BD1905" s="8" t="s">
        <v>231</v>
      </c>
      <c r="BE1905" s="4" t="s">
        <v>231</v>
      </c>
      <c r="BF1905" s="8" t="s">
        <v>231</v>
      </c>
      <c r="BG1905" s="7" t="s">
        <v>231</v>
      </c>
      <c r="BH1905" s="7" t="s">
        <v>231</v>
      </c>
      <c r="BI1905" s="7"/>
      <c r="BJ1905" s="4">
        <v>26</v>
      </c>
      <c r="BK1905" s="8">
        <v>453.58</v>
      </c>
      <c r="BL1905" s="2" t="s">
        <v>8657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8658</v>
      </c>
      <c r="BV1905" s="2" t="s">
        <v>231</v>
      </c>
      <c r="BW1905" s="2" t="s">
        <v>231</v>
      </c>
      <c r="BX1905" s="2" t="s">
        <v>231</v>
      </c>
      <c r="BY1905" s="2" t="s">
        <v>277</v>
      </c>
      <c r="BZ1905" s="2" t="s">
        <v>243</v>
      </c>
      <c r="CA1905" s="2" t="s">
        <v>7528</v>
      </c>
      <c r="CB1905" s="2" t="s">
        <v>4390</v>
      </c>
      <c r="CC1905" s="2" t="s">
        <v>244</v>
      </c>
      <c r="CD1905" s="2" t="s">
        <v>231</v>
      </c>
      <c r="CE1905" s="4">
        <v>458</v>
      </c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/>
      <c r="HK1905" s="4"/>
      <c r="HL1905" s="4"/>
    </row>
    <row r="1906">
      <c r="A1906" s="2" t="s">
        <v>8659</v>
      </c>
      <c r="B1906" s="2" t="s">
        <v>992</v>
      </c>
      <c r="C1906" s="2" t="s">
        <v>1439</v>
      </c>
      <c r="D1906" s="2" t="s">
        <v>993</v>
      </c>
      <c r="E1906" s="2" t="s">
        <v>994</v>
      </c>
      <c r="F1906" s="2" t="s">
        <v>7982</v>
      </c>
      <c r="G1906" s="2" t="s">
        <v>8642</v>
      </c>
      <c r="H1906" s="2" t="s">
        <v>8643</v>
      </c>
      <c r="I1906" s="2" t="s">
        <v>8644</v>
      </c>
      <c r="J1906" s="2" t="s">
        <v>8651</v>
      </c>
      <c r="K1906" s="2" t="s">
        <v>452</v>
      </c>
      <c r="L1906" s="3">
        <v>12.76</v>
      </c>
      <c r="M1906" s="3">
        <v>13.4</v>
      </c>
      <c r="N1906" s="3">
        <v>28.99</v>
      </c>
      <c r="O1906" s="2" t="s">
        <v>243</v>
      </c>
      <c r="P1906" s="2" t="s">
        <v>270</v>
      </c>
      <c r="Q1906" s="2" t="s">
        <v>237</v>
      </c>
      <c r="R1906" s="2" t="s">
        <v>231</v>
      </c>
      <c r="S1906" s="2" t="s">
        <v>8656</v>
      </c>
      <c r="T1906" s="2" t="s">
        <v>231</v>
      </c>
      <c r="U1906" s="2" t="s">
        <v>231</v>
      </c>
      <c r="V1906" s="2" t="s">
        <v>239</v>
      </c>
      <c r="W1906" s="2" t="s">
        <v>273</v>
      </c>
      <c r="X1906" s="2" t="s">
        <v>2579</v>
      </c>
      <c r="Y1906" s="2" t="s">
        <v>7526</v>
      </c>
      <c r="Z1906" s="4">
        <v>358</v>
      </c>
      <c r="AA1906" s="4">
        <f>=ROUNDDOWN(39.7777777777778,0)</f>
      </c>
      <c r="AB1906" s="5">
        <v>9</v>
      </c>
      <c r="AC1906" s="2" t="s">
        <v>231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231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 t="s">
        <v>231</v>
      </c>
      <c r="AW1906" s="8" t="s">
        <v>231</v>
      </c>
      <c r="AX1906" s="4" t="s">
        <v>231</v>
      </c>
      <c r="AY1906" s="8" t="s">
        <v>231</v>
      </c>
      <c r="AZ1906" s="7" t="s">
        <v>231</v>
      </c>
      <c r="BA1906" s="7" t="s">
        <v>231</v>
      </c>
      <c r="BB1906" s="7"/>
      <c r="BC1906" s="4" t="s">
        <v>231</v>
      </c>
      <c r="BD1906" s="8" t="s">
        <v>231</v>
      </c>
      <c r="BE1906" s="4" t="s">
        <v>231</v>
      </c>
      <c r="BF1906" s="8" t="s">
        <v>231</v>
      </c>
      <c r="BG1906" s="7" t="s">
        <v>231</v>
      </c>
      <c r="BH1906" s="7" t="s">
        <v>231</v>
      </c>
      <c r="BI1906" s="7"/>
      <c r="BJ1906" s="4">
        <v>35</v>
      </c>
      <c r="BK1906" s="8">
        <v>506.1</v>
      </c>
      <c r="BL1906" s="2" t="s">
        <v>8660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8661</v>
      </c>
      <c r="BV1906" s="2" t="s">
        <v>231</v>
      </c>
      <c r="BW1906" s="2" t="s">
        <v>231</v>
      </c>
      <c r="BX1906" s="2" t="s">
        <v>231</v>
      </c>
      <c r="BY1906" s="2" t="s">
        <v>277</v>
      </c>
      <c r="BZ1906" s="2" t="s">
        <v>243</v>
      </c>
      <c r="CA1906" s="2" t="s">
        <v>7528</v>
      </c>
      <c r="CB1906" s="2" t="s">
        <v>4397</v>
      </c>
      <c r="CC1906" s="2" t="s">
        <v>244</v>
      </c>
      <c r="CD1906" s="2" t="s">
        <v>231</v>
      </c>
      <c r="CE1906" s="4">
        <v>358</v>
      </c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/>
      <c r="HK1906" s="4"/>
      <c r="HL1906" s="4"/>
    </row>
    <row r="1907">
      <c r="A1907" s="2" t="s">
        <v>8662</v>
      </c>
      <c r="B1907" s="2" t="s">
        <v>1186</v>
      </c>
      <c r="C1907" s="2" t="s">
        <v>1836</v>
      </c>
      <c r="D1907" s="2" t="s">
        <v>654</v>
      </c>
      <c r="E1907" s="2" t="s">
        <v>655</v>
      </c>
      <c r="F1907" s="2" t="s">
        <v>8663</v>
      </c>
      <c r="G1907" s="2" t="s">
        <v>8663</v>
      </c>
      <c r="H1907" s="2" t="s">
        <v>8663</v>
      </c>
      <c r="I1907" s="2" t="s">
        <v>8664</v>
      </c>
      <c r="J1907" s="2" t="s">
        <v>669</v>
      </c>
      <c r="K1907" s="2" t="s">
        <v>1169</v>
      </c>
      <c r="L1907" s="3">
        <v>105.59</v>
      </c>
      <c r="M1907" s="3">
        <v>110.87</v>
      </c>
      <c r="N1907" s="3">
        <v>224.99</v>
      </c>
      <c r="O1907" s="2" t="s">
        <v>243</v>
      </c>
      <c r="P1907" s="2" t="s">
        <v>1985</v>
      </c>
      <c r="Q1907" s="2" t="s">
        <v>237</v>
      </c>
      <c r="R1907" s="2" t="s">
        <v>231</v>
      </c>
      <c r="S1907" s="2" t="s">
        <v>8665</v>
      </c>
      <c r="T1907" s="2" t="s">
        <v>362</v>
      </c>
      <c r="U1907" s="2" t="s">
        <v>661</v>
      </c>
      <c r="V1907" s="2" t="s">
        <v>381</v>
      </c>
      <c r="W1907" s="2" t="s">
        <v>792</v>
      </c>
      <c r="X1907" s="2" t="s">
        <v>896</v>
      </c>
      <c r="Y1907" s="2" t="s">
        <v>3711</v>
      </c>
      <c r="Z1907" s="4">
        <v>325</v>
      </c>
      <c r="AA1907" s="4">
        <f>=ROUNDDOWN(46.4285714285714,0)</f>
      </c>
      <c r="AB1907" s="5">
        <v>7</v>
      </c>
      <c r="AC1907" s="2" t="s">
        <v>231</v>
      </c>
      <c r="AD1907" s="4"/>
      <c r="AE1907" s="4"/>
      <c r="AF1907" s="6">
        <v>66</v>
      </c>
      <c r="AG1907" s="6"/>
      <c r="AH1907" s="7">
        <v>1</v>
      </c>
      <c r="AI1907" s="4"/>
      <c r="AJ1907" s="4">
        <f>=ROUNDDOWN({0},0)</f>
      </c>
      <c r="AK1907" s="5"/>
      <c r="AL1907" s="2" t="s">
        <v>231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31</v>
      </c>
      <c r="BK1907" s="8">
        <v>3345.3</v>
      </c>
      <c r="BL1907" s="2" t="s">
        <v>8666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8667</v>
      </c>
      <c r="BV1907" s="2" t="s">
        <v>231</v>
      </c>
      <c r="BW1907" s="2" t="s">
        <v>231</v>
      </c>
      <c r="BX1907" s="2" t="s">
        <v>231</v>
      </c>
      <c r="BY1907" s="2" t="s">
        <v>277</v>
      </c>
      <c r="BZ1907" s="2" t="s">
        <v>243</v>
      </c>
      <c r="CA1907" s="2" t="s">
        <v>3711</v>
      </c>
      <c r="CB1907" s="2" t="s">
        <v>8668</v>
      </c>
      <c r="CC1907" s="2" t="s">
        <v>244</v>
      </c>
      <c r="CD1907" s="2" t="s">
        <v>231</v>
      </c>
      <c r="CE1907" s="4">
        <v>325</v>
      </c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</row>
    <row r="1908">
      <c r="A1908" s="2" t="s">
        <v>8669</v>
      </c>
      <c r="B1908" s="2" t="s">
        <v>1186</v>
      </c>
      <c r="C1908" s="2" t="s">
        <v>2371</v>
      </c>
      <c r="D1908" s="2" t="s">
        <v>1139</v>
      </c>
      <c r="E1908" s="2" t="s">
        <v>1981</v>
      </c>
      <c r="F1908" s="2" t="s">
        <v>8670</v>
      </c>
      <c r="G1908" s="2" t="s">
        <v>8670</v>
      </c>
      <c r="H1908" s="2" t="s">
        <v>8670</v>
      </c>
      <c r="I1908" s="2" t="s">
        <v>2477</v>
      </c>
      <c r="J1908" s="2" t="s">
        <v>1145</v>
      </c>
      <c r="K1908" s="2" t="s">
        <v>253</v>
      </c>
      <c r="L1908" s="3">
        <v>24.76</v>
      </c>
      <c r="M1908" s="3">
        <v>26</v>
      </c>
      <c r="N1908" s="3">
        <v>79.99</v>
      </c>
      <c r="O1908" s="2" t="s">
        <v>243</v>
      </c>
      <c r="P1908" s="2" t="s">
        <v>341</v>
      </c>
      <c r="Q1908" s="2" t="s">
        <v>237</v>
      </c>
      <c r="R1908" s="2" t="s">
        <v>231</v>
      </c>
      <c r="S1908" s="2" t="s">
        <v>231</v>
      </c>
      <c r="T1908" s="2" t="s">
        <v>8019</v>
      </c>
      <c r="U1908" s="2" t="s">
        <v>231</v>
      </c>
      <c r="V1908" s="2" t="s">
        <v>381</v>
      </c>
      <c r="W1908" s="2" t="s">
        <v>792</v>
      </c>
      <c r="X1908" s="2" t="s">
        <v>231</v>
      </c>
      <c r="Y1908" s="2" t="s">
        <v>3023</v>
      </c>
      <c r="Z1908" s="4">
        <v>207</v>
      </c>
      <c r="AA1908" s="4">
        <f>=ROUNDDOWN(207,0)</f>
      </c>
      <c r="AB1908" s="5">
        <v>1</v>
      </c>
      <c r="AC1908" s="2" t="s">
        <v>231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231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>
        <v>2</v>
      </c>
      <c r="BK1908" s="8">
        <v>29.12</v>
      </c>
      <c r="BL1908" s="2" t="s">
        <v>1423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8671</v>
      </c>
      <c r="BV1908" s="2" t="s">
        <v>231</v>
      </c>
      <c r="BW1908" s="2" t="s">
        <v>231</v>
      </c>
      <c r="BX1908" s="2" t="s">
        <v>231</v>
      </c>
      <c r="BY1908" s="2" t="s">
        <v>277</v>
      </c>
      <c r="BZ1908" s="2" t="s">
        <v>243</v>
      </c>
      <c r="CA1908" s="2" t="s">
        <v>1620</v>
      </c>
      <c r="CB1908" s="2" t="s">
        <v>5872</v>
      </c>
      <c r="CC1908" s="2" t="s">
        <v>244</v>
      </c>
      <c r="CD1908" s="2" t="s">
        <v>231</v>
      </c>
      <c r="CE1908" s="4">
        <v>207</v>
      </c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</row>
    <row r="1909">
      <c r="A1909" s="2" t="s">
        <v>8672</v>
      </c>
      <c r="B1909" s="2" t="s">
        <v>1004</v>
      </c>
      <c r="C1909" s="2" t="s">
        <v>815</v>
      </c>
      <c r="D1909" s="2" t="s">
        <v>5985</v>
      </c>
      <c r="E1909" s="2" t="s">
        <v>5986</v>
      </c>
      <c r="F1909" s="2" t="s">
        <v>6615</v>
      </c>
      <c r="G1909" s="2" t="s">
        <v>6615</v>
      </c>
      <c r="H1909" s="2" t="s">
        <v>6615</v>
      </c>
      <c r="I1909" s="2" t="s">
        <v>8673</v>
      </c>
      <c r="J1909" s="2" t="s">
        <v>807</v>
      </c>
      <c r="K1909" s="2" t="s">
        <v>294</v>
      </c>
      <c r="L1909" s="3">
        <v>405</v>
      </c>
      <c r="M1909" s="3">
        <v>425.25</v>
      </c>
      <c r="N1909" s="3">
        <v>849</v>
      </c>
      <c r="O1909" s="2" t="s">
        <v>243</v>
      </c>
      <c r="P1909" s="2" t="s">
        <v>1985</v>
      </c>
      <c r="Q1909" s="2" t="s">
        <v>237</v>
      </c>
      <c r="R1909" s="2" t="s">
        <v>231</v>
      </c>
      <c r="S1909" s="2" t="s">
        <v>231</v>
      </c>
      <c r="T1909" s="2" t="s">
        <v>231</v>
      </c>
      <c r="U1909" s="2" t="s">
        <v>231</v>
      </c>
      <c r="V1909" s="2" t="s">
        <v>662</v>
      </c>
      <c r="W1909" s="2" t="s">
        <v>808</v>
      </c>
      <c r="X1909" s="2" t="s">
        <v>691</v>
      </c>
      <c r="Y1909" s="2" t="s">
        <v>1047</v>
      </c>
      <c r="Z1909" s="4">
        <v>39</v>
      </c>
      <c r="AA1909" s="4">
        <f>=ROUNDDOWN(20.5263157894737,0)</f>
      </c>
      <c r="AB1909" s="5">
        <v>1.9</v>
      </c>
      <c r="AC1909" s="2" t="s">
        <v>7677</v>
      </c>
      <c r="AD1909" s="4">
        <v>100</v>
      </c>
      <c r="AE1909" s="4">
        <v>100</v>
      </c>
      <c r="AF1909" s="6">
        <v>74</v>
      </c>
      <c r="AG1909" s="6"/>
      <c r="AH1909" s="7">
        <v>1</v>
      </c>
      <c r="AI1909" s="4"/>
      <c r="AJ1909" s="4">
        <f>=ROUNDDOWN({0},0)</f>
      </c>
      <c r="AK1909" s="5"/>
      <c r="AL1909" s="2" t="s">
        <v>231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231</v>
      </c>
      <c r="BD1909" s="8" t="s">
        <v>231</v>
      </c>
      <c r="BE1909" s="4" t="s">
        <v>231</v>
      </c>
      <c r="BF1909" s="8" t="s">
        <v>231</v>
      </c>
      <c r="BG1909" s="7" t="s">
        <v>231</v>
      </c>
      <c r="BH1909" s="7" t="s">
        <v>231</v>
      </c>
      <c r="BI1909" s="7"/>
      <c r="BJ1909" s="4">
        <v>7</v>
      </c>
      <c r="BK1909" s="8">
        <v>2218.63</v>
      </c>
      <c r="BL1909" s="2" t="s">
        <v>1013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8674</v>
      </c>
      <c r="BV1909" s="2" t="s">
        <v>231</v>
      </c>
      <c r="BW1909" s="2" t="s">
        <v>231</v>
      </c>
      <c r="BX1909" s="2" t="s">
        <v>1812</v>
      </c>
      <c r="BY1909" s="2" t="s">
        <v>277</v>
      </c>
      <c r="BZ1909" s="2" t="s">
        <v>243</v>
      </c>
      <c r="CA1909" s="2" t="s">
        <v>8675</v>
      </c>
      <c r="CB1909" s="2" t="s">
        <v>5753</v>
      </c>
      <c r="CC1909" s="2" t="s">
        <v>244</v>
      </c>
      <c r="CD1909" s="2" t="s">
        <v>231</v>
      </c>
      <c r="CE1909" s="4"/>
      <c r="CF1909" s="4">
        <v>39</v>
      </c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>
        <v>100</v>
      </c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/>
      <c r="HK1909" s="4"/>
      <c r="HL1909" s="4"/>
    </row>
    <row r="1910">
      <c r="A1910" s="2" t="s">
        <v>8676</v>
      </c>
      <c r="B1910" s="2" t="s">
        <v>824</v>
      </c>
      <c r="C1910" s="2" t="s">
        <v>1051</v>
      </c>
      <c r="D1910" s="2" t="s">
        <v>826</v>
      </c>
      <c r="E1910" s="2" t="s">
        <v>1060</v>
      </c>
      <c r="F1910" s="2" t="s">
        <v>6615</v>
      </c>
      <c r="G1910" s="2" t="s">
        <v>3189</v>
      </c>
      <c r="H1910" s="2" t="s">
        <v>8677</v>
      </c>
      <c r="I1910" s="2" t="s">
        <v>8678</v>
      </c>
      <c r="J1910" s="2" t="s">
        <v>669</v>
      </c>
      <c r="K1910" s="2" t="s">
        <v>253</v>
      </c>
      <c r="L1910" s="3">
        <v>65</v>
      </c>
      <c r="M1910" s="3">
        <v>68.25</v>
      </c>
      <c r="N1910" s="3">
        <v>129.99</v>
      </c>
      <c r="O1910" s="2" t="s">
        <v>250</v>
      </c>
      <c r="P1910" s="2" t="s">
        <v>341</v>
      </c>
      <c r="Q1910" s="2" t="s">
        <v>237</v>
      </c>
      <c r="R1910" s="2" t="s">
        <v>231</v>
      </c>
      <c r="S1910" s="2" t="s">
        <v>8679</v>
      </c>
      <c r="T1910" s="2" t="s">
        <v>362</v>
      </c>
      <c r="U1910" s="2" t="s">
        <v>835</v>
      </c>
      <c r="V1910" s="2" t="s">
        <v>239</v>
      </c>
      <c r="W1910" s="2" t="s">
        <v>691</v>
      </c>
      <c r="X1910" s="2" t="s">
        <v>8680</v>
      </c>
      <c r="Y1910" s="2" t="s">
        <v>8681</v>
      </c>
      <c r="Z1910" s="4"/>
      <c r="AA1910" s="4">
        <f>=ROUNDDOWN({0},0)</f>
      </c>
      <c r="AB1910" s="5"/>
      <c r="AC1910" s="2" t="s">
        <v>231</v>
      </c>
      <c r="AD1910" s="4"/>
      <c r="AE1910" s="4"/>
      <c r="AF1910" s="6"/>
      <c r="AG1910" s="6"/>
      <c r="AH1910" s="7">
        <v>0</v>
      </c>
      <c r="AI1910" s="4"/>
      <c r="AJ1910" s="4">
        <f>=ROUNDDOWN({0},0)</f>
      </c>
      <c r="AK1910" s="5"/>
      <c r="AL1910" s="2" t="s">
        <v>231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231</v>
      </c>
      <c r="BD1910" s="8" t="s">
        <v>231</v>
      </c>
      <c r="BE1910" s="4" t="s">
        <v>231</v>
      </c>
      <c r="BF1910" s="8" t="s">
        <v>231</v>
      </c>
      <c r="BG1910" s="7" t="s">
        <v>231</v>
      </c>
      <c r="BH1910" s="7" t="s">
        <v>231</v>
      </c>
      <c r="BI1910" s="7"/>
      <c r="BJ1910" s="4"/>
      <c r="BK1910" s="8"/>
      <c r="BL1910" s="2" t="s">
        <v>231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8682</v>
      </c>
      <c r="BV1910" s="2" t="s">
        <v>231</v>
      </c>
      <c r="BW1910" s="2" t="s">
        <v>231</v>
      </c>
      <c r="BX1910" s="2" t="s">
        <v>231</v>
      </c>
      <c r="BY1910" s="2" t="s">
        <v>277</v>
      </c>
      <c r="BZ1910" s="2" t="s">
        <v>243</v>
      </c>
      <c r="CA1910" s="2" t="s">
        <v>8681</v>
      </c>
      <c r="CB1910" s="2" t="s">
        <v>705</v>
      </c>
      <c r="CC1910" s="2" t="s">
        <v>244</v>
      </c>
      <c r="CD1910" s="2" t="s">
        <v>231</v>
      </c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/>
      <c r="HK1910" s="4"/>
      <c r="HL1910" s="4"/>
    </row>
    <row r="1911">
      <c r="A1911" s="2" t="s">
        <v>8683</v>
      </c>
      <c r="B1911" s="2" t="s">
        <v>1186</v>
      </c>
      <c r="C1911" s="2" t="s">
        <v>288</v>
      </c>
      <c r="D1911" s="2" t="s">
        <v>654</v>
      </c>
      <c r="E1911" s="2" t="s">
        <v>655</v>
      </c>
      <c r="F1911" s="2" t="s">
        <v>8684</v>
      </c>
      <c r="G1911" s="2" t="s">
        <v>8685</v>
      </c>
      <c r="H1911" s="2" t="s">
        <v>8686</v>
      </c>
      <c r="I1911" s="2" t="s">
        <v>8687</v>
      </c>
      <c r="J1911" s="2" t="s">
        <v>293</v>
      </c>
      <c r="K1911" s="2" t="s">
        <v>723</v>
      </c>
      <c r="L1911" s="3">
        <v>70.5</v>
      </c>
      <c r="M1911" s="3">
        <v>74.02</v>
      </c>
      <c r="N1911" s="3">
        <v>149.99</v>
      </c>
      <c r="O1911" s="2" t="s">
        <v>250</v>
      </c>
      <c r="P1911" s="2" t="s">
        <v>341</v>
      </c>
      <c r="Q1911" s="2" t="s">
        <v>237</v>
      </c>
      <c r="R1911" s="2" t="s">
        <v>231</v>
      </c>
      <c r="S1911" s="2" t="s">
        <v>8688</v>
      </c>
      <c r="T1911" s="2" t="s">
        <v>231</v>
      </c>
      <c r="U1911" s="2" t="s">
        <v>700</v>
      </c>
      <c r="V1911" s="2" t="s">
        <v>1828</v>
      </c>
      <c r="W1911" s="2" t="s">
        <v>792</v>
      </c>
      <c r="X1911" s="2" t="s">
        <v>1486</v>
      </c>
      <c r="Y1911" s="2" t="s">
        <v>8689</v>
      </c>
      <c r="Z1911" s="4"/>
      <c r="AA1911" s="4">
        <f>=ROUNDDOWN({0},0)</f>
      </c>
      <c r="AB1911" s="5">
        <v>8</v>
      </c>
      <c r="AC1911" s="2" t="s">
        <v>231</v>
      </c>
      <c r="AD1911" s="4"/>
      <c r="AE1911" s="4"/>
      <c r="AF1911" s="6">
        <v>65</v>
      </c>
      <c r="AG1911" s="6"/>
      <c r="AH1911" s="7">
        <v>0</v>
      </c>
      <c r="AI1911" s="4"/>
      <c r="AJ1911" s="4">
        <f>=ROUNDDOWN({0},0)</f>
      </c>
      <c r="AK1911" s="5"/>
      <c r="AL1911" s="2" t="s">
        <v>231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/>
      <c r="BK1911" s="8"/>
      <c r="BL1911" s="2" t="s">
        <v>8690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8691</v>
      </c>
      <c r="BV1911" s="2" t="s">
        <v>231</v>
      </c>
      <c r="BW1911" s="2" t="s">
        <v>231</v>
      </c>
      <c r="BX1911" s="2" t="s">
        <v>231</v>
      </c>
      <c r="BY1911" s="2" t="s">
        <v>277</v>
      </c>
      <c r="BZ1911" s="2" t="s">
        <v>243</v>
      </c>
      <c r="CA1911" s="2" t="s">
        <v>1678</v>
      </c>
      <c r="CB1911" s="2" t="s">
        <v>5746</v>
      </c>
      <c r="CC1911" s="2" t="s">
        <v>244</v>
      </c>
      <c r="CD1911" s="2" t="s">
        <v>231</v>
      </c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</row>
    <row r="1912">
      <c r="A1912" s="2" t="s">
        <v>8692</v>
      </c>
      <c r="B1912" s="2" t="s">
        <v>1186</v>
      </c>
      <c r="C1912" s="2" t="s">
        <v>357</v>
      </c>
      <c r="D1912" s="2" t="s">
        <v>654</v>
      </c>
      <c r="E1912" s="2" t="s">
        <v>1187</v>
      </c>
      <c r="F1912" s="2" t="s">
        <v>8693</v>
      </c>
      <c r="G1912" s="2" t="s">
        <v>8694</v>
      </c>
      <c r="H1912" s="2" t="s">
        <v>8695</v>
      </c>
      <c r="I1912" s="2" t="s">
        <v>8378</v>
      </c>
      <c r="J1912" s="2" t="s">
        <v>304</v>
      </c>
      <c r="K1912" s="2" t="s">
        <v>253</v>
      </c>
      <c r="L1912" s="3">
        <v>67.59</v>
      </c>
      <c r="M1912" s="3">
        <v>70.97</v>
      </c>
      <c r="N1912" s="3">
        <v>129.99</v>
      </c>
      <c r="O1912" s="2" t="s">
        <v>243</v>
      </c>
      <c r="P1912" s="2" t="s">
        <v>341</v>
      </c>
      <c r="Q1912" s="2" t="s">
        <v>237</v>
      </c>
      <c r="R1912" s="2" t="s">
        <v>231</v>
      </c>
      <c r="S1912" s="2" t="s">
        <v>8696</v>
      </c>
      <c r="T1912" s="2" t="s">
        <v>231</v>
      </c>
      <c r="U1912" s="2" t="s">
        <v>1196</v>
      </c>
      <c r="V1912" s="2" t="s">
        <v>987</v>
      </c>
      <c r="W1912" s="2" t="s">
        <v>792</v>
      </c>
      <c r="X1912" s="2" t="s">
        <v>1486</v>
      </c>
      <c r="Y1912" s="2" t="s">
        <v>274</v>
      </c>
      <c r="Z1912" s="4">
        <v>91</v>
      </c>
      <c r="AA1912" s="4">
        <f>=ROUNDDOWN(28.4375,0)</f>
      </c>
      <c r="AB1912" s="5">
        <v>3.2</v>
      </c>
      <c r="AC1912" s="2" t="s">
        <v>231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231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231</v>
      </c>
      <c r="BD1912" s="8" t="s">
        <v>231</v>
      </c>
      <c r="BE1912" s="4" t="s">
        <v>231</v>
      </c>
      <c r="BF1912" s="8" t="s">
        <v>231</v>
      </c>
      <c r="BG1912" s="7" t="s">
        <v>231</v>
      </c>
      <c r="BH1912" s="7" t="s">
        <v>231</v>
      </c>
      <c r="BI1912" s="7"/>
      <c r="BJ1912" s="4">
        <v>12</v>
      </c>
      <c r="BK1912" s="8">
        <v>438.05</v>
      </c>
      <c r="BL1912" s="2" t="s">
        <v>353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8697</v>
      </c>
      <c r="BV1912" s="2" t="s">
        <v>231</v>
      </c>
      <c r="BW1912" s="2" t="s">
        <v>231</v>
      </c>
      <c r="BX1912" s="2" t="s">
        <v>231</v>
      </c>
      <c r="BY1912" s="2" t="s">
        <v>277</v>
      </c>
      <c r="BZ1912" s="2" t="s">
        <v>243</v>
      </c>
      <c r="CA1912" s="2" t="s">
        <v>284</v>
      </c>
      <c r="CB1912" s="2" t="s">
        <v>8698</v>
      </c>
      <c r="CC1912" s="2" t="s">
        <v>244</v>
      </c>
      <c r="CD1912" s="2" t="s">
        <v>231</v>
      </c>
      <c r="CE1912" s="4">
        <v>91</v>
      </c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</row>
    <row r="1913">
      <c r="A1913" s="2" t="s">
        <v>8699</v>
      </c>
      <c r="B1913" s="2" t="s">
        <v>1186</v>
      </c>
      <c r="C1913" s="2" t="s">
        <v>357</v>
      </c>
      <c r="D1913" s="2" t="s">
        <v>654</v>
      </c>
      <c r="E1913" s="2" t="s">
        <v>1187</v>
      </c>
      <c r="F1913" s="2" t="s">
        <v>8693</v>
      </c>
      <c r="G1913" s="2" t="s">
        <v>8694</v>
      </c>
      <c r="H1913" s="2" t="s">
        <v>8695</v>
      </c>
      <c r="I1913" s="2" t="s">
        <v>8378</v>
      </c>
      <c r="J1913" s="2" t="s">
        <v>304</v>
      </c>
      <c r="K1913" s="2" t="s">
        <v>255</v>
      </c>
      <c r="L1913" s="3">
        <v>67.59</v>
      </c>
      <c r="M1913" s="3">
        <v>70.97</v>
      </c>
      <c r="N1913" s="3">
        <v>129.99</v>
      </c>
      <c r="O1913" s="2" t="s">
        <v>243</v>
      </c>
      <c r="P1913" s="2" t="s">
        <v>341</v>
      </c>
      <c r="Q1913" s="2" t="s">
        <v>237</v>
      </c>
      <c r="R1913" s="2" t="s">
        <v>231</v>
      </c>
      <c r="S1913" s="2" t="s">
        <v>8700</v>
      </c>
      <c r="T1913" s="2" t="s">
        <v>231</v>
      </c>
      <c r="U1913" s="2" t="s">
        <v>1196</v>
      </c>
      <c r="V1913" s="2" t="s">
        <v>987</v>
      </c>
      <c r="W1913" s="2" t="s">
        <v>792</v>
      </c>
      <c r="X1913" s="2" t="s">
        <v>1486</v>
      </c>
      <c r="Y1913" s="2" t="s">
        <v>274</v>
      </c>
      <c r="Z1913" s="4">
        <v>38</v>
      </c>
      <c r="AA1913" s="4">
        <f>=ROUNDDOWN(19,0)</f>
      </c>
      <c r="AB1913" s="5">
        <v>2</v>
      </c>
      <c r="AC1913" s="2" t="s">
        <v>231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231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231</v>
      </c>
      <c r="BD1913" s="8" t="s">
        <v>231</v>
      </c>
      <c r="BE1913" s="4" t="s">
        <v>231</v>
      </c>
      <c r="BF1913" s="8" t="s">
        <v>231</v>
      </c>
      <c r="BG1913" s="7" t="s">
        <v>231</v>
      </c>
      <c r="BH1913" s="7" t="s">
        <v>231</v>
      </c>
      <c r="BI1913" s="7"/>
      <c r="BJ1913" s="4">
        <v>21</v>
      </c>
      <c r="BK1913" s="8">
        <v>808.28</v>
      </c>
      <c r="BL1913" s="2" t="s">
        <v>553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8701</v>
      </c>
      <c r="BV1913" s="2" t="s">
        <v>231</v>
      </c>
      <c r="BW1913" s="2" t="s">
        <v>231</v>
      </c>
      <c r="BX1913" s="2" t="s">
        <v>231</v>
      </c>
      <c r="BY1913" s="2" t="s">
        <v>277</v>
      </c>
      <c r="BZ1913" s="2" t="s">
        <v>243</v>
      </c>
      <c r="CA1913" s="2" t="s">
        <v>284</v>
      </c>
      <c r="CB1913" s="2" t="s">
        <v>611</v>
      </c>
      <c r="CC1913" s="2" t="s">
        <v>244</v>
      </c>
      <c r="CD1913" s="2" t="s">
        <v>231</v>
      </c>
      <c r="CE1913" s="4">
        <v>38</v>
      </c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</row>
    <row r="1914">
      <c r="A1914" s="2" t="s">
        <v>8702</v>
      </c>
      <c r="B1914" s="2" t="s">
        <v>287</v>
      </c>
      <c r="C1914" s="2" t="s">
        <v>825</v>
      </c>
      <c r="D1914" s="2" t="s">
        <v>289</v>
      </c>
      <c r="E1914" s="2" t="s">
        <v>290</v>
      </c>
      <c r="F1914" s="2" t="s">
        <v>8703</v>
      </c>
      <c r="G1914" s="2" t="s">
        <v>8703</v>
      </c>
      <c r="H1914" s="2" t="s">
        <v>8703</v>
      </c>
      <c r="I1914" s="2" t="s">
        <v>4369</v>
      </c>
      <c r="J1914" s="2" t="s">
        <v>318</v>
      </c>
      <c r="K1914" s="2" t="s">
        <v>8704</v>
      </c>
      <c r="L1914" s="3">
        <v>15.4</v>
      </c>
      <c r="M1914" s="3">
        <v>16.17</v>
      </c>
      <c r="N1914" s="3">
        <v>34.99</v>
      </c>
      <c r="O1914" s="2" t="s">
        <v>243</v>
      </c>
      <c r="P1914" s="2" t="s">
        <v>270</v>
      </c>
      <c r="Q1914" s="2" t="s">
        <v>237</v>
      </c>
      <c r="R1914" s="2" t="s">
        <v>231</v>
      </c>
      <c r="S1914" s="2" t="s">
        <v>8705</v>
      </c>
      <c r="T1914" s="2" t="s">
        <v>472</v>
      </c>
      <c r="U1914" s="2" t="s">
        <v>835</v>
      </c>
      <c r="V1914" s="2" t="s">
        <v>3942</v>
      </c>
      <c r="W1914" s="2" t="s">
        <v>299</v>
      </c>
      <c r="X1914" s="2" t="s">
        <v>231</v>
      </c>
      <c r="Y1914" s="2" t="s">
        <v>2926</v>
      </c>
      <c r="Z1914" s="4">
        <v>207</v>
      </c>
      <c r="AA1914" s="4">
        <f>=ROUNDDOWN(41.4,0)</f>
      </c>
      <c r="AB1914" s="5">
        <v>5</v>
      </c>
      <c r="AC1914" s="2" t="s">
        <v>231</v>
      </c>
      <c r="AD1914" s="4"/>
      <c r="AE1914" s="4"/>
      <c r="AF1914" s="6">
        <v>66</v>
      </c>
      <c r="AG1914" s="6"/>
      <c r="AH1914" s="7">
        <v>1</v>
      </c>
      <c r="AI1914" s="4"/>
      <c r="AJ1914" s="4">
        <f>=ROUNDDOWN({0},0)</f>
      </c>
      <c r="AK1914" s="5"/>
      <c r="AL1914" s="2" t="s">
        <v>231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 t="s">
        <v>231</v>
      </c>
      <c r="AW1914" s="8" t="s">
        <v>231</v>
      </c>
      <c r="AX1914" s="4" t="s">
        <v>231</v>
      </c>
      <c r="AY1914" s="8" t="s">
        <v>231</v>
      </c>
      <c r="AZ1914" s="7" t="s">
        <v>231</v>
      </c>
      <c r="BA1914" s="7" t="s">
        <v>231</v>
      </c>
      <c r="BB1914" s="7"/>
      <c r="BC1914" s="4" t="s">
        <v>231</v>
      </c>
      <c r="BD1914" s="8" t="s">
        <v>231</v>
      </c>
      <c r="BE1914" s="4" t="s">
        <v>231</v>
      </c>
      <c r="BF1914" s="8" t="s">
        <v>231</v>
      </c>
      <c r="BG1914" s="7" t="s">
        <v>231</v>
      </c>
      <c r="BH1914" s="7" t="s">
        <v>231</v>
      </c>
      <c r="BI1914" s="7"/>
      <c r="BJ1914" s="4">
        <v>14</v>
      </c>
      <c r="BK1914" s="8">
        <v>239.29</v>
      </c>
      <c r="BL1914" s="2" t="s">
        <v>6744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8706</v>
      </c>
      <c r="BV1914" s="2" t="s">
        <v>231</v>
      </c>
      <c r="BW1914" s="2" t="s">
        <v>231</v>
      </c>
      <c r="BX1914" s="2" t="s">
        <v>231</v>
      </c>
      <c r="BY1914" s="2" t="s">
        <v>277</v>
      </c>
      <c r="BZ1914" s="2" t="s">
        <v>243</v>
      </c>
      <c r="CA1914" s="2" t="s">
        <v>8707</v>
      </c>
      <c r="CB1914" s="2" t="s">
        <v>8708</v>
      </c>
      <c r="CC1914" s="2" t="s">
        <v>244</v>
      </c>
      <c r="CD1914" s="2" t="s">
        <v>231</v>
      </c>
      <c r="CE1914" s="4">
        <v>207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/>
      <c r="HK1914" s="4"/>
      <c r="HL1914" s="4"/>
    </row>
    <row r="1915">
      <c r="A1915" s="2" t="s">
        <v>8709</v>
      </c>
      <c r="B1915" s="2" t="s">
        <v>287</v>
      </c>
      <c r="C1915" s="2" t="s">
        <v>825</v>
      </c>
      <c r="D1915" s="2" t="s">
        <v>289</v>
      </c>
      <c r="E1915" s="2" t="s">
        <v>290</v>
      </c>
      <c r="F1915" s="2" t="s">
        <v>8703</v>
      </c>
      <c r="G1915" s="2" t="s">
        <v>8703</v>
      </c>
      <c r="H1915" s="2" t="s">
        <v>8703</v>
      </c>
      <c r="I1915" s="2" t="s">
        <v>4369</v>
      </c>
      <c r="J1915" s="2" t="s">
        <v>268</v>
      </c>
      <c r="K1915" s="2" t="s">
        <v>8704</v>
      </c>
      <c r="L1915" s="3">
        <v>15.4</v>
      </c>
      <c r="M1915" s="3">
        <v>16.17</v>
      </c>
      <c r="N1915" s="3">
        <v>34.99</v>
      </c>
      <c r="O1915" s="2" t="s">
        <v>243</v>
      </c>
      <c r="P1915" s="2" t="s">
        <v>270</v>
      </c>
      <c r="Q1915" s="2" t="s">
        <v>237</v>
      </c>
      <c r="R1915" s="2" t="s">
        <v>231</v>
      </c>
      <c r="S1915" s="2" t="s">
        <v>8705</v>
      </c>
      <c r="T1915" s="2" t="s">
        <v>472</v>
      </c>
      <c r="U1915" s="2" t="s">
        <v>835</v>
      </c>
      <c r="V1915" s="2" t="s">
        <v>3942</v>
      </c>
      <c r="W1915" s="2" t="s">
        <v>299</v>
      </c>
      <c r="X1915" s="2" t="s">
        <v>231</v>
      </c>
      <c r="Y1915" s="2" t="s">
        <v>2926</v>
      </c>
      <c r="Z1915" s="4">
        <v>236</v>
      </c>
      <c r="AA1915" s="4">
        <f>=ROUNDDOWN(78.6666666666667,0)</f>
      </c>
      <c r="AB1915" s="5">
        <v>3</v>
      </c>
      <c r="AC1915" s="2" t="s">
        <v>231</v>
      </c>
      <c r="AD1915" s="4"/>
      <c r="AE1915" s="4"/>
      <c r="AF1915" s="6">
        <v>66</v>
      </c>
      <c r="AG1915" s="6"/>
      <c r="AH1915" s="7">
        <v>1</v>
      </c>
      <c r="AI1915" s="4"/>
      <c r="AJ1915" s="4">
        <f>=ROUNDDOWN({0},0)</f>
      </c>
      <c r="AK1915" s="5"/>
      <c r="AL1915" s="2" t="s">
        <v>231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 t="s">
        <v>231</v>
      </c>
      <c r="AW1915" s="8" t="s">
        <v>231</v>
      </c>
      <c r="AX1915" s="4" t="s">
        <v>231</v>
      </c>
      <c r="AY1915" s="8" t="s">
        <v>231</v>
      </c>
      <c r="AZ1915" s="7" t="s">
        <v>231</v>
      </c>
      <c r="BA1915" s="7" t="s">
        <v>231</v>
      </c>
      <c r="BB1915" s="7"/>
      <c r="BC1915" s="4" t="s">
        <v>231</v>
      </c>
      <c r="BD1915" s="8" t="s">
        <v>231</v>
      </c>
      <c r="BE1915" s="4" t="s">
        <v>231</v>
      </c>
      <c r="BF1915" s="8" t="s">
        <v>231</v>
      </c>
      <c r="BG1915" s="7" t="s">
        <v>231</v>
      </c>
      <c r="BH1915" s="7" t="s">
        <v>231</v>
      </c>
      <c r="BI1915" s="7"/>
      <c r="BJ1915" s="4">
        <v>11</v>
      </c>
      <c r="BK1915" s="8">
        <v>188.08</v>
      </c>
      <c r="BL1915" s="2" t="s">
        <v>8527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8710</v>
      </c>
      <c r="BV1915" s="2" t="s">
        <v>231</v>
      </c>
      <c r="BW1915" s="2" t="s">
        <v>231</v>
      </c>
      <c r="BX1915" s="2" t="s">
        <v>231</v>
      </c>
      <c r="BY1915" s="2" t="s">
        <v>277</v>
      </c>
      <c r="BZ1915" s="2" t="s">
        <v>243</v>
      </c>
      <c r="CA1915" s="2" t="s">
        <v>8707</v>
      </c>
      <c r="CB1915" s="2" t="s">
        <v>8711</v>
      </c>
      <c r="CC1915" s="2" t="s">
        <v>244</v>
      </c>
      <c r="CD1915" s="2" t="s">
        <v>231</v>
      </c>
      <c r="CE1915" s="4">
        <v>236</v>
      </c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</row>
    <row r="1916">
      <c r="A1916" s="2" t="s">
        <v>8712</v>
      </c>
      <c r="B1916" s="2" t="s">
        <v>287</v>
      </c>
      <c r="C1916" s="2" t="s">
        <v>825</v>
      </c>
      <c r="D1916" s="2" t="s">
        <v>289</v>
      </c>
      <c r="E1916" s="2" t="s">
        <v>290</v>
      </c>
      <c r="F1916" s="2" t="s">
        <v>8703</v>
      </c>
      <c r="G1916" s="2" t="s">
        <v>8703</v>
      </c>
      <c r="H1916" s="2" t="s">
        <v>8703</v>
      </c>
      <c r="I1916" s="2" t="s">
        <v>4369</v>
      </c>
      <c r="J1916" s="2" t="s">
        <v>268</v>
      </c>
      <c r="K1916" s="2" t="s">
        <v>8713</v>
      </c>
      <c r="L1916" s="3">
        <v>15.4</v>
      </c>
      <c r="M1916" s="3">
        <v>16.17</v>
      </c>
      <c r="N1916" s="3">
        <v>34.99</v>
      </c>
      <c r="O1916" s="2" t="s">
        <v>243</v>
      </c>
      <c r="P1916" s="2" t="s">
        <v>270</v>
      </c>
      <c r="Q1916" s="2" t="s">
        <v>237</v>
      </c>
      <c r="R1916" s="2" t="s">
        <v>231</v>
      </c>
      <c r="S1916" s="2" t="s">
        <v>8714</v>
      </c>
      <c r="T1916" s="2" t="s">
        <v>472</v>
      </c>
      <c r="U1916" s="2" t="s">
        <v>835</v>
      </c>
      <c r="V1916" s="2" t="s">
        <v>3942</v>
      </c>
      <c r="W1916" s="2" t="s">
        <v>691</v>
      </c>
      <c r="X1916" s="2" t="s">
        <v>231</v>
      </c>
      <c r="Y1916" s="2" t="s">
        <v>8715</v>
      </c>
      <c r="Z1916" s="4">
        <v>240</v>
      </c>
      <c r="AA1916" s="4">
        <f>=ROUNDDOWN(40,0)</f>
      </c>
      <c r="AB1916" s="5">
        <v>6</v>
      </c>
      <c r="AC1916" s="2" t="s">
        <v>321</v>
      </c>
      <c r="AD1916" s="4">
        <v>100</v>
      </c>
      <c r="AE1916" s="4">
        <v>100</v>
      </c>
      <c r="AF1916" s="6">
        <v>66</v>
      </c>
      <c r="AG1916" s="6"/>
      <c r="AH1916" s="7">
        <v>1</v>
      </c>
      <c r="AI1916" s="4"/>
      <c r="AJ1916" s="4">
        <f>=ROUNDDOWN({0},0)</f>
      </c>
      <c r="AK1916" s="5"/>
      <c r="AL1916" s="2" t="s">
        <v>231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231</v>
      </c>
      <c r="BD1916" s="8" t="s">
        <v>231</v>
      </c>
      <c r="BE1916" s="4" t="s">
        <v>231</v>
      </c>
      <c r="BF1916" s="8" t="s">
        <v>231</v>
      </c>
      <c r="BG1916" s="7" t="s">
        <v>231</v>
      </c>
      <c r="BH1916" s="7" t="s">
        <v>231</v>
      </c>
      <c r="BI1916" s="7"/>
      <c r="BJ1916" s="4">
        <v>30</v>
      </c>
      <c r="BK1916" s="8">
        <v>523.02</v>
      </c>
      <c r="BL1916" s="2" t="s">
        <v>1287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8716</v>
      </c>
      <c r="BV1916" s="2" t="s">
        <v>231</v>
      </c>
      <c r="BW1916" s="2" t="s">
        <v>231</v>
      </c>
      <c r="BX1916" s="2" t="s">
        <v>231</v>
      </c>
      <c r="BY1916" s="2" t="s">
        <v>277</v>
      </c>
      <c r="BZ1916" s="2" t="s">
        <v>243</v>
      </c>
      <c r="CA1916" s="2" t="s">
        <v>8717</v>
      </c>
      <c r="CB1916" s="2" t="s">
        <v>8718</v>
      </c>
      <c r="CC1916" s="2" t="s">
        <v>244</v>
      </c>
      <c r="CD1916" s="2" t="s">
        <v>231</v>
      </c>
      <c r="CE1916" s="4">
        <v>240</v>
      </c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>
        <v>100</v>
      </c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</row>
    <row r="1917">
      <c r="A1917" s="2" t="s">
        <v>8719</v>
      </c>
      <c r="B1917" s="2" t="s">
        <v>287</v>
      </c>
      <c r="C1917" s="2" t="s">
        <v>825</v>
      </c>
      <c r="D1917" s="2" t="s">
        <v>289</v>
      </c>
      <c r="E1917" s="2" t="s">
        <v>290</v>
      </c>
      <c r="F1917" s="2" t="s">
        <v>8703</v>
      </c>
      <c r="G1917" s="2" t="s">
        <v>8703</v>
      </c>
      <c r="H1917" s="2" t="s">
        <v>8703</v>
      </c>
      <c r="I1917" s="2" t="s">
        <v>4369</v>
      </c>
      <c r="J1917" s="2" t="s">
        <v>268</v>
      </c>
      <c r="K1917" s="2" t="s">
        <v>3378</v>
      </c>
      <c r="L1917" s="3">
        <v>15.4</v>
      </c>
      <c r="M1917" s="3">
        <v>16.17</v>
      </c>
      <c r="N1917" s="3">
        <v>34.99</v>
      </c>
      <c r="O1917" s="2" t="s">
        <v>243</v>
      </c>
      <c r="P1917" s="2" t="s">
        <v>270</v>
      </c>
      <c r="Q1917" s="2" t="s">
        <v>237</v>
      </c>
      <c r="R1917" s="2" t="s">
        <v>231</v>
      </c>
      <c r="S1917" s="2" t="s">
        <v>8720</v>
      </c>
      <c r="T1917" s="2" t="s">
        <v>472</v>
      </c>
      <c r="U1917" s="2" t="s">
        <v>835</v>
      </c>
      <c r="V1917" s="2" t="s">
        <v>3942</v>
      </c>
      <c r="W1917" s="2" t="s">
        <v>299</v>
      </c>
      <c r="X1917" s="2" t="s">
        <v>231</v>
      </c>
      <c r="Y1917" s="2" t="s">
        <v>2926</v>
      </c>
      <c r="Z1917" s="4">
        <v>158</v>
      </c>
      <c r="AA1917" s="4">
        <f>=ROUNDDOWN(39.5,0)</f>
      </c>
      <c r="AB1917" s="5">
        <v>4</v>
      </c>
      <c r="AC1917" s="2" t="s">
        <v>231</v>
      </c>
      <c r="AD1917" s="4"/>
      <c r="AE1917" s="4"/>
      <c r="AF1917" s="6">
        <v>66</v>
      </c>
      <c r="AG1917" s="6"/>
      <c r="AH1917" s="7">
        <v>1</v>
      </c>
      <c r="AI1917" s="4"/>
      <c r="AJ1917" s="4">
        <f>=ROUNDDOWN({0},0)</f>
      </c>
      <c r="AK1917" s="5"/>
      <c r="AL1917" s="2" t="s">
        <v>231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 t="s">
        <v>231</v>
      </c>
      <c r="AW1917" s="8" t="s">
        <v>231</v>
      </c>
      <c r="AX1917" s="4" t="s">
        <v>231</v>
      </c>
      <c r="AY1917" s="8" t="s">
        <v>231</v>
      </c>
      <c r="AZ1917" s="7" t="s">
        <v>231</v>
      </c>
      <c r="BA1917" s="7" t="s">
        <v>231</v>
      </c>
      <c r="BB1917" s="7"/>
      <c r="BC1917" s="4" t="s">
        <v>231</v>
      </c>
      <c r="BD1917" s="8" t="s">
        <v>231</v>
      </c>
      <c r="BE1917" s="4" t="s">
        <v>231</v>
      </c>
      <c r="BF1917" s="8" t="s">
        <v>231</v>
      </c>
      <c r="BG1917" s="7" t="s">
        <v>231</v>
      </c>
      <c r="BH1917" s="7" t="s">
        <v>231</v>
      </c>
      <c r="BI1917" s="7"/>
      <c r="BJ1917" s="4">
        <v>6</v>
      </c>
      <c r="BK1917" s="8">
        <v>100</v>
      </c>
      <c r="BL1917" s="2" t="s">
        <v>8721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8722</v>
      </c>
      <c r="BV1917" s="2" t="s">
        <v>231</v>
      </c>
      <c r="BW1917" s="2" t="s">
        <v>231</v>
      </c>
      <c r="BX1917" s="2" t="s">
        <v>231</v>
      </c>
      <c r="BY1917" s="2" t="s">
        <v>277</v>
      </c>
      <c r="BZ1917" s="2" t="s">
        <v>243</v>
      </c>
      <c r="CA1917" s="2" t="s">
        <v>8707</v>
      </c>
      <c r="CB1917" s="2" t="s">
        <v>8723</v>
      </c>
      <c r="CC1917" s="2" t="s">
        <v>244</v>
      </c>
      <c r="CD1917" s="2" t="s">
        <v>231</v>
      </c>
      <c r="CE1917" s="4">
        <v>158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</row>
    <row r="1918">
      <c r="A1918" s="2" t="s">
        <v>8724</v>
      </c>
      <c r="B1918" s="2" t="s">
        <v>287</v>
      </c>
      <c r="C1918" s="2" t="s">
        <v>825</v>
      </c>
      <c r="D1918" s="2" t="s">
        <v>289</v>
      </c>
      <c r="E1918" s="2" t="s">
        <v>290</v>
      </c>
      <c r="F1918" s="2" t="s">
        <v>8703</v>
      </c>
      <c r="G1918" s="2" t="s">
        <v>8703</v>
      </c>
      <c r="H1918" s="2" t="s">
        <v>8703</v>
      </c>
      <c r="I1918" s="2" t="s">
        <v>4369</v>
      </c>
      <c r="J1918" s="2" t="s">
        <v>281</v>
      </c>
      <c r="K1918" s="2" t="s">
        <v>3378</v>
      </c>
      <c r="L1918" s="3">
        <v>18</v>
      </c>
      <c r="M1918" s="3">
        <v>18.9</v>
      </c>
      <c r="N1918" s="3">
        <v>39.99</v>
      </c>
      <c r="O1918" s="2" t="s">
        <v>243</v>
      </c>
      <c r="P1918" s="2" t="s">
        <v>270</v>
      </c>
      <c r="Q1918" s="2" t="s">
        <v>237</v>
      </c>
      <c r="R1918" s="2" t="s">
        <v>231</v>
      </c>
      <c r="S1918" s="2" t="s">
        <v>8720</v>
      </c>
      <c r="T1918" s="2" t="s">
        <v>472</v>
      </c>
      <c r="U1918" s="2" t="s">
        <v>298</v>
      </c>
      <c r="V1918" s="2" t="s">
        <v>3942</v>
      </c>
      <c r="W1918" s="2" t="s">
        <v>299</v>
      </c>
      <c r="X1918" s="2" t="s">
        <v>231</v>
      </c>
      <c r="Y1918" s="2" t="s">
        <v>2926</v>
      </c>
      <c r="Z1918" s="4">
        <v>205</v>
      </c>
      <c r="AA1918" s="4">
        <f>=ROUNDDOWN(41,0)</f>
      </c>
      <c r="AB1918" s="5">
        <v>5</v>
      </c>
      <c r="AC1918" s="2" t="s">
        <v>231</v>
      </c>
      <c r="AD1918" s="4"/>
      <c r="AE1918" s="4"/>
      <c r="AF1918" s="6">
        <v>66</v>
      </c>
      <c r="AG1918" s="6"/>
      <c r="AH1918" s="7">
        <v>1</v>
      </c>
      <c r="AI1918" s="4"/>
      <c r="AJ1918" s="4">
        <f>=ROUNDDOWN({0},0)</f>
      </c>
      <c r="AK1918" s="5"/>
      <c r="AL1918" s="2" t="s">
        <v>231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 t="s">
        <v>231</v>
      </c>
      <c r="AW1918" s="8" t="s">
        <v>231</v>
      </c>
      <c r="AX1918" s="4" t="s">
        <v>231</v>
      </c>
      <c r="AY1918" s="8" t="s">
        <v>231</v>
      </c>
      <c r="AZ1918" s="7" t="s">
        <v>231</v>
      </c>
      <c r="BA1918" s="7" t="s">
        <v>231</v>
      </c>
      <c r="BB1918" s="7"/>
      <c r="BC1918" s="4" t="s">
        <v>231</v>
      </c>
      <c r="BD1918" s="8" t="s">
        <v>231</v>
      </c>
      <c r="BE1918" s="4" t="s">
        <v>231</v>
      </c>
      <c r="BF1918" s="8" t="s">
        <v>231</v>
      </c>
      <c r="BG1918" s="7" t="s">
        <v>231</v>
      </c>
      <c r="BH1918" s="7" t="s">
        <v>231</v>
      </c>
      <c r="BI1918" s="7"/>
      <c r="BJ1918" s="4">
        <v>14</v>
      </c>
      <c r="BK1918" s="8">
        <v>275.37</v>
      </c>
      <c r="BL1918" s="2" t="s">
        <v>6744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8725</v>
      </c>
      <c r="BV1918" s="2" t="s">
        <v>231</v>
      </c>
      <c r="BW1918" s="2" t="s">
        <v>231</v>
      </c>
      <c r="BX1918" s="2" t="s">
        <v>231</v>
      </c>
      <c r="BY1918" s="2" t="s">
        <v>277</v>
      </c>
      <c r="BZ1918" s="2" t="s">
        <v>243</v>
      </c>
      <c r="CA1918" s="2" t="s">
        <v>8707</v>
      </c>
      <c r="CB1918" s="2" t="s">
        <v>8726</v>
      </c>
      <c r="CC1918" s="2" t="s">
        <v>244</v>
      </c>
      <c r="CD1918" s="2" t="s">
        <v>231</v>
      </c>
      <c r="CE1918" s="4">
        <v>205</v>
      </c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</row>
    <row r="1919">
      <c r="A1919" s="2" t="s">
        <v>8727</v>
      </c>
      <c r="B1919" s="2" t="s">
        <v>287</v>
      </c>
      <c r="C1919" s="2" t="s">
        <v>825</v>
      </c>
      <c r="D1919" s="2" t="s">
        <v>289</v>
      </c>
      <c r="E1919" s="2" t="s">
        <v>290</v>
      </c>
      <c r="F1919" s="2" t="s">
        <v>8703</v>
      </c>
      <c r="G1919" s="2" t="s">
        <v>8703</v>
      </c>
      <c r="H1919" s="2" t="s">
        <v>8703</v>
      </c>
      <c r="I1919" s="2" t="s">
        <v>4369</v>
      </c>
      <c r="J1919" s="2" t="s">
        <v>293</v>
      </c>
      <c r="K1919" s="2" t="s">
        <v>3378</v>
      </c>
      <c r="L1919" s="3">
        <v>18</v>
      </c>
      <c r="M1919" s="3">
        <v>18.9</v>
      </c>
      <c r="N1919" s="3">
        <v>39.99</v>
      </c>
      <c r="O1919" s="2" t="s">
        <v>243</v>
      </c>
      <c r="P1919" s="2" t="s">
        <v>270</v>
      </c>
      <c r="Q1919" s="2" t="s">
        <v>237</v>
      </c>
      <c r="R1919" s="2" t="s">
        <v>231</v>
      </c>
      <c r="S1919" s="2" t="s">
        <v>8720</v>
      </c>
      <c r="T1919" s="2" t="s">
        <v>472</v>
      </c>
      <c r="U1919" s="2" t="s">
        <v>298</v>
      </c>
      <c r="V1919" s="2" t="s">
        <v>3942</v>
      </c>
      <c r="W1919" s="2" t="s">
        <v>299</v>
      </c>
      <c r="X1919" s="2" t="s">
        <v>231</v>
      </c>
      <c r="Y1919" s="2" t="s">
        <v>2926</v>
      </c>
      <c r="Z1919" s="4">
        <v>368</v>
      </c>
      <c r="AA1919" s="4">
        <f>=ROUNDDOWN(63.448275862069,0)</f>
      </c>
      <c r="AB1919" s="5">
        <v>5.8</v>
      </c>
      <c r="AC1919" s="2" t="s">
        <v>231</v>
      </c>
      <c r="AD1919" s="4"/>
      <c r="AE1919" s="4"/>
      <c r="AF1919" s="6">
        <v>66</v>
      </c>
      <c r="AG1919" s="6"/>
      <c r="AH1919" s="7">
        <v>1</v>
      </c>
      <c r="AI1919" s="4"/>
      <c r="AJ1919" s="4">
        <f>=ROUNDDOWN({0},0)</f>
      </c>
      <c r="AK1919" s="5"/>
      <c r="AL1919" s="2" t="s">
        <v>231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 t="s">
        <v>231</v>
      </c>
      <c r="AW1919" s="8" t="s">
        <v>231</v>
      </c>
      <c r="AX1919" s="4" t="s">
        <v>231</v>
      </c>
      <c r="AY1919" s="8" t="s">
        <v>231</v>
      </c>
      <c r="AZ1919" s="7" t="s">
        <v>231</v>
      </c>
      <c r="BA1919" s="7" t="s">
        <v>231</v>
      </c>
      <c r="BB1919" s="7"/>
      <c r="BC1919" s="4" t="s">
        <v>231</v>
      </c>
      <c r="BD1919" s="8" t="s">
        <v>231</v>
      </c>
      <c r="BE1919" s="4" t="s">
        <v>231</v>
      </c>
      <c r="BF1919" s="8" t="s">
        <v>231</v>
      </c>
      <c r="BG1919" s="7" t="s">
        <v>231</v>
      </c>
      <c r="BH1919" s="7" t="s">
        <v>231</v>
      </c>
      <c r="BI1919" s="7"/>
      <c r="BJ1919" s="4">
        <v>25</v>
      </c>
      <c r="BK1919" s="8">
        <v>504.51</v>
      </c>
      <c r="BL1919" s="2" t="s">
        <v>7620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8728</v>
      </c>
      <c r="BV1919" s="2" t="s">
        <v>231</v>
      </c>
      <c r="BW1919" s="2" t="s">
        <v>231</v>
      </c>
      <c r="BX1919" s="2" t="s">
        <v>231</v>
      </c>
      <c r="BY1919" s="2" t="s">
        <v>277</v>
      </c>
      <c r="BZ1919" s="2" t="s">
        <v>243</v>
      </c>
      <c r="CA1919" s="2" t="s">
        <v>8707</v>
      </c>
      <c r="CB1919" s="2" t="s">
        <v>3631</v>
      </c>
      <c r="CC1919" s="2" t="s">
        <v>244</v>
      </c>
      <c r="CD1919" s="2" t="s">
        <v>231</v>
      </c>
      <c r="CE1919" s="4">
        <v>368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  <c r="HG1919" s="4"/>
      <c r="HH1919" s="4"/>
      <c r="HI1919" s="4"/>
      <c r="HJ1919" s="4"/>
      <c r="HK1919" s="4"/>
      <c r="HL1919" s="4"/>
    </row>
    <row r="1920">
      <c r="A1920" s="2" t="s">
        <v>8729</v>
      </c>
      <c r="B1920" s="2" t="s">
        <v>287</v>
      </c>
      <c r="C1920" s="2" t="s">
        <v>825</v>
      </c>
      <c r="D1920" s="2" t="s">
        <v>289</v>
      </c>
      <c r="E1920" s="2" t="s">
        <v>290</v>
      </c>
      <c r="F1920" s="2" t="s">
        <v>8703</v>
      </c>
      <c r="G1920" s="2" t="s">
        <v>8703</v>
      </c>
      <c r="H1920" s="2" t="s">
        <v>8703</v>
      </c>
      <c r="I1920" s="2" t="s">
        <v>4369</v>
      </c>
      <c r="J1920" s="2" t="s">
        <v>268</v>
      </c>
      <c r="K1920" s="2" t="s">
        <v>3713</v>
      </c>
      <c r="L1920" s="3">
        <v>15.4</v>
      </c>
      <c r="M1920" s="3">
        <v>16.17</v>
      </c>
      <c r="N1920" s="3">
        <v>34.99</v>
      </c>
      <c r="O1920" s="2" t="s">
        <v>243</v>
      </c>
      <c r="P1920" s="2" t="s">
        <v>270</v>
      </c>
      <c r="Q1920" s="2" t="s">
        <v>237</v>
      </c>
      <c r="R1920" s="2" t="s">
        <v>231</v>
      </c>
      <c r="S1920" s="2" t="s">
        <v>8714</v>
      </c>
      <c r="T1920" s="2" t="s">
        <v>472</v>
      </c>
      <c r="U1920" s="2" t="s">
        <v>835</v>
      </c>
      <c r="V1920" s="2" t="s">
        <v>3942</v>
      </c>
      <c r="W1920" s="2" t="s">
        <v>691</v>
      </c>
      <c r="X1920" s="2" t="s">
        <v>231</v>
      </c>
      <c r="Y1920" s="2" t="s">
        <v>8715</v>
      </c>
      <c r="Z1920" s="4">
        <v>205</v>
      </c>
      <c r="AA1920" s="4">
        <f>=ROUNDDOWN(51.25,0)</f>
      </c>
      <c r="AB1920" s="5">
        <v>4</v>
      </c>
      <c r="AC1920" s="2" t="s">
        <v>321</v>
      </c>
      <c r="AD1920" s="4">
        <v>39</v>
      </c>
      <c r="AE1920" s="4">
        <v>39</v>
      </c>
      <c r="AF1920" s="6">
        <v>66</v>
      </c>
      <c r="AG1920" s="6"/>
      <c r="AH1920" s="7">
        <v>1</v>
      </c>
      <c r="AI1920" s="4"/>
      <c r="AJ1920" s="4">
        <f>=ROUNDDOWN({0},0)</f>
      </c>
      <c r="AK1920" s="5"/>
      <c r="AL1920" s="2" t="s">
        <v>231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231</v>
      </c>
      <c r="BD1920" s="8" t="s">
        <v>231</v>
      </c>
      <c r="BE1920" s="4" t="s">
        <v>231</v>
      </c>
      <c r="BF1920" s="8" t="s">
        <v>231</v>
      </c>
      <c r="BG1920" s="7" t="s">
        <v>231</v>
      </c>
      <c r="BH1920" s="7" t="s">
        <v>231</v>
      </c>
      <c r="BI1920" s="7"/>
      <c r="BJ1920" s="4">
        <v>18</v>
      </c>
      <c r="BK1920" s="8">
        <v>315.09</v>
      </c>
      <c r="BL1920" s="2" t="s">
        <v>1287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8730</v>
      </c>
      <c r="BV1920" s="2" t="s">
        <v>231</v>
      </c>
      <c r="BW1920" s="2" t="s">
        <v>231</v>
      </c>
      <c r="BX1920" s="2" t="s">
        <v>231</v>
      </c>
      <c r="BY1920" s="2" t="s">
        <v>277</v>
      </c>
      <c r="BZ1920" s="2" t="s">
        <v>243</v>
      </c>
      <c r="CA1920" s="2" t="s">
        <v>8717</v>
      </c>
      <c r="CB1920" s="2" t="s">
        <v>2189</v>
      </c>
      <c r="CC1920" s="2" t="s">
        <v>244</v>
      </c>
      <c r="CD1920" s="2" t="s">
        <v>231</v>
      </c>
      <c r="CE1920" s="4">
        <v>205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>
        <v>39</v>
      </c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</row>
    <row r="1921">
      <c r="A1921" s="2" t="s">
        <v>8731</v>
      </c>
      <c r="B1921" s="2" t="s">
        <v>1004</v>
      </c>
      <c r="C1921" s="2" t="s">
        <v>815</v>
      </c>
      <c r="D1921" s="2" t="s">
        <v>6435</v>
      </c>
      <c r="E1921" s="2" t="s">
        <v>2651</v>
      </c>
      <c r="F1921" s="2" t="s">
        <v>8732</v>
      </c>
      <c r="G1921" s="2" t="s">
        <v>8732</v>
      </c>
      <c r="H1921" s="2" t="s">
        <v>8732</v>
      </c>
      <c r="I1921" s="2" t="s">
        <v>8733</v>
      </c>
      <c r="J1921" s="2" t="s">
        <v>8734</v>
      </c>
      <c r="K1921" s="2" t="s">
        <v>901</v>
      </c>
      <c r="L1921" s="3">
        <v>710</v>
      </c>
      <c r="M1921" s="3">
        <v>745.5</v>
      </c>
      <c r="N1921" s="3">
        <v>1497</v>
      </c>
      <c r="O1921" s="2" t="s">
        <v>243</v>
      </c>
      <c r="P1921" s="2" t="s">
        <v>341</v>
      </c>
      <c r="Q1921" s="2" t="s">
        <v>237</v>
      </c>
      <c r="R1921" s="2" t="s">
        <v>231</v>
      </c>
      <c r="S1921" s="2" t="s">
        <v>231</v>
      </c>
      <c r="T1921" s="2" t="s">
        <v>231</v>
      </c>
      <c r="U1921" s="2" t="s">
        <v>835</v>
      </c>
      <c r="V1921" s="2" t="s">
        <v>662</v>
      </c>
      <c r="W1921" s="2" t="s">
        <v>691</v>
      </c>
      <c r="X1921" s="2" t="s">
        <v>231</v>
      </c>
      <c r="Y1921" s="2" t="s">
        <v>7600</v>
      </c>
      <c r="Z1921" s="4"/>
      <c r="AA1921" s="4">
        <f>=ROUNDDOWN({0},0)</f>
      </c>
      <c r="AB1921" s="5">
        <v>1</v>
      </c>
      <c r="AC1921" s="2" t="s">
        <v>231</v>
      </c>
      <c r="AD1921" s="4"/>
      <c r="AE1921" s="4"/>
      <c r="AF1921" s="6"/>
      <c r="AG1921" s="6"/>
      <c r="AH1921" s="7">
        <v>0</v>
      </c>
      <c r="AI1921" s="4"/>
      <c r="AJ1921" s="4">
        <f>=ROUNDDOWN({0},0)</f>
      </c>
      <c r="AK1921" s="5"/>
      <c r="AL1921" s="2" t="s">
        <v>231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 t="s">
        <v>231</v>
      </c>
      <c r="AW1921" s="8" t="s">
        <v>231</v>
      </c>
      <c r="AX1921" s="4" t="s">
        <v>231</v>
      </c>
      <c r="AY1921" s="8" t="s">
        <v>231</v>
      </c>
      <c r="AZ1921" s="7" t="s">
        <v>231</v>
      </c>
      <c r="BA1921" s="7" t="s">
        <v>231</v>
      </c>
      <c r="BB1921" s="7"/>
      <c r="BC1921" s="4" t="s">
        <v>231</v>
      </c>
      <c r="BD1921" s="8" t="s">
        <v>231</v>
      </c>
      <c r="BE1921" s="4" t="s">
        <v>231</v>
      </c>
      <c r="BF1921" s="8" t="s">
        <v>231</v>
      </c>
      <c r="BG1921" s="7" t="s">
        <v>231</v>
      </c>
      <c r="BH1921" s="7" t="s">
        <v>231</v>
      </c>
      <c r="BI1921" s="7"/>
      <c r="BJ1921" s="4"/>
      <c r="BK1921" s="8"/>
      <c r="BL1921" s="2" t="s">
        <v>231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8735</v>
      </c>
      <c r="BV1921" s="2" t="s">
        <v>231</v>
      </c>
      <c r="BW1921" s="2" t="s">
        <v>231</v>
      </c>
      <c r="BX1921" s="2" t="s">
        <v>231</v>
      </c>
      <c r="BY1921" s="2" t="s">
        <v>277</v>
      </c>
      <c r="BZ1921" s="2" t="s">
        <v>243</v>
      </c>
      <c r="CA1921" s="2" t="s">
        <v>1422</v>
      </c>
      <c r="CB1921" s="2" t="s">
        <v>231</v>
      </c>
      <c r="CC1921" s="2" t="s">
        <v>244</v>
      </c>
      <c r="CD1921" s="2" t="s">
        <v>231</v>
      </c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</row>
    <row r="1922">
      <c r="A1922" s="2" t="s">
        <v>8736</v>
      </c>
      <c r="B1922" s="2" t="s">
        <v>1004</v>
      </c>
      <c r="C1922" s="2" t="s">
        <v>815</v>
      </c>
      <c r="D1922" s="2" t="s">
        <v>6435</v>
      </c>
      <c r="E1922" s="2" t="s">
        <v>2651</v>
      </c>
      <c r="F1922" s="2" t="s">
        <v>8732</v>
      </c>
      <c r="G1922" s="2" t="s">
        <v>8732</v>
      </c>
      <c r="H1922" s="2" t="s">
        <v>8732</v>
      </c>
      <c r="I1922" s="2" t="s">
        <v>8737</v>
      </c>
      <c r="J1922" s="2" t="s">
        <v>8738</v>
      </c>
      <c r="K1922" s="2" t="s">
        <v>901</v>
      </c>
      <c r="L1922" s="3">
        <v>900</v>
      </c>
      <c r="M1922" s="3">
        <v>945</v>
      </c>
      <c r="N1922" s="3">
        <v>1896</v>
      </c>
      <c r="O1922" s="2" t="s">
        <v>243</v>
      </c>
      <c r="P1922" s="2" t="s">
        <v>1037</v>
      </c>
      <c r="Q1922" s="2" t="s">
        <v>237</v>
      </c>
      <c r="R1922" s="2" t="s">
        <v>231</v>
      </c>
      <c r="S1922" s="2" t="s">
        <v>231</v>
      </c>
      <c r="T1922" s="2" t="s">
        <v>231</v>
      </c>
      <c r="U1922" s="2" t="s">
        <v>298</v>
      </c>
      <c r="V1922" s="2" t="s">
        <v>662</v>
      </c>
      <c r="W1922" s="2" t="s">
        <v>691</v>
      </c>
      <c r="X1922" s="2" t="s">
        <v>231</v>
      </c>
      <c r="Y1922" s="2" t="s">
        <v>7600</v>
      </c>
      <c r="Z1922" s="4"/>
      <c r="AA1922" s="4">
        <f>=ROUNDDOWN({0},0)</f>
      </c>
      <c r="AB1922" s="5"/>
      <c r="AC1922" s="2" t="s">
        <v>231</v>
      </c>
      <c r="AD1922" s="4"/>
      <c r="AE1922" s="4"/>
      <c r="AF1922" s="6"/>
      <c r="AG1922" s="6"/>
      <c r="AH1922" s="7">
        <v>0</v>
      </c>
      <c r="AI1922" s="4"/>
      <c r="AJ1922" s="4">
        <f>=ROUNDDOWN({0},0)</f>
      </c>
      <c r="AK1922" s="5"/>
      <c r="AL1922" s="2" t="s">
        <v>231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 t="s">
        <v>231</v>
      </c>
      <c r="AW1922" s="8" t="s">
        <v>231</v>
      </c>
      <c r="AX1922" s="4" t="s">
        <v>231</v>
      </c>
      <c r="AY1922" s="8" t="s">
        <v>231</v>
      </c>
      <c r="AZ1922" s="7" t="s">
        <v>231</v>
      </c>
      <c r="BA1922" s="7" t="s">
        <v>231</v>
      </c>
      <c r="BB1922" s="7"/>
      <c r="BC1922" s="4" t="s">
        <v>231</v>
      </c>
      <c r="BD1922" s="8" t="s">
        <v>231</v>
      </c>
      <c r="BE1922" s="4" t="s">
        <v>231</v>
      </c>
      <c r="BF1922" s="8" t="s">
        <v>231</v>
      </c>
      <c r="BG1922" s="7" t="s">
        <v>231</v>
      </c>
      <c r="BH1922" s="7" t="s">
        <v>231</v>
      </c>
      <c r="BI1922" s="7"/>
      <c r="BJ1922" s="4"/>
      <c r="BK1922" s="8"/>
      <c r="BL1922" s="2" t="s">
        <v>231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8739</v>
      </c>
      <c r="BV1922" s="2" t="s">
        <v>231</v>
      </c>
      <c r="BW1922" s="2" t="s">
        <v>231</v>
      </c>
      <c r="BX1922" s="2" t="s">
        <v>231</v>
      </c>
      <c r="BY1922" s="2" t="s">
        <v>277</v>
      </c>
      <c r="BZ1922" s="2" t="s">
        <v>243</v>
      </c>
      <c r="CA1922" s="2" t="s">
        <v>1422</v>
      </c>
      <c r="CB1922" s="2" t="s">
        <v>231</v>
      </c>
      <c r="CC1922" s="2" t="s">
        <v>244</v>
      </c>
      <c r="CD1922" s="2" t="s">
        <v>231</v>
      </c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</row>
    <row r="1923">
      <c r="A1923" s="2" t="s">
        <v>8740</v>
      </c>
      <c r="B1923" s="2" t="s">
        <v>847</v>
      </c>
      <c r="C1923" s="2" t="s">
        <v>288</v>
      </c>
      <c r="D1923" s="2" t="s">
        <v>906</v>
      </c>
      <c r="E1923" s="2" t="s">
        <v>907</v>
      </c>
      <c r="F1923" s="2" t="s">
        <v>8741</v>
      </c>
      <c r="G1923" s="2" t="s">
        <v>8741</v>
      </c>
      <c r="H1923" s="2" t="s">
        <v>8741</v>
      </c>
      <c r="I1923" s="2" t="s">
        <v>8742</v>
      </c>
      <c r="J1923" s="2" t="s">
        <v>807</v>
      </c>
      <c r="K1923" s="2" t="s">
        <v>698</v>
      </c>
      <c r="L1923" s="3">
        <v>71.42</v>
      </c>
      <c r="M1923" s="3">
        <v>75</v>
      </c>
      <c r="N1923" s="3">
        <v>149.99</v>
      </c>
      <c r="O1923" s="2" t="s">
        <v>243</v>
      </c>
      <c r="P1923" s="2" t="s">
        <v>236</v>
      </c>
      <c r="Q1923" s="2" t="s">
        <v>237</v>
      </c>
      <c r="R1923" s="2" t="s">
        <v>231</v>
      </c>
      <c r="S1923" s="2" t="s">
        <v>231</v>
      </c>
      <c r="T1923" s="2" t="s">
        <v>231</v>
      </c>
      <c r="U1923" s="2" t="s">
        <v>327</v>
      </c>
      <c r="V1923" s="2" t="s">
        <v>662</v>
      </c>
      <c r="W1923" s="2" t="s">
        <v>299</v>
      </c>
      <c r="X1923" s="2" t="s">
        <v>299</v>
      </c>
      <c r="Y1923" s="2" t="s">
        <v>7240</v>
      </c>
      <c r="Z1923" s="4">
        <v>92</v>
      </c>
      <c r="AA1923" s="4">
        <f>=ROUNDDOWN(46,0)</f>
      </c>
      <c r="AB1923" s="5">
        <v>2</v>
      </c>
      <c r="AC1923" s="2" t="s">
        <v>231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231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5</v>
      </c>
      <c r="BK1923" s="8">
        <v>420.09</v>
      </c>
      <c r="BL1923" s="2" t="s">
        <v>5180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8743</v>
      </c>
      <c r="BV1923" s="2" t="s">
        <v>231</v>
      </c>
      <c r="BW1923" s="2" t="s">
        <v>231</v>
      </c>
      <c r="BX1923" s="2" t="s">
        <v>241</v>
      </c>
      <c r="BY1923" s="2" t="s">
        <v>277</v>
      </c>
      <c r="BZ1923" s="2" t="s">
        <v>243</v>
      </c>
      <c r="CA1923" s="2" t="s">
        <v>8744</v>
      </c>
      <c r="CB1923" s="2" t="s">
        <v>231</v>
      </c>
      <c r="CC1923" s="2" t="s">
        <v>244</v>
      </c>
      <c r="CD1923" s="2" t="s">
        <v>231</v>
      </c>
      <c r="CE1923" s="4"/>
      <c r="CF1923" s="4">
        <v>92</v>
      </c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</row>
    <row r="1924">
      <c r="A1924" s="2" t="s">
        <v>8745</v>
      </c>
      <c r="B1924" s="2" t="s">
        <v>1004</v>
      </c>
      <c r="C1924" s="2" t="s">
        <v>815</v>
      </c>
      <c r="D1924" s="2" t="s">
        <v>1917</v>
      </c>
      <c r="E1924" s="2" t="s">
        <v>1032</v>
      </c>
      <c r="F1924" s="2" t="s">
        <v>7490</v>
      </c>
      <c r="G1924" s="2" t="s">
        <v>7490</v>
      </c>
      <c r="H1924" s="2" t="s">
        <v>7490</v>
      </c>
      <c r="I1924" s="2" t="s">
        <v>8746</v>
      </c>
      <c r="J1924" s="2" t="s">
        <v>807</v>
      </c>
      <c r="K1924" s="2" t="s">
        <v>1496</v>
      </c>
      <c r="L1924" s="3">
        <v>165</v>
      </c>
      <c r="M1924" s="3">
        <v>173.25</v>
      </c>
      <c r="N1924" s="3">
        <v>349</v>
      </c>
      <c r="O1924" s="2" t="s">
        <v>243</v>
      </c>
      <c r="P1924" s="2" t="s">
        <v>1915</v>
      </c>
      <c r="Q1924" s="2" t="s">
        <v>237</v>
      </c>
      <c r="R1924" s="2" t="s">
        <v>231</v>
      </c>
      <c r="S1924" s="2" t="s">
        <v>231</v>
      </c>
      <c r="T1924" s="2" t="s">
        <v>231</v>
      </c>
      <c r="U1924" s="2" t="s">
        <v>327</v>
      </c>
      <c r="V1924" s="2" t="s">
        <v>662</v>
      </c>
      <c r="W1924" s="2" t="s">
        <v>808</v>
      </c>
      <c r="X1924" s="2" t="s">
        <v>691</v>
      </c>
      <c r="Y1924" s="2" t="s">
        <v>231</v>
      </c>
      <c r="Z1924" s="4"/>
      <c r="AA1924" s="4">
        <f>=ROUNDDOWN({0},0)</f>
      </c>
      <c r="AB1924" s="5"/>
      <c r="AC1924" s="2" t="s">
        <v>1695</v>
      </c>
      <c r="AD1924" s="4">
        <v>99</v>
      </c>
      <c r="AE1924" s="4">
        <v>100</v>
      </c>
      <c r="AF1924" s="6">
        <v>66</v>
      </c>
      <c r="AG1924" s="6"/>
      <c r="AH1924" s="7">
        <v>0</v>
      </c>
      <c r="AI1924" s="4"/>
      <c r="AJ1924" s="4">
        <f>=ROUNDDOWN({0},0)</f>
      </c>
      <c r="AK1924" s="5"/>
      <c r="AL1924" s="2" t="s">
        <v>231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/>
      <c r="BK1924" s="8"/>
      <c r="BL1924" s="2" t="s">
        <v>231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241</v>
      </c>
      <c r="BV1924" s="2" t="s">
        <v>231</v>
      </c>
      <c r="BW1924" s="2" t="s">
        <v>231</v>
      </c>
      <c r="BX1924" s="2" t="s">
        <v>241</v>
      </c>
      <c r="BY1924" s="2" t="s">
        <v>242</v>
      </c>
      <c r="BZ1924" s="2" t="s">
        <v>243</v>
      </c>
      <c r="CA1924" s="2" t="s">
        <v>231</v>
      </c>
      <c r="CB1924" s="2" t="s">
        <v>231</v>
      </c>
      <c r="CC1924" s="2" t="s">
        <v>244</v>
      </c>
      <c r="CD1924" s="2" t="s">
        <v>231</v>
      </c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>
        <v>99</v>
      </c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>
        <v>1</v>
      </c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</row>
    <row r="1925">
      <c r="A1925" s="2" t="s">
        <v>8747</v>
      </c>
      <c r="B1925" s="2" t="s">
        <v>1186</v>
      </c>
      <c r="C1925" s="2" t="s">
        <v>357</v>
      </c>
      <c r="D1925" s="2" t="s">
        <v>654</v>
      </c>
      <c r="E1925" s="2" t="s">
        <v>8748</v>
      </c>
      <c r="F1925" s="2" t="s">
        <v>8749</v>
      </c>
      <c r="G1925" s="2" t="s">
        <v>8750</v>
      </c>
      <c r="H1925" s="2" t="s">
        <v>8751</v>
      </c>
      <c r="I1925" s="2" t="s">
        <v>8752</v>
      </c>
      <c r="J1925" s="2" t="s">
        <v>304</v>
      </c>
      <c r="K1925" s="2" t="s">
        <v>294</v>
      </c>
      <c r="L1925" s="3">
        <v>109.19</v>
      </c>
      <c r="M1925" s="3">
        <v>114.65</v>
      </c>
      <c r="N1925" s="3">
        <v>209.99</v>
      </c>
      <c r="O1925" s="2" t="s">
        <v>243</v>
      </c>
      <c r="P1925" s="2" t="s">
        <v>341</v>
      </c>
      <c r="Q1925" s="2" t="s">
        <v>237</v>
      </c>
      <c r="R1925" s="2" t="s">
        <v>231</v>
      </c>
      <c r="S1925" s="2" t="s">
        <v>8753</v>
      </c>
      <c r="T1925" s="2" t="s">
        <v>231</v>
      </c>
      <c r="U1925" s="2" t="s">
        <v>8754</v>
      </c>
      <c r="V1925" s="2" t="s">
        <v>1444</v>
      </c>
      <c r="W1925" s="2" t="s">
        <v>676</v>
      </c>
      <c r="X1925" s="2" t="s">
        <v>299</v>
      </c>
      <c r="Y1925" s="2" t="s">
        <v>274</v>
      </c>
      <c r="Z1925" s="4">
        <v>121</v>
      </c>
      <c r="AA1925" s="4">
        <f>=ROUNDDOWN(24.2,0)</f>
      </c>
      <c r="AB1925" s="5">
        <v>5</v>
      </c>
      <c r="AC1925" s="2" t="s">
        <v>231</v>
      </c>
      <c r="AD1925" s="4"/>
      <c r="AE1925" s="4"/>
      <c r="AF1925" s="6">
        <v>64</v>
      </c>
      <c r="AG1925" s="6"/>
      <c r="AH1925" s="7">
        <v>1</v>
      </c>
      <c r="AI1925" s="4"/>
      <c r="AJ1925" s="4">
        <f>=ROUNDDOWN({0},0)</f>
      </c>
      <c r="AK1925" s="5"/>
      <c r="AL1925" s="2" t="s">
        <v>231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>
        <v>15</v>
      </c>
      <c r="BK1925" s="8">
        <v>1441.7</v>
      </c>
      <c r="BL1925" s="2" t="s">
        <v>8755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8756</v>
      </c>
      <c r="BV1925" s="2" t="s">
        <v>231</v>
      </c>
      <c r="BW1925" s="2" t="s">
        <v>231</v>
      </c>
      <c r="BX1925" s="2" t="s">
        <v>231</v>
      </c>
      <c r="BY1925" s="2" t="s">
        <v>277</v>
      </c>
      <c r="BZ1925" s="2" t="s">
        <v>243</v>
      </c>
      <c r="CA1925" s="2" t="s">
        <v>284</v>
      </c>
      <c r="CB1925" s="2" t="s">
        <v>8757</v>
      </c>
      <c r="CC1925" s="2" t="s">
        <v>244</v>
      </c>
      <c r="CD1925" s="2" t="s">
        <v>231</v>
      </c>
      <c r="CE1925" s="4">
        <v>78</v>
      </c>
      <c r="CF1925" s="4"/>
      <c r="CG1925" s="4"/>
      <c r="CH1925" s="4"/>
      <c r="CI1925" s="4">
        <v>43</v>
      </c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</row>
    <row r="1926">
      <c r="A1926" s="2" t="s">
        <v>8758</v>
      </c>
      <c r="B1926" s="2" t="s">
        <v>287</v>
      </c>
      <c r="C1926" s="2" t="s">
        <v>965</v>
      </c>
      <c r="D1926" s="2" t="s">
        <v>289</v>
      </c>
      <c r="E1926" s="2" t="s">
        <v>290</v>
      </c>
      <c r="F1926" s="2" t="s">
        <v>8759</v>
      </c>
      <c r="G1926" s="2" t="s">
        <v>8759</v>
      </c>
      <c r="H1926" s="2" t="s">
        <v>8759</v>
      </c>
      <c r="I1926" s="2" t="s">
        <v>359</v>
      </c>
      <c r="J1926" s="2" t="s">
        <v>318</v>
      </c>
      <c r="K1926" s="2" t="s">
        <v>985</v>
      </c>
      <c r="L1926" s="3">
        <v>21.62</v>
      </c>
      <c r="M1926" s="3">
        <v>22.7</v>
      </c>
      <c r="N1926" s="3">
        <v>46.99</v>
      </c>
      <c r="O1926" s="2" t="s">
        <v>243</v>
      </c>
      <c r="P1926" s="2" t="s">
        <v>295</v>
      </c>
      <c r="Q1926" s="2" t="s">
        <v>237</v>
      </c>
      <c r="R1926" s="2" t="s">
        <v>231</v>
      </c>
      <c r="S1926" s="2" t="s">
        <v>8760</v>
      </c>
      <c r="T1926" s="2" t="s">
        <v>595</v>
      </c>
      <c r="U1926" s="2" t="s">
        <v>835</v>
      </c>
      <c r="V1926" s="2" t="s">
        <v>239</v>
      </c>
      <c r="W1926" s="2" t="s">
        <v>273</v>
      </c>
      <c r="X1926" s="2" t="s">
        <v>691</v>
      </c>
      <c r="Y1926" s="2" t="s">
        <v>231</v>
      </c>
      <c r="Z1926" s="4"/>
      <c r="AA1926" s="4">
        <f>=ROUNDDOWN({0},0)</f>
      </c>
      <c r="AB1926" s="5"/>
      <c r="AC1926" s="2" t="s">
        <v>1556</v>
      </c>
      <c r="AD1926" s="4">
        <v>210</v>
      </c>
      <c r="AE1926" s="4">
        <v>340</v>
      </c>
      <c r="AF1926" s="6">
        <v>65</v>
      </c>
      <c r="AG1926" s="6"/>
      <c r="AH1926" s="7">
        <v>0</v>
      </c>
      <c r="AI1926" s="4"/>
      <c r="AJ1926" s="4">
        <f>=ROUNDDOWN({0},0)</f>
      </c>
      <c r="AK1926" s="5"/>
      <c r="AL1926" s="2" t="s">
        <v>231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 t="s">
        <v>231</v>
      </c>
      <c r="AW1926" s="8" t="s">
        <v>231</v>
      </c>
      <c r="AX1926" s="4" t="s">
        <v>231</v>
      </c>
      <c r="AY1926" s="8" t="s">
        <v>231</v>
      </c>
      <c r="AZ1926" s="7" t="s">
        <v>231</v>
      </c>
      <c r="BA1926" s="7" t="s">
        <v>231</v>
      </c>
      <c r="BB1926" s="7"/>
      <c r="BC1926" s="4" t="s">
        <v>231</v>
      </c>
      <c r="BD1926" s="8" t="s">
        <v>231</v>
      </c>
      <c r="BE1926" s="4" t="s">
        <v>231</v>
      </c>
      <c r="BF1926" s="8" t="s">
        <v>231</v>
      </c>
      <c r="BG1926" s="7" t="s">
        <v>231</v>
      </c>
      <c r="BH1926" s="7" t="s">
        <v>231</v>
      </c>
      <c r="BI1926" s="7"/>
      <c r="BJ1926" s="4"/>
      <c r="BK1926" s="8"/>
      <c r="BL1926" s="2" t="s">
        <v>231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241</v>
      </c>
      <c r="BV1926" s="2" t="s">
        <v>231</v>
      </c>
      <c r="BW1926" s="2" t="s">
        <v>231</v>
      </c>
      <c r="BX1926" s="2" t="s">
        <v>241</v>
      </c>
      <c r="BY1926" s="2" t="s">
        <v>242</v>
      </c>
      <c r="BZ1926" s="2" t="s">
        <v>243</v>
      </c>
      <c r="CA1926" s="2" t="s">
        <v>231</v>
      </c>
      <c r="CB1926" s="2" t="s">
        <v>231</v>
      </c>
      <c r="CC1926" s="2" t="s">
        <v>244</v>
      </c>
      <c r="CD1926" s="2" t="s">
        <v>231</v>
      </c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>
        <v>210</v>
      </c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>
        <v>130</v>
      </c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</row>
    <row r="1927">
      <c r="A1927" s="2" t="s">
        <v>8761</v>
      </c>
      <c r="B1927" s="2" t="s">
        <v>287</v>
      </c>
      <c r="C1927" s="2" t="s">
        <v>965</v>
      </c>
      <c r="D1927" s="2" t="s">
        <v>289</v>
      </c>
      <c r="E1927" s="2" t="s">
        <v>290</v>
      </c>
      <c r="F1927" s="2" t="s">
        <v>8759</v>
      </c>
      <c r="G1927" s="2" t="s">
        <v>8759</v>
      </c>
      <c r="H1927" s="2" t="s">
        <v>8759</v>
      </c>
      <c r="I1927" s="2" t="s">
        <v>359</v>
      </c>
      <c r="J1927" s="2" t="s">
        <v>268</v>
      </c>
      <c r="K1927" s="2" t="s">
        <v>985</v>
      </c>
      <c r="L1927" s="3">
        <v>23.04</v>
      </c>
      <c r="M1927" s="3">
        <v>24.19</v>
      </c>
      <c r="N1927" s="3">
        <v>47.99</v>
      </c>
      <c r="O1927" s="2" t="s">
        <v>243</v>
      </c>
      <c r="P1927" s="2" t="s">
        <v>295</v>
      </c>
      <c r="Q1927" s="2" t="s">
        <v>237</v>
      </c>
      <c r="R1927" s="2" t="s">
        <v>231</v>
      </c>
      <c r="S1927" s="2" t="s">
        <v>8760</v>
      </c>
      <c r="T1927" s="2" t="s">
        <v>595</v>
      </c>
      <c r="U1927" s="2" t="s">
        <v>835</v>
      </c>
      <c r="V1927" s="2" t="s">
        <v>239</v>
      </c>
      <c r="W1927" s="2" t="s">
        <v>273</v>
      </c>
      <c r="X1927" s="2" t="s">
        <v>691</v>
      </c>
      <c r="Y1927" s="2" t="s">
        <v>231</v>
      </c>
      <c r="Z1927" s="4"/>
      <c r="AA1927" s="4">
        <f>=ROUNDDOWN({0},0)</f>
      </c>
      <c r="AB1927" s="5"/>
      <c r="AC1927" s="2" t="s">
        <v>1556</v>
      </c>
      <c r="AD1927" s="4">
        <v>300</v>
      </c>
      <c r="AE1927" s="4">
        <v>480</v>
      </c>
      <c r="AF1927" s="6">
        <v>65</v>
      </c>
      <c r="AG1927" s="6"/>
      <c r="AH1927" s="7">
        <v>0</v>
      </c>
      <c r="AI1927" s="4"/>
      <c r="AJ1927" s="4">
        <f>=ROUNDDOWN({0},0)</f>
      </c>
      <c r="AK1927" s="5"/>
      <c r="AL1927" s="2" t="s">
        <v>231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231</v>
      </c>
      <c r="AW1927" s="8" t="s">
        <v>231</v>
      </c>
      <c r="AX1927" s="4" t="s">
        <v>231</v>
      </c>
      <c r="AY1927" s="8" t="s">
        <v>231</v>
      </c>
      <c r="AZ1927" s="7" t="s">
        <v>231</v>
      </c>
      <c r="BA1927" s="7" t="s">
        <v>231</v>
      </c>
      <c r="BB1927" s="7"/>
      <c r="BC1927" s="4" t="s">
        <v>231</v>
      </c>
      <c r="BD1927" s="8" t="s">
        <v>231</v>
      </c>
      <c r="BE1927" s="4" t="s">
        <v>231</v>
      </c>
      <c r="BF1927" s="8" t="s">
        <v>231</v>
      </c>
      <c r="BG1927" s="7" t="s">
        <v>231</v>
      </c>
      <c r="BH1927" s="7" t="s">
        <v>231</v>
      </c>
      <c r="BI1927" s="7"/>
      <c r="BJ1927" s="4"/>
      <c r="BK1927" s="8"/>
      <c r="BL1927" s="2" t="s">
        <v>231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241</v>
      </c>
      <c r="BV1927" s="2" t="s">
        <v>231</v>
      </c>
      <c r="BW1927" s="2" t="s">
        <v>231</v>
      </c>
      <c r="BX1927" s="2" t="s">
        <v>241</v>
      </c>
      <c r="BY1927" s="2" t="s">
        <v>242</v>
      </c>
      <c r="BZ1927" s="2" t="s">
        <v>243</v>
      </c>
      <c r="CA1927" s="2" t="s">
        <v>231</v>
      </c>
      <c r="CB1927" s="2" t="s">
        <v>231</v>
      </c>
      <c r="CC1927" s="2" t="s">
        <v>244</v>
      </c>
      <c r="CD1927" s="2" t="s">
        <v>231</v>
      </c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>
        <v>300</v>
      </c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>
        <v>180</v>
      </c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</row>
    <row r="1928">
      <c r="A1928" s="2" t="s">
        <v>8762</v>
      </c>
      <c r="B1928" s="2" t="s">
        <v>287</v>
      </c>
      <c r="C1928" s="2" t="s">
        <v>965</v>
      </c>
      <c r="D1928" s="2" t="s">
        <v>289</v>
      </c>
      <c r="E1928" s="2" t="s">
        <v>290</v>
      </c>
      <c r="F1928" s="2" t="s">
        <v>8759</v>
      </c>
      <c r="G1928" s="2" t="s">
        <v>8759</v>
      </c>
      <c r="H1928" s="2" t="s">
        <v>8759</v>
      </c>
      <c r="I1928" s="2" t="s">
        <v>359</v>
      </c>
      <c r="J1928" s="2" t="s">
        <v>281</v>
      </c>
      <c r="K1928" s="2" t="s">
        <v>985</v>
      </c>
      <c r="L1928" s="3">
        <v>25.3</v>
      </c>
      <c r="M1928" s="3">
        <v>26.57</v>
      </c>
      <c r="N1928" s="3">
        <v>54.99</v>
      </c>
      <c r="O1928" s="2" t="s">
        <v>243</v>
      </c>
      <c r="P1928" s="2" t="s">
        <v>295</v>
      </c>
      <c r="Q1928" s="2" t="s">
        <v>237</v>
      </c>
      <c r="R1928" s="2" t="s">
        <v>231</v>
      </c>
      <c r="S1928" s="2" t="s">
        <v>8760</v>
      </c>
      <c r="T1928" s="2" t="s">
        <v>595</v>
      </c>
      <c r="U1928" s="2" t="s">
        <v>298</v>
      </c>
      <c r="V1928" s="2" t="s">
        <v>239</v>
      </c>
      <c r="W1928" s="2" t="s">
        <v>273</v>
      </c>
      <c r="X1928" s="2" t="s">
        <v>691</v>
      </c>
      <c r="Y1928" s="2" t="s">
        <v>231</v>
      </c>
      <c r="Z1928" s="4"/>
      <c r="AA1928" s="4">
        <f>=ROUNDDOWN({0},0)</f>
      </c>
      <c r="AB1928" s="5"/>
      <c r="AC1928" s="2" t="s">
        <v>1556</v>
      </c>
      <c r="AD1928" s="4">
        <v>360</v>
      </c>
      <c r="AE1928" s="4">
        <v>580</v>
      </c>
      <c r="AF1928" s="6">
        <v>65</v>
      </c>
      <c r="AG1928" s="6"/>
      <c r="AH1928" s="7">
        <v>0</v>
      </c>
      <c r="AI1928" s="4"/>
      <c r="AJ1928" s="4">
        <f>=ROUNDDOWN({0},0)</f>
      </c>
      <c r="AK1928" s="5"/>
      <c r="AL1928" s="2" t="s">
        <v>231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231</v>
      </c>
      <c r="AW1928" s="8" t="s">
        <v>231</v>
      </c>
      <c r="AX1928" s="4" t="s">
        <v>231</v>
      </c>
      <c r="AY1928" s="8" t="s">
        <v>231</v>
      </c>
      <c r="AZ1928" s="7" t="s">
        <v>231</v>
      </c>
      <c r="BA1928" s="7" t="s">
        <v>231</v>
      </c>
      <c r="BB1928" s="7"/>
      <c r="BC1928" s="4" t="s">
        <v>231</v>
      </c>
      <c r="BD1928" s="8" t="s">
        <v>231</v>
      </c>
      <c r="BE1928" s="4" t="s">
        <v>231</v>
      </c>
      <c r="BF1928" s="8" t="s">
        <v>231</v>
      </c>
      <c r="BG1928" s="7" t="s">
        <v>231</v>
      </c>
      <c r="BH1928" s="7" t="s">
        <v>231</v>
      </c>
      <c r="BI1928" s="7"/>
      <c r="BJ1928" s="4"/>
      <c r="BK1928" s="8"/>
      <c r="BL1928" s="2" t="s">
        <v>231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241</v>
      </c>
      <c r="BV1928" s="2" t="s">
        <v>231</v>
      </c>
      <c r="BW1928" s="2" t="s">
        <v>231</v>
      </c>
      <c r="BX1928" s="2" t="s">
        <v>241</v>
      </c>
      <c r="BY1928" s="2" t="s">
        <v>242</v>
      </c>
      <c r="BZ1928" s="2" t="s">
        <v>243</v>
      </c>
      <c r="CA1928" s="2" t="s">
        <v>231</v>
      </c>
      <c r="CB1928" s="2" t="s">
        <v>231</v>
      </c>
      <c r="CC1928" s="2" t="s">
        <v>244</v>
      </c>
      <c r="CD1928" s="2" t="s">
        <v>231</v>
      </c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>
        <v>360</v>
      </c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>
        <v>220</v>
      </c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</row>
    <row r="1929">
      <c r="A1929" s="2" t="s">
        <v>8763</v>
      </c>
      <c r="B1929" s="2" t="s">
        <v>287</v>
      </c>
      <c r="C1929" s="2" t="s">
        <v>965</v>
      </c>
      <c r="D1929" s="2" t="s">
        <v>289</v>
      </c>
      <c r="E1929" s="2" t="s">
        <v>290</v>
      </c>
      <c r="F1929" s="2" t="s">
        <v>8759</v>
      </c>
      <c r="G1929" s="2" t="s">
        <v>8759</v>
      </c>
      <c r="H1929" s="2" t="s">
        <v>8759</v>
      </c>
      <c r="I1929" s="2" t="s">
        <v>359</v>
      </c>
      <c r="J1929" s="2" t="s">
        <v>293</v>
      </c>
      <c r="K1929" s="2" t="s">
        <v>985</v>
      </c>
      <c r="L1929" s="3">
        <v>28.2</v>
      </c>
      <c r="M1929" s="3">
        <v>29.61</v>
      </c>
      <c r="N1929" s="3">
        <v>59.99</v>
      </c>
      <c r="O1929" s="2" t="s">
        <v>243</v>
      </c>
      <c r="P1929" s="2" t="s">
        <v>295</v>
      </c>
      <c r="Q1929" s="2" t="s">
        <v>237</v>
      </c>
      <c r="R1929" s="2" t="s">
        <v>231</v>
      </c>
      <c r="S1929" s="2" t="s">
        <v>8760</v>
      </c>
      <c r="T1929" s="2" t="s">
        <v>595</v>
      </c>
      <c r="U1929" s="2" t="s">
        <v>298</v>
      </c>
      <c r="V1929" s="2" t="s">
        <v>239</v>
      </c>
      <c r="W1929" s="2" t="s">
        <v>273</v>
      </c>
      <c r="X1929" s="2" t="s">
        <v>691</v>
      </c>
      <c r="Y1929" s="2" t="s">
        <v>231</v>
      </c>
      <c r="Z1929" s="4"/>
      <c r="AA1929" s="4">
        <f>=ROUNDDOWN({0},0)</f>
      </c>
      <c r="AB1929" s="5"/>
      <c r="AC1929" s="2" t="s">
        <v>1556</v>
      </c>
      <c r="AD1929" s="4">
        <v>670</v>
      </c>
      <c r="AE1929" s="4">
        <v>1080</v>
      </c>
      <c r="AF1929" s="6">
        <v>65</v>
      </c>
      <c r="AG1929" s="6"/>
      <c r="AH1929" s="7">
        <v>0</v>
      </c>
      <c r="AI1929" s="4"/>
      <c r="AJ1929" s="4">
        <f>=ROUNDDOWN({0},0)</f>
      </c>
      <c r="AK1929" s="5"/>
      <c r="AL1929" s="2" t="s">
        <v>231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231</v>
      </c>
      <c r="AW1929" s="8" t="s">
        <v>231</v>
      </c>
      <c r="AX1929" s="4" t="s">
        <v>231</v>
      </c>
      <c r="AY1929" s="8" t="s">
        <v>231</v>
      </c>
      <c r="AZ1929" s="7" t="s">
        <v>231</v>
      </c>
      <c r="BA1929" s="7" t="s">
        <v>231</v>
      </c>
      <c r="BB1929" s="7"/>
      <c r="BC1929" s="4" t="s">
        <v>231</v>
      </c>
      <c r="BD1929" s="8" t="s">
        <v>231</v>
      </c>
      <c r="BE1929" s="4" t="s">
        <v>231</v>
      </c>
      <c r="BF1929" s="8" t="s">
        <v>231</v>
      </c>
      <c r="BG1929" s="7" t="s">
        <v>231</v>
      </c>
      <c r="BH1929" s="7" t="s">
        <v>231</v>
      </c>
      <c r="BI1929" s="7"/>
      <c r="BJ1929" s="4"/>
      <c r="BK1929" s="8"/>
      <c r="BL1929" s="2" t="s">
        <v>231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241</v>
      </c>
      <c r="BV1929" s="2" t="s">
        <v>231</v>
      </c>
      <c r="BW1929" s="2" t="s">
        <v>231</v>
      </c>
      <c r="BX1929" s="2" t="s">
        <v>241</v>
      </c>
      <c r="BY1929" s="2" t="s">
        <v>242</v>
      </c>
      <c r="BZ1929" s="2" t="s">
        <v>243</v>
      </c>
      <c r="CA1929" s="2" t="s">
        <v>231</v>
      </c>
      <c r="CB1929" s="2" t="s">
        <v>231</v>
      </c>
      <c r="CC1929" s="2" t="s">
        <v>244</v>
      </c>
      <c r="CD1929" s="2" t="s">
        <v>231</v>
      </c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>
        <v>670</v>
      </c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>
        <v>410</v>
      </c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</row>
    <row r="1930">
      <c r="A1930" s="2" t="s">
        <v>8764</v>
      </c>
      <c r="B1930" s="2" t="s">
        <v>287</v>
      </c>
      <c r="C1930" s="2" t="s">
        <v>965</v>
      </c>
      <c r="D1930" s="2" t="s">
        <v>289</v>
      </c>
      <c r="E1930" s="2" t="s">
        <v>290</v>
      </c>
      <c r="F1930" s="2" t="s">
        <v>8759</v>
      </c>
      <c r="G1930" s="2" t="s">
        <v>8759</v>
      </c>
      <c r="H1930" s="2" t="s">
        <v>8759</v>
      </c>
      <c r="I1930" s="2" t="s">
        <v>359</v>
      </c>
      <c r="J1930" s="2" t="s">
        <v>302</v>
      </c>
      <c r="K1930" s="2" t="s">
        <v>985</v>
      </c>
      <c r="L1930" s="3">
        <v>31.2</v>
      </c>
      <c r="M1930" s="3">
        <v>32.76</v>
      </c>
      <c r="N1930" s="3">
        <v>64.99</v>
      </c>
      <c r="O1930" s="2" t="s">
        <v>243</v>
      </c>
      <c r="P1930" s="2" t="s">
        <v>295</v>
      </c>
      <c r="Q1930" s="2" t="s">
        <v>237</v>
      </c>
      <c r="R1930" s="2" t="s">
        <v>231</v>
      </c>
      <c r="S1930" s="2" t="s">
        <v>8760</v>
      </c>
      <c r="T1930" s="2" t="s">
        <v>595</v>
      </c>
      <c r="U1930" s="2" t="s">
        <v>298</v>
      </c>
      <c r="V1930" s="2" t="s">
        <v>239</v>
      </c>
      <c r="W1930" s="2" t="s">
        <v>273</v>
      </c>
      <c r="X1930" s="2" t="s">
        <v>691</v>
      </c>
      <c r="Y1930" s="2" t="s">
        <v>231</v>
      </c>
      <c r="Z1930" s="4"/>
      <c r="AA1930" s="4">
        <f>=ROUNDDOWN({0},0)</f>
      </c>
      <c r="AB1930" s="5"/>
      <c r="AC1930" s="2" t="s">
        <v>1556</v>
      </c>
      <c r="AD1930" s="4">
        <v>310</v>
      </c>
      <c r="AE1930" s="4">
        <v>500</v>
      </c>
      <c r="AF1930" s="6">
        <v>65</v>
      </c>
      <c r="AG1930" s="6"/>
      <c r="AH1930" s="7">
        <v>0</v>
      </c>
      <c r="AI1930" s="4"/>
      <c r="AJ1930" s="4">
        <f>=ROUNDDOWN({0},0)</f>
      </c>
      <c r="AK1930" s="5"/>
      <c r="AL1930" s="2" t="s">
        <v>231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 t="s">
        <v>231</v>
      </c>
      <c r="AW1930" s="8" t="s">
        <v>231</v>
      </c>
      <c r="AX1930" s="4" t="s">
        <v>231</v>
      </c>
      <c r="AY1930" s="8" t="s">
        <v>231</v>
      </c>
      <c r="AZ1930" s="7" t="s">
        <v>231</v>
      </c>
      <c r="BA1930" s="7" t="s">
        <v>231</v>
      </c>
      <c r="BB1930" s="7"/>
      <c r="BC1930" s="4" t="s">
        <v>231</v>
      </c>
      <c r="BD1930" s="8" t="s">
        <v>231</v>
      </c>
      <c r="BE1930" s="4" t="s">
        <v>231</v>
      </c>
      <c r="BF1930" s="8" t="s">
        <v>231</v>
      </c>
      <c r="BG1930" s="7" t="s">
        <v>231</v>
      </c>
      <c r="BH1930" s="7" t="s">
        <v>231</v>
      </c>
      <c r="BI1930" s="7"/>
      <c r="BJ1930" s="4"/>
      <c r="BK1930" s="8"/>
      <c r="BL1930" s="2" t="s">
        <v>231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241</v>
      </c>
      <c r="BV1930" s="2" t="s">
        <v>231</v>
      </c>
      <c r="BW1930" s="2" t="s">
        <v>231</v>
      </c>
      <c r="BX1930" s="2" t="s">
        <v>241</v>
      </c>
      <c r="BY1930" s="2" t="s">
        <v>242</v>
      </c>
      <c r="BZ1930" s="2" t="s">
        <v>243</v>
      </c>
      <c r="CA1930" s="2" t="s">
        <v>231</v>
      </c>
      <c r="CB1930" s="2" t="s">
        <v>231</v>
      </c>
      <c r="CC1930" s="2" t="s">
        <v>244</v>
      </c>
      <c r="CD1930" s="2" t="s">
        <v>231</v>
      </c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>
        <v>310</v>
      </c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>
        <v>190</v>
      </c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</row>
    <row r="1931">
      <c r="A1931" s="2" t="s">
        <v>8765</v>
      </c>
      <c r="B1931" s="2" t="s">
        <v>287</v>
      </c>
      <c r="C1931" s="2" t="s">
        <v>965</v>
      </c>
      <c r="D1931" s="2" t="s">
        <v>289</v>
      </c>
      <c r="E1931" s="2" t="s">
        <v>290</v>
      </c>
      <c r="F1931" s="2" t="s">
        <v>8759</v>
      </c>
      <c r="G1931" s="2" t="s">
        <v>8759</v>
      </c>
      <c r="H1931" s="2" t="s">
        <v>8759</v>
      </c>
      <c r="I1931" s="2" t="s">
        <v>359</v>
      </c>
      <c r="J1931" s="2" t="s">
        <v>304</v>
      </c>
      <c r="K1931" s="2" t="s">
        <v>985</v>
      </c>
      <c r="L1931" s="3">
        <v>31.85</v>
      </c>
      <c r="M1931" s="3">
        <v>33.44</v>
      </c>
      <c r="N1931" s="3">
        <v>64.99</v>
      </c>
      <c r="O1931" s="2" t="s">
        <v>243</v>
      </c>
      <c r="P1931" s="2" t="s">
        <v>295</v>
      </c>
      <c r="Q1931" s="2" t="s">
        <v>237</v>
      </c>
      <c r="R1931" s="2" t="s">
        <v>231</v>
      </c>
      <c r="S1931" s="2" t="s">
        <v>8760</v>
      </c>
      <c r="T1931" s="2" t="s">
        <v>595</v>
      </c>
      <c r="U1931" s="2" t="s">
        <v>298</v>
      </c>
      <c r="V1931" s="2" t="s">
        <v>239</v>
      </c>
      <c r="W1931" s="2" t="s">
        <v>273</v>
      </c>
      <c r="X1931" s="2" t="s">
        <v>691</v>
      </c>
      <c r="Y1931" s="2" t="s">
        <v>231</v>
      </c>
      <c r="Z1931" s="4"/>
      <c r="AA1931" s="4">
        <f>=ROUNDDOWN({0},0)</f>
      </c>
      <c r="AB1931" s="5"/>
      <c r="AC1931" s="2" t="s">
        <v>1556</v>
      </c>
      <c r="AD1931" s="4">
        <v>110</v>
      </c>
      <c r="AE1931" s="4">
        <v>180</v>
      </c>
      <c r="AF1931" s="6">
        <v>65</v>
      </c>
      <c r="AG1931" s="6"/>
      <c r="AH1931" s="7">
        <v>0</v>
      </c>
      <c r="AI1931" s="4"/>
      <c r="AJ1931" s="4">
        <f>=ROUNDDOWN({0},0)</f>
      </c>
      <c r="AK1931" s="5"/>
      <c r="AL1931" s="2" t="s">
        <v>231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231</v>
      </c>
      <c r="AW1931" s="8" t="s">
        <v>231</v>
      </c>
      <c r="AX1931" s="4" t="s">
        <v>231</v>
      </c>
      <c r="AY1931" s="8" t="s">
        <v>231</v>
      </c>
      <c r="AZ1931" s="7" t="s">
        <v>231</v>
      </c>
      <c r="BA1931" s="7" t="s">
        <v>231</v>
      </c>
      <c r="BB1931" s="7"/>
      <c r="BC1931" s="4" t="s">
        <v>231</v>
      </c>
      <c r="BD1931" s="8" t="s">
        <v>231</v>
      </c>
      <c r="BE1931" s="4" t="s">
        <v>231</v>
      </c>
      <c r="BF1931" s="8" t="s">
        <v>231</v>
      </c>
      <c r="BG1931" s="7" t="s">
        <v>231</v>
      </c>
      <c r="BH1931" s="7" t="s">
        <v>231</v>
      </c>
      <c r="BI1931" s="7"/>
      <c r="BJ1931" s="4"/>
      <c r="BK1931" s="8"/>
      <c r="BL1931" s="2" t="s">
        <v>231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241</v>
      </c>
      <c r="BV1931" s="2" t="s">
        <v>231</v>
      </c>
      <c r="BW1931" s="2" t="s">
        <v>231</v>
      </c>
      <c r="BX1931" s="2" t="s">
        <v>241</v>
      </c>
      <c r="BY1931" s="2" t="s">
        <v>242</v>
      </c>
      <c r="BZ1931" s="2" t="s">
        <v>243</v>
      </c>
      <c r="CA1931" s="2" t="s">
        <v>231</v>
      </c>
      <c r="CB1931" s="2" t="s">
        <v>231</v>
      </c>
      <c r="CC1931" s="2" t="s">
        <v>244</v>
      </c>
      <c r="CD1931" s="2" t="s">
        <v>231</v>
      </c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>
        <v>110</v>
      </c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>
        <v>70</v>
      </c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</row>
    <row r="1932">
      <c r="A1932" s="2" t="s">
        <v>8766</v>
      </c>
      <c r="B1932" s="2" t="s">
        <v>287</v>
      </c>
      <c r="C1932" s="2" t="s">
        <v>965</v>
      </c>
      <c r="D1932" s="2" t="s">
        <v>289</v>
      </c>
      <c r="E1932" s="2" t="s">
        <v>290</v>
      </c>
      <c r="F1932" s="2" t="s">
        <v>8759</v>
      </c>
      <c r="G1932" s="2" t="s">
        <v>8759</v>
      </c>
      <c r="H1932" s="2" t="s">
        <v>8759</v>
      </c>
      <c r="I1932" s="2" t="s">
        <v>359</v>
      </c>
      <c r="J1932" s="2" t="s">
        <v>318</v>
      </c>
      <c r="K1932" s="2" t="s">
        <v>294</v>
      </c>
      <c r="L1932" s="3">
        <v>21.62</v>
      </c>
      <c r="M1932" s="3">
        <v>22.7</v>
      </c>
      <c r="N1932" s="3">
        <v>46.99</v>
      </c>
      <c r="O1932" s="2" t="s">
        <v>243</v>
      </c>
      <c r="P1932" s="2" t="s">
        <v>270</v>
      </c>
      <c r="Q1932" s="2" t="s">
        <v>237</v>
      </c>
      <c r="R1932" s="2" t="s">
        <v>231</v>
      </c>
      <c r="S1932" s="2" t="s">
        <v>8767</v>
      </c>
      <c r="T1932" s="2" t="s">
        <v>595</v>
      </c>
      <c r="U1932" s="2" t="s">
        <v>835</v>
      </c>
      <c r="V1932" s="2" t="s">
        <v>239</v>
      </c>
      <c r="W1932" s="2" t="s">
        <v>273</v>
      </c>
      <c r="X1932" s="2" t="s">
        <v>691</v>
      </c>
      <c r="Y1932" s="2" t="s">
        <v>7609</v>
      </c>
      <c r="Z1932" s="4">
        <v>3</v>
      </c>
      <c r="AA1932" s="4">
        <f>=ROUNDDOWN(0.428571428571429,0)</f>
      </c>
      <c r="AB1932" s="5">
        <v>7</v>
      </c>
      <c r="AC1932" s="2" t="s">
        <v>701</v>
      </c>
      <c r="AD1932" s="4">
        <v>60</v>
      </c>
      <c r="AE1932" s="4">
        <v>190</v>
      </c>
      <c r="AF1932" s="6">
        <v>65</v>
      </c>
      <c r="AG1932" s="6"/>
      <c r="AH1932" s="7">
        <v>0</v>
      </c>
      <c r="AI1932" s="4"/>
      <c r="AJ1932" s="4">
        <f>=ROUNDDOWN({0},0)</f>
      </c>
      <c r="AK1932" s="5"/>
      <c r="AL1932" s="2" t="s">
        <v>231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231</v>
      </c>
      <c r="AW1932" s="8" t="s">
        <v>231</v>
      </c>
      <c r="AX1932" s="4" t="s">
        <v>231</v>
      </c>
      <c r="AY1932" s="8" t="s">
        <v>231</v>
      </c>
      <c r="AZ1932" s="7" t="s">
        <v>231</v>
      </c>
      <c r="BA1932" s="7" t="s">
        <v>231</v>
      </c>
      <c r="BB1932" s="7"/>
      <c r="BC1932" s="4" t="s">
        <v>231</v>
      </c>
      <c r="BD1932" s="8" t="s">
        <v>231</v>
      </c>
      <c r="BE1932" s="4" t="s">
        <v>231</v>
      </c>
      <c r="BF1932" s="8" t="s">
        <v>231</v>
      </c>
      <c r="BG1932" s="7" t="s">
        <v>231</v>
      </c>
      <c r="BH1932" s="7" t="s">
        <v>231</v>
      </c>
      <c r="BI1932" s="7"/>
      <c r="BJ1932" s="4"/>
      <c r="BK1932" s="8"/>
      <c r="BL1932" s="2" t="s">
        <v>374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8768</v>
      </c>
      <c r="BV1932" s="2" t="s">
        <v>231</v>
      </c>
      <c r="BW1932" s="2" t="s">
        <v>231</v>
      </c>
      <c r="BX1932" s="2" t="s">
        <v>241</v>
      </c>
      <c r="BY1932" s="2" t="s">
        <v>277</v>
      </c>
      <c r="BZ1932" s="2" t="s">
        <v>243</v>
      </c>
      <c r="CA1932" s="2" t="s">
        <v>2062</v>
      </c>
      <c r="CB1932" s="2" t="s">
        <v>1740</v>
      </c>
      <c r="CC1932" s="2" t="s">
        <v>244</v>
      </c>
      <c r="CD1932" s="2" t="s">
        <v>231</v>
      </c>
      <c r="CE1932" s="4">
        <v>3</v>
      </c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>
        <v>60</v>
      </c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>
        <v>100</v>
      </c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>
        <v>30</v>
      </c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</row>
    <row r="1933">
      <c r="A1933" s="2" t="s">
        <v>8769</v>
      </c>
      <c r="B1933" s="2" t="s">
        <v>287</v>
      </c>
      <c r="C1933" s="2" t="s">
        <v>965</v>
      </c>
      <c r="D1933" s="2" t="s">
        <v>289</v>
      </c>
      <c r="E1933" s="2" t="s">
        <v>290</v>
      </c>
      <c r="F1933" s="2" t="s">
        <v>8759</v>
      </c>
      <c r="G1933" s="2" t="s">
        <v>8759</v>
      </c>
      <c r="H1933" s="2" t="s">
        <v>8759</v>
      </c>
      <c r="I1933" s="2" t="s">
        <v>359</v>
      </c>
      <c r="J1933" s="2" t="s">
        <v>268</v>
      </c>
      <c r="K1933" s="2" t="s">
        <v>294</v>
      </c>
      <c r="L1933" s="3">
        <v>23.04</v>
      </c>
      <c r="M1933" s="3">
        <v>24.19</v>
      </c>
      <c r="N1933" s="3">
        <v>47.99</v>
      </c>
      <c r="O1933" s="2" t="s">
        <v>243</v>
      </c>
      <c r="P1933" s="2" t="s">
        <v>270</v>
      </c>
      <c r="Q1933" s="2" t="s">
        <v>237</v>
      </c>
      <c r="R1933" s="2" t="s">
        <v>231</v>
      </c>
      <c r="S1933" s="2" t="s">
        <v>8767</v>
      </c>
      <c r="T1933" s="2" t="s">
        <v>595</v>
      </c>
      <c r="U1933" s="2" t="s">
        <v>835</v>
      </c>
      <c r="V1933" s="2" t="s">
        <v>239</v>
      </c>
      <c r="W1933" s="2" t="s">
        <v>273</v>
      </c>
      <c r="X1933" s="2" t="s">
        <v>691</v>
      </c>
      <c r="Y1933" s="2" t="s">
        <v>7609</v>
      </c>
      <c r="Z1933" s="4"/>
      <c r="AA1933" s="4">
        <f>=ROUNDDOWN({0},0)</f>
      </c>
      <c r="AB1933" s="5">
        <v>4</v>
      </c>
      <c r="AC1933" s="2" t="s">
        <v>701</v>
      </c>
      <c r="AD1933" s="4">
        <v>40</v>
      </c>
      <c r="AE1933" s="4">
        <v>120</v>
      </c>
      <c r="AF1933" s="6">
        <v>65</v>
      </c>
      <c r="AG1933" s="6"/>
      <c r="AH1933" s="7">
        <v>0.0645</v>
      </c>
      <c r="AI1933" s="4"/>
      <c r="AJ1933" s="4">
        <f>=ROUNDDOWN({0},0)</f>
      </c>
      <c r="AK1933" s="5"/>
      <c r="AL1933" s="2" t="s">
        <v>231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231</v>
      </c>
      <c r="AW1933" s="8" t="s">
        <v>231</v>
      </c>
      <c r="AX1933" s="4" t="s">
        <v>231</v>
      </c>
      <c r="AY1933" s="8" t="s">
        <v>231</v>
      </c>
      <c r="AZ1933" s="7" t="s">
        <v>231</v>
      </c>
      <c r="BA1933" s="7" t="s">
        <v>231</v>
      </c>
      <c r="BB1933" s="7"/>
      <c r="BC1933" s="4" t="s">
        <v>231</v>
      </c>
      <c r="BD1933" s="8" t="s">
        <v>231</v>
      </c>
      <c r="BE1933" s="4" t="s">
        <v>231</v>
      </c>
      <c r="BF1933" s="8" t="s">
        <v>231</v>
      </c>
      <c r="BG1933" s="7" t="s">
        <v>231</v>
      </c>
      <c r="BH1933" s="7" t="s">
        <v>231</v>
      </c>
      <c r="BI1933" s="7"/>
      <c r="BJ1933" s="4">
        <v>5</v>
      </c>
      <c r="BK1933" s="8">
        <v>126.7</v>
      </c>
      <c r="BL1933" s="2" t="s">
        <v>374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8770</v>
      </c>
      <c r="BV1933" s="2" t="s">
        <v>231</v>
      </c>
      <c r="BW1933" s="2" t="s">
        <v>231</v>
      </c>
      <c r="BX1933" s="2" t="s">
        <v>241</v>
      </c>
      <c r="BY1933" s="2" t="s">
        <v>277</v>
      </c>
      <c r="BZ1933" s="2" t="s">
        <v>243</v>
      </c>
      <c r="CA1933" s="2" t="s">
        <v>2062</v>
      </c>
      <c r="CB1933" s="2" t="s">
        <v>6260</v>
      </c>
      <c r="CC1933" s="2" t="s">
        <v>244</v>
      </c>
      <c r="CD1933" s="2" t="s">
        <v>231</v>
      </c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>
        <v>40</v>
      </c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>
        <v>60</v>
      </c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>
        <v>20</v>
      </c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</row>
    <row r="1934">
      <c r="A1934" s="2" t="s">
        <v>8771</v>
      </c>
      <c r="B1934" s="2" t="s">
        <v>287</v>
      </c>
      <c r="C1934" s="2" t="s">
        <v>965</v>
      </c>
      <c r="D1934" s="2" t="s">
        <v>289</v>
      </c>
      <c r="E1934" s="2" t="s">
        <v>290</v>
      </c>
      <c r="F1934" s="2" t="s">
        <v>8759</v>
      </c>
      <c r="G1934" s="2" t="s">
        <v>8759</v>
      </c>
      <c r="H1934" s="2" t="s">
        <v>8759</v>
      </c>
      <c r="I1934" s="2" t="s">
        <v>359</v>
      </c>
      <c r="J1934" s="2" t="s">
        <v>281</v>
      </c>
      <c r="K1934" s="2" t="s">
        <v>294</v>
      </c>
      <c r="L1934" s="3">
        <v>25.3</v>
      </c>
      <c r="M1934" s="3">
        <v>26.56</v>
      </c>
      <c r="N1934" s="3">
        <v>54.99</v>
      </c>
      <c r="O1934" s="2" t="s">
        <v>243</v>
      </c>
      <c r="P1934" s="2" t="s">
        <v>270</v>
      </c>
      <c r="Q1934" s="2" t="s">
        <v>237</v>
      </c>
      <c r="R1934" s="2" t="s">
        <v>231</v>
      </c>
      <c r="S1934" s="2" t="s">
        <v>8767</v>
      </c>
      <c r="T1934" s="2" t="s">
        <v>595</v>
      </c>
      <c r="U1934" s="2" t="s">
        <v>298</v>
      </c>
      <c r="V1934" s="2" t="s">
        <v>239</v>
      </c>
      <c r="W1934" s="2" t="s">
        <v>273</v>
      </c>
      <c r="X1934" s="2" t="s">
        <v>691</v>
      </c>
      <c r="Y1934" s="2" t="s">
        <v>7609</v>
      </c>
      <c r="Z1934" s="4">
        <v>33</v>
      </c>
      <c r="AA1934" s="4">
        <f>=ROUNDDOWN(4.71428571428571,0)</f>
      </c>
      <c r="AB1934" s="5">
        <v>7</v>
      </c>
      <c r="AC1934" s="2" t="s">
        <v>701</v>
      </c>
      <c r="AD1934" s="4">
        <v>60</v>
      </c>
      <c r="AE1934" s="4">
        <v>230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231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 t="s">
        <v>231</v>
      </c>
      <c r="AW1934" s="8" t="s">
        <v>231</v>
      </c>
      <c r="AX1934" s="4" t="s">
        <v>231</v>
      </c>
      <c r="AY1934" s="8" t="s">
        <v>231</v>
      </c>
      <c r="AZ1934" s="7" t="s">
        <v>231</v>
      </c>
      <c r="BA1934" s="7" t="s">
        <v>231</v>
      </c>
      <c r="BB1934" s="7"/>
      <c r="BC1934" s="4" t="s">
        <v>231</v>
      </c>
      <c r="BD1934" s="8" t="s">
        <v>231</v>
      </c>
      <c r="BE1934" s="4" t="s">
        <v>231</v>
      </c>
      <c r="BF1934" s="8" t="s">
        <v>231</v>
      </c>
      <c r="BG1934" s="7" t="s">
        <v>231</v>
      </c>
      <c r="BH1934" s="7" t="s">
        <v>231</v>
      </c>
      <c r="BI1934" s="7"/>
      <c r="BJ1934" s="4">
        <v>8</v>
      </c>
      <c r="BK1934" s="8">
        <v>224.36</v>
      </c>
      <c r="BL1934" s="2" t="s">
        <v>2900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8772</v>
      </c>
      <c r="BV1934" s="2" t="s">
        <v>231</v>
      </c>
      <c r="BW1934" s="2" t="s">
        <v>231</v>
      </c>
      <c r="BX1934" s="2" t="s">
        <v>241</v>
      </c>
      <c r="BY1934" s="2" t="s">
        <v>277</v>
      </c>
      <c r="BZ1934" s="2" t="s">
        <v>243</v>
      </c>
      <c r="CA1934" s="2" t="s">
        <v>2062</v>
      </c>
      <c r="CB1934" s="2" t="s">
        <v>8773</v>
      </c>
      <c r="CC1934" s="2" t="s">
        <v>244</v>
      </c>
      <c r="CD1934" s="2" t="s">
        <v>231</v>
      </c>
      <c r="CE1934" s="4">
        <v>33</v>
      </c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>
        <v>60</v>
      </c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>
        <v>120</v>
      </c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>
        <v>50</v>
      </c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</row>
    <row r="1935">
      <c r="A1935" s="2" t="s">
        <v>8774</v>
      </c>
      <c r="B1935" s="2" t="s">
        <v>287</v>
      </c>
      <c r="C1935" s="2" t="s">
        <v>965</v>
      </c>
      <c r="D1935" s="2" t="s">
        <v>289</v>
      </c>
      <c r="E1935" s="2" t="s">
        <v>290</v>
      </c>
      <c r="F1935" s="2" t="s">
        <v>8759</v>
      </c>
      <c r="G1935" s="2" t="s">
        <v>8759</v>
      </c>
      <c r="H1935" s="2" t="s">
        <v>8759</v>
      </c>
      <c r="I1935" s="2" t="s">
        <v>359</v>
      </c>
      <c r="J1935" s="2" t="s">
        <v>293</v>
      </c>
      <c r="K1935" s="2" t="s">
        <v>294</v>
      </c>
      <c r="L1935" s="3">
        <v>28.2</v>
      </c>
      <c r="M1935" s="3">
        <v>29.61</v>
      </c>
      <c r="N1935" s="3">
        <v>59.99</v>
      </c>
      <c r="O1935" s="2" t="s">
        <v>243</v>
      </c>
      <c r="P1935" s="2" t="s">
        <v>1281</v>
      </c>
      <c r="Q1935" s="2" t="s">
        <v>237</v>
      </c>
      <c r="R1935" s="2" t="s">
        <v>231</v>
      </c>
      <c r="S1935" s="2" t="s">
        <v>8767</v>
      </c>
      <c r="T1935" s="2" t="s">
        <v>595</v>
      </c>
      <c r="U1935" s="2" t="s">
        <v>298</v>
      </c>
      <c r="V1935" s="2" t="s">
        <v>239</v>
      </c>
      <c r="W1935" s="2" t="s">
        <v>273</v>
      </c>
      <c r="X1935" s="2" t="s">
        <v>691</v>
      </c>
      <c r="Y1935" s="2" t="s">
        <v>7609</v>
      </c>
      <c r="Z1935" s="4"/>
      <c r="AA1935" s="4">
        <f>=ROUNDDOWN({0},0)</f>
      </c>
      <c r="AB1935" s="5">
        <v>21</v>
      </c>
      <c r="AC1935" s="2" t="s">
        <v>701</v>
      </c>
      <c r="AD1935" s="4">
        <v>180</v>
      </c>
      <c r="AE1935" s="4">
        <v>670</v>
      </c>
      <c r="AF1935" s="6">
        <v>65</v>
      </c>
      <c r="AG1935" s="6"/>
      <c r="AH1935" s="7">
        <v>0</v>
      </c>
      <c r="AI1935" s="4"/>
      <c r="AJ1935" s="4">
        <f>=ROUNDDOWN({0},0)</f>
      </c>
      <c r="AK1935" s="5"/>
      <c r="AL1935" s="2" t="s">
        <v>231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 t="s">
        <v>231</v>
      </c>
      <c r="AW1935" s="8" t="s">
        <v>231</v>
      </c>
      <c r="AX1935" s="4" t="s">
        <v>231</v>
      </c>
      <c r="AY1935" s="8" t="s">
        <v>231</v>
      </c>
      <c r="AZ1935" s="7" t="s">
        <v>231</v>
      </c>
      <c r="BA1935" s="7" t="s">
        <v>231</v>
      </c>
      <c r="BB1935" s="7"/>
      <c r="BC1935" s="4" t="s">
        <v>231</v>
      </c>
      <c r="BD1935" s="8" t="s">
        <v>231</v>
      </c>
      <c r="BE1935" s="4" t="s">
        <v>231</v>
      </c>
      <c r="BF1935" s="8" t="s">
        <v>231</v>
      </c>
      <c r="BG1935" s="7" t="s">
        <v>231</v>
      </c>
      <c r="BH1935" s="7" t="s">
        <v>231</v>
      </c>
      <c r="BI1935" s="7"/>
      <c r="BJ1935" s="4"/>
      <c r="BK1935" s="8"/>
      <c r="BL1935" s="2" t="s">
        <v>1206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8775</v>
      </c>
      <c r="BV1935" s="2" t="s">
        <v>231</v>
      </c>
      <c r="BW1935" s="2" t="s">
        <v>231</v>
      </c>
      <c r="BX1935" s="2" t="s">
        <v>241</v>
      </c>
      <c r="BY1935" s="2" t="s">
        <v>277</v>
      </c>
      <c r="BZ1935" s="2" t="s">
        <v>243</v>
      </c>
      <c r="CA1935" s="2" t="s">
        <v>2060</v>
      </c>
      <c r="CB1935" s="2" t="s">
        <v>3455</v>
      </c>
      <c r="CC1935" s="2" t="s">
        <v>244</v>
      </c>
      <c r="CD1935" s="2" t="s">
        <v>231</v>
      </c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>
        <v>180</v>
      </c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>
        <v>320</v>
      </c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>
        <v>170</v>
      </c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/>
      <c r="HK1935" s="4"/>
      <c r="HL1935" s="4"/>
    </row>
    <row r="1936">
      <c r="A1936" s="2" t="s">
        <v>8776</v>
      </c>
      <c r="B1936" s="2" t="s">
        <v>287</v>
      </c>
      <c r="C1936" s="2" t="s">
        <v>965</v>
      </c>
      <c r="D1936" s="2" t="s">
        <v>289</v>
      </c>
      <c r="E1936" s="2" t="s">
        <v>290</v>
      </c>
      <c r="F1936" s="2" t="s">
        <v>8759</v>
      </c>
      <c r="G1936" s="2" t="s">
        <v>8759</v>
      </c>
      <c r="H1936" s="2" t="s">
        <v>8759</v>
      </c>
      <c r="I1936" s="2" t="s">
        <v>359</v>
      </c>
      <c r="J1936" s="2" t="s">
        <v>302</v>
      </c>
      <c r="K1936" s="2" t="s">
        <v>294</v>
      </c>
      <c r="L1936" s="3">
        <v>31.2</v>
      </c>
      <c r="M1936" s="3">
        <v>32.76</v>
      </c>
      <c r="N1936" s="3">
        <v>64.99</v>
      </c>
      <c r="O1936" s="2" t="s">
        <v>243</v>
      </c>
      <c r="P1936" s="2" t="s">
        <v>270</v>
      </c>
      <c r="Q1936" s="2" t="s">
        <v>237</v>
      </c>
      <c r="R1936" s="2" t="s">
        <v>231</v>
      </c>
      <c r="S1936" s="2" t="s">
        <v>8767</v>
      </c>
      <c r="T1936" s="2" t="s">
        <v>595</v>
      </c>
      <c r="U1936" s="2" t="s">
        <v>298</v>
      </c>
      <c r="V1936" s="2" t="s">
        <v>239</v>
      </c>
      <c r="W1936" s="2" t="s">
        <v>273</v>
      </c>
      <c r="X1936" s="2" t="s">
        <v>691</v>
      </c>
      <c r="Y1936" s="2" t="s">
        <v>7609</v>
      </c>
      <c r="Z1936" s="4"/>
      <c r="AA1936" s="4">
        <f>=ROUNDDOWN({0},0)</f>
      </c>
      <c r="AB1936" s="5">
        <v>12</v>
      </c>
      <c r="AC1936" s="2" t="s">
        <v>701</v>
      </c>
      <c r="AD1936" s="4">
        <v>110</v>
      </c>
      <c r="AE1936" s="4">
        <v>360</v>
      </c>
      <c r="AF1936" s="6">
        <v>65</v>
      </c>
      <c r="AG1936" s="6"/>
      <c r="AH1936" s="7">
        <v>0</v>
      </c>
      <c r="AI1936" s="4"/>
      <c r="AJ1936" s="4">
        <f>=ROUNDDOWN({0},0)</f>
      </c>
      <c r="AK1936" s="5"/>
      <c r="AL1936" s="2" t="s">
        <v>231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 t="s">
        <v>231</v>
      </c>
      <c r="AW1936" s="8" t="s">
        <v>231</v>
      </c>
      <c r="AX1936" s="4" t="s">
        <v>231</v>
      </c>
      <c r="AY1936" s="8" t="s">
        <v>231</v>
      </c>
      <c r="AZ1936" s="7" t="s">
        <v>231</v>
      </c>
      <c r="BA1936" s="7" t="s">
        <v>231</v>
      </c>
      <c r="BB1936" s="7"/>
      <c r="BC1936" s="4" t="s">
        <v>231</v>
      </c>
      <c r="BD1936" s="8" t="s">
        <v>231</v>
      </c>
      <c r="BE1936" s="4" t="s">
        <v>231</v>
      </c>
      <c r="BF1936" s="8" t="s">
        <v>231</v>
      </c>
      <c r="BG1936" s="7" t="s">
        <v>231</v>
      </c>
      <c r="BH1936" s="7" t="s">
        <v>231</v>
      </c>
      <c r="BI1936" s="7"/>
      <c r="BJ1936" s="4"/>
      <c r="BK1936" s="8"/>
      <c r="BL1936" s="2" t="s">
        <v>365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8777</v>
      </c>
      <c r="BV1936" s="2" t="s">
        <v>231</v>
      </c>
      <c r="BW1936" s="2" t="s">
        <v>231</v>
      </c>
      <c r="BX1936" s="2" t="s">
        <v>241</v>
      </c>
      <c r="BY1936" s="2" t="s">
        <v>277</v>
      </c>
      <c r="BZ1936" s="2" t="s">
        <v>243</v>
      </c>
      <c r="CA1936" s="2" t="s">
        <v>2060</v>
      </c>
      <c r="CB1936" s="2" t="s">
        <v>8442</v>
      </c>
      <c r="CC1936" s="2" t="s">
        <v>244</v>
      </c>
      <c r="CD1936" s="2" t="s">
        <v>231</v>
      </c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>
        <v>110</v>
      </c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>
        <v>180</v>
      </c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>
        <v>70</v>
      </c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/>
      <c r="HK1936" s="4"/>
      <c r="HL1936" s="4"/>
    </row>
    <row r="1937">
      <c r="A1937" s="2" t="s">
        <v>8778</v>
      </c>
      <c r="B1937" s="2" t="s">
        <v>287</v>
      </c>
      <c r="C1937" s="2" t="s">
        <v>965</v>
      </c>
      <c r="D1937" s="2" t="s">
        <v>289</v>
      </c>
      <c r="E1937" s="2" t="s">
        <v>290</v>
      </c>
      <c r="F1937" s="2" t="s">
        <v>8759</v>
      </c>
      <c r="G1937" s="2" t="s">
        <v>8759</v>
      </c>
      <c r="H1937" s="2" t="s">
        <v>8759</v>
      </c>
      <c r="I1937" s="2" t="s">
        <v>359</v>
      </c>
      <c r="J1937" s="2" t="s">
        <v>304</v>
      </c>
      <c r="K1937" s="2" t="s">
        <v>294</v>
      </c>
      <c r="L1937" s="3">
        <v>31.85</v>
      </c>
      <c r="M1937" s="3">
        <v>33.44</v>
      </c>
      <c r="N1937" s="3">
        <v>64.99</v>
      </c>
      <c r="O1937" s="2" t="s">
        <v>243</v>
      </c>
      <c r="P1937" s="2" t="s">
        <v>270</v>
      </c>
      <c r="Q1937" s="2" t="s">
        <v>237</v>
      </c>
      <c r="R1937" s="2" t="s">
        <v>231</v>
      </c>
      <c r="S1937" s="2" t="s">
        <v>8767</v>
      </c>
      <c r="T1937" s="2" t="s">
        <v>595</v>
      </c>
      <c r="U1937" s="2" t="s">
        <v>298</v>
      </c>
      <c r="V1937" s="2" t="s">
        <v>239</v>
      </c>
      <c r="W1937" s="2" t="s">
        <v>273</v>
      </c>
      <c r="X1937" s="2" t="s">
        <v>691</v>
      </c>
      <c r="Y1937" s="2" t="s">
        <v>7609</v>
      </c>
      <c r="Z1937" s="4"/>
      <c r="AA1937" s="4">
        <f>=ROUNDDOWN({0},0)</f>
      </c>
      <c r="AB1937" s="5">
        <v>5</v>
      </c>
      <c r="AC1937" s="2" t="s">
        <v>701</v>
      </c>
      <c r="AD1937" s="4">
        <v>40</v>
      </c>
      <c r="AE1937" s="4">
        <v>150</v>
      </c>
      <c r="AF1937" s="6">
        <v>65</v>
      </c>
      <c r="AG1937" s="6"/>
      <c r="AH1937" s="7">
        <v>0</v>
      </c>
      <c r="AI1937" s="4"/>
      <c r="AJ1937" s="4">
        <f>=ROUNDDOWN({0},0)</f>
      </c>
      <c r="AK1937" s="5"/>
      <c r="AL1937" s="2" t="s">
        <v>231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231</v>
      </c>
      <c r="AW1937" s="8" t="s">
        <v>231</v>
      </c>
      <c r="AX1937" s="4" t="s">
        <v>231</v>
      </c>
      <c r="AY1937" s="8" t="s">
        <v>231</v>
      </c>
      <c r="AZ1937" s="7" t="s">
        <v>231</v>
      </c>
      <c r="BA1937" s="7" t="s">
        <v>231</v>
      </c>
      <c r="BB1937" s="7"/>
      <c r="BC1937" s="4" t="s">
        <v>231</v>
      </c>
      <c r="BD1937" s="8" t="s">
        <v>231</v>
      </c>
      <c r="BE1937" s="4" t="s">
        <v>231</v>
      </c>
      <c r="BF1937" s="8" t="s">
        <v>231</v>
      </c>
      <c r="BG1937" s="7" t="s">
        <v>231</v>
      </c>
      <c r="BH1937" s="7" t="s">
        <v>231</v>
      </c>
      <c r="BI1937" s="7"/>
      <c r="BJ1937" s="4"/>
      <c r="BK1937" s="8"/>
      <c r="BL1937" s="2" t="s">
        <v>1358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8779</v>
      </c>
      <c r="BV1937" s="2" t="s">
        <v>231</v>
      </c>
      <c r="BW1937" s="2" t="s">
        <v>231</v>
      </c>
      <c r="BX1937" s="2" t="s">
        <v>241</v>
      </c>
      <c r="BY1937" s="2" t="s">
        <v>277</v>
      </c>
      <c r="BZ1937" s="2" t="s">
        <v>243</v>
      </c>
      <c r="CA1937" s="2" t="s">
        <v>2060</v>
      </c>
      <c r="CB1937" s="2" t="s">
        <v>4852</v>
      </c>
      <c r="CC1937" s="2" t="s">
        <v>244</v>
      </c>
      <c r="CD1937" s="2" t="s">
        <v>231</v>
      </c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>
        <v>40</v>
      </c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>
        <v>80</v>
      </c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>
        <v>30</v>
      </c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  <c r="HG1937" s="4"/>
      <c r="HH1937" s="4"/>
      <c r="HI1937" s="4"/>
      <c r="HJ1937" s="4"/>
      <c r="HK1937" s="4"/>
      <c r="HL1937" s="4"/>
    </row>
    <row r="1938">
      <c r="A1938" s="2" t="s">
        <v>8780</v>
      </c>
      <c r="B1938" s="2" t="s">
        <v>287</v>
      </c>
      <c r="C1938" s="2" t="s">
        <v>965</v>
      </c>
      <c r="D1938" s="2" t="s">
        <v>289</v>
      </c>
      <c r="E1938" s="2" t="s">
        <v>290</v>
      </c>
      <c r="F1938" s="2" t="s">
        <v>8759</v>
      </c>
      <c r="G1938" s="2" t="s">
        <v>8759</v>
      </c>
      <c r="H1938" s="2" t="s">
        <v>8759</v>
      </c>
      <c r="I1938" s="2" t="s">
        <v>359</v>
      </c>
      <c r="J1938" s="2" t="s">
        <v>318</v>
      </c>
      <c r="K1938" s="2" t="s">
        <v>269</v>
      </c>
      <c r="L1938" s="3">
        <v>21.62</v>
      </c>
      <c r="M1938" s="3">
        <v>22.7</v>
      </c>
      <c r="N1938" s="3">
        <v>46.99</v>
      </c>
      <c r="O1938" s="2" t="s">
        <v>243</v>
      </c>
      <c r="P1938" s="2" t="s">
        <v>270</v>
      </c>
      <c r="Q1938" s="2" t="s">
        <v>237</v>
      </c>
      <c r="R1938" s="2" t="s">
        <v>231</v>
      </c>
      <c r="S1938" s="2" t="s">
        <v>8781</v>
      </c>
      <c r="T1938" s="2" t="s">
        <v>595</v>
      </c>
      <c r="U1938" s="2" t="s">
        <v>835</v>
      </c>
      <c r="V1938" s="2" t="s">
        <v>239</v>
      </c>
      <c r="W1938" s="2" t="s">
        <v>273</v>
      </c>
      <c r="X1938" s="2" t="s">
        <v>691</v>
      </c>
      <c r="Y1938" s="2" t="s">
        <v>274</v>
      </c>
      <c r="Z1938" s="4">
        <v>21</v>
      </c>
      <c r="AA1938" s="4">
        <f>=ROUNDDOWN(1.3125,0)</f>
      </c>
      <c r="AB1938" s="5">
        <v>16</v>
      </c>
      <c r="AC1938" s="2" t="s">
        <v>4449</v>
      </c>
      <c r="AD1938" s="4">
        <v>120</v>
      </c>
      <c r="AE1938" s="4">
        <v>400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231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231</v>
      </c>
      <c r="AW1938" s="8" t="s">
        <v>231</v>
      </c>
      <c r="AX1938" s="4" t="s">
        <v>231</v>
      </c>
      <c r="AY1938" s="8" t="s">
        <v>231</v>
      </c>
      <c r="AZ1938" s="7" t="s">
        <v>231</v>
      </c>
      <c r="BA1938" s="7" t="s">
        <v>231</v>
      </c>
      <c r="BB1938" s="7"/>
      <c r="BC1938" s="4" t="s">
        <v>231</v>
      </c>
      <c r="BD1938" s="8" t="s">
        <v>231</v>
      </c>
      <c r="BE1938" s="4" t="s">
        <v>231</v>
      </c>
      <c r="BF1938" s="8" t="s">
        <v>231</v>
      </c>
      <c r="BG1938" s="7" t="s">
        <v>231</v>
      </c>
      <c r="BH1938" s="7" t="s">
        <v>231</v>
      </c>
      <c r="BI1938" s="7"/>
      <c r="BJ1938" s="4">
        <v>8</v>
      </c>
      <c r="BK1938" s="8">
        <v>188.63</v>
      </c>
      <c r="BL1938" s="2" t="s">
        <v>8782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8783</v>
      </c>
      <c r="BV1938" s="2" t="s">
        <v>231</v>
      </c>
      <c r="BW1938" s="2" t="s">
        <v>231</v>
      </c>
      <c r="BX1938" s="2" t="s">
        <v>241</v>
      </c>
      <c r="BY1938" s="2" t="s">
        <v>277</v>
      </c>
      <c r="BZ1938" s="2" t="s">
        <v>243</v>
      </c>
      <c r="CA1938" s="2" t="s">
        <v>284</v>
      </c>
      <c r="CB1938" s="2" t="s">
        <v>8784</v>
      </c>
      <c r="CC1938" s="2" t="s">
        <v>244</v>
      </c>
      <c r="CD1938" s="2" t="s">
        <v>231</v>
      </c>
      <c r="CE1938" s="4">
        <v>21</v>
      </c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>
        <v>120</v>
      </c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>
        <v>200</v>
      </c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>
        <v>80</v>
      </c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</row>
    <row r="1939">
      <c r="A1939" s="2" t="s">
        <v>8785</v>
      </c>
      <c r="B1939" s="2" t="s">
        <v>287</v>
      </c>
      <c r="C1939" s="2" t="s">
        <v>965</v>
      </c>
      <c r="D1939" s="2" t="s">
        <v>289</v>
      </c>
      <c r="E1939" s="2" t="s">
        <v>290</v>
      </c>
      <c r="F1939" s="2" t="s">
        <v>8759</v>
      </c>
      <c r="G1939" s="2" t="s">
        <v>8759</v>
      </c>
      <c r="H1939" s="2" t="s">
        <v>8759</v>
      </c>
      <c r="I1939" s="2" t="s">
        <v>359</v>
      </c>
      <c r="J1939" s="2" t="s">
        <v>268</v>
      </c>
      <c r="K1939" s="2" t="s">
        <v>269</v>
      </c>
      <c r="L1939" s="3">
        <v>23.04</v>
      </c>
      <c r="M1939" s="3">
        <v>24.19</v>
      </c>
      <c r="N1939" s="3">
        <v>47.99</v>
      </c>
      <c r="O1939" s="2" t="s">
        <v>243</v>
      </c>
      <c r="P1939" s="2" t="s">
        <v>270</v>
      </c>
      <c r="Q1939" s="2" t="s">
        <v>237</v>
      </c>
      <c r="R1939" s="2" t="s">
        <v>231</v>
      </c>
      <c r="S1939" s="2" t="s">
        <v>8781</v>
      </c>
      <c r="T1939" s="2" t="s">
        <v>595</v>
      </c>
      <c r="U1939" s="2" t="s">
        <v>835</v>
      </c>
      <c r="V1939" s="2" t="s">
        <v>239</v>
      </c>
      <c r="W1939" s="2" t="s">
        <v>273</v>
      </c>
      <c r="X1939" s="2" t="s">
        <v>691</v>
      </c>
      <c r="Y1939" s="2" t="s">
        <v>274</v>
      </c>
      <c r="Z1939" s="4"/>
      <c r="AA1939" s="4">
        <f>=ROUNDDOWN({0},0)</f>
      </c>
      <c r="AB1939" s="5">
        <v>18</v>
      </c>
      <c r="AC1939" s="2" t="s">
        <v>4449</v>
      </c>
      <c r="AD1939" s="4">
        <v>150</v>
      </c>
      <c r="AE1939" s="4">
        <v>500</v>
      </c>
      <c r="AF1939" s="6">
        <v>65</v>
      </c>
      <c r="AG1939" s="6"/>
      <c r="AH1939" s="7">
        <v>0</v>
      </c>
      <c r="AI1939" s="4"/>
      <c r="AJ1939" s="4">
        <f>=ROUNDDOWN({0},0)</f>
      </c>
      <c r="AK1939" s="5"/>
      <c r="AL1939" s="2" t="s">
        <v>231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231</v>
      </c>
      <c r="AW1939" s="8" t="s">
        <v>231</v>
      </c>
      <c r="AX1939" s="4" t="s">
        <v>231</v>
      </c>
      <c r="AY1939" s="8" t="s">
        <v>231</v>
      </c>
      <c r="AZ1939" s="7" t="s">
        <v>231</v>
      </c>
      <c r="BA1939" s="7" t="s">
        <v>231</v>
      </c>
      <c r="BB1939" s="7"/>
      <c r="BC1939" s="4" t="s">
        <v>231</v>
      </c>
      <c r="BD1939" s="8" t="s">
        <v>231</v>
      </c>
      <c r="BE1939" s="4" t="s">
        <v>231</v>
      </c>
      <c r="BF1939" s="8" t="s">
        <v>231</v>
      </c>
      <c r="BG1939" s="7" t="s">
        <v>231</v>
      </c>
      <c r="BH1939" s="7" t="s">
        <v>231</v>
      </c>
      <c r="BI1939" s="7"/>
      <c r="BJ1939" s="4"/>
      <c r="BK1939" s="8"/>
      <c r="BL1939" s="2" t="s">
        <v>231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8786</v>
      </c>
      <c r="BV1939" s="2" t="s">
        <v>231</v>
      </c>
      <c r="BW1939" s="2" t="s">
        <v>231</v>
      </c>
      <c r="BX1939" s="2" t="s">
        <v>241</v>
      </c>
      <c r="BY1939" s="2" t="s">
        <v>277</v>
      </c>
      <c r="BZ1939" s="2" t="s">
        <v>243</v>
      </c>
      <c r="CA1939" s="2" t="s">
        <v>284</v>
      </c>
      <c r="CB1939" s="2" t="s">
        <v>8787</v>
      </c>
      <c r="CC1939" s="2" t="s">
        <v>244</v>
      </c>
      <c r="CD1939" s="2" t="s">
        <v>231</v>
      </c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>
        <v>150</v>
      </c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>
        <v>250</v>
      </c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>
        <v>100</v>
      </c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</row>
    <row r="1940">
      <c r="A1940" s="2" t="s">
        <v>8788</v>
      </c>
      <c r="B1940" s="2" t="s">
        <v>287</v>
      </c>
      <c r="C1940" s="2" t="s">
        <v>965</v>
      </c>
      <c r="D1940" s="2" t="s">
        <v>289</v>
      </c>
      <c r="E1940" s="2" t="s">
        <v>290</v>
      </c>
      <c r="F1940" s="2" t="s">
        <v>8759</v>
      </c>
      <c r="G1940" s="2" t="s">
        <v>8759</v>
      </c>
      <c r="H1940" s="2" t="s">
        <v>8759</v>
      </c>
      <c r="I1940" s="2" t="s">
        <v>359</v>
      </c>
      <c r="J1940" s="2" t="s">
        <v>281</v>
      </c>
      <c r="K1940" s="2" t="s">
        <v>269</v>
      </c>
      <c r="L1940" s="3">
        <v>25.3</v>
      </c>
      <c r="M1940" s="3">
        <v>26.56</v>
      </c>
      <c r="N1940" s="3">
        <v>54.99</v>
      </c>
      <c r="O1940" s="2" t="s">
        <v>243</v>
      </c>
      <c r="P1940" s="2" t="s">
        <v>1281</v>
      </c>
      <c r="Q1940" s="2" t="s">
        <v>237</v>
      </c>
      <c r="R1940" s="2" t="s">
        <v>231</v>
      </c>
      <c r="S1940" s="2" t="s">
        <v>8781</v>
      </c>
      <c r="T1940" s="2" t="s">
        <v>595</v>
      </c>
      <c r="U1940" s="2" t="s">
        <v>298</v>
      </c>
      <c r="V1940" s="2" t="s">
        <v>239</v>
      </c>
      <c r="W1940" s="2" t="s">
        <v>273</v>
      </c>
      <c r="X1940" s="2" t="s">
        <v>691</v>
      </c>
      <c r="Y1940" s="2" t="s">
        <v>274</v>
      </c>
      <c r="Z1940" s="4">
        <v>2</v>
      </c>
      <c r="AA1940" s="4">
        <f>=ROUNDDOWN(0.1,0)</f>
      </c>
      <c r="AB1940" s="5">
        <v>20</v>
      </c>
      <c r="AC1940" s="2" t="s">
        <v>4449</v>
      </c>
      <c r="AD1940" s="4">
        <v>160</v>
      </c>
      <c r="AE1940" s="4">
        <v>580</v>
      </c>
      <c r="AF1940" s="6">
        <v>65</v>
      </c>
      <c r="AG1940" s="6"/>
      <c r="AH1940" s="7">
        <v>0</v>
      </c>
      <c r="AI1940" s="4"/>
      <c r="AJ1940" s="4">
        <f>=ROUNDDOWN({0},0)</f>
      </c>
      <c r="AK1940" s="5"/>
      <c r="AL1940" s="2" t="s">
        <v>231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231</v>
      </c>
      <c r="AW1940" s="8" t="s">
        <v>231</v>
      </c>
      <c r="AX1940" s="4" t="s">
        <v>231</v>
      </c>
      <c r="AY1940" s="8" t="s">
        <v>231</v>
      </c>
      <c r="AZ1940" s="7" t="s">
        <v>231</v>
      </c>
      <c r="BA1940" s="7" t="s">
        <v>231</v>
      </c>
      <c r="BB1940" s="7"/>
      <c r="BC1940" s="4" t="s">
        <v>231</v>
      </c>
      <c r="BD1940" s="8" t="s">
        <v>231</v>
      </c>
      <c r="BE1940" s="4" t="s">
        <v>231</v>
      </c>
      <c r="BF1940" s="8" t="s">
        <v>231</v>
      </c>
      <c r="BG1940" s="7" t="s">
        <v>231</v>
      </c>
      <c r="BH1940" s="7" t="s">
        <v>231</v>
      </c>
      <c r="BI1940" s="7"/>
      <c r="BJ1940" s="4"/>
      <c r="BK1940" s="8"/>
      <c r="BL1940" s="2" t="s">
        <v>231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8789</v>
      </c>
      <c r="BV1940" s="2" t="s">
        <v>231</v>
      </c>
      <c r="BW1940" s="2" t="s">
        <v>231</v>
      </c>
      <c r="BX1940" s="2" t="s">
        <v>241</v>
      </c>
      <c r="BY1940" s="2" t="s">
        <v>277</v>
      </c>
      <c r="BZ1940" s="2" t="s">
        <v>243</v>
      </c>
      <c r="CA1940" s="2" t="s">
        <v>284</v>
      </c>
      <c r="CB1940" s="2" t="s">
        <v>8790</v>
      </c>
      <c r="CC1940" s="2" t="s">
        <v>244</v>
      </c>
      <c r="CD1940" s="2" t="s">
        <v>231</v>
      </c>
      <c r="CE1940" s="4">
        <v>2</v>
      </c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>
        <v>160</v>
      </c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>
        <v>310</v>
      </c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>
        <v>110</v>
      </c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  <c r="HG1940" s="4"/>
      <c r="HH1940" s="4"/>
      <c r="HI1940" s="4"/>
      <c r="HJ1940" s="4"/>
      <c r="HK1940" s="4"/>
      <c r="HL1940" s="4"/>
    </row>
    <row r="1941">
      <c r="A1941" s="2" t="s">
        <v>8791</v>
      </c>
      <c r="B1941" s="2" t="s">
        <v>287</v>
      </c>
      <c r="C1941" s="2" t="s">
        <v>965</v>
      </c>
      <c r="D1941" s="2" t="s">
        <v>289</v>
      </c>
      <c r="E1941" s="2" t="s">
        <v>290</v>
      </c>
      <c r="F1941" s="2" t="s">
        <v>8759</v>
      </c>
      <c r="G1941" s="2" t="s">
        <v>8759</v>
      </c>
      <c r="H1941" s="2" t="s">
        <v>8759</v>
      </c>
      <c r="I1941" s="2" t="s">
        <v>359</v>
      </c>
      <c r="J1941" s="2" t="s">
        <v>293</v>
      </c>
      <c r="K1941" s="2" t="s">
        <v>269</v>
      </c>
      <c r="L1941" s="3">
        <v>28.2</v>
      </c>
      <c r="M1941" s="3">
        <v>29.61</v>
      </c>
      <c r="N1941" s="3">
        <v>59.99</v>
      </c>
      <c r="O1941" s="2" t="s">
        <v>243</v>
      </c>
      <c r="P1941" s="2" t="s">
        <v>1332</v>
      </c>
      <c r="Q1941" s="2" t="s">
        <v>237</v>
      </c>
      <c r="R1941" s="2" t="s">
        <v>231</v>
      </c>
      <c r="S1941" s="2" t="s">
        <v>8781</v>
      </c>
      <c r="T1941" s="2" t="s">
        <v>595</v>
      </c>
      <c r="U1941" s="2" t="s">
        <v>298</v>
      </c>
      <c r="V1941" s="2" t="s">
        <v>239</v>
      </c>
      <c r="W1941" s="2" t="s">
        <v>273</v>
      </c>
      <c r="X1941" s="2" t="s">
        <v>691</v>
      </c>
      <c r="Y1941" s="2" t="s">
        <v>274</v>
      </c>
      <c r="Z1941" s="4">
        <v>2</v>
      </c>
      <c r="AA1941" s="4">
        <f>=ROUNDDOWN(0.05,0)</f>
      </c>
      <c r="AB1941" s="5">
        <v>40</v>
      </c>
      <c r="AC1941" s="2" t="s">
        <v>4449</v>
      </c>
      <c r="AD1941" s="4">
        <v>320</v>
      </c>
      <c r="AE1941" s="4">
        <v>1230</v>
      </c>
      <c r="AF1941" s="6">
        <v>65</v>
      </c>
      <c r="AG1941" s="6"/>
      <c r="AH1941" s="7">
        <v>0</v>
      </c>
      <c r="AI1941" s="4"/>
      <c r="AJ1941" s="4">
        <f>=ROUNDDOWN({0},0)</f>
      </c>
      <c r="AK1941" s="5"/>
      <c r="AL1941" s="2" t="s">
        <v>231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231</v>
      </c>
      <c r="AW1941" s="8" t="s">
        <v>231</v>
      </c>
      <c r="AX1941" s="4" t="s">
        <v>231</v>
      </c>
      <c r="AY1941" s="8" t="s">
        <v>231</v>
      </c>
      <c r="AZ1941" s="7" t="s">
        <v>231</v>
      </c>
      <c r="BA1941" s="7" t="s">
        <v>231</v>
      </c>
      <c r="BB1941" s="7"/>
      <c r="BC1941" s="4" t="s">
        <v>231</v>
      </c>
      <c r="BD1941" s="8" t="s">
        <v>231</v>
      </c>
      <c r="BE1941" s="4" t="s">
        <v>231</v>
      </c>
      <c r="BF1941" s="8" t="s">
        <v>231</v>
      </c>
      <c r="BG1941" s="7" t="s">
        <v>231</v>
      </c>
      <c r="BH1941" s="7" t="s">
        <v>231</v>
      </c>
      <c r="BI1941" s="7"/>
      <c r="BJ1941" s="4"/>
      <c r="BK1941" s="8"/>
      <c r="BL1941" s="2" t="s">
        <v>3249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8792</v>
      </c>
      <c r="BV1941" s="2" t="s">
        <v>231</v>
      </c>
      <c r="BW1941" s="2" t="s">
        <v>231</v>
      </c>
      <c r="BX1941" s="2" t="s">
        <v>241</v>
      </c>
      <c r="BY1941" s="2" t="s">
        <v>277</v>
      </c>
      <c r="BZ1941" s="2" t="s">
        <v>243</v>
      </c>
      <c r="CA1941" s="2" t="s">
        <v>284</v>
      </c>
      <c r="CB1941" s="2" t="s">
        <v>1516</v>
      </c>
      <c r="CC1941" s="2" t="s">
        <v>244</v>
      </c>
      <c r="CD1941" s="2" t="s">
        <v>231</v>
      </c>
      <c r="CE1941" s="4">
        <v>2</v>
      </c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>
        <v>320</v>
      </c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>
        <v>610</v>
      </c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>
        <v>300</v>
      </c>
      <c r="GR1941" s="4"/>
      <c r="GS1941" s="4"/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  <c r="HG1941" s="4"/>
      <c r="HH1941" s="4"/>
      <c r="HI1941" s="4"/>
      <c r="HJ1941" s="4"/>
      <c r="HK1941" s="4"/>
      <c r="HL1941" s="4"/>
    </row>
    <row r="1942">
      <c r="A1942" s="2" t="s">
        <v>8793</v>
      </c>
      <c r="B1942" s="2" t="s">
        <v>287</v>
      </c>
      <c r="C1942" s="2" t="s">
        <v>965</v>
      </c>
      <c r="D1942" s="2" t="s">
        <v>289</v>
      </c>
      <c r="E1942" s="2" t="s">
        <v>290</v>
      </c>
      <c r="F1942" s="2" t="s">
        <v>8759</v>
      </c>
      <c r="G1942" s="2" t="s">
        <v>8759</v>
      </c>
      <c r="H1942" s="2" t="s">
        <v>8759</v>
      </c>
      <c r="I1942" s="2" t="s">
        <v>359</v>
      </c>
      <c r="J1942" s="2" t="s">
        <v>302</v>
      </c>
      <c r="K1942" s="2" t="s">
        <v>269</v>
      </c>
      <c r="L1942" s="3">
        <v>31.2</v>
      </c>
      <c r="M1942" s="3">
        <v>32.76</v>
      </c>
      <c r="N1942" s="3">
        <v>64.99</v>
      </c>
      <c r="O1942" s="2" t="s">
        <v>243</v>
      </c>
      <c r="P1942" s="2" t="s">
        <v>270</v>
      </c>
      <c r="Q1942" s="2" t="s">
        <v>237</v>
      </c>
      <c r="R1942" s="2" t="s">
        <v>231</v>
      </c>
      <c r="S1942" s="2" t="s">
        <v>8781</v>
      </c>
      <c r="T1942" s="2" t="s">
        <v>595</v>
      </c>
      <c r="U1942" s="2" t="s">
        <v>298</v>
      </c>
      <c r="V1942" s="2" t="s">
        <v>239</v>
      </c>
      <c r="W1942" s="2" t="s">
        <v>273</v>
      </c>
      <c r="X1942" s="2" t="s">
        <v>691</v>
      </c>
      <c r="Y1942" s="2" t="s">
        <v>274</v>
      </c>
      <c r="Z1942" s="4">
        <v>3</v>
      </c>
      <c r="AA1942" s="4">
        <f>=ROUNDDOWN(0.15,0)</f>
      </c>
      <c r="AB1942" s="5">
        <v>20</v>
      </c>
      <c r="AC1942" s="2" t="s">
        <v>4449</v>
      </c>
      <c r="AD1942" s="4">
        <v>150</v>
      </c>
      <c r="AE1942" s="4">
        <v>550</v>
      </c>
      <c r="AF1942" s="6">
        <v>65</v>
      </c>
      <c r="AG1942" s="6"/>
      <c r="AH1942" s="7">
        <v>0</v>
      </c>
      <c r="AI1942" s="4"/>
      <c r="AJ1942" s="4">
        <f>=ROUNDDOWN({0},0)</f>
      </c>
      <c r="AK1942" s="5"/>
      <c r="AL1942" s="2" t="s">
        <v>231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231</v>
      </c>
      <c r="AW1942" s="8" t="s">
        <v>231</v>
      </c>
      <c r="AX1942" s="4" t="s">
        <v>231</v>
      </c>
      <c r="AY1942" s="8" t="s">
        <v>231</v>
      </c>
      <c r="AZ1942" s="7" t="s">
        <v>231</v>
      </c>
      <c r="BA1942" s="7" t="s">
        <v>231</v>
      </c>
      <c r="BB1942" s="7"/>
      <c r="BC1942" s="4" t="s">
        <v>231</v>
      </c>
      <c r="BD1942" s="8" t="s">
        <v>231</v>
      </c>
      <c r="BE1942" s="4" t="s">
        <v>231</v>
      </c>
      <c r="BF1942" s="8" t="s">
        <v>231</v>
      </c>
      <c r="BG1942" s="7" t="s">
        <v>231</v>
      </c>
      <c r="BH1942" s="7" t="s">
        <v>231</v>
      </c>
      <c r="BI1942" s="7"/>
      <c r="BJ1942" s="4"/>
      <c r="BK1942" s="8"/>
      <c r="BL1942" s="2" t="s">
        <v>8794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8795</v>
      </c>
      <c r="BV1942" s="2" t="s">
        <v>231</v>
      </c>
      <c r="BW1942" s="2" t="s">
        <v>231</v>
      </c>
      <c r="BX1942" s="2" t="s">
        <v>241</v>
      </c>
      <c r="BY1942" s="2" t="s">
        <v>277</v>
      </c>
      <c r="BZ1942" s="2" t="s">
        <v>243</v>
      </c>
      <c r="CA1942" s="2" t="s">
        <v>284</v>
      </c>
      <c r="CB1942" s="2" t="s">
        <v>8790</v>
      </c>
      <c r="CC1942" s="2" t="s">
        <v>244</v>
      </c>
      <c r="CD1942" s="2" t="s">
        <v>231</v>
      </c>
      <c r="CE1942" s="4">
        <v>3</v>
      </c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>
        <v>150</v>
      </c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>
        <v>290</v>
      </c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>
        <v>110</v>
      </c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</row>
    <row r="1943">
      <c r="A1943" s="2" t="s">
        <v>8796</v>
      </c>
      <c r="B1943" s="2" t="s">
        <v>287</v>
      </c>
      <c r="C1943" s="2" t="s">
        <v>965</v>
      </c>
      <c r="D1943" s="2" t="s">
        <v>289</v>
      </c>
      <c r="E1943" s="2" t="s">
        <v>290</v>
      </c>
      <c r="F1943" s="2" t="s">
        <v>8759</v>
      </c>
      <c r="G1943" s="2" t="s">
        <v>8759</v>
      </c>
      <c r="H1943" s="2" t="s">
        <v>8759</v>
      </c>
      <c r="I1943" s="2" t="s">
        <v>359</v>
      </c>
      <c r="J1943" s="2" t="s">
        <v>304</v>
      </c>
      <c r="K1943" s="2" t="s">
        <v>269</v>
      </c>
      <c r="L1943" s="3">
        <v>31.85</v>
      </c>
      <c r="M1943" s="3">
        <v>33.44</v>
      </c>
      <c r="N1943" s="3">
        <v>64.99</v>
      </c>
      <c r="O1943" s="2" t="s">
        <v>243</v>
      </c>
      <c r="P1943" s="2" t="s">
        <v>270</v>
      </c>
      <c r="Q1943" s="2" t="s">
        <v>237</v>
      </c>
      <c r="R1943" s="2" t="s">
        <v>231</v>
      </c>
      <c r="S1943" s="2" t="s">
        <v>8781</v>
      </c>
      <c r="T1943" s="2" t="s">
        <v>595</v>
      </c>
      <c r="U1943" s="2" t="s">
        <v>298</v>
      </c>
      <c r="V1943" s="2" t="s">
        <v>239</v>
      </c>
      <c r="W1943" s="2" t="s">
        <v>273</v>
      </c>
      <c r="X1943" s="2" t="s">
        <v>691</v>
      </c>
      <c r="Y1943" s="2" t="s">
        <v>274</v>
      </c>
      <c r="Z1943" s="4">
        <v>46</v>
      </c>
      <c r="AA1943" s="4">
        <f>=ROUNDDOWN(6.57142857142857,0)</f>
      </c>
      <c r="AB1943" s="5">
        <v>7</v>
      </c>
      <c r="AC1943" s="2" t="s">
        <v>4449</v>
      </c>
      <c r="AD1943" s="4">
        <v>30</v>
      </c>
      <c r="AE1943" s="4">
        <v>180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231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231</v>
      </c>
      <c r="AW1943" s="8" t="s">
        <v>231</v>
      </c>
      <c r="AX1943" s="4" t="s">
        <v>231</v>
      </c>
      <c r="AY1943" s="8" t="s">
        <v>231</v>
      </c>
      <c r="AZ1943" s="7" t="s">
        <v>231</v>
      </c>
      <c r="BA1943" s="7" t="s">
        <v>231</v>
      </c>
      <c r="BB1943" s="7"/>
      <c r="BC1943" s="4" t="s">
        <v>231</v>
      </c>
      <c r="BD1943" s="8" t="s">
        <v>231</v>
      </c>
      <c r="BE1943" s="4" t="s">
        <v>231</v>
      </c>
      <c r="BF1943" s="8" t="s">
        <v>231</v>
      </c>
      <c r="BG1943" s="7" t="s">
        <v>231</v>
      </c>
      <c r="BH1943" s="7" t="s">
        <v>231</v>
      </c>
      <c r="BI1943" s="7"/>
      <c r="BJ1943" s="4">
        <v>4</v>
      </c>
      <c r="BK1943" s="8">
        <v>139.39</v>
      </c>
      <c r="BL1943" s="2" t="s">
        <v>374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8797</v>
      </c>
      <c r="BV1943" s="2" t="s">
        <v>231</v>
      </c>
      <c r="BW1943" s="2" t="s">
        <v>231</v>
      </c>
      <c r="BX1943" s="2" t="s">
        <v>241</v>
      </c>
      <c r="BY1943" s="2" t="s">
        <v>277</v>
      </c>
      <c r="BZ1943" s="2" t="s">
        <v>243</v>
      </c>
      <c r="CA1943" s="2" t="s">
        <v>284</v>
      </c>
      <c r="CB1943" s="2" t="s">
        <v>8798</v>
      </c>
      <c r="CC1943" s="2" t="s">
        <v>244</v>
      </c>
      <c r="CD1943" s="2" t="s">
        <v>231</v>
      </c>
      <c r="CE1943" s="4">
        <v>46</v>
      </c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>
        <v>30</v>
      </c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>
        <v>110</v>
      </c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>
        <v>40</v>
      </c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  <c r="HG1943" s="4"/>
      <c r="HH1943" s="4"/>
      <c r="HI1943" s="4"/>
      <c r="HJ1943" s="4"/>
      <c r="HK1943" s="4"/>
      <c r="HL1943" s="4"/>
    </row>
    <row r="1944">
      <c r="A1944" s="2" t="s">
        <v>8799</v>
      </c>
      <c r="B1944" s="2" t="s">
        <v>287</v>
      </c>
      <c r="C1944" s="2" t="s">
        <v>965</v>
      </c>
      <c r="D1944" s="2" t="s">
        <v>289</v>
      </c>
      <c r="E1944" s="2" t="s">
        <v>290</v>
      </c>
      <c r="F1944" s="2" t="s">
        <v>8759</v>
      </c>
      <c r="G1944" s="2" t="s">
        <v>8759</v>
      </c>
      <c r="H1944" s="2" t="s">
        <v>8759</v>
      </c>
      <c r="I1944" s="2" t="s">
        <v>359</v>
      </c>
      <c r="J1944" s="2" t="s">
        <v>318</v>
      </c>
      <c r="K1944" s="2" t="s">
        <v>8800</v>
      </c>
      <c r="L1944" s="3">
        <v>24</v>
      </c>
      <c r="M1944" s="3">
        <v>25.2</v>
      </c>
      <c r="N1944" s="3">
        <v>49.99</v>
      </c>
      <c r="O1944" s="2" t="s">
        <v>235</v>
      </c>
      <c r="P1944" s="2" t="s">
        <v>341</v>
      </c>
      <c r="Q1944" s="2" t="s">
        <v>237</v>
      </c>
      <c r="R1944" s="2" t="s">
        <v>231</v>
      </c>
      <c r="S1944" s="2" t="s">
        <v>8801</v>
      </c>
      <c r="T1944" s="2" t="s">
        <v>595</v>
      </c>
      <c r="U1944" s="2" t="s">
        <v>835</v>
      </c>
      <c r="V1944" s="2" t="s">
        <v>1685</v>
      </c>
      <c r="W1944" s="2" t="s">
        <v>273</v>
      </c>
      <c r="X1944" s="2" t="s">
        <v>691</v>
      </c>
      <c r="Y1944" s="2" t="s">
        <v>274</v>
      </c>
      <c r="Z1944" s="4">
        <v>101</v>
      </c>
      <c r="AA1944" s="4">
        <f>=ROUNDDOWN(40.4,0)</f>
      </c>
      <c r="AB1944" s="5">
        <v>2.5</v>
      </c>
      <c r="AC1944" s="2" t="s">
        <v>231</v>
      </c>
      <c r="AD1944" s="4"/>
      <c r="AE1944" s="4"/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231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 t="s">
        <v>231</v>
      </c>
      <c r="BD1944" s="8" t="s">
        <v>231</v>
      </c>
      <c r="BE1944" s="4" t="s">
        <v>231</v>
      </c>
      <c r="BF1944" s="8" t="s">
        <v>231</v>
      </c>
      <c r="BG1944" s="7" t="s">
        <v>231</v>
      </c>
      <c r="BH1944" s="7" t="s">
        <v>231</v>
      </c>
      <c r="BI1944" s="7"/>
      <c r="BJ1944" s="4">
        <v>1</v>
      </c>
      <c r="BK1944" s="8">
        <v>27.72</v>
      </c>
      <c r="BL1944" s="2" t="s">
        <v>8802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8803</v>
      </c>
      <c r="BV1944" s="2" t="s">
        <v>231</v>
      </c>
      <c r="BW1944" s="2" t="s">
        <v>231</v>
      </c>
      <c r="BX1944" s="2" t="s">
        <v>1360</v>
      </c>
      <c r="BY1944" s="2" t="s">
        <v>277</v>
      </c>
      <c r="BZ1944" s="2" t="s">
        <v>243</v>
      </c>
      <c r="CA1944" s="2" t="s">
        <v>278</v>
      </c>
      <c r="CB1944" s="2" t="s">
        <v>4620</v>
      </c>
      <c r="CC1944" s="2" t="s">
        <v>244</v>
      </c>
      <c r="CD1944" s="2" t="s">
        <v>231</v>
      </c>
      <c r="CE1944" s="4">
        <v>101</v>
      </c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/>
      <c r="HF1944" s="4"/>
      <c r="HG1944" s="4"/>
      <c r="HH1944" s="4"/>
      <c r="HI1944" s="4"/>
      <c r="HJ1944" s="4"/>
      <c r="HK1944" s="4"/>
      <c r="HL1944" s="4"/>
    </row>
    <row r="1945">
      <c r="A1945" s="2" t="s">
        <v>8804</v>
      </c>
      <c r="B1945" s="2" t="s">
        <v>287</v>
      </c>
      <c r="C1945" s="2" t="s">
        <v>965</v>
      </c>
      <c r="D1945" s="2" t="s">
        <v>289</v>
      </c>
      <c r="E1945" s="2" t="s">
        <v>290</v>
      </c>
      <c r="F1945" s="2" t="s">
        <v>8759</v>
      </c>
      <c r="G1945" s="2" t="s">
        <v>8759</v>
      </c>
      <c r="H1945" s="2" t="s">
        <v>8759</v>
      </c>
      <c r="I1945" s="2" t="s">
        <v>359</v>
      </c>
      <c r="J1945" s="2" t="s">
        <v>318</v>
      </c>
      <c r="K1945" s="2" t="s">
        <v>486</v>
      </c>
      <c r="L1945" s="3">
        <v>21.62</v>
      </c>
      <c r="M1945" s="3">
        <v>22.7</v>
      </c>
      <c r="N1945" s="3">
        <v>46.99</v>
      </c>
      <c r="O1945" s="2" t="s">
        <v>243</v>
      </c>
      <c r="P1945" s="2" t="s">
        <v>270</v>
      </c>
      <c r="Q1945" s="2" t="s">
        <v>237</v>
      </c>
      <c r="R1945" s="2" t="s">
        <v>231</v>
      </c>
      <c r="S1945" s="2" t="s">
        <v>8805</v>
      </c>
      <c r="T1945" s="2" t="s">
        <v>595</v>
      </c>
      <c r="U1945" s="2" t="s">
        <v>835</v>
      </c>
      <c r="V1945" s="2" t="s">
        <v>239</v>
      </c>
      <c r="W1945" s="2" t="s">
        <v>273</v>
      </c>
      <c r="X1945" s="2" t="s">
        <v>691</v>
      </c>
      <c r="Y1945" s="2" t="s">
        <v>1789</v>
      </c>
      <c r="Z1945" s="4"/>
      <c r="AA1945" s="4">
        <f>=ROUNDDOWN({0},0)</f>
      </c>
      <c r="AB1945" s="5">
        <v>8</v>
      </c>
      <c r="AC1945" s="2" t="s">
        <v>701</v>
      </c>
      <c r="AD1945" s="4">
        <v>70</v>
      </c>
      <c r="AE1945" s="4">
        <v>220</v>
      </c>
      <c r="AF1945" s="6">
        <v>65</v>
      </c>
      <c r="AG1945" s="6"/>
      <c r="AH1945" s="7">
        <v>0</v>
      </c>
      <c r="AI1945" s="4"/>
      <c r="AJ1945" s="4">
        <f>=ROUNDDOWN({0},0)</f>
      </c>
      <c r="AK1945" s="5"/>
      <c r="AL1945" s="2" t="s">
        <v>231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 t="s">
        <v>231</v>
      </c>
      <c r="AW1945" s="8" t="s">
        <v>231</v>
      </c>
      <c r="AX1945" s="4" t="s">
        <v>231</v>
      </c>
      <c r="AY1945" s="8" t="s">
        <v>231</v>
      </c>
      <c r="AZ1945" s="7" t="s">
        <v>231</v>
      </c>
      <c r="BA1945" s="7" t="s">
        <v>231</v>
      </c>
      <c r="BB1945" s="7"/>
      <c r="BC1945" s="4" t="s">
        <v>231</v>
      </c>
      <c r="BD1945" s="8" t="s">
        <v>231</v>
      </c>
      <c r="BE1945" s="4" t="s">
        <v>231</v>
      </c>
      <c r="BF1945" s="8" t="s">
        <v>231</v>
      </c>
      <c r="BG1945" s="7" t="s">
        <v>231</v>
      </c>
      <c r="BH1945" s="7" t="s">
        <v>231</v>
      </c>
      <c r="BI1945" s="7"/>
      <c r="BJ1945" s="4"/>
      <c r="BK1945" s="8"/>
      <c r="BL1945" s="2" t="s">
        <v>231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8806</v>
      </c>
      <c r="BV1945" s="2" t="s">
        <v>231</v>
      </c>
      <c r="BW1945" s="2" t="s">
        <v>231</v>
      </c>
      <c r="BX1945" s="2" t="s">
        <v>241</v>
      </c>
      <c r="BY1945" s="2" t="s">
        <v>277</v>
      </c>
      <c r="BZ1945" s="2" t="s">
        <v>243</v>
      </c>
      <c r="CA1945" s="2" t="s">
        <v>2093</v>
      </c>
      <c r="CB1945" s="2" t="s">
        <v>926</v>
      </c>
      <c r="CC1945" s="2" t="s">
        <v>244</v>
      </c>
      <c r="CD1945" s="2" t="s">
        <v>231</v>
      </c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>
        <v>70</v>
      </c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>
        <v>110</v>
      </c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>
        <v>40</v>
      </c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</row>
    <row r="1946">
      <c r="A1946" s="2" t="s">
        <v>8807</v>
      </c>
      <c r="B1946" s="2" t="s">
        <v>287</v>
      </c>
      <c r="C1946" s="2" t="s">
        <v>965</v>
      </c>
      <c r="D1946" s="2" t="s">
        <v>289</v>
      </c>
      <c r="E1946" s="2" t="s">
        <v>290</v>
      </c>
      <c r="F1946" s="2" t="s">
        <v>8759</v>
      </c>
      <c r="G1946" s="2" t="s">
        <v>8759</v>
      </c>
      <c r="H1946" s="2" t="s">
        <v>8759</v>
      </c>
      <c r="I1946" s="2" t="s">
        <v>359</v>
      </c>
      <c r="J1946" s="2" t="s">
        <v>268</v>
      </c>
      <c r="K1946" s="2" t="s">
        <v>486</v>
      </c>
      <c r="L1946" s="3">
        <v>23.04</v>
      </c>
      <c r="M1946" s="3">
        <v>24.19</v>
      </c>
      <c r="N1946" s="3">
        <v>47.99</v>
      </c>
      <c r="O1946" s="2" t="s">
        <v>243</v>
      </c>
      <c r="P1946" s="2" t="s">
        <v>270</v>
      </c>
      <c r="Q1946" s="2" t="s">
        <v>237</v>
      </c>
      <c r="R1946" s="2" t="s">
        <v>231</v>
      </c>
      <c r="S1946" s="2" t="s">
        <v>8805</v>
      </c>
      <c r="T1946" s="2" t="s">
        <v>595</v>
      </c>
      <c r="U1946" s="2" t="s">
        <v>835</v>
      </c>
      <c r="V1946" s="2" t="s">
        <v>239</v>
      </c>
      <c r="W1946" s="2" t="s">
        <v>273</v>
      </c>
      <c r="X1946" s="2" t="s">
        <v>691</v>
      </c>
      <c r="Y1946" s="2" t="s">
        <v>1789</v>
      </c>
      <c r="Z1946" s="4"/>
      <c r="AA1946" s="4">
        <f>=ROUNDDOWN({0},0)</f>
      </c>
      <c r="AB1946" s="5">
        <v>7</v>
      </c>
      <c r="AC1946" s="2" t="s">
        <v>701</v>
      </c>
      <c r="AD1946" s="4">
        <v>80</v>
      </c>
      <c r="AE1946" s="4">
        <v>220</v>
      </c>
      <c r="AF1946" s="6">
        <v>65</v>
      </c>
      <c r="AG1946" s="6"/>
      <c r="AH1946" s="7">
        <v>0</v>
      </c>
      <c r="AI1946" s="4"/>
      <c r="AJ1946" s="4">
        <f>=ROUNDDOWN({0},0)</f>
      </c>
      <c r="AK1946" s="5"/>
      <c r="AL1946" s="2" t="s">
        <v>231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 t="s">
        <v>231</v>
      </c>
      <c r="AW1946" s="8" t="s">
        <v>231</v>
      </c>
      <c r="AX1946" s="4" t="s">
        <v>231</v>
      </c>
      <c r="AY1946" s="8" t="s">
        <v>231</v>
      </c>
      <c r="AZ1946" s="7" t="s">
        <v>231</v>
      </c>
      <c r="BA1946" s="7" t="s">
        <v>231</v>
      </c>
      <c r="BB1946" s="7"/>
      <c r="BC1946" s="4" t="s">
        <v>231</v>
      </c>
      <c r="BD1946" s="8" t="s">
        <v>231</v>
      </c>
      <c r="BE1946" s="4" t="s">
        <v>231</v>
      </c>
      <c r="BF1946" s="8" t="s">
        <v>231</v>
      </c>
      <c r="BG1946" s="7" t="s">
        <v>231</v>
      </c>
      <c r="BH1946" s="7" t="s">
        <v>231</v>
      </c>
      <c r="BI1946" s="7"/>
      <c r="BJ1946" s="4"/>
      <c r="BK1946" s="8"/>
      <c r="BL1946" s="2" t="s">
        <v>231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8808</v>
      </c>
      <c r="BV1946" s="2" t="s">
        <v>231</v>
      </c>
      <c r="BW1946" s="2" t="s">
        <v>231</v>
      </c>
      <c r="BX1946" s="2" t="s">
        <v>241</v>
      </c>
      <c r="BY1946" s="2" t="s">
        <v>277</v>
      </c>
      <c r="BZ1946" s="2" t="s">
        <v>243</v>
      </c>
      <c r="CA1946" s="2" t="s">
        <v>2093</v>
      </c>
      <c r="CB1946" s="2" t="s">
        <v>3776</v>
      </c>
      <c r="CC1946" s="2" t="s">
        <v>244</v>
      </c>
      <c r="CD1946" s="2" t="s">
        <v>231</v>
      </c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>
        <v>80</v>
      </c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>
        <v>100</v>
      </c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>
        <v>40</v>
      </c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4"/>
      <c r="HH1946" s="4"/>
      <c r="HI1946" s="4"/>
      <c r="HJ1946" s="4"/>
      <c r="HK1946" s="4"/>
      <c r="HL1946" s="4"/>
    </row>
    <row r="1947">
      <c r="A1947" s="2" t="s">
        <v>8809</v>
      </c>
      <c r="B1947" s="2" t="s">
        <v>287</v>
      </c>
      <c r="C1947" s="2" t="s">
        <v>965</v>
      </c>
      <c r="D1947" s="2" t="s">
        <v>289</v>
      </c>
      <c r="E1947" s="2" t="s">
        <v>290</v>
      </c>
      <c r="F1947" s="2" t="s">
        <v>8759</v>
      </c>
      <c r="G1947" s="2" t="s">
        <v>8759</v>
      </c>
      <c r="H1947" s="2" t="s">
        <v>8759</v>
      </c>
      <c r="I1947" s="2" t="s">
        <v>359</v>
      </c>
      <c r="J1947" s="2" t="s">
        <v>281</v>
      </c>
      <c r="K1947" s="2" t="s">
        <v>486</v>
      </c>
      <c r="L1947" s="3">
        <v>25.3</v>
      </c>
      <c r="M1947" s="3">
        <v>26.57</v>
      </c>
      <c r="N1947" s="3">
        <v>54.99</v>
      </c>
      <c r="O1947" s="2" t="s">
        <v>243</v>
      </c>
      <c r="P1947" s="2" t="s">
        <v>270</v>
      </c>
      <c r="Q1947" s="2" t="s">
        <v>237</v>
      </c>
      <c r="R1947" s="2" t="s">
        <v>231</v>
      </c>
      <c r="S1947" s="2" t="s">
        <v>8805</v>
      </c>
      <c r="T1947" s="2" t="s">
        <v>595</v>
      </c>
      <c r="U1947" s="2" t="s">
        <v>298</v>
      </c>
      <c r="V1947" s="2" t="s">
        <v>239</v>
      </c>
      <c r="W1947" s="2" t="s">
        <v>273</v>
      </c>
      <c r="X1947" s="2" t="s">
        <v>691</v>
      </c>
      <c r="Y1947" s="2" t="s">
        <v>1789</v>
      </c>
      <c r="Z1947" s="4"/>
      <c r="AA1947" s="4">
        <f>=ROUNDDOWN({0},0)</f>
      </c>
      <c r="AB1947" s="5">
        <v>11</v>
      </c>
      <c r="AC1947" s="2" t="s">
        <v>701</v>
      </c>
      <c r="AD1947" s="4">
        <v>100</v>
      </c>
      <c r="AE1947" s="4">
        <v>330</v>
      </c>
      <c r="AF1947" s="6">
        <v>65</v>
      </c>
      <c r="AG1947" s="6"/>
      <c r="AH1947" s="7">
        <v>0</v>
      </c>
      <c r="AI1947" s="4"/>
      <c r="AJ1947" s="4">
        <f>=ROUNDDOWN({0},0)</f>
      </c>
      <c r="AK1947" s="5"/>
      <c r="AL1947" s="2" t="s">
        <v>231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231</v>
      </c>
      <c r="AW1947" s="8" t="s">
        <v>231</v>
      </c>
      <c r="AX1947" s="4" t="s">
        <v>231</v>
      </c>
      <c r="AY1947" s="8" t="s">
        <v>231</v>
      </c>
      <c r="AZ1947" s="7" t="s">
        <v>231</v>
      </c>
      <c r="BA1947" s="7" t="s">
        <v>231</v>
      </c>
      <c r="BB1947" s="7"/>
      <c r="BC1947" s="4" t="s">
        <v>231</v>
      </c>
      <c r="BD1947" s="8" t="s">
        <v>231</v>
      </c>
      <c r="BE1947" s="4" t="s">
        <v>231</v>
      </c>
      <c r="BF1947" s="8" t="s">
        <v>231</v>
      </c>
      <c r="BG1947" s="7" t="s">
        <v>231</v>
      </c>
      <c r="BH1947" s="7" t="s">
        <v>231</v>
      </c>
      <c r="BI1947" s="7"/>
      <c r="BJ1947" s="4"/>
      <c r="BK1947" s="8"/>
      <c r="BL1947" s="2" t="s">
        <v>231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8810</v>
      </c>
      <c r="BV1947" s="2" t="s">
        <v>231</v>
      </c>
      <c r="BW1947" s="2" t="s">
        <v>231</v>
      </c>
      <c r="BX1947" s="2" t="s">
        <v>241</v>
      </c>
      <c r="BY1947" s="2" t="s">
        <v>277</v>
      </c>
      <c r="BZ1947" s="2" t="s">
        <v>243</v>
      </c>
      <c r="CA1947" s="2" t="s">
        <v>2093</v>
      </c>
      <c r="CB1947" s="2" t="s">
        <v>5535</v>
      </c>
      <c r="CC1947" s="2" t="s">
        <v>244</v>
      </c>
      <c r="CD1947" s="2" t="s">
        <v>231</v>
      </c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>
        <v>100</v>
      </c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>
        <v>170</v>
      </c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>
        <v>60</v>
      </c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/>
      <c r="HF1947" s="4"/>
      <c r="HG1947" s="4"/>
      <c r="HH1947" s="4"/>
      <c r="HI1947" s="4"/>
      <c r="HJ1947" s="4"/>
      <c r="HK1947" s="4"/>
      <c r="HL1947" s="4"/>
    </row>
    <row r="1948">
      <c r="A1948" s="2" t="s">
        <v>8811</v>
      </c>
      <c r="B1948" s="2" t="s">
        <v>287</v>
      </c>
      <c r="C1948" s="2" t="s">
        <v>965</v>
      </c>
      <c r="D1948" s="2" t="s">
        <v>289</v>
      </c>
      <c r="E1948" s="2" t="s">
        <v>290</v>
      </c>
      <c r="F1948" s="2" t="s">
        <v>8759</v>
      </c>
      <c r="G1948" s="2" t="s">
        <v>8759</v>
      </c>
      <c r="H1948" s="2" t="s">
        <v>8759</v>
      </c>
      <c r="I1948" s="2" t="s">
        <v>359</v>
      </c>
      <c r="J1948" s="2" t="s">
        <v>293</v>
      </c>
      <c r="K1948" s="2" t="s">
        <v>486</v>
      </c>
      <c r="L1948" s="3">
        <v>28.2</v>
      </c>
      <c r="M1948" s="3">
        <v>29.61</v>
      </c>
      <c r="N1948" s="3">
        <v>59.99</v>
      </c>
      <c r="O1948" s="2" t="s">
        <v>243</v>
      </c>
      <c r="P1948" s="2" t="s">
        <v>270</v>
      </c>
      <c r="Q1948" s="2" t="s">
        <v>237</v>
      </c>
      <c r="R1948" s="2" t="s">
        <v>231</v>
      </c>
      <c r="S1948" s="2" t="s">
        <v>8805</v>
      </c>
      <c r="T1948" s="2" t="s">
        <v>595</v>
      </c>
      <c r="U1948" s="2" t="s">
        <v>298</v>
      </c>
      <c r="V1948" s="2" t="s">
        <v>239</v>
      </c>
      <c r="W1948" s="2" t="s">
        <v>273</v>
      </c>
      <c r="X1948" s="2" t="s">
        <v>691</v>
      </c>
      <c r="Y1948" s="2" t="s">
        <v>1789</v>
      </c>
      <c r="Z1948" s="4">
        <v>3</v>
      </c>
      <c r="AA1948" s="4">
        <f>=ROUNDDOWN(0.142857142857143,0)</f>
      </c>
      <c r="AB1948" s="5">
        <v>21</v>
      </c>
      <c r="AC1948" s="2" t="s">
        <v>701</v>
      </c>
      <c r="AD1948" s="4">
        <v>180</v>
      </c>
      <c r="AE1948" s="4">
        <v>690</v>
      </c>
      <c r="AF1948" s="6">
        <v>65</v>
      </c>
      <c r="AG1948" s="6"/>
      <c r="AH1948" s="7">
        <v>0</v>
      </c>
      <c r="AI1948" s="4"/>
      <c r="AJ1948" s="4">
        <f>=ROUNDDOWN({0},0)</f>
      </c>
      <c r="AK1948" s="5"/>
      <c r="AL1948" s="2" t="s">
        <v>231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231</v>
      </c>
      <c r="AW1948" s="8" t="s">
        <v>231</v>
      </c>
      <c r="AX1948" s="4" t="s">
        <v>231</v>
      </c>
      <c r="AY1948" s="8" t="s">
        <v>231</v>
      </c>
      <c r="AZ1948" s="7" t="s">
        <v>231</v>
      </c>
      <c r="BA1948" s="7" t="s">
        <v>231</v>
      </c>
      <c r="BB1948" s="7"/>
      <c r="BC1948" s="4" t="s">
        <v>231</v>
      </c>
      <c r="BD1948" s="8" t="s">
        <v>231</v>
      </c>
      <c r="BE1948" s="4" t="s">
        <v>231</v>
      </c>
      <c r="BF1948" s="8" t="s">
        <v>231</v>
      </c>
      <c r="BG1948" s="7" t="s">
        <v>231</v>
      </c>
      <c r="BH1948" s="7" t="s">
        <v>231</v>
      </c>
      <c r="BI1948" s="7"/>
      <c r="BJ1948" s="4"/>
      <c r="BK1948" s="8"/>
      <c r="BL1948" s="2" t="s">
        <v>231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8812</v>
      </c>
      <c r="BV1948" s="2" t="s">
        <v>231</v>
      </c>
      <c r="BW1948" s="2" t="s">
        <v>231</v>
      </c>
      <c r="BX1948" s="2" t="s">
        <v>241</v>
      </c>
      <c r="BY1948" s="2" t="s">
        <v>277</v>
      </c>
      <c r="BZ1948" s="2" t="s">
        <v>243</v>
      </c>
      <c r="CA1948" s="2" t="s">
        <v>2093</v>
      </c>
      <c r="CB1948" s="2" t="s">
        <v>2826</v>
      </c>
      <c r="CC1948" s="2" t="s">
        <v>244</v>
      </c>
      <c r="CD1948" s="2" t="s">
        <v>231</v>
      </c>
      <c r="CE1948" s="4">
        <v>3</v>
      </c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>
        <v>180</v>
      </c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>
        <v>350</v>
      </c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>
        <v>160</v>
      </c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/>
      <c r="HF1948" s="4"/>
      <c r="HG1948" s="4"/>
      <c r="HH1948" s="4"/>
      <c r="HI1948" s="4"/>
      <c r="HJ1948" s="4"/>
      <c r="HK1948" s="4"/>
      <c r="HL1948" s="4"/>
    </row>
    <row r="1949">
      <c r="A1949" s="2" t="s">
        <v>8813</v>
      </c>
      <c r="B1949" s="2" t="s">
        <v>287</v>
      </c>
      <c r="C1949" s="2" t="s">
        <v>965</v>
      </c>
      <c r="D1949" s="2" t="s">
        <v>289</v>
      </c>
      <c r="E1949" s="2" t="s">
        <v>290</v>
      </c>
      <c r="F1949" s="2" t="s">
        <v>8759</v>
      </c>
      <c r="G1949" s="2" t="s">
        <v>8759</v>
      </c>
      <c r="H1949" s="2" t="s">
        <v>8759</v>
      </c>
      <c r="I1949" s="2" t="s">
        <v>359</v>
      </c>
      <c r="J1949" s="2" t="s">
        <v>302</v>
      </c>
      <c r="K1949" s="2" t="s">
        <v>486</v>
      </c>
      <c r="L1949" s="3">
        <v>31.2</v>
      </c>
      <c r="M1949" s="3">
        <v>32.76</v>
      </c>
      <c r="N1949" s="3">
        <v>64.99</v>
      </c>
      <c r="O1949" s="2" t="s">
        <v>243</v>
      </c>
      <c r="P1949" s="2" t="s">
        <v>270</v>
      </c>
      <c r="Q1949" s="2" t="s">
        <v>237</v>
      </c>
      <c r="R1949" s="2" t="s">
        <v>231</v>
      </c>
      <c r="S1949" s="2" t="s">
        <v>8805</v>
      </c>
      <c r="T1949" s="2" t="s">
        <v>595</v>
      </c>
      <c r="U1949" s="2" t="s">
        <v>298</v>
      </c>
      <c r="V1949" s="2" t="s">
        <v>239</v>
      </c>
      <c r="W1949" s="2" t="s">
        <v>273</v>
      </c>
      <c r="X1949" s="2" t="s">
        <v>691</v>
      </c>
      <c r="Y1949" s="2" t="s">
        <v>1789</v>
      </c>
      <c r="Z1949" s="4">
        <v>3</v>
      </c>
      <c r="AA1949" s="4">
        <f>=ROUNDDOWN(0.3,0)</f>
      </c>
      <c r="AB1949" s="5">
        <v>10</v>
      </c>
      <c r="AC1949" s="2" t="s">
        <v>701</v>
      </c>
      <c r="AD1949" s="4">
        <v>90</v>
      </c>
      <c r="AE1949" s="4">
        <v>310</v>
      </c>
      <c r="AF1949" s="6">
        <v>65</v>
      </c>
      <c r="AG1949" s="6"/>
      <c r="AH1949" s="7">
        <v>0</v>
      </c>
      <c r="AI1949" s="4"/>
      <c r="AJ1949" s="4">
        <f>=ROUNDDOWN({0},0)</f>
      </c>
      <c r="AK1949" s="5"/>
      <c r="AL1949" s="2" t="s">
        <v>231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231</v>
      </c>
      <c r="AW1949" s="8" t="s">
        <v>231</v>
      </c>
      <c r="AX1949" s="4" t="s">
        <v>231</v>
      </c>
      <c r="AY1949" s="8" t="s">
        <v>231</v>
      </c>
      <c r="AZ1949" s="7" t="s">
        <v>231</v>
      </c>
      <c r="BA1949" s="7" t="s">
        <v>231</v>
      </c>
      <c r="BB1949" s="7"/>
      <c r="BC1949" s="4" t="s">
        <v>231</v>
      </c>
      <c r="BD1949" s="8" t="s">
        <v>231</v>
      </c>
      <c r="BE1949" s="4" t="s">
        <v>231</v>
      </c>
      <c r="BF1949" s="8" t="s">
        <v>231</v>
      </c>
      <c r="BG1949" s="7" t="s">
        <v>231</v>
      </c>
      <c r="BH1949" s="7" t="s">
        <v>231</v>
      </c>
      <c r="BI1949" s="7"/>
      <c r="BJ1949" s="4"/>
      <c r="BK1949" s="8"/>
      <c r="BL1949" s="2" t="s">
        <v>231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8814</v>
      </c>
      <c r="BV1949" s="2" t="s">
        <v>231</v>
      </c>
      <c r="BW1949" s="2" t="s">
        <v>231</v>
      </c>
      <c r="BX1949" s="2" t="s">
        <v>241</v>
      </c>
      <c r="BY1949" s="2" t="s">
        <v>277</v>
      </c>
      <c r="BZ1949" s="2" t="s">
        <v>243</v>
      </c>
      <c r="CA1949" s="2" t="s">
        <v>2093</v>
      </c>
      <c r="CB1949" s="2" t="s">
        <v>2646</v>
      </c>
      <c r="CC1949" s="2" t="s">
        <v>244</v>
      </c>
      <c r="CD1949" s="2" t="s">
        <v>231</v>
      </c>
      <c r="CE1949" s="4">
        <v>3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>
        <v>90</v>
      </c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>
        <v>160</v>
      </c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>
        <v>60</v>
      </c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/>
      <c r="HF1949" s="4"/>
      <c r="HG1949" s="4"/>
      <c r="HH1949" s="4"/>
      <c r="HI1949" s="4"/>
      <c r="HJ1949" s="4"/>
      <c r="HK1949" s="4"/>
      <c r="HL1949" s="4"/>
    </row>
    <row r="1950">
      <c r="A1950" s="2" t="s">
        <v>8815</v>
      </c>
      <c r="B1950" s="2" t="s">
        <v>287</v>
      </c>
      <c r="C1950" s="2" t="s">
        <v>965</v>
      </c>
      <c r="D1950" s="2" t="s">
        <v>289</v>
      </c>
      <c r="E1950" s="2" t="s">
        <v>290</v>
      </c>
      <c r="F1950" s="2" t="s">
        <v>8759</v>
      </c>
      <c r="G1950" s="2" t="s">
        <v>8759</v>
      </c>
      <c r="H1950" s="2" t="s">
        <v>8759</v>
      </c>
      <c r="I1950" s="2" t="s">
        <v>359</v>
      </c>
      <c r="J1950" s="2" t="s">
        <v>304</v>
      </c>
      <c r="K1950" s="2" t="s">
        <v>486</v>
      </c>
      <c r="L1950" s="3">
        <v>31.85</v>
      </c>
      <c r="M1950" s="3">
        <v>33.44</v>
      </c>
      <c r="N1950" s="3">
        <v>64.99</v>
      </c>
      <c r="O1950" s="2" t="s">
        <v>243</v>
      </c>
      <c r="P1950" s="2" t="s">
        <v>270</v>
      </c>
      <c r="Q1950" s="2" t="s">
        <v>237</v>
      </c>
      <c r="R1950" s="2" t="s">
        <v>231</v>
      </c>
      <c r="S1950" s="2" t="s">
        <v>8805</v>
      </c>
      <c r="T1950" s="2" t="s">
        <v>595</v>
      </c>
      <c r="U1950" s="2" t="s">
        <v>298</v>
      </c>
      <c r="V1950" s="2" t="s">
        <v>239</v>
      </c>
      <c r="W1950" s="2" t="s">
        <v>273</v>
      </c>
      <c r="X1950" s="2" t="s">
        <v>691</v>
      </c>
      <c r="Y1950" s="2" t="s">
        <v>1789</v>
      </c>
      <c r="Z1950" s="4">
        <v>3</v>
      </c>
      <c r="AA1950" s="4">
        <f>=ROUNDDOWN(0.6,0)</f>
      </c>
      <c r="AB1950" s="5">
        <v>5</v>
      </c>
      <c r="AC1950" s="2" t="s">
        <v>701</v>
      </c>
      <c r="AD1950" s="4">
        <v>40</v>
      </c>
      <c r="AE1950" s="4">
        <v>150</v>
      </c>
      <c r="AF1950" s="6">
        <v>65</v>
      </c>
      <c r="AG1950" s="6"/>
      <c r="AH1950" s="7">
        <v>0</v>
      </c>
      <c r="AI1950" s="4"/>
      <c r="AJ1950" s="4">
        <f>=ROUNDDOWN({0},0)</f>
      </c>
      <c r="AK1950" s="5"/>
      <c r="AL1950" s="2" t="s">
        <v>231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231</v>
      </c>
      <c r="AW1950" s="8" t="s">
        <v>231</v>
      </c>
      <c r="AX1950" s="4" t="s">
        <v>231</v>
      </c>
      <c r="AY1950" s="8" t="s">
        <v>231</v>
      </c>
      <c r="AZ1950" s="7" t="s">
        <v>231</v>
      </c>
      <c r="BA1950" s="7" t="s">
        <v>231</v>
      </c>
      <c r="BB1950" s="7"/>
      <c r="BC1950" s="4" t="s">
        <v>231</v>
      </c>
      <c r="BD1950" s="8" t="s">
        <v>231</v>
      </c>
      <c r="BE1950" s="4" t="s">
        <v>231</v>
      </c>
      <c r="BF1950" s="8" t="s">
        <v>231</v>
      </c>
      <c r="BG1950" s="7" t="s">
        <v>231</v>
      </c>
      <c r="BH1950" s="7" t="s">
        <v>231</v>
      </c>
      <c r="BI1950" s="7"/>
      <c r="BJ1950" s="4"/>
      <c r="BK1950" s="8"/>
      <c r="BL1950" s="2" t="s">
        <v>231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8816</v>
      </c>
      <c r="BV1950" s="2" t="s">
        <v>231</v>
      </c>
      <c r="BW1950" s="2" t="s">
        <v>231</v>
      </c>
      <c r="BX1950" s="2" t="s">
        <v>241</v>
      </c>
      <c r="BY1950" s="2" t="s">
        <v>277</v>
      </c>
      <c r="BZ1950" s="2" t="s">
        <v>243</v>
      </c>
      <c r="CA1950" s="2" t="s">
        <v>2093</v>
      </c>
      <c r="CB1950" s="2" t="s">
        <v>6951</v>
      </c>
      <c r="CC1950" s="2" t="s">
        <v>244</v>
      </c>
      <c r="CD1950" s="2" t="s">
        <v>231</v>
      </c>
      <c r="CE1950" s="4">
        <v>3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>
        <v>40</v>
      </c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>
        <v>80</v>
      </c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>
        <v>30</v>
      </c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/>
      <c r="HF1950" s="4"/>
      <c r="HG1950" s="4"/>
      <c r="HH1950" s="4"/>
      <c r="HI1950" s="4"/>
      <c r="HJ1950" s="4"/>
      <c r="HK1950" s="4"/>
      <c r="HL1950" s="4"/>
    </row>
    <row r="1951">
      <c r="A1951" s="2" t="s">
        <v>8817</v>
      </c>
      <c r="B1951" s="2" t="s">
        <v>287</v>
      </c>
      <c r="C1951" s="2" t="s">
        <v>965</v>
      </c>
      <c r="D1951" s="2" t="s">
        <v>289</v>
      </c>
      <c r="E1951" s="2" t="s">
        <v>290</v>
      </c>
      <c r="F1951" s="2" t="s">
        <v>8759</v>
      </c>
      <c r="G1951" s="2" t="s">
        <v>8759</v>
      </c>
      <c r="H1951" s="2" t="s">
        <v>8759</v>
      </c>
      <c r="I1951" s="2" t="s">
        <v>359</v>
      </c>
      <c r="J1951" s="2" t="s">
        <v>318</v>
      </c>
      <c r="K1951" s="2" t="s">
        <v>901</v>
      </c>
      <c r="L1951" s="3">
        <v>21.62</v>
      </c>
      <c r="M1951" s="3">
        <v>22.7</v>
      </c>
      <c r="N1951" s="3">
        <v>46.99</v>
      </c>
      <c r="O1951" s="2" t="s">
        <v>243</v>
      </c>
      <c r="P1951" s="2" t="s">
        <v>270</v>
      </c>
      <c r="Q1951" s="2" t="s">
        <v>237</v>
      </c>
      <c r="R1951" s="2" t="s">
        <v>231</v>
      </c>
      <c r="S1951" s="2" t="s">
        <v>8818</v>
      </c>
      <c r="T1951" s="2" t="s">
        <v>595</v>
      </c>
      <c r="U1951" s="2" t="s">
        <v>835</v>
      </c>
      <c r="V1951" s="2" t="s">
        <v>239</v>
      </c>
      <c r="W1951" s="2" t="s">
        <v>273</v>
      </c>
      <c r="X1951" s="2" t="s">
        <v>691</v>
      </c>
      <c r="Y1951" s="2" t="s">
        <v>274</v>
      </c>
      <c r="Z1951" s="4">
        <v>38</v>
      </c>
      <c r="AA1951" s="4">
        <f>=ROUNDDOWN(6.33333333333333,0)</f>
      </c>
      <c r="AB1951" s="5">
        <v>6</v>
      </c>
      <c r="AC1951" s="2" t="s">
        <v>4449</v>
      </c>
      <c r="AD1951" s="4">
        <v>30</v>
      </c>
      <c r="AE1951" s="4">
        <v>150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231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231</v>
      </c>
      <c r="AW1951" s="8" t="s">
        <v>231</v>
      </c>
      <c r="AX1951" s="4" t="s">
        <v>231</v>
      </c>
      <c r="AY1951" s="8" t="s">
        <v>231</v>
      </c>
      <c r="AZ1951" s="7" t="s">
        <v>231</v>
      </c>
      <c r="BA1951" s="7" t="s">
        <v>231</v>
      </c>
      <c r="BB1951" s="7"/>
      <c r="BC1951" s="4" t="s">
        <v>231</v>
      </c>
      <c r="BD1951" s="8" t="s">
        <v>231</v>
      </c>
      <c r="BE1951" s="4" t="s">
        <v>231</v>
      </c>
      <c r="BF1951" s="8" t="s">
        <v>231</v>
      </c>
      <c r="BG1951" s="7" t="s">
        <v>231</v>
      </c>
      <c r="BH1951" s="7" t="s">
        <v>231</v>
      </c>
      <c r="BI1951" s="7"/>
      <c r="BJ1951" s="4">
        <v>5</v>
      </c>
      <c r="BK1951" s="8">
        <v>117.22</v>
      </c>
      <c r="BL1951" s="2" t="s">
        <v>8819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8820</v>
      </c>
      <c r="BV1951" s="2" t="s">
        <v>231</v>
      </c>
      <c r="BW1951" s="2" t="s">
        <v>231</v>
      </c>
      <c r="BX1951" s="2" t="s">
        <v>241</v>
      </c>
      <c r="BY1951" s="2" t="s">
        <v>277</v>
      </c>
      <c r="BZ1951" s="2" t="s">
        <v>243</v>
      </c>
      <c r="CA1951" s="2" t="s">
        <v>284</v>
      </c>
      <c r="CB1951" s="2" t="s">
        <v>617</v>
      </c>
      <c r="CC1951" s="2" t="s">
        <v>244</v>
      </c>
      <c r="CD1951" s="2" t="s">
        <v>231</v>
      </c>
      <c r="CE1951" s="4">
        <v>38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>
        <v>30</v>
      </c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>
        <v>90</v>
      </c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>
        <v>30</v>
      </c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  <c r="HG1951" s="4"/>
      <c r="HH1951" s="4"/>
      <c r="HI1951" s="4"/>
      <c r="HJ1951" s="4"/>
      <c r="HK1951" s="4"/>
      <c r="HL1951" s="4"/>
    </row>
    <row r="1952">
      <c r="A1952" s="2" t="s">
        <v>8821</v>
      </c>
      <c r="B1952" s="2" t="s">
        <v>287</v>
      </c>
      <c r="C1952" s="2" t="s">
        <v>965</v>
      </c>
      <c r="D1952" s="2" t="s">
        <v>289</v>
      </c>
      <c r="E1952" s="2" t="s">
        <v>290</v>
      </c>
      <c r="F1952" s="2" t="s">
        <v>8759</v>
      </c>
      <c r="G1952" s="2" t="s">
        <v>8759</v>
      </c>
      <c r="H1952" s="2" t="s">
        <v>8759</v>
      </c>
      <c r="I1952" s="2" t="s">
        <v>359</v>
      </c>
      <c r="J1952" s="2" t="s">
        <v>268</v>
      </c>
      <c r="K1952" s="2" t="s">
        <v>901</v>
      </c>
      <c r="L1952" s="3">
        <v>23.04</v>
      </c>
      <c r="M1952" s="3">
        <v>24.19</v>
      </c>
      <c r="N1952" s="3">
        <v>47.99</v>
      </c>
      <c r="O1952" s="2" t="s">
        <v>243</v>
      </c>
      <c r="P1952" s="2" t="s">
        <v>270</v>
      </c>
      <c r="Q1952" s="2" t="s">
        <v>237</v>
      </c>
      <c r="R1952" s="2" t="s">
        <v>231</v>
      </c>
      <c r="S1952" s="2" t="s">
        <v>8818</v>
      </c>
      <c r="T1952" s="2" t="s">
        <v>595</v>
      </c>
      <c r="U1952" s="2" t="s">
        <v>835</v>
      </c>
      <c r="V1952" s="2" t="s">
        <v>239</v>
      </c>
      <c r="W1952" s="2" t="s">
        <v>273</v>
      </c>
      <c r="X1952" s="2" t="s">
        <v>691</v>
      </c>
      <c r="Y1952" s="2" t="s">
        <v>274</v>
      </c>
      <c r="Z1952" s="4">
        <v>340</v>
      </c>
      <c r="AA1952" s="4">
        <f>=ROUNDDOWN(48.5714285714286,0)</f>
      </c>
      <c r="AB1952" s="5">
        <v>7</v>
      </c>
      <c r="AC1952" s="2" t="s">
        <v>231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231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231</v>
      </c>
      <c r="AW1952" s="8" t="s">
        <v>231</v>
      </c>
      <c r="AX1952" s="4" t="s">
        <v>231</v>
      </c>
      <c r="AY1952" s="8" t="s">
        <v>231</v>
      </c>
      <c r="AZ1952" s="7" t="s">
        <v>231</v>
      </c>
      <c r="BA1952" s="7" t="s">
        <v>231</v>
      </c>
      <c r="BB1952" s="7"/>
      <c r="BC1952" s="4" t="s">
        <v>231</v>
      </c>
      <c r="BD1952" s="8" t="s">
        <v>231</v>
      </c>
      <c r="BE1952" s="4" t="s">
        <v>231</v>
      </c>
      <c r="BF1952" s="8" t="s">
        <v>231</v>
      </c>
      <c r="BG1952" s="7" t="s">
        <v>231</v>
      </c>
      <c r="BH1952" s="7" t="s">
        <v>231</v>
      </c>
      <c r="BI1952" s="7"/>
      <c r="BJ1952" s="4">
        <v>13</v>
      </c>
      <c r="BK1952" s="8">
        <v>324.47</v>
      </c>
      <c r="BL1952" s="2" t="s">
        <v>3305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8822</v>
      </c>
      <c r="BV1952" s="2" t="s">
        <v>231</v>
      </c>
      <c r="BW1952" s="2" t="s">
        <v>231</v>
      </c>
      <c r="BX1952" s="2" t="s">
        <v>241</v>
      </c>
      <c r="BY1952" s="2" t="s">
        <v>277</v>
      </c>
      <c r="BZ1952" s="2" t="s">
        <v>243</v>
      </c>
      <c r="CA1952" s="2" t="s">
        <v>284</v>
      </c>
      <c r="CB1952" s="2" t="s">
        <v>8823</v>
      </c>
      <c r="CC1952" s="2" t="s">
        <v>244</v>
      </c>
      <c r="CD1952" s="2" t="s">
        <v>231</v>
      </c>
      <c r="CE1952" s="4">
        <v>340</v>
      </c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  <c r="HG1952" s="4"/>
      <c r="HH1952" s="4"/>
      <c r="HI1952" s="4"/>
      <c r="HJ1952" s="4"/>
      <c r="HK1952" s="4"/>
      <c r="HL1952" s="4"/>
    </row>
    <row r="1953">
      <c r="A1953" s="2" t="s">
        <v>8824</v>
      </c>
      <c r="B1953" s="2" t="s">
        <v>287</v>
      </c>
      <c r="C1953" s="2" t="s">
        <v>965</v>
      </c>
      <c r="D1953" s="2" t="s">
        <v>289</v>
      </c>
      <c r="E1953" s="2" t="s">
        <v>290</v>
      </c>
      <c r="F1953" s="2" t="s">
        <v>8759</v>
      </c>
      <c r="G1953" s="2" t="s">
        <v>8759</v>
      </c>
      <c r="H1953" s="2" t="s">
        <v>8759</v>
      </c>
      <c r="I1953" s="2" t="s">
        <v>359</v>
      </c>
      <c r="J1953" s="2" t="s">
        <v>281</v>
      </c>
      <c r="K1953" s="2" t="s">
        <v>901</v>
      </c>
      <c r="L1953" s="3">
        <v>25.3</v>
      </c>
      <c r="M1953" s="3">
        <v>26.56</v>
      </c>
      <c r="N1953" s="3">
        <v>54.99</v>
      </c>
      <c r="O1953" s="2" t="s">
        <v>243</v>
      </c>
      <c r="P1953" s="2" t="s">
        <v>270</v>
      </c>
      <c r="Q1953" s="2" t="s">
        <v>237</v>
      </c>
      <c r="R1953" s="2" t="s">
        <v>231</v>
      </c>
      <c r="S1953" s="2" t="s">
        <v>8818</v>
      </c>
      <c r="T1953" s="2" t="s">
        <v>595</v>
      </c>
      <c r="U1953" s="2" t="s">
        <v>298</v>
      </c>
      <c r="V1953" s="2" t="s">
        <v>239</v>
      </c>
      <c r="W1953" s="2" t="s">
        <v>273</v>
      </c>
      <c r="X1953" s="2" t="s">
        <v>691</v>
      </c>
      <c r="Y1953" s="2" t="s">
        <v>274</v>
      </c>
      <c r="Z1953" s="4"/>
      <c r="AA1953" s="4">
        <f>=ROUNDDOWN({0},0)</f>
      </c>
      <c r="AB1953" s="5">
        <v>6</v>
      </c>
      <c r="AC1953" s="2" t="s">
        <v>4449</v>
      </c>
      <c r="AD1953" s="4">
        <v>60</v>
      </c>
      <c r="AE1953" s="4">
        <v>210</v>
      </c>
      <c r="AF1953" s="6">
        <v>65</v>
      </c>
      <c r="AG1953" s="6"/>
      <c r="AH1953" s="7">
        <v>0</v>
      </c>
      <c r="AI1953" s="4"/>
      <c r="AJ1953" s="4">
        <f>=ROUNDDOWN({0},0)</f>
      </c>
      <c r="AK1953" s="5"/>
      <c r="AL1953" s="2" t="s">
        <v>231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231</v>
      </c>
      <c r="AW1953" s="8" t="s">
        <v>231</v>
      </c>
      <c r="AX1953" s="4" t="s">
        <v>231</v>
      </c>
      <c r="AY1953" s="8" t="s">
        <v>231</v>
      </c>
      <c r="AZ1953" s="7" t="s">
        <v>231</v>
      </c>
      <c r="BA1953" s="7" t="s">
        <v>231</v>
      </c>
      <c r="BB1953" s="7"/>
      <c r="BC1953" s="4" t="s">
        <v>231</v>
      </c>
      <c r="BD1953" s="8" t="s">
        <v>231</v>
      </c>
      <c r="BE1953" s="4" t="s">
        <v>231</v>
      </c>
      <c r="BF1953" s="8" t="s">
        <v>231</v>
      </c>
      <c r="BG1953" s="7" t="s">
        <v>231</v>
      </c>
      <c r="BH1953" s="7" t="s">
        <v>231</v>
      </c>
      <c r="BI1953" s="7"/>
      <c r="BJ1953" s="4"/>
      <c r="BK1953" s="8"/>
      <c r="BL1953" s="2" t="s">
        <v>465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8825</v>
      </c>
      <c r="BV1953" s="2" t="s">
        <v>231</v>
      </c>
      <c r="BW1953" s="2" t="s">
        <v>231</v>
      </c>
      <c r="BX1953" s="2" t="s">
        <v>241</v>
      </c>
      <c r="BY1953" s="2" t="s">
        <v>277</v>
      </c>
      <c r="BZ1953" s="2" t="s">
        <v>243</v>
      </c>
      <c r="CA1953" s="2" t="s">
        <v>284</v>
      </c>
      <c r="CB1953" s="2" t="s">
        <v>8826</v>
      </c>
      <c r="CC1953" s="2" t="s">
        <v>244</v>
      </c>
      <c r="CD1953" s="2" t="s">
        <v>231</v>
      </c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>
        <v>60</v>
      </c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>
        <v>110</v>
      </c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>
        <v>40</v>
      </c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4"/>
      <c r="HG1953" s="4"/>
      <c r="HH1953" s="4"/>
      <c r="HI1953" s="4"/>
      <c r="HJ1953" s="4"/>
      <c r="HK1953" s="4"/>
      <c r="HL1953" s="4"/>
    </row>
    <row r="1954">
      <c r="A1954" s="2" t="s">
        <v>8827</v>
      </c>
      <c r="B1954" s="2" t="s">
        <v>287</v>
      </c>
      <c r="C1954" s="2" t="s">
        <v>965</v>
      </c>
      <c r="D1954" s="2" t="s">
        <v>289</v>
      </c>
      <c r="E1954" s="2" t="s">
        <v>290</v>
      </c>
      <c r="F1954" s="2" t="s">
        <v>8759</v>
      </c>
      <c r="G1954" s="2" t="s">
        <v>8759</v>
      </c>
      <c r="H1954" s="2" t="s">
        <v>8759</v>
      </c>
      <c r="I1954" s="2" t="s">
        <v>359</v>
      </c>
      <c r="J1954" s="2" t="s">
        <v>293</v>
      </c>
      <c r="K1954" s="2" t="s">
        <v>901</v>
      </c>
      <c r="L1954" s="3">
        <v>28.2</v>
      </c>
      <c r="M1954" s="3">
        <v>29.61</v>
      </c>
      <c r="N1954" s="3">
        <v>59.99</v>
      </c>
      <c r="O1954" s="2" t="s">
        <v>243</v>
      </c>
      <c r="P1954" s="2" t="s">
        <v>871</v>
      </c>
      <c r="Q1954" s="2" t="s">
        <v>237</v>
      </c>
      <c r="R1954" s="2" t="s">
        <v>231</v>
      </c>
      <c r="S1954" s="2" t="s">
        <v>8818</v>
      </c>
      <c r="T1954" s="2" t="s">
        <v>595</v>
      </c>
      <c r="U1954" s="2" t="s">
        <v>298</v>
      </c>
      <c r="V1954" s="2" t="s">
        <v>239</v>
      </c>
      <c r="W1954" s="2" t="s">
        <v>273</v>
      </c>
      <c r="X1954" s="2" t="s">
        <v>691</v>
      </c>
      <c r="Y1954" s="2" t="s">
        <v>274</v>
      </c>
      <c r="Z1954" s="4"/>
      <c r="AA1954" s="4">
        <f>=ROUNDDOWN({0},0)</f>
      </c>
      <c r="AB1954" s="5">
        <v>29</v>
      </c>
      <c r="AC1954" s="2" t="s">
        <v>4449</v>
      </c>
      <c r="AD1954" s="4">
        <v>100</v>
      </c>
      <c r="AE1954" s="4">
        <v>940</v>
      </c>
      <c r="AF1954" s="6">
        <v>65</v>
      </c>
      <c r="AG1954" s="6"/>
      <c r="AH1954" s="7">
        <v>0</v>
      </c>
      <c r="AI1954" s="4"/>
      <c r="AJ1954" s="4">
        <f>=ROUNDDOWN({0},0)</f>
      </c>
      <c r="AK1954" s="5"/>
      <c r="AL1954" s="2" t="s">
        <v>231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231</v>
      </c>
      <c r="AW1954" s="8" t="s">
        <v>231</v>
      </c>
      <c r="AX1954" s="4" t="s">
        <v>231</v>
      </c>
      <c r="AY1954" s="8" t="s">
        <v>231</v>
      </c>
      <c r="AZ1954" s="7" t="s">
        <v>231</v>
      </c>
      <c r="BA1954" s="7" t="s">
        <v>231</v>
      </c>
      <c r="BB1954" s="7"/>
      <c r="BC1954" s="4" t="s">
        <v>231</v>
      </c>
      <c r="BD1954" s="8" t="s">
        <v>231</v>
      </c>
      <c r="BE1954" s="4" t="s">
        <v>231</v>
      </c>
      <c r="BF1954" s="8" t="s">
        <v>231</v>
      </c>
      <c r="BG1954" s="7" t="s">
        <v>231</v>
      </c>
      <c r="BH1954" s="7" t="s">
        <v>231</v>
      </c>
      <c r="BI1954" s="7"/>
      <c r="BJ1954" s="4"/>
      <c r="BK1954" s="8"/>
      <c r="BL1954" s="2" t="s">
        <v>6891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8828</v>
      </c>
      <c r="BV1954" s="2" t="s">
        <v>231</v>
      </c>
      <c r="BW1954" s="2" t="s">
        <v>231</v>
      </c>
      <c r="BX1954" s="2" t="s">
        <v>241</v>
      </c>
      <c r="BY1954" s="2" t="s">
        <v>277</v>
      </c>
      <c r="BZ1954" s="2" t="s">
        <v>243</v>
      </c>
      <c r="CA1954" s="2" t="s">
        <v>284</v>
      </c>
      <c r="CB1954" s="2" t="s">
        <v>541</v>
      </c>
      <c r="CC1954" s="2" t="s">
        <v>244</v>
      </c>
      <c r="CD1954" s="2" t="s">
        <v>231</v>
      </c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>
        <v>100</v>
      </c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>
        <v>150</v>
      </c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>
        <v>450</v>
      </c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>
        <v>240</v>
      </c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  <c r="HG1954" s="4"/>
      <c r="HH1954" s="4"/>
      <c r="HI1954" s="4"/>
      <c r="HJ1954" s="4"/>
      <c r="HK1954" s="4"/>
      <c r="HL1954" s="4"/>
    </row>
    <row r="1955">
      <c r="A1955" s="2" t="s">
        <v>8829</v>
      </c>
      <c r="B1955" s="2" t="s">
        <v>287</v>
      </c>
      <c r="C1955" s="2" t="s">
        <v>965</v>
      </c>
      <c r="D1955" s="2" t="s">
        <v>289</v>
      </c>
      <c r="E1955" s="2" t="s">
        <v>290</v>
      </c>
      <c r="F1955" s="2" t="s">
        <v>8759</v>
      </c>
      <c r="G1955" s="2" t="s">
        <v>8759</v>
      </c>
      <c r="H1955" s="2" t="s">
        <v>8759</v>
      </c>
      <c r="I1955" s="2" t="s">
        <v>359</v>
      </c>
      <c r="J1955" s="2" t="s">
        <v>302</v>
      </c>
      <c r="K1955" s="2" t="s">
        <v>901</v>
      </c>
      <c r="L1955" s="3">
        <v>31.2</v>
      </c>
      <c r="M1955" s="3">
        <v>32.76</v>
      </c>
      <c r="N1955" s="3">
        <v>64.99</v>
      </c>
      <c r="O1955" s="2" t="s">
        <v>243</v>
      </c>
      <c r="P1955" s="2" t="s">
        <v>1281</v>
      </c>
      <c r="Q1955" s="2" t="s">
        <v>237</v>
      </c>
      <c r="R1955" s="2" t="s">
        <v>231</v>
      </c>
      <c r="S1955" s="2" t="s">
        <v>8818</v>
      </c>
      <c r="T1955" s="2" t="s">
        <v>595</v>
      </c>
      <c r="U1955" s="2" t="s">
        <v>298</v>
      </c>
      <c r="V1955" s="2" t="s">
        <v>239</v>
      </c>
      <c r="W1955" s="2" t="s">
        <v>273</v>
      </c>
      <c r="X1955" s="2" t="s">
        <v>691</v>
      </c>
      <c r="Y1955" s="2" t="s">
        <v>274</v>
      </c>
      <c r="Z1955" s="4"/>
      <c r="AA1955" s="4">
        <f>=ROUNDDOWN({0},0)</f>
      </c>
      <c r="AB1955" s="5">
        <v>20</v>
      </c>
      <c r="AC1955" s="2" t="s">
        <v>4449</v>
      </c>
      <c r="AD1955" s="4">
        <v>80</v>
      </c>
      <c r="AE1955" s="4">
        <v>570</v>
      </c>
      <c r="AF1955" s="6">
        <v>65</v>
      </c>
      <c r="AG1955" s="6"/>
      <c r="AH1955" s="7">
        <v>0</v>
      </c>
      <c r="AI1955" s="4"/>
      <c r="AJ1955" s="4">
        <f>=ROUNDDOWN({0},0)</f>
      </c>
      <c r="AK1955" s="5"/>
      <c r="AL1955" s="2" t="s">
        <v>231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231</v>
      </c>
      <c r="AW1955" s="8" t="s">
        <v>231</v>
      </c>
      <c r="AX1955" s="4" t="s">
        <v>231</v>
      </c>
      <c r="AY1955" s="8" t="s">
        <v>231</v>
      </c>
      <c r="AZ1955" s="7" t="s">
        <v>231</v>
      </c>
      <c r="BA1955" s="7" t="s">
        <v>231</v>
      </c>
      <c r="BB1955" s="7"/>
      <c r="BC1955" s="4" t="s">
        <v>231</v>
      </c>
      <c r="BD1955" s="8" t="s">
        <v>231</v>
      </c>
      <c r="BE1955" s="4" t="s">
        <v>231</v>
      </c>
      <c r="BF1955" s="8" t="s">
        <v>231</v>
      </c>
      <c r="BG1955" s="7" t="s">
        <v>231</v>
      </c>
      <c r="BH1955" s="7" t="s">
        <v>231</v>
      </c>
      <c r="BI1955" s="7"/>
      <c r="BJ1955" s="4"/>
      <c r="BK1955" s="8"/>
      <c r="BL1955" s="2" t="s">
        <v>374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8830</v>
      </c>
      <c r="BV1955" s="2" t="s">
        <v>231</v>
      </c>
      <c r="BW1955" s="2" t="s">
        <v>231</v>
      </c>
      <c r="BX1955" s="2" t="s">
        <v>241</v>
      </c>
      <c r="BY1955" s="2" t="s">
        <v>277</v>
      </c>
      <c r="BZ1955" s="2" t="s">
        <v>243</v>
      </c>
      <c r="CA1955" s="2" t="s">
        <v>284</v>
      </c>
      <c r="CB1955" s="2" t="s">
        <v>607</v>
      </c>
      <c r="CC1955" s="2" t="s">
        <v>244</v>
      </c>
      <c r="CD1955" s="2" t="s">
        <v>231</v>
      </c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>
        <v>80</v>
      </c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>
        <v>80</v>
      </c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>
        <v>290</v>
      </c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>
        <v>120</v>
      </c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4"/>
      <c r="HG1955" s="4"/>
      <c r="HH1955" s="4"/>
      <c r="HI1955" s="4"/>
      <c r="HJ1955" s="4"/>
      <c r="HK1955" s="4"/>
      <c r="HL1955" s="4"/>
    </row>
    <row r="1956">
      <c r="A1956" s="2" t="s">
        <v>8831</v>
      </c>
      <c r="B1956" s="2" t="s">
        <v>287</v>
      </c>
      <c r="C1956" s="2" t="s">
        <v>965</v>
      </c>
      <c r="D1956" s="2" t="s">
        <v>289</v>
      </c>
      <c r="E1956" s="2" t="s">
        <v>290</v>
      </c>
      <c r="F1956" s="2" t="s">
        <v>8759</v>
      </c>
      <c r="G1956" s="2" t="s">
        <v>8759</v>
      </c>
      <c r="H1956" s="2" t="s">
        <v>8759</v>
      </c>
      <c r="I1956" s="2" t="s">
        <v>359</v>
      </c>
      <c r="J1956" s="2" t="s">
        <v>304</v>
      </c>
      <c r="K1956" s="2" t="s">
        <v>901</v>
      </c>
      <c r="L1956" s="3">
        <v>31.85</v>
      </c>
      <c r="M1956" s="3">
        <v>33.44</v>
      </c>
      <c r="N1956" s="3">
        <v>64.99</v>
      </c>
      <c r="O1956" s="2" t="s">
        <v>243</v>
      </c>
      <c r="P1956" s="2" t="s">
        <v>270</v>
      </c>
      <c r="Q1956" s="2" t="s">
        <v>237</v>
      </c>
      <c r="R1956" s="2" t="s">
        <v>231</v>
      </c>
      <c r="S1956" s="2" t="s">
        <v>8818</v>
      </c>
      <c r="T1956" s="2" t="s">
        <v>595</v>
      </c>
      <c r="U1956" s="2" t="s">
        <v>298</v>
      </c>
      <c r="V1956" s="2" t="s">
        <v>239</v>
      </c>
      <c r="W1956" s="2" t="s">
        <v>273</v>
      </c>
      <c r="X1956" s="2" t="s">
        <v>691</v>
      </c>
      <c r="Y1956" s="2" t="s">
        <v>274</v>
      </c>
      <c r="Z1956" s="4"/>
      <c r="AA1956" s="4">
        <f>=ROUNDDOWN({0},0)</f>
      </c>
      <c r="AB1956" s="5">
        <v>13</v>
      </c>
      <c r="AC1956" s="2" t="s">
        <v>4449</v>
      </c>
      <c r="AD1956" s="4">
        <v>100</v>
      </c>
      <c r="AE1956" s="4">
        <v>370</v>
      </c>
      <c r="AF1956" s="6">
        <v>65</v>
      </c>
      <c r="AG1956" s="6"/>
      <c r="AH1956" s="7">
        <v>0</v>
      </c>
      <c r="AI1956" s="4"/>
      <c r="AJ1956" s="4">
        <f>=ROUNDDOWN({0},0)</f>
      </c>
      <c r="AK1956" s="5"/>
      <c r="AL1956" s="2" t="s">
        <v>231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231</v>
      </c>
      <c r="AW1956" s="8" t="s">
        <v>231</v>
      </c>
      <c r="AX1956" s="4" t="s">
        <v>231</v>
      </c>
      <c r="AY1956" s="8" t="s">
        <v>231</v>
      </c>
      <c r="AZ1956" s="7" t="s">
        <v>231</v>
      </c>
      <c r="BA1956" s="7" t="s">
        <v>231</v>
      </c>
      <c r="BB1956" s="7"/>
      <c r="BC1956" s="4" t="s">
        <v>231</v>
      </c>
      <c r="BD1956" s="8" t="s">
        <v>231</v>
      </c>
      <c r="BE1956" s="4" t="s">
        <v>231</v>
      </c>
      <c r="BF1956" s="8" t="s">
        <v>231</v>
      </c>
      <c r="BG1956" s="7" t="s">
        <v>231</v>
      </c>
      <c r="BH1956" s="7" t="s">
        <v>231</v>
      </c>
      <c r="BI1956" s="7"/>
      <c r="BJ1956" s="4"/>
      <c r="BK1956" s="8"/>
      <c r="BL1956" s="2" t="s">
        <v>231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8832</v>
      </c>
      <c r="BV1956" s="2" t="s">
        <v>231</v>
      </c>
      <c r="BW1956" s="2" t="s">
        <v>231</v>
      </c>
      <c r="BX1956" s="2" t="s">
        <v>241</v>
      </c>
      <c r="BY1956" s="2" t="s">
        <v>277</v>
      </c>
      <c r="BZ1956" s="2" t="s">
        <v>243</v>
      </c>
      <c r="CA1956" s="2" t="s">
        <v>284</v>
      </c>
      <c r="CB1956" s="2" t="s">
        <v>8833</v>
      </c>
      <c r="CC1956" s="2" t="s">
        <v>244</v>
      </c>
      <c r="CD1956" s="2" t="s">
        <v>231</v>
      </c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>
        <v>100</v>
      </c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>
        <v>200</v>
      </c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>
        <v>70</v>
      </c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  <c r="HG1956" s="4"/>
      <c r="HH1956" s="4"/>
      <c r="HI1956" s="4"/>
      <c r="HJ1956" s="4"/>
      <c r="HK1956" s="4"/>
      <c r="HL1956" s="4"/>
    </row>
    <row r="1957">
      <c r="A1957" s="2" t="s">
        <v>8834</v>
      </c>
      <c r="B1957" s="2" t="s">
        <v>287</v>
      </c>
      <c r="C1957" s="2" t="s">
        <v>965</v>
      </c>
      <c r="D1957" s="2" t="s">
        <v>289</v>
      </c>
      <c r="E1957" s="2" t="s">
        <v>290</v>
      </c>
      <c r="F1957" s="2" t="s">
        <v>8759</v>
      </c>
      <c r="G1957" s="2" t="s">
        <v>8759</v>
      </c>
      <c r="H1957" s="2" t="s">
        <v>8759</v>
      </c>
      <c r="I1957" s="2" t="s">
        <v>359</v>
      </c>
      <c r="J1957" s="2" t="s">
        <v>318</v>
      </c>
      <c r="K1957" s="2" t="s">
        <v>1491</v>
      </c>
      <c r="L1957" s="3">
        <v>21.62</v>
      </c>
      <c r="M1957" s="3">
        <v>22.7</v>
      </c>
      <c r="N1957" s="3">
        <v>46.99</v>
      </c>
      <c r="O1957" s="2" t="s">
        <v>243</v>
      </c>
      <c r="P1957" s="2" t="s">
        <v>270</v>
      </c>
      <c r="Q1957" s="2" t="s">
        <v>237</v>
      </c>
      <c r="R1957" s="2" t="s">
        <v>231</v>
      </c>
      <c r="S1957" s="2" t="s">
        <v>8835</v>
      </c>
      <c r="T1957" s="2" t="s">
        <v>595</v>
      </c>
      <c r="U1957" s="2" t="s">
        <v>835</v>
      </c>
      <c r="V1957" s="2" t="s">
        <v>239</v>
      </c>
      <c r="W1957" s="2" t="s">
        <v>273</v>
      </c>
      <c r="X1957" s="2" t="s">
        <v>691</v>
      </c>
      <c r="Y1957" s="2" t="s">
        <v>274</v>
      </c>
      <c r="Z1957" s="4">
        <v>35</v>
      </c>
      <c r="AA1957" s="4">
        <f>=ROUNDDOWN(3.5,0)</f>
      </c>
      <c r="AB1957" s="5">
        <v>10</v>
      </c>
      <c r="AC1957" s="2" t="s">
        <v>701</v>
      </c>
      <c r="AD1957" s="4">
        <v>70</v>
      </c>
      <c r="AE1957" s="4">
        <v>260</v>
      </c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231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231</v>
      </c>
      <c r="AW1957" s="8" t="s">
        <v>231</v>
      </c>
      <c r="AX1957" s="4" t="s">
        <v>231</v>
      </c>
      <c r="AY1957" s="8" t="s">
        <v>231</v>
      </c>
      <c r="AZ1957" s="7" t="s">
        <v>231</v>
      </c>
      <c r="BA1957" s="7" t="s">
        <v>231</v>
      </c>
      <c r="BB1957" s="7"/>
      <c r="BC1957" s="4" t="s">
        <v>231</v>
      </c>
      <c r="BD1957" s="8" t="s">
        <v>231</v>
      </c>
      <c r="BE1957" s="4" t="s">
        <v>231</v>
      </c>
      <c r="BF1957" s="8" t="s">
        <v>231</v>
      </c>
      <c r="BG1957" s="7" t="s">
        <v>231</v>
      </c>
      <c r="BH1957" s="7" t="s">
        <v>231</v>
      </c>
      <c r="BI1957" s="7"/>
      <c r="BJ1957" s="4">
        <v>4</v>
      </c>
      <c r="BK1957" s="8">
        <v>96.42</v>
      </c>
      <c r="BL1957" s="2" t="s">
        <v>6891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8836</v>
      </c>
      <c r="BV1957" s="2" t="s">
        <v>231</v>
      </c>
      <c r="BW1957" s="2" t="s">
        <v>231</v>
      </c>
      <c r="BX1957" s="2" t="s">
        <v>241</v>
      </c>
      <c r="BY1957" s="2" t="s">
        <v>277</v>
      </c>
      <c r="BZ1957" s="2" t="s">
        <v>243</v>
      </c>
      <c r="CA1957" s="2" t="s">
        <v>284</v>
      </c>
      <c r="CB1957" s="2" t="s">
        <v>8837</v>
      </c>
      <c r="CC1957" s="2" t="s">
        <v>244</v>
      </c>
      <c r="CD1957" s="2" t="s">
        <v>231</v>
      </c>
      <c r="CE1957" s="4">
        <v>35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>
        <v>70</v>
      </c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>
        <v>140</v>
      </c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>
        <v>50</v>
      </c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</row>
    <row r="1958">
      <c r="A1958" s="2" t="s">
        <v>8838</v>
      </c>
      <c r="B1958" s="2" t="s">
        <v>287</v>
      </c>
      <c r="C1958" s="2" t="s">
        <v>965</v>
      </c>
      <c r="D1958" s="2" t="s">
        <v>289</v>
      </c>
      <c r="E1958" s="2" t="s">
        <v>290</v>
      </c>
      <c r="F1958" s="2" t="s">
        <v>8759</v>
      </c>
      <c r="G1958" s="2" t="s">
        <v>8759</v>
      </c>
      <c r="H1958" s="2" t="s">
        <v>8759</v>
      </c>
      <c r="I1958" s="2" t="s">
        <v>359</v>
      </c>
      <c r="J1958" s="2" t="s">
        <v>268</v>
      </c>
      <c r="K1958" s="2" t="s">
        <v>1491</v>
      </c>
      <c r="L1958" s="3">
        <v>23.04</v>
      </c>
      <c r="M1958" s="3">
        <v>24.19</v>
      </c>
      <c r="N1958" s="3">
        <v>47.99</v>
      </c>
      <c r="O1958" s="2" t="s">
        <v>243</v>
      </c>
      <c r="P1958" s="2" t="s">
        <v>270</v>
      </c>
      <c r="Q1958" s="2" t="s">
        <v>237</v>
      </c>
      <c r="R1958" s="2" t="s">
        <v>231</v>
      </c>
      <c r="S1958" s="2" t="s">
        <v>8835</v>
      </c>
      <c r="T1958" s="2" t="s">
        <v>595</v>
      </c>
      <c r="U1958" s="2" t="s">
        <v>835</v>
      </c>
      <c r="V1958" s="2" t="s">
        <v>239</v>
      </c>
      <c r="W1958" s="2" t="s">
        <v>273</v>
      </c>
      <c r="X1958" s="2" t="s">
        <v>691</v>
      </c>
      <c r="Y1958" s="2" t="s">
        <v>274</v>
      </c>
      <c r="Z1958" s="4">
        <v>3</v>
      </c>
      <c r="AA1958" s="4">
        <f>=ROUNDDOWN(0.230769230769231,0)</f>
      </c>
      <c r="AB1958" s="5">
        <v>13</v>
      </c>
      <c r="AC1958" s="2" t="s">
        <v>701</v>
      </c>
      <c r="AD1958" s="4">
        <v>110</v>
      </c>
      <c r="AE1958" s="4">
        <v>350</v>
      </c>
      <c r="AF1958" s="6">
        <v>65</v>
      </c>
      <c r="AG1958" s="6"/>
      <c r="AH1958" s="7">
        <v>0</v>
      </c>
      <c r="AI1958" s="4"/>
      <c r="AJ1958" s="4">
        <f>=ROUNDDOWN({0},0)</f>
      </c>
      <c r="AK1958" s="5"/>
      <c r="AL1958" s="2" t="s">
        <v>231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231</v>
      </c>
      <c r="AW1958" s="8" t="s">
        <v>231</v>
      </c>
      <c r="AX1958" s="4" t="s">
        <v>231</v>
      </c>
      <c r="AY1958" s="8" t="s">
        <v>231</v>
      </c>
      <c r="AZ1958" s="7" t="s">
        <v>231</v>
      </c>
      <c r="BA1958" s="7" t="s">
        <v>231</v>
      </c>
      <c r="BB1958" s="7"/>
      <c r="BC1958" s="4" t="s">
        <v>231</v>
      </c>
      <c r="BD1958" s="8" t="s">
        <v>231</v>
      </c>
      <c r="BE1958" s="4" t="s">
        <v>231</v>
      </c>
      <c r="BF1958" s="8" t="s">
        <v>231</v>
      </c>
      <c r="BG1958" s="7" t="s">
        <v>231</v>
      </c>
      <c r="BH1958" s="7" t="s">
        <v>231</v>
      </c>
      <c r="BI1958" s="7"/>
      <c r="BJ1958" s="4"/>
      <c r="BK1958" s="8"/>
      <c r="BL1958" s="2" t="s">
        <v>5195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8839</v>
      </c>
      <c r="BV1958" s="2" t="s">
        <v>231</v>
      </c>
      <c r="BW1958" s="2" t="s">
        <v>231</v>
      </c>
      <c r="BX1958" s="2" t="s">
        <v>241</v>
      </c>
      <c r="BY1958" s="2" t="s">
        <v>277</v>
      </c>
      <c r="BZ1958" s="2" t="s">
        <v>243</v>
      </c>
      <c r="CA1958" s="2" t="s">
        <v>284</v>
      </c>
      <c r="CB1958" s="2" t="s">
        <v>1709</v>
      </c>
      <c r="CC1958" s="2" t="s">
        <v>244</v>
      </c>
      <c r="CD1958" s="2" t="s">
        <v>231</v>
      </c>
      <c r="CE1958" s="4">
        <v>3</v>
      </c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>
        <v>110</v>
      </c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>
        <v>180</v>
      </c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>
        <v>60</v>
      </c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  <c r="HG1958" s="4"/>
      <c r="HH1958" s="4"/>
      <c r="HI1958" s="4"/>
      <c r="HJ1958" s="4"/>
      <c r="HK1958" s="4"/>
      <c r="HL1958" s="4"/>
    </row>
    <row r="1959">
      <c r="A1959" s="2" t="s">
        <v>8840</v>
      </c>
      <c r="B1959" s="2" t="s">
        <v>287</v>
      </c>
      <c r="C1959" s="2" t="s">
        <v>965</v>
      </c>
      <c r="D1959" s="2" t="s">
        <v>289</v>
      </c>
      <c r="E1959" s="2" t="s">
        <v>290</v>
      </c>
      <c r="F1959" s="2" t="s">
        <v>8759</v>
      </c>
      <c r="G1959" s="2" t="s">
        <v>8759</v>
      </c>
      <c r="H1959" s="2" t="s">
        <v>8759</v>
      </c>
      <c r="I1959" s="2" t="s">
        <v>359</v>
      </c>
      <c r="J1959" s="2" t="s">
        <v>281</v>
      </c>
      <c r="K1959" s="2" t="s">
        <v>1491</v>
      </c>
      <c r="L1959" s="3">
        <v>25.3</v>
      </c>
      <c r="M1959" s="3">
        <v>26.56</v>
      </c>
      <c r="N1959" s="3">
        <v>54.99</v>
      </c>
      <c r="O1959" s="2" t="s">
        <v>243</v>
      </c>
      <c r="P1959" s="2" t="s">
        <v>270</v>
      </c>
      <c r="Q1959" s="2" t="s">
        <v>237</v>
      </c>
      <c r="R1959" s="2" t="s">
        <v>231</v>
      </c>
      <c r="S1959" s="2" t="s">
        <v>8835</v>
      </c>
      <c r="T1959" s="2" t="s">
        <v>595</v>
      </c>
      <c r="U1959" s="2" t="s">
        <v>298</v>
      </c>
      <c r="V1959" s="2" t="s">
        <v>239</v>
      </c>
      <c r="W1959" s="2" t="s">
        <v>273</v>
      </c>
      <c r="X1959" s="2" t="s">
        <v>691</v>
      </c>
      <c r="Y1959" s="2" t="s">
        <v>274</v>
      </c>
      <c r="Z1959" s="4">
        <v>2</v>
      </c>
      <c r="AA1959" s="4">
        <f>=ROUNDDOWN(0.222222222222222,0)</f>
      </c>
      <c r="AB1959" s="5">
        <v>9</v>
      </c>
      <c r="AC1959" s="2" t="s">
        <v>701</v>
      </c>
      <c r="AD1959" s="4">
        <v>90</v>
      </c>
      <c r="AE1959" s="4">
        <v>300</v>
      </c>
      <c r="AF1959" s="6">
        <v>65</v>
      </c>
      <c r="AG1959" s="6"/>
      <c r="AH1959" s="7">
        <v>0</v>
      </c>
      <c r="AI1959" s="4"/>
      <c r="AJ1959" s="4">
        <f>=ROUNDDOWN({0},0)</f>
      </c>
      <c r="AK1959" s="5"/>
      <c r="AL1959" s="2" t="s">
        <v>231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231</v>
      </c>
      <c r="AW1959" s="8" t="s">
        <v>231</v>
      </c>
      <c r="AX1959" s="4" t="s">
        <v>231</v>
      </c>
      <c r="AY1959" s="8" t="s">
        <v>231</v>
      </c>
      <c r="AZ1959" s="7" t="s">
        <v>231</v>
      </c>
      <c r="BA1959" s="7" t="s">
        <v>231</v>
      </c>
      <c r="BB1959" s="7"/>
      <c r="BC1959" s="4" t="s">
        <v>231</v>
      </c>
      <c r="BD1959" s="8" t="s">
        <v>231</v>
      </c>
      <c r="BE1959" s="4" t="s">
        <v>231</v>
      </c>
      <c r="BF1959" s="8" t="s">
        <v>231</v>
      </c>
      <c r="BG1959" s="7" t="s">
        <v>231</v>
      </c>
      <c r="BH1959" s="7" t="s">
        <v>231</v>
      </c>
      <c r="BI1959" s="7"/>
      <c r="BJ1959" s="4">
        <v>1</v>
      </c>
      <c r="BK1959" s="8">
        <v>54.99</v>
      </c>
      <c r="BL1959" s="2" t="s">
        <v>8841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8842</v>
      </c>
      <c r="BV1959" s="2" t="s">
        <v>231</v>
      </c>
      <c r="BW1959" s="2" t="s">
        <v>231</v>
      </c>
      <c r="BX1959" s="2" t="s">
        <v>241</v>
      </c>
      <c r="BY1959" s="2" t="s">
        <v>277</v>
      </c>
      <c r="BZ1959" s="2" t="s">
        <v>243</v>
      </c>
      <c r="CA1959" s="2" t="s">
        <v>284</v>
      </c>
      <c r="CB1959" s="2" t="s">
        <v>467</v>
      </c>
      <c r="CC1959" s="2" t="s">
        <v>244</v>
      </c>
      <c r="CD1959" s="2" t="s">
        <v>231</v>
      </c>
      <c r="CE1959" s="4">
        <v>2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>
        <v>90</v>
      </c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>
        <v>150</v>
      </c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>
        <v>60</v>
      </c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</row>
    <row r="1960">
      <c r="A1960" s="2" t="s">
        <v>8843</v>
      </c>
      <c r="B1960" s="2" t="s">
        <v>287</v>
      </c>
      <c r="C1960" s="2" t="s">
        <v>965</v>
      </c>
      <c r="D1960" s="2" t="s">
        <v>289</v>
      </c>
      <c r="E1960" s="2" t="s">
        <v>290</v>
      </c>
      <c r="F1960" s="2" t="s">
        <v>8759</v>
      </c>
      <c r="G1960" s="2" t="s">
        <v>8759</v>
      </c>
      <c r="H1960" s="2" t="s">
        <v>8759</v>
      </c>
      <c r="I1960" s="2" t="s">
        <v>359</v>
      </c>
      <c r="J1960" s="2" t="s">
        <v>302</v>
      </c>
      <c r="K1960" s="2" t="s">
        <v>1491</v>
      </c>
      <c r="L1960" s="3">
        <v>31.2</v>
      </c>
      <c r="M1960" s="3">
        <v>32.76</v>
      </c>
      <c r="N1960" s="3">
        <v>64.99</v>
      </c>
      <c r="O1960" s="2" t="s">
        <v>243</v>
      </c>
      <c r="P1960" s="2" t="s">
        <v>270</v>
      </c>
      <c r="Q1960" s="2" t="s">
        <v>237</v>
      </c>
      <c r="R1960" s="2" t="s">
        <v>231</v>
      </c>
      <c r="S1960" s="2" t="s">
        <v>8835</v>
      </c>
      <c r="T1960" s="2" t="s">
        <v>595</v>
      </c>
      <c r="U1960" s="2" t="s">
        <v>298</v>
      </c>
      <c r="V1960" s="2" t="s">
        <v>239</v>
      </c>
      <c r="W1960" s="2" t="s">
        <v>273</v>
      </c>
      <c r="X1960" s="2" t="s">
        <v>691</v>
      </c>
      <c r="Y1960" s="2" t="s">
        <v>274</v>
      </c>
      <c r="Z1960" s="4">
        <v>2</v>
      </c>
      <c r="AA1960" s="4">
        <f>=ROUNDDOWN(0.153846153846154,0)</f>
      </c>
      <c r="AB1960" s="5">
        <v>13</v>
      </c>
      <c r="AC1960" s="2" t="s">
        <v>701</v>
      </c>
      <c r="AD1960" s="4">
        <v>110</v>
      </c>
      <c r="AE1960" s="4">
        <v>380</v>
      </c>
      <c r="AF1960" s="6">
        <v>65</v>
      </c>
      <c r="AG1960" s="6"/>
      <c r="AH1960" s="7">
        <v>0</v>
      </c>
      <c r="AI1960" s="4"/>
      <c r="AJ1960" s="4">
        <f>=ROUNDDOWN({0},0)</f>
      </c>
      <c r="AK1960" s="5"/>
      <c r="AL1960" s="2" t="s">
        <v>231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231</v>
      </c>
      <c r="AW1960" s="8" t="s">
        <v>231</v>
      </c>
      <c r="AX1960" s="4" t="s">
        <v>231</v>
      </c>
      <c r="AY1960" s="8" t="s">
        <v>231</v>
      </c>
      <c r="AZ1960" s="7" t="s">
        <v>231</v>
      </c>
      <c r="BA1960" s="7" t="s">
        <v>231</v>
      </c>
      <c r="BB1960" s="7"/>
      <c r="BC1960" s="4" t="s">
        <v>231</v>
      </c>
      <c r="BD1960" s="8" t="s">
        <v>231</v>
      </c>
      <c r="BE1960" s="4" t="s">
        <v>231</v>
      </c>
      <c r="BF1960" s="8" t="s">
        <v>231</v>
      </c>
      <c r="BG1960" s="7" t="s">
        <v>231</v>
      </c>
      <c r="BH1960" s="7" t="s">
        <v>231</v>
      </c>
      <c r="BI1960" s="7"/>
      <c r="BJ1960" s="4"/>
      <c r="BK1960" s="8"/>
      <c r="BL1960" s="2" t="s">
        <v>8844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8845</v>
      </c>
      <c r="BV1960" s="2" t="s">
        <v>231</v>
      </c>
      <c r="BW1960" s="2" t="s">
        <v>231</v>
      </c>
      <c r="BX1960" s="2" t="s">
        <v>241</v>
      </c>
      <c r="BY1960" s="2" t="s">
        <v>277</v>
      </c>
      <c r="BZ1960" s="2" t="s">
        <v>243</v>
      </c>
      <c r="CA1960" s="2" t="s">
        <v>284</v>
      </c>
      <c r="CB1960" s="2" t="s">
        <v>8846</v>
      </c>
      <c r="CC1960" s="2" t="s">
        <v>244</v>
      </c>
      <c r="CD1960" s="2" t="s">
        <v>231</v>
      </c>
      <c r="CE1960" s="4">
        <v>2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>
        <v>110</v>
      </c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>
        <v>190</v>
      </c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>
        <v>80</v>
      </c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</row>
    <row r="1961">
      <c r="A1961" s="2" t="s">
        <v>8847</v>
      </c>
      <c r="B1961" s="2" t="s">
        <v>287</v>
      </c>
      <c r="C1961" s="2" t="s">
        <v>965</v>
      </c>
      <c r="D1961" s="2" t="s">
        <v>289</v>
      </c>
      <c r="E1961" s="2" t="s">
        <v>290</v>
      </c>
      <c r="F1961" s="2" t="s">
        <v>8759</v>
      </c>
      <c r="G1961" s="2" t="s">
        <v>8759</v>
      </c>
      <c r="H1961" s="2" t="s">
        <v>8759</v>
      </c>
      <c r="I1961" s="2" t="s">
        <v>359</v>
      </c>
      <c r="J1961" s="2" t="s">
        <v>304</v>
      </c>
      <c r="K1961" s="2" t="s">
        <v>1491</v>
      </c>
      <c r="L1961" s="3">
        <v>31.85</v>
      </c>
      <c r="M1961" s="3">
        <v>33.44</v>
      </c>
      <c r="N1961" s="3">
        <v>64.99</v>
      </c>
      <c r="O1961" s="2" t="s">
        <v>243</v>
      </c>
      <c r="P1961" s="2" t="s">
        <v>270</v>
      </c>
      <c r="Q1961" s="2" t="s">
        <v>237</v>
      </c>
      <c r="R1961" s="2" t="s">
        <v>231</v>
      </c>
      <c r="S1961" s="2" t="s">
        <v>8835</v>
      </c>
      <c r="T1961" s="2" t="s">
        <v>595</v>
      </c>
      <c r="U1961" s="2" t="s">
        <v>298</v>
      </c>
      <c r="V1961" s="2" t="s">
        <v>239</v>
      </c>
      <c r="W1961" s="2" t="s">
        <v>273</v>
      </c>
      <c r="X1961" s="2" t="s">
        <v>691</v>
      </c>
      <c r="Y1961" s="2" t="s">
        <v>274</v>
      </c>
      <c r="Z1961" s="4">
        <v>3</v>
      </c>
      <c r="AA1961" s="4">
        <f>=ROUNDDOWN(0.5,0)</f>
      </c>
      <c r="AB1961" s="5">
        <v>6</v>
      </c>
      <c r="AC1961" s="2" t="s">
        <v>701</v>
      </c>
      <c r="AD1961" s="4">
        <v>50</v>
      </c>
      <c r="AE1961" s="4">
        <v>180</v>
      </c>
      <c r="AF1961" s="6">
        <v>65</v>
      </c>
      <c r="AG1961" s="6"/>
      <c r="AH1961" s="7">
        <v>0</v>
      </c>
      <c r="AI1961" s="4"/>
      <c r="AJ1961" s="4">
        <f>=ROUNDDOWN({0},0)</f>
      </c>
      <c r="AK1961" s="5"/>
      <c r="AL1961" s="2" t="s">
        <v>231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231</v>
      </c>
      <c r="AW1961" s="8" t="s">
        <v>231</v>
      </c>
      <c r="AX1961" s="4" t="s">
        <v>231</v>
      </c>
      <c r="AY1961" s="8" t="s">
        <v>231</v>
      </c>
      <c r="AZ1961" s="7" t="s">
        <v>231</v>
      </c>
      <c r="BA1961" s="7" t="s">
        <v>231</v>
      </c>
      <c r="BB1961" s="7"/>
      <c r="BC1961" s="4" t="s">
        <v>231</v>
      </c>
      <c r="BD1961" s="8" t="s">
        <v>231</v>
      </c>
      <c r="BE1961" s="4" t="s">
        <v>231</v>
      </c>
      <c r="BF1961" s="8" t="s">
        <v>231</v>
      </c>
      <c r="BG1961" s="7" t="s">
        <v>231</v>
      </c>
      <c r="BH1961" s="7" t="s">
        <v>231</v>
      </c>
      <c r="BI1961" s="7"/>
      <c r="BJ1961" s="4"/>
      <c r="BK1961" s="8"/>
      <c r="BL1961" s="2" t="s">
        <v>4229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8848</v>
      </c>
      <c r="BV1961" s="2" t="s">
        <v>231</v>
      </c>
      <c r="BW1961" s="2" t="s">
        <v>231</v>
      </c>
      <c r="BX1961" s="2" t="s">
        <v>241</v>
      </c>
      <c r="BY1961" s="2" t="s">
        <v>277</v>
      </c>
      <c r="BZ1961" s="2" t="s">
        <v>243</v>
      </c>
      <c r="CA1961" s="2" t="s">
        <v>284</v>
      </c>
      <c r="CB1961" s="2" t="s">
        <v>8849</v>
      </c>
      <c r="CC1961" s="2" t="s">
        <v>244</v>
      </c>
      <c r="CD1961" s="2" t="s">
        <v>231</v>
      </c>
      <c r="CE1961" s="4">
        <v>3</v>
      </c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>
        <v>50</v>
      </c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>
        <v>100</v>
      </c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>
        <v>30</v>
      </c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  <c r="HG1961" s="4"/>
      <c r="HH1961" s="4"/>
      <c r="HI1961" s="4"/>
      <c r="HJ1961" s="4"/>
      <c r="HK1961" s="4"/>
      <c r="HL1961" s="4"/>
    </row>
    <row r="1962">
      <c r="A1962" s="2" t="s">
        <v>8850</v>
      </c>
      <c r="B1962" s="2" t="s">
        <v>226</v>
      </c>
      <c r="C1962" s="2" t="s">
        <v>965</v>
      </c>
      <c r="D1962" s="2" t="s">
        <v>228</v>
      </c>
      <c r="E1962" s="2" t="s">
        <v>229</v>
      </c>
      <c r="F1962" s="2" t="s">
        <v>8759</v>
      </c>
      <c r="G1962" s="2" t="s">
        <v>8759</v>
      </c>
      <c r="H1962" s="2" t="s">
        <v>8759</v>
      </c>
      <c r="I1962" s="2" t="s">
        <v>229</v>
      </c>
      <c r="J1962" s="2" t="s">
        <v>318</v>
      </c>
      <c r="K1962" s="2" t="s">
        <v>253</v>
      </c>
      <c r="L1962" s="3">
        <v>10.75</v>
      </c>
      <c r="M1962" s="3">
        <v>11.29</v>
      </c>
      <c r="N1962" s="3">
        <v>24.99</v>
      </c>
      <c r="O1962" s="2" t="s">
        <v>243</v>
      </c>
      <c r="P1962" s="2" t="s">
        <v>917</v>
      </c>
      <c r="Q1962" s="2" t="s">
        <v>237</v>
      </c>
      <c r="R1962" s="2" t="s">
        <v>231</v>
      </c>
      <c r="S1962" s="2" t="s">
        <v>8851</v>
      </c>
      <c r="T1962" s="2" t="s">
        <v>595</v>
      </c>
      <c r="U1962" s="2" t="s">
        <v>327</v>
      </c>
      <c r="V1962" s="2" t="s">
        <v>239</v>
      </c>
      <c r="W1962" s="2" t="s">
        <v>273</v>
      </c>
      <c r="X1962" s="2" t="s">
        <v>231</v>
      </c>
      <c r="Y1962" s="2" t="s">
        <v>8852</v>
      </c>
      <c r="Z1962" s="4">
        <v>7</v>
      </c>
      <c r="AA1962" s="4">
        <f>=ROUNDDOWN(1,0)</f>
      </c>
      <c r="AB1962" s="5">
        <v>7</v>
      </c>
      <c r="AC1962" s="2" t="s">
        <v>231</v>
      </c>
      <c r="AD1962" s="4"/>
      <c r="AE1962" s="4"/>
      <c r="AF1962" s="6">
        <v>64</v>
      </c>
      <c r="AG1962" s="6"/>
      <c r="AH1962" s="7">
        <v>1</v>
      </c>
      <c r="AI1962" s="4"/>
      <c r="AJ1962" s="4">
        <f>=ROUNDDOWN({0},0)</f>
      </c>
      <c r="AK1962" s="5"/>
      <c r="AL1962" s="2" t="s">
        <v>231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231</v>
      </c>
      <c r="AW1962" s="8" t="s">
        <v>231</v>
      </c>
      <c r="AX1962" s="4" t="s">
        <v>231</v>
      </c>
      <c r="AY1962" s="8" t="s">
        <v>231</v>
      </c>
      <c r="AZ1962" s="7" t="s">
        <v>231</v>
      </c>
      <c r="BA1962" s="7" t="s">
        <v>231</v>
      </c>
      <c r="BB1962" s="7" t="s">
        <v>231</v>
      </c>
      <c r="BC1962" s="4" t="s">
        <v>231</v>
      </c>
      <c r="BD1962" s="8" t="s">
        <v>231</v>
      </c>
      <c r="BE1962" s="4" t="s">
        <v>231</v>
      </c>
      <c r="BF1962" s="8" t="s">
        <v>231</v>
      </c>
      <c r="BG1962" s="7" t="s">
        <v>231</v>
      </c>
      <c r="BH1962" s="7" t="s">
        <v>231</v>
      </c>
      <c r="BI1962" s="7"/>
      <c r="BJ1962" s="4">
        <v>26</v>
      </c>
      <c r="BK1962" s="8">
        <v>230.69</v>
      </c>
      <c r="BL1962" s="2" t="s">
        <v>3607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8853</v>
      </c>
      <c r="BV1962" s="2" t="s">
        <v>231</v>
      </c>
      <c r="BW1962" s="2" t="s">
        <v>231</v>
      </c>
      <c r="BX1962" s="2" t="s">
        <v>231</v>
      </c>
      <c r="BY1962" s="2" t="s">
        <v>277</v>
      </c>
      <c r="BZ1962" s="2" t="s">
        <v>243</v>
      </c>
      <c r="CA1962" s="2" t="s">
        <v>4851</v>
      </c>
      <c r="CB1962" s="2" t="s">
        <v>4864</v>
      </c>
      <c r="CC1962" s="2" t="s">
        <v>244</v>
      </c>
      <c r="CD1962" s="2" t="s">
        <v>231</v>
      </c>
      <c r="CE1962" s="4">
        <v>7</v>
      </c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</row>
    <row r="1963">
      <c r="A1963" s="2" t="s">
        <v>8854</v>
      </c>
      <c r="B1963" s="2" t="s">
        <v>287</v>
      </c>
      <c r="C1963" s="2" t="s">
        <v>965</v>
      </c>
      <c r="D1963" s="2" t="s">
        <v>289</v>
      </c>
      <c r="E1963" s="2" t="s">
        <v>290</v>
      </c>
      <c r="F1963" s="2" t="s">
        <v>8759</v>
      </c>
      <c r="G1963" s="2" t="s">
        <v>8759</v>
      </c>
      <c r="H1963" s="2" t="s">
        <v>8759</v>
      </c>
      <c r="I1963" s="2" t="s">
        <v>359</v>
      </c>
      <c r="J1963" s="2" t="s">
        <v>318</v>
      </c>
      <c r="K1963" s="2" t="s">
        <v>253</v>
      </c>
      <c r="L1963" s="3">
        <v>21.62</v>
      </c>
      <c r="M1963" s="3">
        <v>22.7</v>
      </c>
      <c r="N1963" s="3">
        <v>46.99</v>
      </c>
      <c r="O1963" s="2" t="s">
        <v>243</v>
      </c>
      <c r="P1963" s="2" t="s">
        <v>270</v>
      </c>
      <c r="Q1963" s="2" t="s">
        <v>237</v>
      </c>
      <c r="R1963" s="2" t="s">
        <v>231</v>
      </c>
      <c r="S1963" s="2" t="s">
        <v>8855</v>
      </c>
      <c r="T1963" s="2" t="s">
        <v>595</v>
      </c>
      <c r="U1963" s="2" t="s">
        <v>835</v>
      </c>
      <c r="V1963" s="2" t="s">
        <v>239</v>
      </c>
      <c r="W1963" s="2" t="s">
        <v>273</v>
      </c>
      <c r="X1963" s="2" t="s">
        <v>691</v>
      </c>
      <c r="Y1963" s="2" t="s">
        <v>274</v>
      </c>
      <c r="Z1963" s="4">
        <v>119</v>
      </c>
      <c r="AA1963" s="4">
        <f>=ROUNDDOWN(5.17391304347826,0)</f>
      </c>
      <c r="AB1963" s="5">
        <v>23</v>
      </c>
      <c r="AC1963" s="2" t="s">
        <v>4449</v>
      </c>
      <c r="AD1963" s="4">
        <v>60</v>
      </c>
      <c r="AE1963" s="4">
        <v>500</v>
      </c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231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231</v>
      </c>
      <c r="AW1963" s="8" t="s">
        <v>231</v>
      </c>
      <c r="AX1963" s="4" t="s">
        <v>231</v>
      </c>
      <c r="AY1963" s="8" t="s">
        <v>231</v>
      </c>
      <c r="AZ1963" s="7" t="s">
        <v>231</v>
      </c>
      <c r="BA1963" s="7" t="s">
        <v>231</v>
      </c>
      <c r="BB1963" s="7" t="s">
        <v>231</v>
      </c>
      <c r="BC1963" s="4" t="s">
        <v>231</v>
      </c>
      <c r="BD1963" s="8" t="s">
        <v>231</v>
      </c>
      <c r="BE1963" s="4" t="s">
        <v>231</v>
      </c>
      <c r="BF1963" s="8" t="s">
        <v>231</v>
      </c>
      <c r="BG1963" s="7" t="s">
        <v>231</v>
      </c>
      <c r="BH1963" s="7" t="s">
        <v>231</v>
      </c>
      <c r="BI1963" s="7"/>
      <c r="BJ1963" s="4">
        <v>7</v>
      </c>
      <c r="BK1963" s="8">
        <v>165.54</v>
      </c>
      <c r="BL1963" s="2" t="s">
        <v>8856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8857</v>
      </c>
      <c r="BV1963" s="2" t="s">
        <v>231</v>
      </c>
      <c r="BW1963" s="2" t="s">
        <v>231</v>
      </c>
      <c r="BX1963" s="2" t="s">
        <v>241</v>
      </c>
      <c r="BY1963" s="2" t="s">
        <v>277</v>
      </c>
      <c r="BZ1963" s="2" t="s">
        <v>243</v>
      </c>
      <c r="CA1963" s="2" t="s">
        <v>284</v>
      </c>
      <c r="CB1963" s="2" t="s">
        <v>8858</v>
      </c>
      <c r="CC1963" s="2" t="s">
        <v>244</v>
      </c>
      <c r="CD1963" s="2" t="s">
        <v>231</v>
      </c>
      <c r="CE1963" s="4">
        <v>119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>
        <v>60</v>
      </c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>
        <v>70</v>
      </c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>
        <v>260</v>
      </c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>
        <v>110</v>
      </c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</row>
    <row r="1964">
      <c r="A1964" s="2" t="s">
        <v>8859</v>
      </c>
      <c r="B1964" s="2" t="s">
        <v>287</v>
      </c>
      <c r="C1964" s="2" t="s">
        <v>965</v>
      </c>
      <c r="D1964" s="2" t="s">
        <v>289</v>
      </c>
      <c r="E1964" s="2" t="s">
        <v>290</v>
      </c>
      <c r="F1964" s="2" t="s">
        <v>8759</v>
      </c>
      <c r="G1964" s="2" t="s">
        <v>8759</v>
      </c>
      <c r="H1964" s="2" t="s">
        <v>8759</v>
      </c>
      <c r="I1964" s="2" t="s">
        <v>359</v>
      </c>
      <c r="J1964" s="2" t="s">
        <v>268</v>
      </c>
      <c r="K1964" s="2" t="s">
        <v>253</v>
      </c>
      <c r="L1964" s="3">
        <v>23.04</v>
      </c>
      <c r="M1964" s="3">
        <v>24.19</v>
      </c>
      <c r="N1964" s="3">
        <v>47.99</v>
      </c>
      <c r="O1964" s="2" t="s">
        <v>243</v>
      </c>
      <c r="P1964" s="2" t="s">
        <v>270</v>
      </c>
      <c r="Q1964" s="2" t="s">
        <v>237</v>
      </c>
      <c r="R1964" s="2" t="s">
        <v>231</v>
      </c>
      <c r="S1964" s="2" t="s">
        <v>8855</v>
      </c>
      <c r="T1964" s="2" t="s">
        <v>595</v>
      </c>
      <c r="U1964" s="2" t="s">
        <v>835</v>
      </c>
      <c r="V1964" s="2" t="s">
        <v>239</v>
      </c>
      <c r="W1964" s="2" t="s">
        <v>273</v>
      </c>
      <c r="X1964" s="2" t="s">
        <v>691</v>
      </c>
      <c r="Y1964" s="2" t="s">
        <v>274</v>
      </c>
      <c r="Z1964" s="4">
        <v>98</v>
      </c>
      <c r="AA1964" s="4">
        <f>=ROUNDDOWN(4.9,0)</f>
      </c>
      <c r="AB1964" s="5">
        <v>20</v>
      </c>
      <c r="AC1964" s="2" t="s">
        <v>4449</v>
      </c>
      <c r="AD1964" s="4">
        <v>70</v>
      </c>
      <c r="AE1964" s="4">
        <v>480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231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231</v>
      </c>
      <c r="AW1964" s="8" t="s">
        <v>231</v>
      </c>
      <c r="AX1964" s="4" t="s">
        <v>231</v>
      </c>
      <c r="AY1964" s="8" t="s">
        <v>231</v>
      </c>
      <c r="AZ1964" s="7" t="s">
        <v>231</v>
      </c>
      <c r="BA1964" s="7" t="s">
        <v>231</v>
      </c>
      <c r="BB1964" s="7"/>
      <c r="BC1964" s="4" t="s">
        <v>231</v>
      </c>
      <c r="BD1964" s="8" t="s">
        <v>231</v>
      </c>
      <c r="BE1964" s="4" t="s">
        <v>231</v>
      </c>
      <c r="BF1964" s="8" t="s">
        <v>231</v>
      </c>
      <c r="BG1964" s="7" t="s">
        <v>231</v>
      </c>
      <c r="BH1964" s="7" t="s">
        <v>231</v>
      </c>
      <c r="BI1964" s="7"/>
      <c r="BJ1964" s="4">
        <v>21</v>
      </c>
      <c r="BK1964" s="8">
        <v>531.07</v>
      </c>
      <c r="BL1964" s="2" t="s">
        <v>8860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8861</v>
      </c>
      <c r="BV1964" s="2" t="s">
        <v>231</v>
      </c>
      <c r="BW1964" s="2" t="s">
        <v>231</v>
      </c>
      <c r="BX1964" s="2" t="s">
        <v>241</v>
      </c>
      <c r="BY1964" s="2" t="s">
        <v>277</v>
      </c>
      <c r="BZ1964" s="2" t="s">
        <v>243</v>
      </c>
      <c r="CA1964" s="2" t="s">
        <v>284</v>
      </c>
      <c r="CB1964" s="2" t="s">
        <v>8862</v>
      </c>
      <c r="CC1964" s="2" t="s">
        <v>244</v>
      </c>
      <c r="CD1964" s="2" t="s">
        <v>231</v>
      </c>
      <c r="CE1964" s="4">
        <v>98</v>
      </c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>
        <v>70</v>
      </c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>
        <v>70</v>
      </c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>
        <v>230</v>
      </c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>
        <v>110</v>
      </c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</row>
    <row r="1965">
      <c r="A1965" s="2" t="s">
        <v>8863</v>
      </c>
      <c r="B1965" s="2" t="s">
        <v>287</v>
      </c>
      <c r="C1965" s="2" t="s">
        <v>965</v>
      </c>
      <c r="D1965" s="2" t="s">
        <v>289</v>
      </c>
      <c r="E1965" s="2" t="s">
        <v>290</v>
      </c>
      <c r="F1965" s="2" t="s">
        <v>8759</v>
      </c>
      <c r="G1965" s="2" t="s">
        <v>8759</v>
      </c>
      <c r="H1965" s="2" t="s">
        <v>8759</v>
      </c>
      <c r="I1965" s="2" t="s">
        <v>359</v>
      </c>
      <c r="J1965" s="2" t="s">
        <v>281</v>
      </c>
      <c r="K1965" s="2" t="s">
        <v>253</v>
      </c>
      <c r="L1965" s="3">
        <v>25.3</v>
      </c>
      <c r="M1965" s="3">
        <v>26.56</v>
      </c>
      <c r="N1965" s="3">
        <v>54.99</v>
      </c>
      <c r="O1965" s="2" t="s">
        <v>243</v>
      </c>
      <c r="P1965" s="2" t="s">
        <v>270</v>
      </c>
      <c r="Q1965" s="2" t="s">
        <v>237</v>
      </c>
      <c r="R1965" s="2" t="s">
        <v>231</v>
      </c>
      <c r="S1965" s="2" t="s">
        <v>8855</v>
      </c>
      <c r="T1965" s="2" t="s">
        <v>595</v>
      </c>
      <c r="U1965" s="2" t="s">
        <v>298</v>
      </c>
      <c r="V1965" s="2" t="s">
        <v>239</v>
      </c>
      <c r="W1965" s="2" t="s">
        <v>273</v>
      </c>
      <c r="X1965" s="2" t="s">
        <v>691</v>
      </c>
      <c r="Y1965" s="2" t="s">
        <v>274</v>
      </c>
      <c r="Z1965" s="4">
        <v>119</v>
      </c>
      <c r="AA1965" s="4">
        <f>=ROUNDDOWN(5.66666666666667,0)</f>
      </c>
      <c r="AB1965" s="5">
        <v>21</v>
      </c>
      <c r="AC1965" s="2" t="s">
        <v>4449</v>
      </c>
      <c r="AD1965" s="4">
        <v>50</v>
      </c>
      <c r="AE1965" s="4">
        <v>530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231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231</v>
      </c>
      <c r="AW1965" s="8" t="s">
        <v>231</v>
      </c>
      <c r="AX1965" s="4" t="s">
        <v>231</v>
      </c>
      <c r="AY1965" s="8" t="s">
        <v>231</v>
      </c>
      <c r="AZ1965" s="7" t="s">
        <v>231</v>
      </c>
      <c r="BA1965" s="7" t="s">
        <v>231</v>
      </c>
      <c r="BB1965" s="7"/>
      <c r="BC1965" s="4" t="s">
        <v>231</v>
      </c>
      <c r="BD1965" s="8" t="s">
        <v>231</v>
      </c>
      <c r="BE1965" s="4" t="s">
        <v>231</v>
      </c>
      <c r="BF1965" s="8" t="s">
        <v>231</v>
      </c>
      <c r="BG1965" s="7" t="s">
        <v>231</v>
      </c>
      <c r="BH1965" s="7" t="s">
        <v>231</v>
      </c>
      <c r="BI1965" s="7"/>
      <c r="BJ1965" s="4">
        <v>7</v>
      </c>
      <c r="BK1965" s="8">
        <v>195.28</v>
      </c>
      <c r="BL1965" s="2" t="s">
        <v>6891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8864</v>
      </c>
      <c r="BV1965" s="2" t="s">
        <v>231</v>
      </c>
      <c r="BW1965" s="2" t="s">
        <v>231</v>
      </c>
      <c r="BX1965" s="2" t="s">
        <v>241</v>
      </c>
      <c r="BY1965" s="2" t="s">
        <v>277</v>
      </c>
      <c r="BZ1965" s="2" t="s">
        <v>243</v>
      </c>
      <c r="CA1965" s="2" t="s">
        <v>284</v>
      </c>
      <c r="CB1965" s="2" t="s">
        <v>8865</v>
      </c>
      <c r="CC1965" s="2" t="s">
        <v>244</v>
      </c>
      <c r="CD1965" s="2" t="s">
        <v>231</v>
      </c>
      <c r="CE1965" s="4">
        <v>119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>
        <v>50</v>
      </c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>
        <v>50</v>
      </c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>
        <v>310</v>
      </c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>
        <v>120</v>
      </c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</row>
    <row r="1966">
      <c r="A1966" s="2" t="s">
        <v>8866</v>
      </c>
      <c r="B1966" s="2" t="s">
        <v>287</v>
      </c>
      <c r="C1966" s="2" t="s">
        <v>965</v>
      </c>
      <c r="D1966" s="2" t="s">
        <v>289</v>
      </c>
      <c r="E1966" s="2" t="s">
        <v>290</v>
      </c>
      <c r="F1966" s="2" t="s">
        <v>8759</v>
      </c>
      <c r="G1966" s="2" t="s">
        <v>8759</v>
      </c>
      <c r="H1966" s="2" t="s">
        <v>8759</v>
      </c>
      <c r="I1966" s="2" t="s">
        <v>359</v>
      </c>
      <c r="J1966" s="2" t="s">
        <v>293</v>
      </c>
      <c r="K1966" s="2" t="s">
        <v>253</v>
      </c>
      <c r="L1966" s="3">
        <v>28.2</v>
      </c>
      <c r="M1966" s="3">
        <v>29.61</v>
      </c>
      <c r="N1966" s="3">
        <v>59.99</v>
      </c>
      <c r="O1966" s="2" t="s">
        <v>243</v>
      </c>
      <c r="P1966" s="2" t="s">
        <v>4057</v>
      </c>
      <c r="Q1966" s="2" t="s">
        <v>237</v>
      </c>
      <c r="R1966" s="2" t="s">
        <v>231</v>
      </c>
      <c r="S1966" s="2" t="s">
        <v>8855</v>
      </c>
      <c r="T1966" s="2" t="s">
        <v>595</v>
      </c>
      <c r="U1966" s="2" t="s">
        <v>298</v>
      </c>
      <c r="V1966" s="2" t="s">
        <v>239</v>
      </c>
      <c r="W1966" s="2" t="s">
        <v>273</v>
      </c>
      <c r="X1966" s="2" t="s">
        <v>691</v>
      </c>
      <c r="Y1966" s="2" t="s">
        <v>274</v>
      </c>
      <c r="Z1966" s="4">
        <v>3</v>
      </c>
      <c r="AA1966" s="4">
        <f>=ROUNDDOWN(0.0535714285714286,0)</f>
      </c>
      <c r="AB1966" s="5">
        <v>56</v>
      </c>
      <c r="AC1966" s="2" t="s">
        <v>4449</v>
      </c>
      <c r="AD1966" s="4">
        <v>200</v>
      </c>
      <c r="AE1966" s="4">
        <v>1750</v>
      </c>
      <c r="AF1966" s="6">
        <v>65</v>
      </c>
      <c r="AG1966" s="6"/>
      <c r="AH1966" s="7">
        <v>0</v>
      </c>
      <c r="AI1966" s="4"/>
      <c r="AJ1966" s="4">
        <f>=ROUNDDOWN({0},0)</f>
      </c>
      <c r="AK1966" s="5"/>
      <c r="AL1966" s="2" t="s">
        <v>231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231</v>
      </c>
      <c r="AW1966" s="8" t="s">
        <v>231</v>
      </c>
      <c r="AX1966" s="4" t="s">
        <v>231</v>
      </c>
      <c r="AY1966" s="8" t="s">
        <v>231</v>
      </c>
      <c r="AZ1966" s="7" t="s">
        <v>231</v>
      </c>
      <c r="BA1966" s="7" t="s">
        <v>231</v>
      </c>
      <c r="BB1966" s="7"/>
      <c r="BC1966" s="4" t="s">
        <v>231</v>
      </c>
      <c r="BD1966" s="8" t="s">
        <v>231</v>
      </c>
      <c r="BE1966" s="4" t="s">
        <v>231</v>
      </c>
      <c r="BF1966" s="8" t="s">
        <v>231</v>
      </c>
      <c r="BG1966" s="7" t="s">
        <v>231</v>
      </c>
      <c r="BH1966" s="7" t="s">
        <v>231</v>
      </c>
      <c r="BI1966" s="7"/>
      <c r="BJ1966" s="4"/>
      <c r="BK1966" s="8"/>
      <c r="BL1966" s="2" t="s">
        <v>8867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8868</v>
      </c>
      <c r="BV1966" s="2" t="s">
        <v>231</v>
      </c>
      <c r="BW1966" s="2" t="s">
        <v>231</v>
      </c>
      <c r="BX1966" s="2" t="s">
        <v>241</v>
      </c>
      <c r="BY1966" s="2" t="s">
        <v>277</v>
      </c>
      <c r="BZ1966" s="2" t="s">
        <v>243</v>
      </c>
      <c r="CA1966" s="2" t="s">
        <v>284</v>
      </c>
      <c r="CB1966" s="2" t="s">
        <v>607</v>
      </c>
      <c r="CC1966" s="2" t="s">
        <v>244</v>
      </c>
      <c r="CD1966" s="2" t="s">
        <v>231</v>
      </c>
      <c r="CE1966" s="4">
        <v>3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>
        <v>200</v>
      </c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>
        <v>260</v>
      </c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>
        <v>840</v>
      </c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>
        <v>450</v>
      </c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</row>
    <row r="1967">
      <c r="A1967" s="2" t="s">
        <v>8869</v>
      </c>
      <c r="B1967" s="2" t="s">
        <v>287</v>
      </c>
      <c r="C1967" s="2" t="s">
        <v>965</v>
      </c>
      <c r="D1967" s="2" t="s">
        <v>289</v>
      </c>
      <c r="E1967" s="2" t="s">
        <v>290</v>
      </c>
      <c r="F1967" s="2" t="s">
        <v>8759</v>
      </c>
      <c r="G1967" s="2" t="s">
        <v>8759</v>
      </c>
      <c r="H1967" s="2" t="s">
        <v>8759</v>
      </c>
      <c r="I1967" s="2" t="s">
        <v>359</v>
      </c>
      <c r="J1967" s="2" t="s">
        <v>304</v>
      </c>
      <c r="K1967" s="2" t="s">
        <v>253</v>
      </c>
      <c r="L1967" s="3">
        <v>31.85</v>
      </c>
      <c r="M1967" s="3">
        <v>33.44</v>
      </c>
      <c r="N1967" s="3">
        <v>64.99</v>
      </c>
      <c r="O1967" s="2" t="s">
        <v>243</v>
      </c>
      <c r="P1967" s="2" t="s">
        <v>1281</v>
      </c>
      <c r="Q1967" s="2" t="s">
        <v>237</v>
      </c>
      <c r="R1967" s="2" t="s">
        <v>231</v>
      </c>
      <c r="S1967" s="2" t="s">
        <v>8855</v>
      </c>
      <c r="T1967" s="2" t="s">
        <v>595</v>
      </c>
      <c r="U1967" s="2" t="s">
        <v>298</v>
      </c>
      <c r="V1967" s="2" t="s">
        <v>239</v>
      </c>
      <c r="W1967" s="2" t="s">
        <v>273</v>
      </c>
      <c r="X1967" s="2" t="s">
        <v>691</v>
      </c>
      <c r="Y1967" s="2" t="s">
        <v>274</v>
      </c>
      <c r="Z1967" s="4">
        <v>3</v>
      </c>
      <c r="AA1967" s="4">
        <f>=ROUNDDOWN(0.15,0)</f>
      </c>
      <c r="AB1967" s="5">
        <v>20</v>
      </c>
      <c r="AC1967" s="2" t="s">
        <v>4449</v>
      </c>
      <c r="AD1967" s="4">
        <v>70</v>
      </c>
      <c r="AE1967" s="4">
        <v>550</v>
      </c>
      <c r="AF1967" s="6">
        <v>65</v>
      </c>
      <c r="AG1967" s="6"/>
      <c r="AH1967" s="7">
        <v>0</v>
      </c>
      <c r="AI1967" s="4"/>
      <c r="AJ1967" s="4">
        <f>=ROUNDDOWN({0},0)</f>
      </c>
      <c r="AK1967" s="5"/>
      <c r="AL1967" s="2" t="s">
        <v>231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231</v>
      </c>
      <c r="AW1967" s="8" t="s">
        <v>231</v>
      </c>
      <c r="AX1967" s="4" t="s">
        <v>231</v>
      </c>
      <c r="AY1967" s="8" t="s">
        <v>231</v>
      </c>
      <c r="AZ1967" s="7" t="s">
        <v>231</v>
      </c>
      <c r="BA1967" s="7" t="s">
        <v>231</v>
      </c>
      <c r="BB1967" s="7"/>
      <c r="BC1967" s="4" t="s">
        <v>231</v>
      </c>
      <c r="BD1967" s="8" t="s">
        <v>231</v>
      </c>
      <c r="BE1967" s="4" t="s">
        <v>231</v>
      </c>
      <c r="BF1967" s="8" t="s">
        <v>231</v>
      </c>
      <c r="BG1967" s="7" t="s">
        <v>231</v>
      </c>
      <c r="BH1967" s="7" t="s">
        <v>231</v>
      </c>
      <c r="BI1967" s="7"/>
      <c r="BJ1967" s="4"/>
      <c r="BK1967" s="8"/>
      <c r="BL1967" s="2" t="s">
        <v>465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8870</v>
      </c>
      <c r="BV1967" s="2" t="s">
        <v>231</v>
      </c>
      <c r="BW1967" s="2" t="s">
        <v>231</v>
      </c>
      <c r="BX1967" s="2" t="s">
        <v>241</v>
      </c>
      <c r="BY1967" s="2" t="s">
        <v>277</v>
      </c>
      <c r="BZ1967" s="2" t="s">
        <v>243</v>
      </c>
      <c r="CA1967" s="2" t="s">
        <v>284</v>
      </c>
      <c r="CB1967" s="2" t="s">
        <v>8871</v>
      </c>
      <c r="CC1967" s="2" t="s">
        <v>244</v>
      </c>
      <c r="CD1967" s="2" t="s">
        <v>231</v>
      </c>
      <c r="CE1967" s="4">
        <v>3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>
        <v>70</v>
      </c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>
        <v>80</v>
      </c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>
        <v>290</v>
      </c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>
        <v>110</v>
      </c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</row>
    <row r="1968">
      <c r="A1968" s="2" t="s">
        <v>8872</v>
      </c>
      <c r="B1968" s="2" t="s">
        <v>287</v>
      </c>
      <c r="C1968" s="2" t="s">
        <v>965</v>
      </c>
      <c r="D1968" s="2" t="s">
        <v>289</v>
      </c>
      <c r="E1968" s="2" t="s">
        <v>290</v>
      </c>
      <c r="F1968" s="2" t="s">
        <v>8759</v>
      </c>
      <c r="G1968" s="2" t="s">
        <v>8759</v>
      </c>
      <c r="H1968" s="2" t="s">
        <v>8759</v>
      </c>
      <c r="I1968" s="2" t="s">
        <v>359</v>
      </c>
      <c r="J1968" s="2" t="s">
        <v>318</v>
      </c>
      <c r="K1968" s="2" t="s">
        <v>8873</v>
      </c>
      <c r="L1968" s="3">
        <v>24</v>
      </c>
      <c r="M1968" s="3">
        <v>25.2</v>
      </c>
      <c r="N1968" s="3">
        <v>49.99</v>
      </c>
      <c r="O1968" s="2" t="s">
        <v>235</v>
      </c>
      <c r="P1968" s="2" t="s">
        <v>341</v>
      </c>
      <c r="Q1968" s="2" t="s">
        <v>237</v>
      </c>
      <c r="R1968" s="2" t="s">
        <v>231</v>
      </c>
      <c r="S1968" s="2" t="s">
        <v>8874</v>
      </c>
      <c r="T1968" s="2" t="s">
        <v>595</v>
      </c>
      <c r="U1968" s="2" t="s">
        <v>835</v>
      </c>
      <c r="V1968" s="2" t="s">
        <v>1685</v>
      </c>
      <c r="W1968" s="2" t="s">
        <v>273</v>
      </c>
      <c r="X1968" s="2" t="s">
        <v>691</v>
      </c>
      <c r="Y1968" s="2" t="s">
        <v>274</v>
      </c>
      <c r="Z1968" s="4">
        <v>125</v>
      </c>
      <c r="AA1968" s="4">
        <f>=ROUNDDOWN(20.1612903225806,0)</f>
      </c>
      <c r="AB1968" s="5">
        <v>6.2</v>
      </c>
      <c r="AC1968" s="2" t="s">
        <v>231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231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 t="s">
        <v>231</v>
      </c>
      <c r="BD1968" s="8" t="s">
        <v>231</v>
      </c>
      <c r="BE1968" s="4" t="s">
        <v>231</v>
      </c>
      <c r="BF1968" s="8" t="s">
        <v>231</v>
      </c>
      <c r="BG1968" s="7" t="s">
        <v>231</v>
      </c>
      <c r="BH1968" s="7" t="s">
        <v>231</v>
      </c>
      <c r="BI1968" s="7"/>
      <c r="BJ1968" s="4">
        <v>2</v>
      </c>
      <c r="BK1968" s="8">
        <v>67.19</v>
      </c>
      <c r="BL1968" s="2" t="s">
        <v>2333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8875</v>
      </c>
      <c r="BV1968" s="2" t="s">
        <v>231</v>
      </c>
      <c r="BW1968" s="2" t="s">
        <v>231</v>
      </c>
      <c r="BX1968" s="2" t="s">
        <v>1360</v>
      </c>
      <c r="BY1968" s="2" t="s">
        <v>277</v>
      </c>
      <c r="BZ1968" s="2" t="s">
        <v>243</v>
      </c>
      <c r="CA1968" s="2" t="s">
        <v>278</v>
      </c>
      <c r="CB1968" s="2" t="s">
        <v>8876</v>
      </c>
      <c r="CC1968" s="2" t="s">
        <v>244</v>
      </c>
      <c r="CD1968" s="2" t="s">
        <v>231</v>
      </c>
      <c r="CE1968" s="4">
        <v>125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  <c r="HG1968" s="4"/>
      <c r="HH1968" s="4"/>
      <c r="HI1968" s="4"/>
      <c r="HJ1968" s="4"/>
      <c r="HK1968" s="4"/>
      <c r="HL1968" s="4"/>
    </row>
    <row r="1969">
      <c r="A1969" s="2" t="s">
        <v>8877</v>
      </c>
      <c r="B1969" s="2" t="s">
        <v>287</v>
      </c>
      <c r="C1969" s="2" t="s">
        <v>965</v>
      </c>
      <c r="D1969" s="2" t="s">
        <v>289</v>
      </c>
      <c r="E1969" s="2" t="s">
        <v>290</v>
      </c>
      <c r="F1969" s="2" t="s">
        <v>8759</v>
      </c>
      <c r="G1969" s="2" t="s">
        <v>8759</v>
      </c>
      <c r="H1969" s="2" t="s">
        <v>8759</v>
      </c>
      <c r="I1969" s="2" t="s">
        <v>359</v>
      </c>
      <c r="J1969" s="2" t="s">
        <v>318</v>
      </c>
      <c r="K1969" s="2" t="s">
        <v>1568</v>
      </c>
      <c r="L1969" s="3">
        <v>24</v>
      </c>
      <c r="M1969" s="3">
        <v>25.2</v>
      </c>
      <c r="N1969" s="3">
        <v>49.99</v>
      </c>
      <c r="O1969" s="2" t="s">
        <v>243</v>
      </c>
      <c r="P1969" s="2" t="s">
        <v>270</v>
      </c>
      <c r="Q1969" s="2" t="s">
        <v>237</v>
      </c>
      <c r="R1969" s="2" t="s">
        <v>231</v>
      </c>
      <c r="S1969" s="2" t="s">
        <v>8878</v>
      </c>
      <c r="T1969" s="2" t="s">
        <v>595</v>
      </c>
      <c r="U1969" s="2" t="s">
        <v>835</v>
      </c>
      <c r="V1969" s="2" t="s">
        <v>987</v>
      </c>
      <c r="W1969" s="2" t="s">
        <v>273</v>
      </c>
      <c r="X1969" s="2" t="s">
        <v>691</v>
      </c>
      <c r="Y1969" s="2" t="s">
        <v>2821</v>
      </c>
      <c r="Z1969" s="4">
        <v>59</v>
      </c>
      <c r="AA1969" s="4">
        <f>=ROUNDDOWN(11.8,0)</f>
      </c>
      <c r="AB1969" s="5">
        <v>5</v>
      </c>
      <c r="AC1969" s="2" t="s">
        <v>701</v>
      </c>
      <c r="AD1969" s="4">
        <v>20</v>
      </c>
      <c r="AE1969" s="4">
        <v>120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231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231</v>
      </c>
      <c r="AW1969" s="8" t="s">
        <v>231</v>
      </c>
      <c r="AX1969" s="4" t="s">
        <v>231</v>
      </c>
      <c r="AY1969" s="8" t="s">
        <v>231</v>
      </c>
      <c r="AZ1969" s="7" t="s">
        <v>231</v>
      </c>
      <c r="BA1969" s="7" t="s">
        <v>231</v>
      </c>
      <c r="BB1969" s="7"/>
      <c r="BC1969" s="4" t="s">
        <v>231</v>
      </c>
      <c r="BD1969" s="8" t="s">
        <v>231</v>
      </c>
      <c r="BE1969" s="4" t="s">
        <v>231</v>
      </c>
      <c r="BF1969" s="8" t="s">
        <v>231</v>
      </c>
      <c r="BG1969" s="7" t="s">
        <v>231</v>
      </c>
      <c r="BH1969" s="7" t="s">
        <v>231</v>
      </c>
      <c r="BI1969" s="7"/>
      <c r="BJ1969" s="4"/>
      <c r="BK1969" s="8"/>
      <c r="BL1969" s="2" t="s">
        <v>231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8879</v>
      </c>
      <c r="BV1969" s="2" t="s">
        <v>231</v>
      </c>
      <c r="BW1969" s="2" t="s">
        <v>231</v>
      </c>
      <c r="BX1969" s="2" t="s">
        <v>241</v>
      </c>
      <c r="BY1969" s="2" t="s">
        <v>277</v>
      </c>
      <c r="BZ1969" s="2" t="s">
        <v>243</v>
      </c>
      <c r="CA1969" s="2" t="s">
        <v>2093</v>
      </c>
      <c r="CB1969" s="2" t="s">
        <v>231</v>
      </c>
      <c r="CC1969" s="2" t="s">
        <v>244</v>
      </c>
      <c r="CD1969" s="2" t="s">
        <v>231</v>
      </c>
      <c r="CE1969" s="4">
        <v>59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>
        <v>20</v>
      </c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>
        <v>70</v>
      </c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>
        <v>30</v>
      </c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  <c r="HG1969" s="4"/>
      <c r="HH1969" s="4"/>
      <c r="HI1969" s="4"/>
      <c r="HJ1969" s="4"/>
      <c r="HK1969" s="4"/>
      <c r="HL1969" s="4"/>
    </row>
    <row r="1970">
      <c r="A1970" s="2" t="s">
        <v>8880</v>
      </c>
      <c r="B1970" s="2" t="s">
        <v>287</v>
      </c>
      <c r="C1970" s="2" t="s">
        <v>965</v>
      </c>
      <c r="D1970" s="2" t="s">
        <v>289</v>
      </c>
      <c r="E1970" s="2" t="s">
        <v>290</v>
      </c>
      <c r="F1970" s="2" t="s">
        <v>8759</v>
      </c>
      <c r="G1970" s="2" t="s">
        <v>8759</v>
      </c>
      <c r="H1970" s="2" t="s">
        <v>8759</v>
      </c>
      <c r="I1970" s="2" t="s">
        <v>359</v>
      </c>
      <c r="J1970" s="2" t="s">
        <v>281</v>
      </c>
      <c r="K1970" s="2" t="s">
        <v>1568</v>
      </c>
      <c r="L1970" s="3">
        <v>28.2</v>
      </c>
      <c r="M1970" s="3">
        <v>29.61</v>
      </c>
      <c r="N1970" s="3">
        <v>59.99</v>
      </c>
      <c r="O1970" s="2" t="s">
        <v>243</v>
      </c>
      <c r="P1970" s="2" t="s">
        <v>270</v>
      </c>
      <c r="Q1970" s="2" t="s">
        <v>237</v>
      </c>
      <c r="R1970" s="2" t="s">
        <v>231</v>
      </c>
      <c r="S1970" s="2" t="s">
        <v>8878</v>
      </c>
      <c r="T1970" s="2" t="s">
        <v>595</v>
      </c>
      <c r="U1970" s="2" t="s">
        <v>298</v>
      </c>
      <c r="V1970" s="2" t="s">
        <v>987</v>
      </c>
      <c r="W1970" s="2" t="s">
        <v>273</v>
      </c>
      <c r="X1970" s="2" t="s">
        <v>691</v>
      </c>
      <c r="Y1970" s="2" t="s">
        <v>2821</v>
      </c>
      <c r="Z1970" s="4">
        <v>54</v>
      </c>
      <c r="AA1970" s="4">
        <f>=ROUNDDOWN(7.71428571428571,0)</f>
      </c>
      <c r="AB1970" s="5">
        <v>7</v>
      </c>
      <c r="AC1970" s="2" t="s">
        <v>701</v>
      </c>
      <c r="AD1970" s="4">
        <v>50</v>
      </c>
      <c r="AE1970" s="4">
        <v>220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231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231</v>
      </c>
      <c r="AW1970" s="8" t="s">
        <v>231</v>
      </c>
      <c r="AX1970" s="4" t="s">
        <v>231</v>
      </c>
      <c r="AY1970" s="8" t="s">
        <v>231</v>
      </c>
      <c r="AZ1970" s="7" t="s">
        <v>231</v>
      </c>
      <c r="BA1970" s="7" t="s">
        <v>231</v>
      </c>
      <c r="BB1970" s="7"/>
      <c r="BC1970" s="4" t="s">
        <v>231</v>
      </c>
      <c r="BD1970" s="8" t="s">
        <v>231</v>
      </c>
      <c r="BE1970" s="4" t="s">
        <v>231</v>
      </c>
      <c r="BF1970" s="8" t="s">
        <v>231</v>
      </c>
      <c r="BG1970" s="7" t="s">
        <v>231</v>
      </c>
      <c r="BH1970" s="7" t="s">
        <v>231</v>
      </c>
      <c r="BI1970" s="7"/>
      <c r="BJ1970" s="4">
        <v>4</v>
      </c>
      <c r="BK1970" s="8">
        <v>123.36</v>
      </c>
      <c r="BL1970" s="2" t="s">
        <v>5774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8881</v>
      </c>
      <c r="BV1970" s="2" t="s">
        <v>231</v>
      </c>
      <c r="BW1970" s="2" t="s">
        <v>231</v>
      </c>
      <c r="BX1970" s="2" t="s">
        <v>241</v>
      </c>
      <c r="BY1970" s="2" t="s">
        <v>277</v>
      </c>
      <c r="BZ1970" s="2" t="s">
        <v>243</v>
      </c>
      <c r="CA1970" s="2" t="s">
        <v>2093</v>
      </c>
      <c r="CB1970" s="2" t="s">
        <v>1957</v>
      </c>
      <c r="CC1970" s="2" t="s">
        <v>244</v>
      </c>
      <c r="CD1970" s="2" t="s">
        <v>231</v>
      </c>
      <c r="CE1970" s="4">
        <v>54</v>
      </c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>
        <v>50</v>
      </c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>
        <v>120</v>
      </c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>
        <v>50</v>
      </c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</row>
    <row r="1971">
      <c r="A1971" s="2" t="s">
        <v>8882</v>
      </c>
      <c r="B1971" s="2" t="s">
        <v>287</v>
      </c>
      <c r="C1971" s="2" t="s">
        <v>965</v>
      </c>
      <c r="D1971" s="2" t="s">
        <v>289</v>
      </c>
      <c r="E1971" s="2" t="s">
        <v>290</v>
      </c>
      <c r="F1971" s="2" t="s">
        <v>8759</v>
      </c>
      <c r="G1971" s="2" t="s">
        <v>8759</v>
      </c>
      <c r="H1971" s="2" t="s">
        <v>8759</v>
      </c>
      <c r="I1971" s="2" t="s">
        <v>359</v>
      </c>
      <c r="J1971" s="2" t="s">
        <v>293</v>
      </c>
      <c r="K1971" s="2" t="s">
        <v>1568</v>
      </c>
      <c r="L1971" s="3">
        <v>31.85</v>
      </c>
      <c r="M1971" s="3">
        <v>33.44</v>
      </c>
      <c r="N1971" s="3">
        <v>64.99</v>
      </c>
      <c r="O1971" s="2" t="s">
        <v>243</v>
      </c>
      <c r="P1971" s="2" t="s">
        <v>270</v>
      </c>
      <c r="Q1971" s="2" t="s">
        <v>237</v>
      </c>
      <c r="R1971" s="2" t="s">
        <v>231</v>
      </c>
      <c r="S1971" s="2" t="s">
        <v>8878</v>
      </c>
      <c r="T1971" s="2" t="s">
        <v>595</v>
      </c>
      <c r="U1971" s="2" t="s">
        <v>298</v>
      </c>
      <c r="V1971" s="2" t="s">
        <v>987</v>
      </c>
      <c r="W1971" s="2" t="s">
        <v>273</v>
      </c>
      <c r="X1971" s="2" t="s">
        <v>691</v>
      </c>
      <c r="Y1971" s="2" t="s">
        <v>2821</v>
      </c>
      <c r="Z1971" s="4">
        <v>3</v>
      </c>
      <c r="AA1971" s="4">
        <f>=ROUNDDOWN(0.166666666666667,0)</f>
      </c>
      <c r="AB1971" s="5">
        <v>18</v>
      </c>
      <c r="AC1971" s="2" t="s">
        <v>701</v>
      </c>
      <c r="AD1971" s="4">
        <v>160</v>
      </c>
      <c r="AE1971" s="4">
        <v>580</v>
      </c>
      <c r="AF1971" s="6">
        <v>65</v>
      </c>
      <c r="AG1971" s="6"/>
      <c r="AH1971" s="7">
        <v>0.1613</v>
      </c>
      <c r="AI1971" s="4"/>
      <c r="AJ1971" s="4">
        <f>=ROUNDDOWN({0},0)</f>
      </c>
      <c r="AK1971" s="5"/>
      <c r="AL1971" s="2" t="s">
        <v>231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231</v>
      </c>
      <c r="AW1971" s="8" t="s">
        <v>231</v>
      </c>
      <c r="AX1971" s="4" t="s">
        <v>231</v>
      </c>
      <c r="AY1971" s="8" t="s">
        <v>231</v>
      </c>
      <c r="AZ1971" s="7" t="s">
        <v>231</v>
      </c>
      <c r="BA1971" s="7" t="s">
        <v>231</v>
      </c>
      <c r="BB1971" s="7"/>
      <c r="BC1971" s="4" t="s">
        <v>231</v>
      </c>
      <c r="BD1971" s="8" t="s">
        <v>231</v>
      </c>
      <c r="BE1971" s="4" t="s">
        <v>231</v>
      </c>
      <c r="BF1971" s="8" t="s">
        <v>231</v>
      </c>
      <c r="BG1971" s="7" t="s">
        <v>231</v>
      </c>
      <c r="BH1971" s="7" t="s">
        <v>231</v>
      </c>
      <c r="BI1971" s="7"/>
      <c r="BJ1971" s="4">
        <v>6</v>
      </c>
      <c r="BK1971" s="8">
        <v>193.97</v>
      </c>
      <c r="BL1971" s="2" t="s">
        <v>2996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8883</v>
      </c>
      <c r="BV1971" s="2" t="s">
        <v>231</v>
      </c>
      <c r="BW1971" s="2" t="s">
        <v>231</v>
      </c>
      <c r="BX1971" s="2" t="s">
        <v>241</v>
      </c>
      <c r="BY1971" s="2" t="s">
        <v>277</v>
      </c>
      <c r="BZ1971" s="2" t="s">
        <v>243</v>
      </c>
      <c r="CA1971" s="2" t="s">
        <v>2093</v>
      </c>
      <c r="CB1971" s="2" t="s">
        <v>3136</v>
      </c>
      <c r="CC1971" s="2" t="s">
        <v>244</v>
      </c>
      <c r="CD1971" s="2" t="s">
        <v>231</v>
      </c>
      <c r="CE1971" s="4">
        <v>3</v>
      </c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>
        <v>160</v>
      </c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>
        <v>270</v>
      </c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>
        <v>150</v>
      </c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/>
      <c r="HD1971" s="4"/>
      <c r="HE1971" s="4"/>
      <c r="HF1971" s="4"/>
      <c r="HG1971" s="4"/>
      <c r="HH1971" s="4"/>
      <c r="HI1971" s="4"/>
      <c r="HJ1971" s="4"/>
      <c r="HK1971" s="4"/>
      <c r="HL1971" s="4"/>
    </row>
    <row r="1972">
      <c r="A1972" s="2" t="s">
        <v>8884</v>
      </c>
      <c r="B1972" s="2" t="s">
        <v>287</v>
      </c>
      <c r="C1972" s="2" t="s">
        <v>965</v>
      </c>
      <c r="D1972" s="2" t="s">
        <v>289</v>
      </c>
      <c r="E1972" s="2" t="s">
        <v>290</v>
      </c>
      <c r="F1972" s="2" t="s">
        <v>8759</v>
      </c>
      <c r="G1972" s="2" t="s">
        <v>8759</v>
      </c>
      <c r="H1972" s="2" t="s">
        <v>8759</v>
      </c>
      <c r="I1972" s="2" t="s">
        <v>359</v>
      </c>
      <c r="J1972" s="2" t="s">
        <v>302</v>
      </c>
      <c r="K1972" s="2" t="s">
        <v>1568</v>
      </c>
      <c r="L1972" s="3">
        <v>34.5</v>
      </c>
      <c r="M1972" s="3">
        <v>36.23</v>
      </c>
      <c r="N1972" s="3">
        <v>74.99</v>
      </c>
      <c r="O1972" s="2" t="s">
        <v>243</v>
      </c>
      <c r="P1972" s="2" t="s">
        <v>270</v>
      </c>
      <c r="Q1972" s="2" t="s">
        <v>237</v>
      </c>
      <c r="R1972" s="2" t="s">
        <v>231</v>
      </c>
      <c r="S1972" s="2" t="s">
        <v>8878</v>
      </c>
      <c r="T1972" s="2" t="s">
        <v>595</v>
      </c>
      <c r="U1972" s="2" t="s">
        <v>298</v>
      </c>
      <c r="V1972" s="2" t="s">
        <v>987</v>
      </c>
      <c r="W1972" s="2" t="s">
        <v>273</v>
      </c>
      <c r="X1972" s="2" t="s">
        <v>691</v>
      </c>
      <c r="Y1972" s="2" t="s">
        <v>2821</v>
      </c>
      <c r="Z1972" s="4">
        <v>73</v>
      </c>
      <c r="AA1972" s="4">
        <f>=ROUNDDOWN(7.3,0)</f>
      </c>
      <c r="AB1972" s="5">
        <v>10</v>
      </c>
      <c r="AC1972" s="2" t="s">
        <v>701</v>
      </c>
      <c r="AD1972" s="4">
        <v>50</v>
      </c>
      <c r="AE1972" s="4">
        <v>260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231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231</v>
      </c>
      <c r="AW1972" s="8" t="s">
        <v>231</v>
      </c>
      <c r="AX1972" s="4" t="s">
        <v>231</v>
      </c>
      <c r="AY1972" s="8" t="s">
        <v>231</v>
      </c>
      <c r="AZ1972" s="7" t="s">
        <v>231</v>
      </c>
      <c r="BA1972" s="7" t="s">
        <v>231</v>
      </c>
      <c r="BB1972" s="7"/>
      <c r="BC1972" s="4" t="s">
        <v>231</v>
      </c>
      <c r="BD1972" s="8" t="s">
        <v>231</v>
      </c>
      <c r="BE1972" s="4" t="s">
        <v>231</v>
      </c>
      <c r="BF1972" s="8" t="s">
        <v>231</v>
      </c>
      <c r="BG1972" s="7" t="s">
        <v>231</v>
      </c>
      <c r="BH1972" s="7" t="s">
        <v>231</v>
      </c>
      <c r="BI1972" s="7"/>
      <c r="BJ1972" s="4">
        <v>4</v>
      </c>
      <c r="BK1972" s="8">
        <v>131.12</v>
      </c>
      <c r="BL1972" s="2" t="s">
        <v>1240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8885</v>
      </c>
      <c r="BV1972" s="2" t="s">
        <v>231</v>
      </c>
      <c r="BW1972" s="2" t="s">
        <v>231</v>
      </c>
      <c r="BX1972" s="2" t="s">
        <v>241</v>
      </c>
      <c r="BY1972" s="2" t="s">
        <v>277</v>
      </c>
      <c r="BZ1972" s="2" t="s">
        <v>243</v>
      </c>
      <c r="CA1972" s="2" t="s">
        <v>2093</v>
      </c>
      <c r="CB1972" s="2" t="s">
        <v>6600</v>
      </c>
      <c r="CC1972" s="2" t="s">
        <v>244</v>
      </c>
      <c r="CD1972" s="2" t="s">
        <v>231</v>
      </c>
      <c r="CE1972" s="4">
        <v>73</v>
      </c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>
        <v>50</v>
      </c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>
        <v>150</v>
      </c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>
        <v>60</v>
      </c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  <c r="HF1972" s="4"/>
      <c r="HG1972" s="4"/>
      <c r="HH1972" s="4"/>
      <c r="HI1972" s="4"/>
      <c r="HJ1972" s="4"/>
      <c r="HK1972" s="4"/>
      <c r="HL1972" s="4"/>
    </row>
    <row r="1973">
      <c r="A1973" s="2" t="s">
        <v>8886</v>
      </c>
      <c r="B1973" s="2" t="s">
        <v>287</v>
      </c>
      <c r="C1973" s="2" t="s">
        <v>965</v>
      </c>
      <c r="D1973" s="2" t="s">
        <v>289</v>
      </c>
      <c r="E1973" s="2" t="s">
        <v>290</v>
      </c>
      <c r="F1973" s="2" t="s">
        <v>8759</v>
      </c>
      <c r="G1973" s="2" t="s">
        <v>8759</v>
      </c>
      <c r="H1973" s="2" t="s">
        <v>8759</v>
      </c>
      <c r="I1973" s="2" t="s">
        <v>359</v>
      </c>
      <c r="J1973" s="2" t="s">
        <v>318</v>
      </c>
      <c r="K1973" s="2" t="s">
        <v>4280</v>
      </c>
      <c r="L1973" s="3">
        <v>24</v>
      </c>
      <c r="M1973" s="3">
        <v>25.2</v>
      </c>
      <c r="N1973" s="3">
        <v>49.99</v>
      </c>
      <c r="O1973" s="2" t="s">
        <v>243</v>
      </c>
      <c r="P1973" s="2" t="s">
        <v>270</v>
      </c>
      <c r="Q1973" s="2" t="s">
        <v>237</v>
      </c>
      <c r="R1973" s="2" t="s">
        <v>231</v>
      </c>
      <c r="S1973" s="2" t="s">
        <v>8887</v>
      </c>
      <c r="T1973" s="2" t="s">
        <v>595</v>
      </c>
      <c r="U1973" s="2" t="s">
        <v>835</v>
      </c>
      <c r="V1973" s="2" t="s">
        <v>1304</v>
      </c>
      <c r="W1973" s="2" t="s">
        <v>273</v>
      </c>
      <c r="X1973" s="2" t="s">
        <v>691</v>
      </c>
      <c r="Y1973" s="2" t="s">
        <v>274</v>
      </c>
      <c r="Z1973" s="4">
        <v>3</v>
      </c>
      <c r="AA1973" s="4">
        <f>=ROUNDDOWN(0.3,0)</f>
      </c>
      <c r="AB1973" s="5">
        <v>10</v>
      </c>
      <c r="AC1973" s="2" t="s">
        <v>701</v>
      </c>
      <c r="AD1973" s="4">
        <v>80</v>
      </c>
      <c r="AE1973" s="4">
        <v>280</v>
      </c>
      <c r="AF1973" s="6">
        <v>65</v>
      </c>
      <c r="AG1973" s="6"/>
      <c r="AH1973" s="7">
        <v>0</v>
      </c>
      <c r="AI1973" s="4"/>
      <c r="AJ1973" s="4">
        <f>=ROUNDDOWN({0},0)</f>
      </c>
      <c r="AK1973" s="5"/>
      <c r="AL1973" s="2" t="s">
        <v>231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231</v>
      </c>
      <c r="AW1973" s="8" t="s">
        <v>231</v>
      </c>
      <c r="AX1973" s="4" t="s">
        <v>231</v>
      </c>
      <c r="AY1973" s="8" t="s">
        <v>231</v>
      </c>
      <c r="AZ1973" s="7" t="s">
        <v>231</v>
      </c>
      <c r="BA1973" s="7" t="s">
        <v>231</v>
      </c>
      <c r="BB1973" s="7"/>
      <c r="BC1973" s="4" t="s">
        <v>231</v>
      </c>
      <c r="BD1973" s="8" t="s">
        <v>231</v>
      </c>
      <c r="BE1973" s="4" t="s">
        <v>231</v>
      </c>
      <c r="BF1973" s="8" t="s">
        <v>231</v>
      </c>
      <c r="BG1973" s="7" t="s">
        <v>231</v>
      </c>
      <c r="BH1973" s="7" t="s">
        <v>231</v>
      </c>
      <c r="BI1973" s="7"/>
      <c r="BJ1973" s="4"/>
      <c r="BK1973" s="8"/>
      <c r="BL1973" s="2" t="s">
        <v>465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8888</v>
      </c>
      <c r="BV1973" s="2" t="s">
        <v>231</v>
      </c>
      <c r="BW1973" s="2" t="s">
        <v>231</v>
      </c>
      <c r="BX1973" s="2" t="s">
        <v>241</v>
      </c>
      <c r="BY1973" s="2" t="s">
        <v>277</v>
      </c>
      <c r="BZ1973" s="2" t="s">
        <v>243</v>
      </c>
      <c r="CA1973" s="2" t="s">
        <v>4719</v>
      </c>
      <c r="CB1973" s="2" t="s">
        <v>8889</v>
      </c>
      <c r="CC1973" s="2" t="s">
        <v>244</v>
      </c>
      <c r="CD1973" s="2" t="s">
        <v>231</v>
      </c>
      <c r="CE1973" s="4">
        <v>3</v>
      </c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>
        <v>80</v>
      </c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>
        <v>150</v>
      </c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>
        <v>50</v>
      </c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  <c r="HG1973" s="4"/>
      <c r="HH1973" s="4"/>
      <c r="HI1973" s="4"/>
      <c r="HJ1973" s="4"/>
      <c r="HK1973" s="4"/>
      <c r="HL1973" s="4"/>
    </row>
    <row r="1974">
      <c r="A1974" s="2" t="s">
        <v>8890</v>
      </c>
      <c r="B1974" s="2" t="s">
        <v>287</v>
      </c>
      <c r="C1974" s="2" t="s">
        <v>965</v>
      </c>
      <c r="D1974" s="2" t="s">
        <v>289</v>
      </c>
      <c r="E1974" s="2" t="s">
        <v>290</v>
      </c>
      <c r="F1974" s="2" t="s">
        <v>8759</v>
      </c>
      <c r="G1974" s="2" t="s">
        <v>8759</v>
      </c>
      <c r="H1974" s="2" t="s">
        <v>8759</v>
      </c>
      <c r="I1974" s="2" t="s">
        <v>359</v>
      </c>
      <c r="J1974" s="2" t="s">
        <v>281</v>
      </c>
      <c r="K1974" s="2" t="s">
        <v>4280</v>
      </c>
      <c r="L1974" s="3">
        <v>28.2</v>
      </c>
      <c r="M1974" s="3">
        <v>29.61</v>
      </c>
      <c r="N1974" s="3">
        <v>59.99</v>
      </c>
      <c r="O1974" s="2" t="s">
        <v>243</v>
      </c>
      <c r="P1974" s="2" t="s">
        <v>270</v>
      </c>
      <c r="Q1974" s="2" t="s">
        <v>237</v>
      </c>
      <c r="R1974" s="2" t="s">
        <v>231</v>
      </c>
      <c r="S1974" s="2" t="s">
        <v>8887</v>
      </c>
      <c r="T1974" s="2" t="s">
        <v>595</v>
      </c>
      <c r="U1974" s="2" t="s">
        <v>298</v>
      </c>
      <c r="V1974" s="2" t="s">
        <v>1304</v>
      </c>
      <c r="W1974" s="2" t="s">
        <v>273</v>
      </c>
      <c r="X1974" s="2" t="s">
        <v>691</v>
      </c>
      <c r="Y1974" s="2" t="s">
        <v>274</v>
      </c>
      <c r="Z1974" s="4"/>
      <c r="AA1974" s="4">
        <f>=ROUNDDOWN({0},0)</f>
      </c>
      <c r="AB1974" s="5">
        <v>9</v>
      </c>
      <c r="AC1974" s="2" t="s">
        <v>701</v>
      </c>
      <c r="AD1974" s="4">
        <v>80</v>
      </c>
      <c r="AE1974" s="4">
        <v>290</v>
      </c>
      <c r="AF1974" s="6">
        <v>65</v>
      </c>
      <c r="AG1974" s="6"/>
      <c r="AH1974" s="7">
        <v>0</v>
      </c>
      <c r="AI1974" s="4"/>
      <c r="AJ1974" s="4">
        <f>=ROUNDDOWN({0},0)</f>
      </c>
      <c r="AK1974" s="5"/>
      <c r="AL1974" s="2" t="s">
        <v>231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231</v>
      </c>
      <c r="AW1974" s="8" t="s">
        <v>231</v>
      </c>
      <c r="AX1974" s="4" t="s">
        <v>231</v>
      </c>
      <c r="AY1974" s="8" t="s">
        <v>231</v>
      </c>
      <c r="AZ1974" s="7" t="s">
        <v>231</v>
      </c>
      <c r="BA1974" s="7" t="s">
        <v>231</v>
      </c>
      <c r="BB1974" s="7"/>
      <c r="BC1974" s="4" t="s">
        <v>231</v>
      </c>
      <c r="BD1974" s="8" t="s">
        <v>231</v>
      </c>
      <c r="BE1974" s="4" t="s">
        <v>231</v>
      </c>
      <c r="BF1974" s="8" t="s">
        <v>231</v>
      </c>
      <c r="BG1974" s="7" t="s">
        <v>231</v>
      </c>
      <c r="BH1974" s="7" t="s">
        <v>231</v>
      </c>
      <c r="BI1974" s="7"/>
      <c r="BJ1974" s="4"/>
      <c r="BK1974" s="8"/>
      <c r="BL1974" s="2" t="s">
        <v>937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8891</v>
      </c>
      <c r="BV1974" s="2" t="s">
        <v>231</v>
      </c>
      <c r="BW1974" s="2" t="s">
        <v>231</v>
      </c>
      <c r="BX1974" s="2" t="s">
        <v>241</v>
      </c>
      <c r="BY1974" s="2" t="s">
        <v>277</v>
      </c>
      <c r="BZ1974" s="2" t="s">
        <v>243</v>
      </c>
      <c r="CA1974" s="2" t="s">
        <v>4719</v>
      </c>
      <c r="CB1974" s="2" t="s">
        <v>4772</v>
      </c>
      <c r="CC1974" s="2" t="s">
        <v>244</v>
      </c>
      <c r="CD1974" s="2" t="s">
        <v>231</v>
      </c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>
        <v>80</v>
      </c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>
        <v>150</v>
      </c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>
        <v>60</v>
      </c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</row>
    <row r="1975">
      <c r="A1975" s="2" t="s">
        <v>8892</v>
      </c>
      <c r="B1975" s="2" t="s">
        <v>287</v>
      </c>
      <c r="C1975" s="2" t="s">
        <v>965</v>
      </c>
      <c r="D1975" s="2" t="s">
        <v>289</v>
      </c>
      <c r="E1975" s="2" t="s">
        <v>290</v>
      </c>
      <c r="F1975" s="2" t="s">
        <v>8759</v>
      </c>
      <c r="G1975" s="2" t="s">
        <v>8759</v>
      </c>
      <c r="H1975" s="2" t="s">
        <v>8759</v>
      </c>
      <c r="I1975" s="2" t="s">
        <v>359</v>
      </c>
      <c r="J1975" s="2" t="s">
        <v>293</v>
      </c>
      <c r="K1975" s="2" t="s">
        <v>4280</v>
      </c>
      <c r="L1975" s="3">
        <v>31.85</v>
      </c>
      <c r="M1975" s="3">
        <v>33.44</v>
      </c>
      <c r="N1975" s="3">
        <v>64.99</v>
      </c>
      <c r="O1975" s="2" t="s">
        <v>243</v>
      </c>
      <c r="P1975" s="2" t="s">
        <v>871</v>
      </c>
      <c r="Q1975" s="2" t="s">
        <v>237</v>
      </c>
      <c r="R1975" s="2" t="s">
        <v>231</v>
      </c>
      <c r="S1975" s="2" t="s">
        <v>8887</v>
      </c>
      <c r="T1975" s="2" t="s">
        <v>595</v>
      </c>
      <c r="U1975" s="2" t="s">
        <v>298</v>
      </c>
      <c r="V1975" s="2" t="s">
        <v>1304</v>
      </c>
      <c r="W1975" s="2" t="s">
        <v>273</v>
      </c>
      <c r="X1975" s="2" t="s">
        <v>691</v>
      </c>
      <c r="Y1975" s="2" t="s">
        <v>274</v>
      </c>
      <c r="Z1975" s="4"/>
      <c r="AA1975" s="4">
        <f>=ROUNDDOWN({0},0)</f>
      </c>
      <c r="AB1975" s="5">
        <v>32</v>
      </c>
      <c r="AC1975" s="2" t="s">
        <v>701</v>
      </c>
      <c r="AD1975" s="4">
        <v>248</v>
      </c>
      <c r="AE1975" s="4">
        <v>1008</v>
      </c>
      <c r="AF1975" s="6">
        <v>65</v>
      </c>
      <c r="AG1975" s="6"/>
      <c r="AH1975" s="7">
        <v>0</v>
      </c>
      <c r="AI1975" s="4"/>
      <c r="AJ1975" s="4">
        <f>=ROUNDDOWN({0},0)</f>
      </c>
      <c r="AK1975" s="5"/>
      <c r="AL1975" s="2" t="s">
        <v>231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231</v>
      </c>
      <c r="AW1975" s="8" t="s">
        <v>231</v>
      </c>
      <c r="AX1975" s="4" t="s">
        <v>231</v>
      </c>
      <c r="AY1975" s="8" t="s">
        <v>231</v>
      </c>
      <c r="AZ1975" s="7" t="s">
        <v>231</v>
      </c>
      <c r="BA1975" s="7" t="s">
        <v>231</v>
      </c>
      <c r="BB1975" s="7"/>
      <c r="BC1975" s="4" t="s">
        <v>231</v>
      </c>
      <c r="BD1975" s="8" t="s">
        <v>231</v>
      </c>
      <c r="BE1975" s="4" t="s">
        <v>231</v>
      </c>
      <c r="BF1975" s="8" t="s">
        <v>231</v>
      </c>
      <c r="BG1975" s="7" t="s">
        <v>231</v>
      </c>
      <c r="BH1975" s="7" t="s">
        <v>231</v>
      </c>
      <c r="BI1975" s="7"/>
      <c r="BJ1975" s="4"/>
      <c r="BK1975" s="8"/>
      <c r="BL1975" s="2" t="s">
        <v>6891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8893</v>
      </c>
      <c r="BV1975" s="2" t="s">
        <v>231</v>
      </c>
      <c r="BW1975" s="2" t="s">
        <v>231</v>
      </c>
      <c r="BX1975" s="2" t="s">
        <v>241</v>
      </c>
      <c r="BY1975" s="2" t="s">
        <v>277</v>
      </c>
      <c r="BZ1975" s="2" t="s">
        <v>243</v>
      </c>
      <c r="CA1975" s="2" t="s">
        <v>4719</v>
      </c>
      <c r="CB1975" s="2" t="s">
        <v>1272</v>
      </c>
      <c r="CC1975" s="2" t="s">
        <v>244</v>
      </c>
      <c r="CD1975" s="2" t="s">
        <v>231</v>
      </c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>
        <v>248</v>
      </c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>
        <v>530</v>
      </c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>
        <v>230</v>
      </c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</row>
    <row r="1976">
      <c r="A1976" s="2" t="s">
        <v>8894</v>
      </c>
      <c r="B1976" s="2" t="s">
        <v>287</v>
      </c>
      <c r="C1976" s="2" t="s">
        <v>965</v>
      </c>
      <c r="D1976" s="2" t="s">
        <v>289</v>
      </c>
      <c r="E1976" s="2" t="s">
        <v>290</v>
      </c>
      <c r="F1976" s="2" t="s">
        <v>8759</v>
      </c>
      <c r="G1976" s="2" t="s">
        <v>8759</v>
      </c>
      <c r="H1976" s="2" t="s">
        <v>8759</v>
      </c>
      <c r="I1976" s="2" t="s">
        <v>359</v>
      </c>
      <c r="J1976" s="2" t="s">
        <v>302</v>
      </c>
      <c r="K1976" s="2" t="s">
        <v>4280</v>
      </c>
      <c r="L1976" s="3">
        <v>34.5</v>
      </c>
      <c r="M1976" s="3">
        <v>36.22</v>
      </c>
      <c r="N1976" s="3">
        <v>74.99</v>
      </c>
      <c r="O1976" s="2" t="s">
        <v>243</v>
      </c>
      <c r="P1976" s="2" t="s">
        <v>1281</v>
      </c>
      <c r="Q1976" s="2" t="s">
        <v>237</v>
      </c>
      <c r="R1976" s="2" t="s">
        <v>231</v>
      </c>
      <c r="S1976" s="2" t="s">
        <v>8887</v>
      </c>
      <c r="T1976" s="2" t="s">
        <v>595</v>
      </c>
      <c r="U1976" s="2" t="s">
        <v>298</v>
      </c>
      <c r="V1976" s="2" t="s">
        <v>1304</v>
      </c>
      <c r="W1976" s="2" t="s">
        <v>273</v>
      </c>
      <c r="X1976" s="2" t="s">
        <v>691</v>
      </c>
      <c r="Y1976" s="2" t="s">
        <v>274</v>
      </c>
      <c r="Z1976" s="4"/>
      <c r="AA1976" s="4">
        <f>=ROUNDDOWN({0},0)</f>
      </c>
      <c r="AB1976" s="5">
        <v>24</v>
      </c>
      <c r="AC1976" s="2" t="s">
        <v>701</v>
      </c>
      <c r="AD1976" s="4">
        <v>180</v>
      </c>
      <c r="AE1976" s="4">
        <v>670</v>
      </c>
      <c r="AF1976" s="6">
        <v>65</v>
      </c>
      <c r="AG1976" s="6"/>
      <c r="AH1976" s="7">
        <v>0</v>
      </c>
      <c r="AI1976" s="4"/>
      <c r="AJ1976" s="4">
        <f>=ROUNDDOWN({0},0)</f>
      </c>
      <c r="AK1976" s="5"/>
      <c r="AL1976" s="2" t="s">
        <v>231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231</v>
      </c>
      <c r="AW1976" s="8" t="s">
        <v>231</v>
      </c>
      <c r="AX1976" s="4" t="s">
        <v>231</v>
      </c>
      <c r="AY1976" s="8" t="s">
        <v>231</v>
      </c>
      <c r="AZ1976" s="7" t="s">
        <v>231</v>
      </c>
      <c r="BA1976" s="7" t="s">
        <v>231</v>
      </c>
      <c r="BB1976" s="7"/>
      <c r="BC1976" s="4" t="s">
        <v>231</v>
      </c>
      <c r="BD1976" s="8" t="s">
        <v>231</v>
      </c>
      <c r="BE1976" s="4" t="s">
        <v>231</v>
      </c>
      <c r="BF1976" s="8" t="s">
        <v>231</v>
      </c>
      <c r="BG1976" s="7" t="s">
        <v>231</v>
      </c>
      <c r="BH1976" s="7" t="s">
        <v>231</v>
      </c>
      <c r="BI1976" s="7"/>
      <c r="BJ1976" s="4"/>
      <c r="BK1976" s="8"/>
      <c r="BL1976" s="2" t="s">
        <v>924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8895</v>
      </c>
      <c r="BV1976" s="2" t="s">
        <v>231</v>
      </c>
      <c r="BW1976" s="2" t="s">
        <v>231</v>
      </c>
      <c r="BX1976" s="2" t="s">
        <v>241</v>
      </c>
      <c r="BY1976" s="2" t="s">
        <v>277</v>
      </c>
      <c r="BZ1976" s="2" t="s">
        <v>243</v>
      </c>
      <c r="CA1976" s="2" t="s">
        <v>4719</v>
      </c>
      <c r="CB1976" s="2" t="s">
        <v>6916</v>
      </c>
      <c r="CC1976" s="2" t="s">
        <v>244</v>
      </c>
      <c r="CD1976" s="2" t="s">
        <v>231</v>
      </c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>
        <v>180</v>
      </c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>
        <v>360</v>
      </c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>
        <v>130</v>
      </c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</row>
    <row r="1977">
      <c r="A1977" s="2" t="s">
        <v>8896</v>
      </c>
      <c r="B1977" s="2" t="s">
        <v>287</v>
      </c>
      <c r="C1977" s="2" t="s">
        <v>965</v>
      </c>
      <c r="D1977" s="2" t="s">
        <v>289</v>
      </c>
      <c r="E1977" s="2" t="s">
        <v>290</v>
      </c>
      <c r="F1977" s="2" t="s">
        <v>8759</v>
      </c>
      <c r="G1977" s="2" t="s">
        <v>8759</v>
      </c>
      <c r="H1977" s="2" t="s">
        <v>8759</v>
      </c>
      <c r="I1977" s="2" t="s">
        <v>359</v>
      </c>
      <c r="J1977" s="2" t="s">
        <v>318</v>
      </c>
      <c r="K1977" s="2" t="s">
        <v>8897</v>
      </c>
      <c r="L1977" s="3">
        <v>24</v>
      </c>
      <c r="M1977" s="3">
        <v>25.2</v>
      </c>
      <c r="N1977" s="3">
        <v>49.99</v>
      </c>
      <c r="O1977" s="2" t="s">
        <v>243</v>
      </c>
      <c r="P1977" s="2" t="s">
        <v>270</v>
      </c>
      <c r="Q1977" s="2" t="s">
        <v>237</v>
      </c>
      <c r="R1977" s="2" t="s">
        <v>231</v>
      </c>
      <c r="S1977" s="2" t="s">
        <v>8898</v>
      </c>
      <c r="T1977" s="2" t="s">
        <v>595</v>
      </c>
      <c r="U1977" s="2" t="s">
        <v>835</v>
      </c>
      <c r="V1977" s="2" t="s">
        <v>4046</v>
      </c>
      <c r="W1977" s="2" t="s">
        <v>273</v>
      </c>
      <c r="X1977" s="2" t="s">
        <v>691</v>
      </c>
      <c r="Y1977" s="2" t="s">
        <v>2821</v>
      </c>
      <c r="Z1977" s="4">
        <v>6</v>
      </c>
      <c r="AA1977" s="4">
        <f>=ROUNDDOWN(0.6,0)</f>
      </c>
      <c r="AB1977" s="5">
        <v>10</v>
      </c>
      <c r="AC1977" s="2" t="s">
        <v>701</v>
      </c>
      <c r="AD1977" s="4">
        <v>90</v>
      </c>
      <c r="AE1977" s="4">
        <v>280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231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231</v>
      </c>
      <c r="AW1977" s="8" t="s">
        <v>231</v>
      </c>
      <c r="AX1977" s="4" t="s">
        <v>231</v>
      </c>
      <c r="AY1977" s="8" t="s">
        <v>231</v>
      </c>
      <c r="AZ1977" s="7" t="s">
        <v>231</v>
      </c>
      <c r="BA1977" s="7" t="s">
        <v>231</v>
      </c>
      <c r="BB1977" s="7"/>
      <c r="BC1977" s="4" t="s">
        <v>231</v>
      </c>
      <c r="BD1977" s="8" t="s">
        <v>231</v>
      </c>
      <c r="BE1977" s="4" t="s">
        <v>231</v>
      </c>
      <c r="BF1977" s="8" t="s">
        <v>231</v>
      </c>
      <c r="BG1977" s="7" t="s">
        <v>231</v>
      </c>
      <c r="BH1977" s="7" t="s">
        <v>231</v>
      </c>
      <c r="BI1977" s="7"/>
      <c r="BJ1977" s="4"/>
      <c r="BK1977" s="8"/>
      <c r="BL1977" s="2" t="s">
        <v>231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8899</v>
      </c>
      <c r="BV1977" s="2" t="s">
        <v>231</v>
      </c>
      <c r="BW1977" s="2" t="s">
        <v>231</v>
      </c>
      <c r="BX1977" s="2" t="s">
        <v>241</v>
      </c>
      <c r="BY1977" s="2" t="s">
        <v>277</v>
      </c>
      <c r="BZ1977" s="2" t="s">
        <v>243</v>
      </c>
      <c r="CA1977" s="2" t="s">
        <v>2093</v>
      </c>
      <c r="CB1977" s="2" t="s">
        <v>3776</v>
      </c>
      <c r="CC1977" s="2" t="s">
        <v>244</v>
      </c>
      <c r="CD1977" s="2" t="s">
        <v>231</v>
      </c>
      <c r="CE1977" s="4">
        <v>6</v>
      </c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>
        <v>90</v>
      </c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>
        <v>140</v>
      </c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>
        <v>50</v>
      </c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</row>
    <row r="1978">
      <c r="A1978" s="2" t="s">
        <v>8900</v>
      </c>
      <c r="B1978" s="2" t="s">
        <v>287</v>
      </c>
      <c r="C1978" s="2" t="s">
        <v>965</v>
      </c>
      <c r="D1978" s="2" t="s">
        <v>289</v>
      </c>
      <c r="E1978" s="2" t="s">
        <v>290</v>
      </c>
      <c r="F1978" s="2" t="s">
        <v>8759</v>
      </c>
      <c r="G1978" s="2" t="s">
        <v>8759</v>
      </c>
      <c r="H1978" s="2" t="s">
        <v>8759</v>
      </c>
      <c r="I1978" s="2" t="s">
        <v>359</v>
      </c>
      <c r="J1978" s="2" t="s">
        <v>281</v>
      </c>
      <c r="K1978" s="2" t="s">
        <v>8897</v>
      </c>
      <c r="L1978" s="3">
        <v>28.2</v>
      </c>
      <c r="M1978" s="3">
        <v>29.61</v>
      </c>
      <c r="N1978" s="3">
        <v>59.99</v>
      </c>
      <c r="O1978" s="2" t="s">
        <v>243</v>
      </c>
      <c r="P1978" s="2" t="s">
        <v>270</v>
      </c>
      <c r="Q1978" s="2" t="s">
        <v>237</v>
      </c>
      <c r="R1978" s="2" t="s">
        <v>231</v>
      </c>
      <c r="S1978" s="2" t="s">
        <v>8898</v>
      </c>
      <c r="T1978" s="2" t="s">
        <v>595</v>
      </c>
      <c r="U1978" s="2" t="s">
        <v>298</v>
      </c>
      <c r="V1978" s="2" t="s">
        <v>4046</v>
      </c>
      <c r="W1978" s="2" t="s">
        <v>273</v>
      </c>
      <c r="X1978" s="2" t="s">
        <v>691</v>
      </c>
      <c r="Y1978" s="2" t="s">
        <v>2821</v>
      </c>
      <c r="Z1978" s="4">
        <v>38</v>
      </c>
      <c r="AA1978" s="4">
        <f>=ROUNDDOWN(4.22222222222222,0)</f>
      </c>
      <c r="AB1978" s="5">
        <v>9</v>
      </c>
      <c r="AC1978" s="2" t="s">
        <v>701</v>
      </c>
      <c r="AD1978" s="4">
        <v>90</v>
      </c>
      <c r="AE1978" s="4">
        <v>290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231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231</v>
      </c>
      <c r="AW1978" s="8" t="s">
        <v>231</v>
      </c>
      <c r="AX1978" s="4" t="s">
        <v>231</v>
      </c>
      <c r="AY1978" s="8" t="s">
        <v>231</v>
      </c>
      <c r="AZ1978" s="7" t="s">
        <v>231</v>
      </c>
      <c r="BA1978" s="7" t="s">
        <v>231</v>
      </c>
      <c r="BB1978" s="7"/>
      <c r="BC1978" s="4" t="s">
        <v>231</v>
      </c>
      <c r="BD1978" s="8" t="s">
        <v>231</v>
      </c>
      <c r="BE1978" s="4" t="s">
        <v>231</v>
      </c>
      <c r="BF1978" s="8" t="s">
        <v>231</v>
      </c>
      <c r="BG1978" s="7" t="s">
        <v>231</v>
      </c>
      <c r="BH1978" s="7" t="s">
        <v>231</v>
      </c>
      <c r="BI1978" s="7"/>
      <c r="BJ1978" s="4">
        <v>4</v>
      </c>
      <c r="BK1978" s="8">
        <v>112.62</v>
      </c>
      <c r="BL1978" s="2" t="s">
        <v>924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8901</v>
      </c>
      <c r="BV1978" s="2" t="s">
        <v>231</v>
      </c>
      <c r="BW1978" s="2" t="s">
        <v>231</v>
      </c>
      <c r="BX1978" s="2" t="s">
        <v>241</v>
      </c>
      <c r="BY1978" s="2" t="s">
        <v>277</v>
      </c>
      <c r="BZ1978" s="2" t="s">
        <v>243</v>
      </c>
      <c r="CA1978" s="2" t="s">
        <v>2093</v>
      </c>
      <c r="CB1978" s="2" t="s">
        <v>450</v>
      </c>
      <c r="CC1978" s="2" t="s">
        <v>244</v>
      </c>
      <c r="CD1978" s="2" t="s">
        <v>231</v>
      </c>
      <c r="CE1978" s="4">
        <v>38</v>
      </c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>
        <v>90</v>
      </c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>
        <v>140</v>
      </c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>
        <v>60</v>
      </c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</row>
    <row r="1979">
      <c r="A1979" s="2" t="s">
        <v>8902</v>
      </c>
      <c r="B1979" s="2" t="s">
        <v>287</v>
      </c>
      <c r="C1979" s="2" t="s">
        <v>965</v>
      </c>
      <c r="D1979" s="2" t="s">
        <v>289</v>
      </c>
      <c r="E1979" s="2" t="s">
        <v>290</v>
      </c>
      <c r="F1979" s="2" t="s">
        <v>8759</v>
      </c>
      <c r="G1979" s="2" t="s">
        <v>8759</v>
      </c>
      <c r="H1979" s="2" t="s">
        <v>8759</v>
      </c>
      <c r="I1979" s="2" t="s">
        <v>359</v>
      </c>
      <c r="J1979" s="2" t="s">
        <v>293</v>
      </c>
      <c r="K1979" s="2" t="s">
        <v>8897</v>
      </c>
      <c r="L1979" s="3">
        <v>31.85</v>
      </c>
      <c r="M1979" s="3">
        <v>33.44</v>
      </c>
      <c r="N1979" s="3">
        <v>64.99</v>
      </c>
      <c r="O1979" s="2" t="s">
        <v>243</v>
      </c>
      <c r="P1979" s="2" t="s">
        <v>270</v>
      </c>
      <c r="Q1979" s="2" t="s">
        <v>237</v>
      </c>
      <c r="R1979" s="2" t="s">
        <v>231</v>
      </c>
      <c r="S1979" s="2" t="s">
        <v>8898</v>
      </c>
      <c r="T1979" s="2" t="s">
        <v>595</v>
      </c>
      <c r="U1979" s="2" t="s">
        <v>298</v>
      </c>
      <c r="V1979" s="2" t="s">
        <v>4046</v>
      </c>
      <c r="W1979" s="2" t="s">
        <v>273</v>
      </c>
      <c r="X1979" s="2" t="s">
        <v>691</v>
      </c>
      <c r="Y1979" s="2" t="s">
        <v>2821</v>
      </c>
      <c r="Z1979" s="4">
        <v>3</v>
      </c>
      <c r="AA1979" s="4">
        <f>=ROUNDDOWN(0.12,0)</f>
      </c>
      <c r="AB1979" s="5">
        <v>25</v>
      </c>
      <c r="AC1979" s="2" t="s">
        <v>701</v>
      </c>
      <c r="AD1979" s="4">
        <v>220</v>
      </c>
      <c r="AE1979" s="4">
        <v>820</v>
      </c>
      <c r="AF1979" s="6">
        <v>65</v>
      </c>
      <c r="AG1979" s="6"/>
      <c r="AH1979" s="7">
        <v>0</v>
      </c>
      <c r="AI1979" s="4"/>
      <c r="AJ1979" s="4">
        <f>=ROUNDDOWN({0},0)</f>
      </c>
      <c r="AK1979" s="5"/>
      <c r="AL1979" s="2" t="s">
        <v>231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231</v>
      </c>
      <c r="AW1979" s="8" t="s">
        <v>231</v>
      </c>
      <c r="AX1979" s="4" t="s">
        <v>231</v>
      </c>
      <c r="AY1979" s="8" t="s">
        <v>231</v>
      </c>
      <c r="AZ1979" s="7" t="s">
        <v>231</v>
      </c>
      <c r="BA1979" s="7" t="s">
        <v>231</v>
      </c>
      <c r="BB1979" s="7"/>
      <c r="BC1979" s="4" t="s">
        <v>231</v>
      </c>
      <c r="BD1979" s="8" t="s">
        <v>231</v>
      </c>
      <c r="BE1979" s="4" t="s">
        <v>231</v>
      </c>
      <c r="BF1979" s="8" t="s">
        <v>231</v>
      </c>
      <c r="BG1979" s="7" t="s">
        <v>231</v>
      </c>
      <c r="BH1979" s="7" t="s">
        <v>231</v>
      </c>
      <c r="BI1979" s="7"/>
      <c r="BJ1979" s="4"/>
      <c r="BK1979" s="8"/>
      <c r="BL1979" s="2" t="s">
        <v>231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8903</v>
      </c>
      <c r="BV1979" s="2" t="s">
        <v>231</v>
      </c>
      <c r="BW1979" s="2" t="s">
        <v>231</v>
      </c>
      <c r="BX1979" s="2" t="s">
        <v>241</v>
      </c>
      <c r="BY1979" s="2" t="s">
        <v>277</v>
      </c>
      <c r="BZ1979" s="2" t="s">
        <v>243</v>
      </c>
      <c r="CA1979" s="2" t="s">
        <v>2093</v>
      </c>
      <c r="CB1979" s="2" t="s">
        <v>3136</v>
      </c>
      <c r="CC1979" s="2" t="s">
        <v>244</v>
      </c>
      <c r="CD1979" s="2" t="s">
        <v>231</v>
      </c>
      <c r="CE1979" s="4">
        <v>3</v>
      </c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>
        <v>220</v>
      </c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>
        <v>380</v>
      </c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>
        <v>220</v>
      </c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  <c r="HG1979" s="4"/>
      <c r="HH1979" s="4"/>
      <c r="HI1979" s="4"/>
      <c r="HJ1979" s="4"/>
      <c r="HK1979" s="4"/>
      <c r="HL1979" s="4"/>
    </row>
    <row r="1980">
      <c r="A1980" s="2" t="s">
        <v>8904</v>
      </c>
      <c r="B1980" s="2" t="s">
        <v>287</v>
      </c>
      <c r="C1980" s="2" t="s">
        <v>965</v>
      </c>
      <c r="D1980" s="2" t="s">
        <v>289</v>
      </c>
      <c r="E1980" s="2" t="s">
        <v>290</v>
      </c>
      <c r="F1980" s="2" t="s">
        <v>8759</v>
      </c>
      <c r="G1980" s="2" t="s">
        <v>8759</v>
      </c>
      <c r="H1980" s="2" t="s">
        <v>8759</v>
      </c>
      <c r="I1980" s="2" t="s">
        <v>359</v>
      </c>
      <c r="J1980" s="2" t="s">
        <v>302</v>
      </c>
      <c r="K1980" s="2" t="s">
        <v>8897</v>
      </c>
      <c r="L1980" s="3">
        <v>34.5</v>
      </c>
      <c r="M1980" s="3">
        <v>36.23</v>
      </c>
      <c r="N1980" s="3">
        <v>74.99</v>
      </c>
      <c r="O1980" s="2" t="s">
        <v>243</v>
      </c>
      <c r="P1980" s="2" t="s">
        <v>270</v>
      </c>
      <c r="Q1980" s="2" t="s">
        <v>237</v>
      </c>
      <c r="R1980" s="2" t="s">
        <v>231</v>
      </c>
      <c r="S1980" s="2" t="s">
        <v>8898</v>
      </c>
      <c r="T1980" s="2" t="s">
        <v>595</v>
      </c>
      <c r="U1980" s="2" t="s">
        <v>298</v>
      </c>
      <c r="V1980" s="2" t="s">
        <v>4046</v>
      </c>
      <c r="W1980" s="2" t="s">
        <v>273</v>
      </c>
      <c r="X1980" s="2" t="s">
        <v>691</v>
      </c>
      <c r="Y1980" s="2" t="s">
        <v>2821</v>
      </c>
      <c r="Z1980" s="4">
        <v>47</v>
      </c>
      <c r="AA1980" s="4">
        <f>=ROUNDDOWN(3.13333333333333,0)</f>
      </c>
      <c r="AB1980" s="5">
        <v>15</v>
      </c>
      <c r="AC1980" s="2" t="s">
        <v>701</v>
      </c>
      <c r="AD1980" s="4">
        <v>140</v>
      </c>
      <c r="AE1980" s="4">
        <v>460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231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231</v>
      </c>
      <c r="AW1980" s="8" t="s">
        <v>231</v>
      </c>
      <c r="AX1980" s="4" t="s">
        <v>231</v>
      </c>
      <c r="AY1980" s="8" t="s">
        <v>231</v>
      </c>
      <c r="AZ1980" s="7" t="s">
        <v>231</v>
      </c>
      <c r="BA1980" s="7" t="s">
        <v>231</v>
      </c>
      <c r="BB1980" s="7"/>
      <c r="BC1980" s="4" t="s">
        <v>231</v>
      </c>
      <c r="BD1980" s="8" t="s">
        <v>231</v>
      </c>
      <c r="BE1980" s="4" t="s">
        <v>231</v>
      </c>
      <c r="BF1980" s="8" t="s">
        <v>231</v>
      </c>
      <c r="BG1980" s="7" t="s">
        <v>231</v>
      </c>
      <c r="BH1980" s="7" t="s">
        <v>231</v>
      </c>
      <c r="BI1980" s="7"/>
      <c r="BJ1980" s="4">
        <v>3</v>
      </c>
      <c r="BK1980" s="8">
        <v>108.32</v>
      </c>
      <c r="BL1980" s="2" t="s">
        <v>3847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8905</v>
      </c>
      <c r="BV1980" s="2" t="s">
        <v>231</v>
      </c>
      <c r="BW1980" s="2" t="s">
        <v>231</v>
      </c>
      <c r="BX1980" s="2" t="s">
        <v>241</v>
      </c>
      <c r="BY1980" s="2" t="s">
        <v>277</v>
      </c>
      <c r="BZ1980" s="2" t="s">
        <v>243</v>
      </c>
      <c r="CA1980" s="2" t="s">
        <v>2093</v>
      </c>
      <c r="CB1980" s="2" t="s">
        <v>5255</v>
      </c>
      <c r="CC1980" s="2" t="s">
        <v>244</v>
      </c>
      <c r="CD1980" s="2" t="s">
        <v>231</v>
      </c>
      <c r="CE1980" s="4">
        <v>47</v>
      </c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>
        <v>140</v>
      </c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>
        <v>220</v>
      </c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>
        <v>100</v>
      </c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4"/>
      <c r="HH1980" s="4"/>
      <c r="HI1980" s="4"/>
      <c r="HJ1980" s="4"/>
      <c r="HK1980" s="4"/>
      <c r="HL1980" s="4"/>
    </row>
    <row r="1981">
      <c r="A1981" s="2" t="s">
        <v>8906</v>
      </c>
      <c r="B1981" s="2" t="s">
        <v>287</v>
      </c>
      <c r="C1981" s="2" t="s">
        <v>965</v>
      </c>
      <c r="D1981" s="2" t="s">
        <v>289</v>
      </c>
      <c r="E1981" s="2" t="s">
        <v>290</v>
      </c>
      <c r="F1981" s="2" t="s">
        <v>8759</v>
      </c>
      <c r="G1981" s="2" t="s">
        <v>8759</v>
      </c>
      <c r="H1981" s="2" t="s">
        <v>8759</v>
      </c>
      <c r="I1981" s="2" t="s">
        <v>359</v>
      </c>
      <c r="J1981" s="2" t="s">
        <v>318</v>
      </c>
      <c r="K1981" s="2" t="s">
        <v>306</v>
      </c>
      <c r="L1981" s="3">
        <v>21.62</v>
      </c>
      <c r="M1981" s="3">
        <v>22.7</v>
      </c>
      <c r="N1981" s="3">
        <v>46.99</v>
      </c>
      <c r="O1981" s="2" t="s">
        <v>243</v>
      </c>
      <c r="P1981" s="2" t="s">
        <v>270</v>
      </c>
      <c r="Q1981" s="2" t="s">
        <v>237</v>
      </c>
      <c r="R1981" s="2" t="s">
        <v>231</v>
      </c>
      <c r="S1981" s="2" t="s">
        <v>8907</v>
      </c>
      <c r="T1981" s="2" t="s">
        <v>595</v>
      </c>
      <c r="U1981" s="2" t="s">
        <v>835</v>
      </c>
      <c r="V1981" s="2" t="s">
        <v>239</v>
      </c>
      <c r="W1981" s="2" t="s">
        <v>273</v>
      </c>
      <c r="X1981" s="2" t="s">
        <v>691</v>
      </c>
      <c r="Y1981" s="2" t="s">
        <v>274</v>
      </c>
      <c r="Z1981" s="4"/>
      <c r="AA1981" s="4">
        <f>=ROUNDDOWN({0},0)</f>
      </c>
      <c r="AB1981" s="5">
        <v>17</v>
      </c>
      <c r="AC1981" s="2" t="s">
        <v>4449</v>
      </c>
      <c r="AD1981" s="4">
        <v>130</v>
      </c>
      <c r="AE1981" s="4">
        <v>430</v>
      </c>
      <c r="AF1981" s="6">
        <v>65</v>
      </c>
      <c r="AG1981" s="6"/>
      <c r="AH1981" s="7">
        <v>0</v>
      </c>
      <c r="AI1981" s="4"/>
      <c r="AJ1981" s="4">
        <f>=ROUNDDOWN({0},0)</f>
      </c>
      <c r="AK1981" s="5"/>
      <c r="AL1981" s="2" t="s">
        <v>231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231</v>
      </c>
      <c r="AW1981" s="8" t="s">
        <v>231</v>
      </c>
      <c r="AX1981" s="4" t="s">
        <v>231</v>
      </c>
      <c r="AY1981" s="8" t="s">
        <v>231</v>
      </c>
      <c r="AZ1981" s="7" t="s">
        <v>231</v>
      </c>
      <c r="BA1981" s="7" t="s">
        <v>231</v>
      </c>
      <c r="BB1981" s="7"/>
      <c r="BC1981" s="4" t="s">
        <v>231</v>
      </c>
      <c r="BD1981" s="8" t="s">
        <v>231</v>
      </c>
      <c r="BE1981" s="4" t="s">
        <v>231</v>
      </c>
      <c r="BF1981" s="8" t="s">
        <v>231</v>
      </c>
      <c r="BG1981" s="7" t="s">
        <v>231</v>
      </c>
      <c r="BH1981" s="7" t="s">
        <v>231</v>
      </c>
      <c r="BI1981" s="7"/>
      <c r="BJ1981" s="4"/>
      <c r="BK1981" s="8"/>
      <c r="BL1981" s="2" t="s">
        <v>8908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8909</v>
      </c>
      <c r="BV1981" s="2" t="s">
        <v>231</v>
      </c>
      <c r="BW1981" s="2" t="s">
        <v>231</v>
      </c>
      <c r="BX1981" s="2" t="s">
        <v>241</v>
      </c>
      <c r="BY1981" s="2" t="s">
        <v>277</v>
      </c>
      <c r="BZ1981" s="2" t="s">
        <v>243</v>
      </c>
      <c r="CA1981" s="2" t="s">
        <v>284</v>
      </c>
      <c r="CB1981" s="2" t="s">
        <v>8846</v>
      </c>
      <c r="CC1981" s="2" t="s">
        <v>244</v>
      </c>
      <c r="CD1981" s="2" t="s">
        <v>231</v>
      </c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>
        <v>130</v>
      </c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>
        <v>220</v>
      </c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>
        <v>80</v>
      </c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  <c r="HF1981" s="4"/>
      <c r="HG1981" s="4"/>
      <c r="HH1981" s="4"/>
      <c r="HI1981" s="4"/>
      <c r="HJ1981" s="4"/>
      <c r="HK1981" s="4"/>
      <c r="HL1981" s="4"/>
    </row>
    <row r="1982">
      <c r="A1982" s="2" t="s">
        <v>8910</v>
      </c>
      <c r="B1982" s="2" t="s">
        <v>287</v>
      </c>
      <c r="C1982" s="2" t="s">
        <v>965</v>
      </c>
      <c r="D1982" s="2" t="s">
        <v>289</v>
      </c>
      <c r="E1982" s="2" t="s">
        <v>290</v>
      </c>
      <c r="F1982" s="2" t="s">
        <v>8759</v>
      </c>
      <c r="G1982" s="2" t="s">
        <v>8759</v>
      </c>
      <c r="H1982" s="2" t="s">
        <v>8759</v>
      </c>
      <c r="I1982" s="2" t="s">
        <v>359</v>
      </c>
      <c r="J1982" s="2" t="s">
        <v>268</v>
      </c>
      <c r="K1982" s="2" t="s">
        <v>306</v>
      </c>
      <c r="L1982" s="3">
        <v>23.04</v>
      </c>
      <c r="M1982" s="3">
        <v>24.19</v>
      </c>
      <c r="N1982" s="3">
        <v>47.99</v>
      </c>
      <c r="O1982" s="2" t="s">
        <v>243</v>
      </c>
      <c r="P1982" s="2" t="s">
        <v>270</v>
      </c>
      <c r="Q1982" s="2" t="s">
        <v>237</v>
      </c>
      <c r="R1982" s="2" t="s">
        <v>231</v>
      </c>
      <c r="S1982" s="2" t="s">
        <v>8907</v>
      </c>
      <c r="T1982" s="2" t="s">
        <v>595</v>
      </c>
      <c r="U1982" s="2" t="s">
        <v>835</v>
      </c>
      <c r="V1982" s="2" t="s">
        <v>239</v>
      </c>
      <c r="W1982" s="2" t="s">
        <v>273</v>
      </c>
      <c r="X1982" s="2" t="s">
        <v>691</v>
      </c>
      <c r="Y1982" s="2" t="s">
        <v>274</v>
      </c>
      <c r="Z1982" s="4"/>
      <c r="AA1982" s="4">
        <f>=ROUNDDOWN({0},0)</f>
      </c>
      <c r="AB1982" s="5">
        <v>7</v>
      </c>
      <c r="AC1982" s="2" t="s">
        <v>4449</v>
      </c>
      <c r="AD1982" s="4">
        <v>70</v>
      </c>
      <c r="AE1982" s="4">
        <v>220</v>
      </c>
      <c r="AF1982" s="6">
        <v>65</v>
      </c>
      <c r="AG1982" s="6"/>
      <c r="AH1982" s="7">
        <v>0.3226</v>
      </c>
      <c r="AI1982" s="4"/>
      <c r="AJ1982" s="4">
        <f>=ROUNDDOWN({0},0)</f>
      </c>
      <c r="AK1982" s="5"/>
      <c r="AL1982" s="2" t="s">
        <v>231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231</v>
      </c>
      <c r="AW1982" s="8" t="s">
        <v>231</v>
      </c>
      <c r="AX1982" s="4" t="s">
        <v>231</v>
      </c>
      <c r="AY1982" s="8" t="s">
        <v>231</v>
      </c>
      <c r="AZ1982" s="7" t="s">
        <v>231</v>
      </c>
      <c r="BA1982" s="7" t="s">
        <v>231</v>
      </c>
      <c r="BB1982" s="7"/>
      <c r="BC1982" s="4" t="s">
        <v>231</v>
      </c>
      <c r="BD1982" s="8" t="s">
        <v>231</v>
      </c>
      <c r="BE1982" s="4" t="s">
        <v>231</v>
      </c>
      <c r="BF1982" s="8" t="s">
        <v>231</v>
      </c>
      <c r="BG1982" s="7" t="s">
        <v>231</v>
      </c>
      <c r="BH1982" s="7" t="s">
        <v>231</v>
      </c>
      <c r="BI1982" s="7"/>
      <c r="BJ1982" s="4">
        <v>14</v>
      </c>
      <c r="BK1982" s="8">
        <v>343.71</v>
      </c>
      <c r="BL1982" s="2" t="s">
        <v>8911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8912</v>
      </c>
      <c r="BV1982" s="2" t="s">
        <v>231</v>
      </c>
      <c r="BW1982" s="2" t="s">
        <v>231</v>
      </c>
      <c r="BX1982" s="2" t="s">
        <v>241</v>
      </c>
      <c r="BY1982" s="2" t="s">
        <v>277</v>
      </c>
      <c r="BZ1982" s="2" t="s">
        <v>243</v>
      </c>
      <c r="CA1982" s="2" t="s">
        <v>284</v>
      </c>
      <c r="CB1982" s="2" t="s">
        <v>8913</v>
      </c>
      <c r="CC1982" s="2" t="s">
        <v>244</v>
      </c>
      <c r="CD1982" s="2" t="s">
        <v>231</v>
      </c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>
        <v>70</v>
      </c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>
        <v>110</v>
      </c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>
        <v>40</v>
      </c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  <c r="HG1982" s="4"/>
      <c r="HH1982" s="4"/>
      <c r="HI1982" s="4"/>
      <c r="HJ1982" s="4"/>
      <c r="HK1982" s="4"/>
      <c r="HL1982" s="4"/>
    </row>
    <row r="1983">
      <c r="A1983" s="2" t="s">
        <v>8914</v>
      </c>
      <c r="B1983" s="2" t="s">
        <v>287</v>
      </c>
      <c r="C1983" s="2" t="s">
        <v>965</v>
      </c>
      <c r="D1983" s="2" t="s">
        <v>289</v>
      </c>
      <c r="E1983" s="2" t="s">
        <v>290</v>
      </c>
      <c r="F1983" s="2" t="s">
        <v>8759</v>
      </c>
      <c r="G1983" s="2" t="s">
        <v>8759</v>
      </c>
      <c r="H1983" s="2" t="s">
        <v>8759</v>
      </c>
      <c r="I1983" s="2" t="s">
        <v>359</v>
      </c>
      <c r="J1983" s="2" t="s">
        <v>281</v>
      </c>
      <c r="K1983" s="2" t="s">
        <v>306</v>
      </c>
      <c r="L1983" s="3">
        <v>25.3</v>
      </c>
      <c r="M1983" s="3">
        <v>26.56</v>
      </c>
      <c r="N1983" s="3">
        <v>54.99</v>
      </c>
      <c r="O1983" s="2" t="s">
        <v>243</v>
      </c>
      <c r="P1983" s="2" t="s">
        <v>270</v>
      </c>
      <c r="Q1983" s="2" t="s">
        <v>237</v>
      </c>
      <c r="R1983" s="2" t="s">
        <v>231</v>
      </c>
      <c r="S1983" s="2" t="s">
        <v>8907</v>
      </c>
      <c r="T1983" s="2" t="s">
        <v>595</v>
      </c>
      <c r="U1983" s="2" t="s">
        <v>298</v>
      </c>
      <c r="V1983" s="2" t="s">
        <v>239</v>
      </c>
      <c r="W1983" s="2" t="s">
        <v>273</v>
      </c>
      <c r="X1983" s="2" t="s">
        <v>691</v>
      </c>
      <c r="Y1983" s="2" t="s">
        <v>274</v>
      </c>
      <c r="Z1983" s="4">
        <v>3</v>
      </c>
      <c r="AA1983" s="4">
        <f>=ROUNDDOWN(0.25,0)</f>
      </c>
      <c r="AB1983" s="5">
        <v>12</v>
      </c>
      <c r="AC1983" s="2" t="s">
        <v>4449</v>
      </c>
      <c r="AD1983" s="4">
        <v>110</v>
      </c>
      <c r="AE1983" s="4">
        <v>370</v>
      </c>
      <c r="AF1983" s="6">
        <v>65</v>
      </c>
      <c r="AG1983" s="6"/>
      <c r="AH1983" s="7">
        <v>0</v>
      </c>
      <c r="AI1983" s="4"/>
      <c r="AJ1983" s="4">
        <f>=ROUNDDOWN({0},0)</f>
      </c>
      <c r="AK1983" s="5"/>
      <c r="AL1983" s="2" t="s">
        <v>231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231</v>
      </c>
      <c r="AW1983" s="8" t="s">
        <v>231</v>
      </c>
      <c r="AX1983" s="4" t="s">
        <v>231</v>
      </c>
      <c r="AY1983" s="8" t="s">
        <v>231</v>
      </c>
      <c r="AZ1983" s="7" t="s">
        <v>231</v>
      </c>
      <c r="BA1983" s="7" t="s">
        <v>231</v>
      </c>
      <c r="BB1983" s="7"/>
      <c r="BC1983" s="4" t="s">
        <v>231</v>
      </c>
      <c r="BD1983" s="8" t="s">
        <v>231</v>
      </c>
      <c r="BE1983" s="4" t="s">
        <v>231</v>
      </c>
      <c r="BF1983" s="8" t="s">
        <v>231</v>
      </c>
      <c r="BG1983" s="7" t="s">
        <v>231</v>
      </c>
      <c r="BH1983" s="7" t="s">
        <v>231</v>
      </c>
      <c r="BI1983" s="7"/>
      <c r="BJ1983" s="4"/>
      <c r="BK1983" s="8"/>
      <c r="BL1983" s="2" t="s">
        <v>8915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8916</v>
      </c>
      <c r="BV1983" s="2" t="s">
        <v>231</v>
      </c>
      <c r="BW1983" s="2" t="s">
        <v>231</v>
      </c>
      <c r="BX1983" s="2" t="s">
        <v>241</v>
      </c>
      <c r="BY1983" s="2" t="s">
        <v>277</v>
      </c>
      <c r="BZ1983" s="2" t="s">
        <v>243</v>
      </c>
      <c r="CA1983" s="2" t="s">
        <v>284</v>
      </c>
      <c r="CB1983" s="2" t="s">
        <v>617</v>
      </c>
      <c r="CC1983" s="2" t="s">
        <v>244</v>
      </c>
      <c r="CD1983" s="2" t="s">
        <v>231</v>
      </c>
      <c r="CE1983" s="4">
        <v>3</v>
      </c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>
        <v>110</v>
      </c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>
        <v>190</v>
      </c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>
        <v>70</v>
      </c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  <c r="HG1983" s="4"/>
      <c r="HH1983" s="4"/>
      <c r="HI1983" s="4"/>
      <c r="HJ1983" s="4"/>
      <c r="HK1983" s="4"/>
      <c r="HL1983" s="4"/>
    </row>
    <row r="1984">
      <c r="A1984" s="2" t="s">
        <v>8917</v>
      </c>
      <c r="B1984" s="2" t="s">
        <v>287</v>
      </c>
      <c r="C1984" s="2" t="s">
        <v>965</v>
      </c>
      <c r="D1984" s="2" t="s">
        <v>289</v>
      </c>
      <c r="E1984" s="2" t="s">
        <v>290</v>
      </c>
      <c r="F1984" s="2" t="s">
        <v>8759</v>
      </c>
      <c r="G1984" s="2" t="s">
        <v>8759</v>
      </c>
      <c r="H1984" s="2" t="s">
        <v>8759</v>
      </c>
      <c r="I1984" s="2" t="s">
        <v>359</v>
      </c>
      <c r="J1984" s="2" t="s">
        <v>302</v>
      </c>
      <c r="K1984" s="2" t="s">
        <v>306</v>
      </c>
      <c r="L1984" s="3">
        <v>31.2</v>
      </c>
      <c r="M1984" s="3">
        <v>32.76</v>
      </c>
      <c r="N1984" s="3">
        <v>64.99</v>
      </c>
      <c r="O1984" s="2" t="s">
        <v>243</v>
      </c>
      <c r="P1984" s="2" t="s">
        <v>1281</v>
      </c>
      <c r="Q1984" s="2" t="s">
        <v>237</v>
      </c>
      <c r="R1984" s="2" t="s">
        <v>231</v>
      </c>
      <c r="S1984" s="2" t="s">
        <v>8907</v>
      </c>
      <c r="T1984" s="2" t="s">
        <v>595</v>
      </c>
      <c r="U1984" s="2" t="s">
        <v>298</v>
      </c>
      <c r="V1984" s="2" t="s">
        <v>239</v>
      </c>
      <c r="W1984" s="2" t="s">
        <v>273</v>
      </c>
      <c r="X1984" s="2" t="s">
        <v>691</v>
      </c>
      <c r="Y1984" s="2" t="s">
        <v>274</v>
      </c>
      <c r="Z1984" s="4"/>
      <c r="AA1984" s="4">
        <f>=ROUNDDOWN({0},0)</f>
      </c>
      <c r="AB1984" s="5">
        <v>23</v>
      </c>
      <c r="AC1984" s="2" t="s">
        <v>4449</v>
      </c>
      <c r="AD1984" s="4">
        <v>180</v>
      </c>
      <c r="AE1984" s="4">
        <v>650</v>
      </c>
      <c r="AF1984" s="6">
        <v>65</v>
      </c>
      <c r="AG1984" s="6"/>
      <c r="AH1984" s="7">
        <v>0</v>
      </c>
      <c r="AI1984" s="4"/>
      <c r="AJ1984" s="4">
        <f>=ROUNDDOWN({0},0)</f>
      </c>
      <c r="AK1984" s="5"/>
      <c r="AL1984" s="2" t="s">
        <v>231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231</v>
      </c>
      <c r="AW1984" s="8" t="s">
        <v>231</v>
      </c>
      <c r="AX1984" s="4" t="s">
        <v>231</v>
      </c>
      <c r="AY1984" s="8" t="s">
        <v>231</v>
      </c>
      <c r="AZ1984" s="7" t="s">
        <v>231</v>
      </c>
      <c r="BA1984" s="7" t="s">
        <v>231</v>
      </c>
      <c r="BB1984" s="7"/>
      <c r="BC1984" s="4" t="s">
        <v>231</v>
      </c>
      <c r="BD1984" s="8" t="s">
        <v>231</v>
      </c>
      <c r="BE1984" s="4" t="s">
        <v>231</v>
      </c>
      <c r="BF1984" s="8" t="s">
        <v>231</v>
      </c>
      <c r="BG1984" s="7" t="s">
        <v>231</v>
      </c>
      <c r="BH1984" s="7" t="s">
        <v>231</v>
      </c>
      <c r="BI1984" s="7"/>
      <c r="BJ1984" s="4"/>
      <c r="BK1984" s="8"/>
      <c r="BL1984" s="2" t="s">
        <v>8918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8919</v>
      </c>
      <c r="BV1984" s="2" t="s">
        <v>231</v>
      </c>
      <c r="BW1984" s="2" t="s">
        <v>231</v>
      </c>
      <c r="BX1984" s="2" t="s">
        <v>241</v>
      </c>
      <c r="BY1984" s="2" t="s">
        <v>277</v>
      </c>
      <c r="BZ1984" s="2" t="s">
        <v>243</v>
      </c>
      <c r="CA1984" s="2" t="s">
        <v>284</v>
      </c>
      <c r="CB1984" s="2" t="s">
        <v>617</v>
      </c>
      <c r="CC1984" s="2" t="s">
        <v>244</v>
      </c>
      <c r="CD1984" s="2" t="s">
        <v>231</v>
      </c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>
        <v>180</v>
      </c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>
        <v>340</v>
      </c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>
        <v>130</v>
      </c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  <c r="HG1984" s="4"/>
      <c r="HH1984" s="4"/>
      <c r="HI1984" s="4"/>
      <c r="HJ1984" s="4"/>
      <c r="HK1984" s="4"/>
      <c r="HL1984" s="4"/>
    </row>
    <row r="1985">
      <c r="A1985" s="2" t="s">
        <v>8920</v>
      </c>
      <c r="B1985" s="2" t="s">
        <v>287</v>
      </c>
      <c r="C1985" s="2" t="s">
        <v>965</v>
      </c>
      <c r="D1985" s="2" t="s">
        <v>289</v>
      </c>
      <c r="E1985" s="2" t="s">
        <v>290</v>
      </c>
      <c r="F1985" s="2" t="s">
        <v>8759</v>
      </c>
      <c r="G1985" s="2" t="s">
        <v>8759</v>
      </c>
      <c r="H1985" s="2" t="s">
        <v>8759</v>
      </c>
      <c r="I1985" s="2" t="s">
        <v>359</v>
      </c>
      <c r="J1985" s="2" t="s">
        <v>304</v>
      </c>
      <c r="K1985" s="2" t="s">
        <v>306</v>
      </c>
      <c r="L1985" s="3">
        <v>31.85</v>
      </c>
      <c r="M1985" s="3">
        <v>33.44</v>
      </c>
      <c r="N1985" s="3">
        <v>64.99</v>
      </c>
      <c r="O1985" s="2" t="s">
        <v>243</v>
      </c>
      <c r="P1985" s="2" t="s">
        <v>270</v>
      </c>
      <c r="Q1985" s="2" t="s">
        <v>237</v>
      </c>
      <c r="R1985" s="2" t="s">
        <v>231</v>
      </c>
      <c r="S1985" s="2" t="s">
        <v>8907</v>
      </c>
      <c r="T1985" s="2" t="s">
        <v>595</v>
      </c>
      <c r="U1985" s="2" t="s">
        <v>298</v>
      </c>
      <c r="V1985" s="2" t="s">
        <v>239</v>
      </c>
      <c r="W1985" s="2" t="s">
        <v>273</v>
      </c>
      <c r="X1985" s="2" t="s">
        <v>691</v>
      </c>
      <c r="Y1985" s="2" t="s">
        <v>274</v>
      </c>
      <c r="Z1985" s="4"/>
      <c r="AA1985" s="4">
        <f>=ROUNDDOWN({0},0)</f>
      </c>
      <c r="AB1985" s="5">
        <v>11</v>
      </c>
      <c r="AC1985" s="2" t="s">
        <v>4449</v>
      </c>
      <c r="AD1985" s="4">
        <v>90</v>
      </c>
      <c r="AE1985" s="4">
        <v>330</v>
      </c>
      <c r="AF1985" s="6">
        <v>65</v>
      </c>
      <c r="AG1985" s="6"/>
      <c r="AH1985" s="7">
        <v>0</v>
      </c>
      <c r="AI1985" s="4"/>
      <c r="AJ1985" s="4">
        <f>=ROUNDDOWN({0},0)</f>
      </c>
      <c r="AK1985" s="5"/>
      <c r="AL1985" s="2" t="s">
        <v>231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231</v>
      </c>
      <c r="AW1985" s="8" t="s">
        <v>231</v>
      </c>
      <c r="AX1985" s="4" t="s">
        <v>231</v>
      </c>
      <c r="AY1985" s="8" t="s">
        <v>231</v>
      </c>
      <c r="AZ1985" s="7" t="s">
        <v>231</v>
      </c>
      <c r="BA1985" s="7" t="s">
        <v>231</v>
      </c>
      <c r="BB1985" s="7"/>
      <c r="BC1985" s="4" t="s">
        <v>231</v>
      </c>
      <c r="BD1985" s="8" t="s">
        <v>231</v>
      </c>
      <c r="BE1985" s="4" t="s">
        <v>231</v>
      </c>
      <c r="BF1985" s="8" t="s">
        <v>231</v>
      </c>
      <c r="BG1985" s="7" t="s">
        <v>231</v>
      </c>
      <c r="BH1985" s="7" t="s">
        <v>231</v>
      </c>
      <c r="BI1985" s="7"/>
      <c r="BJ1985" s="4"/>
      <c r="BK1985" s="8"/>
      <c r="BL1985" s="2" t="s">
        <v>231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8921</v>
      </c>
      <c r="BV1985" s="2" t="s">
        <v>231</v>
      </c>
      <c r="BW1985" s="2" t="s">
        <v>231</v>
      </c>
      <c r="BX1985" s="2" t="s">
        <v>241</v>
      </c>
      <c r="BY1985" s="2" t="s">
        <v>277</v>
      </c>
      <c r="BZ1985" s="2" t="s">
        <v>243</v>
      </c>
      <c r="CA1985" s="2" t="s">
        <v>284</v>
      </c>
      <c r="CB1985" s="2" t="s">
        <v>8922</v>
      </c>
      <c r="CC1985" s="2" t="s">
        <v>244</v>
      </c>
      <c r="CD1985" s="2" t="s">
        <v>231</v>
      </c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>
        <v>90</v>
      </c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>
        <v>180</v>
      </c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>
        <v>60</v>
      </c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4"/>
      <c r="HH1985" s="4"/>
      <c r="HI1985" s="4"/>
      <c r="HJ1985" s="4"/>
      <c r="HK1985" s="4"/>
      <c r="HL1985" s="4"/>
    </row>
    <row r="1986">
      <c r="A1986" s="2" t="s">
        <v>8923</v>
      </c>
      <c r="B1986" s="2" t="s">
        <v>287</v>
      </c>
      <c r="C1986" s="2" t="s">
        <v>965</v>
      </c>
      <c r="D1986" s="2" t="s">
        <v>289</v>
      </c>
      <c r="E1986" s="2" t="s">
        <v>290</v>
      </c>
      <c r="F1986" s="2" t="s">
        <v>8759</v>
      </c>
      <c r="G1986" s="2" t="s">
        <v>8759</v>
      </c>
      <c r="H1986" s="2" t="s">
        <v>8759</v>
      </c>
      <c r="I1986" s="2" t="s">
        <v>359</v>
      </c>
      <c r="J1986" s="2" t="s">
        <v>318</v>
      </c>
      <c r="K1986" s="2" t="s">
        <v>547</v>
      </c>
      <c r="L1986" s="3">
        <v>21.62</v>
      </c>
      <c r="M1986" s="3">
        <v>22.7</v>
      </c>
      <c r="N1986" s="3">
        <v>46.99</v>
      </c>
      <c r="O1986" s="2" t="s">
        <v>243</v>
      </c>
      <c r="P1986" s="2" t="s">
        <v>270</v>
      </c>
      <c r="Q1986" s="2" t="s">
        <v>237</v>
      </c>
      <c r="R1986" s="2" t="s">
        <v>231</v>
      </c>
      <c r="S1986" s="2" t="s">
        <v>8924</v>
      </c>
      <c r="T1986" s="2" t="s">
        <v>595</v>
      </c>
      <c r="U1986" s="2" t="s">
        <v>835</v>
      </c>
      <c r="V1986" s="2" t="s">
        <v>239</v>
      </c>
      <c r="W1986" s="2" t="s">
        <v>273</v>
      </c>
      <c r="X1986" s="2" t="s">
        <v>691</v>
      </c>
      <c r="Y1986" s="2" t="s">
        <v>274</v>
      </c>
      <c r="Z1986" s="4"/>
      <c r="AA1986" s="4">
        <f>=ROUNDDOWN({0},0)</f>
      </c>
      <c r="AB1986" s="5">
        <v>7</v>
      </c>
      <c r="AC1986" s="2" t="s">
        <v>4449</v>
      </c>
      <c r="AD1986" s="4">
        <v>60</v>
      </c>
      <c r="AE1986" s="4">
        <v>190</v>
      </c>
      <c r="AF1986" s="6">
        <v>65</v>
      </c>
      <c r="AG1986" s="6"/>
      <c r="AH1986" s="7">
        <v>0</v>
      </c>
      <c r="AI1986" s="4"/>
      <c r="AJ1986" s="4">
        <f>=ROUNDDOWN({0},0)</f>
      </c>
      <c r="AK1986" s="5"/>
      <c r="AL1986" s="2" t="s">
        <v>231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231</v>
      </c>
      <c r="AW1986" s="8" t="s">
        <v>231</v>
      </c>
      <c r="AX1986" s="4" t="s">
        <v>231</v>
      </c>
      <c r="AY1986" s="8" t="s">
        <v>231</v>
      </c>
      <c r="AZ1986" s="7" t="s">
        <v>231</v>
      </c>
      <c r="BA1986" s="7" t="s">
        <v>231</v>
      </c>
      <c r="BB1986" s="7"/>
      <c r="BC1986" s="4" t="s">
        <v>231</v>
      </c>
      <c r="BD1986" s="8" t="s">
        <v>231</v>
      </c>
      <c r="BE1986" s="4" t="s">
        <v>231</v>
      </c>
      <c r="BF1986" s="8" t="s">
        <v>231</v>
      </c>
      <c r="BG1986" s="7" t="s">
        <v>231</v>
      </c>
      <c r="BH1986" s="7" t="s">
        <v>231</v>
      </c>
      <c r="BI1986" s="7"/>
      <c r="BJ1986" s="4"/>
      <c r="BK1986" s="8"/>
      <c r="BL1986" s="2" t="s">
        <v>465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8925</v>
      </c>
      <c r="BV1986" s="2" t="s">
        <v>231</v>
      </c>
      <c r="BW1986" s="2" t="s">
        <v>231</v>
      </c>
      <c r="BX1986" s="2" t="s">
        <v>241</v>
      </c>
      <c r="BY1986" s="2" t="s">
        <v>277</v>
      </c>
      <c r="BZ1986" s="2" t="s">
        <v>243</v>
      </c>
      <c r="CA1986" s="2" t="s">
        <v>284</v>
      </c>
      <c r="CB1986" s="2" t="s">
        <v>8926</v>
      </c>
      <c r="CC1986" s="2" t="s">
        <v>244</v>
      </c>
      <c r="CD1986" s="2" t="s">
        <v>231</v>
      </c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>
        <v>60</v>
      </c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>
        <v>100</v>
      </c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>
        <v>30</v>
      </c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4"/>
      <c r="HE1986" s="4"/>
      <c r="HF1986" s="4"/>
      <c r="HG1986" s="4"/>
      <c r="HH1986" s="4"/>
      <c r="HI1986" s="4"/>
      <c r="HJ1986" s="4"/>
      <c r="HK1986" s="4"/>
      <c r="HL1986" s="4"/>
    </row>
    <row r="1987">
      <c r="A1987" s="2" t="s">
        <v>8927</v>
      </c>
      <c r="B1987" s="2" t="s">
        <v>287</v>
      </c>
      <c r="C1987" s="2" t="s">
        <v>965</v>
      </c>
      <c r="D1987" s="2" t="s">
        <v>289</v>
      </c>
      <c r="E1987" s="2" t="s">
        <v>290</v>
      </c>
      <c r="F1987" s="2" t="s">
        <v>8759</v>
      </c>
      <c r="G1987" s="2" t="s">
        <v>8759</v>
      </c>
      <c r="H1987" s="2" t="s">
        <v>8759</v>
      </c>
      <c r="I1987" s="2" t="s">
        <v>359</v>
      </c>
      <c r="J1987" s="2" t="s">
        <v>268</v>
      </c>
      <c r="K1987" s="2" t="s">
        <v>547</v>
      </c>
      <c r="L1987" s="3">
        <v>23.04</v>
      </c>
      <c r="M1987" s="3">
        <v>24.19</v>
      </c>
      <c r="N1987" s="3">
        <v>47.99</v>
      </c>
      <c r="O1987" s="2" t="s">
        <v>243</v>
      </c>
      <c r="P1987" s="2" t="s">
        <v>270</v>
      </c>
      <c r="Q1987" s="2" t="s">
        <v>237</v>
      </c>
      <c r="R1987" s="2" t="s">
        <v>231</v>
      </c>
      <c r="S1987" s="2" t="s">
        <v>8924</v>
      </c>
      <c r="T1987" s="2" t="s">
        <v>595</v>
      </c>
      <c r="U1987" s="2" t="s">
        <v>835</v>
      </c>
      <c r="V1987" s="2" t="s">
        <v>239</v>
      </c>
      <c r="W1987" s="2" t="s">
        <v>273</v>
      </c>
      <c r="X1987" s="2" t="s">
        <v>691</v>
      </c>
      <c r="Y1987" s="2" t="s">
        <v>274</v>
      </c>
      <c r="Z1987" s="4">
        <v>2</v>
      </c>
      <c r="AA1987" s="4">
        <f>=ROUNDDOWN(0.25,0)</f>
      </c>
      <c r="AB1987" s="5">
        <v>8</v>
      </c>
      <c r="AC1987" s="2" t="s">
        <v>4449</v>
      </c>
      <c r="AD1987" s="4">
        <v>80</v>
      </c>
      <c r="AE1987" s="4">
        <v>230</v>
      </c>
      <c r="AF1987" s="6">
        <v>65</v>
      </c>
      <c r="AG1987" s="6"/>
      <c r="AH1987" s="7">
        <v>0</v>
      </c>
      <c r="AI1987" s="4"/>
      <c r="AJ1987" s="4">
        <f>=ROUNDDOWN({0},0)</f>
      </c>
      <c r="AK1987" s="5"/>
      <c r="AL1987" s="2" t="s">
        <v>231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231</v>
      </c>
      <c r="AW1987" s="8" t="s">
        <v>231</v>
      </c>
      <c r="AX1987" s="4" t="s">
        <v>231</v>
      </c>
      <c r="AY1987" s="8" t="s">
        <v>231</v>
      </c>
      <c r="AZ1987" s="7" t="s">
        <v>231</v>
      </c>
      <c r="BA1987" s="7" t="s">
        <v>231</v>
      </c>
      <c r="BB1987" s="7"/>
      <c r="BC1987" s="4" t="s">
        <v>231</v>
      </c>
      <c r="BD1987" s="8" t="s">
        <v>231</v>
      </c>
      <c r="BE1987" s="4" t="s">
        <v>231</v>
      </c>
      <c r="BF1987" s="8" t="s">
        <v>231</v>
      </c>
      <c r="BG1987" s="7" t="s">
        <v>231</v>
      </c>
      <c r="BH1987" s="7" t="s">
        <v>231</v>
      </c>
      <c r="BI1987" s="7"/>
      <c r="BJ1987" s="4"/>
      <c r="BK1987" s="8"/>
      <c r="BL1987" s="2" t="s">
        <v>2849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8928</v>
      </c>
      <c r="BV1987" s="2" t="s">
        <v>231</v>
      </c>
      <c r="BW1987" s="2" t="s">
        <v>231</v>
      </c>
      <c r="BX1987" s="2" t="s">
        <v>241</v>
      </c>
      <c r="BY1987" s="2" t="s">
        <v>277</v>
      </c>
      <c r="BZ1987" s="2" t="s">
        <v>243</v>
      </c>
      <c r="CA1987" s="2" t="s">
        <v>284</v>
      </c>
      <c r="CB1987" s="2" t="s">
        <v>8929</v>
      </c>
      <c r="CC1987" s="2" t="s">
        <v>244</v>
      </c>
      <c r="CD1987" s="2" t="s">
        <v>231</v>
      </c>
      <c r="CE1987" s="4">
        <v>2</v>
      </c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>
        <v>80</v>
      </c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>
        <v>110</v>
      </c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>
        <v>40</v>
      </c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  <c r="HG1987" s="4"/>
      <c r="HH1987" s="4"/>
      <c r="HI1987" s="4"/>
      <c r="HJ1987" s="4"/>
      <c r="HK1987" s="4"/>
      <c r="HL1987" s="4"/>
    </row>
    <row r="1988">
      <c r="A1988" s="2" t="s">
        <v>8930</v>
      </c>
      <c r="B1988" s="2" t="s">
        <v>287</v>
      </c>
      <c r="C1988" s="2" t="s">
        <v>965</v>
      </c>
      <c r="D1988" s="2" t="s">
        <v>289</v>
      </c>
      <c r="E1988" s="2" t="s">
        <v>290</v>
      </c>
      <c r="F1988" s="2" t="s">
        <v>8759</v>
      </c>
      <c r="G1988" s="2" t="s">
        <v>8759</v>
      </c>
      <c r="H1988" s="2" t="s">
        <v>8759</v>
      </c>
      <c r="I1988" s="2" t="s">
        <v>359</v>
      </c>
      <c r="J1988" s="2" t="s">
        <v>281</v>
      </c>
      <c r="K1988" s="2" t="s">
        <v>547</v>
      </c>
      <c r="L1988" s="3">
        <v>25.3</v>
      </c>
      <c r="M1988" s="3">
        <v>26.56</v>
      </c>
      <c r="N1988" s="3">
        <v>54.99</v>
      </c>
      <c r="O1988" s="2" t="s">
        <v>243</v>
      </c>
      <c r="P1988" s="2" t="s">
        <v>270</v>
      </c>
      <c r="Q1988" s="2" t="s">
        <v>237</v>
      </c>
      <c r="R1988" s="2" t="s">
        <v>231</v>
      </c>
      <c r="S1988" s="2" t="s">
        <v>8924</v>
      </c>
      <c r="T1988" s="2" t="s">
        <v>595</v>
      </c>
      <c r="U1988" s="2" t="s">
        <v>298</v>
      </c>
      <c r="V1988" s="2" t="s">
        <v>239</v>
      </c>
      <c r="W1988" s="2" t="s">
        <v>273</v>
      </c>
      <c r="X1988" s="2" t="s">
        <v>691</v>
      </c>
      <c r="Y1988" s="2" t="s">
        <v>274</v>
      </c>
      <c r="Z1988" s="4">
        <v>2</v>
      </c>
      <c r="AA1988" s="4">
        <f>=ROUNDDOWN(0.25,0)</f>
      </c>
      <c r="AB1988" s="5">
        <v>8</v>
      </c>
      <c r="AC1988" s="2" t="s">
        <v>4449</v>
      </c>
      <c r="AD1988" s="4">
        <v>80</v>
      </c>
      <c r="AE1988" s="4">
        <v>260</v>
      </c>
      <c r="AF1988" s="6">
        <v>65</v>
      </c>
      <c r="AG1988" s="6"/>
      <c r="AH1988" s="7">
        <v>0</v>
      </c>
      <c r="AI1988" s="4"/>
      <c r="AJ1988" s="4">
        <f>=ROUNDDOWN({0},0)</f>
      </c>
      <c r="AK1988" s="5"/>
      <c r="AL1988" s="2" t="s">
        <v>231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231</v>
      </c>
      <c r="AW1988" s="8" t="s">
        <v>231</v>
      </c>
      <c r="AX1988" s="4" t="s">
        <v>231</v>
      </c>
      <c r="AY1988" s="8" t="s">
        <v>231</v>
      </c>
      <c r="AZ1988" s="7" t="s">
        <v>231</v>
      </c>
      <c r="BA1988" s="7" t="s">
        <v>231</v>
      </c>
      <c r="BB1988" s="7"/>
      <c r="BC1988" s="4" t="s">
        <v>231</v>
      </c>
      <c r="BD1988" s="8" t="s">
        <v>231</v>
      </c>
      <c r="BE1988" s="4" t="s">
        <v>231</v>
      </c>
      <c r="BF1988" s="8" t="s">
        <v>231</v>
      </c>
      <c r="BG1988" s="7" t="s">
        <v>231</v>
      </c>
      <c r="BH1988" s="7" t="s">
        <v>231</v>
      </c>
      <c r="BI1988" s="7"/>
      <c r="BJ1988" s="4"/>
      <c r="BK1988" s="8"/>
      <c r="BL1988" s="2" t="s">
        <v>1020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8931</v>
      </c>
      <c r="BV1988" s="2" t="s">
        <v>231</v>
      </c>
      <c r="BW1988" s="2" t="s">
        <v>231</v>
      </c>
      <c r="BX1988" s="2" t="s">
        <v>241</v>
      </c>
      <c r="BY1988" s="2" t="s">
        <v>277</v>
      </c>
      <c r="BZ1988" s="2" t="s">
        <v>243</v>
      </c>
      <c r="CA1988" s="2" t="s">
        <v>284</v>
      </c>
      <c r="CB1988" s="2" t="s">
        <v>8932</v>
      </c>
      <c r="CC1988" s="2" t="s">
        <v>244</v>
      </c>
      <c r="CD1988" s="2" t="s">
        <v>231</v>
      </c>
      <c r="CE1988" s="4">
        <v>2</v>
      </c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>
        <v>80</v>
      </c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>
        <v>130</v>
      </c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>
        <v>50</v>
      </c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  <c r="HF1988" s="4"/>
      <c r="HG1988" s="4"/>
      <c r="HH1988" s="4"/>
      <c r="HI1988" s="4"/>
      <c r="HJ1988" s="4"/>
      <c r="HK1988" s="4"/>
      <c r="HL1988" s="4"/>
    </row>
    <row r="1989">
      <c r="A1989" s="2" t="s">
        <v>8933</v>
      </c>
      <c r="B1989" s="2" t="s">
        <v>287</v>
      </c>
      <c r="C1989" s="2" t="s">
        <v>965</v>
      </c>
      <c r="D1989" s="2" t="s">
        <v>289</v>
      </c>
      <c r="E1989" s="2" t="s">
        <v>290</v>
      </c>
      <c r="F1989" s="2" t="s">
        <v>8759</v>
      </c>
      <c r="G1989" s="2" t="s">
        <v>8759</v>
      </c>
      <c r="H1989" s="2" t="s">
        <v>8759</v>
      </c>
      <c r="I1989" s="2" t="s">
        <v>359</v>
      </c>
      <c r="J1989" s="2" t="s">
        <v>293</v>
      </c>
      <c r="K1989" s="2" t="s">
        <v>547</v>
      </c>
      <c r="L1989" s="3">
        <v>28.2</v>
      </c>
      <c r="M1989" s="3">
        <v>29.61</v>
      </c>
      <c r="N1989" s="3">
        <v>59.99</v>
      </c>
      <c r="O1989" s="2" t="s">
        <v>243</v>
      </c>
      <c r="P1989" s="2" t="s">
        <v>871</v>
      </c>
      <c r="Q1989" s="2" t="s">
        <v>237</v>
      </c>
      <c r="R1989" s="2" t="s">
        <v>231</v>
      </c>
      <c r="S1989" s="2" t="s">
        <v>8924</v>
      </c>
      <c r="T1989" s="2" t="s">
        <v>595</v>
      </c>
      <c r="U1989" s="2" t="s">
        <v>298</v>
      </c>
      <c r="V1989" s="2" t="s">
        <v>239</v>
      </c>
      <c r="W1989" s="2" t="s">
        <v>273</v>
      </c>
      <c r="X1989" s="2" t="s">
        <v>691</v>
      </c>
      <c r="Y1989" s="2" t="s">
        <v>274</v>
      </c>
      <c r="Z1989" s="4">
        <v>3</v>
      </c>
      <c r="AA1989" s="4">
        <f>=ROUNDDOWN(0.115384615384615,0)</f>
      </c>
      <c r="AB1989" s="5">
        <v>26</v>
      </c>
      <c r="AC1989" s="2" t="s">
        <v>4449</v>
      </c>
      <c r="AD1989" s="4">
        <v>130</v>
      </c>
      <c r="AE1989" s="4">
        <v>850</v>
      </c>
      <c r="AF1989" s="6">
        <v>65</v>
      </c>
      <c r="AG1989" s="6"/>
      <c r="AH1989" s="7">
        <v>0</v>
      </c>
      <c r="AI1989" s="4"/>
      <c r="AJ1989" s="4">
        <f>=ROUNDDOWN({0},0)</f>
      </c>
      <c r="AK1989" s="5"/>
      <c r="AL1989" s="2" t="s">
        <v>231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231</v>
      </c>
      <c r="AW1989" s="8" t="s">
        <v>231</v>
      </c>
      <c r="AX1989" s="4" t="s">
        <v>231</v>
      </c>
      <c r="AY1989" s="8" t="s">
        <v>231</v>
      </c>
      <c r="AZ1989" s="7" t="s">
        <v>231</v>
      </c>
      <c r="BA1989" s="7" t="s">
        <v>231</v>
      </c>
      <c r="BB1989" s="7"/>
      <c r="BC1989" s="4" t="s">
        <v>231</v>
      </c>
      <c r="BD1989" s="8" t="s">
        <v>231</v>
      </c>
      <c r="BE1989" s="4" t="s">
        <v>231</v>
      </c>
      <c r="BF1989" s="8" t="s">
        <v>231</v>
      </c>
      <c r="BG1989" s="7" t="s">
        <v>231</v>
      </c>
      <c r="BH1989" s="7" t="s">
        <v>231</v>
      </c>
      <c r="BI1989" s="7"/>
      <c r="BJ1989" s="4"/>
      <c r="BK1989" s="8"/>
      <c r="BL1989" s="2" t="s">
        <v>8918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8934</v>
      </c>
      <c r="BV1989" s="2" t="s">
        <v>231</v>
      </c>
      <c r="BW1989" s="2" t="s">
        <v>231</v>
      </c>
      <c r="BX1989" s="2" t="s">
        <v>241</v>
      </c>
      <c r="BY1989" s="2" t="s">
        <v>277</v>
      </c>
      <c r="BZ1989" s="2" t="s">
        <v>243</v>
      </c>
      <c r="CA1989" s="2" t="s">
        <v>284</v>
      </c>
      <c r="CB1989" s="2" t="s">
        <v>8935</v>
      </c>
      <c r="CC1989" s="2" t="s">
        <v>244</v>
      </c>
      <c r="CD1989" s="2" t="s">
        <v>231</v>
      </c>
      <c r="CE1989" s="4">
        <v>3</v>
      </c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>
        <v>130</v>
      </c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>
        <v>100</v>
      </c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>
        <v>400</v>
      </c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>
        <v>220</v>
      </c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  <c r="HF1989" s="4"/>
      <c r="HG1989" s="4"/>
      <c r="HH1989" s="4"/>
      <c r="HI1989" s="4"/>
      <c r="HJ1989" s="4"/>
      <c r="HK1989" s="4"/>
      <c r="HL1989" s="4"/>
    </row>
    <row r="1990">
      <c r="A1990" s="2" t="s">
        <v>8936</v>
      </c>
      <c r="B1990" s="2" t="s">
        <v>287</v>
      </c>
      <c r="C1990" s="2" t="s">
        <v>965</v>
      </c>
      <c r="D1990" s="2" t="s">
        <v>289</v>
      </c>
      <c r="E1990" s="2" t="s">
        <v>290</v>
      </c>
      <c r="F1990" s="2" t="s">
        <v>8759</v>
      </c>
      <c r="G1990" s="2" t="s">
        <v>8759</v>
      </c>
      <c r="H1990" s="2" t="s">
        <v>8759</v>
      </c>
      <c r="I1990" s="2" t="s">
        <v>359</v>
      </c>
      <c r="J1990" s="2" t="s">
        <v>302</v>
      </c>
      <c r="K1990" s="2" t="s">
        <v>547</v>
      </c>
      <c r="L1990" s="3">
        <v>31.2</v>
      </c>
      <c r="M1990" s="3">
        <v>32.76</v>
      </c>
      <c r="N1990" s="3">
        <v>64.99</v>
      </c>
      <c r="O1990" s="2" t="s">
        <v>243</v>
      </c>
      <c r="P1990" s="2" t="s">
        <v>1281</v>
      </c>
      <c r="Q1990" s="2" t="s">
        <v>237</v>
      </c>
      <c r="R1990" s="2" t="s">
        <v>231</v>
      </c>
      <c r="S1990" s="2" t="s">
        <v>8924</v>
      </c>
      <c r="T1990" s="2" t="s">
        <v>595</v>
      </c>
      <c r="U1990" s="2" t="s">
        <v>298</v>
      </c>
      <c r="V1990" s="2" t="s">
        <v>239</v>
      </c>
      <c r="W1990" s="2" t="s">
        <v>273</v>
      </c>
      <c r="X1990" s="2" t="s">
        <v>691</v>
      </c>
      <c r="Y1990" s="2" t="s">
        <v>274</v>
      </c>
      <c r="Z1990" s="4"/>
      <c r="AA1990" s="4">
        <f>=ROUNDDOWN({0},0)</f>
      </c>
      <c r="AB1990" s="5">
        <v>20</v>
      </c>
      <c r="AC1990" s="2" t="s">
        <v>4449</v>
      </c>
      <c r="AD1990" s="4">
        <v>80</v>
      </c>
      <c r="AE1990" s="4">
        <v>570</v>
      </c>
      <c r="AF1990" s="6">
        <v>65</v>
      </c>
      <c r="AG1990" s="6"/>
      <c r="AH1990" s="7">
        <v>0</v>
      </c>
      <c r="AI1990" s="4"/>
      <c r="AJ1990" s="4">
        <f>=ROUNDDOWN({0},0)</f>
      </c>
      <c r="AK1990" s="5"/>
      <c r="AL1990" s="2" t="s">
        <v>231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231</v>
      </c>
      <c r="AW1990" s="8" t="s">
        <v>231</v>
      </c>
      <c r="AX1990" s="4" t="s">
        <v>231</v>
      </c>
      <c r="AY1990" s="8" t="s">
        <v>231</v>
      </c>
      <c r="AZ1990" s="7" t="s">
        <v>231</v>
      </c>
      <c r="BA1990" s="7" t="s">
        <v>231</v>
      </c>
      <c r="BB1990" s="7"/>
      <c r="BC1990" s="4" t="s">
        <v>231</v>
      </c>
      <c r="BD1990" s="8" t="s">
        <v>231</v>
      </c>
      <c r="BE1990" s="4" t="s">
        <v>231</v>
      </c>
      <c r="BF1990" s="8" t="s">
        <v>231</v>
      </c>
      <c r="BG1990" s="7" t="s">
        <v>231</v>
      </c>
      <c r="BH1990" s="7" t="s">
        <v>231</v>
      </c>
      <c r="BI1990" s="7"/>
      <c r="BJ1990" s="4"/>
      <c r="BK1990" s="8"/>
      <c r="BL1990" s="2" t="s">
        <v>1423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8937</v>
      </c>
      <c r="BV1990" s="2" t="s">
        <v>231</v>
      </c>
      <c r="BW1990" s="2" t="s">
        <v>231</v>
      </c>
      <c r="BX1990" s="2" t="s">
        <v>241</v>
      </c>
      <c r="BY1990" s="2" t="s">
        <v>277</v>
      </c>
      <c r="BZ1990" s="2" t="s">
        <v>243</v>
      </c>
      <c r="CA1990" s="2" t="s">
        <v>284</v>
      </c>
      <c r="CB1990" s="2" t="s">
        <v>8938</v>
      </c>
      <c r="CC1990" s="2" t="s">
        <v>244</v>
      </c>
      <c r="CD1990" s="2" t="s">
        <v>231</v>
      </c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>
        <v>80</v>
      </c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>
        <v>80</v>
      </c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>
        <v>290</v>
      </c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>
        <v>120</v>
      </c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  <c r="HF1990" s="4"/>
      <c r="HG1990" s="4"/>
      <c r="HH1990" s="4"/>
      <c r="HI1990" s="4"/>
      <c r="HJ1990" s="4"/>
      <c r="HK1990" s="4"/>
      <c r="HL1990" s="4"/>
    </row>
    <row r="1991">
      <c r="A1991" s="2" t="s">
        <v>8939</v>
      </c>
      <c r="B1991" s="2" t="s">
        <v>287</v>
      </c>
      <c r="C1991" s="2" t="s">
        <v>965</v>
      </c>
      <c r="D1991" s="2" t="s">
        <v>289</v>
      </c>
      <c r="E1991" s="2" t="s">
        <v>290</v>
      </c>
      <c r="F1991" s="2" t="s">
        <v>8759</v>
      </c>
      <c r="G1991" s="2" t="s">
        <v>8759</v>
      </c>
      <c r="H1991" s="2" t="s">
        <v>8759</v>
      </c>
      <c r="I1991" s="2" t="s">
        <v>359</v>
      </c>
      <c r="J1991" s="2" t="s">
        <v>304</v>
      </c>
      <c r="K1991" s="2" t="s">
        <v>547</v>
      </c>
      <c r="L1991" s="3">
        <v>31.85</v>
      </c>
      <c r="M1991" s="3">
        <v>33.44</v>
      </c>
      <c r="N1991" s="3">
        <v>64.99</v>
      </c>
      <c r="O1991" s="2" t="s">
        <v>243</v>
      </c>
      <c r="P1991" s="2" t="s">
        <v>270</v>
      </c>
      <c r="Q1991" s="2" t="s">
        <v>237</v>
      </c>
      <c r="R1991" s="2" t="s">
        <v>231</v>
      </c>
      <c r="S1991" s="2" t="s">
        <v>8924</v>
      </c>
      <c r="T1991" s="2" t="s">
        <v>595</v>
      </c>
      <c r="U1991" s="2" t="s">
        <v>298</v>
      </c>
      <c r="V1991" s="2" t="s">
        <v>239</v>
      </c>
      <c r="W1991" s="2" t="s">
        <v>273</v>
      </c>
      <c r="X1991" s="2" t="s">
        <v>691</v>
      </c>
      <c r="Y1991" s="2" t="s">
        <v>274</v>
      </c>
      <c r="Z1991" s="4"/>
      <c r="AA1991" s="4">
        <f>=ROUNDDOWN({0},0)</f>
      </c>
      <c r="AB1991" s="5">
        <v>9</v>
      </c>
      <c r="AC1991" s="2" t="s">
        <v>4449</v>
      </c>
      <c r="AD1991" s="4">
        <v>70</v>
      </c>
      <c r="AE1991" s="4">
        <v>270</v>
      </c>
      <c r="AF1991" s="6">
        <v>65</v>
      </c>
      <c r="AG1991" s="6"/>
      <c r="AH1991" s="7">
        <v>0</v>
      </c>
      <c r="AI1991" s="4"/>
      <c r="AJ1991" s="4">
        <f>=ROUNDDOWN({0},0)</f>
      </c>
      <c r="AK1991" s="5"/>
      <c r="AL1991" s="2" t="s">
        <v>231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231</v>
      </c>
      <c r="AW1991" s="8" t="s">
        <v>231</v>
      </c>
      <c r="AX1991" s="4" t="s">
        <v>231</v>
      </c>
      <c r="AY1991" s="8" t="s">
        <v>231</v>
      </c>
      <c r="AZ1991" s="7" t="s">
        <v>231</v>
      </c>
      <c r="BA1991" s="7" t="s">
        <v>231</v>
      </c>
      <c r="BB1991" s="7"/>
      <c r="BC1991" s="4" t="s">
        <v>231</v>
      </c>
      <c r="BD1991" s="8" t="s">
        <v>231</v>
      </c>
      <c r="BE1991" s="4" t="s">
        <v>231</v>
      </c>
      <c r="BF1991" s="8" t="s">
        <v>231</v>
      </c>
      <c r="BG1991" s="7" t="s">
        <v>231</v>
      </c>
      <c r="BH1991" s="7" t="s">
        <v>231</v>
      </c>
      <c r="BI1991" s="7"/>
      <c r="BJ1991" s="4"/>
      <c r="BK1991" s="8"/>
      <c r="BL1991" s="2" t="s">
        <v>231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8940</v>
      </c>
      <c r="BV1991" s="2" t="s">
        <v>231</v>
      </c>
      <c r="BW1991" s="2" t="s">
        <v>231</v>
      </c>
      <c r="BX1991" s="2" t="s">
        <v>241</v>
      </c>
      <c r="BY1991" s="2" t="s">
        <v>277</v>
      </c>
      <c r="BZ1991" s="2" t="s">
        <v>243</v>
      </c>
      <c r="CA1991" s="2" t="s">
        <v>284</v>
      </c>
      <c r="CB1991" s="2" t="s">
        <v>4631</v>
      </c>
      <c r="CC1991" s="2" t="s">
        <v>244</v>
      </c>
      <c r="CD1991" s="2" t="s">
        <v>231</v>
      </c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>
        <v>70</v>
      </c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>
        <v>140</v>
      </c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>
        <v>60</v>
      </c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  <c r="HF1991" s="4"/>
      <c r="HG1991" s="4"/>
      <c r="HH1991" s="4"/>
      <c r="HI1991" s="4"/>
      <c r="HJ1991" s="4"/>
      <c r="HK1991" s="4"/>
      <c r="HL1991" s="4"/>
    </row>
    <row r="1992">
      <c r="A1992" s="2" t="s">
        <v>8941</v>
      </c>
      <c r="B1992" s="2" t="s">
        <v>287</v>
      </c>
      <c r="C1992" s="2" t="s">
        <v>965</v>
      </c>
      <c r="D1992" s="2" t="s">
        <v>289</v>
      </c>
      <c r="E1992" s="2" t="s">
        <v>290</v>
      </c>
      <c r="F1992" s="2" t="s">
        <v>8759</v>
      </c>
      <c r="G1992" s="2" t="s">
        <v>8759</v>
      </c>
      <c r="H1992" s="2" t="s">
        <v>8759</v>
      </c>
      <c r="I1992" s="2" t="s">
        <v>359</v>
      </c>
      <c r="J1992" s="2" t="s">
        <v>268</v>
      </c>
      <c r="K1992" s="2" t="s">
        <v>1677</v>
      </c>
      <c r="L1992" s="3">
        <v>23.04</v>
      </c>
      <c r="M1992" s="3">
        <v>24.19</v>
      </c>
      <c r="N1992" s="3">
        <v>47.99</v>
      </c>
      <c r="O1992" s="2" t="s">
        <v>243</v>
      </c>
      <c r="P1992" s="2" t="s">
        <v>270</v>
      </c>
      <c r="Q1992" s="2" t="s">
        <v>237</v>
      </c>
      <c r="R1992" s="2" t="s">
        <v>231</v>
      </c>
      <c r="S1992" s="2" t="s">
        <v>8942</v>
      </c>
      <c r="T1992" s="2" t="s">
        <v>595</v>
      </c>
      <c r="U1992" s="2" t="s">
        <v>835</v>
      </c>
      <c r="V1992" s="2" t="s">
        <v>239</v>
      </c>
      <c r="W1992" s="2" t="s">
        <v>273</v>
      </c>
      <c r="X1992" s="2" t="s">
        <v>691</v>
      </c>
      <c r="Y1992" s="2" t="s">
        <v>274</v>
      </c>
      <c r="Z1992" s="4"/>
      <c r="AA1992" s="4">
        <f>=ROUNDDOWN({0},0)</f>
      </c>
      <c r="AB1992" s="5">
        <v>19</v>
      </c>
      <c r="AC1992" s="2" t="s">
        <v>4449</v>
      </c>
      <c r="AD1992" s="4">
        <v>80</v>
      </c>
      <c r="AE1992" s="4">
        <v>530</v>
      </c>
      <c r="AF1992" s="6">
        <v>65</v>
      </c>
      <c r="AG1992" s="6"/>
      <c r="AH1992" s="7">
        <v>0</v>
      </c>
      <c r="AI1992" s="4"/>
      <c r="AJ1992" s="4">
        <f>=ROUNDDOWN({0},0)</f>
      </c>
      <c r="AK1992" s="5"/>
      <c r="AL1992" s="2" t="s">
        <v>231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231</v>
      </c>
      <c r="AW1992" s="8" t="s">
        <v>231</v>
      </c>
      <c r="AX1992" s="4" t="s">
        <v>231</v>
      </c>
      <c r="AY1992" s="8" t="s">
        <v>231</v>
      </c>
      <c r="AZ1992" s="7" t="s">
        <v>231</v>
      </c>
      <c r="BA1992" s="7" t="s">
        <v>231</v>
      </c>
      <c r="BB1992" s="7"/>
      <c r="BC1992" s="4" t="s">
        <v>231</v>
      </c>
      <c r="BD1992" s="8" t="s">
        <v>231</v>
      </c>
      <c r="BE1992" s="4" t="s">
        <v>231</v>
      </c>
      <c r="BF1992" s="8" t="s">
        <v>231</v>
      </c>
      <c r="BG1992" s="7" t="s">
        <v>231</v>
      </c>
      <c r="BH1992" s="7" t="s">
        <v>231</v>
      </c>
      <c r="BI1992" s="7"/>
      <c r="BJ1992" s="4">
        <v>3</v>
      </c>
      <c r="BK1992" s="8">
        <v>143.97</v>
      </c>
      <c r="BL1992" s="2" t="s">
        <v>1028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8943</v>
      </c>
      <c r="BV1992" s="2" t="s">
        <v>231</v>
      </c>
      <c r="BW1992" s="2" t="s">
        <v>231</v>
      </c>
      <c r="BX1992" s="2" t="s">
        <v>241</v>
      </c>
      <c r="BY1992" s="2" t="s">
        <v>277</v>
      </c>
      <c r="BZ1992" s="2" t="s">
        <v>243</v>
      </c>
      <c r="CA1992" s="2" t="s">
        <v>284</v>
      </c>
      <c r="CB1992" s="2" t="s">
        <v>7004</v>
      </c>
      <c r="CC1992" s="2" t="s">
        <v>244</v>
      </c>
      <c r="CD1992" s="2" t="s">
        <v>231</v>
      </c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>
        <v>80</v>
      </c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>
        <v>80</v>
      </c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>
        <v>270</v>
      </c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>
        <v>100</v>
      </c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  <c r="HG1992" s="4"/>
      <c r="HH1992" s="4"/>
      <c r="HI1992" s="4"/>
      <c r="HJ1992" s="4"/>
      <c r="HK1992" s="4"/>
      <c r="HL1992" s="4"/>
    </row>
    <row r="1993">
      <c r="A1993" s="2" t="s">
        <v>8944</v>
      </c>
      <c r="B1993" s="2" t="s">
        <v>287</v>
      </c>
      <c r="C1993" s="2" t="s">
        <v>965</v>
      </c>
      <c r="D1993" s="2" t="s">
        <v>289</v>
      </c>
      <c r="E1993" s="2" t="s">
        <v>290</v>
      </c>
      <c r="F1993" s="2" t="s">
        <v>8759</v>
      </c>
      <c r="G1993" s="2" t="s">
        <v>8759</v>
      </c>
      <c r="H1993" s="2" t="s">
        <v>8759</v>
      </c>
      <c r="I1993" s="2" t="s">
        <v>359</v>
      </c>
      <c r="J1993" s="2" t="s">
        <v>281</v>
      </c>
      <c r="K1993" s="2" t="s">
        <v>1677</v>
      </c>
      <c r="L1993" s="3">
        <v>25.3</v>
      </c>
      <c r="M1993" s="3">
        <v>26.56</v>
      </c>
      <c r="N1993" s="3">
        <v>54.99</v>
      </c>
      <c r="O1993" s="2" t="s">
        <v>243</v>
      </c>
      <c r="P1993" s="2" t="s">
        <v>1332</v>
      </c>
      <c r="Q1993" s="2" t="s">
        <v>237</v>
      </c>
      <c r="R1993" s="2" t="s">
        <v>231</v>
      </c>
      <c r="S1993" s="2" t="s">
        <v>8942</v>
      </c>
      <c r="T1993" s="2" t="s">
        <v>595</v>
      </c>
      <c r="U1993" s="2" t="s">
        <v>298</v>
      </c>
      <c r="V1993" s="2" t="s">
        <v>239</v>
      </c>
      <c r="W1993" s="2" t="s">
        <v>273</v>
      </c>
      <c r="X1993" s="2" t="s">
        <v>691</v>
      </c>
      <c r="Y1993" s="2" t="s">
        <v>274</v>
      </c>
      <c r="Z1993" s="4"/>
      <c r="AA1993" s="4">
        <f>=ROUNDDOWN({0},0)</f>
      </c>
      <c r="AB1993" s="5">
        <v>40</v>
      </c>
      <c r="AC1993" s="2" t="s">
        <v>4449</v>
      </c>
      <c r="AD1993" s="4">
        <v>150</v>
      </c>
      <c r="AE1993" s="4">
        <v>1110</v>
      </c>
      <c r="AF1993" s="6">
        <v>65</v>
      </c>
      <c r="AG1993" s="6"/>
      <c r="AH1993" s="7">
        <v>0</v>
      </c>
      <c r="AI1993" s="4"/>
      <c r="AJ1993" s="4">
        <f>=ROUNDDOWN({0},0)</f>
      </c>
      <c r="AK1993" s="5"/>
      <c r="AL1993" s="2" t="s">
        <v>231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231</v>
      </c>
      <c r="AW1993" s="8" t="s">
        <v>231</v>
      </c>
      <c r="AX1993" s="4" t="s">
        <v>231</v>
      </c>
      <c r="AY1993" s="8" t="s">
        <v>231</v>
      </c>
      <c r="AZ1993" s="7" t="s">
        <v>231</v>
      </c>
      <c r="BA1993" s="7" t="s">
        <v>231</v>
      </c>
      <c r="BB1993" s="7"/>
      <c r="BC1993" s="4" t="s">
        <v>231</v>
      </c>
      <c r="BD1993" s="8" t="s">
        <v>231</v>
      </c>
      <c r="BE1993" s="4" t="s">
        <v>231</v>
      </c>
      <c r="BF1993" s="8" t="s">
        <v>231</v>
      </c>
      <c r="BG1993" s="7" t="s">
        <v>231</v>
      </c>
      <c r="BH1993" s="7" t="s">
        <v>231</v>
      </c>
      <c r="BI1993" s="7"/>
      <c r="BJ1993" s="4"/>
      <c r="BK1993" s="8"/>
      <c r="BL1993" s="2" t="s">
        <v>374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8945</v>
      </c>
      <c r="BV1993" s="2" t="s">
        <v>231</v>
      </c>
      <c r="BW1993" s="2" t="s">
        <v>231</v>
      </c>
      <c r="BX1993" s="2" t="s">
        <v>241</v>
      </c>
      <c r="BY1993" s="2" t="s">
        <v>277</v>
      </c>
      <c r="BZ1993" s="2" t="s">
        <v>243</v>
      </c>
      <c r="CA1993" s="2" t="s">
        <v>284</v>
      </c>
      <c r="CB1993" s="2" t="s">
        <v>6856</v>
      </c>
      <c r="CC1993" s="2" t="s">
        <v>244</v>
      </c>
      <c r="CD1993" s="2" t="s">
        <v>231</v>
      </c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>
        <v>150</v>
      </c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>
        <v>150</v>
      </c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>
        <v>600</v>
      </c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>
        <v>210</v>
      </c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  <c r="HF1993" s="4"/>
      <c r="HG1993" s="4"/>
      <c r="HH1993" s="4"/>
      <c r="HI1993" s="4"/>
      <c r="HJ1993" s="4"/>
      <c r="HK1993" s="4"/>
      <c r="HL1993" s="4"/>
    </row>
    <row r="1994">
      <c r="A1994" s="2" t="s">
        <v>8946</v>
      </c>
      <c r="B1994" s="2" t="s">
        <v>287</v>
      </c>
      <c r="C1994" s="2" t="s">
        <v>965</v>
      </c>
      <c r="D1994" s="2" t="s">
        <v>289</v>
      </c>
      <c r="E1994" s="2" t="s">
        <v>290</v>
      </c>
      <c r="F1994" s="2" t="s">
        <v>8759</v>
      </c>
      <c r="G1994" s="2" t="s">
        <v>8759</v>
      </c>
      <c r="H1994" s="2" t="s">
        <v>8759</v>
      </c>
      <c r="I1994" s="2" t="s">
        <v>359</v>
      </c>
      <c r="J1994" s="2" t="s">
        <v>293</v>
      </c>
      <c r="K1994" s="2" t="s">
        <v>1677</v>
      </c>
      <c r="L1994" s="3">
        <v>28.2</v>
      </c>
      <c r="M1994" s="3">
        <v>29.61</v>
      </c>
      <c r="N1994" s="3">
        <v>59.99</v>
      </c>
      <c r="O1994" s="2" t="s">
        <v>243</v>
      </c>
      <c r="P1994" s="2" t="s">
        <v>4057</v>
      </c>
      <c r="Q1994" s="2" t="s">
        <v>237</v>
      </c>
      <c r="R1994" s="2" t="s">
        <v>231</v>
      </c>
      <c r="S1994" s="2" t="s">
        <v>8942</v>
      </c>
      <c r="T1994" s="2" t="s">
        <v>595</v>
      </c>
      <c r="U1994" s="2" t="s">
        <v>298</v>
      </c>
      <c r="V1994" s="2" t="s">
        <v>239</v>
      </c>
      <c r="W1994" s="2" t="s">
        <v>273</v>
      </c>
      <c r="X1994" s="2" t="s">
        <v>691</v>
      </c>
      <c r="Y1994" s="2" t="s">
        <v>274</v>
      </c>
      <c r="Z1994" s="4"/>
      <c r="AA1994" s="4">
        <f>=ROUNDDOWN({0},0)</f>
      </c>
      <c r="AB1994" s="5">
        <v>66</v>
      </c>
      <c r="AC1994" s="2" t="s">
        <v>4449</v>
      </c>
      <c r="AD1994" s="4">
        <v>250</v>
      </c>
      <c r="AE1994" s="4">
        <v>2020</v>
      </c>
      <c r="AF1994" s="6">
        <v>65</v>
      </c>
      <c r="AG1994" s="6"/>
      <c r="AH1994" s="7">
        <v>0</v>
      </c>
      <c r="AI1994" s="4"/>
      <c r="AJ1994" s="4">
        <f>=ROUNDDOWN({0},0)</f>
      </c>
      <c r="AK1994" s="5"/>
      <c r="AL1994" s="2" t="s">
        <v>231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231</v>
      </c>
      <c r="AW1994" s="8" t="s">
        <v>231</v>
      </c>
      <c r="AX1994" s="4" t="s">
        <v>231</v>
      </c>
      <c r="AY1994" s="8" t="s">
        <v>231</v>
      </c>
      <c r="AZ1994" s="7" t="s">
        <v>231</v>
      </c>
      <c r="BA1994" s="7" t="s">
        <v>231</v>
      </c>
      <c r="BB1994" s="7"/>
      <c r="BC1994" s="4" t="s">
        <v>231</v>
      </c>
      <c r="BD1994" s="8" t="s">
        <v>231</v>
      </c>
      <c r="BE1994" s="4" t="s">
        <v>231</v>
      </c>
      <c r="BF1994" s="8" t="s">
        <v>231</v>
      </c>
      <c r="BG1994" s="7" t="s">
        <v>231</v>
      </c>
      <c r="BH1994" s="7" t="s">
        <v>231</v>
      </c>
      <c r="BI1994" s="7"/>
      <c r="BJ1994" s="4"/>
      <c r="BK1994" s="8"/>
      <c r="BL1994" s="2" t="s">
        <v>8947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8948</v>
      </c>
      <c r="BV1994" s="2" t="s">
        <v>231</v>
      </c>
      <c r="BW1994" s="2" t="s">
        <v>231</v>
      </c>
      <c r="BX1994" s="2" t="s">
        <v>241</v>
      </c>
      <c r="BY1994" s="2" t="s">
        <v>277</v>
      </c>
      <c r="BZ1994" s="2" t="s">
        <v>243</v>
      </c>
      <c r="CA1994" s="2" t="s">
        <v>284</v>
      </c>
      <c r="CB1994" s="2" t="s">
        <v>8949</v>
      </c>
      <c r="CC1994" s="2" t="s">
        <v>244</v>
      </c>
      <c r="CD1994" s="2" t="s">
        <v>231</v>
      </c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>
        <v>250</v>
      </c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>
        <v>260</v>
      </c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>
        <v>1060</v>
      </c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>
        <v>450</v>
      </c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  <c r="HF1994" s="4"/>
      <c r="HG1994" s="4"/>
      <c r="HH1994" s="4"/>
      <c r="HI1994" s="4"/>
      <c r="HJ1994" s="4"/>
      <c r="HK1994" s="4"/>
      <c r="HL1994" s="4"/>
    </row>
    <row r="1995">
      <c r="A1995" s="2" t="s">
        <v>8950</v>
      </c>
      <c r="B1995" s="2" t="s">
        <v>287</v>
      </c>
      <c r="C1995" s="2" t="s">
        <v>965</v>
      </c>
      <c r="D1995" s="2" t="s">
        <v>289</v>
      </c>
      <c r="E1995" s="2" t="s">
        <v>290</v>
      </c>
      <c r="F1995" s="2" t="s">
        <v>8759</v>
      </c>
      <c r="G1995" s="2" t="s">
        <v>8759</v>
      </c>
      <c r="H1995" s="2" t="s">
        <v>8759</v>
      </c>
      <c r="I1995" s="2" t="s">
        <v>359</v>
      </c>
      <c r="J1995" s="2" t="s">
        <v>302</v>
      </c>
      <c r="K1995" s="2" t="s">
        <v>1677</v>
      </c>
      <c r="L1995" s="3">
        <v>31.2</v>
      </c>
      <c r="M1995" s="3">
        <v>32.76</v>
      </c>
      <c r="N1995" s="3">
        <v>64.99</v>
      </c>
      <c r="O1995" s="2" t="s">
        <v>243</v>
      </c>
      <c r="P1995" s="2" t="s">
        <v>1332</v>
      </c>
      <c r="Q1995" s="2" t="s">
        <v>237</v>
      </c>
      <c r="R1995" s="2" t="s">
        <v>231</v>
      </c>
      <c r="S1995" s="2" t="s">
        <v>8942</v>
      </c>
      <c r="T1995" s="2" t="s">
        <v>595</v>
      </c>
      <c r="U1995" s="2" t="s">
        <v>298</v>
      </c>
      <c r="V1995" s="2" t="s">
        <v>239</v>
      </c>
      <c r="W1995" s="2" t="s">
        <v>273</v>
      </c>
      <c r="X1995" s="2" t="s">
        <v>691</v>
      </c>
      <c r="Y1995" s="2" t="s">
        <v>274</v>
      </c>
      <c r="Z1995" s="4"/>
      <c r="AA1995" s="4">
        <f>=ROUNDDOWN({0},0)</f>
      </c>
      <c r="AB1995" s="5">
        <v>40</v>
      </c>
      <c r="AC1995" s="2" t="s">
        <v>4449</v>
      </c>
      <c r="AD1995" s="4">
        <v>140</v>
      </c>
      <c r="AE1995" s="4">
        <v>1030</v>
      </c>
      <c r="AF1995" s="6">
        <v>65</v>
      </c>
      <c r="AG1995" s="6"/>
      <c r="AH1995" s="7">
        <v>0</v>
      </c>
      <c r="AI1995" s="4"/>
      <c r="AJ1995" s="4">
        <f>=ROUNDDOWN({0},0)</f>
      </c>
      <c r="AK1995" s="5"/>
      <c r="AL1995" s="2" t="s">
        <v>231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231</v>
      </c>
      <c r="AW1995" s="8" t="s">
        <v>231</v>
      </c>
      <c r="AX1995" s="4" t="s">
        <v>231</v>
      </c>
      <c r="AY1995" s="8" t="s">
        <v>231</v>
      </c>
      <c r="AZ1995" s="7" t="s">
        <v>231</v>
      </c>
      <c r="BA1995" s="7" t="s">
        <v>231</v>
      </c>
      <c r="BB1995" s="7"/>
      <c r="BC1995" s="4" t="s">
        <v>231</v>
      </c>
      <c r="BD1995" s="8" t="s">
        <v>231</v>
      </c>
      <c r="BE1995" s="4" t="s">
        <v>231</v>
      </c>
      <c r="BF1995" s="8" t="s">
        <v>231</v>
      </c>
      <c r="BG1995" s="7" t="s">
        <v>231</v>
      </c>
      <c r="BH1995" s="7" t="s">
        <v>231</v>
      </c>
      <c r="BI1995" s="7"/>
      <c r="BJ1995" s="4"/>
      <c r="BK1995" s="8"/>
      <c r="BL1995" s="2" t="s">
        <v>399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8951</v>
      </c>
      <c r="BV1995" s="2" t="s">
        <v>231</v>
      </c>
      <c r="BW1995" s="2" t="s">
        <v>231</v>
      </c>
      <c r="BX1995" s="2" t="s">
        <v>241</v>
      </c>
      <c r="BY1995" s="2" t="s">
        <v>277</v>
      </c>
      <c r="BZ1995" s="2" t="s">
        <v>243</v>
      </c>
      <c r="CA1995" s="2" t="s">
        <v>284</v>
      </c>
      <c r="CB1995" s="2" t="s">
        <v>8952</v>
      </c>
      <c r="CC1995" s="2" t="s">
        <v>244</v>
      </c>
      <c r="CD1995" s="2" t="s">
        <v>231</v>
      </c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>
        <v>140</v>
      </c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>
        <v>130</v>
      </c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>
        <v>570</v>
      </c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>
        <v>190</v>
      </c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  <c r="HG1995" s="4"/>
      <c r="HH1995" s="4"/>
      <c r="HI1995" s="4"/>
      <c r="HJ1995" s="4"/>
      <c r="HK1995" s="4"/>
      <c r="HL1995" s="4"/>
    </row>
    <row r="1996">
      <c r="A1996" s="2" t="s">
        <v>8953</v>
      </c>
      <c r="B1996" s="2" t="s">
        <v>287</v>
      </c>
      <c r="C1996" s="2" t="s">
        <v>965</v>
      </c>
      <c r="D1996" s="2" t="s">
        <v>289</v>
      </c>
      <c r="E1996" s="2" t="s">
        <v>290</v>
      </c>
      <c r="F1996" s="2" t="s">
        <v>8759</v>
      </c>
      <c r="G1996" s="2" t="s">
        <v>8759</v>
      </c>
      <c r="H1996" s="2" t="s">
        <v>8759</v>
      </c>
      <c r="I1996" s="2" t="s">
        <v>359</v>
      </c>
      <c r="J1996" s="2" t="s">
        <v>268</v>
      </c>
      <c r="K1996" s="2" t="s">
        <v>255</v>
      </c>
      <c r="L1996" s="3">
        <v>23.04</v>
      </c>
      <c r="M1996" s="3">
        <v>24.19</v>
      </c>
      <c r="N1996" s="3">
        <v>47.99</v>
      </c>
      <c r="O1996" s="2" t="s">
        <v>243</v>
      </c>
      <c r="P1996" s="2" t="s">
        <v>270</v>
      </c>
      <c r="Q1996" s="2" t="s">
        <v>237</v>
      </c>
      <c r="R1996" s="2" t="s">
        <v>231</v>
      </c>
      <c r="S1996" s="2" t="s">
        <v>8954</v>
      </c>
      <c r="T1996" s="2" t="s">
        <v>595</v>
      </c>
      <c r="U1996" s="2" t="s">
        <v>835</v>
      </c>
      <c r="V1996" s="2" t="s">
        <v>239</v>
      </c>
      <c r="W1996" s="2" t="s">
        <v>273</v>
      </c>
      <c r="X1996" s="2" t="s">
        <v>691</v>
      </c>
      <c r="Y1996" s="2" t="s">
        <v>7609</v>
      </c>
      <c r="Z1996" s="4">
        <v>121</v>
      </c>
      <c r="AA1996" s="4">
        <f>=ROUNDDOWN(11,0)</f>
      </c>
      <c r="AB1996" s="5">
        <v>11</v>
      </c>
      <c r="AC1996" s="2" t="s">
        <v>701</v>
      </c>
      <c r="AD1996" s="4">
        <v>30</v>
      </c>
      <c r="AE1996" s="4">
        <v>240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231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231</v>
      </c>
      <c r="AW1996" s="8" t="s">
        <v>231</v>
      </c>
      <c r="AX1996" s="4" t="s">
        <v>231</v>
      </c>
      <c r="AY1996" s="8" t="s">
        <v>231</v>
      </c>
      <c r="AZ1996" s="7" t="s">
        <v>231</v>
      </c>
      <c r="BA1996" s="7" t="s">
        <v>231</v>
      </c>
      <c r="BB1996" s="7"/>
      <c r="BC1996" s="4" t="s">
        <v>231</v>
      </c>
      <c r="BD1996" s="8" t="s">
        <v>231</v>
      </c>
      <c r="BE1996" s="4" t="s">
        <v>231</v>
      </c>
      <c r="BF1996" s="8" t="s">
        <v>231</v>
      </c>
      <c r="BG1996" s="7" t="s">
        <v>231</v>
      </c>
      <c r="BH1996" s="7" t="s">
        <v>231</v>
      </c>
      <c r="BI1996" s="7"/>
      <c r="BJ1996" s="4">
        <v>9</v>
      </c>
      <c r="BK1996" s="8">
        <v>228.96</v>
      </c>
      <c r="BL1996" s="2" t="s">
        <v>4177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8955</v>
      </c>
      <c r="BV1996" s="2" t="s">
        <v>231</v>
      </c>
      <c r="BW1996" s="2" t="s">
        <v>231</v>
      </c>
      <c r="BX1996" s="2" t="s">
        <v>241</v>
      </c>
      <c r="BY1996" s="2" t="s">
        <v>277</v>
      </c>
      <c r="BZ1996" s="2" t="s">
        <v>243</v>
      </c>
      <c r="CA1996" s="2" t="s">
        <v>2062</v>
      </c>
      <c r="CB1996" s="2" t="s">
        <v>5280</v>
      </c>
      <c r="CC1996" s="2" t="s">
        <v>244</v>
      </c>
      <c r="CD1996" s="2" t="s">
        <v>231</v>
      </c>
      <c r="CE1996" s="4">
        <v>121</v>
      </c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>
        <v>30</v>
      </c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>
        <v>150</v>
      </c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>
        <v>60</v>
      </c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  <c r="HF1996" s="4"/>
      <c r="HG1996" s="4"/>
      <c r="HH1996" s="4"/>
      <c r="HI1996" s="4"/>
      <c r="HJ1996" s="4"/>
      <c r="HK1996" s="4"/>
      <c r="HL1996" s="4"/>
    </row>
    <row r="1997">
      <c r="A1997" s="2" t="s">
        <v>8956</v>
      </c>
      <c r="B1997" s="2" t="s">
        <v>287</v>
      </c>
      <c r="C1997" s="2" t="s">
        <v>965</v>
      </c>
      <c r="D1997" s="2" t="s">
        <v>289</v>
      </c>
      <c r="E1997" s="2" t="s">
        <v>290</v>
      </c>
      <c r="F1997" s="2" t="s">
        <v>8759</v>
      </c>
      <c r="G1997" s="2" t="s">
        <v>8759</v>
      </c>
      <c r="H1997" s="2" t="s">
        <v>8759</v>
      </c>
      <c r="I1997" s="2" t="s">
        <v>359</v>
      </c>
      <c r="J1997" s="2" t="s">
        <v>281</v>
      </c>
      <c r="K1997" s="2" t="s">
        <v>255</v>
      </c>
      <c r="L1997" s="3">
        <v>25.3</v>
      </c>
      <c r="M1997" s="3">
        <v>26.56</v>
      </c>
      <c r="N1997" s="3">
        <v>54.99</v>
      </c>
      <c r="O1997" s="2" t="s">
        <v>243</v>
      </c>
      <c r="P1997" s="2" t="s">
        <v>1281</v>
      </c>
      <c r="Q1997" s="2" t="s">
        <v>237</v>
      </c>
      <c r="R1997" s="2" t="s">
        <v>231</v>
      </c>
      <c r="S1997" s="2" t="s">
        <v>8954</v>
      </c>
      <c r="T1997" s="2" t="s">
        <v>595</v>
      </c>
      <c r="U1997" s="2" t="s">
        <v>298</v>
      </c>
      <c r="V1997" s="2" t="s">
        <v>239</v>
      </c>
      <c r="W1997" s="2" t="s">
        <v>273</v>
      </c>
      <c r="X1997" s="2" t="s">
        <v>691</v>
      </c>
      <c r="Y1997" s="2" t="s">
        <v>6637</v>
      </c>
      <c r="Z1997" s="4">
        <v>8</v>
      </c>
      <c r="AA1997" s="4">
        <f>=ROUNDDOWN(0.5,0)</f>
      </c>
      <c r="AB1997" s="5">
        <v>16</v>
      </c>
      <c r="AC1997" s="2" t="s">
        <v>701</v>
      </c>
      <c r="AD1997" s="4">
        <v>140</v>
      </c>
      <c r="AE1997" s="4">
        <v>470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231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231</v>
      </c>
      <c r="AW1997" s="8" t="s">
        <v>231</v>
      </c>
      <c r="AX1997" s="4" t="s">
        <v>231</v>
      </c>
      <c r="AY1997" s="8" t="s">
        <v>231</v>
      </c>
      <c r="AZ1997" s="7" t="s">
        <v>231</v>
      </c>
      <c r="BA1997" s="7" t="s">
        <v>231</v>
      </c>
      <c r="BB1997" s="7"/>
      <c r="BC1997" s="4" t="s">
        <v>231</v>
      </c>
      <c r="BD1997" s="8" t="s">
        <v>231</v>
      </c>
      <c r="BE1997" s="4" t="s">
        <v>231</v>
      </c>
      <c r="BF1997" s="8" t="s">
        <v>231</v>
      </c>
      <c r="BG1997" s="7" t="s">
        <v>231</v>
      </c>
      <c r="BH1997" s="7" t="s">
        <v>231</v>
      </c>
      <c r="BI1997" s="7"/>
      <c r="BJ1997" s="4">
        <v>19</v>
      </c>
      <c r="BK1997" s="8">
        <v>528.15</v>
      </c>
      <c r="BL1997" s="2" t="s">
        <v>4084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8957</v>
      </c>
      <c r="BV1997" s="2" t="s">
        <v>231</v>
      </c>
      <c r="BW1997" s="2" t="s">
        <v>231</v>
      </c>
      <c r="BX1997" s="2" t="s">
        <v>241</v>
      </c>
      <c r="BY1997" s="2" t="s">
        <v>277</v>
      </c>
      <c r="BZ1997" s="2" t="s">
        <v>243</v>
      </c>
      <c r="CA1997" s="2" t="s">
        <v>8958</v>
      </c>
      <c r="CB1997" s="2" t="s">
        <v>8959</v>
      </c>
      <c r="CC1997" s="2" t="s">
        <v>244</v>
      </c>
      <c r="CD1997" s="2" t="s">
        <v>231</v>
      </c>
      <c r="CE1997" s="4">
        <v>8</v>
      </c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>
        <v>140</v>
      </c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>
        <v>240</v>
      </c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>
        <v>90</v>
      </c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  <c r="HG1997" s="4"/>
      <c r="HH1997" s="4"/>
      <c r="HI1997" s="4"/>
      <c r="HJ1997" s="4"/>
      <c r="HK1997" s="4"/>
      <c r="HL1997" s="4"/>
    </row>
    <row r="1998">
      <c r="A1998" s="2" t="s">
        <v>8960</v>
      </c>
      <c r="B1998" s="2" t="s">
        <v>287</v>
      </c>
      <c r="C1998" s="2" t="s">
        <v>965</v>
      </c>
      <c r="D1998" s="2" t="s">
        <v>289</v>
      </c>
      <c r="E1998" s="2" t="s">
        <v>290</v>
      </c>
      <c r="F1998" s="2" t="s">
        <v>8759</v>
      </c>
      <c r="G1998" s="2" t="s">
        <v>8759</v>
      </c>
      <c r="H1998" s="2" t="s">
        <v>8759</v>
      </c>
      <c r="I1998" s="2" t="s">
        <v>359</v>
      </c>
      <c r="J1998" s="2" t="s">
        <v>293</v>
      </c>
      <c r="K1998" s="2" t="s">
        <v>255</v>
      </c>
      <c r="L1998" s="3">
        <v>28.2</v>
      </c>
      <c r="M1998" s="3">
        <v>29.61</v>
      </c>
      <c r="N1998" s="3">
        <v>59.99</v>
      </c>
      <c r="O1998" s="2" t="s">
        <v>243</v>
      </c>
      <c r="P1998" s="2" t="s">
        <v>871</v>
      </c>
      <c r="Q1998" s="2" t="s">
        <v>237</v>
      </c>
      <c r="R1998" s="2" t="s">
        <v>231</v>
      </c>
      <c r="S1998" s="2" t="s">
        <v>8954</v>
      </c>
      <c r="T1998" s="2" t="s">
        <v>595</v>
      </c>
      <c r="U1998" s="2" t="s">
        <v>298</v>
      </c>
      <c r="V1998" s="2" t="s">
        <v>239</v>
      </c>
      <c r="W1998" s="2" t="s">
        <v>273</v>
      </c>
      <c r="X1998" s="2" t="s">
        <v>691</v>
      </c>
      <c r="Y1998" s="2" t="s">
        <v>6637</v>
      </c>
      <c r="Z1998" s="4"/>
      <c r="AA1998" s="4">
        <f>=ROUNDDOWN({0},0)</f>
      </c>
      <c r="AB1998" s="5">
        <v>27</v>
      </c>
      <c r="AC1998" s="2" t="s">
        <v>701</v>
      </c>
      <c r="AD1998" s="4">
        <v>240</v>
      </c>
      <c r="AE1998" s="4">
        <v>880</v>
      </c>
      <c r="AF1998" s="6">
        <v>65</v>
      </c>
      <c r="AG1998" s="6"/>
      <c r="AH1998" s="7">
        <v>0</v>
      </c>
      <c r="AI1998" s="4"/>
      <c r="AJ1998" s="4">
        <f>=ROUNDDOWN({0},0)</f>
      </c>
      <c r="AK1998" s="5"/>
      <c r="AL1998" s="2" t="s">
        <v>231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231</v>
      </c>
      <c r="AW1998" s="8" t="s">
        <v>231</v>
      </c>
      <c r="AX1998" s="4" t="s">
        <v>231</v>
      </c>
      <c r="AY1998" s="8" t="s">
        <v>231</v>
      </c>
      <c r="AZ1998" s="7" t="s">
        <v>231</v>
      </c>
      <c r="BA1998" s="7" t="s">
        <v>231</v>
      </c>
      <c r="BB1998" s="7"/>
      <c r="BC1998" s="4" t="s">
        <v>231</v>
      </c>
      <c r="BD1998" s="8" t="s">
        <v>231</v>
      </c>
      <c r="BE1998" s="4" t="s">
        <v>231</v>
      </c>
      <c r="BF1998" s="8" t="s">
        <v>231</v>
      </c>
      <c r="BG1998" s="7" t="s">
        <v>231</v>
      </c>
      <c r="BH1998" s="7" t="s">
        <v>231</v>
      </c>
      <c r="BI1998" s="7"/>
      <c r="BJ1998" s="4"/>
      <c r="BK1998" s="8"/>
      <c r="BL1998" s="2" t="s">
        <v>3305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8961</v>
      </c>
      <c r="BV1998" s="2" t="s">
        <v>231</v>
      </c>
      <c r="BW1998" s="2" t="s">
        <v>231</v>
      </c>
      <c r="BX1998" s="2" t="s">
        <v>241</v>
      </c>
      <c r="BY1998" s="2" t="s">
        <v>277</v>
      </c>
      <c r="BZ1998" s="2" t="s">
        <v>243</v>
      </c>
      <c r="CA1998" s="2" t="s">
        <v>6637</v>
      </c>
      <c r="CB1998" s="2" t="s">
        <v>8962</v>
      </c>
      <c r="CC1998" s="2" t="s">
        <v>244</v>
      </c>
      <c r="CD1998" s="2" t="s">
        <v>231</v>
      </c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>
        <v>240</v>
      </c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>
        <v>410</v>
      </c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>
        <v>230</v>
      </c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4"/>
      <c r="HH1998" s="4"/>
      <c r="HI1998" s="4"/>
      <c r="HJ1998" s="4"/>
      <c r="HK1998" s="4"/>
      <c r="HL1998" s="4"/>
    </row>
    <row r="1999">
      <c r="A1999" s="2" t="s">
        <v>8963</v>
      </c>
      <c r="B1999" s="2" t="s">
        <v>287</v>
      </c>
      <c r="C1999" s="2" t="s">
        <v>965</v>
      </c>
      <c r="D1999" s="2" t="s">
        <v>289</v>
      </c>
      <c r="E1999" s="2" t="s">
        <v>290</v>
      </c>
      <c r="F1999" s="2" t="s">
        <v>8759</v>
      </c>
      <c r="G1999" s="2" t="s">
        <v>8759</v>
      </c>
      <c r="H1999" s="2" t="s">
        <v>8759</v>
      </c>
      <c r="I1999" s="2" t="s">
        <v>359</v>
      </c>
      <c r="J1999" s="2" t="s">
        <v>304</v>
      </c>
      <c r="K1999" s="2" t="s">
        <v>255</v>
      </c>
      <c r="L1999" s="3">
        <v>31.85</v>
      </c>
      <c r="M1999" s="3">
        <v>33.44</v>
      </c>
      <c r="N1999" s="3">
        <v>64.99</v>
      </c>
      <c r="O1999" s="2" t="s">
        <v>243</v>
      </c>
      <c r="P1999" s="2" t="s">
        <v>270</v>
      </c>
      <c r="Q1999" s="2" t="s">
        <v>237</v>
      </c>
      <c r="R1999" s="2" t="s">
        <v>231</v>
      </c>
      <c r="S1999" s="2" t="s">
        <v>8954</v>
      </c>
      <c r="T1999" s="2" t="s">
        <v>595</v>
      </c>
      <c r="U1999" s="2" t="s">
        <v>298</v>
      </c>
      <c r="V1999" s="2" t="s">
        <v>239</v>
      </c>
      <c r="W1999" s="2" t="s">
        <v>273</v>
      </c>
      <c r="X1999" s="2" t="s">
        <v>691</v>
      </c>
      <c r="Y1999" s="2" t="s">
        <v>7609</v>
      </c>
      <c r="Z1999" s="4">
        <v>27</v>
      </c>
      <c r="AA1999" s="4">
        <f>=ROUNDDOWN(3.85714285714286,0)</f>
      </c>
      <c r="AB1999" s="5">
        <v>7</v>
      </c>
      <c r="AC1999" s="2" t="s">
        <v>701</v>
      </c>
      <c r="AD1999" s="4">
        <v>40</v>
      </c>
      <c r="AE1999" s="4">
        <v>190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231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231</v>
      </c>
      <c r="AW1999" s="8" t="s">
        <v>231</v>
      </c>
      <c r="AX1999" s="4" t="s">
        <v>231</v>
      </c>
      <c r="AY1999" s="8" t="s">
        <v>231</v>
      </c>
      <c r="AZ1999" s="7" t="s">
        <v>231</v>
      </c>
      <c r="BA1999" s="7" t="s">
        <v>231</v>
      </c>
      <c r="BB1999" s="7"/>
      <c r="BC1999" s="4" t="s">
        <v>231</v>
      </c>
      <c r="BD1999" s="8" t="s">
        <v>231</v>
      </c>
      <c r="BE1999" s="4" t="s">
        <v>231</v>
      </c>
      <c r="BF1999" s="8" t="s">
        <v>231</v>
      </c>
      <c r="BG1999" s="7" t="s">
        <v>231</v>
      </c>
      <c r="BH1999" s="7" t="s">
        <v>231</v>
      </c>
      <c r="BI1999" s="7"/>
      <c r="BJ1999" s="4">
        <v>7</v>
      </c>
      <c r="BK1999" s="8">
        <v>246.43</v>
      </c>
      <c r="BL1999" s="2" t="s">
        <v>3767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8964</v>
      </c>
      <c r="BV1999" s="2" t="s">
        <v>231</v>
      </c>
      <c r="BW1999" s="2" t="s">
        <v>231</v>
      </c>
      <c r="BX1999" s="2" t="s">
        <v>241</v>
      </c>
      <c r="BY1999" s="2" t="s">
        <v>277</v>
      </c>
      <c r="BZ1999" s="2" t="s">
        <v>243</v>
      </c>
      <c r="CA1999" s="2" t="s">
        <v>2062</v>
      </c>
      <c r="CB1999" s="2" t="s">
        <v>6262</v>
      </c>
      <c r="CC1999" s="2" t="s">
        <v>244</v>
      </c>
      <c r="CD1999" s="2" t="s">
        <v>231</v>
      </c>
      <c r="CE1999" s="4">
        <v>27</v>
      </c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>
        <v>40</v>
      </c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>
        <v>110</v>
      </c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>
        <v>40</v>
      </c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  <c r="HG1999" s="4"/>
      <c r="HH1999" s="4"/>
      <c r="HI1999" s="4"/>
      <c r="HJ1999" s="4"/>
      <c r="HK1999" s="4"/>
      <c r="HL1999" s="4"/>
    </row>
    <row r="2000">
      <c r="A2000" s="2" t="s">
        <v>8965</v>
      </c>
      <c r="B2000" s="2" t="s">
        <v>287</v>
      </c>
      <c r="C2000" s="2" t="s">
        <v>965</v>
      </c>
      <c r="D2000" s="2" t="s">
        <v>289</v>
      </c>
      <c r="E2000" s="2" t="s">
        <v>290</v>
      </c>
      <c r="F2000" s="2" t="s">
        <v>8759</v>
      </c>
      <c r="G2000" s="2" t="s">
        <v>8759</v>
      </c>
      <c r="H2000" s="2" t="s">
        <v>8759</v>
      </c>
      <c r="I2000" s="2" t="s">
        <v>359</v>
      </c>
      <c r="J2000" s="2" t="s">
        <v>318</v>
      </c>
      <c r="K2000" s="2" t="s">
        <v>1513</v>
      </c>
      <c r="L2000" s="3">
        <v>21.62</v>
      </c>
      <c r="M2000" s="3">
        <v>22.7</v>
      </c>
      <c r="N2000" s="3">
        <v>46.99</v>
      </c>
      <c r="O2000" s="2" t="s">
        <v>243</v>
      </c>
      <c r="P2000" s="2" t="s">
        <v>270</v>
      </c>
      <c r="Q2000" s="2" t="s">
        <v>237</v>
      </c>
      <c r="R2000" s="2" t="s">
        <v>231</v>
      </c>
      <c r="S2000" s="2" t="s">
        <v>8966</v>
      </c>
      <c r="T2000" s="2" t="s">
        <v>595</v>
      </c>
      <c r="U2000" s="2" t="s">
        <v>835</v>
      </c>
      <c r="V2000" s="2" t="s">
        <v>239</v>
      </c>
      <c r="W2000" s="2" t="s">
        <v>273</v>
      </c>
      <c r="X2000" s="2" t="s">
        <v>691</v>
      </c>
      <c r="Y2000" s="2" t="s">
        <v>274</v>
      </c>
      <c r="Z2000" s="4"/>
      <c r="AA2000" s="4">
        <f>=ROUNDDOWN({0},0)</f>
      </c>
      <c r="AB2000" s="5">
        <v>13</v>
      </c>
      <c r="AC2000" s="2" t="s">
        <v>701</v>
      </c>
      <c r="AD2000" s="4">
        <v>100</v>
      </c>
      <c r="AE2000" s="4">
        <v>350</v>
      </c>
      <c r="AF2000" s="6">
        <v>65</v>
      </c>
      <c r="AG2000" s="6"/>
      <c r="AH2000" s="7">
        <v>0</v>
      </c>
      <c r="AI2000" s="4"/>
      <c r="AJ2000" s="4">
        <f>=ROUNDDOWN({0},0)</f>
      </c>
      <c r="AK2000" s="5"/>
      <c r="AL2000" s="2" t="s">
        <v>231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231</v>
      </c>
      <c r="AW2000" s="8" t="s">
        <v>231</v>
      </c>
      <c r="AX2000" s="4" t="s">
        <v>231</v>
      </c>
      <c r="AY2000" s="8" t="s">
        <v>231</v>
      </c>
      <c r="AZ2000" s="7" t="s">
        <v>231</v>
      </c>
      <c r="BA2000" s="7" t="s">
        <v>231</v>
      </c>
      <c r="BB2000" s="7"/>
      <c r="BC2000" s="4" t="s">
        <v>231</v>
      </c>
      <c r="BD2000" s="8" t="s">
        <v>231</v>
      </c>
      <c r="BE2000" s="4" t="s">
        <v>231</v>
      </c>
      <c r="BF2000" s="8" t="s">
        <v>231</v>
      </c>
      <c r="BG2000" s="7" t="s">
        <v>231</v>
      </c>
      <c r="BH2000" s="7" t="s">
        <v>231</v>
      </c>
      <c r="BI2000" s="7"/>
      <c r="BJ2000" s="4"/>
      <c r="BK2000" s="8"/>
      <c r="BL2000" s="2" t="s">
        <v>8967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8968</v>
      </c>
      <c r="BV2000" s="2" t="s">
        <v>231</v>
      </c>
      <c r="BW2000" s="2" t="s">
        <v>231</v>
      </c>
      <c r="BX2000" s="2" t="s">
        <v>241</v>
      </c>
      <c r="BY2000" s="2" t="s">
        <v>277</v>
      </c>
      <c r="BZ2000" s="2" t="s">
        <v>243</v>
      </c>
      <c r="CA2000" s="2" t="s">
        <v>284</v>
      </c>
      <c r="CB2000" s="2" t="s">
        <v>8969</v>
      </c>
      <c r="CC2000" s="2" t="s">
        <v>244</v>
      </c>
      <c r="CD2000" s="2" t="s">
        <v>231</v>
      </c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>
        <v>100</v>
      </c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>
        <v>190</v>
      </c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>
        <v>60</v>
      </c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  <c r="HG2000" s="4"/>
      <c r="HH2000" s="4"/>
      <c r="HI2000" s="4"/>
      <c r="HJ2000" s="4"/>
      <c r="HK2000" s="4"/>
      <c r="HL2000" s="4"/>
    </row>
    <row r="2001">
      <c r="A2001" s="2" t="s">
        <v>8970</v>
      </c>
      <c r="B2001" s="2" t="s">
        <v>287</v>
      </c>
      <c r="C2001" s="2" t="s">
        <v>965</v>
      </c>
      <c r="D2001" s="2" t="s">
        <v>289</v>
      </c>
      <c r="E2001" s="2" t="s">
        <v>290</v>
      </c>
      <c r="F2001" s="2" t="s">
        <v>8759</v>
      </c>
      <c r="G2001" s="2" t="s">
        <v>8759</v>
      </c>
      <c r="H2001" s="2" t="s">
        <v>8759</v>
      </c>
      <c r="I2001" s="2" t="s">
        <v>359</v>
      </c>
      <c r="J2001" s="2" t="s">
        <v>268</v>
      </c>
      <c r="K2001" s="2" t="s">
        <v>1513</v>
      </c>
      <c r="L2001" s="3">
        <v>23.04</v>
      </c>
      <c r="M2001" s="3">
        <v>24.19</v>
      </c>
      <c r="N2001" s="3">
        <v>47.99</v>
      </c>
      <c r="O2001" s="2" t="s">
        <v>243</v>
      </c>
      <c r="P2001" s="2" t="s">
        <v>270</v>
      </c>
      <c r="Q2001" s="2" t="s">
        <v>237</v>
      </c>
      <c r="R2001" s="2" t="s">
        <v>231</v>
      </c>
      <c r="S2001" s="2" t="s">
        <v>8966</v>
      </c>
      <c r="T2001" s="2" t="s">
        <v>595</v>
      </c>
      <c r="U2001" s="2" t="s">
        <v>835</v>
      </c>
      <c r="V2001" s="2" t="s">
        <v>239</v>
      </c>
      <c r="W2001" s="2" t="s">
        <v>273</v>
      </c>
      <c r="X2001" s="2" t="s">
        <v>691</v>
      </c>
      <c r="Y2001" s="2" t="s">
        <v>274</v>
      </c>
      <c r="Z2001" s="4">
        <v>73</v>
      </c>
      <c r="AA2001" s="4">
        <f>=ROUNDDOWN(18.25,0)</f>
      </c>
      <c r="AB2001" s="5">
        <v>4</v>
      </c>
      <c r="AC2001" s="2" t="s">
        <v>3644</v>
      </c>
      <c r="AD2001" s="4">
        <v>40</v>
      </c>
      <c r="AE2001" s="4">
        <v>60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231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231</v>
      </c>
      <c r="AW2001" s="8" t="s">
        <v>231</v>
      </c>
      <c r="AX2001" s="4" t="s">
        <v>231</v>
      </c>
      <c r="AY2001" s="8" t="s">
        <v>231</v>
      </c>
      <c r="AZ2001" s="7" t="s">
        <v>231</v>
      </c>
      <c r="BA2001" s="7" t="s">
        <v>231</v>
      </c>
      <c r="BB2001" s="7"/>
      <c r="BC2001" s="4" t="s">
        <v>231</v>
      </c>
      <c r="BD2001" s="8" t="s">
        <v>231</v>
      </c>
      <c r="BE2001" s="4" t="s">
        <v>231</v>
      </c>
      <c r="BF2001" s="8" t="s">
        <v>231</v>
      </c>
      <c r="BG2001" s="7" t="s">
        <v>231</v>
      </c>
      <c r="BH2001" s="7" t="s">
        <v>231</v>
      </c>
      <c r="BI2001" s="7"/>
      <c r="BJ2001" s="4">
        <v>2</v>
      </c>
      <c r="BK2001" s="8">
        <v>50.77</v>
      </c>
      <c r="BL2001" s="2" t="s">
        <v>1358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8971</v>
      </c>
      <c r="BV2001" s="2" t="s">
        <v>231</v>
      </c>
      <c r="BW2001" s="2" t="s">
        <v>231</v>
      </c>
      <c r="BX2001" s="2" t="s">
        <v>241</v>
      </c>
      <c r="BY2001" s="2" t="s">
        <v>277</v>
      </c>
      <c r="BZ2001" s="2" t="s">
        <v>243</v>
      </c>
      <c r="CA2001" s="2" t="s">
        <v>284</v>
      </c>
      <c r="CB2001" s="2" t="s">
        <v>8972</v>
      </c>
      <c r="CC2001" s="2" t="s">
        <v>244</v>
      </c>
      <c r="CD2001" s="2" t="s">
        <v>231</v>
      </c>
      <c r="CE2001" s="4">
        <v>73</v>
      </c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>
        <v>40</v>
      </c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>
        <v>20</v>
      </c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  <c r="HG2001" s="4"/>
      <c r="HH2001" s="4"/>
      <c r="HI2001" s="4"/>
      <c r="HJ2001" s="4"/>
      <c r="HK2001" s="4"/>
      <c r="HL2001" s="4"/>
    </row>
    <row r="2002">
      <c r="A2002" s="2" t="s">
        <v>8973</v>
      </c>
      <c r="B2002" s="2" t="s">
        <v>287</v>
      </c>
      <c r="C2002" s="2" t="s">
        <v>965</v>
      </c>
      <c r="D2002" s="2" t="s">
        <v>289</v>
      </c>
      <c r="E2002" s="2" t="s">
        <v>290</v>
      </c>
      <c r="F2002" s="2" t="s">
        <v>8759</v>
      </c>
      <c r="G2002" s="2" t="s">
        <v>8759</v>
      </c>
      <c r="H2002" s="2" t="s">
        <v>8759</v>
      </c>
      <c r="I2002" s="2" t="s">
        <v>359</v>
      </c>
      <c r="J2002" s="2" t="s">
        <v>281</v>
      </c>
      <c r="K2002" s="2" t="s">
        <v>1513</v>
      </c>
      <c r="L2002" s="3">
        <v>25.3</v>
      </c>
      <c r="M2002" s="3">
        <v>26.56</v>
      </c>
      <c r="N2002" s="3">
        <v>54.99</v>
      </c>
      <c r="O2002" s="2" t="s">
        <v>243</v>
      </c>
      <c r="P2002" s="2" t="s">
        <v>270</v>
      </c>
      <c r="Q2002" s="2" t="s">
        <v>237</v>
      </c>
      <c r="R2002" s="2" t="s">
        <v>231</v>
      </c>
      <c r="S2002" s="2" t="s">
        <v>8966</v>
      </c>
      <c r="T2002" s="2" t="s">
        <v>595</v>
      </c>
      <c r="U2002" s="2" t="s">
        <v>298</v>
      </c>
      <c r="V2002" s="2" t="s">
        <v>239</v>
      </c>
      <c r="W2002" s="2" t="s">
        <v>273</v>
      </c>
      <c r="X2002" s="2" t="s">
        <v>691</v>
      </c>
      <c r="Y2002" s="2" t="s">
        <v>274</v>
      </c>
      <c r="Z2002" s="4">
        <v>43</v>
      </c>
      <c r="AA2002" s="4">
        <f>=ROUNDDOWN(7.16666666666667,0)</f>
      </c>
      <c r="AB2002" s="5">
        <v>6</v>
      </c>
      <c r="AC2002" s="2" t="s">
        <v>701</v>
      </c>
      <c r="AD2002" s="4">
        <v>40</v>
      </c>
      <c r="AE2002" s="4">
        <v>170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231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231</v>
      </c>
      <c r="AW2002" s="8" t="s">
        <v>231</v>
      </c>
      <c r="AX2002" s="4" t="s">
        <v>231</v>
      </c>
      <c r="AY2002" s="8" t="s">
        <v>231</v>
      </c>
      <c r="AZ2002" s="7" t="s">
        <v>231</v>
      </c>
      <c r="BA2002" s="7" t="s">
        <v>231</v>
      </c>
      <c r="BB2002" s="7"/>
      <c r="BC2002" s="4" t="s">
        <v>231</v>
      </c>
      <c r="BD2002" s="8" t="s">
        <v>231</v>
      </c>
      <c r="BE2002" s="4" t="s">
        <v>231</v>
      </c>
      <c r="BF2002" s="8" t="s">
        <v>231</v>
      </c>
      <c r="BG2002" s="7" t="s">
        <v>231</v>
      </c>
      <c r="BH2002" s="7" t="s">
        <v>231</v>
      </c>
      <c r="BI2002" s="7"/>
      <c r="BJ2002" s="4">
        <v>3</v>
      </c>
      <c r="BK2002" s="8">
        <v>84.25</v>
      </c>
      <c r="BL2002" s="2" t="s">
        <v>8856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8974</v>
      </c>
      <c r="BV2002" s="2" t="s">
        <v>231</v>
      </c>
      <c r="BW2002" s="2" t="s">
        <v>231</v>
      </c>
      <c r="BX2002" s="2" t="s">
        <v>241</v>
      </c>
      <c r="BY2002" s="2" t="s">
        <v>277</v>
      </c>
      <c r="BZ2002" s="2" t="s">
        <v>243</v>
      </c>
      <c r="CA2002" s="2" t="s">
        <v>284</v>
      </c>
      <c r="CB2002" s="2" t="s">
        <v>467</v>
      </c>
      <c r="CC2002" s="2" t="s">
        <v>244</v>
      </c>
      <c r="CD2002" s="2" t="s">
        <v>231</v>
      </c>
      <c r="CE2002" s="4">
        <v>43</v>
      </c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>
        <v>40</v>
      </c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>
        <v>90</v>
      </c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>
        <v>40</v>
      </c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  <c r="HG2002" s="4"/>
      <c r="HH2002" s="4"/>
      <c r="HI2002" s="4"/>
      <c r="HJ2002" s="4"/>
      <c r="HK2002" s="4"/>
      <c r="HL2002" s="4"/>
    </row>
    <row r="2003">
      <c r="A2003" s="2" t="s">
        <v>8975</v>
      </c>
      <c r="B2003" s="2" t="s">
        <v>287</v>
      </c>
      <c r="C2003" s="2" t="s">
        <v>965</v>
      </c>
      <c r="D2003" s="2" t="s">
        <v>289</v>
      </c>
      <c r="E2003" s="2" t="s">
        <v>290</v>
      </c>
      <c r="F2003" s="2" t="s">
        <v>8759</v>
      </c>
      <c r="G2003" s="2" t="s">
        <v>8759</v>
      </c>
      <c r="H2003" s="2" t="s">
        <v>8759</v>
      </c>
      <c r="I2003" s="2" t="s">
        <v>359</v>
      </c>
      <c r="J2003" s="2" t="s">
        <v>293</v>
      </c>
      <c r="K2003" s="2" t="s">
        <v>1513</v>
      </c>
      <c r="L2003" s="3">
        <v>28.2</v>
      </c>
      <c r="M2003" s="3">
        <v>29.61</v>
      </c>
      <c r="N2003" s="3">
        <v>59.99</v>
      </c>
      <c r="O2003" s="2" t="s">
        <v>243</v>
      </c>
      <c r="P2003" s="2" t="s">
        <v>270</v>
      </c>
      <c r="Q2003" s="2" t="s">
        <v>237</v>
      </c>
      <c r="R2003" s="2" t="s">
        <v>231</v>
      </c>
      <c r="S2003" s="2" t="s">
        <v>8966</v>
      </c>
      <c r="T2003" s="2" t="s">
        <v>595</v>
      </c>
      <c r="U2003" s="2" t="s">
        <v>298</v>
      </c>
      <c r="V2003" s="2" t="s">
        <v>239</v>
      </c>
      <c r="W2003" s="2" t="s">
        <v>273</v>
      </c>
      <c r="X2003" s="2" t="s">
        <v>691</v>
      </c>
      <c r="Y2003" s="2" t="s">
        <v>274</v>
      </c>
      <c r="Z2003" s="4">
        <v>144</v>
      </c>
      <c r="AA2003" s="4">
        <f>=ROUNDDOWN(9,0)</f>
      </c>
      <c r="AB2003" s="5">
        <v>16</v>
      </c>
      <c r="AC2003" s="2" t="s">
        <v>701</v>
      </c>
      <c r="AD2003" s="4">
        <v>60</v>
      </c>
      <c r="AE2003" s="4">
        <v>450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231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231</v>
      </c>
      <c r="AW2003" s="8" t="s">
        <v>231</v>
      </c>
      <c r="AX2003" s="4" t="s">
        <v>231</v>
      </c>
      <c r="AY2003" s="8" t="s">
        <v>231</v>
      </c>
      <c r="AZ2003" s="7" t="s">
        <v>231</v>
      </c>
      <c r="BA2003" s="7" t="s">
        <v>231</v>
      </c>
      <c r="BB2003" s="7"/>
      <c r="BC2003" s="4" t="s">
        <v>231</v>
      </c>
      <c r="BD2003" s="8" t="s">
        <v>231</v>
      </c>
      <c r="BE2003" s="4" t="s">
        <v>231</v>
      </c>
      <c r="BF2003" s="8" t="s">
        <v>231</v>
      </c>
      <c r="BG2003" s="7" t="s">
        <v>231</v>
      </c>
      <c r="BH2003" s="7" t="s">
        <v>231</v>
      </c>
      <c r="BI2003" s="7"/>
      <c r="BJ2003" s="4">
        <v>9</v>
      </c>
      <c r="BK2003" s="8">
        <v>280</v>
      </c>
      <c r="BL2003" s="2" t="s">
        <v>8475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8976</v>
      </c>
      <c r="BV2003" s="2" t="s">
        <v>231</v>
      </c>
      <c r="BW2003" s="2" t="s">
        <v>231</v>
      </c>
      <c r="BX2003" s="2" t="s">
        <v>241</v>
      </c>
      <c r="BY2003" s="2" t="s">
        <v>277</v>
      </c>
      <c r="BZ2003" s="2" t="s">
        <v>243</v>
      </c>
      <c r="CA2003" s="2" t="s">
        <v>284</v>
      </c>
      <c r="CB2003" s="2" t="s">
        <v>8826</v>
      </c>
      <c r="CC2003" s="2" t="s">
        <v>244</v>
      </c>
      <c r="CD2003" s="2" t="s">
        <v>231</v>
      </c>
      <c r="CE2003" s="4">
        <v>144</v>
      </c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>
        <v>60</v>
      </c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>
        <v>260</v>
      </c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>
        <v>130</v>
      </c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  <c r="HG2003" s="4"/>
      <c r="HH2003" s="4"/>
      <c r="HI2003" s="4"/>
      <c r="HJ2003" s="4"/>
      <c r="HK2003" s="4"/>
      <c r="HL2003" s="4"/>
    </row>
    <row r="2004">
      <c r="A2004" s="2" t="s">
        <v>8977</v>
      </c>
      <c r="B2004" s="2" t="s">
        <v>287</v>
      </c>
      <c r="C2004" s="2" t="s">
        <v>965</v>
      </c>
      <c r="D2004" s="2" t="s">
        <v>289</v>
      </c>
      <c r="E2004" s="2" t="s">
        <v>290</v>
      </c>
      <c r="F2004" s="2" t="s">
        <v>8759</v>
      </c>
      <c r="G2004" s="2" t="s">
        <v>8759</v>
      </c>
      <c r="H2004" s="2" t="s">
        <v>8759</v>
      </c>
      <c r="I2004" s="2" t="s">
        <v>359</v>
      </c>
      <c r="J2004" s="2" t="s">
        <v>302</v>
      </c>
      <c r="K2004" s="2" t="s">
        <v>1513</v>
      </c>
      <c r="L2004" s="3">
        <v>31.2</v>
      </c>
      <c r="M2004" s="3">
        <v>32.76</v>
      </c>
      <c r="N2004" s="3">
        <v>64.99</v>
      </c>
      <c r="O2004" s="2" t="s">
        <v>243</v>
      </c>
      <c r="P2004" s="2" t="s">
        <v>270</v>
      </c>
      <c r="Q2004" s="2" t="s">
        <v>237</v>
      </c>
      <c r="R2004" s="2" t="s">
        <v>231</v>
      </c>
      <c r="S2004" s="2" t="s">
        <v>8966</v>
      </c>
      <c r="T2004" s="2" t="s">
        <v>595</v>
      </c>
      <c r="U2004" s="2" t="s">
        <v>298</v>
      </c>
      <c r="V2004" s="2" t="s">
        <v>239</v>
      </c>
      <c r="W2004" s="2" t="s">
        <v>273</v>
      </c>
      <c r="X2004" s="2" t="s">
        <v>691</v>
      </c>
      <c r="Y2004" s="2" t="s">
        <v>274</v>
      </c>
      <c r="Z2004" s="4">
        <v>172</v>
      </c>
      <c r="AA2004" s="4">
        <f>=ROUNDDOWN(15.6363636363636,0)</f>
      </c>
      <c r="AB2004" s="5">
        <v>11</v>
      </c>
      <c r="AC2004" s="2" t="s">
        <v>3644</v>
      </c>
      <c r="AD2004" s="4">
        <v>140</v>
      </c>
      <c r="AE2004" s="4">
        <v>210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231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231</v>
      </c>
      <c r="AW2004" s="8" t="s">
        <v>231</v>
      </c>
      <c r="AX2004" s="4" t="s">
        <v>231</v>
      </c>
      <c r="AY2004" s="8" t="s">
        <v>231</v>
      </c>
      <c r="AZ2004" s="7" t="s">
        <v>231</v>
      </c>
      <c r="BA2004" s="7" t="s">
        <v>231</v>
      </c>
      <c r="BB2004" s="7"/>
      <c r="BC2004" s="4" t="s">
        <v>231</v>
      </c>
      <c r="BD2004" s="8" t="s">
        <v>231</v>
      </c>
      <c r="BE2004" s="4" t="s">
        <v>231</v>
      </c>
      <c r="BF2004" s="8" t="s">
        <v>231</v>
      </c>
      <c r="BG2004" s="7" t="s">
        <v>231</v>
      </c>
      <c r="BH2004" s="7" t="s">
        <v>231</v>
      </c>
      <c r="BI2004" s="7"/>
      <c r="BJ2004" s="4">
        <v>2</v>
      </c>
      <c r="BK2004" s="8">
        <v>68.76</v>
      </c>
      <c r="BL2004" s="2" t="s">
        <v>6891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8978</v>
      </c>
      <c r="BV2004" s="2" t="s">
        <v>231</v>
      </c>
      <c r="BW2004" s="2" t="s">
        <v>231</v>
      </c>
      <c r="BX2004" s="2" t="s">
        <v>241</v>
      </c>
      <c r="BY2004" s="2" t="s">
        <v>277</v>
      </c>
      <c r="BZ2004" s="2" t="s">
        <v>243</v>
      </c>
      <c r="CA2004" s="2" t="s">
        <v>284</v>
      </c>
      <c r="CB2004" s="2" t="s">
        <v>8979</v>
      </c>
      <c r="CC2004" s="2" t="s">
        <v>244</v>
      </c>
      <c r="CD2004" s="2" t="s">
        <v>231</v>
      </c>
      <c r="CE2004" s="4">
        <v>172</v>
      </c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>
        <v>140</v>
      </c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>
        <v>70</v>
      </c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  <c r="HG2004" s="4"/>
      <c r="HH2004" s="4"/>
      <c r="HI2004" s="4"/>
      <c r="HJ2004" s="4"/>
      <c r="HK2004" s="4"/>
      <c r="HL2004" s="4"/>
    </row>
    <row r="2005">
      <c r="A2005" s="2" t="s">
        <v>8980</v>
      </c>
      <c r="B2005" s="2" t="s">
        <v>287</v>
      </c>
      <c r="C2005" s="2" t="s">
        <v>965</v>
      </c>
      <c r="D2005" s="2" t="s">
        <v>289</v>
      </c>
      <c r="E2005" s="2" t="s">
        <v>290</v>
      </c>
      <c r="F2005" s="2" t="s">
        <v>8759</v>
      </c>
      <c r="G2005" s="2" t="s">
        <v>8759</v>
      </c>
      <c r="H2005" s="2" t="s">
        <v>8759</v>
      </c>
      <c r="I2005" s="2" t="s">
        <v>359</v>
      </c>
      <c r="J2005" s="2" t="s">
        <v>304</v>
      </c>
      <c r="K2005" s="2" t="s">
        <v>1513</v>
      </c>
      <c r="L2005" s="3">
        <v>31.85</v>
      </c>
      <c r="M2005" s="3">
        <v>33.44</v>
      </c>
      <c r="N2005" s="3">
        <v>64.99</v>
      </c>
      <c r="O2005" s="2" t="s">
        <v>243</v>
      </c>
      <c r="P2005" s="2" t="s">
        <v>270</v>
      </c>
      <c r="Q2005" s="2" t="s">
        <v>237</v>
      </c>
      <c r="R2005" s="2" t="s">
        <v>231</v>
      </c>
      <c r="S2005" s="2" t="s">
        <v>8966</v>
      </c>
      <c r="T2005" s="2" t="s">
        <v>595</v>
      </c>
      <c r="U2005" s="2" t="s">
        <v>298</v>
      </c>
      <c r="V2005" s="2" t="s">
        <v>239</v>
      </c>
      <c r="W2005" s="2" t="s">
        <v>273</v>
      </c>
      <c r="X2005" s="2" t="s">
        <v>691</v>
      </c>
      <c r="Y2005" s="2" t="s">
        <v>274</v>
      </c>
      <c r="Z2005" s="4"/>
      <c r="AA2005" s="4">
        <f>=ROUNDDOWN({0},0)</f>
      </c>
      <c r="AB2005" s="5">
        <v>5</v>
      </c>
      <c r="AC2005" s="2" t="s">
        <v>701</v>
      </c>
      <c r="AD2005" s="4">
        <v>50</v>
      </c>
      <c r="AE2005" s="4">
        <v>180</v>
      </c>
      <c r="AF2005" s="6">
        <v>65</v>
      </c>
      <c r="AG2005" s="6"/>
      <c r="AH2005" s="7">
        <v>0</v>
      </c>
      <c r="AI2005" s="4"/>
      <c r="AJ2005" s="4">
        <f>=ROUNDDOWN({0},0)</f>
      </c>
      <c r="AK2005" s="5"/>
      <c r="AL2005" s="2" t="s">
        <v>231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231</v>
      </c>
      <c r="AW2005" s="8" t="s">
        <v>231</v>
      </c>
      <c r="AX2005" s="4" t="s">
        <v>231</v>
      </c>
      <c r="AY2005" s="8" t="s">
        <v>231</v>
      </c>
      <c r="AZ2005" s="7" t="s">
        <v>231</v>
      </c>
      <c r="BA2005" s="7" t="s">
        <v>231</v>
      </c>
      <c r="BB2005" s="7"/>
      <c r="BC2005" s="4" t="s">
        <v>231</v>
      </c>
      <c r="BD2005" s="8" t="s">
        <v>231</v>
      </c>
      <c r="BE2005" s="4" t="s">
        <v>231</v>
      </c>
      <c r="BF2005" s="8" t="s">
        <v>231</v>
      </c>
      <c r="BG2005" s="7" t="s">
        <v>231</v>
      </c>
      <c r="BH2005" s="7" t="s">
        <v>231</v>
      </c>
      <c r="BI2005" s="7"/>
      <c r="BJ2005" s="4"/>
      <c r="BK2005" s="8"/>
      <c r="BL2005" s="2" t="s">
        <v>231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8981</v>
      </c>
      <c r="BV2005" s="2" t="s">
        <v>231</v>
      </c>
      <c r="BW2005" s="2" t="s">
        <v>231</v>
      </c>
      <c r="BX2005" s="2" t="s">
        <v>241</v>
      </c>
      <c r="BY2005" s="2" t="s">
        <v>277</v>
      </c>
      <c r="BZ2005" s="2" t="s">
        <v>243</v>
      </c>
      <c r="CA2005" s="2" t="s">
        <v>284</v>
      </c>
      <c r="CB2005" s="2" t="s">
        <v>8982</v>
      </c>
      <c r="CC2005" s="2" t="s">
        <v>244</v>
      </c>
      <c r="CD2005" s="2" t="s">
        <v>231</v>
      </c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>
        <v>50</v>
      </c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>
        <v>100</v>
      </c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>
        <v>30</v>
      </c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  <c r="HG2005" s="4"/>
      <c r="HH2005" s="4"/>
      <c r="HI2005" s="4"/>
      <c r="HJ2005" s="4"/>
      <c r="HK2005" s="4"/>
      <c r="HL2005" s="4"/>
    </row>
    <row r="2006">
      <c r="A2006" s="2" t="s">
        <v>8983</v>
      </c>
      <c r="B2006" s="2" t="s">
        <v>226</v>
      </c>
      <c r="C2006" s="2" t="s">
        <v>965</v>
      </c>
      <c r="D2006" s="2" t="s">
        <v>228</v>
      </c>
      <c r="E2006" s="2" t="s">
        <v>229</v>
      </c>
      <c r="F2006" s="2" t="s">
        <v>8759</v>
      </c>
      <c r="G2006" s="2" t="s">
        <v>8759</v>
      </c>
      <c r="H2006" s="2" t="s">
        <v>8759</v>
      </c>
      <c r="I2006" s="2" t="s">
        <v>229</v>
      </c>
      <c r="J2006" s="2" t="s">
        <v>318</v>
      </c>
      <c r="K2006" s="2" t="s">
        <v>1369</v>
      </c>
      <c r="L2006" s="3">
        <v>10.75</v>
      </c>
      <c r="M2006" s="3">
        <v>11.29</v>
      </c>
      <c r="N2006" s="3">
        <v>24.99</v>
      </c>
      <c r="O2006" s="2" t="s">
        <v>235</v>
      </c>
      <c r="P2006" s="2" t="s">
        <v>917</v>
      </c>
      <c r="Q2006" s="2" t="s">
        <v>237</v>
      </c>
      <c r="R2006" s="2" t="s">
        <v>231</v>
      </c>
      <c r="S2006" s="2" t="s">
        <v>8984</v>
      </c>
      <c r="T2006" s="2" t="s">
        <v>595</v>
      </c>
      <c r="U2006" s="2" t="s">
        <v>231</v>
      </c>
      <c r="V2006" s="2" t="s">
        <v>1304</v>
      </c>
      <c r="W2006" s="2" t="s">
        <v>273</v>
      </c>
      <c r="X2006" s="2" t="s">
        <v>897</v>
      </c>
      <c r="Y2006" s="2" t="s">
        <v>274</v>
      </c>
      <c r="Z2006" s="4">
        <v>58</v>
      </c>
      <c r="AA2006" s="4">
        <f>=ROUNDDOWN(11.3725490196078,0)</f>
      </c>
      <c r="AB2006" s="5">
        <v>5.1</v>
      </c>
      <c r="AC2006" s="2" t="s">
        <v>231</v>
      </c>
      <c r="AD2006" s="4"/>
      <c r="AE2006" s="4"/>
      <c r="AF2006" s="6">
        <v>64</v>
      </c>
      <c r="AG2006" s="6"/>
      <c r="AH2006" s="7">
        <v>1</v>
      </c>
      <c r="AI2006" s="4"/>
      <c r="AJ2006" s="4">
        <f>=ROUNDDOWN({0},0)</f>
      </c>
      <c r="AK2006" s="5"/>
      <c r="AL2006" s="2" t="s">
        <v>231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 t="s">
        <v>231</v>
      </c>
      <c r="BD2006" s="8" t="s">
        <v>231</v>
      </c>
      <c r="BE2006" s="4" t="s">
        <v>231</v>
      </c>
      <c r="BF2006" s="8" t="s">
        <v>231</v>
      </c>
      <c r="BG2006" s="7" t="s">
        <v>231</v>
      </c>
      <c r="BH2006" s="7" t="s">
        <v>231</v>
      </c>
      <c r="BI2006" s="7"/>
      <c r="BJ2006" s="4">
        <v>14</v>
      </c>
      <c r="BK2006" s="8">
        <v>144.95</v>
      </c>
      <c r="BL2006" s="2" t="s">
        <v>8985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8986</v>
      </c>
      <c r="BV2006" s="2" t="s">
        <v>231</v>
      </c>
      <c r="BW2006" s="2" t="s">
        <v>231</v>
      </c>
      <c r="BX2006" s="2" t="s">
        <v>231</v>
      </c>
      <c r="BY2006" s="2" t="s">
        <v>277</v>
      </c>
      <c r="BZ2006" s="2" t="s">
        <v>243</v>
      </c>
      <c r="CA2006" s="2" t="s">
        <v>284</v>
      </c>
      <c r="CB2006" s="2" t="s">
        <v>576</v>
      </c>
      <c r="CC2006" s="2" t="s">
        <v>244</v>
      </c>
      <c r="CD2006" s="2" t="s">
        <v>231</v>
      </c>
      <c r="CE2006" s="4">
        <v>58</v>
      </c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  <c r="HG2006" s="4"/>
      <c r="HH2006" s="4"/>
      <c r="HI2006" s="4"/>
      <c r="HJ2006" s="4"/>
      <c r="HK2006" s="4"/>
      <c r="HL2006" s="4"/>
    </row>
    <row r="2007">
      <c r="A2007" s="2" t="s">
        <v>8987</v>
      </c>
      <c r="B2007" s="2" t="s">
        <v>287</v>
      </c>
      <c r="C2007" s="2" t="s">
        <v>825</v>
      </c>
      <c r="D2007" s="2" t="s">
        <v>289</v>
      </c>
      <c r="E2007" s="2" t="s">
        <v>290</v>
      </c>
      <c r="F2007" s="2" t="s">
        <v>472</v>
      </c>
      <c r="G2007" s="2" t="s">
        <v>472</v>
      </c>
      <c r="H2007" s="2" t="s">
        <v>472</v>
      </c>
      <c r="I2007" s="2" t="s">
        <v>8988</v>
      </c>
      <c r="J2007" s="2" t="s">
        <v>318</v>
      </c>
      <c r="K2007" s="2" t="s">
        <v>269</v>
      </c>
      <c r="L2007" s="3">
        <v>11.18</v>
      </c>
      <c r="M2007" s="3">
        <v>11.74</v>
      </c>
      <c r="N2007" s="3">
        <v>27.99</v>
      </c>
      <c r="O2007" s="2" t="s">
        <v>243</v>
      </c>
      <c r="P2007" s="2" t="s">
        <v>270</v>
      </c>
      <c r="Q2007" s="2" t="s">
        <v>237</v>
      </c>
      <c r="R2007" s="2" t="s">
        <v>231</v>
      </c>
      <c r="S2007" s="2" t="s">
        <v>8989</v>
      </c>
      <c r="T2007" s="2" t="s">
        <v>472</v>
      </c>
      <c r="U2007" s="2" t="s">
        <v>835</v>
      </c>
      <c r="V2007" s="2" t="s">
        <v>239</v>
      </c>
      <c r="W2007" s="2" t="s">
        <v>273</v>
      </c>
      <c r="X2007" s="2" t="s">
        <v>231</v>
      </c>
      <c r="Y2007" s="2" t="s">
        <v>8625</v>
      </c>
      <c r="Z2007" s="4">
        <v>110</v>
      </c>
      <c r="AA2007" s="4">
        <f>=ROUNDDOWN(22,0)</f>
      </c>
      <c r="AB2007" s="5">
        <v>5</v>
      </c>
      <c r="AC2007" s="2" t="s">
        <v>1458</v>
      </c>
      <c r="AD2007" s="4">
        <v>40</v>
      </c>
      <c r="AE2007" s="4">
        <v>40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231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231</v>
      </c>
      <c r="AW2007" s="8" t="s">
        <v>231</v>
      </c>
      <c r="AX2007" s="4" t="s">
        <v>231</v>
      </c>
      <c r="AY2007" s="8" t="s">
        <v>231</v>
      </c>
      <c r="AZ2007" s="7" t="s">
        <v>231</v>
      </c>
      <c r="BA2007" s="7" t="s">
        <v>231</v>
      </c>
      <c r="BB2007" s="7"/>
      <c r="BC2007" s="4" t="s">
        <v>231</v>
      </c>
      <c r="BD2007" s="8" t="s">
        <v>231</v>
      </c>
      <c r="BE2007" s="4" t="s">
        <v>231</v>
      </c>
      <c r="BF2007" s="8" t="s">
        <v>231</v>
      </c>
      <c r="BG2007" s="7" t="s">
        <v>231</v>
      </c>
      <c r="BH2007" s="7" t="s">
        <v>231</v>
      </c>
      <c r="BI2007" s="7"/>
      <c r="BJ2007" s="4">
        <v>4</v>
      </c>
      <c r="BK2007" s="8">
        <v>49.32</v>
      </c>
      <c r="BL2007" s="2" t="s">
        <v>1120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8990</v>
      </c>
      <c r="BV2007" s="2" t="s">
        <v>231</v>
      </c>
      <c r="BW2007" s="2" t="s">
        <v>231</v>
      </c>
      <c r="BX2007" s="2" t="s">
        <v>241</v>
      </c>
      <c r="BY2007" s="2" t="s">
        <v>277</v>
      </c>
      <c r="BZ2007" s="2" t="s">
        <v>243</v>
      </c>
      <c r="CA2007" s="2" t="s">
        <v>386</v>
      </c>
      <c r="CB2007" s="2" t="s">
        <v>8599</v>
      </c>
      <c r="CC2007" s="2" t="s">
        <v>244</v>
      </c>
      <c r="CD2007" s="2" t="s">
        <v>231</v>
      </c>
      <c r="CE2007" s="4">
        <v>110</v>
      </c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>
        <v>40</v>
      </c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  <c r="HG2007" s="4"/>
      <c r="HH2007" s="4"/>
      <c r="HI2007" s="4"/>
      <c r="HJ2007" s="4"/>
      <c r="HK2007" s="4"/>
      <c r="HL2007" s="4"/>
    </row>
    <row r="2008">
      <c r="A2008" s="2" t="s">
        <v>8991</v>
      </c>
      <c r="B2008" s="2" t="s">
        <v>287</v>
      </c>
      <c r="C2008" s="2" t="s">
        <v>825</v>
      </c>
      <c r="D2008" s="2" t="s">
        <v>289</v>
      </c>
      <c r="E2008" s="2" t="s">
        <v>290</v>
      </c>
      <c r="F2008" s="2" t="s">
        <v>472</v>
      </c>
      <c r="G2008" s="2" t="s">
        <v>472</v>
      </c>
      <c r="H2008" s="2" t="s">
        <v>472</v>
      </c>
      <c r="I2008" s="2" t="s">
        <v>8988</v>
      </c>
      <c r="J2008" s="2" t="s">
        <v>268</v>
      </c>
      <c r="K2008" s="2" t="s">
        <v>269</v>
      </c>
      <c r="L2008" s="3">
        <v>11.18</v>
      </c>
      <c r="M2008" s="3">
        <v>11.74</v>
      </c>
      <c r="N2008" s="3">
        <v>27.99</v>
      </c>
      <c r="O2008" s="2" t="s">
        <v>243</v>
      </c>
      <c r="P2008" s="2" t="s">
        <v>270</v>
      </c>
      <c r="Q2008" s="2" t="s">
        <v>237</v>
      </c>
      <c r="R2008" s="2" t="s">
        <v>231</v>
      </c>
      <c r="S2008" s="2" t="s">
        <v>8989</v>
      </c>
      <c r="T2008" s="2" t="s">
        <v>472</v>
      </c>
      <c r="U2008" s="2" t="s">
        <v>835</v>
      </c>
      <c r="V2008" s="2" t="s">
        <v>239</v>
      </c>
      <c r="W2008" s="2" t="s">
        <v>273</v>
      </c>
      <c r="X2008" s="2" t="s">
        <v>231</v>
      </c>
      <c r="Y2008" s="2" t="s">
        <v>8625</v>
      </c>
      <c r="Z2008" s="4">
        <v>182</v>
      </c>
      <c r="AA2008" s="4">
        <f>=ROUNDDOWN(91,0)</f>
      </c>
      <c r="AB2008" s="5">
        <v>2</v>
      </c>
      <c r="AC2008" s="2" t="s">
        <v>582</v>
      </c>
      <c r="AD2008" s="4">
        <v>80</v>
      </c>
      <c r="AE2008" s="4">
        <v>120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231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231</v>
      </c>
      <c r="AW2008" s="8" t="s">
        <v>231</v>
      </c>
      <c r="AX2008" s="4" t="s">
        <v>231</v>
      </c>
      <c r="AY2008" s="8" t="s">
        <v>231</v>
      </c>
      <c r="AZ2008" s="7" t="s">
        <v>231</v>
      </c>
      <c r="BA2008" s="7" t="s">
        <v>231</v>
      </c>
      <c r="BB2008" s="7"/>
      <c r="BC2008" s="4" t="s">
        <v>231</v>
      </c>
      <c r="BD2008" s="8" t="s">
        <v>231</v>
      </c>
      <c r="BE2008" s="4" t="s">
        <v>231</v>
      </c>
      <c r="BF2008" s="8" t="s">
        <v>231</v>
      </c>
      <c r="BG2008" s="7" t="s">
        <v>231</v>
      </c>
      <c r="BH2008" s="7" t="s">
        <v>231</v>
      </c>
      <c r="BI2008" s="7"/>
      <c r="BJ2008" s="4">
        <v>5</v>
      </c>
      <c r="BK2008" s="8">
        <v>70.63</v>
      </c>
      <c r="BL2008" s="2" t="s">
        <v>8992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8993</v>
      </c>
      <c r="BV2008" s="2" t="s">
        <v>231</v>
      </c>
      <c r="BW2008" s="2" t="s">
        <v>231</v>
      </c>
      <c r="BX2008" s="2" t="s">
        <v>241</v>
      </c>
      <c r="BY2008" s="2" t="s">
        <v>277</v>
      </c>
      <c r="BZ2008" s="2" t="s">
        <v>243</v>
      </c>
      <c r="CA2008" s="2" t="s">
        <v>386</v>
      </c>
      <c r="CB2008" s="2" t="s">
        <v>231</v>
      </c>
      <c r="CC2008" s="2" t="s">
        <v>244</v>
      </c>
      <c r="CD2008" s="2" t="s">
        <v>231</v>
      </c>
      <c r="CE2008" s="4">
        <v>182</v>
      </c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>
        <v>80</v>
      </c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>
        <v>40</v>
      </c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  <c r="HG2008" s="4"/>
      <c r="HH2008" s="4"/>
      <c r="HI2008" s="4"/>
      <c r="HJ2008" s="4"/>
      <c r="HK2008" s="4"/>
      <c r="HL2008" s="4"/>
    </row>
    <row r="2009">
      <c r="A2009" s="2" t="s">
        <v>8994</v>
      </c>
      <c r="B2009" s="2" t="s">
        <v>287</v>
      </c>
      <c r="C2009" s="2" t="s">
        <v>825</v>
      </c>
      <c r="D2009" s="2" t="s">
        <v>289</v>
      </c>
      <c r="E2009" s="2" t="s">
        <v>290</v>
      </c>
      <c r="F2009" s="2" t="s">
        <v>472</v>
      </c>
      <c r="G2009" s="2" t="s">
        <v>472</v>
      </c>
      <c r="H2009" s="2" t="s">
        <v>472</v>
      </c>
      <c r="I2009" s="2" t="s">
        <v>8988</v>
      </c>
      <c r="J2009" s="2" t="s">
        <v>281</v>
      </c>
      <c r="K2009" s="2" t="s">
        <v>269</v>
      </c>
      <c r="L2009" s="3">
        <v>12.92</v>
      </c>
      <c r="M2009" s="3">
        <v>13.57</v>
      </c>
      <c r="N2009" s="3">
        <v>30.99</v>
      </c>
      <c r="O2009" s="2" t="s">
        <v>243</v>
      </c>
      <c r="P2009" s="2" t="s">
        <v>270</v>
      </c>
      <c r="Q2009" s="2" t="s">
        <v>237</v>
      </c>
      <c r="R2009" s="2" t="s">
        <v>231</v>
      </c>
      <c r="S2009" s="2" t="s">
        <v>8989</v>
      </c>
      <c r="T2009" s="2" t="s">
        <v>472</v>
      </c>
      <c r="U2009" s="2" t="s">
        <v>298</v>
      </c>
      <c r="V2009" s="2" t="s">
        <v>239</v>
      </c>
      <c r="W2009" s="2" t="s">
        <v>273</v>
      </c>
      <c r="X2009" s="2" t="s">
        <v>231</v>
      </c>
      <c r="Y2009" s="2" t="s">
        <v>8625</v>
      </c>
      <c r="Z2009" s="4">
        <v>90</v>
      </c>
      <c r="AA2009" s="4">
        <f>=ROUNDDOWN(22.5,0)</f>
      </c>
      <c r="AB2009" s="5">
        <v>4</v>
      </c>
      <c r="AC2009" s="2" t="s">
        <v>582</v>
      </c>
      <c r="AD2009" s="4">
        <v>50</v>
      </c>
      <c r="AE2009" s="4">
        <v>100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231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231</v>
      </c>
      <c r="AW2009" s="8" t="s">
        <v>231</v>
      </c>
      <c r="AX2009" s="4" t="s">
        <v>231</v>
      </c>
      <c r="AY2009" s="8" t="s">
        <v>231</v>
      </c>
      <c r="AZ2009" s="7" t="s">
        <v>231</v>
      </c>
      <c r="BA2009" s="7" t="s">
        <v>231</v>
      </c>
      <c r="BB2009" s="7"/>
      <c r="BC2009" s="4" t="s">
        <v>231</v>
      </c>
      <c r="BD2009" s="8" t="s">
        <v>231</v>
      </c>
      <c r="BE2009" s="4" t="s">
        <v>231</v>
      </c>
      <c r="BF2009" s="8" t="s">
        <v>231</v>
      </c>
      <c r="BG2009" s="7" t="s">
        <v>231</v>
      </c>
      <c r="BH2009" s="7" t="s">
        <v>231</v>
      </c>
      <c r="BI2009" s="7"/>
      <c r="BJ2009" s="4">
        <v>5</v>
      </c>
      <c r="BK2009" s="8">
        <v>71.77</v>
      </c>
      <c r="BL2009" s="2" t="s">
        <v>8995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8996</v>
      </c>
      <c r="BV2009" s="2" t="s">
        <v>231</v>
      </c>
      <c r="BW2009" s="2" t="s">
        <v>231</v>
      </c>
      <c r="BX2009" s="2" t="s">
        <v>241</v>
      </c>
      <c r="BY2009" s="2" t="s">
        <v>277</v>
      </c>
      <c r="BZ2009" s="2" t="s">
        <v>243</v>
      </c>
      <c r="CA2009" s="2" t="s">
        <v>386</v>
      </c>
      <c r="CB2009" s="2" t="s">
        <v>387</v>
      </c>
      <c r="CC2009" s="2" t="s">
        <v>244</v>
      </c>
      <c r="CD2009" s="2" t="s">
        <v>231</v>
      </c>
      <c r="CE2009" s="4">
        <v>90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>
        <v>50</v>
      </c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>
        <v>50</v>
      </c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4"/>
      <c r="HH2009" s="4"/>
      <c r="HI2009" s="4"/>
      <c r="HJ2009" s="4"/>
      <c r="HK2009" s="4"/>
      <c r="HL2009" s="4"/>
    </row>
    <row r="2010">
      <c r="A2010" s="2" t="s">
        <v>8997</v>
      </c>
      <c r="B2010" s="2" t="s">
        <v>287</v>
      </c>
      <c r="C2010" s="2" t="s">
        <v>825</v>
      </c>
      <c r="D2010" s="2" t="s">
        <v>289</v>
      </c>
      <c r="E2010" s="2" t="s">
        <v>290</v>
      </c>
      <c r="F2010" s="2" t="s">
        <v>472</v>
      </c>
      <c r="G2010" s="2" t="s">
        <v>472</v>
      </c>
      <c r="H2010" s="2" t="s">
        <v>472</v>
      </c>
      <c r="I2010" s="2" t="s">
        <v>8988</v>
      </c>
      <c r="J2010" s="2" t="s">
        <v>293</v>
      </c>
      <c r="K2010" s="2" t="s">
        <v>269</v>
      </c>
      <c r="L2010" s="3">
        <v>14.21</v>
      </c>
      <c r="M2010" s="3">
        <v>14.92</v>
      </c>
      <c r="N2010" s="3">
        <v>32.99</v>
      </c>
      <c r="O2010" s="2" t="s">
        <v>243</v>
      </c>
      <c r="P2010" s="2" t="s">
        <v>270</v>
      </c>
      <c r="Q2010" s="2" t="s">
        <v>237</v>
      </c>
      <c r="R2010" s="2" t="s">
        <v>231</v>
      </c>
      <c r="S2010" s="2" t="s">
        <v>8989</v>
      </c>
      <c r="T2010" s="2" t="s">
        <v>472</v>
      </c>
      <c r="U2010" s="2" t="s">
        <v>298</v>
      </c>
      <c r="V2010" s="2" t="s">
        <v>239</v>
      </c>
      <c r="W2010" s="2" t="s">
        <v>273</v>
      </c>
      <c r="X2010" s="2" t="s">
        <v>231</v>
      </c>
      <c r="Y2010" s="2" t="s">
        <v>8625</v>
      </c>
      <c r="Z2010" s="4">
        <v>158</v>
      </c>
      <c r="AA2010" s="4">
        <f>=ROUNDDOWN(26.3333333333333,0)</f>
      </c>
      <c r="AB2010" s="5">
        <v>6</v>
      </c>
      <c r="AC2010" s="2" t="s">
        <v>1458</v>
      </c>
      <c r="AD2010" s="4">
        <v>80</v>
      </c>
      <c r="AE2010" s="4">
        <v>80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231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231</v>
      </c>
      <c r="AW2010" s="8" t="s">
        <v>231</v>
      </c>
      <c r="AX2010" s="4" t="s">
        <v>231</v>
      </c>
      <c r="AY2010" s="8" t="s">
        <v>231</v>
      </c>
      <c r="AZ2010" s="7" t="s">
        <v>231</v>
      </c>
      <c r="BA2010" s="7" t="s">
        <v>231</v>
      </c>
      <c r="BB2010" s="7"/>
      <c r="BC2010" s="4" t="s">
        <v>231</v>
      </c>
      <c r="BD2010" s="8" t="s">
        <v>231</v>
      </c>
      <c r="BE2010" s="4" t="s">
        <v>231</v>
      </c>
      <c r="BF2010" s="8" t="s">
        <v>231</v>
      </c>
      <c r="BG2010" s="7" t="s">
        <v>231</v>
      </c>
      <c r="BH2010" s="7" t="s">
        <v>231</v>
      </c>
      <c r="BI2010" s="7"/>
      <c r="BJ2010" s="4">
        <v>10</v>
      </c>
      <c r="BK2010" s="8">
        <v>168.89</v>
      </c>
      <c r="BL2010" s="2" t="s">
        <v>8998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8999</v>
      </c>
      <c r="BV2010" s="2" t="s">
        <v>231</v>
      </c>
      <c r="BW2010" s="2" t="s">
        <v>231</v>
      </c>
      <c r="BX2010" s="2" t="s">
        <v>241</v>
      </c>
      <c r="BY2010" s="2" t="s">
        <v>277</v>
      </c>
      <c r="BZ2010" s="2" t="s">
        <v>243</v>
      </c>
      <c r="CA2010" s="2" t="s">
        <v>386</v>
      </c>
      <c r="CB2010" s="2" t="s">
        <v>2100</v>
      </c>
      <c r="CC2010" s="2" t="s">
        <v>244</v>
      </c>
      <c r="CD2010" s="2" t="s">
        <v>231</v>
      </c>
      <c r="CE2010" s="4">
        <v>158</v>
      </c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>
        <v>80</v>
      </c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  <c r="HG2010" s="4"/>
      <c r="HH2010" s="4"/>
      <c r="HI2010" s="4"/>
      <c r="HJ2010" s="4"/>
      <c r="HK2010" s="4"/>
      <c r="HL2010" s="4"/>
    </row>
    <row r="2011">
      <c r="A2011" s="2" t="s">
        <v>9000</v>
      </c>
      <c r="B2011" s="2" t="s">
        <v>287</v>
      </c>
      <c r="C2011" s="2" t="s">
        <v>825</v>
      </c>
      <c r="D2011" s="2" t="s">
        <v>289</v>
      </c>
      <c r="E2011" s="2" t="s">
        <v>290</v>
      </c>
      <c r="F2011" s="2" t="s">
        <v>472</v>
      </c>
      <c r="G2011" s="2" t="s">
        <v>472</v>
      </c>
      <c r="H2011" s="2" t="s">
        <v>472</v>
      </c>
      <c r="I2011" s="2" t="s">
        <v>8988</v>
      </c>
      <c r="J2011" s="2" t="s">
        <v>302</v>
      </c>
      <c r="K2011" s="2" t="s">
        <v>269</v>
      </c>
      <c r="L2011" s="3">
        <v>16.75</v>
      </c>
      <c r="M2011" s="3">
        <v>17.59</v>
      </c>
      <c r="N2011" s="3">
        <v>37.99</v>
      </c>
      <c r="O2011" s="2" t="s">
        <v>243</v>
      </c>
      <c r="P2011" s="2" t="s">
        <v>270</v>
      </c>
      <c r="Q2011" s="2" t="s">
        <v>237</v>
      </c>
      <c r="R2011" s="2" t="s">
        <v>231</v>
      </c>
      <c r="S2011" s="2" t="s">
        <v>8989</v>
      </c>
      <c r="T2011" s="2" t="s">
        <v>472</v>
      </c>
      <c r="U2011" s="2" t="s">
        <v>298</v>
      </c>
      <c r="V2011" s="2" t="s">
        <v>239</v>
      </c>
      <c r="W2011" s="2" t="s">
        <v>273</v>
      </c>
      <c r="X2011" s="2" t="s">
        <v>231</v>
      </c>
      <c r="Y2011" s="2" t="s">
        <v>8625</v>
      </c>
      <c r="Z2011" s="4">
        <v>53</v>
      </c>
      <c r="AA2011" s="4">
        <f>=ROUNDDOWN(17.6666666666667,0)</f>
      </c>
      <c r="AB2011" s="5">
        <v>3</v>
      </c>
      <c r="AC2011" s="2" t="s">
        <v>582</v>
      </c>
      <c r="AD2011" s="4">
        <v>110</v>
      </c>
      <c r="AE2011" s="4">
        <v>160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231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231</v>
      </c>
      <c r="AW2011" s="8" t="s">
        <v>231</v>
      </c>
      <c r="AX2011" s="4" t="s">
        <v>231</v>
      </c>
      <c r="AY2011" s="8" t="s">
        <v>231</v>
      </c>
      <c r="AZ2011" s="7" t="s">
        <v>231</v>
      </c>
      <c r="BA2011" s="7" t="s">
        <v>231</v>
      </c>
      <c r="BB2011" s="7"/>
      <c r="BC2011" s="4" t="s">
        <v>231</v>
      </c>
      <c r="BD2011" s="8" t="s">
        <v>231</v>
      </c>
      <c r="BE2011" s="4" t="s">
        <v>231</v>
      </c>
      <c r="BF2011" s="8" t="s">
        <v>231</v>
      </c>
      <c r="BG2011" s="7" t="s">
        <v>231</v>
      </c>
      <c r="BH2011" s="7" t="s">
        <v>231</v>
      </c>
      <c r="BI2011" s="7"/>
      <c r="BJ2011" s="4">
        <v>11</v>
      </c>
      <c r="BK2011" s="8">
        <v>209.74</v>
      </c>
      <c r="BL2011" s="2" t="s">
        <v>374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9001</v>
      </c>
      <c r="BV2011" s="2" t="s">
        <v>231</v>
      </c>
      <c r="BW2011" s="2" t="s">
        <v>231</v>
      </c>
      <c r="BX2011" s="2" t="s">
        <v>241</v>
      </c>
      <c r="BY2011" s="2" t="s">
        <v>277</v>
      </c>
      <c r="BZ2011" s="2" t="s">
        <v>243</v>
      </c>
      <c r="CA2011" s="2" t="s">
        <v>386</v>
      </c>
      <c r="CB2011" s="2" t="s">
        <v>231</v>
      </c>
      <c r="CC2011" s="2" t="s">
        <v>244</v>
      </c>
      <c r="CD2011" s="2" t="s">
        <v>231</v>
      </c>
      <c r="CE2011" s="4">
        <v>53</v>
      </c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>
        <v>110</v>
      </c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>
        <v>50</v>
      </c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  <c r="HG2011" s="4"/>
      <c r="HH2011" s="4"/>
      <c r="HI2011" s="4"/>
      <c r="HJ2011" s="4"/>
      <c r="HK2011" s="4"/>
      <c r="HL2011" s="4"/>
    </row>
    <row r="2012">
      <c r="A2012" s="2" t="s">
        <v>9002</v>
      </c>
      <c r="B2012" s="2" t="s">
        <v>287</v>
      </c>
      <c r="C2012" s="2" t="s">
        <v>825</v>
      </c>
      <c r="D2012" s="2" t="s">
        <v>289</v>
      </c>
      <c r="E2012" s="2" t="s">
        <v>290</v>
      </c>
      <c r="F2012" s="2" t="s">
        <v>472</v>
      </c>
      <c r="G2012" s="2" t="s">
        <v>472</v>
      </c>
      <c r="H2012" s="2" t="s">
        <v>472</v>
      </c>
      <c r="I2012" s="2" t="s">
        <v>8988</v>
      </c>
      <c r="J2012" s="2" t="s">
        <v>318</v>
      </c>
      <c r="K2012" s="2" t="s">
        <v>486</v>
      </c>
      <c r="L2012" s="3">
        <v>11.18</v>
      </c>
      <c r="M2012" s="3">
        <v>11.74</v>
      </c>
      <c r="N2012" s="3">
        <v>27.99</v>
      </c>
      <c r="O2012" s="2" t="s">
        <v>243</v>
      </c>
      <c r="P2012" s="2" t="s">
        <v>270</v>
      </c>
      <c r="Q2012" s="2" t="s">
        <v>237</v>
      </c>
      <c r="R2012" s="2" t="s">
        <v>231</v>
      </c>
      <c r="S2012" s="2" t="s">
        <v>9003</v>
      </c>
      <c r="T2012" s="2" t="s">
        <v>472</v>
      </c>
      <c r="U2012" s="2" t="s">
        <v>835</v>
      </c>
      <c r="V2012" s="2" t="s">
        <v>239</v>
      </c>
      <c r="W2012" s="2" t="s">
        <v>273</v>
      </c>
      <c r="X2012" s="2" t="s">
        <v>231</v>
      </c>
      <c r="Y2012" s="2" t="s">
        <v>8625</v>
      </c>
      <c r="Z2012" s="4">
        <v>243</v>
      </c>
      <c r="AA2012" s="4">
        <f>=ROUNDDOWN(60.75,0)</f>
      </c>
      <c r="AB2012" s="5">
        <v>4</v>
      </c>
      <c r="AC2012" s="2" t="s">
        <v>231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231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231</v>
      </c>
      <c r="AW2012" s="8" t="s">
        <v>231</v>
      </c>
      <c r="AX2012" s="4" t="s">
        <v>231</v>
      </c>
      <c r="AY2012" s="8" t="s">
        <v>231</v>
      </c>
      <c r="AZ2012" s="7" t="s">
        <v>231</v>
      </c>
      <c r="BA2012" s="7" t="s">
        <v>231</v>
      </c>
      <c r="BB2012" s="7"/>
      <c r="BC2012" s="4" t="s">
        <v>231</v>
      </c>
      <c r="BD2012" s="8" t="s">
        <v>231</v>
      </c>
      <c r="BE2012" s="4" t="s">
        <v>231</v>
      </c>
      <c r="BF2012" s="8" t="s">
        <v>231</v>
      </c>
      <c r="BG2012" s="7" t="s">
        <v>231</v>
      </c>
      <c r="BH2012" s="7" t="s">
        <v>231</v>
      </c>
      <c r="BI2012" s="7"/>
      <c r="BJ2012" s="4">
        <v>9</v>
      </c>
      <c r="BK2012" s="8">
        <v>110.97</v>
      </c>
      <c r="BL2012" s="2" t="s">
        <v>4136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9004</v>
      </c>
      <c r="BV2012" s="2" t="s">
        <v>231</v>
      </c>
      <c r="BW2012" s="2" t="s">
        <v>231</v>
      </c>
      <c r="BX2012" s="2" t="s">
        <v>231</v>
      </c>
      <c r="BY2012" s="2" t="s">
        <v>277</v>
      </c>
      <c r="BZ2012" s="2" t="s">
        <v>243</v>
      </c>
      <c r="CA2012" s="2" t="s">
        <v>386</v>
      </c>
      <c r="CB2012" s="2" t="s">
        <v>3452</v>
      </c>
      <c r="CC2012" s="2" t="s">
        <v>244</v>
      </c>
      <c r="CD2012" s="2" t="s">
        <v>231</v>
      </c>
      <c r="CE2012" s="4">
        <v>243</v>
      </c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  <c r="HG2012" s="4"/>
      <c r="HH2012" s="4"/>
      <c r="HI2012" s="4"/>
      <c r="HJ2012" s="4"/>
      <c r="HK2012" s="4"/>
      <c r="HL2012" s="4"/>
    </row>
    <row r="2013">
      <c r="A2013" s="2" t="s">
        <v>9005</v>
      </c>
      <c r="B2013" s="2" t="s">
        <v>287</v>
      </c>
      <c r="C2013" s="2" t="s">
        <v>825</v>
      </c>
      <c r="D2013" s="2" t="s">
        <v>289</v>
      </c>
      <c r="E2013" s="2" t="s">
        <v>290</v>
      </c>
      <c r="F2013" s="2" t="s">
        <v>472</v>
      </c>
      <c r="G2013" s="2" t="s">
        <v>472</v>
      </c>
      <c r="H2013" s="2" t="s">
        <v>472</v>
      </c>
      <c r="I2013" s="2" t="s">
        <v>8988</v>
      </c>
      <c r="J2013" s="2" t="s">
        <v>268</v>
      </c>
      <c r="K2013" s="2" t="s">
        <v>486</v>
      </c>
      <c r="L2013" s="3">
        <v>11.18</v>
      </c>
      <c r="M2013" s="3">
        <v>11.74</v>
      </c>
      <c r="N2013" s="3">
        <v>27.99</v>
      </c>
      <c r="O2013" s="2" t="s">
        <v>243</v>
      </c>
      <c r="P2013" s="2" t="s">
        <v>270</v>
      </c>
      <c r="Q2013" s="2" t="s">
        <v>237</v>
      </c>
      <c r="R2013" s="2" t="s">
        <v>231</v>
      </c>
      <c r="S2013" s="2" t="s">
        <v>9003</v>
      </c>
      <c r="T2013" s="2" t="s">
        <v>472</v>
      </c>
      <c r="U2013" s="2" t="s">
        <v>835</v>
      </c>
      <c r="V2013" s="2" t="s">
        <v>239</v>
      </c>
      <c r="W2013" s="2" t="s">
        <v>273</v>
      </c>
      <c r="X2013" s="2" t="s">
        <v>231</v>
      </c>
      <c r="Y2013" s="2" t="s">
        <v>8625</v>
      </c>
      <c r="Z2013" s="4">
        <v>272</v>
      </c>
      <c r="AA2013" s="4">
        <f>=ROUNDDOWN(136,0)</f>
      </c>
      <c r="AB2013" s="5">
        <v>2</v>
      </c>
      <c r="AC2013" s="2" t="s">
        <v>231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231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231</v>
      </c>
      <c r="AW2013" s="8" t="s">
        <v>231</v>
      </c>
      <c r="AX2013" s="4" t="s">
        <v>231</v>
      </c>
      <c r="AY2013" s="8" t="s">
        <v>231</v>
      </c>
      <c r="AZ2013" s="7" t="s">
        <v>231</v>
      </c>
      <c r="BA2013" s="7" t="s">
        <v>231</v>
      </c>
      <c r="BB2013" s="7"/>
      <c r="BC2013" s="4" t="s">
        <v>231</v>
      </c>
      <c r="BD2013" s="8" t="s">
        <v>231</v>
      </c>
      <c r="BE2013" s="4" t="s">
        <v>231</v>
      </c>
      <c r="BF2013" s="8" t="s">
        <v>231</v>
      </c>
      <c r="BG2013" s="7" t="s">
        <v>231</v>
      </c>
      <c r="BH2013" s="7" t="s">
        <v>231</v>
      </c>
      <c r="BI2013" s="7"/>
      <c r="BJ2013" s="4">
        <v>3</v>
      </c>
      <c r="BK2013" s="8">
        <v>36.45</v>
      </c>
      <c r="BL2013" s="2" t="s">
        <v>3758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9006</v>
      </c>
      <c r="BV2013" s="2" t="s">
        <v>231</v>
      </c>
      <c r="BW2013" s="2" t="s">
        <v>231</v>
      </c>
      <c r="BX2013" s="2" t="s">
        <v>231</v>
      </c>
      <c r="BY2013" s="2" t="s">
        <v>277</v>
      </c>
      <c r="BZ2013" s="2" t="s">
        <v>243</v>
      </c>
      <c r="CA2013" s="2" t="s">
        <v>386</v>
      </c>
      <c r="CB2013" s="2" t="s">
        <v>231</v>
      </c>
      <c r="CC2013" s="2" t="s">
        <v>244</v>
      </c>
      <c r="CD2013" s="2" t="s">
        <v>231</v>
      </c>
      <c r="CE2013" s="4">
        <v>272</v>
      </c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  <c r="HG2013" s="4"/>
      <c r="HH2013" s="4"/>
      <c r="HI2013" s="4"/>
      <c r="HJ2013" s="4"/>
      <c r="HK2013" s="4"/>
      <c r="HL2013" s="4"/>
    </row>
    <row r="2014">
      <c r="A2014" s="2" t="s">
        <v>9007</v>
      </c>
      <c r="B2014" s="2" t="s">
        <v>287</v>
      </c>
      <c r="C2014" s="2" t="s">
        <v>825</v>
      </c>
      <c r="D2014" s="2" t="s">
        <v>289</v>
      </c>
      <c r="E2014" s="2" t="s">
        <v>290</v>
      </c>
      <c r="F2014" s="2" t="s">
        <v>472</v>
      </c>
      <c r="G2014" s="2" t="s">
        <v>472</v>
      </c>
      <c r="H2014" s="2" t="s">
        <v>472</v>
      </c>
      <c r="I2014" s="2" t="s">
        <v>8988</v>
      </c>
      <c r="J2014" s="2" t="s">
        <v>293</v>
      </c>
      <c r="K2014" s="2" t="s">
        <v>486</v>
      </c>
      <c r="L2014" s="3">
        <v>14.21</v>
      </c>
      <c r="M2014" s="3">
        <v>14.92</v>
      </c>
      <c r="N2014" s="3">
        <v>32.99</v>
      </c>
      <c r="O2014" s="2" t="s">
        <v>243</v>
      </c>
      <c r="P2014" s="2" t="s">
        <v>270</v>
      </c>
      <c r="Q2014" s="2" t="s">
        <v>237</v>
      </c>
      <c r="R2014" s="2" t="s">
        <v>231</v>
      </c>
      <c r="S2014" s="2" t="s">
        <v>9003</v>
      </c>
      <c r="T2014" s="2" t="s">
        <v>472</v>
      </c>
      <c r="U2014" s="2" t="s">
        <v>298</v>
      </c>
      <c r="V2014" s="2" t="s">
        <v>239</v>
      </c>
      <c r="W2014" s="2" t="s">
        <v>273</v>
      </c>
      <c r="X2014" s="2" t="s">
        <v>231</v>
      </c>
      <c r="Y2014" s="2" t="s">
        <v>8625</v>
      </c>
      <c r="Z2014" s="4">
        <v>258</v>
      </c>
      <c r="AA2014" s="4">
        <f>=ROUNDDOWN(32.25,0)</f>
      </c>
      <c r="AB2014" s="5">
        <v>8</v>
      </c>
      <c r="AC2014" s="2" t="s">
        <v>231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231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231</v>
      </c>
      <c r="AW2014" s="8" t="s">
        <v>231</v>
      </c>
      <c r="AX2014" s="4" t="s">
        <v>231</v>
      </c>
      <c r="AY2014" s="8" t="s">
        <v>231</v>
      </c>
      <c r="AZ2014" s="7" t="s">
        <v>231</v>
      </c>
      <c r="BA2014" s="7" t="s">
        <v>231</v>
      </c>
      <c r="BB2014" s="7"/>
      <c r="BC2014" s="4" t="s">
        <v>231</v>
      </c>
      <c r="BD2014" s="8" t="s">
        <v>231</v>
      </c>
      <c r="BE2014" s="4" t="s">
        <v>231</v>
      </c>
      <c r="BF2014" s="8" t="s">
        <v>231</v>
      </c>
      <c r="BG2014" s="7" t="s">
        <v>231</v>
      </c>
      <c r="BH2014" s="7" t="s">
        <v>231</v>
      </c>
      <c r="BI2014" s="7"/>
      <c r="BJ2014" s="4">
        <v>20</v>
      </c>
      <c r="BK2014" s="8">
        <v>313.79</v>
      </c>
      <c r="BL2014" s="2" t="s">
        <v>9008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9009</v>
      </c>
      <c r="BV2014" s="2" t="s">
        <v>231</v>
      </c>
      <c r="BW2014" s="2" t="s">
        <v>231</v>
      </c>
      <c r="BX2014" s="2" t="s">
        <v>231</v>
      </c>
      <c r="BY2014" s="2" t="s">
        <v>277</v>
      </c>
      <c r="BZ2014" s="2" t="s">
        <v>243</v>
      </c>
      <c r="CA2014" s="2" t="s">
        <v>386</v>
      </c>
      <c r="CB2014" s="2" t="s">
        <v>2675</v>
      </c>
      <c r="CC2014" s="2" t="s">
        <v>244</v>
      </c>
      <c r="CD2014" s="2" t="s">
        <v>231</v>
      </c>
      <c r="CE2014" s="4">
        <v>258</v>
      </c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  <c r="HG2014" s="4"/>
      <c r="HH2014" s="4"/>
      <c r="HI2014" s="4"/>
      <c r="HJ2014" s="4"/>
      <c r="HK2014" s="4"/>
      <c r="HL2014" s="4"/>
    </row>
    <row r="2015">
      <c r="A2015" s="2" t="s">
        <v>9010</v>
      </c>
      <c r="B2015" s="2" t="s">
        <v>287</v>
      </c>
      <c r="C2015" s="2" t="s">
        <v>825</v>
      </c>
      <c r="D2015" s="2" t="s">
        <v>289</v>
      </c>
      <c r="E2015" s="2" t="s">
        <v>290</v>
      </c>
      <c r="F2015" s="2" t="s">
        <v>472</v>
      </c>
      <c r="G2015" s="2" t="s">
        <v>472</v>
      </c>
      <c r="H2015" s="2" t="s">
        <v>472</v>
      </c>
      <c r="I2015" s="2" t="s">
        <v>8988</v>
      </c>
      <c r="J2015" s="2" t="s">
        <v>302</v>
      </c>
      <c r="K2015" s="2" t="s">
        <v>486</v>
      </c>
      <c r="L2015" s="3">
        <v>16.75</v>
      </c>
      <c r="M2015" s="3">
        <v>17.59</v>
      </c>
      <c r="N2015" s="3">
        <v>37.99</v>
      </c>
      <c r="O2015" s="2" t="s">
        <v>243</v>
      </c>
      <c r="P2015" s="2" t="s">
        <v>270</v>
      </c>
      <c r="Q2015" s="2" t="s">
        <v>237</v>
      </c>
      <c r="R2015" s="2" t="s">
        <v>231</v>
      </c>
      <c r="S2015" s="2" t="s">
        <v>9003</v>
      </c>
      <c r="T2015" s="2" t="s">
        <v>472</v>
      </c>
      <c r="U2015" s="2" t="s">
        <v>298</v>
      </c>
      <c r="V2015" s="2" t="s">
        <v>239</v>
      </c>
      <c r="W2015" s="2" t="s">
        <v>273</v>
      </c>
      <c r="X2015" s="2" t="s">
        <v>231</v>
      </c>
      <c r="Y2015" s="2" t="s">
        <v>8625</v>
      </c>
      <c r="Z2015" s="4">
        <v>104</v>
      </c>
      <c r="AA2015" s="4">
        <f>=ROUNDDOWN(26,0)</f>
      </c>
      <c r="AB2015" s="5">
        <v>4</v>
      </c>
      <c r="AC2015" s="2" t="s">
        <v>231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231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231</v>
      </c>
      <c r="AW2015" s="8" t="s">
        <v>231</v>
      </c>
      <c r="AX2015" s="4" t="s">
        <v>231</v>
      </c>
      <c r="AY2015" s="8" t="s">
        <v>231</v>
      </c>
      <c r="AZ2015" s="7" t="s">
        <v>231</v>
      </c>
      <c r="BA2015" s="7" t="s">
        <v>231</v>
      </c>
      <c r="BB2015" s="7"/>
      <c r="BC2015" s="4" t="s">
        <v>231</v>
      </c>
      <c r="BD2015" s="8" t="s">
        <v>231</v>
      </c>
      <c r="BE2015" s="4" t="s">
        <v>231</v>
      </c>
      <c r="BF2015" s="8" t="s">
        <v>231</v>
      </c>
      <c r="BG2015" s="7" t="s">
        <v>231</v>
      </c>
      <c r="BH2015" s="7" t="s">
        <v>231</v>
      </c>
      <c r="BI2015" s="7"/>
      <c r="BJ2015" s="4">
        <v>1</v>
      </c>
      <c r="BK2015" s="8">
        <v>17.14</v>
      </c>
      <c r="BL2015" s="2" t="s">
        <v>465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9011</v>
      </c>
      <c r="BV2015" s="2" t="s">
        <v>231</v>
      </c>
      <c r="BW2015" s="2" t="s">
        <v>231</v>
      </c>
      <c r="BX2015" s="2" t="s">
        <v>231</v>
      </c>
      <c r="BY2015" s="2" t="s">
        <v>277</v>
      </c>
      <c r="BZ2015" s="2" t="s">
        <v>243</v>
      </c>
      <c r="CA2015" s="2" t="s">
        <v>386</v>
      </c>
      <c r="CB2015" s="2" t="s">
        <v>7055</v>
      </c>
      <c r="CC2015" s="2" t="s">
        <v>244</v>
      </c>
      <c r="CD2015" s="2" t="s">
        <v>231</v>
      </c>
      <c r="CE2015" s="4">
        <v>104</v>
      </c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  <c r="HG2015" s="4"/>
      <c r="HH2015" s="4"/>
      <c r="HI2015" s="4"/>
      <c r="HJ2015" s="4"/>
      <c r="HK2015" s="4"/>
      <c r="HL2015" s="4"/>
    </row>
    <row r="2016">
      <c r="A2016" s="2" t="s">
        <v>9012</v>
      </c>
      <c r="B2016" s="2" t="s">
        <v>287</v>
      </c>
      <c r="C2016" s="2" t="s">
        <v>825</v>
      </c>
      <c r="D2016" s="2" t="s">
        <v>289</v>
      </c>
      <c r="E2016" s="2" t="s">
        <v>290</v>
      </c>
      <c r="F2016" s="2" t="s">
        <v>472</v>
      </c>
      <c r="G2016" s="2" t="s">
        <v>472</v>
      </c>
      <c r="H2016" s="2" t="s">
        <v>472</v>
      </c>
      <c r="I2016" s="2" t="s">
        <v>9013</v>
      </c>
      <c r="J2016" s="2" t="s">
        <v>318</v>
      </c>
      <c r="K2016" s="2" t="s">
        <v>682</v>
      </c>
      <c r="L2016" s="3">
        <v>12.15</v>
      </c>
      <c r="M2016" s="3">
        <v>12.76</v>
      </c>
      <c r="N2016" s="3">
        <v>26.99</v>
      </c>
      <c r="O2016" s="2" t="s">
        <v>243</v>
      </c>
      <c r="P2016" s="2" t="s">
        <v>270</v>
      </c>
      <c r="Q2016" s="2" t="s">
        <v>237</v>
      </c>
      <c r="R2016" s="2" t="s">
        <v>231</v>
      </c>
      <c r="S2016" s="2" t="s">
        <v>9014</v>
      </c>
      <c r="T2016" s="2" t="s">
        <v>472</v>
      </c>
      <c r="U2016" s="2" t="s">
        <v>298</v>
      </c>
      <c r="V2016" s="2" t="s">
        <v>239</v>
      </c>
      <c r="W2016" s="2" t="s">
        <v>273</v>
      </c>
      <c r="X2016" s="2" t="s">
        <v>691</v>
      </c>
      <c r="Y2016" s="2" t="s">
        <v>9015</v>
      </c>
      <c r="Z2016" s="4">
        <v>308</v>
      </c>
      <c r="AA2016" s="4">
        <f>=ROUNDDOWN(102.666666666667,0)</f>
      </c>
      <c r="AB2016" s="5">
        <v>3</v>
      </c>
      <c r="AC2016" s="2" t="s">
        <v>231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231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231</v>
      </c>
      <c r="AW2016" s="8" t="s">
        <v>231</v>
      </c>
      <c r="AX2016" s="4" t="s">
        <v>231</v>
      </c>
      <c r="AY2016" s="8" t="s">
        <v>231</v>
      </c>
      <c r="AZ2016" s="7" t="s">
        <v>231</v>
      </c>
      <c r="BA2016" s="7" t="s">
        <v>231</v>
      </c>
      <c r="BB2016" s="7"/>
      <c r="BC2016" s="4" t="s">
        <v>231</v>
      </c>
      <c r="BD2016" s="8" t="s">
        <v>231</v>
      </c>
      <c r="BE2016" s="4" t="s">
        <v>231</v>
      </c>
      <c r="BF2016" s="8" t="s">
        <v>231</v>
      </c>
      <c r="BG2016" s="7" t="s">
        <v>231</v>
      </c>
      <c r="BH2016" s="7" t="s">
        <v>231</v>
      </c>
      <c r="BI2016" s="7"/>
      <c r="BJ2016" s="4">
        <v>14</v>
      </c>
      <c r="BK2016" s="8">
        <v>184.14</v>
      </c>
      <c r="BL2016" s="2" t="s">
        <v>3866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9016</v>
      </c>
      <c r="BV2016" s="2" t="s">
        <v>231</v>
      </c>
      <c r="BW2016" s="2" t="s">
        <v>231</v>
      </c>
      <c r="BX2016" s="2" t="s">
        <v>231</v>
      </c>
      <c r="BY2016" s="2" t="s">
        <v>277</v>
      </c>
      <c r="BZ2016" s="2" t="s">
        <v>243</v>
      </c>
      <c r="CA2016" s="2" t="s">
        <v>9017</v>
      </c>
      <c r="CB2016" s="2" t="s">
        <v>6312</v>
      </c>
      <c r="CC2016" s="2" t="s">
        <v>244</v>
      </c>
      <c r="CD2016" s="2" t="s">
        <v>231</v>
      </c>
      <c r="CE2016" s="4">
        <v>308</v>
      </c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  <c r="HG2016" s="4"/>
      <c r="HH2016" s="4"/>
      <c r="HI2016" s="4"/>
      <c r="HJ2016" s="4"/>
      <c r="HK2016" s="4"/>
      <c r="HL2016" s="4"/>
    </row>
    <row r="2017">
      <c r="A2017" s="2" t="s">
        <v>9018</v>
      </c>
      <c r="B2017" s="2" t="s">
        <v>287</v>
      </c>
      <c r="C2017" s="2" t="s">
        <v>825</v>
      </c>
      <c r="D2017" s="2" t="s">
        <v>289</v>
      </c>
      <c r="E2017" s="2" t="s">
        <v>290</v>
      </c>
      <c r="F2017" s="2" t="s">
        <v>472</v>
      </c>
      <c r="G2017" s="2" t="s">
        <v>472</v>
      </c>
      <c r="H2017" s="2" t="s">
        <v>472</v>
      </c>
      <c r="I2017" s="2" t="s">
        <v>8988</v>
      </c>
      <c r="J2017" s="2" t="s">
        <v>268</v>
      </c>
      <c r="K2017" s="2" t="s">
        <v>682</v>
      </c>
      <c r="L2017" s="3">
        <v>11.18</v>
      </c>
      <c r="M2017" s="3">
        <v>11.74</v>
      </c>
      <c r="N2017" s="3">
        <v>27.99</v>
      </c>
      <c r="O2017" s="2" t="s">
        <v>243</v>
      </c>
      <c r="P2017" s="2" t="s">
        <v>270</v>
      </c>
      <c r="Q2017" s="2" t="s">
        <v>237</v>
      </c>
      <c r="R2017" s="2" t="s">
        <v>231</v>
      </c>
      <c r="S2017" s="2" t="s">
        <v>9014</v>
      </c>
      <c r="T2017" s="2" t="s">
        <v>472</v>
      </c>
      <c r="U2017" s="2" t="s">
        <v>231</v>
      </c>
      <c r="V2017" s="2" t="s">
        <v>239</v>
      </c>
      <c r="W2017" s="2" t="s">
        <v>273</v>
      </c>
      <c r="X2017" s="2" t="s">
        <v>231</v>
      </c>
      <c r="Y2017" s="2" t="s">
        <v>274</v>
      </c>
      <c r="Z2017" s="4">
        <v>453</v>
      </c>
      <c r="AA2017" s="4">
        <f>=ROUNDDOWN(102.954545454545,0)</f>
      </c>
      <c r="AB2017" s="5">
        <v>4.4</v>
      </c>
      <c r="AC2017" s="2" t="s">
        <v>3090</v>
      </c>
      <c r="AD2017" s="4">
        <v>30</v>
      </c>
      <c r="AE2017" s="4">
        <v>140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231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231</v>
      </c>
      <c r="AW2017" s="8" t="s">
        <v>231</v>
      </c>
      <c r="AX2017" s="4" t="s">
        <v>231</v>
      </c>
      <c r="AY2017" s="8" t="s">
        <v>231</v>
      </c>
      <c r="AZ2017" s="7" t="s">
        <v>231</v>
      </c>
      <c r="BA2017" s="7" t="s">
        <v>231</v>
      </c>
      <c r="BB2017" s="7" t="s">
        <v>231</v>
      </c>
      <c r="BC2017" s="4" t="s">
        <v>231</v>
      </c>
      <c r="BD2017" s="8" t="s">
        <v>231</v>
      </c>
      <c r="BE2017" s="4" t="s">
        <v>231</v>
      </c>
      <c r="BF2017" s="8" t="s">
        <v>231</v>
      </c>
      <c r="BG2017" s="7" t="s">
        <v>231</v>
      </c>
      <c r="BH2017" s="7" t="s">
        <v>231</v>
      </c>
      <c r="BI2017" s="7"/>
      <c r="BJ2017" s="4">
        <v>33</v>
      </c>
      <c r="BK2017" s="8">
        <v>386.87</v>
      </c>
      <c r="BL2017" s="2" t="s">
        <v>9019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9020</v>
      </c>
      <c r="BV2017" s="2" t="s">
        <v>231</v>
      </c>
      <c r="BW2017" s="2" t="s">
        <v>231</v>
      </c>
      <c r="BX2017" s="2" t="s">
        <v>231</v>
      </c>
      <c r="BY2017" s="2" t="s">
        <v>277</v>
      </c>
      <c r="BZ2017" s="2" t="s">
        <v>243</v>
      </c>
      <c r="CA2017" s="2" t="s">
        <v>1293</v>
      </c>
      <c r="CB2017" s="2" t="s">
        <v>9021</v>
      </c>
      <c r="CC2017" s="2" t="s">
        <v>244</v>
      </c>
      <c r="CD2017" s="2" t="s">
        <v>231</v>
      </c>
      <c r="CE2017" s="4">
        <v>453</v>
      </c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>
        <v>30</v>
      </c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>
        <v>30</v>
      </c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>
        <v>20</v>
      </c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>
        <v>30</v>
      </c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>
        <v>30</v>
      </c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</row>
    <row r="2018">
      <c r="A2018" s="2" t="s">
        <v>9022</v>
      </c>
      <c r="B2018" s="2" t="s">
        <v>287</v>
      </c>
      <c r="C2018" s="2" t="s">
        <v>825</v>
      </c>
      <c r="D2018" s="2" t="s">
        <v>289</v>
      </c>
      <c r="E2018" s="2" t="s">
        <v>290</v>
      </c>
      <c r="F2018" s="2" t="s">
        <v>472</v>
      </c>
      <c r="G2018" s="2" t="s">
        <v>472</v>
      </c>
      <c r="H2018" s="2" t="s">
        <v>472</v>
      </c>
      <c r="I2018" s="2" t="s">
        <v>9013</v>
      </c>
      <c r="J2018" s="2" t="s">
        <v>268</v>
      </c>
      <c r="K2018" s="2" t="s">
        <v>682</v>
      </c>
      <c r="L2018" s="3">
        <v>12.15</v>
      </c>
      <c r="M2018" s="3">
        <v>12.76</v>
      </c>
      <c r="N2018" s="3">
        <v>26.99</v>
      </c>
      <c r="O2018" s="2" t="s">
        <v>243</v>
      </c>
      <c r="P2018" s="2" t="s">
        <v>270</v>
      </c>
      <c r="Q2018" s="2" t="s">
        <v>237</v>
      </c>
      <c r="R2018" s="2" t="s">
        <v>231</v>
      </c>
      <c r="S2018" s="2" t="s">
        <v>9014</v>
      </c>
      <c r="T2018" s="2" t="s">
        <v>472</v>
      </c>
      <c r="U2018" s="2" t="s">
        <v>298</v>
      </c>
      <c r="V2018" s="2" t="s">
        <v>239</v>
      </c>
      <c r="W2018" s="2" t="s">
        <v>273</v>
      </c>
      <c r="X2018" s="2" t="s">
        <v>691</v>
      </c>
      <c r="Y2018" s="2" t="s">
        <v>9015</v>
      </c>
      <c r="Z2018" s="4">
        <v>406</v>
      </c>
      <c r="AA2018" s="4">
        <f>=ROUNDDOWN(40.6,0)</f>
      </c>
      <c r="AB2018" s="5">
        <v>10</v>
      </c>
      <c r="AC2018" s="2" t="s">
        <v>3090</v>
      </c>
      <c r="AD2018" s="4">
        <v>90</v>
      </c>
      <c r="AE2018" s="4">
        <v>680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231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231</v>
      </c>
      <c r="AW2018" s="8" t="s">
        <v>231</v>
      </c>
      <c r="AX2018" s="4" t="s">
        <v>231</v>
      </c>
      <c r="AY2018" s="8" t="s">
        <v>231</v>
      </c>
      <c r="AZ2018" s="7" t="s">
        <v>231</v>
      </c>
      <c r="BA2018" s="7" t="s">
        <v>231</v>
      </c>
      <c r="BB2018" s="7" t="s">
        <v>231</v>
      </c>
      <c r="BC2018" s="4" t="s">
        <v>231</v>
      </c>
      <c r="BD2018" s="8" t="s">
        <v>231</v>
      </c>
      <c r="BE2018" s="4" t="s">
        <v>231</v>
      </c>
      <c r="BF2018" s="8" t="s">
        <v>231</v>
      </c>
      <c r="BG2018" s="7" t="s">
        <v>231</v>
      </c>
      <c r="BH2018" s="7" t="s">
        <v>231</v>
      </c>
      <c r="BI2018" s="7"/>
      <c r="BJ2018" s="4">
        <v>52</v>
      </c>
      <c r="BK2018" s="8">
        <v>668.01</v>
      </c>
      <c r="BL2018" s="2" t="s">
        <v>4592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9023</v>
      </c>
      <c r="BV2018" s="2" t="s">
        <v>231</v>
      </c>
      <c r="BW2018" s="2" t="s">
        <v>231</v>
      </c>
      <c r="BX2018" s="2" t="s">
        <v>231</v>
      </c>
      <c r="BY2018" s="2" t="s">
        <v>277</v>
      </c>
      <c r="BZ2018" s="2" t="s">
        <v>243</v>
      </c>
      <c r="CA2018" s="2" t="s">
        <v>9017</v>
      </c>
      <c r="CB2018" s="2" t="s">
        <v>9024</v>
      </c>
      <c r="CC2018" s="2" t="s">
        <v>244</v>
      </c>
      <c r="CD2018" s="2" t="s">
        <v>231</v>
      </c>
      <c r="CE2018" s="4">
        <v>406</v>
      </c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>
        <v>90</v>
      </c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>
        <v>120</v>
      </c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>
        <v>240</v>
      </c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>
        <v>140</v>
      </c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>
        <v>90</v>
      </c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</row>
    <row r="2019">
      <c r="A2019" s="2" t="s">
        <v>9025</v>
      </c>
      <c r="B2019" s="2" t="s">
        <v>287</v>
      </c>
      <c r="C2019" s="2" t="s">
        <v>825</v>
      </c>
      <c r="D2019" s="2" t="s">
        <v>289</v>
      </c>
      <c r="E2019" s="2" t="s">
        <v>290</v>
      </c>
      <c r="F2019" s="2" t="s">
        <v>472</v>
      </c>
      <c r="G2019" s="2" t="s">
        <v>472</v>
      </c>
      <c r="H2019" s="2" t="s">
        <v>472</v>
      </c>
      <c r="I2019" s="2" t="s">
        <v>8988</v>
      </c>
      <c r="J2019" s="2" t="s">
        <v>281</v>
      </c>
      <c r="K2019" s="2" t="s">
        <v>682</v>
      </c>
      <c r="L2019" s="3">
        <v>12.92</v>
      </c>
      <c r="M2019" s="3">
        <v>13.57</v>
      </c>
      <c r="N2019" s="3">
        <v>30.99</v>
      </c>
      <c r="O2019" s="2" t="s">
        <v>243</v>
      </c>
      <c r="P2019" s="2" t="s">
        <v>270</v>
      </c>
      <c r="Q2019" s="2" t="s">
        <v>237</v>
      </c>
      <c r="R2019" s="2" t="s">
        <v>231</v>
      </c>
      <c r="S2019" s="2" t="s">
        <v>9014</v>
      </c>
      <c r="T2019" s="2" t="s">
        <v>472</v>
      </c>
      <c r="U2019" s="2" t="s">
        <v>231</v>
      </c>
      <c r="V2019" s="2" t="s">
        <v>239</v>
      </c>
      <c r="W2019" s="2" t="s">
        <v>273</v>
      </c>
      <c r="X2019" s="2" t="s">
        <v>231</v>
      </c>
      <c r="Y2019" s="2" t="s">
        <v>274</v>
      </c>
      <c r="Z2019" s="4">
        <v>210</v>
      </c>
      <c r="AA2019" s="4">
        <f>=ROUNDDOWN(41.1764705882353,0)</f>
      </c>
      <c r="AB2019" s="5">
        <v>5.1</v>
      </c>
      <c r="AC2019" s="2" t="s">
        <v>1458</v>
      </c>
      <c r="AD2019" s="4">
        <v>40</v>
      </c>
      <c r="AE2019" s="4">
        <v>40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231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231</v>
      </c>
      <c r="AW2019" s="8" t="s">
        <v>231</v>
      </c>
      <c r="AX2019" s="4" t="s">
        <v>231</v>
      </c>
      <c r="AY2019" s="8" t="s">
        <v>231</v>
      </c>
      <c r="AZ2019" s="7" t="s">
        <v>231</v>
      </c>
      <c r="BA2019" s="7" t="s">
        <v>231</v>
      </c>
      <c r="BB2019" s="7" t="s">
        <v>231</v>
      </c>
      <c r="BC2019" s="4" t="s">
        <v>231</v>
      </c>
      <c r="BD2019" s="8" t="s">
        <v>231</v>
      </c>
      <c r="BE2019" s="4" t="s">
        <v>231</v>
      </c>
      <c r="BF2019" s="8" t="s">
        <v>231</v>
      </c>
      <c r="BG2019" s="7" t="s">
        <v>231</v>
      </c>
      <c r="BH2019" s="7" t="s">
        <v>231</v>
      </c>
      <c r="BI2019" s="7"/>
      <c r="BJ2019" s="4">
        <v>20</v>
      </c>
      <c r="BK2019" s="8">
        <v>299.2</v>
      </c>
      <c r="BL2019" s="2" t="s">
        <v>9026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9027</v>
      </c>
      <c r="BV2019" s="2" t="s">
        <v>231</v>
      </c>
      <c r="BW2019" s="2" t="s">
        <v>231</v>
      </c>
      <c r="BX2019" s="2" t="s">
        <v>231</v>
      </c>
      <c r="BY2019" s="2" t="s">
        <v>277</v>
      </c>
      <c r="BZ2019" s="2" t="s">
        <v>243</v>
      </c>
      <c r="CA2019" s="2" t="s">
        <v>1293</v>
      </c>
      <c r="CB2019" s="2" t="s">
        <v>4614</v>
      </c>
      <c r="CC2019" s="2" t="s">
        <v>244</v>
      </c>
      <c r="CD2019" s="2" t="s">
        <v>231</v>
      </c>
      <c r="CE2019" s="4">
        <v>210</v>
      </c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>
        <v>40</v>
      </c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</row>
    <row r="2020">
      <c r="A2020" s="2" t="s">
        <v>9028</v>
      </c>
      <c r="B2020" s="2" t="s">
        <v>287</v>
      </c>
      <c r="C2020" s="2" t="s">
        <v>825</v>
      </c>
      <c r="D2020" s="2" t="s">
        <v>289</v>
      </c>
      <c r="E2020" s="2" t="s">
        <v>290</v>
      </c>
      <c r="F2020" s="2" t="s">
        <v>472</v>
      </c>
      <c r="G2020" s="2" t="s">
        <v>472</v>
      </c>
      <c r="H2020" s="2" t="s">
        <v>472</v>
      </c>
      <c r="I2020" s="2" t="s">
        <v>9013</v>
      </c>
      <c r="J2020" s="2" t="s">
        <v>281</v>
      </c>
      <c r="K2020" s="2" t="s">
        <v>682</v>
      </c>
      <c r="L2020" s="3">
        <v>14.85</v>
      </c>
      <c r="M2020" s="3">
        <v>15.59</v>
      </c>
      <c r="N2020" s="3">
        <v>32.99</v>
      </c>
      <c r="O2020" s="2" t="s">
        <v>243</v>
      </c>
      <c r="P2020" s="2" t="s">
        <v>270</v>
      </c>
      <c r="Q2020" s="2" t="s">
        <v>237</v>
      </c>
      <c r="R2020" s="2" t="s">
        <v>231</v>
      </c>
      <c r="S2020" s="2" t="s">
        <v>9014</v>
      </c>
      <c r="T2020" s="2" t="s">
        <v>472</v>
      </c>
      <c r="U2020" s="2" t="s">
        <v>765</v>
      </c>
      <c r="V2020" s="2" t="s">
        <v>239</v>
      </c>
      <c r="W2020" s="2" t="s">
        <v>273</v>
      </c>
      <c r="X2020" s="2" t="s">
        <v>691</v>
      </c>
      <c r="Y2020" s="2" t="s">
        <v>9015</v>
      </c>
      <c r="Z2020" s="4">
        <v>73</v>
      </c>
      <c r="AA2020" s="4">
        <f>=ROUNDDOWN(18.25,0)</f>
      </c>
      <c r="AB2020" s="5">
        <v>4</v>
      </c>
      <c r="AC2020" s="2" t="s">
        <v>1315</v>
      </c>
      <c r="AD2020" s="4">
        <v>20</v>
      </c>
      <c r="AE2020" s="4">
        <v>80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231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 t="s">
        <v>231</v>
      </c>
      <c r="AW2020" s="8" t="s">
        <v>231</v>
      </c>
      <c r="AX2020" s="4" t="s">
        <v>231</v>
      </c>
      <c r="AY2020" s="8" t="s">
        <v>231</v>
      </c>
      <c r="AZ2020" s="7" t="s">
        <v>231</v>
      </c>
      <c r="BA2020" s="7" t="s">
        <v>231</v>
      </c>
      <c r="BB2020" s="7" t="s">
        <v>231</v>
      </c>
      <c r="BC2020" s="4" t="s">
        <v>231</v>
      </c>
      <c r="BD2020" s="8" t="s">
        <v>231</v>
      </c>
      <c r="BE2020" s="4" t="s">
        <v>231</v>
      </c>
      <c r="BF2020" s="8" t="s">
        <v>231</v>
      </c>
      <c r="BG2020" s="7" t="s">
        <v>231</v>
      </c>
      <c r="BH2020" s="7" t="s">
        <v>231</v>
      </c>
      <c r="BI2020" s="7"/>
      <c r="BJ2020" s="4">
        <v>9</v>
      </c>
      <c r="BK2020" s="8">
        <v>146.83</v>
      </c>
      <c r="BL2020" s="2" t="s">
        <v>9029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9030</v>
      </c>
      <c r="BV2020" s="2" t="s">
        <v>231</v>
      </c>
      <c r="BW2020" s="2" t="s">
        <v>231</v>
      </c>
      <c r="BX2020" s="2" t="s">
        <v>231</v>
      </c>
      <c r="BY2020" s="2" t="s">
        <v>277</v>
      </c>
      <c r="BZ2020" s="2" t="s">
        <v>243</v>
      </c>
      <c r="CA2020" s="2" t="s">
        <v>9017</v>
      </c>
      <c r="CB2020" s="2" t="s">
        <v>9031</v>
      </c>
      <c r="CC2020" s="2" t="s">
        <v>244</v>
      </c>
      <c r="CD2020" s="2" t="s">
        <v>231</v>
      </c>
      <c r="CE2020" s="4">
        <v>73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>
        <v>20</v>
      </c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>
        <v>30</v>
      </c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>
        <v>30</v>
      </c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4"/>
      <c r="HH2020" s="4"/>
      <c r="HI2020" s="4"/>
      <c r="HJ2020" s="4"/>
      <c r="HK2020" s="4"/>
      <c r="HL2020" s="4"/>
    </row>
    <row r="2021">
      <c r="A2021" s="2" t="s">
        <v>9032</v>
      </c>
      <c r="B2021" s="2" t="s">
        <v>287</v>
      </c>
      <c r="C2021" s="2" t="s">
        <v>825</v>
      </c>
      <c r="D2021" s="2" t="s">
        <v>289</v>
      </c>
      <c r="E2021" s="2" t="s">
        <v>290</v>
      </c>
      <c r="F2021" s="2" t="s">
        <v>472</v>
      </c>
      <c r="G2021" s="2" t="s">
        <v>472</v>
      </c>
      <c r="H2021" s="2" t="s">
        <v>472</v>
      </c>
      <c r="I2021" s="2" t="s">
        <v>8988</v>
      </c>
      <c r="J2021" s="2" t="s">
        <v>302</v>
      </c>
      <c r="K2021" s="2" t="s">
        <v>682</v>
      </c>
      <c r="L2021" s="3">
        <v>16.75</v>
      </c>
      <c r="M2021" s="3">
        <v>17.59</v>
      </c>
      <c r="N2021" s="3">
        <v>37.99</v>
      </c>
      <c r="O2021" s="2" t="s">
        <v>243</v>
      </c>
      <c r="P2021" s="2" t="s">
        <v>270</v>
      </c>
      <c r="Q2021" s="2" t="s">
        <v>237</v>
      </c>
      <c r="R2021" s="2" t="s">
        <v>231</v>
      </c>
      <c r="S2021" s="2" t="s">
        <v>9014</v>
      </c>
      <c r="T2021" s="2" t="s">
        <v>472</v>
      </c>
      <c r="U2021" s="2" t="s">
        <v>231</v>
      </c>
      <c r="V2021" s="2" t="s">
        <v>239</v>
      </c>
      <c r="W2021" s="2" t="s">
        <v>273</v>
      </c>
      <c r="X2021" s="2" t="s">
        <v>231</v>
      </c>
      <c r="Y2021" s="2" t="s">
        <v>274</v>
      </c>
      <c r="Z2021" s="4">
        <v>272</v>
      </c>
      <c r="AA2021" s="4">
        <f>=ROUNDDOWN(26.6666666666667,0)</f>
      </c>
      <c r="AB2021" s="5">
        <v>10.2</v>
      </c>
      <c r="AC2021" s="2" t="s">
        <v>231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231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 t="s">
        <v>231</v>
      </c>
      <c r="AW2021" s="8" t="s">
        <v>231</v>
      </c>
      <c r="AX2021" s="4" t="s">
        <v>231</v>
      </c>
      <c r="AY2021" s="8" t="s">
        <v>231</v>
      </c>
      <c r="AZ2021" s="7" t="s">
        <v>231</v>
      </c>
      <c r="BA2021" s="7" t="s">
        <v>231</v>
      </c>
      <c r="BB2021" s="7"/>
      <c r="BC2021" s="4" t="s">
        <v>231</v>
      </c>
      <c r="BD2021" s="8" t="s">
        <v>231</v>
      </c>
      <c r="BE2021" s="4" t="s">
        <v>231</v>
      </c>
      <c r="BF2021" s="8" t="s">
        <v>231</v>
      </c>
      <c r="BG2021" s="7" t="s">
        <v>231</v>
      </c>
      <c r="BH2021" s="7" t="s">
        <v>231</v>
      </c>
      <c r="BI2021" s="7"/>
      <c r="BJ2021" s="4">
        <v>34</v>
      </c>
      <c r="BK2021" s="8">
        <v>656.93</v>
      </c>
      <c r="BL2021" s="2" t="s">
        <v>9033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9034</v>
      </c>
      <c r="BV2021" s="2" t="s">
        <v>231</v>
      </c>
      <c r="BW2021" s="2" t="s">
        <v>231</v>
      </c>
      <c r="BX2021" s="2" t="s">
        <v>231</v>
      </c>
      <c r="BY2021" s="2" t="s">
        <v>277</v>
      </c>
      <c r="BZ2021" s="2" t="s">
        <v>243</v>
      </c>
      <c r="CA2021" s="2" t="s">
        <v>1293</v>
      </c>
      <c r="CB2021" s="2" t="s">
        <v>9035</v>
      </c>
      <c r="CC2021" s="2" t="s">
        <v>244</v>
      </c>
      <c r="CD2021" s="2" t="s">
        <v>231</v>
      </c>
      <c r="CE2021" s="4">
        <v>272</v>
      </c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4"/>
      <c r="HH2021" s="4"/>
      <c r="HI2021" s="4"/>
      <c r="HJ2021" s="4"/>
      <c r="HK2021" s="4"/>
      <c r="HL2021" s="4"/>
    </row>
    <row r="2022">
      <c r="A2022" s="2" t="s">
        <v>9036</v>
      </c>
      <c r="B2022" s="2" t="s">
        <v>287</v>
      </c>
      <c r="C2022" s="2" t="s">
        <v>825</v>
      </c>
      <c r="D2022" s="2" t="s">
        <v>289</v>
      </c>
      <c r="E2022" s="2" t="s">
        <v>290</v>
      </c>
      <c r="F2022" s="2" t="s">
        <v>472</v>
      </c>
      <c r="G2022" s="2" t="s">
        <v>472</v>
      </c>
      <c r="H2022" s="2" t="s">
        <v>472</v>
      </c>
      <c r="I2022" s="2" t="s">
        <v>8988</v>
      </c>
      <c r="J2022" s="2" t="s">
        <v>318</v>
      </c>
      <c r="K2022" s="2" t="s">
        <v>253</v>
      </c>
      <c r="L2022" s="3">
        <v>11.18</v>
      </c>
      <c r="M2022" s="3">
        <v>11.74</v>
      </c>
      <c r="N2022" s="3">
        <v>27.99</v>
      </c>
      <c r="O2022" s="2" t="s">
        <v>243</v>
      </c>
      <c r="P2022" s="2" t="s">
        <v>270</v>
      </c>
      <c r="Q2022" s="2" t="s">
        <v>237</v>
      </c>
      <c r="R2022" s="2" t="s">
        <v>231</v>
      </c>
      <c r="S2022" s="2" t="s">
        <v>9037</v>
      </c>
      <c r="T2022" s="2" t="s">
        <v>472</v>
      </c>
      <c r="U2022" s="2" t="s">
        <v>231</v>
      </c>
      <c r="V2022" s="2" t="s">
        <v>239</v>
      </c>
      <c r="W2022" s="2" t="s">
        <v>273</v>
      </c>
      <c r="X2022" s="2" t="s">
        <v>231</v>
      </c>
      <c r="Y2022" s="2" t="s">
        <v>274</v>
      </c>
      <c r="Z2022" s="4">
        <v>269</v>
      </c>
      <c r="AA2022" s="4">
        <f>=ROUNDDOWN(67.25,0)</f>
      </c>
      <c r="AB2022" s="5">
        <v>4</v>
      </c>
      <c r="AC2022" s="2" t="s">
        <v>231</v>
      </c>
      <c r="AD2022" s="4"/>
      <c r="AE2022" s="4"/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231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 t="s">
        <v>231</v>
      </c>
      <c r="AW2022" s="8" t="s">
        <v>231</v>
      </c>
      <c r="AX2022" s="4" t="s">
        <v>231</v>
      </c>
      <c r="AY2022" s="8" t="s">
        <v>231</v>
      </c>
      <c r="AZ2022" s="7" t="s">
        <v>231</v>
      </c>
      <c r="BA2022" s="7" t="s">
        <v>231</v>
      </c>
      <c r="BB2022" s="7" t="s">
        <v>231</v>
      </c>
      <c r="BC2022" s="4" t="s">
        <v>231</v>
      </c>
      <c r="BD2022" s="8" t="s">
        <v>231</v>
      </c>
      <c r="BE2022" s="4" t="s">
        <v>231</v>
      </c>
      <c r="BF2022" s="8" t="s">
        <v>231</v>
      </c>
      <c r="BG2022" s="7" t="s">
        <v>231</v>
      </c>
      <c r="BH2022" s="7" t="s">
        <v>231</v>
      </c>
      <c r="BI2022" s="7"/>
      <c r="BJ2022" s="4">
        <v>20</v>
      </c>
      <c r="BK2022" s="8">
        <v>238.03</v>
      </c>
      <c r="BL2022" s="2" t="s">
        <v>4674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9038</v>
      </c>
      <c r="BV2022" s="2" t="s">
        <v>231</v>
      </c>
      <c r="BW2022" s="2" t="s">
        <v>231</v>
      </c>
      <c r="BX2022" s="2" t="s">
        <v>231</v>
      </c>
      <c r="BY2022" s="2" t="s">
        <v>277</v>
      </c>
      <c r="BZ2022" s="2" t="s">
        <v>243</v>
      </c>
      <c r="CA2022" s="2" t="s">
        <v>284</v>
      </c>
      <c r="CB2022" s="2" t="s">
        <v>551</v>
      </c>
      <c r="CC2022" s="2" t="s">
        <v>244</v>
      </c>
      <c r="CD2022" s="2" t="s">
        <v>231</v>
      </c>
      <c r="CE2022" s="4">
        <v>269</v>
      </c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  <c r="HG2022" s="4"/>
      <c r="HH2022" s="4"/>
      <c r="HI2022" s="4"/>
      <c r="HJ2022" s="4"/>
      <c r="HK2022" s="4"/>
      <c r="HL2022" s="4"/>
    </row>
    <row r="2023">
      <c r="A2023" s="2" t="s">
        <v>9039</v>
      </c>
      <c r="B2023" s="2" t="s">
        <v>287</v>
      </c>
      <c r="C2023" s="2" t="s">
        <v>825</v>
      </c>
      <c r="D2023" s="2" t="s">
        <v>289</v>
      </c>
      <c r="E2023" s="2" t="s">
        <v>290</v>
      </c>
      <c r="F2023" s="2" t="s">
        <v>472</v>
      </c>
      <c r="G2023" s="2" t="s">
        <v>472</v>
      </c>
      <c r="H2023" s="2" t="s">
        <v>472</v>
      </c>
      <c r="I2023" s="2" t="s">
        <v>9013</v>
      </c>
      <c r="J2023" s="2" t="s">
        <v>318</v>
      </c>
      <c r="K2023" s="2" t="s">
        <v>253</v>
      </c>
      <c r="L2023" s="3">
        <v>12.15</v>
      </c>
      <c r="M2023" s="3">
        <v>12.76</v>
      </c>
      <c r="N2023" s="3">
        <v>26.99</v>
      </c>
      <c r="O2023" s="2" t="s">
        <v>243</v>
      </c>
      <c r="P2023" s="2" t="s">
        <v>270</v>
      </c>
      <c r="Q2023" s="2" t="s">
        <v>237</v>
      </c>
      <c r="R2023" s="2" t="s">
        <v>231</v>
      </c>
      <c r="S2023" s="2" t="s">
        <v>9037</v>
      </c>
      <c r="T2023" s="2" t="s">
        <v>472</v>
      </c>
      <c r="U2023" s="2" t="s">
        <v>298</v>
      </c>
      <c r="V2023" s="2" t="s">
        <v>239</v>
      </c>
      <c r="W2023" s="2" t="s">
        <v>691</v>
      </c>
      <c r="X2023" s="2" t="s">
        <v>231</v>
      </c>
      <c r="Y2023" s="2" t="s">
        <v>8715</v>
      </c>
      <c r="Z2023" s="4">
        <v>160</v>
      </c>
      <c r="AA2023" s="4">
        <f>=ROUNDDOWN(53.3333333333333,0)</f>
      </c>
      <c r="AB2023" s="5">
        <v>3</v>
      </c>
      <c r="AC2023" s="2" t="s">
        <v>2082</v>
      </c>
      <c r="AD2023" s="4">
        <v>20</v>
      </c>
      <c r="AE2023" s="4">
        <v>20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231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231</v>
      </c>
      <c r="AW2023" s="8" t="s">
        <v>231</v>
      </c>
      <c r="AX2023" s="4" t="s">
        <v>231</v>
      </c>
      <c r="AY2023" s="8" t="s">
        <v>231</v>
      </c>
      <c r="AZ2023" s="7" t="s">
        <v>231</v>
      </c>
      <c r="BA2023" s="7" t="s">
        <v>231</v>
      </c>
      <c r="BB2023" s="7" t="s">
        <v>231</v>
      </c>
      <c r="BC2023" s="4" t="s">
        <v>231</v>
      </c>
      <c r="BD2023" s="8" t="s">
        <v>231</v>
      </c>
      <c r="BE2023" s="4" t="s">
        <v>231</v>
      </c>
      <c r="BF2023" s="8" t="s">
        <v>231</v>
      </c>
      <c r="BG2023" s="7" t="s">
        <v>231</v>
      </c>
      <c r="BH2023" s="7" t="s">
        <v>231</v>
      </c>
      <c r="BI2023" s="7"/>
      <c r="BJ2023" s="4">
        <v>2</v>
      </c>
      <c r="BK2023" s="8">
        <v>25.06</v>
      </c>
      <c r="BL2023" s="2" t="s">
        <v>9040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9041</v>
      </c>
      <c r="BV2023" s="2" t="s">
        <v>231</v>
      </c>
      <c r="BW2023" s="2" t="s">
        <v>231</v>
      </c>
      <c r="BX2023" s="2" t="s">
        <v>231</v>
      </c>
      <c r="BY2023" s="2" t="s">
        <v>277</v>
      </c>
      <c r="BZ2023" s="2" t="s">
        <v>243</v>
      </c>
      <c r="CA2023" s="2" t="s">
        <v>4835</v>
      </c>
      <c r="CB2023" s="2" t="s">
        <v>9042</v>
      </c>
      <c r="CC2023" s="2" t="s">
        <v>244</v>
      </c>
      <c r="CD2023" s="2" t="s">
        <v>231</v>
      </c>
      <c r="CE2023" s="4">
        <v>160</v>
      </c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>
        <v>20</v>
      </c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  <c r="HG2023" s="4"/>
      <c r="HH2023" s="4"/>
      <c r="HI2023" s="4"/>
      <c r="HJ2023" s="4"/>
      <c r="HK2023" s="4"/>
      <c r="HL2023" s="4"/>
    </row>
    <row r="2024">
      <c r="A2024" s="2" t="s">
        <v>9043</v>
      </c>
      <c r="B2024" s="2" t="s">
        <v>287</v>
      </c>
      <c r="C2024" s="2" t="s">
        <v>825</v>
      </c>
      <c r="D2024" s="2" t="s">
        <v>289</v>
      </c>
      <c r="E2024" s="2" t="s">
        <v>290</v>
      </c>
      <c r="F2024" s="2" t="s">
        <v>472</v>
      </c>
      <c r="G2024" s="2" t="s">
        <v>472</v>
      </c>
      <c r="H2024" s="2" t="s">
        <v>472</v>
      </c>
      <c r="I2024" s="2" t="s">
        <v>9013</v>
      </c>
      <c r="J2024" s="2" t="s">
        <v>268</v>
      </c>
      <c r="K2024" s="2" t="s">
        <v>253</v>
      </c>
      <c r="L2024" s="3">
        <v>12.15</v>
      </c>
      <c r="M2024" s="3">
        <v>12.76</v>
      </c>
      <c r="N2024" s="3">
        <v>26.99</v>
      </c>
      <c r="O2024" s="2" t="s">
        <v>243</v>
      </c>
      <c r="P2024" s="2" t="s">
        <v>270</v>
      </c>
      <c r="Q2024" s="2" t="s">
        <v>237</v>
      </c>
      <c r="R2024" s="2" t="s">
        <v>231</v>
      </c>
      <c r="S2024" s="2" t="s">
        <v>9037</v>
      </c>
      <c r="T2024" s="2" t="s">
        <v>472</v>
      </c>
      <c r="U2024" s="2" t="s">
        <v>298</v>
      </c>
      <c r="V2024" s="2" t="s">
        <v>239</v>
      </c>
      <c r="W2024" s="2" t="s">
        <v>691</v>
      </c>
      <c r="X2024" s="2" t="s">
        <v>231</v>
      </c>
      <c r="Y2024" s="2" t="s">
        <v>8715</v>
      </c>
      <c r="Z2024" s="4">
        <v>536</v>
      </c>
      <c r="AA2024" s="4">
        <f>=ROUNDDOWN(44.6666666666667,0)</f>
      </c>
      <c r="AB2024" s="5">
        <v>12</v>
      </c>
      <c r="AC2024" s="2" t="s">
        <v>3090</v>
      </c>
      <c r="AD2024" s="4">
        <v>360</v>
      </c>
      <c r="AE2024" s="4">
        <v>620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231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231</v>
      </c>
      <c r="AW2024" s="8" t="s">
        <v>231</v>
      </c>
      <c r="AX2024" s="4" t="s">
        <v>231</v>
      </c>
      <c r="AY2024" s="8" t="s">
        <v>231</v>
      </c>
      <c r="AZ2024" s="7" t="s">
        <v>231</v>
      </c>
      <c r="BA2024" s="7" t="s">
        <v>231</v>
      </c>
      <c r="BB2024" s="7"/>
      <c r="BC2024" s="4" t="s">
        <v>231</v>
      </c>
      <c r="BD2024" s="8" t="s">
        <v>231</v>
      </c>
      <c r="BE2024" s="4" t="s">
        <v>231</v>
      </c>
      <c r="BF2024" s="8" t="s">
        <v>231</v>
      </c>
      <c r="BG2024" s="7" t="s">
        <v>231</v>
      </c>
      <c r="BH2024" s="7" t="s">
        <v>231</v>
      </c>
      <c r="BI2024" s="7"/>
      <c r="BJ2024" s="4">
        <v>68</v>
      </c>
      <c r="BK2024" s="8">
        <v>875.31</v>
      </c>
      <c r="BL2024" s="2" t="s">
        <v>9044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9045</v>
      </c>
      <c r="BV2024" s="2" t="s">
        <v>231</v>
      </c>
      <c r="BW2024" s="2" t="s">
        <v>231</v>
      </c>
      <c r="BX2024" s="2" t="s">
        <v>231</v>
      </c>
      <c r="BY2024" s="2" t="s">
        <v>277</v>
      </c>
      <c r="BZ2024" s="2" t="s">
        <v>243</v>
      </c>
      <c r="CA2024" s="2" t="s">
        <v>4835</v>
      </c>
      <c r="CB2024" s="2" t="s">
        <v>3701</v>
      </c>
      <c r="CC2024" s="2" t="s">
        <v>244</v>
      </c>
      <c r="CD2024" s="2" t="s">
        <v>231</v>
      </c>
      <c r="CE2024" s="4">
        <v>536</v>
      </c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>
        <v>360</v>
      </c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>
        <v>70</v>
      </c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>
        <v>110</v>
      </c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>
        <v>80</v>
      </c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  <c r="HF2024" s="4"/>
      <c r="HG2024" s="4"/>
      <c r="HH2024" s="4"/>
      <c r="HI2024" s="4"/>
      <c r="HJ2024" s="4"/>
      <c r="HK2024" s="4"/>
      <c r="HL2024" s="4"/>
    </row>
    <row r="2025">
      <c r="A2025" s="2" t="s">
        <v>9046</v>
      </c>
      <c r="B2025" s="2" t="s">
        <v>287</v>
      </c>
      <c r="C2025" s="2" t="s">
        <v>825</v>
      </c>
      <c r="D2025" s="2" t="s">
        <v>289</v>
      </c>
      <c r="E2025" s="2" t="s">
        <v>290</v>
      </c>
      <c r="F2025" s="2" t="s">
        <v>472</v>
      </c>
      <c r="G2025" s="2" t="s">
        <v>472</v>
      </c>
      <c r="H2025" s="2" t="s">
        <v>472</v>
      </c>
      <c r="I2025" s="2" t="s">
        <v>8988</v>
      </c>
      <c r="J2025" s="2" t="s">
        <v>281</v>
      </c>
      <c r="K2025" s="2" t="s">
        <v>253</v>
      </c>
      <c r="L2025" s="3">
        <v>12.92</v>
      </c>
      <c r="M2025" s="3">
        <v>13.57</v>
      </c>
      <c r="N2025" s="3">
        <v>30.99</v>
      </c>
      <c r="O2025" s="2" t="s">
        <v>243</v>
      </c>
      <c r="P2025" s="2" t="s">
        <v>270</v>
      </c>
      <c r="Q2025" s="2" t="s">
        <v>237</v>
      </c>
      <c r="R2025" s="2" t="s">
        <v>231</v>
      </c>
      <c r="S2025" s="2" t="s">
        <v>9037</v>
      </c>
      <c r="T2025" s="2" t="s">
        <v>472</v>
      </c>
      <c r="U2025" s="2" t="s">
        <v>231</v>
      </c>
      <c r="V2025" s="2" t="s">
        <v>239</v>
      </c>
      <c r="W2025" s="2" t="s">
        <v>273</v>
      </c>
      <c r="X2025" s="2" t="s">
        <v>231</v>
      </c>
      <c r="Y2025" s="2" t="s">
        <v>274</v>
      </c>
      <c r="Z2025" s="4">
        <v>382</v>
      </c>
      <c r="AA2025" s="4">
        <f>=ROUNDDOWN(76.4,0)</f>
      </c>
      <c r="AB2025" s="5">
        <v>5</v>
      </c>
      <c r="AC2025" s="2" t="s">
        <v>231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231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231</v>
      </c>
      <c r="AW2025" s="8" t="s">
        <v>231</v>
      </c>
      <c r="AX2025" s="4" t="s">
        <v>231</v>
      </c>
      <c r="AY2025" s="8" t="s">
        <v>231</v>
      </c>
      <c r="AZ2025" s="7" t="s">
        <v>231</v>
      </c>
      <c r="BA2025" s="7" t="s">
        <v>231</v>
      </c>
      <c r="BB2025" s="7"/>
      <c r="BC2025" s="4" t="s">
        <v>231</v>
      </c>
      <c r="BD2025" s="8" t="s">
        <v>231</v>
      </c>
      <c r="BE2025" s="4" t="s">
        <v>231</v>
      </c>
      <c r="BF2025" s="8" t="s">
        <v>231</v>
      </c>
      <c r="BG2025" s="7" t="s">
        <v>231</v>
      </c>
      <c r="BH2025" s="7" t="s">
        <v>231</v>
      </c>
      <c r="BI2025" s="7"/>
      <c r="BJ2025" s="4">
        <v>20</v>
      </c>
      <c r="BK2025" s="8">
        <v>281.87</v>
      </c>
      <c r="BL2025" s="2" t="s">
        <v>9047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9048</v>
      </c>
      <c r="BV2025" s="2" t="s">
        <v>231</v>
      </c>
      <c r="BW2025" s="2" t="s">
        <v>231</v>
      </c>
      <c r="BX2025" s="2" t="s">
        <v>231</v>
      </c>
      <c r="BY2025" s="2" t="s">
        <v>277</v>
      </c>
      <c r="BZ2025" s="2" t="s">
        <v>243</v>
      </c>
      <c r="CA2025" s="2" t="s">
        <v>284</v>
      </c>
      <c r="CB2025" s="2" t="s">
        <v>9049</v>
      </c>
      <c r="CC2025" s="2" t="s">
        <v>244</v>
      </c>
      <c r="CD2025" s="2" t="s">
        <v>231</v>
      </c>
      <c r="CE2025" s="4">
        <v>382</v>
      </c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  <c r="HG2025" s="4"/>
      <c r="HH2025" s="4"/>
      <c r="HI2025" s="4"/>
      <c r="HJ2025" s="4"/>
      <c r="HK2025" s="4"/>
      <c r="HL2025" s="4"/>
    </row>
    <row r="2026">
      <c r="A2026" s="2" t="s">
        <v>9050</v>
      </c>
      <c r="B2026" s="2" t="s">
        <v>287</v>
      </c>
      <c r="C2026" s="2" t="s">
        <v>825</v>
      </c>
      <c r="D2026" s="2" t="s">
        <v>289</v>
      </c>
      <c r="E2026" s="2" t="s">
        <v>290</v>
      </c>
      <c r="F2026" s="2" t="s">
        <v>472</v>
      </c>
      <c r="G2026" s="2" t="s">
        <v>472</v>
      </c>
      <c r="H2026" s="2" t="s">
        <v>472</v>
      </c>
      <c r="I2026" s="2" t="s">
        <v>9013</v>
      </c>
      <c r="J2026" s="2" t="s">
        <v>293</v>
      </c>
      <c r="K2026" s="2" t="s">
        <v>253</v>
      </c>
      <c r="L2026" s="3">
        <v>14.85</v>
      </c>
      <c r="M2026" s="3">
        <v>15.59</v>
      </c>
      <c r="N2026" s="3">
        <v>32.99</v>
      </c>
      <c r="O2026" s="2" t="s">
        <v>243</v>
      </c>
      <c r="P2026" s="2" t="s">
        <v>270</v>
      </c>
      <c r="Q2026" s="2" t="s">
        <v>237</v>
      </c>
      <c r="R2026" s="2" t="s">
        <v>231</v>
      </c>
      <c r="S2026" s="2" t="s">
        <v>9037</v>
      </c>
      <c r="T2026" s="2" t="s">
        <v>472</v>
      </c>
      <c r="U2026" s="2" t="s">
        <v>765</v>
      </c>
      <c r="V2026" s="2" t="s">
        <v>239</v>
      </c>
      <c r="W2026" s="2" t="s">
        <v>691</v>
      </c>
      <c r="X2026" s="2" t="s">
        <v>231</v>
      </c>
      <c r="Y2026" s="2" t="s">
        <v>8715</v>
      </c>
      <c r="Z2026" s="4">
        <v>231</v>
      </c>
      <c r="AA2026" s="4">
        <f>=ROUNDDOWN(17.7692307692308,0)</f>
      </c>
      <c r="AB2026" s="5">
        <v>13</v>
      </c>
      <c r="AC2026" s="2" t="s">
        <v>2082</v>
      </c>
      <c r="AD2026" s="4">
        <v>40</v>
      </c>
      <c r="AE2026" s="4">
        <v>220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231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231</v>
      </c>
      <c r="AW2026" s="8" t="s">
        <v>231</v>
      </c>
      <c r="AX2026" s="4" t="s">
        <v>231</v>
      </c>
      <c r="AY2026" s="8" t="s">
        <v>231</v>
      </c>
      <c r="AZ2026" s="7" t="s">
        <v>231</v>
      </c>
      <c r="BA2026" s="7" t="s">
        <v>231</v>
      </c>
      <c r="BB2026" s="7"/>
      <c r="BC2026" s="4" t="s">
        <v>231</v>
      </c>
      <c r="BD2026" s="8" t="s">
        <v>231</v>
      </c>
      <c r="BE2026" s="4" t="s">
        <v>231</v>
      </c>
      <c r="BF2026" s="8" t="s">
        <v>231</v>
      </c>
      <c r="BG2026" s="7" t="s">
        <v>231</v>
      </c>
      <c r="BH2026" s="7" t="s">
        <v>231</v>
      </c>
      <c r="BI2026" s="7"/>
      <c r="BJ2026" s="4">
        <v>25</v>
      </c>
      <c r="BK2026" s="8">
        <v>385.63</v>
      </c>
      <c r="BL2026" s="2" t="s">
        <v>9051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9052</v>
      </c>
      <c r="BV2026" s="2" t="s">
        <v>231</v>
      </c>
      <c r="BW2026" s="2" t="s">
        <v>231</v>
      </c>
      <c r="BX2026" s="2" t="s">
        <v>231</v>
      </c>
      <c r="BY2026" s="2" t="s">
        <v>277</v>
      </c>
      <c r="BZ2026" s="2" t="s">
        <v>243</v>
      </c>
      <c r="CA2026" s="2" t="s">
        <v>4835</v>
      </c>
      <c r="CB2026" s="2" t="s">
        <v>9053</v>
      </c>
      <c r="CC2026" s="2" t="s">
        <v>244</v>
      </c>
      <c r="CD2026" s="2" t="s">
        <v>231</v>
      </c>
      <c r="CE2026" s="4">
        <v>231</v>
      </c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>
        <v>40</v>
      </c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>
        <v>100</v>
      </c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>
        <v>80</v>
      </c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  <c r="HF2026" s="4"/>
      <c r="HG2026" s="4"/>
      <c r="HH2026" s="4"/>
      <c r="HI2026" s="4"/>
      <c r="HJ2026" s="4"/>
      <c r="HK2026" s="4"/>
      <c r="HL2026" s="4"/>
    </row>
    <row r="2027">
      <c r="A2027" s="2" t="s">
        <v>9054</v>
      </c>
      <c r="B2027" s="2" t="s">
        <v>287</v>
      </c>
      <c r="C2027" s="2" t="s">
        <v>825</v>
      </c>
      <c r="D2027" s="2" t="s">
        <v>289</v>
      </c>
      <c r="E2027" s="2" t="s">
        <v>290</v>
      </c>
      <c r="F2027" s="2" t="s">
        <v>472</v>
      </c>
      <c r="G2027" s="2" t="s">
        <v>472</v>
      </c>
      <c r="H2027" s="2" t="s">
        <v>472</v>
      </c>
      <c r="I2027" s="2" t="s">
        <v>8988</v>
      </c>
      <c r="J2027" s="2" t="s">
        <v>302</v>
      </c>
      <c r="K2027" s="2" t="s">
        <v>253</v>
      </c>
      <c r="L2027" s="3">
        <v>16.75</v>
      </c>
      <c r="M2027" s="3">
        <v>17.59</v>
      </c>
      <c r="N2027" s="3">
        <v>37.99</v>
      </c>
      <c r="O2027" s="2" t="s">
        <v>243</v>
      </c>
      <c r="P2027" s="2" t="s">
        <v>270</v>
      </c>
      <c r="Q2027" s="2" t="s">
        <v>237</v>
      </c>
      <c r="R2027" s="2" t="s">
        <v>231</v>
      </c>
      <c r="S2027" s="2" t="s">
        <v>9037</v>
      </c>
      <c r="T2027" s="2" t="s">
        <v>472</v>
      </c>
      <c r="U2027" s="2" t="s">
        <v>231</v>
      </c>
      <c r="V2027" s="2" t="s">
        <v>239</v>
      </c>
      <c r="W2027" s="2" t="s">
        <v>273</v>
      </c>
      <c r="X2027" s="2" t="s">
        <v>231</v>
      </c>
      <c r="Y2027" s="2" t="s">
        <v>274</v>
      </c>
      <c r="Z2027" s="4">
        <v>445</v>
      </c>
      <c r="AA2027" s="4">
        <f>=ROUNDDOWN(32.0143884892086,0)</f>
      </c>
      <c r="AB2027" s="5">
        <v>13.9</v>
      </c>
      <c r="AC2027" s="2" t="s">
        <v>582</v>
      </c>
      <c r="AD2027" s="4">
        <v>30</v>
      </c>
      <c r="AE2027" s="4">
        <v>90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231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231</v>
      </c>
      <c r="AW2027" s="8" t="s">
        <v>231</v>
      </c>
      <c r="AX2027" s="4" t="s">
        <v>231</v>
      </c>
      <c r="AY2027" s="8" t="s">
        <v>231</v>
      </c>
      <c r="AZ2027" s="7" t="s">
        <v>231</v>
      </c>
      <c r="BA2027" s="7" t="s">
        <v>231</v>
      </c>
      <c r="BB2027" s="7"/>
      <c r="BC2027" s="4" t="s">
        <v>231</v>
      </c>
      <c r="BD2027" s="8" t="s">
        <v>231</v>
      </c>
      <c r="BE2027" s="4" t="s">
        <v>231</v>
      </c>
      <c r="BF2027" s="8" t="s">
        <v>231</v>
      </c>
      <c r="BG2027" s="7" t="s">
        <v>231</v>
      </c>
      <c r="BH2027" s="7" t="s">
        <v>231</v>
      </c>
      <c r="BI2027" s="7"/>
      <c r="BJ2027" s="4">
        <v>59</v>
      </c>
      <c r="BK2027" s="8">
        <v>1133.07</v>
      </c>
      <c r="BL2027" s="2" t="s">
        <v>9055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9056</v>
      </c>
      <c r="BV2027" s="2" t="s">
        <v>231</v>
      </c>
      <c r="BW2027" s="2" t="s">
        <v>231</v>
      </c>
      <c r="BX2027" s="2" t="s">
        <v>231</v>
      </c>
      <c r="BY2027" s="2" t="s">
        <v>277</v>
      </c>
      <c r="BZ2027" s="2" t="s">
        <v>243</v>
      </c>
      <c r="CA2027" s="2" t="s">
        <v>284</v>
      </c>
      <c r="CB2027" s="2" t="s">
        <v>9057</v>
      </c>
      <c r="CC2027" s="2" t="s">
        <v>244</v>
      </c>
      <c r="CD2027" s="2" t="s">
        <v>231</v>
      </c>
      <c r="CE2027" s="4">
        <v>445</v>
      </c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>
        <v>30</v>
      </c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/>
      <c r="GU2027" s="4">
        <v>60</v>
      </c>
      <c r="GV2027" s="4"/>
      <c r="GW2027" s="4"/>
      <c r="GX2027" s="4"/>
      <c r="GY2027" s="4"/>
      <c r="GZ2027" s="4"/>
      <c r="HA2027" s="4"/>
      <c r="HB2027" s="4"/>
      <c r="HC2027" s="4"/>
      <c r="HD2027" s="4"/>
      <c r="HE2027" s="4"/>
      <c r="HF2027" s="4"/>
      <c r="HG2027" s="4"/>
      <c r="HH2027" s="4"/>
      <c r="HI2027" s="4"/>
      <c r="HJ2027" s="4"/>
      <c r="HK2027" s="4"/>
      <c r="HL2027" s="4"/>
    </row>
    <row r="2028">
      <c r="A2028" s="2" t="s">
        <v>9058</v>
      </c>
      <c r="B2028" s="2" t="s">
        <v>287</v>
      </c>
      <c r="C2028" s="2" t="s">
        <v>825</v>
      </c>
      <c r="D2028" s="2" t="s">
        <v>289</v>
      </c>
      <c r="E2028" s="2" t="s">
        <v>290</v>
      </c>
      <c r="F2028" s="2" t="s">
        <v>472</v>
      </c>
      <c r="G2028" s="2" t="s">
        <v>472</v>
      </c>
      <c r="H2028" s="2" t="s">
        <v>472</v>
      </c>
      <c r="I2028" s="2" t="s">
        <v>8988</v>
      </c>
      <c r="J2028" s="2" t="s">
        <v>268</v>
      </c>
      <c r="K2028" s="2" t="s">
        <v>1677</v>
      </c>
      <c r="L2028" s="3">
        <v>11.18</v>
      </c>
      <c r="M2028" s="3">
        <v>11.74</v>
      </c>
      <c r="N2028" s="3">
        <v>27.99</v>
      </c>
      <c r="O2028" s="2" t="s">
        <v>243</v>
      </c>
      <c r="P2028" s="2" t="s">
        <v>270</v>
      </c>
      <c r="Q2028" s="2" t="s">
        <v>237</v>
      </c>
      <c r="R2028" s="2" t="s">
        <v>231</v>
      </c>
      <c r="S2028" s="2" t="s">
        <v>9059</v>
      </c>
      <c r="T2028" s="2" t="s">
        <v>472</v>
      </c>
      <c r="U2028" s="2" t="s">
        <v>835</v>
      </c>
      <c r="V2028" s="2" t="s">
        <v>239</v>
      </c>
      <c r="W2028" s="2" t="s">
        <v>273</v>
      </c>
      <c r="X2028" s="2" t="s">
        <v>231</v>
      </c>
      <c r="Y2028" s="2" t="s">
        <v>8625</v>
      </c>
      <c r="Z2028" s="4">
        <v>251</v>
      </c>
      <c r="AA2028" s="4">
        <f>=ROUNDDOWN(62.75,0)</f>
      </c>
      <c r="AB2028" s="5">
        <v>4</v>
      </c>
      <c r="AC2028" s="2" t="s">
        <v>477</v>
      </c>
      <c r="AD2028" s="4">
        <v>120</v>
      </c>
      <c r="AE2028" s="4">
        <v>220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231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231</v>
      </c>
      <c r="AW2028" s="8" t="s">
        <v>231</v>
      </c>
      <c r="AX2028" s="4" t="s">
        <v>231</v>
      </c>
      <c r="AY2028" s="8" t="s">
        <v>231</v>
      </c>
      <c r="AZ2028" s="7" t="s">
        <v>231</v>
      </c>
      <c r="BA2028" s="7" t="s">
        <v>231</v>
      </c>
      <c r="BB2028" s="7"/>
      <c r="BC2028" s="4" t="s">
        <v>231</v>
      </c>
      <c r="BD2028" s="8" t="s">
        <v>231</v>
      </c>
      <c r="BE2028" s="4" t="s">
        <v>231</v>
      </c>
      <c r="BF2028" s="8" t="s">
        <v>231</v>
      </c>
      <c r="BG2028" s="7" t="s">
        <v>231</v>
      </c>
      <c r="BH2028" s="7" t="s">
        <v>231</v>
      </c>
      <c r="BI2028" s="7"/>
      <c r="BJ2028" s="4">
        <v>2</v>
      </c>
      <c r="BK2028" s="8">
        <v>24.66</v>
      </c>
      <c r="BL2028" s="2" t="s">
        <v>4136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9060</v>
      </c>
      <c r="BV2028" s="2" t="s">
        <v>231</v>
      </c>
      <c r="BW2028" s="2" t="s">
        <v>231</v>
      </c>
      <c r="BX2028" s="2" t="s">
        <v>231</v>
      </c>
      <c r="BY2028" s="2" t="s">
        <v>277</v>
      </c>
      <c r="BZ2028" s="2" t="s">
        <v>243</v>
      </c>
      <c r="CA2028" s="2" t="s">
        <v>386</v>
      </c>
      <c r="CB2028" s="2" t="s">
        <v>231</v>
      </c>
      <c r="CC2028" s="2" t="s">
        <v>244</v>
      </c>
      <c r="CD2028" s="2" t="s">
        <v>231</v>
      </c>
      <c r="CE2028" s="4">
        <v>251</v>
      </c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>
        <v>120</v>
      </c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>
        <v>100</v>
      </c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  <c r="HG2028" s="4"/>
      <c r="HH2028" s="4"/>
      <c r="HI2028" s="4"/>
      <c r="HJ2028" s="4"/>
      <c r="HK2028" s="4"/>
      <c r="HL2028" s="4"/>
    </row>
    <row r="2029">
      <c r="A2029" s="2" t="s">
        <v>9061</v>
      </c>
      <c r="B2029" s="2" t="s">
        <v>287</v>
      </c>
      <c r="C2029" s="2" t="s">
        <v>825</v>
      </c>
      <c r="D2029" s="2" t="s">
        <v>289</v>
      </c>
      <c r="E2029" s="2" t="s">
        <v>290</v>
      </c>
      <c r="F2029" s="2" t="s">
        <v>472</v>
      </c>
      <c r="G2029" s="2" t="s">
        <v>472</v>
      </c>
      <c r="H2029" s="2" t="s">
        <v>472</v>
      </c>
      <c r="I2029" s="2" t="s">
        <v>8988</v>
      </c>
      <c r="J2029" s="2" t="s">
        <v>281</v>
      </c>
      <c r="K2029" s="2" t="s">
        <v>1677</v>
      </c>
      <c r="L2029" s="3">
        <v>12.92</v>
      </c>
      <c r="M2029" s="3">
        <v>13.57</v>
      </c>
      <c r="N2029" s="3">
        <v>30.99</v>
      </c>
      <c r="O2029" s="2" t="s">
        <v>243</v>
      </c>
      <c r="P2029" s="2" t="s">
        <v>270</v>
      </c>
      <c r="Q2029" s="2" t="s">
        <v>237</v>
      </c>
      <c r="R2029" s="2" t="s">
        <v>231</v>
      </c>
      <c r="S2029" s="2" t="s">
        <v>9059</v>
      </c>
      <c r="T2029" s="2" t="s">
        <v>472</v>
      </c>
      <c r="U2029" s="2" t="s">
        <v>298</v>
      </c>
      <c r="V2029" s="2" t="s">
        <v>239</v>
      </c>
      <c r="W2029" s="2" t="s">
        <v>273</v>
      </c>
      <c r="X2029" s="2" t="s">
        <v>231</v>
      </c>
      <c r="Y2029" s="2" t="s">
        <v>8625</v>
      </c>
      <c r="Z2029" s="4">
        <v>127</v>
      </c>
      <c r="AA2029" s="4">
        <f>=ROUNDDOWN(21.1666666666667,0)</f>
      </c>
      <c r="AB2029" s="5">
        <v>6</v>
      </c>
      <c r="AC2029" s="2" t="s">
        <v>477</v>
      </c>
      <c r="AD2029" s="4">
        <v>20</v>
      </c>
      <c r="AE2029" s="4">
        <v>110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231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231</v>
      </c>
      <c r="AW2029" s="8" t="s">
        <v>231</v>
      </c>
      <c r="AX2029" s="4" t="s">
        <v>231</v>
      </c>
      <c r="AY2029" s="8" t="s">
        <v>231</v>
      </c>
      <c r="AZ2029" s="7" t="s">
        <v>231</v>
      </c>
      <c r="BA2029" s="7" t="s">
        <v>231</v>
      </c>
      <c r="BB2029" s="7"/>
      <c r="BC2029" s="4" t="s">
        <v>231</v>
      </c>
      <c r="BD2029" s="8" t="s">
        <v>231</v>
      </c>
      <c r="BE2029" s="4" t="s">
        <v>231</v>
      </c>
      <c r="BF2029" s="8" t="s">
        <v>231</v>
      </c>
      <c r="BG2029" s="7" t="s">
        <v>231</v>
      </c>
      <c r="BH2029" s="7" t="s">
        <v>231</v>
      </c>
      <c r="BI2029" s="7"/>
      <c r="BJ2029" s="4">
        <v>14</v>
      </c>
      <c r="BK2029" s="8">
        <v>197.49</v>
      </c>
      <c r="BL2029" s="2" t="s">
        <v>9008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9062</v>
      </c>
      <c r="BV2029" s="2" t="s">
        <v>231</v>
      </c>
      <c r="BW2029" s="2" t="s">
        <v>231</v>
      </c>
      <c r="BX2029" s="2" t="s">
        <v>231</v>
      </c>
      <c r="BY2029" s="2" t="s">
        <v>277</v>
      </c>
      <c r="BZ2029" s="2" t="s">
        <v>243</v>
      </c>
      <c r="CA2029" s="2" t="s">
        <v>386</v>
      </c>
      <c r="CB2029" s="2" t="s">
        <v>446</v>
      </c>
      <c r="CC2029" s="2" t="s">
        <v>244</v>
      </c>
      <c r="CD2029" s="2" t="s">
        <v>231</v>
      </c>
      <c r="CE2029" s="4">
        <v>127</v>
      </c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>
        <v>20</v>
      </c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>
        <v>90</v>
      </c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  <c r="HG2029" s="4"/>
      <c r="HH2029" s="4"/>
      <c r="HI2029" s="4"/>
      <c r="HJ2029" s="4"/>
      <c r="HK2029" s="4"/>
      <c r="HL2029" s="4"/>
    </row>
    <row r="2030">
      <c r="A2030" s="2" t="s">
        <v>9063</v>
      </c>
      <c r="B2030" s="2" t="s">
        <v>287</v>
      </c>
      <c r="C2030" s="2" t="s">
        <v>825</v>
      </c>
      <c r="D2030" s="2" t="s">
        <v>289</v>
      </c>
      <c r="E2030" s="2" t="s">
        <v>290</v>
      </c>
      <c r="F2030" s="2" t="s">
        <v>472</v>
      </c>
      <c r="G2030" s="2" t="s">
        <v>472</v>
      </c>
      <c r="H2030" s="2" t="s">
        <v>472</v>
      </c>
      <c r="I2030" s="2" t="s">
        <v>8988</v>
      </c>
      <c r="J2030" s="2" t="s">
        <v>293</v>
      </c>
      <c r="K2030" s="2" t="s">
        <v>1677</v>
      </c>
      <c r="L2030" s="3">
        <v>14.21</v>
      </c>
      <c r="M2030" s="3">
        <v>14.92</v>
      </c>
      <c r="N2030" s="3">
        <v>32.99</v>
      </c>
      <c r="O2030" s="2" t="s">
        <v>243</v>
      </c>
      <c r="P2030" s="2" t="s">
        <v>270</v>
      </c>
      <c r="Q2030" s="2" t="s">
        <v>237</v>
      </c>
      <c r="R2030" s="2" t="s">
        <v>231</v>
      </c>
      <c r="S2030" s="2" t="s">
        <v>9059</v>
      </c>
      <c r="T2030" s="2" t="s">
        <v>472</v>
      </c>
      <c r="U2030" s="2" t="s">
        <v>298</v>
      </c>
      <c r="V2030" s="2" t="s">
        <v>239</v>
      </c>
      <c r="W2030" s="2" t="s">
        <v>273</v>
      </c>
      <c r="X2030" s="2" t="s">
        <v>231</v>
      </c>
      <c r="Y2030" s="2" t="s">
        <v>8625</v>
      </c>
      <c r="Z2030" s="4">
        <v>284</v>
      </c>
      <c r="AA2030" s="4">
        <f>=ROUNDDOWN(31.5555555555556,0)</f>
      </c>
      <c r="AB2030" s="5">
        <v>9</v>
      </c>
      <c r="AC2030" s="2" t="s">
        <v>2082</v>
      </c>
      <c r="AD2030" s="4">
        <v>50</v>
      </c>
      <c r="AE2030" s="4">
        <v>50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231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231</v>
      </c>
      <c r="AW2030" s="8" t="s">
        <v>231</v>
      </c>
      <c r="AX2030" s="4" t="s">
        <v>231</v>
      </c>
      <c r="AY2030" s="8" t="s">
        <v>231</v>
      </c>
      <c r="AZ2030" s="7" t="s">
        <v>231</v>
      </c>
      <c r="BA2030" s="7" t="s">
        <v>231</v>
      </c>
      <c r="BB2030" s="7"/>
      <c r="BC2030" s="4" t="s">
        <v>231</v>
      </c>
      <c r="BD2030" s="8" t="s">
        <v>231</v>
      </c>
      <c r="BE2030" s="4" t="s">
        <v>231</v>
      </c>
      <c r="BF2030" s="8" t="s">
        <v>231</v>
      </c>
      <c r="BG2030" s="7" t="s">
        <v>231</v>
      </c>
      <c r="BH2030" s="7" t="s">
        <v>231</v>
      </c>
      <c r="BI2030" s="7"/>
      <c r="BJ2030" s="4">
        <v>23</v>
      </c>
      <c r="BK2030" s="8">
        <v>354.26</v>
      </c>
      <c r="BL2030" s="2" t="s">
        <v>9064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9065</v>
      </c>
      <c r="BV2030" s="2" t="s">
        <v>231</v>
      </c>
      <c r="BW2030" s="2" t="s">
        <v>231</v>
      </c>
      <c r="BX2030" s="2" t="s">
        <v>231</v>
      </c>
      <c r="BY2030" s="2" t="s">
        <v>277</v>
      </c>
      <c r="BZ2030" s="2" t="s">
        <v>243</v>
      </c>
      <c r="CA2030" s="2" t="s">
        <v>386</v>
      </c>
      <c r="CB2030" s="2" t="s">
        <v>8128</v>
      </c>
      <c r="CC2030" s="2" t="s">
        <v>244</v>
      </c>
      <c r="CD2030" s="2" t="s">
        <v>231</v>
      </c>
      <c r="CE2030" s="4">
        <v>284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>
        <v>50</v>
      </c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4"/>
      <c r="HH2030" s="4"/>
      <c r="HI2030" s="4"/>
      <c r="HJ2030" s="4"/>
      <c r="HK2030" s="4"/>
      <c r="HL2030" s="4"/>
    </row>
    <row r="2031">
      <c r="A2031" s="2" t="s">
        <v>9066</v>
      </c>
      <c r="B2031" s="2" t="s">
        <v>287</v>
      </c>
      <c r="C2031" s="2" t="s">
        <v>825</v>
      </c>
      <c r="D2031" s="2" t="s">
        <v>289</v>
      </c>
      <c r="E2031" s="2" t="s">
        <v>290</v>
      </c>
      <c r="F2031" s="2" t="s">
        <v>472</v>
      </c>
      <c r="G2031" s="2" t="s">
        <v>472</v>
      </c>
      <c r="H2031" s="2" t="s">
        <v>472</v>
      </c>
      <c r="I2031" s="2" t="s">
        <v>8988</v>
      </c>
      <c r="J2031" s="2" t="s">
        <v>302</v>
      </c>
      <c r="K2031" s="2" t="s">
        <v>1677</v>
      </c>
      <c r="L2031" s="3">
        <v>16.75</v>
      </c>
      <c r="M2031" s="3">
        <v>17.59</v>
      </c>
      <c r="N2031" s="3">
        <v>37.99</v>
      </c>
      <c r="O2031" s="2" t="s">
        <v>243</v>
      </c>
      <c r="P2031" s="2" t="s">
        <v>270</v>
      </c>
      <c r="Q2031" s="2" t="s">
        <v>237</v>
      </c>
      <c r="R2031" s="2" t="s">
        <v>231</v>
      </c>
      <c r="S2031" s="2" t="s">
        <v>9059</v>
      </c>
      <c r="T2031" s="2" t="s">
        <v>472</v>
      </c>
      <c r="U2031" s="2" t="s">
        <v>298</v>
      </c>
      <c r="V2031" s="2" t="s">
        <v>239</v>
      </c>
      <c r="W2031" s="2" t="s">
        <v>273</v>
      </c>
      <c r="X2031" s="2" t="s">
        <v>231</v>
      </c>
      <c r="Y2031" s="2" t="s">
        <v>8625</v>
      </c>
      <c r="Z2031" s="4">
        <v>61</v>
      </c>
      <c r="AA2031" s="4">
        <f>=ROUNDDOWN(15.25,0)</f>
      </c>
      <c r="AB2031" s="5">
        <v>4</v>
      </c>
      <c r="AC2031" s="2" t="s">
        <v>477</v>
      </c>
      <c r="AD2031" s="4">
        <v>30</v>
      </c>
      <c r="AE2031" s="4">
        <v>70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231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231</v>
      </c>
      <c r="AW2031" s="8" t="s">
        <v>231</v>
      </c>
      <c r="AX2031" s="4" t="s">
        <v>231</v>
      </c>
      <c r="AY2031" s="8" t="s">
        <v>231</v>
      </c>
      <c r="AZ2031" s="7" t="s">
        <v>231</v>
      </c>
      <c r="BA2031" s="7" t="s">
        <v>231</v>
      </c>
      <c r="BB2031" s="7"/>
      <c r="BC2031" s="4" t="s">
        <v>231</v>
      </c>
      <c r="BD2031" s="8" t="s">
        <v>231</v>
      </c>
      <c r="BE2031" s="4" t="s">
        <v>231</v>
      </c>
      <c r="BF2031" s="8" t="s">
        <v>231</v>
      </c>
      <c r="BG2031" s="7" t="s">
        <v>231</v>
      </c>
      <c r="BH2031" s="7" t="s">
        <v>231</v>
      </c>
      <c r="BI2031" s="7"/>
      <c r="BJ2031" s="4">
        <v>5</v>
      </c>
      <c r="BK2031" s="8">
        <v>91.81</v>
      </c>
      <c r="BL2031" s="2" t="s">
        <v>9067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9068</v>
      </c>
      <c r="BV2031" s="2" t="s">
        <v>231</v>
      </c>
      <c r="BW2031" s="2" t="s">
        <v>231</v>
      </c>
      <c r="BX2031" s="2" t="s">
        <v>231</v>
      </c>
      <c r="BY2031" s="2" t="s">
        <v>277</v>
      </c>
      <c r="BZ2031" s="2" t="s">
        <v>243</v>
      </c>
      <c r="CA2031" s="2" t="s">
        <v>386</v>
      </c>
      <c r="CB2031" s="2" t="s">
        <v>822</v>
      </c>
      <c r="CC2031" s="2" t="s">
        <v>244</v>
      </c>
      <c r="CD2031" s="2" t="s">
        <v>231</v>
      </c>
      <c r="CE2031" s="4">
        <v>61</v>
      </c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>
        <v>30</v>
      </c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>
        <v>40</v>
      </c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  <c r="HG2031" s="4"/>
      <c r="HH2031" s="4"/>
      <c r="HI2031" s="4"/>
      <c r="HJ2031" s="4"/>
      <c r="HK2031" s="4"/>
      <c r="HL2031" s="4"/>
    </row>
    <row r="2032">
      <c r="A2032" s="2" t="s">
        <v>9069</v>
      </c>
      <c r="B2032" s="2" t="s">
        <v>287</v>
      </c>
      <c r="C2032" s="2" t="s">
        <v>825</v>
      </c>
      <c r="D2032" s="2" t="s">
        <v>289</v>
      </c>
      <c r="E2032" s="2" t="s">
        <v>290</v>
      </c>
      <c r="F2032" s="2" t="s">
        <v>472</v>
      </c>
      <c r="G2032" s="2" t="s">
        <v>472</v>
      </c>
      <c r="H2032" s="2" t="s">
        <v>472</v>
      </c>
      <c r="I2032" s="2" t="s">
        <v>8988</v>
      </c>
      <c r="J2032" s="2" t="s">
        <v>318</v>
      </c>
      <c r="K2032" s="2" t="s">
        <v>2125</v>
      </c>
      <c r="L2032" s="3">
        <v>11.18</v>
      </c>
      <c r="M2032" s="3">
        <v>11.74</v>
      </c>
      <c r="N2032" s="3">
        <v>27.99</v>
      </c>
      <c r="O2032" s="2" t="s">
        <v>243</v>
      </c>
      <c r="P2032" s="2" t="s">
        <v>270</v>
      </c>
      <c r="Q2032" s="2" t="s">
        <v>237</v>
      </c>
      <c r="R2032" s="2" t="s">
        <v>231</v>
      </c>
      <c r="S2032" s="2" t="s">
        <v>9070</v>
      </c>
      <c r="T2032" s="2" t="s">
        <v>472</v>
      </c>
      <c r="U2032" s="2" t="s">
        <v>231</v>
      </c>
      <c r="V2032" s="2" t="s">
        <v>239</v>
      </c>
      <c r="W2032" s="2" t="s">
        <v>273</v>
      </c>
      <c r="X2032" s="2" t="s">
        <v>231</v>
      </c>
      <c r="Y2032" s="2" t="s">
        <v>274</v>
      </c>
      <c r="Z2032" s="4">
        <v>260</v>
      </c>
      <c r="AA2032" s="4">
        <f>=ROUNDDOWN(32.5,0)</f>
      </c>
      <c r="AB2032" s="5">
        <v>8</v>
      </c>
      <c r="AC2032" s="2" t="s">
        <v>3090</v>
      </c>
      <c r="AD2032" s="4">
        <v>30</v>
      </c>
      <c r="AE2032" s="4">
        <v>100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231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231</v>
      </c>
      <c r="AW2032" s="8" t="s">
        <v>231</v>
      </c>
      <c r="AX2032" s="4" t="s">
        <v>231</v>
      </c>
      <c r="AY2032" s="8" t="s">
        <v>231</v>
      </c>
      <c r="AZ2032" s="7" t="s">
        <v>231</v>
      </c>
      <c r="BA2032" s="7" t="s">
        <v>231</v>
      </c>
      <c r="BB2032" s="7" t="s">
        <v>231</v>
      </c>
      <c r="BC2032" s="4" t="s">
        <v>231</v>
      </c>
      <c r="BD2032" s="8" t="s">
        <v>231</v>
      </c>
      <c r="BE2032" s="4" t="s">
        <v>231</v>
      </c>
      <c r="BF2032" s="8" t="s">
        <v>231</v>
      </c>
      <c r="BG2032" s="7" t="s">
        <v>231</v>
      </c>
      <c r="BH2032" s="7" t="s">
        <v>231</v>
      </c>
      <c r="BI2032" s="7"/>
      <c r="BJ2032" s="4">
        <v>16</v>
      </c>
      <c r="BK2032" s="8">
        <v>184.07</v>
      </c>
      <c r="BL2032" s="2" t="s">
        <v>9071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9072</v>
      </c>
      <c r="BV2032" s="2" t="s">
        <v>231</v>
      </c>
      <c r="BW2032" s="2" t="s">
        <v>231</v>
      </c>
      <c r="BX2032" s="2" t="s">
        <v>231</v>
      </c>
      <c r="BY2032" s="2" t="s">
        <v>277</v>
      </c>
      <c r="BZ2032" s="2" t="s">
        <v>243</v>
      </c>
      <c r="CA2032" s="2" t="s">
        <v>284</v>
      </c>
      <c r="CB2032" s="2" t="s">
        <v>8784</v>
      </c>
      <c r="CC2032" s="2" t="s">
        <v>244</v>
      </c>
      <c r="CD2032" s="2" t="s">
        <v>231</v>
      </c>
      <c r="CE2032" s="4">
        <v>260</v>
      </c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>
        <v>30</v>
      </c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>
        <v>70</v>
      </c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  <c r="HG2032" s="4"/>
      <c r="HH2032" s="4"/>
      <c r="HI2032" s="4"/>
      <c r="HJ2032" s="4"/>
      <c r="HK2032" s="4"/>
      <c r="HL2032" s="4"/>
    </row>
    <row r="2033">
      <c r="A2033" s="2" t="s">
        <v>9073</v>
      </c>
      <c r="B2033" s="2" t="s">
        <v>287</v>
      </c>
      <c r="C2033" s="2" t="s">
        <v>825</v>
      </c>
      <c r="D2033" s="2" t="s">
        <v>289</v>
      </c>
      <c r="E2033" s="2" t="s">
        <v>290</v>
      </c>
      <c r="F2033" s="2" t="s">
        <v>472</v>
      </c>
      <c r="G2033" s="2" t="s">
        <v>472</v>
      </c>
      <c r="H2033" s="2" t="s">
        <v>472</v>
      </c>
      <c r="I2033" s="2" t="s">
        <v>9013</v>
      </c>
      <c r="J2033" s="2" t="s">
        <v>318</v>
      </c>
      <c r="K2033" s="2" t="s">
        <v>2125</v>
      </c>
      <c r="L2033" s="3">
        <v>12.15</v>
      </c>
      <c r="M2033" s="3">
        <v>12.76</v>
      </c>
      <c r="N2033" s="3">
        <v>26.99</v>
      </c>
      <c r="O2033" s="2" t="s">
        <v>243</v>
      </c>
      <c r="P2033" s="2" t="s">
        <v>270</v>
      </c>
      <c r="Q2033" s="2" t="s">
        <v>237</v>
      </c>
      <c r="R2033" s="2" t="s">
        <v>231</v>
      </c>
      <c r="S2033" s="2" t="s">
        <v>9070</v>
      </c>
      <c r="T2033" s="2" t="s">
        <v>472</v>
      </c>
      <c r="U2033" s="2" t="s">
        <v>298</v>
      </c>
      <c r="V2033" s="2" t="s">
        <v>239</v>
      </c>
      <c r="W2033" s="2" t="s">
        <v>691</v>
      </c>
      <c r="X2033" s="2" t="s">
        <v>231</v>
      </c>
      <c r="Y2033" s="2" t="s">
        <v>8715</v>
      </c>
      <c r="Z2033" s="4">
        <v>126</v>
      </c>
      <c r="AA2033" s="4">
        <f>=ROUNDDOWN(31.5,0)</f>
      </c>
      <c r="AB2033" s="5">
        <v>4</v>
      </c>
      <c r="AC2033" s="2" t="s">
        <v>1315</v>
      </c>
      <c r="AD2033" s="4">
        <v>30</v>
      </c>
      <c r="AE2033" s="4">
        <v>50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231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 t="s">
        <v>231</v>
      </c>
      <c r="AW2033" s="8" t="s">
        <v>231</v>
      </c>
      <c r="AX2033" s="4" t="s">
        <v>231</v>
      </c>
      <c r="AY2033" s="8" t="s">
        <v>231</v>
      </c>
      <c r="AZ2033" s="7" t="s">
        <v>231</v>
      </c>
      <c r="BA2033" s="7" t="s">
        <v>231</v>
      </c>
      <c r="BB2033" s="7" t="s">
        <v>231</v>
      </c>
      <c r="BC2033" s="4" t="s">
        <v>231</v>
      </c>
      <c r="BD2033" s="8" t="s">
        <v>231</v>
      </c>
      <c r="BE2033" s="4" t="s">
        <v>231</v>
      </c>
      <c r="BF2033" s="8" t="s">
        <v>231</v>
      </c>
      <c r="BG2033" s="7" t="s">
        <v>231</v>
      </c>
      <c r="BH2033" s="7" t="s">
        <v>231</v>
      </c>
      <c r="BI2033" s="7"/>
      <c r="BJ2033" s="4">
        <v>11</v>
      </c>
      <c r="BK2033" s="8">
        <v>134.86</v>
      </c>
      <c r="BL2033" s="2" t="s">
        <v>3882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9074</v>
      </c>
      <c r="BV2033" s="2" t="s">
        <v>231</v>
      </c>
      <c r="BW2033" s="2" t="s">
        <v>231</v>
      </c>
      <c r="BX2033" s="2" t="s">
        <v>231</v>
      </c>
      <c r="BY2033" s="2" t="s">
        <v>277</v>
      </c>
      <c r="BZ2033" s="2" t="s">
        <v>243</v>
      </c>
      <c r="CA2033" s="2" t="s">
        <v>4835</v>
      </c>
      <c r="CB2033" s="2" t="s">
        <v>3702</v>
      </c>
      <c r="CC2033" s="2" t="s">
        <v>244</v>
      </c>
      <c r="CD2033" s="2" t="s">
        <v>231</v>
      </c>
      <c r="CE2033" s="4">
        <v>126</v>
      </c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>
        <v>30</v>
      </c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>
        <v>20</v>
      </c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  <c r="HG2033" s="4"/>
      <c r="HH2033" s="4"/>
      <c r="HI2033" s="4"/>
      <c r="HJ2033" s="4"/>
      <c r="HK2033" s="4"/>
      <c r="HL2033" s="4"/>
    </row>
    <row r="2034">
      <c r="A2034" s="2" t="s">
        <v>9075</v>
      </c>
      <c r="B2034" s="2" t="s">
        <v>287</v>
      </c>
      <c r="C2034" s="2" t="s">
        <v>825</v>
      </c>
      <c r="D2034" s="2" t="s">
        <v>289</v>
      </c>
      <c r="E2034" s="2" t="s">
        <v>290</v>
      </c>
      <c r="F2034" s="2" t="s">
        <v>472</v>
      </c>
      <c r="G2034" s="2" t="s">
        <v>472</v>
      </c>
      <c r="H2034" s="2" t="s">
        <v>472</v>
      </c>
      <c r="I2034" s="2" t="s">
        <v>8988</v>
      </c>
      <c r="J2034" s="2" t="s">
        <v>268</v>
      </c>
      <c r="K2034" s="2" t="s">
        <v>2125</v>
      </c>
      <c r="L2034" s="3">
        <v>11.18</v>
      </c>
      <c r="M2034" s="3">
        <v>11.74</v>
      </c>
      <c r="N2034" s="3">
        <v>27.99</v>
      </c>
      <c r="O2034" s="2" t="s">
        <v>243</v>
      </c>
      <c r="P2034" s="2" t="s">
        <v>270</v>
      </c>
      <c r="Q2034" s="2" t="s">
        <v>237</v>
      </c>
      <c r="R2034" s="2" t="s">
        <v>231</v>
      </c>
      <c r="S2034" s="2" t="s">
        <v>9070</v>
      </c>
      <c r="T2034" s="2" t="s">
        <v>472</v>
      </c>
      <c r="U2034" s="2" t="s">
        <v>231</v>
      </c>
      <c r="V2034" s="2" t="s">
        <v>239</v>
      </c>
      <c r="W2034" s="2" t="s">
        <v>273</v>
      </c>
      <c r="X2034" s="2" t="s">
        <v>231</v>
      </c>
      <c r="Y2034" s="2" t="s">
        <v>274</v>
      </c>
      <c r="Z2034" s="4">
        <v>189</v>
      </c>
      <c r="AA2034" s="4">
        <f>=ROUNDDOWN(37.8,0)</f>
      </c>
      <c r="AB2034" s="5">
        <v>5</v>
      </c>
      <c r="AC2034" s="2" t="s">
        <v>3090</v>
      </c>
      <c r="AD2034" s="4">
        <v>128</v>
      </c>
      <c r="AE2034" s="4">
        <v>308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231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231</v>
      </c>
      <c r="AW2034" s="8" t="s">
        <v>231</v>
      </c>
      <c r="AX2034" s="4" t="s">
        <v>231</v>
      </c>
      <c r="AY2034" s="8" t="s">
        <v>231</v>
      </c>
      <c r="AZ2034" s="7" t="s">
        <v>231</v>
      </c>
      <c r="BA2034" s="7" t="s">
        <v>231</v>
      </c>
      <c r="BB2034" s="7" t="s">
        <v>231</v>
      </c>
      <c r="BC2034" s="4" t="s">
        <v>231</v>
      </c>
      <c r="BD2034" s="8" t="s">
        <v>231</v>
      </c>
      <c r="BE2034" s="4" t="s">
        <v>231</v>
      </c>
      <c r="BF2034" s="8" t="s">
        <v>231</v>
      </c>
      <c r="BG2034" s="7" t="s">
        <v>231</v>
      </c>
      <c r="BH2034" s="7" t="s">
        <v>231</v>
      </c>
      <c r="BI2034" s="7"/>
      <c r="BJ2034" s="4">
        <v>28</v>
      </c>
      <c r="BK2034" s="8">
        <v>336.65</v>
      </c>
      <c r="BL2034" s="2" t="s">
        <v>9076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9077</v>
      </c>
      <c r="BV2034" s="2" t="s">
        <v>231</v>
      </c>
      <c r="BW2034" s="2" t="s">
        <v>231</v>
      </c>
      <c r="BX2034" s="2" t="s">
        <v>231</v>
      </c>
      <c r="BY2034" s="2" t="s">
        <v>277</v>
      </c>
      <c r="BZ2034" s="2" t="s">
        <v>243</v>
      </c>
      <c r="CA2034" s="2" t="s">
        <v>284</v>
      </c>
      <c r="CB2034" s="2" t="s">
        <v>9078</v>
      </c>
      <c r="CC2034" s="2" t="s">
        <v>244</v>
      </c>
      <c r="CD2034" s="2" t="s">
        <v>231</v>
      </c>
      <c r="CE2034" s="4">
        <v>189</v>
      </c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>
        <v>128</v>
      </c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>
        <v>100</v>
      </c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>
        <v>20</v>
      </c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>
        <v>60</v>
      </c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4"/>
      <c r="HG2034" s="4"/>
      <c r="HH2034" s="4"/>
      <c r="HI2034" s="4"/>
      <c r="HJ2034" s="4"/>
      <c r="HK2034" s="4"/>
      <c r="HL2034" s="4"/>
    </row>
    <row r="2035">
      <c r="A2035" s="2" t="s">
        <v>9079</v>
      </c>
      <c r="B2035" s="2" t="s">
        <v>287</v>
      </c>
      <c r="C2035" s="2" t="s">
        <v>825</v>
      </c>
      <c r="D2035" s="2" t="s">
        <v>289</v>
      </c>
      <c r="E2035" s="2" t="s">
        <v>290</v>
      </c>
      <c r="F2035" s="2" t="s">
        <v>472</v>
      </c>
      <c r="G2035" s="2" t="s">
        <v>472</v>
      </c>
      <c r="H2035" s="2" t="s">
        <v>472</v>
      </c>
      <c r="I2035" s="2" t="s">
        <v>9013</v>
      </c>
      <c r="J2035" s="2" t="s">
        <v>268</v>
      </c>
      <c r="K2035" s="2" t="s">
        <v>2125</v>
      </c>
      <c r="L2035" s="3">
        <v>12.15</v>
      </c>
      <c r="M2035" s="3">
        <v>12.76</v>
      </c>
      <c r="N2035" s="3">
        <v>26.99</v>
      </c>
      <c r="O2035" s="2" t="s">
        <v>243</v>
      </c>
      <c r="P2035" s="2" t="s">
        <v>270</v>
      </c>
      <c r="Q2035" s="2" t="s">
        <v>237</v>
      </c>
      <c r="R2035" s="2" t="s">
        <v>231</v>
      </c>
      <c r="S2035" s="2" t="s">
        <v>9070</v>
      </c>
      <c r="T2035" s="2" t="s">
        <v>472</v>
      </c>
      <c r="U2035" s="2" t="s">
        <v>298</v>
      </c>
      <c r="V2035" s="2" t="s">
        <v>239</v>
      </c>
      <c r="W2035" s="2" t="s">
        <v>691</v>
      </c>
      <c r="X2035" s="2" t="s">
        <v>231</v>
      </c>
      <c r="Y2035" s="2" t="s">
        <v>8715</v>
      </c>
      <c r="Z2035" s="4">
        <v>333</v>
      </c>
      <c r="AA2035" s="4">
        <f>=ROUNDDOWN(55.5,0)</f>
      </c>
      <c r="AB2035" s="5">
        <v>6</v>
      </c>
      <c r="AC2035" s="2" t="s">
        <v>3090</v>
      </c>
      <c r="AD2035" s="4">
        <v>100</v>
      </c>
      <c r="AE2035" s="4">
        <v>260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231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231</v>
      </c>
      <c r="AW2035" s="8" t="s">
        <v>231</v>
      </c>
      <c r="AX2035" s="4" t="s">
        <v>231</v>
      </c>
      <c r="AY2035" s="8" t="s">
        <v>231</v>
      </c>
      <c r="AZ2035" s="7" t="s">
        <v>231</v>
      </c>
      <c r="BA2035" s="7" t="s">
        <v>231</v>
      </c>
      <c r="BB2035" s="7" t="s">
        <v>231</v>
      </c>
      <c r="BC2035" s="4" t="s">
        <v>231</v>
      </c>
      <c r="BD2035" s="8" t="s">
        <v>231</v>
      </c>
      <c r="BE2035" s="4" t="s">
        <v>231</v>
      </c>
      <c r="BF2035" s="8" t="s">
        <v>231</v>
      </c>
      <c r="BG2035" s="7" t="s">
        <v>231</v>
      </c>
      <c r="BH2035" s="7" t="s">
        <v>231</v>
      </c>
      <c r="BI2035" s="7"/>
      <c r="BJ2035" s="4">
        <v>16</v>
      </c>
      <c r="BK2035" s="8">
        <v>200</v>
      </c>
      <c r="BL2035" s="2" t="s">
        <v>9080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9081</v>
      </c>
      <c r="BV2035" s="2" t="s">
        <v>231</v>
      </c>
      <c r="BW2035" s="2" t="s">
        <v>231</v>
      </c>
      <c r="BX2035" s="2" t="s">
        <v>231</v>
      </c>
      <c r="BY2035" s="2" t="s">
        <v>277</v>
      </c>
      <c r="BZ2035" s="2" t="s">
        <v>243</v>
      </c>
      <c r="CA2035" s="2" t="s">
        <v>4835</v>
      </c>
      <c r="CB2035" s="2" t="s">
        <v>9082</v>
      </c>
      <c r="CC2035" s="2" t="s">
        <v>244</v>
      </c>
      <c r="CD2035" s="2" t="s">
        <v>231</v>
      </c>
      <c r="CE2035" s="4">
        <v>333</v>
      </c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>
        <v>100</v>
      </c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>
        <v>70</v>
      </c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>
        <v>20</v>
      </c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>
        <v>30</v>
      </c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>
        <v>40</v>
      </c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  <c r="HG2035" s="4"/>
      <c r="HH2035" s="4"/>
      <c r="HI2035" s="4"/>
      <c r="HJ2035" s="4"/>
      <c r="HK2035" s="4"/>
      <c r="HL2035" s="4"/>
    </row>
    <row r="2036">
      <c r="A2036" s="2" t="s">
        <v>9083</v>
      </c>
      <c r="B2036" s="2" t="s">
        <v>287</v>
      </c>
      <c r="C2036" s="2" t="s">
        <v>825</v>
      </c>
      <c r="D2036" s="2" t="s">
        <v>289</v>
      </c>
      <c r="E2036" s="2" t="s">
        <v>290</v>
      </c>
      <c r="F2036" s="2" t="s">
        <v>472</v>
      </c>
      <c r="G2036" s="2" t="s">
        <v>472</v>
      </c>
      <c r="H2036" s="2" t="s">
        <v>472</v>
      </c>
      <c r="I2036" s="2" t="s">
        <v>9013</v>
      </c>
      <c r="J2036" s="2" t="s">
        <v>281</v>
      </c>
      <c r="K2036" s="2" t="s">
        <v>2125</v>
      </c>
      <c r="L2036" s="3">
        <v>14.85</v>
      </c>
      <c r="M2036" s="3">
        <v>15.59</v>
      </c>
      <c r="N2036" s="3">
        <v>32.99</v>
      </c>
      <c r="O2036" s="2" t="s">
        <v>243</v>
      </c>
      <c r="P2036" s="2" t="s">
        <v>270</v>
      </c>
      <c r="Q2036" s="2" t="s">
        <v>237</v>
      </c>
      <c r="R2036" s="2" t="s">
        <v>231</v>
      </c>
      <c r="S2036" s="2" t="s">
        <v>9070</v>
      </c>
      <c r="T2036" s="2" t="s">
        <v>472</v>
      </c>
      <c r="U2036" s="2" t="s">
        <v>765</v>
      </c>
      <c r="V2036" s="2" t="s">
        <v>239</v>
      </c>
      <c r="W2036" s="2" t="s">
        <v>691</v>
      </c>
      <c r="X2036" s="2" t="s">
        <v>231</v>
      </c>
      <c r="Y2036" s="2" t="s">
        <v>8715</v>
      </c>
      <c r="Z2036" s="4">
        <v>196</v>
      </c>
      <c r="AA2036" s="4">
        <f>=ROUNDDOWN(52.972972972973,0)</f>
      </c>
      <c r="AB2036" s="5">
        <v>3.7</v>
      </c>
      <c r="AC2036" s="2" t="s">
        <v>1458</v>
      </c>
      <c r="AD2036" s="4">
        <v>30</v>
      </c>
      <c r="AE2036" s="4">
        <v>30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231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231</v>
      </c>
      <c r="AW2036" s="8" t="s">
        <v>231</v>
      </c>
      <c r="AX2036" s="4" t="s">
        <v>231</v>
      </c>
      <c r="AY2036" s="8" t="s">
        <v>231</v>
      </c>
      <c r="AZ2036" s="7" t="s">
        <v>231</v>
      </c>
      <c r="BA2036" s="7" t="s">
        <v>231</v>
      </c>
      <c r="BB2036" s="7"/>
      <c r="BC2036" s="4" t="s">
        <v>231</v>
      </c>
      <c r="BD2036" s="8" t="s">
        <v>231</v>
      </c>
      <c r="BE2036" s="4" t="s">
        <v>231</v>
      </c>
      <c r="BF2036" s="8" t="s">
        <v>231</v>
      </c>
      <c r="BG2036" s="7" t="s">
        <v>231</v>
      </c>
      <c r="BH2036" s="7" t="s">
        <v>231</v>
      </c>
      <c r="BI2036" s="7"/>
      <c r="BJ2036" s="4">
        <v>17</v>
      </c>
      <c r="BK2036" s="8">
        <v>256.69</v>
      </c>
      <c r="BL2036" s="2" t="s">
        <v>9084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9085</v>
      </c>
      <c r="BV2036" s="2" t="s">
        <v>231</v>
      </c>
      <c r="BW2036" s="2" t="s">
        <v>231</v>
      </c>
      <c r="BX2036" s="2" t="s">
        <v>231</v>
      </c>
      <c r="BY2036" s="2" t="s">
        <v>277</v>
      </c>
      <c r="BZ2036" s="2" t="s">
        <v>243</v>
      </c>
      <c r="CA2036" s="2" t="s">
        <v>4835</v>
      </c>
      <c r="CB2036" s="2" t="s">
        <v>9086</v>
      </c>
      <c r="CC2036" s="2" t="s">
        <v>244</v>
      </c>
      <c r="CD2036" s="2" t="s">
        <v>231</v>
      </c>
      <c r="CE2036" s="4">
        <v>196</v>
      </c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>
        <v>30</v>
      </c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  <c r="HG2036" s="4"/>
      <c r="HH2036" s="4"/>
      <c r="HI2036" s="4"/>
      <c r="HJ2036" s="4"/>
      <c r="HK2036" s="4"/>
      <c r="HL2036" s="4"/>
    </row>
    <row r="2037">
      <c r="A2037" s="2" t="s">
        <v>9087</v>
      </c>
      <c r="B2037" s="2" t="s">
        <v>287</v>
      </c>
      <c r="C2037" s="2" t="s">
        <v>825</v>
      </c>
      <c r="D2037" s="2" t="s">
        <v>289</v>
      </c>
      <c r="E2037" s="2" t="s">
        <v>290</v>
      </c>
      <c r="F2037" s="2" t="s">
        <v>472</v>
      </c>
      <c r="G2037" s="2" t="s">
        <v>472</v>
      </c>
      <c r="H2037" s="2" t="s">
        <v>472</v>
      </c>
      <c r="I2037" s="2" t="s">
        <v>8988</v>
      </c>
      <c r="J2037" s="2" t="s">
        <v>302</v>
      </c>
      <c r="K2037" s="2" t="s">
        <v>2125</v>
      </c>
      <c r="L2037" s="3">
        <v>16.75</v>
      </c>
      <c r="M2037" s="3">
        <v>17.59</v>
      </c>
      <c r="N2037" s="3">
        <v>37.99</v>
      </c>
      <c r="O2037" s="2" t="s">
        <v>243</v>
      </c>
      <c r="P2037" s="2" t="s">
        <v>270</v>
      </c>
      <c r="Q2037" s="2" t="s">
        <v>237</v>
      </c>
      <c r="R2037" s="2" t="s">
        <v>231</v>
      </c>
      <c r="S2037" s="2" t="s">
        <v>9070</v>
      </c>
      <c r="T2037" s="2" t="s">
        <v>472</v>
      </c>
      <c r="U2037" s="2" t="s">
        <v>231</v>
      </c>
      <c r="V2037" s="2" t="s">
        <v>239</v>
      </c>
      <c r="W2037" s="2" t="s">
        <v>273</v>
      </c>
      <c r="X2037" s="2" t="s">
        <v>231</v>
      </c>
      <c r="Y2037" s="2" t="s">
        <v>274</v>
      </c>
      <c r="Z2037" s="4">
        <v>43</v>
      </c>
      <c r="AA2037" s="4">
        <f>=ROUNDDOWN(5.65789473684211,0)</f>
      </c>
      <c r="AB2037" s="5">
        <v>7.6</v>
      </c>
      <c r="AC2037" s="2" t="s">
        <v>1315</v>
      </c>
      <c r="AD2037" s="4">
        <v>90</v>
      </c>
      <c r="AE2037" s="4">
        <v>330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231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231</v>
      </c>
      <c r="AW2037" s="8" t="s">
        <v>231</v>
      </c>
      <c r="AX2037" s="4" t="s">
        <v>231</v>
      </c>
      <c r="AY2037" s="8" t="s">
        <v>231</v>
      </c>
      <c r="AZ2037" s="7" t="s">
        <v>231</v>
      </c>
      <c r="BA2037" s="7" t="s">
        <v>231</v>
      </c>
      <c r="BB2037" s="7"/>
      <c r="BC2037" s="4" t="s">
        <v>231</v>
      </c>
      <c r="BD2037" s="8" t="s">
        <v>231</v>
      </c>
      <c r="BE2037" s="4" t="s">
        <v>231</v>
      </c>
      <c r="BF2037" s="8" t="s">
        <v>231</v>
      </c>
      <c r="BG2037" s="7" t="s">
        <v>231</v>
      </c>
      <c r="BH2037" s="7" t="s">
        <v>231</v>
      </c>
      <c r="BI2037" s="7"/>
      <c r="BJ2037" s="4">
        <v>34</v>
      </c>
      <c r="BK2037" s="8">
        <v>599.82</v>
      </c>
      <c r="BL2037" s="2" t="s">
        <v>9088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9089</v>
      </c>
      <c r="BV2037" s="2" t="s">
        <v>231</v>
      </c>
      <c r="BW2037" s="2" t="s">
        <v>231</v>
      </c>
      <c r="BX2037" s="2" t="s">
        <v>231</v>
      </c>
      <c r="BY2037" s="2" t="s">
        <v>277</v>
      </c>
      <c r="BZ2037" s="2" t="s">
        <v>243</v>
      </c>
      <c r="CA2037" s="2" t="s">
        <v>284</v>
      </c>
      <c r="CB2037" s="2" t="s">
        <v>1516</v>
      </c>
      <c r="CC2037" s="2" t="s">
        <v>244</v>
      </c>
      <c r="CD2037" s="2" t="s">
        <v>231</v>
      </c>
      <c r="CE2037" s="4">
        <v>43</v>
      </c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>
        <v>90</v>
      </c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>
        <v>80</v>
      </c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>
        <v>60</v>
      </c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>
        <v>100</v>
      </c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  <c r="HG2037" s="4"/>
      <c r="HH2037" s="4"/>
      <c r="HI2037" s="4"/>
      <c r="HJ2037" s="4"/>
      <c r="HK2037" s="4"/>
      <c r="HL2037" s="4"/>
    </row>
    <row r="2038">
      <c r="A2038" s="2" t="s">
        <v>9090</v>
      </c>
      <c r="B2038" s="2" t="s">
        <v>287</v>
      </c>
      <c r="C2038" s="2" t="s">
        <v>825</v>
      </c>
      <c r="D2038" s="2" t="s">
        <v>289</v>
      </c>
      <c r="E2038" s="2" t="s">
        <v>290</v>
      </c>
      <c r="F2038" s="2" t="s">
        <v>472</v>
      </c>
      <c r="G2038" s="2" t="s">
        <v>472</v>
      </c>
      <c r="H2038" s="2" t="s">
        <v>472</v>
      </c>
      <c r="I2038" s="2" t="s">
        <v>8988</v>
      </c>
      <c r="J2038" s="2" t="s">
        <v>268</v>
      </c>
      <c r="K2038" s="2" t="s">
        <v>723</v>
      </c>
      <c r="L2038" s="3">
        <v>11.18</v>
      </c>
      <c r="M2038" s="3">
        <v>11.74</v>
      </c>
      <c r="N2038" s="3">
        <v>27.99</v>
      </c>
      <c r="O2038" s="2" t="s">
        <v>243</v>
      </c>
      <c r="P2038" s="2" t="s">
        <v>270</v>
      </c>
      <c r="Q2038" s="2" t="s">
        <v>237</v>
      </c>
      <c r="R2038" s="2" t="s">
        <v>231</v>
      </c>
      <c r="S2038" s="2" t="s">
        <v>9091</v>
      </c>
      <c r="T2038" s="2" t="s">
        <v>472</v>
      </c>
      <c r="U2038" s="2" t="s">
        <v>231</v>
      </c>
      <c r="V2038" s="2" t="s">
        <v>239</v>
      </c>
      <c r="W2038" s="2" t="s">
        <v>273</v>
      </c>
      <c r="X2038" s="2" t="s">
        <v>231</v>
      </c>
      <c r="Y2038" s="2" t="s">
        <v>274</v>
      </c>
      <c r="Z2038" s="4">
        <v>484</v>
      </c>
      <c r="AA2038" s="4">
        <f>=ROUNDDOWN(121,0)</f>
      </c>
      <c r="AB2038" s="5">
        <v>4</v>
      </c>
      <c r="AC2038" s="2" t="s">
        <v>3090</v>
      </c>
      <c r="AD2038" s="4">
        <v>30</v>
      </c>
      <c r="AE2038" s="4">
        <v>50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231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231</v>
      </c>
      <c r="AW2038" s="8" t="s">
        <v>231</v>
      </c>
      <c r="AX2038" s="4" t="s">
        <v>231</v>
      </c>
      <c r="AY2038" s="8" t="s">
        <v>231</v>
      </c>
      <c r="AZ2038" s="7" t="s">
        <v>231</v>
      </c>
      <c r="BA2038" s="7" t="s">
        <v>231</v>
      </c>
      <c r="BB2038" s="7"/>
      <c r="BC2038" s="4" t="s">
        <v>231</v>
      </c>
      <c r="BD2038" s="8" t="s">
        <v>231</v>
      </c>
      <c r="BE2038" s="4" t="s">
        <v>231</v>
      </c>
      <c r="BF2038" s="8" t="s">
        <v>231</v>
      </c>
      <c r="BG2038" s="7" t="s">
        <v>231</v>
      </c>
      <c r="BH2038" s="7" t="s">
        <v>231</v>
      </c>
      <c r="BI2038" s="7"/>
      <c r="BJ2038" s="4">
        <v>14</v>
      </c>
      <c r="BK2038" s="8">
        <v>165.65</v>
      </c>
      <c r="BL2038" s="2" t="s">
        <v>9092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9093</v>
      </c>
      <c r="BV2038" s="2" t="s">
        <v>231</v>
      </c>
      <c r="BW2038" s="2" t="s">
        <v>231</v>
      </c>
      <c r="BX2038" s="2" t="s">
        <v>231</v>
      </c>
      <c r="BY2038" s="2" t="s">
        <v>277</v>
      </c>
      <c r="BZ2038" s="2" t="s">
        <v>243</v>
      </c>
      <c r="CA2038" s="2" t="s">
        <v>1293</v>
      </c>
      <c r="CB2038" s="2" t="s">
        <v>4623</v>
      </c>
      <c r="CC2038" s="2" t="s">
        <v>244</v>
      </c>
      <c r="CD2038" s="2" t="s">
        <v>231</v>
      </c>
      <c r="CE2038" s="4">
        <v>484</v>
      </c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>
        <v>30</v>
      </c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>
        <v>20</v>
      </c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  <c r="HG2038" s="4"/>
      <c r="HH2038" s="4"/>
      <c r="HI2038" s="4"/>
      <c r="HJ2038" s="4"/>
      <c r="HK2038" s="4"/>
      <c r="HL2038" s="4"/>
    </row>
    <row r="2039">
      <c r="A2039" s="2" t="s">
        <v>9094</v>
      </c>
      <c r="B2039" s="2" t="s">
        <v>287</v>
      </c>
      <c r="C2039" s="2" t="s">
        <v>825</v>
      </c>
      <c r="D2039" s="2" t="s">
        <v>289</v>
      </c>
      <c r="E2039" s="2" t="s">
        <v>290</v>
      </c>
      <c r="F2039" s="2" t="s">
        <v>472</v>
      </c>
      <c r="G2039" s="2" t="s">
        <v>472</v>
      </c>
      <c r="H2039" s="2" t="s">
        <v>472</v>
      </c>
      <c r="I2039" s="2" t="s">
        <v>8988</v>
      </c>
      <c r="J2039" s="2" t="s">
        <v>281</v>
      </c>
      <c r="K2039" s="2" t="s">
        <v>723</v>
      </c>
      <c r="L2039" s="3">
        <v>12.92</v>
      </c>
      <c r="M2039" s="3">
        <v>13.57</v>
      </c>
      <c r="N2039" s="3">
        <v>30.99</v>
      </c>
      <c r="O2039" s="2" t="s">
        <v>243</v>
      </c>
      <c r="P2039" s="2" t="s">
        <v>270</v>
      </c>
      <c r="Q2039" s="2" t="s">
        <v>237</v>
      </c>
      <c r="R2039" s="2" t="s">
        <v>231</v>
      </c>
      <c r="S2039" s="2" t="s">
        <v>9091</v>
      </c>
      <c r="T2039" s="2" t="s">
        <v>472</v>
      </c>
      <c r="U2039" s="2" t="s">
        <v>231</v>
      </c>
      <c r="V2039" s="2" t="s">
        <v>239</v>
      </c>
      <c r="W2039" s="2" t="s">
        <v>273</v>
      </c>
      <c r="X2039" s="2" t="s">
        <v>231</v>
      </c>
      <c r="Y2039" s="2" t="s">
        <v>274</v>
      </c>
      <c r="Z2039" s="4">
        <v>265</v>
      </c>
      <c r="AA2039" s="4">
        <f>=ROUNDDOWN(88.3333333333333,0)</f>
      </c>
      <c r="AB2039" s="5">
        <v>3</v>
      </c>
      <c r="AC2039" s="2" t="s">
        <v>231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231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231</v>
      </c>
      <c r="AW2039" s="8" t="s">
        <v>231</v>
      </c>
      <c r="AX2039" s="4" t="s">
        <v>231</v>
      </c>
      <c r="AY2039" s="8" t="s">
        <v>231</v>
      </c>
      <c r="AZ2039" s="7" t="s">
        <v>231</v>
      </c>
      <c r="BA2039" s="7" t="s">
        <v>231</v>
      </c>
      <c r="BB2039" s="7"/>
      <c r="BC2039" s="4" t="s">
        <v>231</v>
      </c>
      <c r="BD2039" s="8" t="s">
        <v>231</v>
      </c>
      <c r="BE2039" s="4" t="s">
        <v>231</v>
      </c>
      <c r="BF2039" s="8" t="s">
        <v>231</v>
      </c>
      <c r="BG2039" s="7" t="s">
        <v>231</v>
      </c>
      <c r="BH2039" s="7" t="s">
        <v>231</v>
      </c>
      <c r="BI2039" s="7"/>
      <c r="BJ2039" s="4">
        <v>11</v>
      </c>
      <c r="BK2039" s="8">
        <v>149.51</v>
      </c>
      <c r="BL2039" s="2" t="s">
        <v>9095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9096</v>
      </c>
      <c r="BV2039" s="2" t="s">
        <v>231</v>
      </c>
      <c r="BW2039" s="2" t="s">
        <v>231</v>
      </c>
      <c r="BX2039" s="2" t="s">
        <v>231</v>
      </c>
      <c r="BY2039" s="2" t="s">
        <v>277</v>
      </c>
      <c r="BZ2039" s="2" t="s">
        <v>243</v>
      </c>
      <c r="CA2039" s="2" t="s">
        <v>1293</v>
      </c>
      <c r="CB2039" s="2" t="s">
        <v>9097</v>
      </c>
      <c r="CC2039" s="2" t="s">
        <v>244</v>
      </c>
      <c r="CD2039" s="2" t="s">
        <v>231</v>
      </c>
      <c r="CE2039" s="4">
        <v>265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  <c r="HG2039" s="4"/>
      <c r="HH2039" s="4"/>
      <c r="HI2039" s="4"/>
      <c r="HJ2039" s="4"/>
      <c r="HK2039" s="4"/>
      <c r="HL2039" s="4"/>
    </row>
    <row r="2040">
      <c r="A2040" s="2" t="s">
        <v>9098</v>
      </c>
      <c r="B2040" s="2" t="s">
        <v>287</v>
      </c>
      <c r="C2040" s="2" t="s">
        <v>825</v>
      </c>
      <c r="D2040" s="2" t="s">
        <v>289</v>
      </c>
      <c r="E2040" s="2" t="s">
        <v>290</v>
      </c>
      <c r="F2040" s="2" t="s">
        <v>472</v>
      </c>
      <c r="G2040" s="2" t="s">
        <v>472</v>
      </c>
      <c r="H2040" s="2" t="s">
        <v>472</v>
      </c>
      <c r="I2040" s="2" t="s">
        <v>8988</v>
      </c>
      <c r="J2040" s="2" t="s">
        <v>293</v>
      </c>
      <c r="K2040" s="2" t="s">
        <v>723</v>
      </c>
      <c r="L2040" s="3">
        <v>14.21</v>
      </c>
      <c r="M2040" s="3">
        <v>14.92</v>
      </c>
      <c r="N2040" s="3">
        <v>32.99</v>
      </c>
      <c r="O2040" s="2" t="s">
        <v>243</v>
      </c>
      <c r="P2040" s="2" t="s">
        <v>270</v>
      </c>
      <c r="Q2040" s="2" t="s">
        <v>237</v>
      </c>
      <c r="R2040" s="2" t="s">
        <v>231</v>
      </c>
      <c r="S2040" s="2" t="s">
        <v>9091</v>
      </c>
      <c r="T2040" s="2" t="s">
        <v>472</v>
      </c>
      <c r="U2040" s="2" t="s">
        <v>231</v>
      </c>
      <c r="V2040" s="2" t="s">
        <v>239</v>
      </c>
      <c r="W2040" s="2" t="s">
        <v>273</v>
      </c>
      <c r="X2040" s="2" t="s">
        <v>231</v>
      </c>
      <c r="Y2040" s="2" t="s">
        <v>274</v>
      </c>
      <c r="Z2040" s="4">
        <v>244</v>
      </c>
      <c r="AA2040" s="4">
        <f>=ROUNDDOWN(6.48936170212766,0)</f>
      </c>
      <c r="AB2040" s="5">
        <v>37.6</v>
      </c>
      <c r="AC2040" s="2" t="s">
        <v>3090</v>
      </c>
      <c r="AD2040" s="4">
        <v>209</v>
      </c>
      <c r="AE2040" s="4">
        <v>1099</v>
      </c>
      <c r="AF2040" s="6">
        <v>65</v>
      </c>
      <c r="AG2040" s="6"/>
      <c r="AH2040" s="7">
        <v>0.5806</v>
      </c>
      <c r="AI2040" s="4"/>
      <c r="AJ2040" s="4">
        <f>=ROUNDDOWN({0},0)</f>
      </c>
      <c r="AK2040" s="5"/>
      <c r="AL2040" s="2" t="s">
        <v>231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231</v>
      </c>
      <c r="AW2040" s="8" t="s">
        <v>231</v>
      </c>
      <c r="AX2040" s="4" t="s">
        <v>231</v>
      </c>
      <c r="AY2040" s="8" t="s">
        <v>231</v>
      </c>
      <c r="AZ2040" s="7" t="s">
        <v>231</v>
      </c>
      <c r="BA2040" s="7" t="s">
        <v>231</v>
      </c>
      <c r="BB2040" s="7"/>
      <c r="BC2040" s="4" t="s">
        <v>231</v>
      </c>
      <c r="BD2040" s="8" t="s">
        <v>231</v>
      </c>
      <c r="BE2040" s="4" t="s">
        <v>231</v>
      </c>
      <c r="BF2040" s="8" t="s">
        <v>231</v>
      </c>
      <c r="BG2040" s="7" t="s">
        <v>231</v>
      </c>
      <c r="BH2040" s="7" t="s">
        <v>231</v>
      </c>
      <c r="BI2040" s="7"/>
      <c r="BJ2040" s="4">
        <v>113</v>
      </c>
      <c r="BK2040" s="8">
        <v>1772.46</v>
      </c>
      <c r="BL2040" s="2" t="s">
        <v>9099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9100</v>
      </c>
      <c r="BV2040" s="2" t="s">
        <v>231</v>
      </c>
      <c r="BW2040" s="2" t="s">
        <v>231</v>
      </c>
      <c r="BX2040" s="2" t="s">
        <v>231</v>
      </c>
      <c r="BY2040" s="2" t="s">
        <v>277</v>
      </c>
      <c r="BZ2040" s="2" t="s">
        <v>243</v>
      </c>
      <c r="CA2040" s="2" t="s">
        <v>1293</v>
      </c>
      <c r="CB2040" s="2" t="s">
        <v>4623</v>
      </c>
      <c r="CC2040" s="2" t="s">
        <v>244</v>
      </c>
      <c r="CD2040" s="2" t="s">
        <v>231</v>
      </c>
      <c r="CE2040" s="4">
        <v>244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>
        <v>209</v>
      </c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>
        <v>260</v>
      </c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>
        <v>170</v>
      </c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>
        <v>200</v>
      </c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>
        <v>260</v>
      </c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  <c r="HG2040" s="4"/>
      <c r="HH2040" s="4"/>
      <c r="HI2040" s="4"/>
      <c r="HJ2040" s="4"/>
      <c r="HK2040" s="4"/>
      <c r="HL2040" s="4"/>
    </row>
    <row r="2041">
      <c r="A2041" s="2" t="s">
        <v>9101</v>
      </c>
      <c r="B2041" s="2" t="s">
        <v>287</v>
      </c>
      <c r="C2041" s="2" t="s">
        <v>825</v>
      </c>
      <c r="D2041" s="2" t="s">
        <v>289</v>
      </c>
      <c r="E2041" s="2" t="s">
        <v>290</v>
      </c>
      <c r="F2041" s="2" t="s">
        <v>472</v>
      </c>
      <c r="G2041" s="2" t="s">
        <v>472</v>
      </c>
      <c r="H2041" s="2" t="s">
        <v>472</v>
      </c>
      <c r="I2041" s="2" t="s">
        <v>8988</v>
      </c>
      <c r="J2041" s="2" t="s">
        <v>302</v>
      </c>
      <c r="K2041" s="2" t="s">
        <v>723</v>
      </c>
      <c r="L2041" s="3">
        <v>16.75</v>
      </c>
      <c r="M2041" s="3">
        <v>17.59</v>
      </c>
      <c r="N2041" s="3">
        <v>37.99</v>
      </c>
      <c r="O2041" s="2" t="s">
        <v>243</v>
      </c>
      <c r="P2041" s="2" t="s">
        <v>270</v>
      </c>
      <c r="Q2041" s="2" t="s">
        <v>237</v>
      </c>
      <c r="R2041" s="2" t="s">
        <v>231</v>
      </c>
      <c r="S2041" s="2" t="s">
        <v>9091</v>
      </c>
      <c r="T2041" s="2" t="s">
        <v>472</v>
      </c>
      <c r="U2041" s="2" t="s">
        <v>231</v>
      </c>
      <c r="V2041" s="2" t="s">
        <v>239</v>
      </c>
      <c r="W2041" s="2" t="s">
        <v>273</v>
      </c>
      <c r="X2041" s="2" t="s">
        <v>231</v>
      </c>
      <c r="Y2041" s="2" t="s">
        <v>274</v>
      </c>
      <c r="Z2041" s="4">
        <v>192</v>
      </c>
      <c r="AA2041" s="4">
        <f>=ROUNDDOWN(17.4545454545455,0)</f>
      </c>
      <c r="AB2041" s="5">
        <v>11</v>
      </c>
      <c r="AC2041" s="2" t="s">
        <v>2082</v>
      </c>
      <c r="AD2041" s="4">
        <v>40</v>
      </c>
      <c r="AE2041" s="4">
        <v>180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231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231</v>
      </c>
      <c r="AW2041" s="8" t="s">
        <v>231</v>
      </c>
      <c r="AX2041" s="4" t="s">
        <v>231</v>
      </c>
      <c r="AY2041" s="8" t="s">
        <v>231</v>
      </c>
      <c r="AZ2041" s="7" t="s">
        <v>231</v>
      </c>
      <c r="BA2041" s="7" t="s">
        <v>231</v>
      </c>
      <c r="BB2041" s="7"/>
      <c r="BC2041" s="4" t="s">
        <v>231</v>
      </c>
      <c r="BD2041" s="8" t="s">
        <v>231</v>
      </c>
      <c r="BE2041" s="4" t="s">
        <v>231</v>
      </c>
      <c r="BF2041" s="8" t="s">
        <v>231</v>
      </c>
      <c r="BG2041" s="7" t="s">
        <v>231</v>
      </c>
      <c r="BH2041" s="7" t="s">
        <v>231</v>
      </c>
      <c r="BI2041" s="7"/>
      <c r="BJ2041" s="4">
        <v>39</v>
      </c>
      <c r="BK2041" s="8">
        <v>714.78</v>
      </c>
      <c r="BL2041" s="2" t="s">
        <v>9102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9103</v>
      </c>
      <c r="BV2041" s="2" t="s">
        <v>231</v>
      </c>
      <c r="BW2041" s="2" t="s">
        <v>231</v>
      </c>
      <c r="BX2041" s="2" t="s">
        <v>231</v>
      </c>
      <c r="BY2041" s="2" t="s">
        <v>277</v>
      </c>
      <c r="BZ2041" s="2" t="s">
        <v>243</v>
      </c>
      <c r="CA2041" s="2" t="s">
        <v>1293</v>
      </c>
      <c r="CB2041" s="2" t="s">
        <v>9104</v>
      </c>
      <c r="CC2041" s="2" t="s">
        <v>244</v>
      </c>
      <c r="CD2041" s="2" t="s">
        <v>231</v>
      </c>
      <c r="CE2041" s="4">
        <v>192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>
        <v>40</v>
      </c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>
        <v>70</v>
      </c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>
        <v>70</v>
      </c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4"/>
      <c r="HH2041" s="4"/>
      <c r="HI2041" s="4"/>
      <c r="HJ2041" s="4"/>
      <c r="HK2041" s="4"/>
      <c r="HL2041" s="4"/>
    </row>
    <row r="2042">
      <c r="A2042" s="2" t="s">
        <v>9105</v>
      </c>
      <c r="B2042" s="2" t="s">
        <v>287</v>
      </c>
      <c r="C2042" s="2" t="s">
        <v>825</v>
      </c>
      <c r="D2042" s="2" t="s">
        <v>289</v>
      </c>
      <c r="E2042" s="2" t="s">
        <v>290</v>
      </c>
      <c r="F2042" s="2" t="s">
        <v>472</v>
      </c>
      <c r="G2042" s="2" t="s">
        <v>472</v>
      </c>
      <c r="H2042" s="2" t="s">
        <v>472</v>
      </c>
      <c r="I2042" s="2" t="s">
        <v>9013</v>
      </c>
      <c r="J2042" s="2" t="s">
        <v>318</v>
      </c>
      <c r="K2042" s="2" t="s">
        <v>319</v>
      </c>
      <c r="L2042" s="3">
        <v>12.15</v>
      </c>
      <c r="M2042" s="3">
        <v>12.76</v>
      </c>
      <c r="N2042" s="3">
        <v>26.99</v>
      </c>
      <c r="O2042" s="2" t="s">
        <v>243</v>
      </c>
      <c r="P2042" s="2" t="s">
        <v>270</v>
      </c>
      <c r="Q2042" s="2" t="s">
        <v>237</v>
      </c>
      <c r="R2042" s="2" t="s">
        <v>231</v>
      </c>
      <c r="S2042" s="2" t="s">
        <v>5822</v>
      </c>
      <c r="T2042" s="2" t="s">
        <v>472</v>
      </c>
      <c r="U2042" s="2" t="s">
        <v>298</v>
      </c>
      <c r="V2042" s="2" t="s">
        <v>239</v>
      </c>
      <c r="W2042" s="2" t="s">
        <v>273</v>
      </c>
      <c r="X2042" s="2" t="s">
        <v>691</v>
      </c>
      <c r="Y2042" s="2" t="s">
        <v>9015</v>
      </c>
      <c r="Z2042" s="4">
        <v>155</v>
      </c>
      <c r="AA2042" s="4">
        <f>=ROUNDDOWN(51.6666666666667,0)</f>
      </c>
      <c r="AB2042" s="5">
        <v>3</v>
      </c>
      <c r="AC2042" s="2" t="s">
        <v>231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231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231</v>
      </c>
      <c r="AW2042" s="8" t="s">
        <v>231</v>
      </c>
      <c r="AX2042" s="4" t="s">
        <v>231</v>
      </c>
      <c r="AY2042" s="8" t="s">
        <v>231</v>
      </c>
      <c r="AZ2042" s="7" t="s">
        <v>231</v>
      </c>
      <c r="BA2042" s="7" t="s">
        <v>231</v>
      </c>
      <c r="BB2042" s="7"/>
      <c r="BC2042" s="4" t="s">
        <v>231</v>
      </c>
      <c r="BD2042" s="8" t="s">
        <v>231</v>
      </c>
      <c r="BE2042" s="4" t="s">
        <v>231</v>
      </c>
      <c r="BF2042" s="8" t="s">
        <v>231</v>
      </c>
      <c r="BG2042" s="7" t="s">
        <v>231</v>
      </c>
      <c r="BH2042" s="7" t="s">
        <v>231</v>
      </c>
      <c r="BI2042" s="7"/>
      <c r="BJ2042" s="4">
        <v>17</v>
      </c>
      <c r="BK2042" s="8">
        <v>224.91</v>
      </c>
      <c r="BL2042" s="2" t="s">
        <v>9106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9107</v>
      </c>
      <c r="BV2042" s="2" t="s">
        <v>231</v>
      </c>
      <c r="BW2042" s="2" t="s">
        <v>231</v>
      </c>
      <c r="BX2042" s="2" t="s">
        <v>231</v>
      </c>
      <c r="BY2042" s="2" t="s">
        <v>277</v>
      </c>
      <c r="BZ2042" s="2" t="s">
        <v>243</v>
      </c>
      <c r="CA2042" s="2" t="s">
        <v>9017</v>
      </c>
      <c r="CB2042" s="2" t="s">
        <v>9108</v>
      </c>
      <c r="CC2042" s="2" t="s">
        <v>244</v>
      </c>
      <c r="CD2042" s="2" t="s">
        <v>231</v>
      </c>
      <c r="CE2042" s="4">
        <v>155</v>
      </c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  <c r="HG2042" s="4"/>
      <c r="HH2042" s="4"/>
      <c r="HI2042" s="4"/>
      <c r="HJ2042" s="4"/>
      <c r="HK2042" s="4"/>
      <c r="HL2042" s="4"/>
    </row>
    <row r="2043">
      <c r="A2043" s="2" t="s">
        <v>9109</v>
      </c>
      <c r="B2043" s="2" t="s">
        <v>287</v>
      </c>
      <c r="C2043" s="2" t="s">
        <v>825</v>
      </c>
      <c r="D2043" s="2" t="s">
        <v>289</v>
      </c>
      <c r="E2043" s="2" t="s">
        <v>290</v>
      </c>
      <c r="F2043" s="2" t="s">
        <v>472</v>
      </c>
      <c r="G2043" s="2" t="s">
        <v>472</v>
      </c>
      <c r="H2043" s="2" t="s">
        <v>472</v>
      </c>
      <c r="I2043" s="2" t="s">
        <v>8988</v>
      </c>
      <c r="J2043" s="2" t="s">
        <v>268</v>
      </c>
      <c r="K2043" s="2" t="s">
        <v>319</v>
      </c>
      <c r="L2043" s="3">
        <v>11.18</v>
      </c>
      <c r="M2043" s="3">
        <v>11.74</v>
      </c>
      <c r="N2043" s="3">
        <v>27.99</v>
      </c>
      <c r="O2043" s="2" t="s">
        <v>243</v>
      </c>
      <c r="P2043" s="2" t="s">
        <v>270</v>
      </c>
      <c r="Q2043" s="2" t="s">
        <v>237</v>
      </c>
      <c r="R2043" s="2" t="s">
        <v>231</v>
      </c>
      <c r="S2043" s="2" t="s">
        <v>5822</v>
      </c>
      <c r="T2043" s="2" t="s">
        <v>472</v>
      </c>
      <c r="U2043" s="2" t="s">
        <v>231</v>
      </c>
      <c r="V2043" s="2" t="s">
        <v>239</v>
      </c>
      <c r="W2043" s="2" t="s">
        <v>273</v>
      </c>
      <c r="X2043" s="2" t="s">
        <v>231</v>
      </c>
      <c r="Y2043" s="2" t="s">
        <v>274</v>
      </c>
      <c r="Z2043" s="4">
        <v>284</v>
      </c>
      <c r="AA2043" s="4">
        <f>=ROUNDDOWN(94.6666666666667,0)</f>
      </c>
      <c r="AB2043" s="5">
        <v>3</v>
      </c>
      <c r="AC2043" s="2" t="s">
        <v>3090</v>
      </c>
      <c r="AD2043" s="4">
        <v>50</v>
      </c>
      <c r="AE2043" s="4">
        <v>420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231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231</v>
      </c>
      <c r="AW2043" s="8" t="s">
        <v>231</v>
      </c>
      <c r="AX2043" s="4" t="s">
        <v>231</v>
      </c>
      <c r="AY2043" s="8" t="s">
        <v>231</v>
      </c>
      <c r="AZ2043" s="7" t="s">
        <v>231</v>
      </c>
      <c r="BA2043" s="7" t="s">
        <v>231</v>
      </c>
      <c r="BB2043" s="7" t="s">
        <v>231</v>
      </c>
      <c r="BC2043" s="4" t="s">
        <v>231</v>
      </c>
      <c r="BD2043" s="8" t="s">
        <v>231</v>
      </c>
      <c r="BE2043" s="4" t="s">
        <v>231</v>
      </c>
      <c r="BF2043" s="8" t="s">
        <v>231</v>
      </c>
      <c r="BG2043" s="7" t="s">
        <v>231</v>
      </c>
      <c r="BH2043" s="7" t="s">
        <v>231</v>
      </c>
      <c r="BI2043" s="7"/>
      <c r="BJ2043" s="4">
        <v>27</v>
      </c>
      <c r="BK2043" s="8">
        <v>322.8</v>
      </c>
      <c r="BL2043" s="2" t="s">
        <v>9019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9110</v>
      </c>
      <c r="BV2043" s="2" t="s">
        <v>231</v>
      </c>
      <c r="BW2043" s="2" t="s">
        <v>231</v>
      </c>
      <c r="BX2043" s="2" t="s">
        <v>231</v>
      </c>
      <c r="BY2043" s="2" t="s">
        <v>277</v>
      </c>
      <c r="BZ2043" s="2" t="s">
        <v>243</v>
      </c>
      <c r="CA2043" s="2" t="s">
        <v>284</v>
      </c>
      <c r="CB2043" s="2" t="s">
        <v>8826</v>
      </c>
      <c r="CC2043" s="2" t="s">
        <v>244</v>
      </c>
      <c r="CD2043" s="2" t="s">
        <v>231</v>
      </c>
      <c r="CE2043" s="4">
        <v>284</v>
      </c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>
        <v>50</v>
      </c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>
        <v>70</v>
      </c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>
        <v>120</v>
      </c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>
        <v>120</v>
      </c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>
        <v>60</v>
      </c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/>
      <c r="HG2043" s="4"/>
      <c r="HH2043" s="4"/>
      <c r="HI2043" s="4"/>
      <c r="HJ2043" s="4"/>
      <c r="HK2043" s="4"/>
      <c r="HL2043" s="4"/>
    </row>
    <row r="2044">
      <c r="A2044" s="2" t="s">
        <v>9111</v>
      </c>
      <c r="B2044" s="2" t="s">
        <v>287</v>
      </c>
      <c r="C2044" s="2" t="s">
        <v>825</v>
      </c>
      <c r="D2044" s="2" t="s">
        <v>289</v>
      </c>
      <c r="E2044" s="2" t="s">
        <v>290</v>
      </c>
      <c r="F2044" s="2" t="s">
        <v>472</v>
      </c>
      <c r="G2044" s="2" t="s">
        <v>472</v>
      </c>
      <c r="H2044" s="2" t="s">
        <v>472</v>
      </c>
      <c r="I2044" s="2" t="s">
        <v>9013</v>
      </c>
      <c r="J2044" s="2" t="s">
        <v>268</v>
      </c>
      <c r="K2044" s="2" t="s">
        <v>319</v>
      </c>
      <c r="L2044" s="3">
        <v>12.15</v>
      </c>
      <c r="M2044" s="3">
        <v>12.76</v>
      </c>
      <c r="N2044" s="3">
        <v>26.99</v>
      </c>
      <c r="O2044" s="2" t="s">
        <v>243</v>
      </c>
      <c r="P2044" s="2" t="s">
        <v>270</v>
      </c>
      <c r="Q2044" s="2" t="s">
        <v>237</v>
      </c>
      <c r="R2044" s="2" t="s">
        <v>231</v>
      </c>
      <c r="S2044" s="2" t="s">
        <v>5822</v>
      </c>
      <c r="T2044" s="2" t="s">
        <v>472</v>
      </c>
      <c r="U2044" s="2" t="s">
        <v>298</v>
      </c>
      <c r="V2044" s="2" t="s">
        <v>239</v>
      </c>
      <c r="W2044" s="2" t="s">
        <v>273</v>
      </c>
      <c r="X2044" s="2" t="s">
        <v>691</v>
      </c>
      <c r="Y2044" s="2" t="s">
        <v>9015</v>
      </c>
      <c r="Z2044" s="4">
        <v>465</v>
      </c>
      <c r="AA2044" s="4">
        <f>=ROUNDDOWN(155,0)</f>
      </c>
      <c r="AB2044" s="5">
        <v>3</v>
      </c>
      <c r="AC2044" s="2" t="s">
        <v>3090</v>
      </c>
      <c r="AD2044" s="4">
        <v>80</v>
      </c>
      <c r="AE2044" s="4">
        <v>230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231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231</v>
      </c>
      <c r="AW2044" s="8" t="s">
        <v>231</v>
      </c>
      <c r="AX2044" s="4" t="s">
        <v>231</v>
      </c>
      <c r="AY2044" s="8" t="s">
        <v>231</v>
      </c>
      <c r="AZ2044" s="7" t="s">
        <v>231</v>
      </c>
      <c r="BA2044" s="7" t="s">
        <v>231</v>
      </c>
      <c r="BB2044" s="7" t="s">
        <v>231</v>
      </c>
      <c r="BC2044" s="4" t="s">
        <v>231</v>
      </c>
      <c r="BD2044" s="8" t="s">
        <v>231</v>
      </c>
      <c r="BE2044" s="4" t="s">
        <v>231</v>
      </c>
      <c r="BF2044" s="8" t="s">
        <v>231</v>
      </c>
      <c r="BG2044" s="7" t="s">
        <v>231</v>
      </c>
      <c r="BH2044" s="7" t="s">
        <v>231</v>
      </c>
      <c r="BI2044" s="7"/>
      <c r="BJ2044" s="4">
        <v>27</v>
      </c>
      <c r="BK2044" s="8">
        <v>347.98</v>
      </c>
      <c r="BL2044" s="2" t="s">
        <v>9112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9113</v>
      </c>
      <c r="BV2044" s="2" t="s">
        <v>231</v>
      </c>
      <c r="BW2044" s="2" t="s">
        <v>231</v>
      </c>
      <c r="BX2044" s="2" t="s">
        <v>231</v>
      </c>
      <c r="BY2044" s="2" t="s">
        <v>277</v>
      </c>
      <c r="BZ2044" s="2" t="s">
        <v>243</v>
      </c>
      <c r="CA2044" s="2" t="s">
        <v>9017</v>
      </c>
      <c r="CB2044" s="2" t="s">
        <v>9024</v>
      </c>
      <c r="CC2044" s="2" t="s">
        <v>244</v>
      </c>
      <c r="CD2044" s="2" t="s">
        <v>231</v>
      </c>
      <c r="CE2044" s="4">
        <v>465</v>
      </c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>
        <v>80</v>
      </c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>
        <v>40</v>
      </c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>
        <v>80</v>
      </c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>
        <v>30</v>
      </c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4"/>
      <c r="HH2044" s="4"/>
      <c r="HI2044" s="4"/>
      <c r="HJ2044" s="4"/>
      <c r="HK2044" s="4"/>
      <c r="HL2044" s="4"/>
    </row>
    <row r="2045">
      <c r="A2045" s="2" t="s">
        <v>9114</v>
      </c>
      <c r="B2045" s="2" t="s">
        <v>287</v>
      </c>
      <c r="C2045" s="2" t="s">
        <v>825</v>
      </c>
      <c r="D2045" s="2" t="s">
        <v>289</v>
      </c>
      <c r="E2045" s="2" t="s">
        <v>290</v>
      </c>
      <c r="F2045" s="2" t="s">
        <v>472</v>
      </c>
      <c r="G2045" s="2" t="s">
        <v>472</v>
      </c>
      <c r="H2045" s="2" t="s">
        <v>472</v>
      </c>
      <c r="I2045" s="2" t="s">
        <v>8988</v>
      </c>
      <c r="J2045" s="2" t="s">
        <v>281</v>
      </c>
      <c r="K2045" s="2" t="s">
        <v>319</v>
      </c>
      <c r="L2045" s="3">
        <v>12.92</v>
      </c>
      <c r="M2045" s="3">
        <v>13.57</v>
      </c>
      <c r="N2045" s="3">
        <v>30.99</v>
      </c>
      <c r="O2045" s="2" t="s">
        <v>243</v>
      </c>
      <c r="P2045" s="2" t="s">
        <v>270</v>
      </c>
      <c r="Q2045" s="2" t="s">
        <v>237</v>
      </c>
      <c r="R2045" s="2" t="s">
        <v>231</v>
      </c>
      <c r="S2045" s="2" t="s">
        <v>5822</v>
      </c>
      <c r="T2045" s="2" t="s">
        <v>472</v>
      </c>
      <c r="U2045" s="2" t="s">
        <v>231</v>
      </c>
      <c r="V2045" s="2" t="s">
        <v>239</v>
      </c>
      <c r="W2045" s="2" t="s">
        <v>273</v>
      </c>
      <c r="X2045" s="2" t="s">
        <v>231</v>
      </c>
      <c r="Y2045" s="2" t="s">
        <v>274</v>
      </c>
      <c r="Z2045" s="4">
        <v>192</v>
      </c>
      <c r="AA2045" s="4">
        <f>=ROUNDDOWN(16,0)</f>
      </c>
      <c r="AB2045" s="5">
        <v>12</v>
      </c>
      <c r="AC2045" s="2" t="s">
        <v>582</v>
      </c>
      <c r="AD2045" s="4">
        <v>160</v>
      </c>
      <c r="AE2045" s="4">
        <v>210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231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231</v>
      </c>
      <c r="AW2045" s="8" t="s">
        <v>231</v>
      </c>
      <c r="AX2045" s="4" t="s">
        <v>231</v>
      </c>
      <c r="AY2045" s="8" t="s">
        <v>231</v>
      </c>
      <c r="AZ2045" s="7" t="s">
        <v>231</v>
      </c>
      <c r="BA2045" s="7" t="s">
        <v>231</v>
      </c>
      <c r="BB2045" s="7" t="s">
        <v>231</v>
      </c>
      <c r="BC2045" s="4" t="s">
        <v>231</v>
      </c>
      <c r="BD2045" s="8" t="s">
        <v>231</v>
      </c>
      <c r="BE2045" s="4" t="s">
        <v>231</v>
      </c>
      <c r="BF2045" s="8" t="s">
        <v>231</v>
      </c>
      <c r="BG2045" s="7" t="s">
        <v>231</v>
      </c>
      <c r="BH2045" s="7" t="s">
        <v>231</v>
      </c>
      <c r="BI2045" s="7"/>
      <c r="BJ2045" s="4">
        <v>53</v>
      </c>
      <c r="BK2045" s="8">
        <v>753.59</v>
      </c>
      <c r="BL2045" s="2" t="s">
        <v>9115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9116</v>
      </c>
      <c r="BV2045" s="2" t="s">
        <v>231</v>
      </c>
      <c r="BW2045" s="2" t="s">
        <v>231</v>
      </c>
      <c r="BX2045" s="2" t="s">
        <v>231</v>
      </c>
      <c r="BY2045" s="2" t="s">
        <v>277</v>
      </c>
      <c r="BZ2045" s="2" t="s">
        <v>243</v>
      </c>
      <c r="CA2045" s="2" t="s">
        <v>284</v>
      </c>
      <c r="CB2045" s="2" t="s">
        <v>617</v>
      </c>
      <c r="CC2045" s="2" t="s">
        <v>244</v>
      </c>
      <c r="CD2045" s="2" t="s">
        <v>231</v>
      </c>
      <c r="CE2045" s="4">
        <v>192</v>
      </c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>
        <v>160</v>
      </c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>
        <v>50</v>
      </c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4"/>
      <c r="HH2045" s="4"/>
      <c r="HI2045" s="4"/>
      <c r="HJ2045" s="4"/>
      <c r="HK2045" s="4"/>
      <c r="HL2045" s="4"/>
    </row>
    <row r="2046">
      <c r="A2046" s="2" t="s">
        <v>9117</v>
      </c>
      <c r="B2046" s="2" t="s">
        <v>287</v>
      </c>
      <c r="C2046" s="2" t="s">
        <v>825</v>
      </c>
      <c r="D2046" s="2" t="s">
        <v>289</v>
      </c>
      <c r="E2046" s="2" t="s">
        <v>290</v>
      </c>
      <c r="F2046" s="2" t="s">
        <v>472</v>
      </c>
      <c r="G2046" s="2" t="s">
        <v>472</v>
      </c>
      <c r="H2046" s="2" t="s">
        <v>472</v>
      </c>
      <c r="I2046" s="2" t="s">
        <v>9013</v>
      </c>
      <c r="J2046" s="2" t="s">
        <v>281</v>
      </c>
      <c r="K2046" s="2" t="s">
        <v>319</v>
      </c>
      <c r="L2046" s="3">
        <v>14.85</v>
      </c>
      <c r="M2046" s="3">
        <v>15.59</v>
      </c>
      <c r="N2046" s="3">
        <v>32.99</v>
      </c>
      <c r="O2046" s="2" t="s">
        <v>243</v>
      </c>
      <c r="P2046" s="2" t="s">
        <v>270</v>
      </c>
      <c r="Q2046" s="2" t="s">
        <v>237</v>
      </c>
      <c r="R2046" s="2" t="s">
        <v>231</v>
      </c>
      <c r="S2046" s="2" t="s">
        <v>5822</v>
      </c>
      <c r="T2046" s="2" t="s">
        <v>472</v>
      </c>
      <c r="U2046" s="2" t="s">
        <v>765</v>
      </c>
      <c r="V2046" s="2" t="s">
        <v>239</v>
      </c>
      <c r="W2046" s="2" t="s">
        <v>273</v>
      </c>
      <c r="X2046" s="2" t="s">
        <v>691</v>
      </c>
      <c r="Y2046" s="2" t="s">
        <v>9015</v>
      </c>
      <c r="Z2046" s="4">
        <v>95</v>
      </c>
      <c r="AA2046" s="4">
        <f>=ROUNDDOWN(31.6666666666667,0)</f>
      </c>
      <c r="AB2046" s="5">
        <v>3</v>
      </c>
      <c r="AC2046" s="2" t="s">
        <v>1458</v>
      </c>
      <c r="AD2046" s="4">
        <v>20</v>
      </c>
      <c r="AE2046" s="4">
        <v>20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231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231</v>
      </c>
      <c r="AW2046" s="8" t="s">
        <v>231</v>
      </c>
      <c r="AX2046" s="4" t="s">
        <v>231</v>
      </c>
      <c r="AY2046" s="8" t="s">
        <v>231</v>
      </c>
      <c r="AZ2046" s="7" t="s">
        <v>231</v>
      </c>
      <c r="BA2046" s="7" t="s">
        <v>231</v>
      </c>
      <c r="BB2046" s="7" t="s">
        <v>231</v>
      </c>
      <c r="BC2046" s="4" t="s">
        <v>231</v>
      </c>
      <c r="BD2046" s="8" t="s">
        <v>231</v>
      </c>
      <c r="BE2046" s="4" t="s">
        <v>231</v>
      </c>
      <c r="BF2046" s="8" t="s">
        <v>231</v>
      </c>
      <c r="BG2046" s="7" t="s">
        <v>231</v>
      </c>
      <c r="BH2046" s="7" t="s">
        <v>231</v>
      </c>
      <c r="BI2046" s="7"/>
      <c r="BJ2046" s="4">
        <v>10</v>
      </c>
      <c r="BK2046" s="8">
        <v>161.77</v>
      </c>
      <c r="BL2046" s="2" t="s">
        <v>9118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9119</v>
      </c>
      <c r="BV2046" s="2" t="s">
        <v>231</v>
      </c>
      <c r="BW2046" s="2" t="s">
        <v>231</v>
      </c>
      <c r="BX2046" s="2" t="s">
        <v>231</v>
      </c>
      <c r="BY2046" s="2" t="s">
        <v>277</v>
      </c>
      <c r="BZ2046" s="2" t="s">
        <v>243</v>
      </c>
      <c r="CA2046" s="2" t="s">
        <v>9017</v>
      </c>
      <c r="CB2046" s="2" t="s">
        <v>9120</v>
      </c>
      <c r="CC2046" s="2" t="s">
        <v>244</v>
      </c>
      <c r="CD2046" s="2" t="s">
        <v>231</v>
      </c>
      <c r="CE2046" s="4">
        <v>95</v>
      </c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/>
      <c r="GS2046" s="4"/>
      <c r="GT2046" s="4"/>
      <c r="GU2046" s="4">
        <v>20</v>
      </c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  <c r="HG2046" s="4"/>
      <c r="HH2046" s="4"/>
      <c r="HI2046" s="4"/>
      <c r="HJ2046" s="4"/>
      <c r="HK2046" s="4"/>
      <c r="HL2046" s="4"/>
    </row>
    <row r="2047">
      <c r="A2047" s="2" t="s">
        <v>9121</v>
      </c>
      <c r="B2047" s="2" t="s">
        <v>287</v>
      </c>
      <c r="C2047" s="2" t="s">
        <v>825</v>
      </c>
      <c r="D2047" s="2" t="s">
        <v>289</v>
      </c>
      <c r="E2047" s="2" t="s">
        <v>290</v>
      </c>
      <c r="F2047" s="2" t="s">
        <v>472</v>
      </c>
      <c r="G2047" s="2" t="s">
        <v>472</v>
      </c>
      <c r="H2047" s="2" t="s">
        <v>472</v>
      </c>
      <c r="I2047" s="2" t="s">
        <v>8988</v>
      </c>
      <c r="J2047" s="2" t="s">
        <v>302</v>
      </c>
      <c r="K2047" s="2" t="s">
        <v>319</v>
      </c>
      <c r="L2047" s="3">
        <v>16.75</v>
      </c>
      <c r="M2047" s="3">
        <v>17.59</v>
      </c>
      <c r="N2047" s="3">
        <v>37.99</v>
      </c>
      <c r="O2047" s="2" t="s">
        <v>243</v>
      </c>
      <c r="P2047" s="2" t="s">
        <v>270</v>
      </c>
      <c r="Q2047" s="2" t="s">
        <v>237</v>
      </c>
      <c r="R2047" s="2" t="s">
        <v>231</v>
      </c>
      <c r="S2047" s="2" t="s">
        <v>5822</v>
      </c>
      <c r="T2047" s="2" t="s">
        <v>472</v>
      </c>
      <c r="U2047" s="2" t="s">
        <v>231</v>
      </c>
      <c r="V2047" s="2" t="s">
        <v>239</v>
      </c>
      <c r="W2047" s="2" t="s">
        <v>273</v>
      </c>
      <c r="X2047" s="2" t="s">
        <v>231</v>
      </c>
      <c r="Y2047" s="2" t="s">
        <v>274</v>
      </c>
      <c r="Z2047" s="4">
        <v>37</v>
      </c>
      <c r="AA2047" s="4">
        <f>=ROUNDDOWN(2.82442748091603,0)</f>
      </c>
      <c r="AB2047" s="5">
        <v>13.1</v>
      </c>
      <c r="AC2047" s="2" t="s">
        <v>3090</v>
      </c>
      <c r="AD2047" s="4">
        <v>50</v>
      </c>
      <c r="AE2047" s="4">
        <v>510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231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231</v>
      </c>
      <c r="AW2047" s="8" t="s">
        <v>231</v>
      </c>
      <c r="AX2047" s="4" t="s">
        <v>231</v>
      </c>
      <c r="AY2047" s="8" t="s">
        <v>231</v>
      </c>
      <c r="AZ2047" s="7" t="s">
        <v>231</v>
      </c>
      <c r="BA2047" s="7" t="s">
        <v>231</v>
      </c>
      <c r="BB2047" s="7"/>
      <c r="BC2047" s="4" t="s">
        <v>231</v>
      </c>
      <c r="BD2047" s="8" t="s">
        <v>231</v>
      </c>
      <c r="BE2047" s="4" t="s">
        <v>231</v>
      </c>
      <c r="BF2047" s="8" t="s">
        <v>231</v>
      </c>
      <c r="BG2047" s="7" t="s">
        <v>231</v>
      </c>
      <c r="BH2047" s="7" t="s">
        <v>231</v>
      </c>
      <c r="BI2047" s="7"/>
      <c r="BJ2047" s="4">
        <v>70</v>
      </c>
      <c r="BK2047" s="8">
        <v>1283.53</v>
      </c>
      <c r="BL2047" s="2" t="s">
        <v>9122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9123</v>
      </c>
      <c r="BV2047" s="2" t="s">
        <v>231</v>
      </c>
      <c r="BW2047" s="2" t="s">
        <v>231</v>
      </c>
      <c r="BX2047" s="2" t="s">
        <v>231</v>
      </c>
      <c r="BY2047" s="2" t="s">
        <v>277</v>
      </c>
      <c r="BZ2047" s="2" t="s">
        <v>243</v>
      </c>
      <c r="CA2047" s="2" t="s">
        <v>284</v>
      </c>
      <c r="CB2047" s="2" t="s">
        <v>617</v>
      </c>
      <c r="CC2047" s="2" t="s">
        <v>244</v>
      </c>
      <c r="CD2047" s="2" t="s">
        <v>231</v>
      </c>
      <c r="CE2047" s="4">
        <v>37</v>
      </c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>
        <v>50</v>
      </c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>
        <v>100</v>
      </c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>
        <v>50</v>
      </c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>
        <v>210</v>
      </c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>
        <v>100</v>
      </c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  <c r="HG2047" s="4"/>
      <c r="HH2047" s="4"/>
      <c r="HI2047" s="4"/>
      <c r="HJ2047" s="4"/>
      <c r="HK2047" s="4"/>
      <c r="HL2047" s="4"/>
    </row>
    <row r="2048">
      <c r="A2048" s="2" t="s">
        <v>9124</v>
      </c>
      <c r="B2048" s="2" t="s">
        <v>287</v>
      </c>
      <c r="C2048" s="2" t="s">
        <v>1017</v>
      </c>
      <c r="D2048" s="2" t="s">
        <v>289</v>
      </c>
      <c r="E2048" s="2" t="s">
        <v>290</v>
      </c>
      <c r="F2048" s="2" t="s">
        <v>9125</v>
      </c>
      <c r="G2048" s="2" t="s">
        <v>9125</v>
      </c>
      <c r="H2048" s="2" t="s">
        <v>9125</v>
      </c>
      <c r="I2048" s="2" t="s">
        <v>9126</v>
      </c>
      <c r="J2048" s="2" t="s">
        <v>268</v>
      </c>
      <c r="K2048" s="2" t="s">
        <v>6064</v>
      </c>
      <c r="L2048" s="3">
        <v>12.14</v>
      </c>
      <c r="M2048" s="3">
        <v>12.75</v>
      </c>
      <c r="N2048" s="3">
        <v>19.99</v>
      </c>
      <c r="O2048" s="2" t="s">
        <v>235</v>
      </c>
      <c r="P2048" s="2" t="s">
        <v>1019</v>
      </c>
      <c r="Q2048" s="2" t="s">
        <v>237</v>
      </c>
      <c r="R2048" s="2" t="s">
        <v>1020</v>
      </c>
      <c r="S2048" s="2" t="s">
        <v>231</v>
      </c>
      <c r="T2048" s="2" t="s">
        <v>472</v>
      </c>
      <c r="U2048" s="2" t="s">
        <v>231</v>
      </c>
      <c r="V2048" s="2" t="s">
        <v>239</v>
      </c>
      <c r="W2048" s="2" t="s">
        <v>231</v>
      </c>
      <c r="X2048" s="2" t="s">
        <v>231</v>
      </c>
      <c r="Y2048" s="2" t="s">
        <v>9127</v>
      </c>
      <c r="Z2048" s="4"/>
      <c r="AA2048" s="4">
        <f>=ROUNDDOWN({0},0)</f>
      </c>
      <c r="AB2048" s="5">
        <v>1</v>
      </c>
      <c r="AC2048" s="2" t="s">
        <v>231</v>
      </c>
      <c r="AD2048" s="4"/>
      <c r="AE2048" s="4"/>
      <c r="AF2048" s="6">
        <v>64</v>
      </c>
      <c r="AG2048" s="6"/>
      <c r="AH2048" s="7">
        <v>0.129</v>
      </c>
      <c r="AI2048" s="4"/>
      <c r="AJ2048" s="4">
        <f>=ROUNDDOWN({0},0)</f>
      </c>
      <c r="AK2048" s="5"/>
      <c r="AL2048" s="2" t="s">
        <v>231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231</v>
      </c>
      <c r="BD2048" s="8" t="s">
        <v>231</v>
      </c>
      <c r="BE2048" s="4" t="s">
        <v>231</v>
      </c>
      <c r="BF2048" s="8" t="s">
        <v>231</v>
      </c>
      <c r="BG2048" s="7" t="s">
        <v>231</v>
      </c>
      <c r="BH2048" s="7" t="s">
        <v>231</v>
      </c>
      <c r="BI2048" s="7"/>
      <c r="BJ2048" s="4">
        <v>9</v>
      </c>
      <c r="BK2048" s="8">
        <v>60.75</v>
      </c>
      <c r="BL2048" s="2" t="s">
        <v>3050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9128</v>
      </c>
      <c r="BV2048" s="2" t="s">
        <v>231</v>
      </c>
      <c r="BW2048" s="2" t="s">
        <v>231</v>
      </c>
      <c r="BX2048" s="2" t="s">
        <v>241</v>
      </c>
      <c r="BY2048" s="2" t="s">
        <v>277</v>
      </c>
      <c r="BZ2048" s="2" t="s">
        <v>243</v>
      </c>
      <c r="CA2048" s="2" t="s">
        <v>9129</v>
      </c>
      <c r="CB2048" s="2" t="s">
        <v>231</v>
      </c>
      <c r="CC2048" s="2" t="s">
        <v>244</v>
      </c>
      <c r="CD2048" s="2" t="s">
        <v>231</v>
      </c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4"/>
      <c r="HE2048" s="4"/>
      <c r="HF2048" s="4"/>
      <c r="HG2048" s="4"/>
      <c r="HH2048" s="4"/>
      <c r="HI2048" s="4"/>
      <c r="HJ2048" s="4"/>
      <c r="HK2048" s="4"/>
      <c r="HL2048" s="4"/>
    </row>
    <row r="2049">
      <c r="A2049" s="2" t="s">
        <v>9130</v>
      </c>
      <c r="B2049" s="2" t="s">
        <v>287</v>
      </c>
      <c r="C2049" s="2" t="s">
        <v>1017</v>
      </c>
      <c r="D2049" s="2" t="s">
        <v>289</v>
      </c>
      <c r="E2049" s="2" t="s">
        <v>290</v>
      </c>
      <c r="F2049" s="2" t="s">
        <v>9125</v>
      </c>
      <c r="G2049" s="2" t="s">
        <v>9125</v>
      </c>
      <c r="H2049" s="2" t="s">
        <v>9125</v>
      </c>
      <c r="I2049" s="2" t="s">
        <v>9126</v>
      </c>
      <c r="J2049" s="2" t="s">
        <v>268</v>
      </c>
      <c r="K2049" s="2" t="s">
        <v>319</v>
      </c>
      <c r="L2049" s="3">
        <v>12.14</v>
      </c>
      <c r="M2049" s="3">
        <v>12.75</v>
      </c>
      <c r="N2049" s="3">
        <v>19.99</v>
      </c>
      <c r="O2049" s="2" t="s">
        <v>235</v>
      </c>
      <c r="P2049" s="2" t="s">
        <v>1019</v>
      </c>
      <c r="Q2049" s="2" t="s">
        <v>237</v>
      </c>
      <c r="R2049" s="2" t="s">
        <v>1020</v>
      </c>
      <c r="S2049" s="2" t="s">
        <v>231</v>
      </c>
      <c r="T2049" s="2" t="s">
        <v>472</v>
      </c>
      <c r="U2049" s="2" t="s">
        <v>231</v>
      </c>
      <c r="V2049" s="2" t="s">
        <v>239</v>
      </c>
      <c r="W2049" s="2" t="s">
        <v>231</v>
      </c>
      <c r="X2049" s="2" t="s">
        <v>231</v>
      </c>
      <c r="Y2049" s="2" t="s">
        <v>4885</v>
      </c>
      <c r="Z2049" s="4">
        <v>75</v>
      </c>
      <c r="AA2049" s="4">
        <f>=ROUNDDOWN(34.0909090909091,0)</f>
      </c>
      <c r="AB2049" s="5">
        <v>2.2</v>
      </c>
      <c r="AC2049" s="2" t="s">
        <v>231</v>
      </c>
      <c r="AD2049" s="4"/>
      <c r="AE2049" s="4"/>
      <c r="AF2049" s="6">
        <v>64</v>
      </c>
      <c r="AG2049" s="6"/>
      <c r="AH2049" s="7">
        <v>1</v>
      </c>
      <c r="AI2049" s="4"/>
      <c r="AJ2049" s="4">
        <f>=ROUNDDOWN({0},0)</f>
      </c>
      <c r="AK2049" s="5"/>
      <c r="AL2049" s="2" t="s">
        <v>231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231</v>
      </c>
      <c r="BD2049" s="8" t="s">
        <v>231</v>
      </c>
      <c r="BE2049" s="4" t="s">
        <v>231</v>
      </c>
      <c r="BF2049" s="8" t="s">
        <v>231</v>
      </c>
      <c r="BG2049" s="7" t="s">
        <v>231</v>
      </c>
      <c r="BH2049" s="7" t="s">
        <v>231</v>
      </c>
      <c r="BI2049" s="7"/>
      <c r="BJ2049" s="4">
        <v>6</v>
      </c>
      <c r="BK2049" s="8">
        <v>64.95</v>
      </c>
      <c r="BL2049" s="2" t="s">
        <v>1022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9131</v>
      </c>
      <c r="BV2049" s="2" t="s">
        <v>231</v>
      </c>
      <c r="BW2049" s="2" t="s">
        <v>231</v>
      </c>
      <c r="BX2049" s="2" t="s">
        <v>241</v>
      </c>
      <c r="BY2049" s="2" t="s">
        <v>277</v>
      </c>
      <c r="BZ2049" s="2" t="s">
        <v>243</v>
      </c>
      <c r="CA2049" s="2" t="s">
        <v>1024</v>
      </c>
      <c r="CB2049" s="2" t="s">
        <v>231</v>
      </c>
      <c r="CC2049" s="2" t="s">
        <v>244</v>
      </c>
      <c r="CD2049" s="2" t="s">
        <v>231</v>
      </c>
      <c r="CE2049" s="4">
        <v>75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4"/>
      <c r="HE2049" s="4"/>
      <c r="HF2049" s="4"/>
      <c r="HG2049" s="4"/>
      <c r="HH2049" s="4"/>
      <c r="HI2049" s="4"/>
      <c r="HJ2049" s="4"/>
      <c r="HK2049" s="4"/>
      <c r="HL2049" s="4"/>
    </row>
    <row r="2050">
      <c r="A2050" s="2" t="s">
        <v>9132</v>
      </c>
      <c r="B2050" s="2" t="s">
        <v>226</v>
      </c>
      <c r="C2050" s="2" t="s">
        <v>3948</v>
      </c>
      <c r="D2050" s="2" t="s">
        <v>3885</v>
      </c>
      <c r="E2050" s="2" t="s">
        <v>3886</v>
      </c>
      <c r="F2050" s="2" t="s">
        <v>9133</v>
      </c>
      <c r="G2050" s="2" t="s">
        <v>9133</v>
      </c>
      <c r="H2050" s="2" t="s">
        <v>9133</v>
      </c>
      <c r="I2050" s="2" t="s">
        <v>3915</v>
      </c>
      <c r="J2050" s="2" t="s">
        <v>318</v>
      </c>
      <c r="K2050" s="2" t="s">
        <v>319</v>
      </c>
      <c r="L2050" s="3">
        <v>35.71</v>
      </c>
      <c r="M2050" s="3">
        <v>37.5</v>
      </c>
      <c r="N2050" s="3">
        <v>74.99</v>
      </c>
      <c r="O2050" s="2" t="s">
        <v>243</v>
      </c>
      <c r="P2050" s="2" t="s">
        <v>270</v>
      </c>
      <c r="Q2050" s="2" t="s">
        <v>237</v>
      </c>
      <c r="R2050" s="2" t="s">
        <v>231</v>
      </c>
      <c r="S2050" s="2" t="s">
        <v>9134</v>
      </c>
      <c r="T2050" s="2" t="s">
        <v>472</v>
      </c>
      <c r="U2050" s="2" t="s">
        <v>327</v>
      </c>
      <c r="V2050" s="2" t="s">
        <v>239</v>
      </c>
      <c r="W2050" s="2" t="s">
        <v>273</v>
      </c>
      <c r="X2050" s="2" t="s">
        <v>231</v>
      </c>
      <c r="Y2050" s="2" t="s">
        <v>2509</v>
      </c>
      <c r="Z2050" s="4">
        <v>28</v>
      </c>
      <c r="AA2050" s="4">
        <f>=ROUNDDOWN(2.8,0)</f>
      </c>
      <c r="AB2050" s="5">
        <v>10</v>
      </c>
      <c r="AC2050" s="2" t="s">
        <v>321</v>
      </c>
      <c r="AD2050" s="4">
        <v>300</v>
      </c>
      <c r="AE2050" s="4">
        <v>300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231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 t="s">
        <v>231</v>
      </c>
      <c r="AW2050" s="8" t="s">
        <v>231</v>
      </c>
      <c r="AX2050" s="4" t="s">
        <v>231</v>
      </c>
      <c r="AY2050" s="8" t="s">
        <v>231</v>
      </c>
      <c r="AZ2050" s="7" t="s">
        <v>231</v>
      </c>
      <c r="BA2050" s="7" t="s">
        <v>231</v>
      </c>
      <c r="BB2050" s="7"/>
      <c r="BC2050" s="4" t="s">
        <v>231</v>
      </c>
      <c r="BD2050" s="8" t="s">
        <v>231</v>
      </c>
      <c r="BE2050" s="4" t="s">
        <v>231</v>
      </c>
      <c r="BF2050" s="8" t="s">
        <v>231</v>
      </c>
      <c r="BG2050" s="7" t="s">
        <v>231</v>
      </c>
      <c r="BH2050" s="7" t="s">
        <v>231</v>
      </c>
      <c r="BI2050" s="7"/>
      <c r="BJ2050" s="4">
        <v>5</v>
      </c>
      <c r="BK2050" s="8">
        <v>233.6</v>
      </c>
      <c r="BL2050" s="2" t="s">
        <v>9135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9136</v>
      </c>
      <c r="BV2050" s="2" t="s">
        <v>231</v>
      </c>
      <c r="BW2050" s="2" t="s">
        <v>231</v>
      </c>
      <c r="BX2050" s="2" t="s">
        <v>231</v>
      </c>
      <c r="BY2050" s="2" t="s">
        <v>277</v>
      </c>
      <c r="BZ2050" s="2" t="s">
        <v>243</v>
      </c>
      <c r="CA2050" s="2" t="s">
        <v>3892</v>
      </c>
      <c r="CB2050" s="2" t="s">
        <v>9137</v>
      </c>
      <c r="CC2050" s="2" t="s">
        <v>244</v>
      </c>
      <c r="CD2050" s="2" t="s">
        <v>231</v>
      </c>
      <c r="CE2050" s="4">
        <v>28</v>
      </c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>
        <v>300</v>
      </c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/>
      <c r="GY2050" s="4"/>
      <c r="GZ2050" s="4"/>
      <c r="HA2050" s="4"/>
      <c r="HB2050" s="4"/>
      <c r="HC2050" s="4"/>
      <c r="HD2050" s="4"/>
      <c r="HE2050" s="4"/>
      <c r="HF2050" s="4"/>
      <c r="HG2050" s="4"/>
      <c r="HH2050" s="4"/>
      <c r="HI2050" s="4"/>
      <c r="HJ2050" s="4"/>
      <c r="HK2050" s="4"/>
      <c r="HL2050" s="4"/>
    </row>
    <row r="2051">
      <c r="A2051" s="2" t="s">
        <v>9138</v>
      </c>
      <c r="B2051" s="2" t="s">
        <v>226</v>
      </c>
      <c r="C2051" s="2" t="s">
        <v>3948</v>
      </c>
      <c r="D2051" s="2" t="s">
        <v>3885</v>
      </c>
      <c r="E2051" s="2" t="s">
        <v>3886</v>
      </c>
      <c r="F2051" s="2" t="s">
        <v>9133</v>
      </c>
      <c r="G2051" s="2" t="s">
        <v>9133</v>
      </c>
      <c r="H2051" s="2" t="s">
        <v>9133</v>
      </c>
      <c r="I2051" s="2" t="s">
        <v>3915</v>
      </c>
      <c r="J2051" s="2" t="s">
        <v>293</v>
      </c>
      <c r="K2051" s="2" t="s">
        <v>319</v>
      </c>
      <c r="L2051" s="3">
        <v>54.76</v>
      </c>
      <c r="M2051" s="3">
        <v>57.5</v>
      </c>
      <c r="N2051" s="3">
        <v>114.99</v>
      </c>
      <c r="O2051" s="2" t="s">
        <v>243</v>
      </c>
      <c r="P2051" s="2" t="s">
        <v>270</v>
      </c>
      <c r="Q2051" s="2" t="s">
        <v>237</v>
      </c>
      <c r="R2051" s="2" t="s">
        <v>231</v>
      </c>
      <c r="S2051" s="2" t="s">
        <v>9134</v>
      </c>
      <c r="T2051" s="2" t="s">
        <v>472</v>
      </c>
      <c r="U2051" s="2" t="s">
        <v>327</v>
      </c>
      <c r="V2051" s="2" t="s">
        <v>239</v>
      </c>
      <c r="W2051" s="2" t="s">
        <v>273</v>
      </c>
      <c r="X2051" s="2" t="s">
        <v>231</v>
      </c>
      <c r="Y2051" s="2" t="s">
        <v>6132</v>
      </c>
      <c r="Z2051" s="4"/>
      <c r="AA2051" s="4">
        <f>=ROUNDDOWN({0},0)</f>
      </c>
      <c r="AB2051" s="5">
        <v>113</v>
      </c>
      <c r="AC2051" s="2" t="s">
        <v>321</v>
      </c>
      <c r="AD2051" s="4">
        <v>760</v>
      </c>
      <c r="AE2051" s="4">
        <v>3040</v>
      </c>
      <c r="AF2051" s="6">
        <v>65</v>
      </c>
      <c r="AG2051" s="6"/>
      <c r="AH2051" s="7">
        <v>0</v>
      </c>
      <c r="AI2051" s="4"/>
      <c r="AJ2051" s="4">
        <f>=ROUNDDOWN({0},0)</f>
      </c>
      <c r="AK2051" s="5"/>
      <c r="AL2051" s="2" t="s">
        <v>231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 t="s">
        <v>231</v>
      </c>
      <c r="AW2051" s="8" t="s">
        <v>231</v>
      </c>
      <c r="AX2051" s="4" t="s">
        <v>231</v>
      </c>
      <c r="AY2051" s="8" t="s">
        <v>231</v>
      </c>
      <c r="AZ2051" s="7" t="s">
        <v>231</v>
      </c>
      <c r="BA2051" s="7" t="s">
        <v>231</v>
      </c>
      <c r="BB2051" s="7"/>
      <c r="BC2051" s="4" t="s">
        <v>231</v>
      </c>
      <c r="BD2051" s="8" t="s">
        <v>231</v>
      </c>
      <c r="BE2051" s="4" t="s">
        <v>231</v>
      </c>
      <c r="BF2051" s="8" t="s">
        <v>231</v>
      </c>
      <c r="BG2051" s="7" t="s">
        <v>231</v>
      </c>
      <c r="BH2051" s="7" t="s">
        <v>231</v>
      </c>
      <c r="BI2051" s="7"/>
      <c r="BJ2051" s="4"/>
      <c r="BK2051" s="8"/>
      <c r="BL2051" s="2" t="s">
        <v>231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9139</v>
      </c>
      <c r="BV2051" s="2" t="s">
        <v>231</v>
      </c>
      <c r="BW2051" s="2" t="s">
        <v>231</v>
      </c>
      <c r="BX2051" s="2" t="s">
        <v>231</v>
      </c>
      <c r="BY2051" s="2" t="s">
        <v>277</v>
      </c>
      <c r="BZ2051" s="2" t="s">
        <v>243</v>
      </c>
      <c r="CA2051" s="2" t="s">
        <v>3892</v>
      </c>
      <c r="CB2051" s="2" t="s">
        <v>386</v>
      </c>
      <c r="CC2051" s="2" t="s">
        <v>244</v>
      </c>
      <c r="CD2051" s="2" t="s">
        <v>231</v>
      </c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>
        <v>760</v>
      </c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>
        <v>1300</v>
      </c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>
        <v>980</v>
      </c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  <c r="HF2051" s="4"/>
      <c r="HG2051" s="4"/>
      <c r="HH2051" s="4"/>
      <c r="HI2051" s="4"/>
      <c r="HJ2051" s="4"/>
      <c r="HK2051" s="4"/>
      <c r="HL2051" s="4"/>
    </row>
    <row r="2052">
      <c r="A2052" s="2" t="s">
        <v>9140</v>
      </c>
      <c r="B2052" s="2" t="s">
        <v>226</v>
      </c>
      <c r="C2052" s="2" t="s">
        <v>3948</v>
      </c>
      <c r="D2052" s="2" t="s">
        <v>3885</v>
      </c>
      <c r="E2052" s="2" t="s">
        <v>3886</v>
      </c>
      <c r="F2052" s="2" t="s">
        <v>9133</v>
      </c>
      <c r="G2052" s="2" t="s">
        <v>9133</v>
      </c>
      <c r="H2052" s="2" t="s">
        <v>9133</v>
      </c>
      <c r="I2052" s="2" t="s">
        <v>3915</v>
      </c>
      <c r="J2052" s="2" t="s">
        <v>302</v>
      </c>
      <c r="K2052" s="2" t="s">
        <v>319</v>
      </c>
      <c r="L2052" s="3">
        <v>59.52</v>
      </c>
      <c r="M2052" s="3">
        <v>62.5</v>
      </c>
      <c r="N2052" s="3">
        <v>124.99</v>
      </c>
      <c r="O2052" s="2" t="s">
        <v>243</v>
      </c>
      <c r="P2052" s="2" t="s">
        <v>270</v>
      </c>
      <c r="Q2052" s="2" t="s">
        <v>237</v>
      </c>
      <c r="R2052" s="2" t="s">
        <v>231</v>
      </c>
      <c r="S2052" s="2" t="s">
        <v>9134</v>
      </c>
      <c r="T2052" s="2" t="s">
        <v>472</v>
      </c>
      <c r="U2052" s="2" t="s">
        <v>327</v>
      </c>
      <c r="V2052" s="2" t="s">
        <v>239</v>
      </c>
      <c r="W2052" s="2" t="s">
        <v>273</v>
      </c>
      <c r="X2052" s="2" t="s">
        <v>231</v>
      </c>
      <c r="Y2052" s="2" t="s">
        <v>6132</v>
      </c>
      <c r="Z2052" s="4"/>
      <c r="AA2052" s="4">
        <f>=ROUNDDOWN({0},0)</f>
      </c>
      <c r="AB2052" s="5">
        <v>52</v>
      </c>
      <c r="AC2052" s="2" t="s">
        <v>321</v>
      </c>
      <c r="AD2052" s="4">
        <v>390</v>
      </c>
      <c r="AE2052" s="4">
        <v>1430</v>
      </c>
      <c r="AF2052" s="6">
        <v>65</v>
      </c>
      <c r="AG2052" s="6"/>
      <c r="AH2052" s="7">
        <v>0</v>
      </c>
      <c r="AI2052" s="4"/>
      <c r="AJ2052" s="4">
        <f>=ROUNDDOWN({0},0)</f>
      </c>
      <c r="AK2052" s="5"/>
      <c r="AL2052" s="2" t="s">
        <v>231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 t="s">
        <v>231</v>
      </c>
      <c r="AW2052" s="8" t="s">
        <v>231</v>
      </c>
      <c r="AX2052" s="4" t="s">
        <v>231</v>
      </c>
      <c r="AY2052" s="8" t="s">
        <v>231</v>
      </c>
      <c r="AZ2052" s="7" t="s">
        <v>231</v>
      </c>
      <c r="BA2052" s="7" t="s">
        <v>231</v>
      </c>
      <c r="BB2052" s="7"/>
      <c r="BC2052" s="4" t="s">
        <v>231</v>
      </c>
      <c r="BD2052" s="8" t="s">
        <v>231</v>
      </c>
      <c r="BE2052" s="4" t="s">
        <v>231</v>
      </c>
      <c r="BF2052" s="8" t="s">
        <v>231</v>
      </c>
      <c r="BG2052" s="7" t="s">
        <v>231</v>
      </c>
      <c r="BH2052" s="7" t="s">
        <v>231</v>
      </c>
      <c r="BI2052" s="7"/>
      <c r="BJ2052" s="4"/>
      <c r="BK2052" s="8"/>
      <c r="BL2052" s="2" t="s">
        <v>231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9141</v>
      </c>
      <c r="BV2052" s="2" t="s">
        <v>231</v>
      </c>
      <c r="BW2052" s="2" t="s">
        <v>231</v>
      </c>
      <c r="BX2052" s="2" t="s">
        <v>231</v>
      </c>
      <c r="BY2052" s="2" t="s">
        <v>277</v>
      </c>
      <c r="BZ2052" s="2" t="s">
        <v>243</v>
      </c>
      <c r="CA2052" s="2" t="s">
        <v>3892</v>
      </c>
      <c r="CB2052" s="2" t="s">
        <v>9142</v>
      </c>
      <c r="CC2052" s="2" t="s">
        <v>244</v>
      </c>
      <c r="CD2052" s="2" t="s">
        <v>231</v>
      </c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>
        <v>390</v>
      </c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>
        <v>650</v>
      </c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>
        <v>390</v>
      </c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  <c r="HF2052" s="4"/>
      <c r="HG2052" s="4"/>
      <c r="HH2052" s="4"/>
      <c r="HI2052" s="4"/>
      <c r="HJ2052" s="4"/>
      <c r="HK2052" s="4"/>
      <c r="HL2052" s="4"/>
    </row>
    <row r="2053">
      <c r="A2053" s="2" t="s">
        <v>9143</v>
      </c>
      <c r="B2053" s="2" t="s">
        <v>226</v>
      </c>
      <c r="C2053" s="2" t="s">
        <v>3948</v>
      </c>
      <c r="D2053" s="2" t="s">
        <v>3885</v>
      </c>
      <c r="E2053" s="2" t="s">
        <v>3886</v>
      </c>
      <c r="F2053" s="2" t="s">
        <v>9133</v>
      </c>
      <c r="G2053" s="2" t="s">
        <v>9133</v>
      </c>
      <c r="H2053" s="2" t="s">
        <v>9133</v>
      </c>
      <c r="I2053" s="2" t="s">
        <v>3915</v>
      </c>
      <c r="J2053" s="2" t="s">
        <v>304</v>
      </c>
      <c r="K2053" s="2" t="s">
        <v>319</v>
      </c>
      <c r="L2053" s="3">
        <v>59.52</v>
      </c>
      <c r="M2053" s="3">
        <v>62.5</v>
      </c>
      <c r="N2053" s="3">
        <v>124.99</v>
      </c>
      <c r="O2053" s="2" t="s">
        <v>243</v>
      </c>
      <c r="P2053" s="2" t="s">
        <v>270</v>
      </c>
      <c r="Q2053" s="2" t="s">
        <v>237</v>
      </c>
      <c r="R2053" s="2" t="s">
        <v>231</v>
      </c>
      <c r="S2053" s="2" t="s">
        <v>9134</v>
      </c>
      <c r="T2053" s="2" t="s">
        <v>472</v>
      </c>
      <c r="U2053" s="2" t="s">
        <v>327</v>
      </c>
      <c r="V2053" s="2" t="s">
        <v>239</v>
      </c>
      <c r="W2053" s="2" t="s">
        <v>273</v>
      </c>
      <c r="X2053" s="2" t="s">
        <v>231</v>
      </c>
      <c r="Y2053" s="2" t="s">
        <v>6132</v>
      </c>
      <c r="Z2053" s="4">
        <v>1</v>
      </c>
      <c r="AA2053" s="4">
        <f>=ROUNDDOWN(0.0555555555555556,0)</f>
      </c>
      <c r="AB2053" s="5">
        <v>18</v>
      </c>
      <c r="AC2053" s="2" t="s">
        <v>321</v>
      </c>
      <c r="AD2053" s="4">
        <v>110</v>
      </c>
      <c r="AE2053" s="4">
        <v>430</v>
      </c>
      <c r="AF2053" s="6">
        <v>65</v>
      </c>
      <c r="AG2053" s="6"/>
      <c r="AH2053" s="7">
        <v>0</v>
      </c>
      <c r="AI2053" s="4"/>
      <c r="AJ2053" s="4">
        <f>=ROUNDDOWN({0},0)</f>
      </c>
      <c r="AK2053" s="5"/>
      <c r="AL2053" s="2" t="s">
        <v>231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231</v>
      </c>
      <c r="AW2053" s="8" t="s">
        <v>231</v>
      </c>
      <c r="AX2053" s="4" t="s">
        <v>231</v>
      </c>
      <c r="AY2053" s="8" t="s">
        <v>231</v>
      </c>
      <c r="AZ2053" s="7" t="s">
        <v>231</v>
      </c>
      <c r="BA2053" s="7" t="s">
        <v>231</v>
      </c>
      <c r="BB2053" s="7"/>
      <c r="BC2053" s="4" t="s">
        <v>231</v>
      </c>
      <c r="BD2053" s="8" t="s">
        <v>231</v>
      </c>
      <c r="BE2053" s="4" t="s">
        <v>231</v>
      </c>
      <c r="BF2053" s="8" t="s">
        <v>231</v>
      </c>
      <c r="BG2053" s="7" t="s">
        <v>231</v>
      </c>
      <c r="BH2053" s="7" t="s">
        <v>231</v>
      </c>
      <c r="BI2053" s="7"/>
      <c r="BJ2053" s="4"/>
      <c r="BK2053" s="8"/>
      <c r="BL2053" s="2" t="s">
        <v>231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9144</v>
      </c>
      <c r="BV2053" s="2" t="s">
        <v>231</v>
      </c>
      <c r="BW2053" s="2" t="s">
        <v>231</v>
      </c>
      <c r="BX2053" s="2" t="s">
        <v>231</v>
      </c>
      <c r="BY2053" s="2" t="s">
        <v>277</v>
      </c>
      <c r="BZ2053" s="2" t="s">
        <v>243</v>
      </c>
      <c r="CA2053" s="2" t="s">
        <v>3892</v>
      </c>
      <c r="CB2053" s="2" t="s">
        <v>667</v>
      </c>
      <c r="CC2053" s="2" t="s">
        <v>244</v>
      </c>
      <c r="CD2053" s="2" t="s">
        <v>231</v>
      </c>
      <c r="CE2053" s="4">
        <v>1</v>
      </c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>
        <v>110</v>
      </c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>
        <v>160</v>
      </c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>
        <v>160</v>
      </c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  <c r="HF2053" s="4"/>
      <c r="HG2053" s="4"/>
      <c r="HH2053" s="4"/>
      <c r="HI2053" s="4"/>
      <c r="HJ2053" s="4"/>
      <c r="HK2053" s="4"/>
      <c r="HL2053" s="4"/>
    </row>
    <row r="2054">
      <c r="A2054" s="2" t="s">
        <v>9145</v>
      </c>
      <c r="B2054" s="2" t="s">
        <v>262</v>
      </c>
      <c r="C2054" s="2" t="s">
        <v>263</v>
      </c>
      <c r="D2054" s="2" t="s">
        <v>264</v>
      </c>
      <c r="E2054" s="2" t="s">
        <v>3915</v>
      </c>
      <c r="F2054" s="2" t="s">
        <v>9146</v>
      </c>
      <c r="G2054" s="2" t="s">
        <v>9146</v>
      </c>
      <c r="H2054" s="2" t="s">
        <v>9146</v>
      </c>
      <c r="I2054" s="2" t="s">
        <v>9147</v>
      </c>
      <c r="J2054" s="2" t="s">
        <v>318</v>
      </c>
      <c r="K2054" s="2" t="s">
        <v>319</v>
      </c>
      <c r="L2054" s="3">
        <v>15.33</v>
      </c>
      <c r="M2054" s="3">
        <v>16.1</v>
      </c>
      <c r="N2054" s="3">
        <v>34.99</v>
      </c>
      <c r="O2054" s="2" t="s">
        <v>243</v>
      </c>
      <c r="P2054" s="2" t="s">
        <v>341</v>
      </c>
      <c r="Q2054" s="2" t="s">
        <v>237</v>
      </c>
      <c r="R2054" s="2" t="s">
        <v>231</v>
      </c>
      <c r="S2054" s="2" t="s">
        <v>9148</v>
      </c>
      <c r="T2054" s="2" t="s">
        <v>231</v>
      </c>
      <c r="U2054" s="2" t="s">
        <v>327</v>
      </c>
      <c r="V2054" s="2" t="s">
        <v>239</v>
      </c>
      <c r="W2054" s="2" t="s">
        <v>273</v>
      </c>
      <c r="X2054" s="2" t="s">
        <v>231</v>
      </c>
      <c r="Y2054" s="2" t="s">
        <v>7048</v>
      </c>
      <c r="Z2054" s="4"/>
      <c r="AA2054" s="4">
        <f>=ROUNDDOWN({0},0)</f>
      </c>
      <c r="AB2054" s="5">
        <v>9</v>
      </c>
      <c r="AC2054" s="2" t="s">
        <v>5150</v>
      </c>
      <c r="AD2054" s="4">
        <v>70</v>
      </c>
      <c r="AE2054" s="4">
        <v>70</v>
      </c>
      <c r="AF2054" s="6">
        <v>65</v>
      </c>
      <c r="AG2054" s="6"/>
      <c r="AH2054" s="7">
        <v>0</v>
      </c>
      <c r="AI2054" s="4"/>
      <c r="AJ2054" s="4">
        <f>=ROUNDDOWN({0},0)</f>
      </c>
      <c r="AK2054" s="5"/>
      <c r="AL2054" s="2" t="s">
        <v>231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231</v>
      </c>
      <c r="AW2054" s="8" t="s">
        <v>231</v>
      </c>
      <c r="AX2054" s="4" t="s">
        <v>231</v>
      </c>
      <c r="AY2054" s="8" t="s">
        <v>231</v>
      </c>
      <c r="AZ2054" s="7" t="s">
        <v>231</v>
      </c>
      <c r="BA2054" s="7" t="s">
        <v>231</v>
      </c>
      <c r="BB2054" s="7"/>
      <c r="BC2054" s="4" t="s">
        <v>231</v>
      </c>
      <c r="BD2054" s="8" t="s">
        <v>231</v>
      </c>
      <c r="BE2054" s="4" t="s">
        <v>231</v>
      </c>
      <c r="BF2054" s="8" t="s">
        <v>231</v>
      </c>
      <c r="BG2054" s="7" t="s">
        <v>231</v>
      </c>
      <c r="BH2054" s="7" t="s">
        <v>231</v>
      </c>
      <c r="BI2054" s="7"/>
      <c r="BJ2054" s="4"/>
      <c r="BK2054" s="8"/>
      <c r="BL2054" s="2" t="s">
        <v>231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9149</v>
      </c>
      <c r="BV2054" s="2" t="s">
        <v>231</v>
      </c>
      <c r="BW2054" s="2" t="s">
        <v>231</v>
      </c>
      <c r="BX2054" s="2" t="s">
        <v>241</v>
      </c>
      <c r="BY2054" s="2" t="s">
        <v>277</v>
      </c>
      <c r="BZ2054" s="2" t="s">
        <v>243</v>
      </c>
      <c r="CA2054" s="2" t="s">
        <v>5450</v>
      </c>
      <c r="CB2054" s="2" t="s">
        <v>7009</v>
      </c>
      <c r="CC2054" s="2" t="s">
        <v>244</v>
      </c>
      <c r="CD2054" s="2" t="s">
        <v>231</v>
      </c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>
        <v>70</v>
      </c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  <c r="HG2054" s="4"/>
      <c r="HH2054" s="4"/>
      <c r="HI2054" s="4"/>
      <c r="HJ2054" s="4"/>
      <c r="HK2054" s="4"/>
      <c r="HL2054" s="4"/>
    </row>
    <row r="2055">
      <c r="A2055" s="2" t="s">
        <v>9150</v>
      </c>
      <c r="B2055" s="2" t="s">
        <v>262</v>
      </c>
      <c r="C2055" s="2" t="s">
        <v>263</v>
      </c>
      <c r="D2055" s="2" t="s">
        <v>654</v>
      </c>
      <c r="E2055" s="2" t="s">
        <v>1212</v>
      </c>
      <c r="F2055" s="2" t="s">
        <v>9146</v>
      </c>
      <c r="G2055" s="2" t="s">
        <v>9146</v>
      </c>
      <c r="H2055" s="2" t="s">
        <v>9146</v>
      </c>
      <c r="I2055" s="2" t="s">
        <v>9151</v>
      </c>
      <c r="J2055" s="2" t="s">
        <v>832</v>
      </c>
      <c r="K2055" s="2" t="s">
        <v>319</v>
      </c>
      <c r="L2055" s="3">
        <v>21.42</v>
      </c>
      <c r="M2055" s="3">
        <v>22.5</v>
      </c>
      <c r="N2055" s="3">
        <v>49.99</v>
      </c>
      <c r="O2055" s="2" t="s">
        <v>243</v>
      </c>
      <c r="P2055" s="2" t="s">
        <v>270</v>
      </c>
      <c r="Q2055" s="2" t="s">
        <v>237</v>
      </c>
      <c r="R2055" s="2" t="s">
        <v>231</v>
      </c>
      <c r="S2055" s="2" t="s">
        <v>9152</v>
      </c>
      <c r="T2055" s="2" t="s">
        <v>231</v>
      </c>
      <c r="U2055" s="2" t="s">
        <v>327</v>
      </c>
      <c r="V2055" s="2" t="s">
        <v>239</v>
      </c>
      <c r="W2055" s="2" t="s">
        <v>273</v>
      </c>
      <c r="X2055" s="2" t="s">
        <v>231</v>
      </c>
      <c r="Y2055" s="2" t="s">
        <v>7048</v>
      </c>
      <c r="Z2055" s="4">
        <v>241</v>
      </c>
      <c r="AA2055" s="4">
        <f>=ROUNDDOWN(20.0833333333333,0)</f>
      </c>
      <c r="AB2055" s="5">
        <v>12</v>
      </c>
      <c r="AC2055" s="2" t="s">
        <v>406</v>
      </c>
      <c r="AD2055" s="4">
        <v>30</v>
      </c>
      <c r="AE2055" s="4">
        <v>300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231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 t="s">
        <v>231</v>
      </c>
      <c r="AW2055" s="8" t="s">
        <v>231</v>
      </c>
      <c r="AX2055" s="4" t="s">
        <v>231</v>
      </c>
      <c r="AY2055" s="8" t="s">
        <v>231</v>
      </c>
      <c r="AZ2055" s="7" t="s">
        <v>231</v>
      </c>
      <c r="BA2055" s="7" t="s">
        <v>231</v>
      </c>
      <c r="BB2055" s="7"/>
      <c r="BC2055" s="4" t="s">
        <v>231</v>
      </c>
      <c r="BD2055" s="8" t="s">
        <v>231</v>
      </c>
      <c r="BE2055" s="4" t="s">
        <v>231</v>
      </c>
      <c r="BF2055" s="8" t="s">
        <v>231</v>
      </c>
      <c r="BG2055" s="7" t="s">
        <v>231</v>
      </c>
      <c r="BH2055" s="7" t="s">
        <v>231</v>
      </c>
      <c r="BI2055" s="7"/>
      <c r="BJ2055" s="4">
        <v>33</v>
      </c>
      <c r="BK2055" s="8">
        <v>781.71</v>
      </c>
      <c r="BL2055" s="2" t="s">
        <v>5687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9153</v>
      </c>
      <c r="BV2055" s="2" t="s">
        <v>231</v>
      </c>
      <c r="BW2055" s="2" t="s">
        <v>231</v>
      </c>
      <c r="BX2055" s="2" t="s">
        <v>231</v>
      </c>
      <c r="BY2055" s="2" t="s">
        <v>277</v>
      </c>
      <c r="BZ2055" s="2" t="s">
        <v>243</v>
      </c>
      <c r="CA2055" s="2" t="s">
        <v>5450</v>
      </c>
      <c r="CB2055" s="2" t="s">
        <v>9154</v>
      </c>
      <c r="CC2055" s="2" t="s">
        <v>244</v>
      </c>
      <c r="CD2055" s="2" t="s">
        <v>231</v>
      </c>
      <c r="CE2055" s="4">
        <v>241</v>
      </c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>
        <v>30</v>
      </c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>
        <v>100</v>
      </c>
      <c r="FW2055" s="4"/>
      <c r="FX2055" s="4"/>
      <c r="FY2055" s="4"/>
      <c r="FZ2055" s="4"/>
      <c r="GA2055" s="4"/>
      <c r="GB2055" s="4"/>
      <c r="GC2055" s="4"/>
      <c r="GD2055" s="4"/>
      <c r="GE2055" s="4">
        <v>100</v>
      </c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>
        <v>70</v>
      </c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  <c r="HG2055" s="4"/>
      <c r="HH2055" s="4"/>
      <c r="HI2055" s="4"/>
      <c r="HJ2055" s="4"/>
      <c r="HK2055" s="4"/>
      <c r="HL2055" s="4"/>
    </row>
    <row r="2056">
      <c r="A2056" s="2" t="s">
        <v>9155</v>
      </c>
      <c r="B2056" s="2" t="s">
        <v>262</v>
      </c>
      <c r="C2056" s="2" t="s">
        <v>263</v>
      </c>
      <c r="D2056" s="2" t="s">
        <v>264</v>
      </c>
      <c r="E2056" s="2" t="s">
        <v>3915</v>
      </c>
      <c r="F2056" s="2" t="s">
        <v>9146</v>
      </c>
      <c r="G2056" s="2" t="s">
        <v>9146</v>
      </c>
      <c r="H2056" s="2" t="s">
        <v>9146</v>
      </c>
      <c r="I2056" s="2" t="s">
        <v>9147</v>
      </c>
      <c r="J2056" s="2" t="s">
        <v>281</v>
      </c>
      <c r="K2056" s="2" t="s">
        <v>319</v>
      </c>
      <c r="L2056" s="3">
        <v>18.28</v>
      </c>
      <c r="M2056" s="3">
        <v>19.19</v>
      </c>
      <c r="N2056" s="3">
        <v>39.99</v>
      </c>
      <c r="O2056" s="2" t="s">
        <v>243</v>
      </c>
      <c r="P2056" s="2" t="s">
        <v>341</v>
      </c>
      <c r="Q2056" s="2" t="s">
        <v>237</v>
      </c>
      <c r="R2056" s="2" t="s">
        <v>231</v>
      </c>
      <c r="S2056" s="2" t="s">
        <v>9148</v>
      </c>
      <c r="T2056" s="2" t="s">
        <v>231</v>
      </c>
      <c r="U2056" s="2" t="s">
        <v>327</v>
      </c>
      <c r="V2056" s="2" t="s">
        <v>239</v>
      </c>
      <c r="W2056" s="2" t="s">
        <v>273</v>
      </c>
      <c r="X2056" s="2" t="s">
        <v>231</v>
      </c>
      <c r="Y2056" s="2" t="s">
        <v>7048</v>
      </c>
      <c r="Z2056" s="4"/>
      <c r="AA2056" s="4">
        <f>=ROUNDDOWN({0},0)</f>
      </c>
      <c r="AB2056" s="5">
        <v>12</v>
      </c>
      <c r="AC2056" s="2" t="s">
        <v>5150</v>
      </c>
      <c r="AD2056" s="4">
        <v>90</v>
      </c>
      <c r="AE2056" s="4">
        <v>90</v>
      </c>
      <c r="AF2056" s="6">
        <v>65</v>
      </c>
      <c r="AG2056" s="6"/>
      <c r="AH2056" s="7">
        <v>0.4516</v>
      </c>
      <c r="AI2056" s="4"/>
      <c r="AJ2056" s="4">
        <f>=ROUNDDOWN({0},0)</f>
      </c>
      <c r="AK2056" s="5"/>
      <c r="AL2056" s="2" t="s">
        <v>231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231</v>
      </c>
      <c r="AW2056" s="8" t="s">
        <v>231</v>
      </c>
      <c r="AX2056" s="4" t="s">
        <v>231</v>
      </c>
      <c r="AY2056" s="8" t="s">
        <v>231</v>
      </c>
      <c r="AZ2056" s="7" t="s">
        <v>231</v>
      </c>
      <c r="BA2056" s="7" t="s">
        <v>231</v>
      </c>
      <c r="BB2056" s="7"/>
      <c r="BC2056" s="4" t="s">
        <v>231</v>
      </c>
      <c r="BD2056" s="8" t="s">
        <v>231</v>
      </c>
      <c r="BE2056" s="4" t="s">
        <v>231</v>
      </c>
      <c r="BF2056" s="8" t="s">
        <v>231</v>
      </c>
      <c r="BG2056" s="7" t="s">
        <v>231</v>
      </c>
      <c r="BH2056" s="7" t="s">
        <v>231</v>
      </c>
      <c r="BI2056" s="7"/>
      <c r="BJ2056" s="4">
        <v>76</v>
      </c>
      <c r="BK2056" s="8">
        <v>1609.24</v>
      </c>
      <c r="BL2056" s="2" t="s">
        <v>8214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9156</v>
      </c>
      <c r="BV2056" s="2" t="s">
        <v>231</v>
      </c>
      <c r="BW2056" s="2" t="s">
        <v>231</v>
      </c>
      <c r="BX2056" s="2" t="s">
        <v>241</v>
      </c>
      <c r="BY2056" s="2" t="s">
        <v>277</v>
      </c>
      <c r="BZ2056" s="2" t="s">
        <v>243</v>
      </c>
      <c r="CA2056" s="2" t="s">
        <v>5450</v>
      </c>
      <c r="CB2056" s="2" t="s">
        <v>3452</v>
      </c>
      <c r="CC2056" s="2" t="s">
        <v>244</v>
      </c>
      <c r="CD2056" s="2" t="s">
        <v>231</v>
      </c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>
        <v>90</v>
      </c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  <c r="HG2056" s="4"/>
      <c r="HH2056" s="4"/>
      <c r="HI2056" s="4"/>
      <c r="HJ2056" s="4"/>
      <c r="HK2056" s="4"/>
      <c r="HL2056" s="4"/>
    </row>
    <row r="2057">
      <c r="A2057" s="2" t="s">
        <v>9157</v>
      </c>
      <c r="B2057" s="2" t="s">
        <v>262</v>
      </c>
      <c r="C2057" s="2" t="s">
        <v>263</v>
      </c>
      <c r="D2057" s="2" t="s">
        <v>654</v>
      </c>
      <c r="E2057" s="2" t="s">
        <v>1212</v>
      </c>
      <c r="F2057" s="2" t="s">
        <v>9146</v>
      </c>
      <c r="G2057" s="2" t="s">
        <v>9146</v>
      </c>
      <c r="H2057" s="2" t="s">
        <v>9146</v>
      </c>
      <c r="I2057" s="2" t="s">
        <v>9151</v>
      </c>
      <c r="J2057" s="2" t="s">
        <v>658</v>
      </c>
      <c r="K2057" s="2" t="s">
        <v>319</v>
      </c>
      <c r="L2057" s="3">
        <v>25.14</v>
      </c>
      <c r="M2057" s="3">
        <v>26.4</v>
      </c>
      <c r="N2057" s="3">
        <v>54.99</v>
      </c>
      <c r="O2057" s="2" t="s">
        <v>243</v>
      </c>
      <c r="P2057" s="2" t="s">
        <v>270</v>
      </c>
      <c r="Q2057" s="2" t="s">
        <v>237</v>
      </c>
      <c r="R2057" s="2" t="s">
        <v>231</v>
      </c>
      <c r="S2057" s="2" t="s">
        <v>9152</v>
      </c>
      <c r="T2057" s="2" t="s">
        <v>231</v>
      </c>
      <c r="U2057" s="2" t="s">
        <v>327</v>
      </c>
      <c r="V2057" s="2" t="s">
        <v>239</v>
      </c>
      <c r="W2057" s="2" t="s">
        <v>273</v>
      </c>
      <c r="X2057" s="2" t="s">
        <v>231</v>
      </c>
      <c r="Y2057" s="2" t="s">
        <v>7048</v>
      </c>
      <c r="Z2057" s="4">
        <v>289</v>
      </c>
      <c r="AA2057" s="4">
        <f>=ROUNDDOWN(12.5652173913043,0)</f>
      </c>
      <c r="AB2057" s="5">
        <v>23</v>
      </c>
      <c r="AC2057" s="2" t="s">
        <v>406</v>
      </c>
      <c r="AD2057" s="4">
        <v>40</v>
      </c>
      <c r="AE2057" s="4">
        <v>640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231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231</v>
      </c>
      <c r="AW2057" s="8" t="s">
        <v>231</v>
      </c>
      <c r="AX2057" s="4" t="s">
        <v>231</v>
      </c>
      <c r="AY2057" s="8" t="s">
        <v>231</v>
      </c>
      <c r="AZ2057" s="7" t="s">
        <v>231</v>
      </c>
      <c r="BA2057" s="7" t="s">
        <v>231</v>
      </c>
      <c r="BB2057" s="7"/>
      <c r="BC2057" s="4" t="s">
        <v>231</v>
      </c>
      <c r="BD2057" s="8" t="s">
        <v>231</v>
      </c>
      <c r="BE2057" s="4" t="s">
        <v>231</v>
      </c>
      <c r="BF2057" s="8" t="s">
        <v>231</v>
      </c>
      <c r="BG2057" s="7" t="s">
        <v>231</v>
      </c>
      <c r="BH2057" s="7" t="s">
        <v>231</v>
      </c>
      <c r="BI2057" s="7"/>
      <c r="BJ2057" s="4">
        <v>99</v>
      </c>
      <c r="BK2057" s="8">
        <v>2743.08</v>
      </c>
      <c r="BL2057" s="2" t="s">
        <v>9158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9159</v>
      </c>
      <c r="BV2057" s="2" t="s">
        <v>231</v>
      </c>
      <c r="BW2057" s="2" t="s">
        <v>231</v>
      </c>
      <c r="BX2057" s="2" t="s">
        <v>231</v>
      </c>
      <c r="BY2057" s="2" t="s">
        <v>277</v>
      </c>
      <c r="BZ2057" s="2" t="s">
        <v>243</v>
      </c>
      <c r="CA2057" s="2" t="s">
        <v>5450</v>
      </c>
      <c r="CB2057" s="2" t="s">
        <v>2097</v>
      </c>
      <c r="CC2057" s="2" t="s">
        <v>244</v>
      </c>
      <c r="CD2057" s="2" t="s">
        <v>231</v>
      </c>
      <c r="CE2057" s="4">
        <v>289</v>
      </c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>
        <v>40</v>
      </c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>
        <v>220</v>
      </c>
      <c r="FW2057" s="4"/>
      <c r="FX2057" s="4"/>
      <c r="FY2057" s="4"/>
      <c r="FZ2057" s="4"/>
      <c r="GA2057" s="4"/>
      <c r="GB2057" s="4"/>
      <c r="GC2057" s="4"/>
      <c r="GD2057" s="4"/>
      <c r="GE2057" s="4">
        <v>100</v>
      </c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>
        <v>280</v>
      </c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  <c r="HG2057" s="4"/>
      <c r="HH2057" s="4"/>
      <c r="HI2057" s="4"/>
      <c r="HJ2057" s="4"/>
      <c r="HK2057" s="4"/>
      <c r="HL2057" s="4"/>
    </row>
    <row r="2058">
      <c r="A2058" s="2" t="s">
        <v>9160</v>
      </c>
      <c r="B2058" s="2" t="s">
        <v>262</v>
      </c>
      <c r="C2058" s="2" t="s">
        <v>263</v>
      </c>
      <c r="D2058" s="2" t="s">
        <v>264</v>
      </c>
      <c r="E2058" s="2" t="s">
        <v>3915</v>
      </c>
      <c r="F2058" s="2" t="s">
        <v>9146</v>
      </c>
      <c r="G2058" s="2" t="s">
        <v>9146</v>
      </c>
      <c r="H2058" s="2" t="s">
        <v>9146</v>
      </c>
      <c r="I2058" s="2" t="s">
        <v>9147</v>
      </c>
      <c r="J2058" s="2" t="s">
        <v>293</v>
      </c>
      <c r="K2058" s="2" t="s">
        <v>319</v>
      </c>
      <c r="L2058" s="3">
        <v>19.65</v>
      </c>
      <c r="M2058" s="3">
        <v>20.63</v>
      </c>
      <c r="N2058" s="3">
        <v>42.99</v>
      </c>
      <c r="O2058" s="2" t="s">
        <v>243</v>
      </c>
      <c r="P2058" s="2" t="s">
        <v>341</v>
      </c>
      <c r="Q2058" s="2" t="s">
        <v>237</v>
      </c>
      <c r="R2058" s="2" t="s">
        <v>231</v>
      </c>
      <c r="S2058" s="2" t="s">
        <v>9148</v>
      </c>
      <c r="T2058" s="2" t="s">
        <v>231</v>
      </c>
      <c r="U2058" s="2" t="s">
        <v>327</v>
      </c>
      <c r="V2058" s="2" t="s">
        <v>239</v>
      </c>
      <c r="W2058" s="2" t="s">
        <v>273</v>
      </c>
      <c r="X2058" s="2" t="s">
        <v>231</v>
      </c>
      <c r="Y2058" s="2" t="s">
        <v>7048</v>
      </c>
      <c r="Z2058" s="4">
        <v>192</v>
      </c>
      <c r="AA2058" s="4">
        <f>=ROUNDDOWN(8.72727272727273,0)</f>
      </c>
      <c r="AB2058" s="5">
        <v>22</v>
      </c>
      <c r="AC2058" s="2" t="s">
        <v>5150</v>
      </c>
      <c r="AD2058" s="4">
        <v>40</v>
      </c>
      <c r="AE2058" s="4">
        <v>40</v>
      </c>
      <c r="AF2058" s="6">
        <v>65</v>
      </c>
      <c r="AG2058" s="6"/>
      <c r="AH2058" s="7">
        <v>0.0323</v>
      </c>
      <c r="AI2058" s="4"/>
      <c r="AJ2058" s="4">
        <f>=ROUNDDOWN({0},0)</f>
      </c>
      <c r="AK2058" s="5"/>
      <c r="AL2058" s="2" t="s">
        <v>231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 t="s">
        <v>231</v>
      </c>
      <c r="AW2058" s="8" t="s">
        <v>231</v>
      </c>
      <c r="AX2058" s="4" t="s">
        <v>231</v>
      </c>
      <c r="AY2058" s="8" t="s">
        <v>231</v>
      </c>
      <c r="AZ2058" s="7" t="s">
        <v>231</v>
      </c>
      <c r="BA2058" s="7" t="s">
        <v>231</v>
      </c>
      <c r="BB2058" s="7"/>
      <c r="BC2058" s="4" t="s">
        <v>231</v>
      </c>
      <c r="BD2058" s="8" t="s">
        <v>231</v>
      </c>
      <c r="BE2058" s="4" t="s">
        <v>231</v>
      </c>
      <c r="BF2058" s="8" t="s">
        <v>231</v>
      </c>
      <c r="BG2058" s="7" t="s">
        <v>231</v>
      </c>
      <c r="BH2058" s="7" t="s">
        <v>231</v>
      </c>
      <c r="BI2058" s="7"/>
      <c r="BJ2058" s="4"/>
      <c r="BK2058" s="8"/>
      <c r="BL2058" s="2" t="s">
        <v>8527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9161</v>
      </c>
      <c r="BV2058" s="2" t="s">
        <v>231</v>
      </c>
      <c r="BW2058" s="2" t="s">
        <v>231</v>
      </c>
      <c r="BX2058" s="2" t="s">
        <v>241</v>
      </c>
      <c r="BY2058" s="2" t="s">
        <v>277</v>
      </c>
      <c r="BZ2058" s="2" t="s">
        <v>243</v>
      </c>
      <c r="CA2058" s="2" t="s">
        <v>5450</v>
      </c>
      <c r="CB2058" s="2" t="s">
        <v>9162</v>
      </c>
      <c r="CC2058" s="2" t="s">
        <v>244</v>
      </c>
      <c r="CD2058" s="2" t="s">
        <v>231</v>
      </c>
      <c r="CE2058" s="4">
        <v>192</v>
      </c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>
        <v>40</v>
      </c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  <c r="HG2058" s="4"/>
      <c r="HH2058" s="4"/>
      <c r="HI2058" s="4"/>
      <c r="HJ2058" s="4"/>
      <c r="HK2058" s="4"/>
      <c r="HL2058" s="4"/>
    </row>
    <row r="2059">
      <c r="A2059" s="2" t="s">
        <v>9163</v>
      </c>
      <c r="B2059" s="2" t="s">
        <v>226</v>
      </c>
      <c r="C2059" s="2" t="s">
        <v>965</v>
      </c>
      <c r="D2059" s="2" t="s">
        <v>228</v>
      </c>
      <c r="E2059" s="2" t="s">
        <v>229</v>
      </c>
      <c r="F2059" s="2" t="s">
        <v>9164</v>
      </c>
      <c r="G2059" s="2" t="s">
        <v>9164</v>
      </c>
      <c r="H2059" s="2" t="s">
        <v>9164</v>
      </c>
      <c r="I2059" s="2" t="s">
        <v>229</v>
      </c>
      <c r="J2059" s="2" t="s">
        <v>318</v>
      </c>
      <c r="K2059" s="2" t="s">
        <v>269</v>
      </c>
      <c r="L2059" s="3">
        <v>10.71</v>
      </c>
      <c r="M2059" s="3">
        <v>11.25</v>
      </c>
      <c r="N2059" s="3">
        <v>24.99</v>
      </c>
      <c r="O2059" s="2" t="s">
        <v>243</v>
      </c>
      <c r="P2059" s="2" t="s">
        <v>236</v>
      </c>
      <c r="Q2059" s="2" t="s">
        <v>237</v>
      </c>
      <c r="R2059" s="2" t="s">
        <v>231</v>
      </c>
      <c r="S2059" s="2" t="s">
        <v>9165</v>
      </c>
      <c r="T2059" s="2" t="s">
        <v>595</v>
      </c>
      <c r="U2059" s="2" t="s">
        <v>327</v>
      </c>
      <c r="V2059" s="2" t="s">
        <v>987</v>
      </c>
      <c r="W2059" s="2" t="s">
        <v>273</v>
      </c>
      <c r="X2059" s="2" t="s">
        <v>231</v>
      </c>
      <c r="Y2059" s="2" t="s">
        <v>231</v>
      </c>
      <c r="Z2059" s="4"/>
      <c r="AA2059" s="4">
        <f>=ROUNDDOWN({0},0)</f>
      </c>
      <c r="AB2059" s="5"/>
      <c r="AC2059" s="2" t="s">
        <v>876</v>
      </c>
      <c r="AD2059" s="4">
        <v>120</v>
      </c>
      <c r="AE2059" s="4">
        <v>240</v>
      </c>
      <c r="AF2059" s="6">
        <v>65</v>
      </c>
      <c r="AG2059" s="6"/>
      <c r="AH2059" s="7">
        <v>0</v>
      </c>
      <c r="AI2059" s="4"/>
      <c r="AJ2059" s="4">
        <f>=ROUNDDOWN({0},0)</f>
      </c>
      <c r="AK2059" s="5"/>
      <c r="AL2059" s="2" t="s">
        <v>231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231</v>
      </c>
      <c r="AW2059" s="8" t="s">
        <v>231</v>
      </c>
      <c r="AX2059" s="4" t="s">
        <v>231</v>
      </c>
      <c r="AY2059" s="8" t="s">
        <v>231</v>
      </c>
      <c r="AZ2059" s="7" t="s">
        <v>231</v>
      </c>
      <c r="BA2059" s="7" t="s">
        <v>231</v>
      </c>
      <c r="BB2059" s="7"/>
      <c r="BC2059" s="4" t="s">
        <v>231</v>
      </c>
      <c r="BD2059" s="8" t="s">
        <v>231</v>
      </c>
      <c r="BE2059" s="4" t="s">
        <v>231</v>
      </c>
      <c r="BF2059" s="8" t="s">
        <v>231</v>
      </c>
      <c r="BG2059" s="7" t="s">
        <v>231</v>
      </c>
      <c r="BH2059" s="7" t="s">
        <v>231</v>
      </c>
      <c r="BI2059" s="7"/>
      <c r="BJ2059" s="4"/>
      <c r="BK2059" s="8"/>
      <c r="BL2059" s="2" t="s">
        <v>231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241</v>
      </c>
      <c r="BV2059" s="2" t="s">
        <v>231</v>
      </c>
      <c r="BW2059" s="2" t="s">
        <v>231</v>
      </c>
      <c r="BX2059" s="2" t="s">
        <v>241</v>
      </c>
      <c r="BY2059" s="2" t="s">
        <v>242</v>
      </c>
      <c r="BZ2059" s="2" t="s">
        <v>243</v>
      </c>
      <c r="CA2059" s="2" t="s">
        <v>231</v>
      </c>
      <c r="CB2059" s="2" t="s">
        <v>231</v>
      </c>
      <c r="CC2059" s="2" t="s">
        <v>244</v>
      </c>
      <c r="CD2059" s="2" t="s">
        <v>231</v>
      </c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>
        <v>120</v>
      </c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>
        <v>120</v>
      </c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  <c r="HG2059" s="4"/>
      <c r="HH2059" s="4"/>
      <c r="HI2059" s="4"/>
      <c r="HJ2059" s="4"/>
      <c r="HK2059" s="4"/>
      <c r="HL2059" s="4"/>
    </row>
    <row r="2060">
      <c r="A2060" s="2" t="s">
        <v>9166</v>
      </c>
      <c r="B2060" s="2" t="s">
        <v>226</v>
      </c>
      <c r="C2060" s="2" t="s">
        <v>965</v>
      </c>
      <c r="D2060" s="2" t="s">
        <v>228</v>
      </c>
      <c r="E2060" s="2" t="s">
        <v>229</v>
      </c>
      <c r="F2060" s="2" t="s">
        <v>9164</v>
      </c>
      <c r="G2060" s="2" t="s">
        <v>9164</v>
      </c>
      <c r="H2060" s="2" t="s">
        <v>9164</v>
      </c>
      <c r="I2060" s="2" t="s">
        <v>229</v>
      </c>
      <c r="J2060" s="2" t="s">
        <v>658</v>
      </c>
      <c r="K2060" s="2" t="s">
        <v>269</v>
      </c>
      <c r="L2060" s="3">
        <v>12.7</v>
      </c>
      <c r="M2060" s="3">
        <v>13.34</v>
      </c>
      <c r="N2060" s="3">
        <v>28.99</v>
      </c>
      <c r="O2060" s="2" t="s">
        <v>243</v>
      </c>
      <c r="P2060" s="2" t="s">
        <v>236</v>
      </c>
      <c r="Q2060" s="2" t="s">
        <v>237</v>
      </c>
      <c r="R2060" s="2" t="s">
        <v>231</v>
      </c>
      <c r="S2060" s="2" t="s">
        <v>9165</v>
      </c>
      <c r="T2060" s="2" t="s">
        <v>595</v>
      </c>
      <c r="U2060" s="2" t="s">
        <v>327</v>
      </c>
      <c r="V2060" s="2" t="s">
        <v>987</v>
      </c>
      <c r="W2060" s="2" t="s">
        <v>273</v>
      </c>
      <c r="X2060" s="2" t="s">
        <v>231</v>
      </c>
      <c r="Y2060" s="2" t="s">
        <v>231</v>
      </c>
      <c r="Z2060" s="4"/>
      <c r="AA2060" s="4">
        <f>=ROUNDDOWN({0},0)</f>
      </c>
      <c r="AB2060" s="5"/>
      <c r="AC2060" s="2" t="s">
        <v>876</v>
      </c>
      <c r="AD2060" s="4">
        <v>320</v>
      </c>
      <c r="AE2060" s="4">
        <v>640</v>
      </c>
      <c r="AF2060" s="6">
        <v>65</v>
      </c>
      <c r="AG2060" s="6"/>
      <c r="AH2060" s="7">
        <v>0</v>
      </c>
      <c r="AI2060" s="4"/>
      <c r="AJ2060" s="4">
        <f>=ROUNDDOWN({0},0)</f>
      </c>
      <c r="AK2060" s="5"/>
      <c r="AL2060" s="2" t="s">
        <v>231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231</v>
      </c>
      <c r="AW2060" s="8" t="s">
        <v>231</v>
      </c>
      <c r="AX2060" s="4" t="s">
        <v>231</v>
      </c>
      <c r="AY2060" s="8" t="s">
        <v>231</v>
      </c>
      <c r="AZ2060" s="7" t="s">
        <v>231</v>
      </c>
      <c r="BA2060" s="7" t="s">
        <v>231</v>
      </c>
      <c r="BB2060" s="7"/>
      <c r="BC2060" s="4" t="s">
        <v>231</v>
      </c>
      <c r="BD2060" s="8" t="s">
        <v>231</v>
      </c>
      <c r="BE2060" s="4" t="s">
        <v>231</v>
      </c>
      <c r="BF2060" s="8" t="s">
        <v>231</v>
      </c>
      <c r="BG2060" s="7" t="s">
        <v>231</v>
      </c>
      <c r="BH2060" s="7" t="s">
        <v>231</v>
      </c>
      <c r="BI2060" s="7"/>
      <c r="BJ2060" s="4"/>
      <c r="BK2060" s="8"/>
      <c r="BL2060" s="2" t="s">
        <v>231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241</v>
      </c>
      <c r="BV2060" s="2" t="s">
        <v>231</v>
      </c>
      <c r="BW2060" s="2" t="s">
        <v>231</v>
      </c>
      <c r="BX2060" s="2" t="s">
        <v>241</v>
      </c>
      <c r="BY2060" s="2" t="s">
        <v>242</v>
      </c>
      <c r="BZ2060" s="2" t="s">
        <v>243</v>
      </c>
      <c r="CA2060" s="2" t="s">
        <v>231</v>
      </c>
      <c r="CB2060" s="2" t="s">
        <v>231</v>
      </c>
      <c r="CC2060" s="2" t="s">
        <v>244</v>
      </c>
      <c r="CD2060" s="2" t="s">
        <v>231</v>
      </c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>
        <v>320</v>
      </c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>
        <v>320</v>
      </c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  <c r="HG2060" s="4"/>
      <c r="HH2060" s="4"/>
      <c r="HI2060" s="4"/>
      <c r="HJ2060" s="4"/>
      <c r="HK2060" s="4"/>
      <c r="HL2060" s="4"/>
    </row>
    <row r="2061">
      <c r="A2061" s="2" t="s">
        <v>9167</v>
      </c>
      <c r="B2061" s="2" t="s">
        <v>226</v>
      </c>
      <c r="C2061" s="2" t="s">
        <v>965</v>
      </c>
      <c r="D2061" s="2" t="s">
        <v>228</v>
      </c>
      <c r="E2061" s="2" t="s">
        <v>229</v>
      </c>
      <c r="F2061" s="2" t="s">
        <v>9164</v>
      </c>
      <c r="G2061" s="2" t="s">
        <v>9164</v>
      </c>
      <c r="H2061" s="2" t="s">
        <v>9164</v>
      </c>
      <c r="I2061" s="2" t="s">
        <v>229</v>
      </c>
      <c r="J2061" s="2" t="s">
        <v>302</v>
      </c>
      <c r="K2061" s="2" t="s">
        <v>269</v>
      </c>
      <c r="L2061" s="3">
        <v>14.45</v>
      </c>
      <c r="M2061" s="3">
        <v>15.17</v>
      </c>
      <c r="N2061" s="3">
        <v>32.99</v>
      </c>
      <c r="O2061" s="2" t="s">
        <v>243</v>
      </c>
      <c r="P2061" s="2" t="s">
        <v>236</v>
      </c>
      <c r="Q2061" s="2" t="s">
        <v>237</v>
      </c>
      <c r="R2061" s="2" t="s">
        <v>231</v>
      </c>
      <c r="S2061" s="2" t="s">
        <v>9165</v>
      </c>
      <c r="T2061" s="2" t="s">
        <v>595</v>
      </c>
      <c r="U2061" s="2" t="s">
        <v>327</v>
      </c>
      <c r="V2061" s="2" t="s">
        <v>987</v>
      </c>
      <c r="W2061" s="2" t="s">
        <v>273</v>
      </c>
      <c r="X2061" s="2" t="s">
        <v>231</v>
      </c>
      <c r="Y2061" s="2" t="s">
        <v>231</v>
      </c>
      <c r="Z2061" s="4"/>
      <c r="AA2061" s="4">
        <f>=ROUNDDOWN({0},0)</f>
      </c>
      <c r="AB2061" s="5"/>
      <c r="AC2061" s="2" t="s">
        <v>876</v>
      </c>
      <c r="AD2061" s="4">
        <v>160</v>
      </c>
      <c r="AE2061" s="4">
        <v>320</v>
      </c>
      <c r="AF2061" s="6">
        <v>65</v>
      </c>
      <c r="AG2061" s="6"/>
      <c r="AH2061" s="7">
        <v>0</v>
      </c>
      <c r="AI2061" s="4"/>
      <c r="AJ2061" s="4">
        <f>=ROUNDDOWN({0},0)</f>
      </c>
      <c r="AK2061" s="5"/>
      <c r="AL2061" s="2" t="s">
        <v>231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231</v>
      </c>
      <c r="AW2061" s="8" t="s">
        <v>231</v>
      </c>
      <c r="AX2061" s="4" t="s">
        <v>231</v>
      </c>
      <c r="AY2061" s="8" t="s">
        <v>231</v>
      </c>
      <c r="AZ2061" s="7" t="s">
        <v>231</v>
      </c>
      <c r="BA2061" s="7" t="s">
        <v>231</v>
      </c>
      <c r="BB2061" s="7"/>
      <c r="BC2061" s="4" t="s">
        <v>231</v>
      </c>
      <c r="BD2061" s="8" t="s">
        <v>231</v>
      </c>
      <c r="BE2061" s="4" t="s">
        <v>231</v>
      </c>
      <c r="BF2061" s="8" t="s">
        <v>231</v>
      </c>
      <c r="BG2061" s="7" t="s">
        <v>231</v>
      </c>
      <c r="BH2061" s="7" t="s">
        <v>231</v>
      </c>
      <c r="BI2061" s="7"/>
      <c r="BJ2061" s="4"/>
      <c r="BK2061" s="8"/>
      <c r="BL2061" s="2" t="s">
        <v>231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241</v>
      </c>
      <c r="BV2061" s="2" t="s">
        <v>231</v>
      </c>
      <c r="BW2061" s="2" t="s">
        <v>231</v>
      </c>
      <c r="BX2061" s="2" t="s">
        <v>241</v>
      </c>
      <c r="BY2061" s="2" t="s">
        <v>242</v>
      </c>
      <c r="BZ2061" s="2" t="s">
        <v>243</v>
      </c>
      <c r="CA2061" s="2" t="s">
        <v>231</v>
      </c>
      <c r="CB2061" s="2" t="s">
        <v>231</v>
      </c>
      <c r="CC2061" s="2" t="s">
        <v>244</v>
      </c>
      <c r="CD2061" s="2" t="s">
        <v>231</v>
      </c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>
        <v>160</v>
      </c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>
        <v>160</v>
      </c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  <c r="HG2061" s="4"/>
      <c r="HH2061" s="4"/>
      <c r="HI2061" s="4"/>
      <c r="HJ2061" s="4"/>
      <c r="HK2061" s="4"/>
      <c r="HL2061" s="4"/>
    </row>
    <row r="2062">
      <c r="A2062" s="2" t="s">
        <v>9168</v>
      </c>
      <c r="B2062" s="2" t="s">
        <v>226</v>
      </c>
      <c r="C2062" s="2" t="s">
        <v>965</v>
      </c>
      <c r="D2062" s="2" t="s">
        <v>228</v>
      </c>
      <c r="E2062" s="2" t="s">
        <v>229</v>
      </c>
      <c r="F2062" s="2" t="s">
        <v>9164</v>
      </c>
      <c r="G2062" s="2" t="s">
        <v>9164</v>
      </c>
      <c r="H2062" s="2" t="s">
        <v>9164</v>
      </c>
      <c r="I2062" s="2" t="s">
        <v>229</v>
      </c>
      <c r="J2062" s="2" t="s">
        <v>318</v>
      </c>
      <c r="K2062" s="2" t="s">
        <v>901</v>
      </c>
      <c r="L2062" s="3">
        <v>10.71</v>
      </c>
      <c r="M2062" s="3">
        <v>11.25</v>
      </c>
      <c r="N2062" s="3">
        <v>24.99</v>
      </c>
      <c r="O2062" s="2" t="s">
        <v>243</v>
      </c>
      <c r="P2062" s="2" t="s">
        <v>236</v>
      </c>
      <c r="Q2062" s="2" t="s">
        <v>237</v>
      </c>
      <c r="R2062" s="2" t="s">
        <v>231</v>
      </c>
      <c r="S2062" s="2" t="s">
        <v>9169</v>
      </c>
      <c r="T2062" s="2" t="s">
        <v>595</v>
      </c>
      <c r="U2062" s="2" t="s">
        <v>327</v>
      </c>
      <c r="V2062" s="2" t="s">
        <v>987</v>
      </c>
      <c r="W2062" s="2" t="s">
        <v>273</v>
      </c>
      <c r="X2062" s="2" t="s">
        <v>231</v>
      </c>
      <c r="Y2062" s="2" t="s">
        <v>231</v>
      </c>
      <c r="Z2062" s="4"/>
      <c r="AA2062" s="4">
        <f>=ROUNDDOWN({0},0)</f>
      </c>
      <c r="AB2062" s="5"/>
      <c r="AC2062" s="2" t="s">
        <v>231</v>
      </c>
      <c r="AD2062" s="4"/>
      <c r="AE2062" s="4"/>
      <c r="AF2062" s="6">
        <v>65</v>
      </c>
      <c r="AG2062" s="6"/>
      <c r="AH2062" s="7">
        <v>0</v>
      </c>
      <c r="AI2062" s="4"/>
      <c r="AJ2062" s="4">
        <f>=ROUNDDOWN({0},0)</f>
      </c>
      <c r="AK2062" s="5"/>
      <c r="AL2062" s="2" t="s">
        <v>231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231</v>
      </c>
      <c r="AW2062" s="8" t="s">
        <v>231</v>
      </c>
      <c r="AX2062" s="4" t="s">
        <v>231</v>
      </c>
      <c r="AY2062" s="8" t="s">
        <v>231</v>
      </c>
      <c r="AZ2062" s="7" t="s">
        <v>231</v>
      </c>
      <c r="BA2062" s="7" t="s">
        <v>231</v>
      </c>
      <c r="BB2062" s="7"/>
      <c r="BC2062" s="4" t="s">
        <v>231</v>
      </c>
      <c r="BD2062" s="8" t="s">
        <v>231</v>
      </c>
      <c r="BE2062" s="4" t="s">
        <v>231</v>
      </c>
      <c r="BF2062" s="8" t="s">
        <v>231</v>
      </c>
      <c r="BG2062" s="7" t="s">
        <v>231</v>
      </c>
      <c r="BH2062" s="7" t="s">
        <v>231</v>
      </c>
      <c r="BI2062" s="7"/>
      <c r="BJ2062" s="4"/>
      <c r="BK2062" s="8"/>
      <c r="BL2062" s="2" t="s">
        <v>231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241</v>
      </c>
      <c r="BV2062" s="2" t="s">
        <v>231</v>
      </c>
      <c r="BW2062" s="2" t="s">
        <v>231</v>
      </c>
      <c r="BX2062" s="2" t="s">
        <v>241</v>
      </c>
      <c r="BY2062" s="2" t="s">
        <v>242</v>
      </c>
      <c r="BZ2062" s="2" t="s">
        <v>243</v>
      </c>
      <c r="CA2062" s="2" t="s">
        <v>231</v>
      </c>
      <c r="CB2062" s="2" t="s">
        <v>231</v>
      </c>
      <c r="CC2062" s="2" t="s">
        <v>244</v>
      </c>
      <c r="CD2062" s="2" t="s">
        <v>231</v>
      </c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  <c r="HG2062" s="4"/>
      <c r="HH2062" s="4"/>
      <c r="HI2062" s="4"/>
      <c r="HJ2062" s="4"/>
      <c r="HK2062" s="4"/>
      <c r="HL2062" s="4"/>
    </row>
    <row r="2063">
      <c r="A2063" s="2" t="s">
        <v>9170</v>
      </c>
      <c r="B2063" s="2" t="s">
        <v>226</v>
      </c>
      <c r="C2063" s="2" t="s">
        <v>965</v>
      </c>
      <c r="D2063" s="2" t="s">
        <v>228</v>
      </c>
      <c r="E2063" s="2" t="s">
        <v>229</v>
      </c>
      <c r="F2063" s="2" t="s">
        <v>9164</v>
      </c>
      <c r="G2063" s="2" t="s">
        <v>9164</v>
      </c>
      <c r="H2063" s="2" t="s">
        <v>9164</v>
      </c>
      <c r="I2063" s="2" t="s">
        <v>229</v>
      </c>
      <c r="J2063" s="2" t="s">
        <v>658</v>
      </c>
      <c r="K2063" s="2" t="s">
        <v>901</v>
      </c>
      <c r="L2063" s="3">
        <v>12.7</v>
      </c>
      <c r="M2063" s="3">
        <v>13.34</v>
      </c>
      <c r="N2063" s="3">
        <v>28.99</v>
      </c>
      <c r="O2063" s="2" t="s">
        <v>243</v>
      </c>
      <c r="P2063" s="2" t="s">
        <v>236</v>
      </c>
      <c r="Q2063" s="2" t="s">
        <v>237</v>
      </c>
      <c r="R2063" s="2" t="s">
        <v>231</v>
      </c>
      <c r="S2063" s="2" t="s">
        <v>9169</v>
      </c>
      <c r="T2063" s="2" t="s">
        <v>595</v>
      </c>
      <c r="U2063" s="2" t="s">
        <v>327</v>
      </c>
      <c r="V2063" s="2" t="s">
        <v>987</v>
      </c>
      <c r="W2063" s="2" t="s">
        <v>273</v>
      </c>
      <c r="X2063" s="2" t="s">
        <v>231</v>
      </c>
      <c r="Y2063" s="2" t="s">
        <v>231</v>
      </c>
      <c r="Z2063" s="4"/>
      <c r="AA2063" s="4">
        <f>=ROUNDDOWN({0},0)</f>
      </c>
      <c r="AB2063" s="5"/>
      <c r="AC2063" s="2" t="s">
        <v>231</v>
      </c>
      <c r="AD2063" s="4"/>
      <c r="AE2063" s="4"/>
      <c r="AF2063" s="6">
        <v>65</v>
      </c>
      <c r="AG2063" s="6"/>
      <c r="AH2063" s="7">
        <v>0</v>
      </c>
      <c r="AI2063" s="4"/>
      <c r="AJ2063" s="4">
        <f>=ROUNDDOWN({0},0)</f>
      </c>
      <c r="AK2063" s="5"/>
      <c r="AL2063" s="2" t="s">
        <v>231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231</v>
      </c>
      <c r="AW2063" s="8" t="s">
        <v>231</v>
      </c>
      <c r="AX2063" s="4" t="s">
        <v>231</v>
      </c>
      <c r="AY2063" s="8" t="s">
        <v>231</v>
      </c>
      <c r="AZ2063" s="7" t="s">
        <v>231</v>
      </c>
      <c r="BA2063" s="7" t="s">
        <v>231</v>
      </c>
      <c r="BB2063" s="7"/>
      <c r="BC2063" s="4" t="s">
        <v>231</v>
      </c>
      <c r="BD2063" s="8" t="s">
        <v>231</v>
      </c>
      <c r="BE2063" s="4" t="s">
        <v>231</v>
      </c>
      <c r="BF2063" s="8" t="s">
        <v>231</v>
      </c>
      <c r="BG2063" s="7" t="s">
        <v>231</v>
      </c>
      <c r="BH2063" s="7" t="s">
        <v>231</v>
      </c>
      <c r="BI2063" s="7"/>
      <c r="BJ2063" s="4"/>
      <c r="BK2063" s="8"/>
      <c r="BL2063" s="2" t="s">
        <v>231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241</v>
      </c>
      <c r="BV2063" s="2" t="s">
        <v>231</v>
      </c>
      <c r="BW2063" s="2" t="s">
        <v>231</v>
      </c>
      <c r="BX2063" s="2" t="s">
        <v>241</v>
      </c>
      <c r="BY2063" s="2" t="s">
        <v>242</v>
      </c>
      <c r="BZ2063" s="2" t="s">
        <v>243</v>
      </c>
      <c r="CA2063" s="2" t="s">
        <v>231</v>
      </c>
      <c r="CB2063" s="2" t="s">
        <v>231</v>
      </c>
      <c r="CC2063" s="2" t="s">
        <v>244</v>
      </c>
      <c r="CD2063" s="2" t="s">
        <v>231</v>
      </c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  <c r="HG2063" s="4"/>
      <c r="HH2063" s="4"/>
      <c r="HI2063" s="4"/>
      <c r="HJ2063" s="4"/>
      <c r="HK2063" s="4"/>
      <c r="HL2063" s="4"/>
    </row>
    <row r="2064">
      <c r="A2064" s="2" t="s">
        <v>9171</v>
      </c>
      <c r="B2064" s="2" t="s">
        <v>226</v>
      </c>
      <c r="C2064" s="2" t="s">
        <v>965</v>
      </c>
      <c r="D2064" s="2" t="s">
        <v>228</v>
      </c>
      <c r="E2064" s="2" t="s">
        <v>229</v>
      </c>
      <c r="F2064" s="2" t="s">
        <v>9164</v>
      </c>
      <c r="G2064" s="2" t="s">
        <v>9164</v>
      </c>
      <c r="H2064" s="2" t="s">
        <v>9164</v>
      </c>
      <c r="I2064" s="2" t="s">
        <v>229</v>
      </c>
      <c r="J2064" s="2" t="s">
        <v>302</v>
      </c>
      <c r="K2064" s="2" t="s">
        <v>901</v>
      </c>
      <c r="L2064" s="3">
        <v>14.45</v>
      </c>
      <c r="M2064" s="3">
        <v>15.17</v>
      </c>
      <c r="N2064" s="3">
        <v>32.99</v>
      </c>
      <c r="O2064" s="2" t="s">
        <v>243</v>
      </c>
      <c r="P2064" s="2" t="s">
        <v>236</v>
      </c>
      <c r="Q2064" s="2" t="s">
        <v>237</v>
      </c>
      <c r="R2064" s="2" t="s">
        <v>231</v>
      </c>
      <c r="S2064" s="2" t="s">
        <v>9169</v>
      </c>
      <c r="T2064" s="2" t="s">
        <v>595</v>
      </c>
      <c r="U2064" s="2" t="s">
        <v>327</v>
      </c>
      <c r="V2064" s="2" t="s">
        <v>987</v>
      </c>
      <c r="W2064" s="2" t="s">
        <v>273</v>
      </c>
      <c r="X2064" s="2" t="s">
        <v>231</v>
      </c>
      <c r="Y2064" s="2" t="s">
        <v>231</v>
      </c>
      <c r="Z2064" s="4"/>
      <c r="AA2064" s="4">
        <f>=ROUNDDOWN({0},0)</f>
      </c>
      <c r="AB2064" s="5"/>
      <c r="AC2064" s="2" t="s">
        <v>231</v>
      </c>
      <c r="AD2064" s="4"/>
      <c r="AE2064" s="4"/>
      <c r="AF2064" s="6">
        <v>65</v>
      </c>
      <c r="AG2064" s="6"/>
      <c r="AH2064" s="7">
        <v>0</v>
      </c>
      <c r="AI2064" s="4"/>
      <c r="AJ2064" s="4">
        <f>=ROUNDDOWN({0},0)</f>
      </c>
      <c r="AK2064" s="5"/>
      <c r="AL2064" s="2" t="s">
        <v>231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231</v>
      </c>
      <c r="AW2064" s="8" t="s">
        <v>231</v>
      </c>
      <c r="AX2064" s="4" t="s">
        <v>231</v>
      </c>
      <c r="AY2064" s="8" t="s">
        <v>231</v>
      </c>
      <c r="AZ2064" s="7" t="s">
        <v>231</v>
      </c>
      <c r="BA2064" s="7" t="s">
        <v>231</v>
      </c>
      <c r="BB2064" s="7"/>
      <c r="BC2064" s="4" t="s">
        <v>231</v>
      </c>
      <c r="BD2064" s="8" t="s">
        <v>231</v>
      </c>
      <c r="BE2064" s="4" t="s">
        <v>231</v>
      </c>
      <c r="BF2064" s="8" t="s">
        <v>231</v>
      </c>
      <c r="BG2064" s="7" t="s">
        <v>231</v>
      </c>
      <c r="BH2064" s="7" t="s">
        <v>231</v>
      </c>
      <c r="BI2064" s="7"/>
      <c r="BJ2064" s="4"/>
      <c r="BK2064" s="8"/>
      <c r="BL2064" s="2" t="s">
        <v>231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241</v>
      </c>
      <c r="BV2064" s="2" t="s">
        <v>231</v>
      </c>
      <c r="BW2064" s="2" t="s">
        <v>231</v>
      </c>
      <c r="BX2064" s="2" t="s">
        <v>241</v>
      </c>
      <c r="BY2064" s="2" t="s">
        <v>242</v>
      </c>
      <c r="BZ2064" s="2" t="s">
        <v>243</v>
      </c>
      <c r="CA2064" s="2" t="s">
        <v>231</v>
      </c>
      <c r="CB2064" s="2" t="s">
        <v>231</v>
      </c>
      <c r="CC2064" s="2" t="s">
        <v>244</v>
      </c>
      <c r="CD2064" s="2" t="s">
        <v>231</v>
      </c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  <c r="HG2064" s="4"/>
      <c r="HH2064" s="4"/>
      <c r="HI2064" s="4"/>
      <c r="HJ2064" s="4"/>
      <c r="HK2064" s="4"/>
      <c r="HL2064" s="4"/>
    </row>
    <row r="2065">
      <c r="A2065" s="2" t="s">
        <v>9172</v>
      </c>
      <c r="B2065" s="2" t="s">
        <v>226</v>
      </c>
      <c r="C2065" s="2" t="s">
        <v>965</v>
      </c>
      <c r="D2065" s="2" t="s">
        <v>228</v>
      </c>
      <c r="E2065" s="2" t="s">
        <v>229</v>
      </c>
      <c r="F2065" s="2" t="s">
        <v>9164</v>
      </c>
      <c r="G2065" s="2" t="s">
        <v>9164</v>
      </c>
      <c r="H2065" s="2" t="s">
        <v>9164</v>
      </c>
      <c r="I2065" s="2" t="s">
        <v>229</v>
      </c>
      <c r="J2065" s="2" t="s">
        <v>318</v>
      </c>
      <c r="K2065" s="2" t="s">
        <v>253</v>
      </c>
      <c r="L2065" s="3">
        <v>10.71</v>
      </c>
      <c r="M2065" s="3">
        <v>11.25</v>
      </c>
      <c r="N2065" s="3">
        <v>24.99</v>
      </c>
      <c r="O2065" s="2" t="s">
        <v>243</v>
      </c>
      <c r="P2065" s="2" t="s">
        <v>236</v>
      </c>
      <c r="Q2065" s="2" t="s">
        <v>237</v>
      </c>
      <c r="R2065" s="2" t="s">
        <v>231</v>
      </c>
      <c r="S2065" s="2" t="s">
        <v>9173</v>
      </c>
      <c r="T2065" s="2" t="s">
        <v>595</v>
      </c>
      <c r="U2065" s="2" t="s">
        <v>327</v>
      </c>
      <c r="V2065" s="2" t="s">
        <v>987</v>
      </c>
      <c r="W2065" s="2" t="s">
        <v>273</v>
      </c>
      <c r="X2065" s="2" t="s">
        <v>231</v>
      </c>
      <c r="Y2065" s="2" t="s">
        <v>231</v>
      </c>
      <c r="Z2065" s="4"/>
      <c r="AA2065" s="4">
        <f>=ROUNDDOWN({0},0)</f>
      </c>
      <c r="AB2065" s="5"/>
      <c r="AC2065" s="2" t="s">
        <v>876</v>
      </c>
      <c r="AD2065" s="4">
        <v>100</v>
      </c>
      <c r="AE2065" s="4">
        <v>200</v>
      </c>
      <c r="AF2065" s="6">
        <v>65</v>
      </c>
      <c r="AG2065" s="6"/>
      <c r="AH2065" s="7">
        <v>0</v>
      </c>
      <c r="AI2065" s="4"/>
      <c r="AJ2065" s="4">
        <f>=ROUNDDOWN({0},0)</f>
      </c>
      <c r="AK2065" s="5"/>
      <c r="AL2065" s="2" t="s">
        <v>231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231</v>
      </c>
      <c r="AW2065" s="8" t="s">
        <v>231</v>
      </c>
      <c r="AX2065" s="4" t="s">
        <v>231</v>
      </c>
      <c r="AY2065" s="8" t="s">
        <v>231</v>
      </c>
      <c r="AZ2065" s="7" t="s">
        <v>231</v>
      </c>
      <c r="BA2065" s="7" t="s">
        <v>231</v>
      </c>
      <c r="BB2065" s="7"/>
      <c r="BC2065" s="4" t="s">
        <v>231</v>
      </c>
      <c r="BD2065" s="8" t="s">
        <v>231</v>
      </c>
      <c r="BE2065" s="4" t="s">
        <v>231</v>
      </c>
      <c r="BF2065" s="8" t="s">
        <v>231</v>
      </c>
      <c r="BG2065" s="7" t="s">
        <v>231</v>
      </c>
      <c r="BH2065" s="7" t="s">
        <v>231</v>
      </c>
      <c r="BI2065" s="7"/>
      <c r="BJ2065" s="4"/>
      <c r="BK2065" s="8"/>
      <c r="BL2065" s="2" t="s">
        <v>231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241</v>
      </c>
      <c r="BV2065" s="2" t="s">
        <v>231</v>
      </c>
      <c r="BW2065" s="2" t="s">
        <v>231</v>
      </c>
      <c r="BX2065" s="2" t="s">
        <v>241</v>
      </c>
      <c r="BY2065" s="2" t="s">
        <v>242</v>
      </c>
      <c r="BZ2065" s="2" t="s">
        <v>243</v>
      </c>
      <c r="CA2065" s="2" t="s">
        <v>231</v>
      </c>
      <c r="CB2065" s="2" t="s">
        <v>231</v>
      </c>
      <c r="CC2065" s="2" t="s">
        <v>244</v>
      </c>
      <c r="CD2065" s="2" t="s">
        <v>231</v>
      </c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>
        <v>100</v>
      </c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>
        <v>100</v>
      </c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4"/>
      <c r="HH2065" s="4"/>
      <c r="HI2065" s="4"/>
      <c r="HJ2065" s="4"/>
      <c r="HK2065" s="4"/>
      <c r="HL2065" s="4"/>
    </row>
    <row r="2066">
      <c r="A2066" s="2" t="s">
        <v>9174</v>
      </c>
      <c r="B2066" s="2" t="s">
        <v>226</v>
      </c>
      <c r="C2066" s="2" t="s">
        <v>965</v>
      </c>
      <c r="D2066" s="2" t="s">
        <v>228</v>
      </c>
      <c r="E2066" s="2" t="s">
        <v>229</v>
      </c>
      <c r="F2066" s="2" t="s">
        <v>9164</v>
      </c>
      <c r="G2066" s="2" t="s">
        <v>9164</v>
      </c>
      <c r="H2066" s="2" t="s">
        <v>9164</v>
      </c>
      <c r="I2066" s="2" t="s">
        <v>229</v>
      </c>
      <c r="J2066" s="2" t="s">
        <v>658</v>
      </c>
      <c r="K2066" s="2" t="s">
        <v>253</v>
      </c>
      <c r="L2066" s="3">
        <v>12.7</v>
      </c>
      <c r="M2066" s="3">
        <v>13.34</v>
      </c>
      <c r="N2066" s="3">
        <v>28.99</v>
      </c>
      <c r="O2066" s="2" t="s">
        <v>243</v>
      </c>
      <c r="P2066" s="2" t="s">
        <v>236</v>
      </c>
      <c r="Q2066" s="2" t="s">
        <v>237</v>
      </c>
      <c r="R2066" s="2" t="s">
        <v>231</v>
      </c>
      <c r="S2066" s="2" t="s">
        <v>9173</v>
      </c>
      <c r="T2066" s="2" t="s">
        <v>595</v>
      </c>
      <c r="U2066" s="2" t="s">
        <v>327</v>
      </c>
      <c r="V2066" s="2" t="s">
        <v>987</v>
      </c>
      <c r="W2066" s="2" t="s">
        <v>273</v>
      </c>
      <c r="X2066" s="2" t="s">
        <v>231</v>
      </c>
      <c r="Y2066" s="2" t="s">
        <v>231</v>
      </c>
      <c r="Z2066" s="4"/>
      <c r="AA2066" s="4">
        <f>=ROUNDDOWN({0},0)</f>
      </c>
      <c r="AB2066" s="5"/>
      <c r="AC2066" s="2" t="s">
        <v>876</v>
      </c>
      <c r="AD2066" s="4">
        <v>220</v>
      </c>
      <c r="AE2066" s="4">
        <v>440</v>
      </c>
      <c r="AF2066" s="6">
        <v>65</v>
      </c>
      <c r="AG2066" s="6"/>
      <c r="AH2066" s="7">
        <v>0</v>
      </c>
      <c r="AI2066" s="4"/>
      <c r="AJ2066" s="4">
        <f>=ROUNDDOWN({0},0)</f>
      </c>
      <c r="AK2066" s="5"/>
      <c r="AL2066" s="2" t="s">
        <v>231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231</v>
      </c>
      <c r="AW2066" s="8" t="s">
        <v>231</v>
      </c>
      <c r="AX2066" s="4" t="s">
        <v>231</v>
      </c>
      <c r="AY2066" s="8" t="s">
        <v>231</v>
      </c>
      <c r="AZ2066" s="7" t="s">
        <v>231</v>
      </c>
      <c r="BA2066" s="7" t="s">
        <v>231</v>
      </c>
      <c r="BB2066" s="7"/>
      <c r="BC2066" s="4" t="s">
        <v>231</v>
      </c>
      <c r="BD2066" s="8" t="s">
        <v>231</v>
      </c>
      <c r="BE2066" s="4" t="s">
        <v>231</v>
      </c>
      <c r="BF2066" s="8" t="s">
        <v>231</v>
      </c>
      <c r="BG2066" s="7" t="s">
        <v>231</v>
      </c>
      <c r="BH2066" s="7" t="s">
        <v>231</v>
      </c>
      <c r="BI2066" s="7"/>
      <c r="BJ2066" s="4"/>
      <c r="BK2066" s="8"/>
      <c r="BL2066" s="2" t="s">
        <v>231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241</v>
      </c>
      <c r="BV2066" s="2" t="s">
        <v>231</v>
      </c>
      <c r="BW2066" s="2" t="s">
        <v>231</v>
      </c>
      <c r="BX2066" s="2" t="s">
        <v>241</v>
      </c>
      <c r="BY2066" s="2" t="s">
        <v>242</v>
      </c>
      <c r="BZ2066" s="2" t="s">
        <v>243</v>
      </c>
      <c r="CA2066" s="2" t="s">
        <v>231</v>
      </c>
      <c r="CB2066" s="2" t="s">
        <v>231</v>
      </c>
      <c r="CC2066" s="2" t="s">
        <v>244</v>
      </c>
      <c r="CD2066" s="2" t="s">
        <v>231</v>
      </c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>
        <v>220</v>
      </c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>
        <v>220</v>
      </c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  <c r="HG2066" s="4"/>
      <c r="HH2066" s="4"/>
      <c r="HI2066" s="4"/>
      <c r="HJ2066" s="4"/>
      <c r="HK2066" s="4"/>
      <c r="HL2066" s="4"/>
    </row>
    <row r="2067">
      <c r="A2067" s="2" t="s">
        <v>9175</v>
      </c>
      <c r="B2067" s="2" t="s">
        <v>226</v>
      </c>
      <c r="C2067" s="2" t="s">
        <v>965</v>
      </c>
      <c r="D2067" s="2" t="s">
        <v>228</v>
      </c>
      <c r="E2067" s="2" t="s">
        <v>229</v>
      </c>
      <c r="F2067" s="2" t="s">
        <v>9164</v>
      </c>
      <c r="G2067" s="2" t="s">
        <v>9164</v>
      </c>
      <c r="H2067" s="2" t="s">
        <v>9164</v>
      </c>
      <c r="I2067" s="2" t="s">
        <v>229</v>
      </c>
      <c r="J2067" s="2" t="s">
        <v>302</v>
      </c>
      <c r="K2067" s="2" t="s">
        <v>253</v>
      </c>
      <c r="L2067" s="3">
        <v>14.45</v>
      </c>
      <c r="M2067" s="3">
        <v>15.17</v>
      </c>
      <c r="N2067" s="3">
        <v>32.99</v>
      </c>
      <c r="O2067" s="2" t="s">
        <v>243</v>
      </c>
      <c r="P2067" s="2" t="s">
        <v>236</v>
      </c>
      <c r="Q2067" s="2" t="s">
        <v>237</v>
      </c>
      <c r="R2067" s="2" t="s">
        <v>231</v>
      </c>
      <c r="S2067" s="2" t="s">
        <v>9173</v>
      </c>
      <c r="T2067" s="2" t="s">
        <v>595</v>
      </c>
      <c r="U2067" s="2" t="s">
        <v>327</v>
      </c>
      <c r="V2067" s="2" t="s">
        <v>987</v>
      </c>
      <c r="W2067" s="2" t="s">
        <v>273</v>
      </c>
      <c r="X2067" s="2" t="s">
        <v>231</v>
      </c>
      <c r="Y2067" s="2" t="s">
        <v>231</v>
      </c>
      <c r="Z2067" s="4"/>
      <c r="AA2067" s="4">
        <f>=ROUNDDOWN({0},0)</f>
      </c>
      <c r="AB2067" s="5"/>
      <c r="AC2067" s="2" t="s">
        <v>876</v>
      </c>
      <c r="AD2067" s="4">
        <v>130</v>
      </c>
      <c r="AE2067" s="4">
        <v>260</v>
      </c>
      <c r="AF2067" s="6">
        <v>65</v>
      </c>
      <c r="AG2067" s="6"/>
      <c r="AH2067" s="7">
        <v>0</v>
      </c>
      <c r="AI2067" s="4"/>
      <c r="AJ2067" s="4">
        <f>=ROUNDDOWN({0},0)</f>
      </c>
      <c r="AK2067" s="5"/>
      <c r="AL2067" s="2" t="s">
        <v>231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231</v>
      </c>
      <c r="AW2067" s="8" t="s">
        <v>231</v>
      </c>
      <c r="AX2067" s="4" t="s">
        <v>231</v>
      </c>
      <c r="AY2067" s="8" t="s">
        <v>231</v>
      </c>
      <c r="AZ2067" s="7" t="s">
        <v>231</v>
      </c>
      <c r="BA2067" s="7" t="s">
        <v>231</v>
      </c>
      <c r="BB2067" s="7"/>
      <c r="BC2067" s="4" t="s">
        <v>231</v>
      </c>
      <c r="BD2067" s="8" t="s">
        <v>231</v>
      </c>
      <c r="BE2067" s="4" t="s">
        <v>231</v>
      </c>
      <c r="BF2067" s="8" t="s">
        <v>231</v>
      </c>
      <c r="BG2067" s="7" t="s">
        <v>231</v>
      </c>
      <c r="BH2067" s="7" t="s">
        <v>231</v>
      </c>
      <c r="BI2067" s="7"/>
      <c r="BJ2067" s="4"/>
      <c r="BK2067" s="8"/>
      <c r="BL2067" s="2" t="s">
        <v>231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241</v>
      </c>
      <c r="BV2067" s="2" t="s">
        <v>231</v>
      </c>
      <c r="BW2067" s="2" t="s">
        <v>231</v>
      </c>
      <c r="BX2067" s="2" t="s">
        <v>241</v>
      </c>
      <c r="BY2067" s="2" t="s">
        <v>242</v>
      </c>
      <c r="BZ2067" s="2" t="s">
        <v>243</v>
      </c>
      <c r="CA2067" s="2" t="s">
        <v>231</v>
      </c>
      <c r="CB2067" s="2" t="s">
        <v>231</v>
      </c>
      <c r="CC2067" s="2" t="s">
        <v>244</v>
      </c>
      <c r="CD2067" s="2" t="s">
        <v>231</v>
      </c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>
        <v>130</v>
      </c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>
        <v>130</v>
      </c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  <c r="HG2067" s="4"/>
      <c r="HH2067" s="4"/>
      <c r="HI2067" s="4"/>
      <c r="HJ2067" s="4"/>
      <c r="HK2067" s="4"/>
      <c r="HL2067" s="4"/>
    </row>
    <row r="2068">
      <c r="A2068" s="2" t="s">
        <v>9176</v>
      </c>
      <c r="B2068" s="2" t="s">
        <v>226</v>
      </c>
      <c r="C2068" s="2" t="s">
        <v>965</v>
      </c>
      <c r="D2068" s="2" t="s">
        <v>228</v>
      </c>
      <c r="E2068" s="2" t="s">
        <v>229</v>
      </c>
      <c r="F2068" s="2" t="s">
        <v>9164</v>
      </c>
      <c r="G2068" s="2" t="s">
        <v>9164</v>
      </c>
      <c r="H2068" s="2" t="s">
        <v>9164</v>
      </c>
      <c r="I2068" s="2" t="s">
        <v>229</v>
      </c>
      <c r="J2068" s="2" t="s">
        <v>318</v>
      </c>
      <c r="K2068" s="2" t="s">
        <v>306</v>
      </c>
      <c r="L2068" s="3">
        <v>10.71</v>
      </c>
      <c r="M2068" s="3">
        <v>11.25</v>
      </c>
      <c r="N2068" s="3">
        <v>24.99</v>
      </c>
      <c r="O2068" s="2" t="s">
        <v>243</v>
      </c>
      <c r="P2068" s="2" t="s">
        <v>236</v>
      </c>
      <c r="Q2068" s="2" t="s">
        <v>237</v>
      </c>
      <c r="R2068" s="2" t="s">
        <v>231</v>
      </c>
      <c r="S2068" s="2" t="s">
        <v>9177</v>
      </c>
      <c r="T2068" s="2" t="s">
        <v>595</v>
      </c>
      <c r="U2068" s="2" t="s">
        <v>327</v>
      </c>
      <c r="V2068" s="2" t="s">
        <v>987</v>
      </c>
      <c r="W2068" s="2" t="s">
        <v>273</v>
      </c>
      <c r="X2068" s="2" t="s">
        <v>231</v>
      </c>
      <c r="Y2068" s="2" t="s">
        <v>231</v>
      </c>
      <c r="Z2068" s="4"/>
      <c r="AA2068" s="4">
        <f>=ROUNDDOWN({0},0)</f>
      </c>
      <c r="AB2068" s="5"/>
      <c r="AC2068" s="2" t="s">
        <v>876</v>
      </c>
      <c r="AD2068" s="4">
        <v>165</v>
      </c>
      <c r="AE2068" s="4">
        <v>330</v>
      </c>
      <c r="AF2068" s="6">
        <v>65</v>
      </c>
      <c r="AG2068" s="6"/>
      <c r="AH2068" s="7">
        <v>0</v>
      </c>
      <c r="AI2068" s="4"/>
      <c r="AJ2068" s="4">
        <f>=ROUNDDOWN({0},0)</f>
      </c>
      <c r="AK2068" s="5"/>
      <c r="AL2068" s="2" t="s">
        <v>231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231</v>
      </c>
      <c r="AW2068" s="8" t="s">
        <v>231</v>
      </c>
      <c r="AX2068" s="4" t="s">
        <v>231</v>
      </c>
      <c r="AY2068" s="8" t="s">
        <v>231</v>
      </c>
      <c r="AZ2068" s="7" t="s">
        <v>231</v>
      </c>
      <c r="BA2068" s="7" t="s">
        <v>231</v>
      </c>
      <c r="BB2068" s="7"/>
      <c r="BC2068" s="4" t="s">
        <v>231</v>
      </c>
      <c r="BD2068" s="8" t="s">
        <v>231</v>
      </c>
      <c r="BE2068" s="4" t="s">
        <v>231</v>
      </c>
      <c r="BF2068" s="8" t="s">
        <v>231</v>
      </c>
      <c r="BG2068" s="7" t="s">
        <v>231</v>
      </c>
      <c r="BH2068" s="7" t="s">
        <v>231</v>
      </c>
      <c r="BI2068" s="7"/>
      <c r="BJ2068" s="4"/>
      <c r="BK2068" s="8"/>
      <c r="BL2068" s="2" t="s">
        <v>231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241</v>
      </c>
      <c r="BV2068" s="2" t="s">
        <v>231</v>
      </c>
      <c r="BW2068" s="2" t="s">
        <v>231</v>
      </c>
      <c r="BX2068" s="2" t="s">
        <v>241</v>
      </c>
      <c r="BY2068" s="2" t="s">
        <v>242</v>
      </c>
      <c r="BZ2068" s="2" t="s">
        <v>243</v>
      </c>
      <c r="CA2068" s="2" t="s">
        <v>231</v>
      </c>
      <c r="CB2068" s="2" t="s">
        <v>231</v>
      </c>
      <c r="CC2068" s="2" t="s">
        <v>244</v>
      </c>
      <c r="CD2068" s="2" t="s">
        <v>231</v>
      </c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>
        <v>165</v>
      </c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>
        <v>165</v>
      </c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4"/>
      <c r="HH2068" s="4"/>
      <c r="HI2068" s="4"/>
      <c r="HJ2068" s="4"/>
      <c r="HK2068" s="4"/>
      <c r="HL2068" s="4"/>
    </row>
    <row r="2069">
      <c r="A2069" s="2" t="s">
        <v>9178</v>
      </c>
      <c r="B2069" s="2" t="s">
        <v>226</v>
      </c>
      <c r="C2069" s="2" t="s">
        <v>965</v>
      </c>
      <c r="D2069" s="2" t="s">
        <v>228</v>
      </c>
      <c r="E2069" s="2" t="s">
        <v>229</v>
      </c>
      <c r="F2069" s="2" t="s">
        <v>9164</v>
      </c>
      <c r="G2069" s="2" t="s">
        <v>9164</v>
      </c>
      <c r="H2069" s="2" t="s">
        <v>9164</v>
      </c>
      <c r="I2069" s="2" t="s">
        <v>229</v>
      </c>
      <c r="J2069" s="2" t="s">
        <v>658</v>
      </c>
      <c r="K2069" s="2" t="s">
        <v>306</v>
      </c>
      <c r="L2069" s="3">
        <v>12.7</v>
      </c>
      <c r="M2069" s="3">
        <v>13.34</v>
      </c>
      <c r="N2069" s="3">
        <v>28.99</v>
      </c>
      <c r="O2069" s="2" t="s">
        <v>243</v>
      </c>
      <c r="P2069" s="2" t="s">
        <v>236</v>
      </c>
      <c r="Q2069" s="2" t="s">
        <v>237</v>
      </c>
      <c r="R2069" s="2" t="s">
        <v>231</v>
      </c>
      <c r="S2069" s="2" t="s">
        <v>9177</v>
      </c>
      <c r="T2069" s="2" t="s">
        <v>595</v>
      </c>
      <c r="U2069" s="2" t="s">
        <v>327</v>
      </c>
      <c r="V2069" s="2" t="s">
        <v>987</v>
      </c>
      <c r="W2069" s="2" t="s">
        <v>273</v>
      </c>
      <c r="X2069" s="2" t="s">
        <v>231</v>
      </c>
      <c r="Y2069" s="2" t="s">
        <v>231</v>
      </c>
      <c r="Z2069" s="4"/>
      <c r="AA2069" s="4">
        <f>=ROUNDDOWN({0},0)</f>
      </c>
      <c r="AB2069" s="5"/>
      <c r="AC2069" s="2" t="s">
        <v>876</v>
      </c>
      <c r="AD2069" s="4">
        <v>380</v>
      </c>
      <c r="AE2069" s="4">
        <v>760</v>
      </c>
      <c r="AF2069" s="6">
        <v>65</v>
      </c>
      <c r="AG2069" s="6"/>
      <c r="AH2069" s="7">
        <v>0</v>
      </c>
      <c r="AI2069" s="4"/>
      <c r="AJ2069" s="4">
        <f>=ROUNDDOWN({0},0)</f>
      </c>
      <c r="AK2069" s="5"/>
      <c r="AL2069" s="2" t="s">
        <v>231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231</v>
      </c>
      <c r="AW2069" s="8" t="s">
        <v>231</v>
      </c>
      <c r="AX2069" s="4" t="s">
        <v>231</v>
      </c>
      <c r="AY2069" s="8" t="s">
        <v>231</v>
      </c>
      <c r="AZ2069" s="7" t="s">
        <v>231</v>
      </c>
      <c r="BA2069" s="7" t="s">
        <v>231</v>
      </c>
      <c r="BB2069" s="7"/>
      <c r="BC2069" s="4" t="s">
        <v>231</v>
      </c>
      <c r="BD2069" s="8" t="s">
        <v>231</v>
      </c>
      <c r="BE2069" s="4" t="s">
        <v>231</v>
      </c>
      <c r="BF2069" s="8" t="s">
        <v>231</v>
      </c>
      <c r="BG2069" s="7" t="s">
        <v>231</v>
      </c>
      <c r="BH2069" s="7" t="s">
        <v>231</v>
      </c>
      <c r="BI2069" s="7"/>
      <c r="BJ2069" s="4"/>
      <c r="BK2069" s="8"/>
      <c r="BL2069" s="2" t="s">
        <v>231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241</v>
      </c>
      <c r="BV2069" s="2" t="s">
        <v>231</v>
      </c>
      <c r="BW2069" s="2" t="s">
        <v>231</v>
      </c>
      <c r="BX2069" s="2" t="s">
        <v>241</v>
      </c>
      <c r="BY2069" s="2" t="s">
        <v>242</v>
      </c>
      <c r="BZ2069" s="2" t="s">
        <v>243</v>
      </c>
      <c r="CA2069" s="2" t="s">
        <v>231</v>
      </c>
      <c r="CB2069" s="2" t="s">
        <v>231</v>
      </c>
      <c r="CC2069" s="2" t="s">
        <v>244</v>
      </c>
      <c r="CD2069" s="2" t="s">
        <v>231</v>
      </c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>
        <v>380</v>
      </c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>
        <v>380</v>
      </c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  <c r="HF2069" s="4"/>
      <c r="HG2069" s="4"/>
      <c r="HH2069" s="4"/>
      <c r="HI2069" s="4"/>
      <c r="HJ2069" s="4"/>
      <c r="HK2069" s="4"/>
      <c r="HL2069" s="4"/>
    </row>
    <row r="2070">
      <c r="A2070" s="2" t="s">
        <v>9179</v>
      </c>
      <c r="B2070" s="2" t="s">
        <v>226</v>
      </c>
      <c r="C2070" s="2" t="s">
        <v>965</v>
      </c>
      <c r="D2070" s="2" t="s">
        <v>228</v>
      </c>
      <c r="E2070" s="2" t="s">
        <v>229</v>
      </c>
      <c r="F2070" s="2" t="s">
        <v>9164</v>
      </c>
      <c r="G2070" s="2" t="s">
        <v>9164</v>
      </c>
      <c r="H2070" s="2" t="s">
        <v>9164</v>
      </c>
      <c r="I2070" s="2" t="s">
        <v>229</v>
      </c>
      <c r="J2070" s="2" t="s">
        <v>302</v>
      </c>
      <c r="K2070" s="2" t="s">
        <v>306</v>
      </c>
      <c r="L2070" s="3">
        <v>14.45</v>
      </c>
      <c r="M2070" s="3">
        <v>15.17</v>
      </c>
      <c r="N2070" s="3">
        <v>32.99</v>
      </c>
      <c r="O2070" s="2" t="s">
        <v>243</v>
      </c>
      <c r="P2070" s="2" t="s">
        <v>236</v>
      </c>
      <c r="Q2070" s="2" t="s">
        <v>237</v>
      </c>
      <c r="R2070" s="2" t="s">
        <v>231</v>
      </c>
      <c r="S2070" s="2" t="s">
        <v>9177</v>
      </c>
      <c r="T2070" s="2" t="s">
        <v>595</v>
      </c>
      <c r="U2070" s="2" t="s">
        <v>327</v>
      </c>
      <c r="V2070" s="2" t="s">
        <v>987</v>
      </c>
      <c r="W2070" s="2" t="s">
        <v>273</v>
      </c>
      <c r="X2070" s="2" t="s">
        <v>231</v>
      </c>
      <c r="Y2070" s="2" t="s">
        <v>231</v>
      </c>
      <c r="Z2070" s="4"/>
      <c r="AA2070" s="4">
        <f>=ROUNDDOWN({0},0)</f>
      </c>
      <c r="AB2070" s="5"/>
      <c r="AC2070" s="2" t="s">
        <v>876</v>
      </c>
      <c r="AD2070" s="4">
        <v>205</v>
      </c>
      <c r="AE2070" s="4">
        <v>410</v>
      </c>
      <c r="AF2070" s="6">
        <v>65</v>
      </c>
      <c r="AG2070" s="6"/>
      <c r="AH2070" s="7">
        <v>0</v>
      </c>
      <c r="AI2070" s="4"/>
      <c r="AJ2070" s="4">
        <f>=ROUNDDOWN({0},0)</f>
      </c>
      <c r="AK2070" s="5"/>
      <c r="AL2070" s="2" t="s">
        <v>231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231</v>
      </c>
      <c r="AW2070" s="8" t="s">
        <v>231</v>
      </c>
      <c r="AX2070" s="4" t="s">
        <v>231</v>
      </c>
      <c r="AY2070" s="8" t="s">
        <v>231</v>
      </c>
      <c r="AZ2070" s="7" t="s">
        <v>231</v>
      </c>
      <c r="BA2070" s="7" t="s">
        <v>231</v>
      </c>
      <c r="BB2070" s="7"/>
      <c r="BC2070" s="4" t="s">
        <v>231</v>
      </c>
      <c r="BD2070" s="8" t="s">
        <v>231</v>
      </c>
      <c r="BE2070" s="4" t="s">
        <v>231</v>
      </c>
      <c r="BF2070" s="8" t="s">
        <v>231</v>
      </c>
      <c r="BG2070" s="7" t="s">
        <v>231</v>
      </c>
      <c r="BH2070" s="7" t="s">
        <v>231</v>
      </c>
      <c r="BI2070" s="7"/>
      <c r="BJ2070" s="4"/>
      <c r="BK2070" s="8"/>
      <c r="BL2070" s="2" t="s">
        <v>231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241</v>
      </c>
      <c r="BV2070" s="2" t="s">
        <v>231</v>
      </c>
      <c r="BW2070" s="2" t="s">
        <v>231</v>
      </c>
      <c r="BX2070" s="2" t="s">
        <v>241</v>
      </c>
      <c r="BY2070" s="2" t="s">
        <v>242</v>
      </c>
      <c r="BZ2070" s="2" t="s">
        <v>243</v>
      </c>
      <c r="CA2070" s="2" t="s">
        <v>231</v>
      </c>
      <c r="CB2070" s="2" t="s">
        <v>231</v>
      </c>
      <c r="CC2070" s="2" t="s">
        <v>244</v>
      </c>
      <c r="CD2070" s="2" t="s">
        <v>231</v>
      </c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>
        <v>205</v>
      </c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>
        <v>205</v>
      </c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</row>
    <row r="2071">
      <c r="A2071" s="2" t="s">
        <v>9180</v>
      </c>
      <c r="B2071" s="2" t="s">
        <v>226</v>
      </c>
      <c r="C2071" s="2" t="s">
        <v>965</v>
      </c>
      <c r="D2071" s="2" t="s">
        <v>228</v>
      </c>
      <c r="E2071" s="2" t="s">
        <v>229</v>
      </c>
      <c r="F2071" s="2" t="s">
        <v>9164</v>
      </c>
      <c r="G2071" s="2" t="s">
        <v>9164</v>
      </c>
      <c r="H2071" s="2" t="s">
        <v>9164</v>
      </c>
      <c r="I2071" s="2" t="s">
        <v>229</v>
      </c>
      <c r="J2071" s="2" t="s">
        <v>318</v>
      </c>
      <c r="K2071" s="2" t="s">
        <v>452</v>
      </c>
      <c r="L2071" s="3">
        <v>10.71</v>
      </c>
      <c r="M2071" s="3">
        <v>11.25</v>
      </c>
      <c r="N2071" s="3">
        <v>24.99</v>
      </c>
      <c r="O2071" s="2" t="s">
        <v>243</v>
      </c>
      <c r="P2071" s="2" t="s">
        <v>236</v>
      </c>
      <c r="Q2071" s="2" t="s">
        <v>237</v>
      </c>
      <c r="R2071" s="2" t="s">
        <v>231</v>
      </c>
      <c r="S2071" s="2" t="s">
        <v>9181</v>
      </c>
      <c r="T2071" s="2" t="s">
        <v>595</v>
      </c>
      <c r="U2071" s="2" t="s">
        <v>327</v>
      </c>
      <c r="V2071" s="2" t="s">
        <v>987</v>
      </c>
      <c r="W2071" s="2" t="s">
        <v>273</v>
      </c>
      <c r="X2071" s="2" t="s">
        <v>231</v>
      </c>
      <c r="Y2071" s="2" t="s">
        <v>231</v>
      </c>
      <c r="Z2071" s="4"/>
      <c r="AA2071" s="4">
        <f>=ROUNDDOWN({0},0)</f>
      </c>
      <c r="AB2071" s="5"/>
      <c r="AC2071" s="2" t="s">
        <v>876</v>
      </c>
      <c r="AD2071" s="4">
        <v>165</v>
      </c>
      <c r="AE2071" s="4">
        <v>330</v>
      </c>
      <c r="AF2071" s="6">
        <v>65</v>
      </c>
      <c r="AG2071" s="6"/>
      <c r="AH2071" s="7">
        <v>0</v>
      </c>
      <c r="AI2071" s="4"/>
      <c r="AJ2071" s="4">
        <f>=ROUNDDOWN({0},0)</f>
      </c>
      <c r="AK2071" s="5"/>
      <c r="AL2071" s="2" t="s">
        <v>231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231</v>
      </c>
      <c r="AW2071" s="8" t="s">
        <v>231</v>
      </c>
      <c r="AX2071" s="4" t="s">
        <v>231</v>
      </c>
      <c r="AY2071" s="8" t="s">
        <v>231</v>
      </c>
      <c r="AZ2071" s="7" t="s">
        <v>231</v>
      </c>
      <c r="BA2071" s="7" t="s">
        <v>231</v>
      </c>
      <c r="BB2071" s="7"/>
      <c r="BC2071" s="4" t="s">
        <v>231</v>
      </c>
      <c r="BD2071" s="8" t="s">
        <v>231</v>
      </c>
      <c r="BE2071" s="4" t="s">
        <v>231</v>
      </c>
      <c r="BF2071" s="8" t="s">
        <v>231</v>
      </c>
      <c r="BG2071" s="7" t="s">
        <v>231</v>
      </c>
      <c r="BH2071" s="7" t="s">
        <v>231</v>
      </c>
      <c r="BI2071" s="7"/>
      <c r="BJ2071" s="4"/>
      <c r="BK2071" s="8"/>
      <c r="BL2071" s="2" t="s">
        <v>231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241</v>
      </c>
      <c r="BV2071" s="2" t="s">
        <v>231</v>
      </c>
      <c r="BW2071" s="2" t="s">
        <v>231</v>
      </c>
      <c r="BX2071" s="2" t="s">
        <v>241</v>
      </c>
      <c r="BY2071" s="2" t="s">
        <v>242</v>
      </c>
      <c r="BZ2071" s="2" t="s">
        <v>243</v>
      </c>
      <c r="CA2071" s="2" t="s">
        <v>231</v>
      </c>
      <c r="CB2071" s="2" t="s">
        <v>231</v>
      </c>
      <c r="CC2071" s="2" t="s">
        <v>244</v>
      </c>
      <c r="CD2071" s="2" t="s">
        <v>231</v>
      </c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>
        <v>165</v>
      </c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>
        <v>165</v>
      </c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</row>
    <row r="2072">
      <c r="A2072" s="2" t="s">
        <v>9182</v>
      </c>
      <c r="B2072" s="2" t="s">
        <v>226</v>
      </c>
      <c r="C2072" s="2" t="s">
        <v>965</v>
      </c>
      <c r="D2072" s="2" t="s">
        <v>228</v>
      </c>
      <c r="E2072" s="2" t="s">
        <v>229</v>
      </c>
      <c r="F2072" s="2" t="s">
        <v>9164</v>
      </c>
      <c r="G2072" s="2" t="s">
        <v>9164</v>
      </c>
      <c r="H2072" s="2" t="s">
        <v>9164</v>
      </c>
      <c r="I2072" s="2" t="s">
        <v>229</v>
      </c>
      <c r="J2072" s="2" t="s">
        <v>658</v>
      </c>
      <c r="K2072" s="2" t="s">
        <v>452</v>
      </c>
      <c r="L2072" s="3">
        <v>12.7</v>
      </c>
      <c r="M2072" s="3">
        <v>13.34</v>
      </c>
      <c r="N2072" s="3">
        <v>28.99</v>
      </c>
      <c r="O2072" s="2" t="s">
        <v>243</v>
      </c>
      <c r="P2072" s="2" t="s">
        <v>236</v>
      </c>
      <c r="Q2072" s="2" t="s">
        <v>237</v>
      </c>
      <c r="R2072" s="2" t="s">
        <v>231</v>
      </c>
      <c r="S2072" s="2" t="s">
        <v>9181</v>
      </c>
      <c r="T2072" s="2" t="s">
        <v>595</v>
      </c>
      <c r="U2072" s="2" t="s">
        <v>327</v>
      </c>
      <c r="V2072" s="2" t="s">
        <v>987</v>
      </c>
      <c r="W2072" s="2" t="s">
        <v>273</v>
      </c>
      <c r="X2072" s="2" t="s">
        <v>231</v>
      </c>
      <c r="Y2072" s="2" t="s">
        <v>231</v>
      </c>
      <c r="Z2072" s="4"/>
      <c r="AA2072" s="4">
        <f>=ROUNDDOWN({0},0)</f>
      </c>
      <c r="AB2072" s="5"/>
      <c r="AC2072" s="2" t="s">
        <v>876</v>
      </c>
      <c r="AD2072" s="4">
        <v>365</v>
      </c>
      <c r="AE2072" s="4">
        <v>730</v>
      </c>
      <c r="AF2072" s="6">
        <v>65</v>
      </c>
      <c r="AG2072" s="6"/>
      <c r="AH2072" s="7">
        <v>0</v>
      </c>
      <c r="AI2072" s="4"/>
      <c r="AJ2072" s="4">
        <f>=ROUNDDOWN({0},0)</f>
      </c>
      <c r="AK2072" s="5"/>
      <c r="AL2072" s="2" t="s">
        <v>231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231</v>
      </c>
      <c r="AW2072" s="8" t="s">
        <v>231</v>
      </c>
      <c r="AX2072" s="4" t="s">
        <v>231</v>
      </c>
      <c r="AY2072" s="8" t="s">
        <v>231</v>
      </c>
      <c r="AZ2072" s="7" t="s">
        <v>231</v>
      </c>
      <c r="BA2072" s="7" t="s">
        <v>231</v>
      </c>
      <c r="BB2072" s="7"/>
      <c r="BC2072" s="4" t="s">
        <v>231</v>
      </c>
      <c r="BD2072" s="8" t="s">
        <v>231</v>
      </c>
      <c r="BE2072" s="4" t="s">
        <v>231</v>
      </c>
      <c r="BF2072" s="8" t="s">
        <v>231</v>
      </c>
      <c r="BG2072" s="7" t="s">
        <v>231</v>
      </c>
      <c r="BH2072" s="7" t="s">
        <v>231</v>
      </c>
      <c r="BI2072" s="7"/>
      <c r="BJ2072" s="4"/>
      <c r="BK2072" s="8"/>
      <c r="BL2072" s="2" t="s">
        <v>231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241</v>
      </c>
      <c r="BV2072" s="2" t="s">
        <v>231</v>
      </c>
      <c r="BW2072" s="2" t="s">
        <v>231</v>
      </c>
      <c r="BX2072" s="2" t="s">
        <v>241</v>
      </c>
      <c r="BY2072" s="2" t="s">
        <v>242</v>
      </c>
      <c r="BZ2072" s="2" t="s">
        <v>243</v>
      </c>
      <c r="CA2072" s="2" t="s">
        <v>231</v>
      </c>
      <c r="CB2072" s="2" t="s">
        <v>231</v>
      </c>
      <c r="CC2072" s="2" t="s">
        <v>244</v>
      </c>
      <c r="CD2072" s="2" t="s">
        <v>231</v>
      </c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>
        <v>365</v>
      </c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>
        <v>365</v>
      </c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</row>
    <row r="2073">
      <c r="A2073" s="2" t="s">
        <v>9183</v>
      </c>
      <c r="B2073" s="2" t="s">
        <v>226</v>
      </c>
      <c r="C2073" s="2" t="s">
        <v>965</v>
      </c>
      <c r="D2073" s="2" t="s">
        <v>228</v>
      </c>
      <c r="E2073" s="2" t="s">
        <v>229</v>
      </c>
      <c r="F2073" s="2" t="s">
        <v>9164</v>
      </c>
      <c r="G2073" s="2" t="s">
        <v>9164</v>
      </c>
      <c r="H2073" s="2" t="s">
        <v>9164</v>
      </c>
      <c r="I2073" s="2" t="s">
        <v>229</v>
      </c>
      <c r="J2073" s="2" t="s">
        <v>302</v>
      </c>
      <c r="K2073" s="2" t="s">
        <v>452</v>
      </c>
      <c r="L2073" s="3">
        <v>14.45</v>
      </c>
      <c r="M2073" s="3">
        <v>15.17</v>
      </c>
      <c r="N2073" s="3">
        <v>32.99</v>
      </c>
      <c r="O2073" s="2" t="s">
        <v>243</v>
      </c>
      <c r="P2073" s="2" t="s">
        <v>236</v>
      </c>
      <c r="Q2073" s="2" t="s">
        <v>237</v>
      </c>
      <c r="R2073" s="2" t="s">
        <v>231</v>
      </c>
      <c r="S2073" s="2" t="s">
        <v>9181</v>
      </c>
      <c r="T2073" s="2" t="s">
        <v>595</v>
      </c>
      <c r="U2073" s="2" t="s">
        <v>327</v>
      </c>
      <c r="V2073" s="2" t="s">
        <v>987</v>
      </c>
      <c r="W2073" s="2" t="s">
        <v>273</v>
      </c>
      <c r="X2073" s="2" t="s">
        <v>231</v>
      </c>
      <c r="Y2073" s="2" t="s">
        <v>231</v>
      </c>
      <c r="Z2073" s="4"/>
      <c r="AA2073" s="4">
        <f>=ROUNDDOWN({0},0)</f>
      </c>
      <c r="AB2073" s="5"/>
      <c r="AC2073" s="2" t="s">
        <v>876</v>
      </c>
      <c r="AD2073" s="4">
        <v>220</v>
      </c>
      <c r="AE2073" s="4">
        <v>440</v>
      </c>
      <c r="AF2073" s="6">
        <v>65</v>
      </c>
      <c r="AG2073" s="6"/>
      <c r="AH2073" s="7">
        <v>0</v>
      </c>
      <c r="AI2073" s="4"/>
      <c r="AJ2073" s="4">
        <f>=ROUNDDOWN({0},0)</f>
      </c>
      <c r="AK2073" s="5"/>
      <c r="AL2073" s="2" t="s">
        <v>231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231</v>
      </c>
      <c r="AW2073" s="8" t="s">
        <v>231</v>
      </c>
      <c r="AX2073" s="4" t="s">
        <v>231</v>
      </c>
      <c r="AY2073" s="8" t="s">
        <v>231</v>
      </c>
      <c r="AZ2073" s="7" t="s">
        <v>231</v>
      </c>
      <c r="BA2073" s="7" t="s">
        <v>231</v>
      </c>
      <c r="BB2073" s="7"/>
      <c r="BC2073" s="4" t="s">
        <v>231</v>
      </c>
      <c r="BD2073" s="8" t="s">
        <v>231</v>
      </c>
      <c r="BE2073" s="4" t="s">
        <v>231</v>
      </c>
      <c r="BF2073" s="8" t="s">
        <v>231</v>
      </c>
      <c r="BG2073" s="7" t="s">
        <v>231</v>
      </c>
      <c r="BH2073" s="7" t="s">
        <v>231</v>
      </c>
      <c r="BI2073" s="7"/>
      <c r="BJ2073" s="4"/>
      <c r="BK2073" s="8"/>
      <c r="BL2073" s="2" t="s">
        <v>231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241</v>
      </c>
      <c r="BV2073" s="2" t="s">
        <v>231</v>
      </c>
      <c r="BW2073" s="2" t="s">
        <v>231</v>
      </c>
      <c r="BX2073" s="2" t="s">
        <v>241</v>
      </c>
      <c r="BY2073" s="2" t="s">
        <v>242</v>
      </c>
      <c r="BZ2073" s="2" t="s">
        <v>243</v>
      </c>
      <c r="CA2073" s="2" t="s">
        <v>231</v>
      </c>
      <c r="CB2073" s="2" t="s">
        <v>231</v>
      </c>
      <c r="CC2073" s="2" t="s">
        <v>244</v>
      </c>
      <c r="CD2073" s="2" t="s">
        <v>231</v>
      </c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>
        <v>220</v>
      </c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>
        <v>220</v>
      </c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</row>
    <row r="2074">
      <c r="A2074" s="2" t="s">
        <v>9184</v>
      </c>
      <c r="B2074" s="2" t="s">
        <v>226</v>
      </c>
      <c r="C2074" s="2" t="s">
        <v>288</v>
      </c>
      <c r="D2074" s="2" t="s">
        <v>228</v>
      </c>
      <c r="E2074" s="2" t="s">
        <v>229</v>
      </c>
      <c r="F2074" s="2" t="s">
        <v>9185</v>
      </c>
      <c r="G2074" s="2" t="s">
        <v>9185</v>
      </c>
      <c r="H2074" s="2" t="s">
        <v>9185</v>
      </c>
      <c r="I2074" s="2" t="s">
        <v>229</v>
      </c>
      <c r="J2074" s="2" t="s">
        <v>318</v>
      </c>
      <c r="K2074" s="2" t="s">
        <v>253</v>
      </c>
      <c r="L2074" s="3">
        <v>12.42</v>
      </c>
      <c r="M2074" s="3">
        <v>13.04</v>
      </c>
      <c r="N2074" s="3">
        <v>26.99</v>
      </c>
      <c r="O2074" s="2" t="s">
        <v>243</v>
      </c>
      <c r="P2074" s="2" t="s">
        <v>341</v>
      </c>
      <c r="Q2074" s="2" t="s">
        <v>237</v>
      </c>
      <c r="R2074" s="2" t="s">
        <v>231</v>
      </c>
      <c r="S2074" s="2" t="s">
        <v>9186</v>
      </c>
      <c r="T2074" s="2" t="s">
        <v>1630</v>
      </c>
      <c r="U2074" s="2" t="s">
        <v>231</v>
      </c>
      <c r="V2074" s="2" t="s">
        <v>239</v>
      </c>
      <c r="W2074" s="2" t="s">
        <v>273</v>
      </c>
      <c r="X2074" s="2" t="s">
        <v>231</v>
      </c>
      <c r="Y2074" s="2" t="s">
        <v>274</v>
      </c>
      <c r="Z2074" s="4">
        <v>86</v>
      </c>
      <c r="AA2074" s="4">
        <f>=ROUNDDOWN(12.2857142857143,0)</f>
      </c>
      <c r="AB2074" s="5">
        <v>7</v>
      </c>
      <c r="AC2074" s="2" t="s">
        <v>231</v>
      </c>
      <c r="AD2074" s="4"/>
      <c r="AE2074" s="4"/>
      <c r="AF2074" s="6">
        <v>64</v>
      </c>
      <c r="AG2074" s="6"/>
      <c r="AH2074" s="7">
        <v>1</v>
      </c>
      <c r="AI2074" s="4"/>
      <c r="AJ2074" s="4">
        <f>=ROUNDDOWN({0},0)</f>
      </c>
      <c r="AK2074" s="5"/>
      <c r="AL2074" s="2" t="s">
        <v>231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/>
      <c r="BD2074" s="8"/>
      <c r="BE2074" s="4"/>
      <c r="BF2074" s="8"/>
      <c r="BG2074" s="7"/>
      <c r="BH2074" s="7"/>
      <c r="BI2074" s="7"/>
      <c r="BJ2074" s="4">
        <v>24</v>
      </c>
      <c r="BK2074" s="8">
        <v>309.11</v>
      </c>
      <c r="BL2074" s="2" t="s">
        <v>344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9187</v>
      </c>
      <c r="BV2074" s="2" t="s">
        <v>231</v>
      </c>
      <c r="BW2074" s="2" t="s">
        <v>231</v>
      </c>
      <c r="BX2074" s="2" t="s">
        <v>231</v>
      </c>
      <c r="BY2074" s="2" t="s">
        <v>277</v>
      </c>
      <c r="BZ2074" s="2" t="s">
        <v>243</v>
      </c>
      <c r="CA2074" s="2" t="s">
        <v>284</v>
      </c>
      <c r="CB2074" s="2" t="s">
        <v>551</v>
      </c>
      <c r="CC2074" s="2" t="s">
        <v>244</v>
      </c>
      <c r="CD2074" s="2" t="s">
        <v>231</v>
      </c>
      <c r="CE2074" s="4">
        <v>86</v>
      </c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</row>
    <row r="2075">
      <c r="A2075" s="2" t="s">
        <v>9188</v>
      </c>
      <c r="B2075" s="2" t="s">
        <v>226</v>
      </c>
      <c r="C2075" s="2" t="s">
        <v>825</v>
      </c>
      <c r="D2075" s="2" t="s">
        <v>228</v>
      </c>
      <c r="E2075" s="2" t="s">
        <v>229</v>
      </c>
      <c r="F2075" s="2" t="s">
        <v>9189</v>
      </c>
      <c r="G2075" s="2" t="s">
        <v>9189</v>
      </c>
      <c r="H2075" s="2" t="s">
        <v>9189</v>
      </c>
      <c r="I2075" s="2" t="s">
        <v>9190</v>
      </c>
      <c r="J2075" s="2" t="s">
        <v>658</v>
      </c>
      <c r="K2075" s="2" t="s">
        <v>985</v>
      </c>
      <c r="L2075" s="3">
        <v>15.46</v>
      </c>
      <c r="M2075" s="3">
        <v>16.23</v>
      </c>
      <c r="N2075" s="3">
        <v>34.99</v>
      </c>
      <c r="O2075" s="2" t="s">
        <v>243</v>
      </c>
      <c r="P2075" s="2" t="s">
        <v>270</v>
      </c>
      <c r="Q2075" s="2" t="s">
        <v>237</v>
      </c>
      <c r="R2075" s="2" t="s">
        <v>231</v>
      </c>
      <c r="S2075" s="2" t="s">
        <v>9191</v>
      </c>
      <c r="T2075" s="2" t="s">
        <v>1630</v>
      </c>
      <c r="U2075" s="2" t="s">
        <v>231</v>
      </c>
      <c r="V2075" s="2" t="s">
        <v>239</v>
      </c>
      <c r="W2075" s="2" t="s">
        <v>273</v>
      </c>
      <c r="X2075" s="2" t="s">
        <v>231</v>
      </c>
      <c r="Y2075" s="2" t="s">
        <v>274</v>
      </c>
      <c r="Z2075" s="4">
        <v>349</v>
      </c>
      <c r="AA2075" s="4">
        <f>=ROUNDDOWN(9.97142857142857,0)</f>
      </c>
      <c r="AB2075" s="5">
        <v>35</v>
      </c>
      <c r="AC2075" s="2" t="s">
        <v>1128</v>
      </c>
      <c r="AD2075" s="4">
        <v>170</v>
      </c>
      <c r="AE2075" s="4">
        <v>970</v>
      </c>
      <c r="AF2075" s="6">
        <v>64</v>
      </c>
      <c r="AG2075" s="6"/>
      <c r="AH2075" s="7">
        <v>1</v>
      </c>
      <c r="AI2075" s="4"/>
      <c r="AJ2075" s="4">
        <f>=ROUNDDOWN({0},0)</f>
      </c>
      <c r="AK2075" s="5"/>
      <c r="AL2075" s="2" t="s">
        <v>231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 t="s">
        <v>231</v>
      </c>
      <c r="BD2075" s="8" t="s">
        <v>231</v>
      </c>
      <c r="BE2075" s="4" t="s">
        <v>231</v>
      </c>
      <c r="BF2075" s="8" t="s">
        <v>231</v>
      </c>
      <c r="BG2075" s="7" t="s">
        <v>231</v>
      </c>
      <c r="BH2075" s="7" t="s">
        <v>231</v>
      </c>
      <c r="BI2075" s="7"/>
      <c r="BJ2075" s="4">
        <v>173</v>
      </c>
      <c r="BK2075" s="8">
        <v>2565.08</v>
      </c>
      <c r="BL2075" s="2" t="s">
        <v>9192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9193</v>
      </c>
      <c r="BV2075" s="2" t="s">
        <v>231</v>
      </c>
      <c r="BW2075" s="2" t="s">
        <v>231</v>
      </c>
      <c r="BX2075" s="2" t="s">
        <v>231</v>
      </c>
      <c r="BY2075" s="2" t="s">
        <v>277</v>
      </c>
      <c r="BZ2075" s="2" t="s">
        <v>243</v>
      </c>
      <c r="CA2075" s="2" t="s">
        <v>284</v>
      </c>
      <c r="CB2075" s="2" t="s">
        <v>9194</v>
      </c>
      <c r="CC2075" s="2" t="s">
        <v>244</v>
      </c>
      <c r="CD2075" s="2" t="s">
        <v>231</v>
      </c>
      <c r="CE2075" s="4">
        <v>349</v>
      </c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>
        <v>170</v>
      </c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>
        <v>300</v>
      </c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>
        <v>260</v>
      </c>
      <c r="GC2075" s="4"/>
      <c r="GD2075" s="4"/>
      <c r="GE2075" s="4"/>
      <c r="GF2075" s="4"/>
      <c r="GG2075" s="4"/>
      <c r="GH2075" s="4"/>
      <c r="GI2075" s="4"/>
      <c r="GJ2075" s="4"/>
      <c r="GK2075" s="4">
        <v>240</v>
      </c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  <c r="HG2075" s="4"/>
      <c r="HH2075" s="4"/>
      <c r="HI2075" s="4"/>
      <c r="HJ2075" s="4"/>
      <c r="HK2075" s="4"/>
      <c r="HL2075" s="4"/>
    </row>
    <row r="2076">
      <c r="A2076" s="2" t="s">
        <v>9195</v>
      </c>
      <c r="B2076" s="2" t="s">
        <v>226</v>
      </c>
      <c r="C2076" s="2" t="s">
        <v>825</v>
      </c>
      <c r="D2076" s="2" t="s">
        <v>228</v>
      </c>
      <c r="E2076" s="2" t="s">
        <v>229</v>
      </c>
      <c r="F2076" s="2" t="s">
        <v>9189</v>
      </c>
      <c r="G2076" s="2" t="s">
        <v>9189</v>
      </c>
      <c r="H2076" s="2" t="s">
        <v>9189</v>
      </c>
      <c r="I2076" s="2" t="s">
        <v>9190</v>
      </c>
      <c r="J2076" s="2" t="s">
        <v>658</v>
      </c>
      <c r="K2076" s="2" t="s">
        <v>294</v>
      </c>
      <c r="L2076" s="3">
        <v>15.46</v>
      </c>
      <c r="M2076" s="3">
        <v>16.23</v>
      </c>
      <c r="N2076" s="3">
        <v>34.99</v>
      </c>
      <c r="O2076" s="2" t="s">
        <v>243</v>
      </c>
      <c r="P2076" s="2" t="s">
        <v>270</v>
      </c>
      <c r="Q2076" s="2" t="s">
        <v>237</v>
      </c>
      <c r="R2076" s="2" t="s">
        <v>231</v>
      </c>
      <c r="S2076" s="2" t="s">
        <v>9196</v>
      </c>
      <c r="T2076" s="2" t="s">
        <v>1630</v>
      </c>
      <c r="U2076" s="2" t="s">
        <v>231</v>
      </c>
      <c r="V2076" s="2" t="s">
        <v>239</v>
      </c>
      <c r="W2076" s="2" t="s">
        <v>273</v>
      </c>
      <c r="X2076" s="2" t="s">
        <v>231</v>
      </c>
      <c r="Y2076" s="2" t="s">
        <v>274</v>
      </c>
      <c r="Z2076" s="4">
        <v>212</v>
      </c>
      <c r="AA2076" s="4">
        <f>=ROUNDDOWN(4.15686274509804,0)</f>
      </c>
      <c r="AB2076" s="5">
        <v>51</v>
      </c>
      <c r="AC2076" s="2" t="s">
        <v>1128</v>
      </c>
      <c r="AD2076" s="4">
        <v>450</v>
      </c>
      <c r="AE2076" s="4">
        <v>1750</v>
      </c>
      <c r="AF2076" s="6">
        <v>64</v>
      </c>
      <c r="AG2076" s="6"/>
      <c r="AH2076" s="7">
        <v>0.9677</v>
      </c>
      <c r="AI2076" s="4"/>
      <c r="AJ2076" s="4">
        <f>=ROUNDDOWN({0},0)</f>
      </c>
      <c r="AK2076" s="5"/>
      <c r="AL2076" s="2" t="s">
        <v>231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231</v>
      </c>
      <c r="AW2076" s="8" t="s">
        <v>231</v>
      </c>
      <c r="AX2076" s="4" t="s">
        <v>231</v>
      </c>
      <c r="AY2076" s="8" t="s">
        <v>231</v>
      </c>
      <c r="AZ2076" s="7" t="s">
        <v>231</v>
      </c>
      <c r="BA2076" s="7" t="s">
        <v>231</v>
      </c>
      <c r="BB2076" s="7"/>
      <c r="BC2076" s="4" t="s">
        <v>231</v>
      </c>
      <c r="BD2076" s="8" t="s">
        <v>231</v>
      </c>
      <c r="BE2076" s="4" t="s">
        <v>231</v>
      </c>
      <c r="BF2076" s="8" t="s">
        <v>231</v>
      </c>
      <c r="BG2076" s="7" t="s">
        <v>231</v>
      </c>
      <c r="BH2076" s="7" t="s">
        <v>231</v>
      </c>
      <c r="BI2076" s="7"/>
      <c r="BJ2076" s="4">
        <v>272</v>
      </c>
      <c r="BK2076" s="8">
        <v>4043.87</v>
      </c>
      <c r="BL2076" s="2" t="s">
        <v>9197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9198</v>
      </c>
      <c r="BV2076" s="2" t="s">
        <v>231</v>
      </c>
      <c r="BW2076" s="2" t="s">
        <v>231</v>
      </c>
      <c r="BX2076" s="2" t="s">
        <v>231</v>
      </c>
      <c r="BY2076" s="2" t="s">
        <v>277</v>
      </c>
      <c r="BZ2076" s="2" t="s">
        <v>243</v>
      </c>
      <c r="CA2076" s="2" t="s">
        <v>9199</v>
      </c>
      <c r="CB2076" s="2" t="s">
        <v>9200</v>
      </c>
      <c r="CC2076" s="2" t="s">
        <v>244</v>
      </c>
      <c r="CD2076" s="2" t="s">
        <v>231</v>
      </c>
      <c r="CE2076" s="4">
        <v>212</v>
      </c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>
        <v>450</v>
      </c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>
        <v>800</v>
      </c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>
        <v>200</v>
      </c>
      <c r="GC2076" s="4"/>
      <c r="GD2076" s="4"/>
      <c r="GE2076" s="4"/>
      <c r="GF2076" s="4"/>
      <c r="GG2076" s="4"/>
      <c r="GH2076" s="4"/>
      <c r="GI2076" s="4"/>
      <c r="GJ2076" s="4"/>
      <c r="GK2076" s="4">
        <v>300</v>
      </c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  <c r="HG2076" s="4"/>
      <c r="HH2076" s="4"/>
      <c r="HI2076" s="4"/>
      <c r="HJ2076" s="4"/>
      <c r="HK2076" s="4"/>
      <c r="HL2076" s="4"/>
    </row>
    <row r="2077">
      <c r="A2077" s="2" t="s">
        <v>9201</v>
      </c>
      <c r="B2077" s="2" t="s">
        <v>226</v>
      </c>
      <c r="C2077" s="2" t="s">
        <v>825</v>
      </c>
      <c r="D2077" s="2" t="s">
        <v>228</v>
      </c>
      <c r="E2077" s="2" t="s">
        <v>229</v>
      </c>
      <c r="F2077" s="2" t="s">
        <v>9189</v>
      </c>
      <c r="G2077" s="2" t="s">
        <v>9189</v>
      </c>
      <c r="H2077" s="2" t="s">
        <v>9189</v>
      </c>
      <c r="I2077" s="2" t="s">
        <v>9190</v>
      </c>
      <c r="J2077" s="2" t="s">
        <v>302</v>
      </c>
      <c r="K2077" s="2" t="s">
        <v>294</v>
      </c>
      <c r="L2077" s="3">
        <v>18.42</v>
      </c>
      <c r="M2077" s="3">
        <v>19.34</v>
      </c>
      <c r="N2077" s="3">
        <v>40.99</v>
      </c>
      <c r="O2077" s="2" t="s">
        <v>243</v>
      </c>
      <c r="P2077" s="2" t="s">
        <v>270</v>
      </c>
      <c r="Q2077" s="2" t="s">
        <v>237</v>
      </c>
      <c r="R2077" s="2" t="s">
        <v>231</v>
      </c>
      <c r="S2077" s="2" t="s">
        <v>9196</v>
      </c>
      <c r="T2077" s="2" t="s">
        <v>1630</v>
      </c>
      <c r="U2077" s="2" t="s">
        <v>231</v>
      </c>
      <c r="V2077" s="2" t="s">
        <v>239</v>
      </c>
      <c r="W2077" s="2" t="s">
        <v>273</v>
      </c>
      <c r="X2077" s="2" t="s">
        <v>231</v>
      </c>
      <c r="Y2077" s="2" t="s">
        <v>274</v>
      </c>
      <c r="Z2077" s="4">
        <v>340</v>
      </c>
      <c r="AA2077" s="4">
        <f>=ROUNDDOWN(17.8947368421053,0)</f>
      </c>
      <c r="AB2077" s="5">
        <v>19</v>
      </c>
      <c r="AC2077" s="2" t="s">
        <v>1128</v>
      </c>
      <c r="AD2077" s="4">
        <v>60</v>
      </c>
      <c r="AE2077" s="4">
        <v>380</v>
      </c>
      <c r="AF2077" s="6">
        <v>64</v>
      </c>
      <c r="AG2077" s="6"/>
      <c r="AH2077" s="7">
        <v>1</v>
      </c>
      <c r="AI2077" s="4"/>
      <c r="AJ2077" s="4">
        <f>=ROUNDDOWN({0},0)</f>
      </c>
      <c r="AK2077" s="5"/>
      <c r="AL2077" s="2" t="s">
        <v>231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231</v>
      </c>
      <c r="AW2077" s="8" t="s">
        <v>231</v>
      </c>
      <c r="AX2077" s="4" t="s">
        <v>231</v>
      </c>
      <c r="AY2077" s="8" t="s">
        <v>231</v>
      </c>
      <c r="AZ2077" s="7" t="s">
        <v>231</v>
      </c>
      <c r="BA2077" s="7" t="s">
        <v>231</v>
      </c>
      <c r="BB2077" s="7"/>
      <c r="BC2077" s="4" t="s">
        <v>231</v>
      </c>
      <c r="BD2077" s="8" t="s">
        <v>231</v>
      </c>
      <c r="BE2077" s="4" t="s">
        <v>231</v>
      </c>
      <c r="BF2077" s="8" t="s">
        <v>231</v>
      </c>
      <c r="BG2077" s="7" t="s">
        <v>231</v>
      </c>
      <c r="BH2077" s="7" t="s">
        <v>231</v>
      </c>
      <c r="BI2077" s="7"/>
      <c r="BJ2077" s="4">
        <v>86</v>
      </c>
      <c r="BK2077" s="8">
        <v>1572.53</v>
      </c>
      <c r="BL2077" s="2" t="s">
        <v>9202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9203</v>
      </c>
      <c r="BV2077" s="2" t="s">
        <v>231</v>
      </c>
      <c r="BW2077" s="2" t="s">
        <v>231</v>
      </c>
      <c r="BX2077" s="2" t="s">
        <v>231</v>
      </c>
      <c r="BY2077" s="2" t="s">
        <v>277</v>
      </c>
      <c r="BZ2077" s="2" t="s">
        <v>243</v>
      </c>
      <c r="CA2077" s="2" t="s">
        <v>9199</v>
      </c>
      <c r="CB2077" s="2" t="s">
        <v>9204</v>
      </c>
      <c r="CC2077" s="2" t="s">
        <v>244</v>
      </c>
      <c r="CD2077" s="2" t="s">
        <v>231</v>
      </c>
      <c r="CE2077" s="4">
        <v>340</v>
      </c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>
        <v>60</v>
      </c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>
        <v>150</v>
      </c>
      <c r="GC2077" s="4"/>
      <c r="GD2077" s="4"/>
      <c r="GE2077" s="4"/>
      <c r="GF2077" s="4"/>
      <c r="GG2077" s="4"/>
      <c r="GH2077" s="4"/>
      <c r="GI2077" s="4"/>
      <c r="GJ2077" s="4"/>
      <c r="GK2077" s="4">
        <v>170</v>
      </c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  <c r="HG2077" s="4"/>
      <c r="HH2077" s="4"/>
      <c r="HI2077" s="4"/>
      <c r="HJ2077" s="4"/>
      <c r="HK2077" s="4"/>
      <c r="HL2077" s="4"/>
    </row>
    <row r="2078">
      <c r="A2078" s="2" t="s">
        <v>9205</v>
      </c>
      <c r="B2078" s="2" t="s">
        <v>226</v>
      </c>
      <c r="C2078" s="2" t="s">
        <v>825</v>
      </c>
      <c r="D2078" s="2" t="s">
        <v>228</v>
      </c>
      <c r="E2078" s="2" t="s">
        <v>229</v>
      </c>
      <c r="F2078" s="2" t="s">
        <v>9189</v>
      </c>
      <c r="G2078" s="2" t="s">
        <v>9189</v>
      </c>
      <c r="H2078" s="2" t="s">
        <v>9189</v>
      </c>
      <c r="I2078" s="2" t="s">
        <v>9190</v>
      </c>
      <c r="J2078" s="2" t="s">
        <v>302</v>
      </c>
      <c r="K2078" s="2" t="s">
        <v>253</v>
      </c>
      <c r="L2078" s="3">
        <v>18.42</v>
      </c>
      <c r="M2078" s="3">
        <v>19.34</v>
      </c>
      <c r="N2078" s="3">
        <v>40.99</v>
      </c>
      <c r="O2078" s="2" t="s">
        <v>243</v>
      </c>
      <c r="P2078" s="2" t="s">
        <v>270</v>
      </c>
      <c r="Q2078" s="2" t="s">
        <v>237</v>
      </c>
      <c r="R2078" s="2" t="s">
        <v>231</v>
      </c>
      <c r="S2078" s="2" t="s">
        <v>9206</v>
      </c>
      <c r="T2078" s="2" t="s">
        <v>1630</v>
      </c>
      <c r="U2078" s="2" t="s">
        <v>231</v>
      </c>
      <c r="V2078" s="2" t="s">
        <v>239</v>
      </c>
      <c r="W2078" s="2" t="s">
        <v>273</v>
      </c>
      <c r="X2078" s="2" t="s">
        <v>231</v>
      </c>
      <c r="Y2078" s="2" t="s">
        <v>274</v>
      </c>
      <c r="Z2078" s="4">
        <v>433</v>
      </c>
      <c r="AA2078" s="4">
        <f>=ROUNDDOWN(19.6818181818182,0)</f>
      </c>
      <c r="AB2078" s="5">
        <v>22</v>
      </c>
      <c r="AC2078" s="2" t="s">
        <v>1128</v>
      </c>
      <c r="AD2078" s="4">
        <v>30</v>
      </c>
      <c r="AE2078" s="4">
        <v>490</v>
      </c>
      <c r="AF2078" s="6">
        <v>64</v>
      </c>
      <c r="AG2078" s="6"/>
      <c r="AH2078" s="7">
        <v>1</v>
      </c>
      <c r="AI2078" s="4"/>
      <c r="AJ2078" s="4">
        <f>=ROUNDDOWN({0},0)</f>
      </c>
      <c r="AK2078" s="5"/>
      <c r="AL2078" s="2" t="s">
        <v>231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231</v>
      </c>
      <c r="AW2078" s="8" t="s">
        <v>231</v>
      </c>
      <c r="AX2078" s="4" t="s">
        <v>231</v>
      </c>
      <c r="AY2078" s="8" t="s">
        <v>231</v>
      </c>
      <c r="AZ2078" s="7" t="s">
        <v>231</v>
      </c>
      <c r="BA2078" s="7" t="s">
        <v>231</v>
      </c>
      <c r="BB2078" s="7"/>
      <c r="BC2078" s="4" t="s">
        <v>231</v>
      </c>
      <c r="BD2078" s="8" t="s">
        <v>231</v>
      </c>
      <c r="BE2078" s="4" t="s">
        <v>231</v>
      </c>
      <c r="BF2078" s="8" t="s">
        <v>231</v>
      </c>
      <c r="BG2078" s="7" t="s">
        <v>231</v>
      </c>
      <c r="BH2078" s="7" t="s">
        <v>231</v>
      </c>
      <c r="BI2078" s="7"/>
      <c r="BJ2078" s="4">
        <v>125</v>
      </c>
      <c r="BK2078" s="8">
        <v>2279.49</v>
      </c>
      <c r="BL2078" s="2" t="s">
        <v>9207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9208</v>
      </c>
      <c r="BV2078" s="2" t="s">
        <v>231</v>
      </c>
      <c r="BW2078" s="2" t="s">
        <v>231</v>
      </c>
      <c r="BX2078" s="2" t="s">
        <v>231</v>
      </c>
      <c r="BY2078" s="2" t="s">
        <v>277</v>
      </c>
      <c r="BZ2078" s="2" t="s">
        <v>243</v>
      </c>
      <c r="CA2078" s="2" t="s">
        <v>284</v>
      </c>
      <c r="CB2078" s="2" t="s">
        <v>4086</v>
      </c>
      <c r="CC2078" s="2" t="s">
        <v>244</v>
      </c>
      <c r="CD2078" s="2" t="s">
        <v>231</v>
      </c>
      <c r="CE2078" s="4">
        <v>433</v>
      </c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>
        <v>30</v>
      </c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>
        <v>120</v>
      </c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>
        <v>140</v>
      </c>
      <c r="GC2078" s="4"/>
      <c r="GD2078" s="4"/>
      <c r="GE2078" s="4"/>
      <c r="GF2078" s="4"/>
      <c r="GG2078" s="4"/>
      <c r="GH2078" s="4"/>
      <c r="GI2078" s="4"/>
      <c r="GJ2078" s="4"/>
      <c r="GK2078" s="4">
        <v>200</v>
      </c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  <c r="HG2078" s="4"/>
      <c r="HH2078" s="4"/>
      <c r="HI2078" s="4"/>
      <c r="HJ2078" s="4"/>
      <c r="HK2078" s="4"/>
      <c r="HL2078" s="4"/>
    </row>
    <row r="2079">
      <c r="A2079" s="2" t="s">
        <v>9209</v>
      </c>
      <c r="B2079" s="2" t="s">
        <v>226</v>
      </c>
      <c r="C2079" s="2" t="s">
        <v>825</v>
      </c>
      <c r="D2079" s="2" t="s">
        <v>1624</v>
      </c>
      <c r="E2079" s="2" t="s">
        <v>2589</v>
      </c>
      <c r="F2079" s="2" t="s">
        <v>9189</v>
      </c>
      <c r="G2079" s="2" t="s">
        <v>9189</v>
      </c>
      <c r="H2079" s="2" t="s">
        <v>9189</v>
      </c>
      <c r="I2079" s="2" t="s">
        <v>9210</v>
      </c>
      <c r="J2079" s="2" t="s">
        <v>2845</v>
      </c>
      <c r="K2079" s="2" t="s">
        <v>253</v>
      </c>
      <c r="L2079" s="3">
        <v>10.79</v>
      </c>
      <c r="M2079" s="3">
        <v>11.33</v>
      </c>
      <c r="N2079" s="3">
        <v>19.99</v>
      </c>
      <c r="O2079" s="2" t="s">
        <v>243</v>
      </c>
      <c r="P2079" s="2" t="s">
        <v>341</v>
      </c>
      <c r="Q2079" s="2" t="s">
        <v>237</v>
      </c>
      <c r="R2079" s="2" t="s">
        <v>231</v>
      </c>
      <c r="S2079" s="2" t="s">
        <v>9206</v>
      </c>
      <c r="T2079" s="2" t="s">
        <v>1630</v>
      </c>
      <c r="U2079" s="2" t="s">
        <v>231</v>
      </c>
      <c r="V2079" s="2" t="s">
        <v>239</v>
      </c>
      <c r="W2079" s="2" t="s">
        <v>273</v>
      </c>
      <c r="X2079" s="2" t="s">
        <v>231</v>
      </c>
      <c r="Y2079" s="2" t="s">
        <v>274</v>
      </c>
      <c r="Z2079" s="4">
        <v>577</v>
      </c>
      <c r="AA2079" s="4">
        <f>=ROUNDDOWN(38.4666666666667,0)</f>
      </c>
      <c r="AB2079" s="5">
        <v>15</v>
      </c>
      <c r="AC2079" s="2" t="s">
        <v>231</v>
      </c>
      <c r="AD2079" s="4"/>
      <c r="AE2079" s="4"/>
      <c r="AF2079" s="6">
        <v>64</v>
      </c>
      <c r="AG2079" s="6"/>
      <c r="AH2079" s="7">
        <v>1</v>
      </c>
      <c r="AI2079" s="4"/>
      <c r="AJ2079" s="4">
        <f>=ROUNDDOWN({0},0)</f>
      </c>
      <c r="AK2079" s="5"/>
      <c r="AL2079" s="2" t="s">
        <v>231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231</v>
      </c>
      <c r="AW2079" s="8" t="s">
        <v>231</v>
      </c>
      <c r="AX2079" s="4" t="s">
        <v>231</v>
      </c>
      <c r="AY2079" s="8" t="s">
        <v>231</v>
      </c>
      <c r="AZ2079" s="7" t="s">
        <v>231</v>
      </c>
      <c r="BA2079" s="7" t="s">
        <v>231</v>
      </c>
      <c r="BB2079" s="7"/>
      <c r="BC2079" s="4" t="s">
        <v>231</v>
      </c>
      <c r="BD2079" s="8" t="s">
        <v>231</v>
      </c>
      <c r="BE2079" s="4" t="s">
        <v>231</v>
      </c>
      <c r="BF2079" s="8" t="s">
        <v>231</v>
      </c>
      <c r="BG2079" s="7" t="s">
        <v>231</v>
      </c>
      <c r="BH2079" s="7" t="s">
        <v>231</v>
      </c>
      <c r="BI2079" s="7"/>
      <c r="BJ2079" s="4">
        <v>21</v>
      </c>
      <c r="BK2079" s="8">
        <v>214.83</v>
      </c>
      <c r="BL2079" s="2" t="s">
        <v>6869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9211</v>
      </c>
      <c r="BV2079" s="2" t="s">
        <v>231</v>
      </c>
      <c r="BW2079" s="2" t="s">
        <v>231</v>
      </c>
      <c r="BX2079" s="2" t="s">
        <v>231</v>
      </c>
      <c r="BY2079" s="2" t="s">
        <v>277</v>
      </c>
      <c r="BZ2079" s="2" t="s">
        <v>243</v>
      </c>
      <c r="CA2079" s="2" t="s">
        <v>284</v>
      </c>
      <c r="CB2079" s="2" t="s">
        <v>9212</v>
      </c>
      <c r="CC2079" s="2" t="s">
        <v>244</v>
      </c>
      <c r="CD2079" s="2" t="s">
        <v>231</v>
      </c>
      <c r="CE2079" s="4">
        <v>577</v>
      </c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  <c r="HG2079" s="4"/>
      <c r="HH2079" s="4"/>
      <c r="HI2079" s="4"/>
      <c r="HJ2079" s="4"/>
      <c r="HK2079" s="4"/>
      <c r="HL2079" s="4"/>
    </row>
    <row r="2080">
      <c r="A2080" s="2" t="s">
        <v>9213</v>
      </c>
      <c r="B2080" s="2" t="s">
        <v>226</v>
      </c>
      <c r="C2080" s="2" t="s">
        <v>825</v>
      </c>
      <c r="D2080" s="2" t="s">
        <v>228</v>
      </c>
      <c r="E2080" s="2" t="s">
        <v>229</v>
      </c>
      <c r="F2080" s="2" t="s">
        <v>9189</v>
      </c>
      <c r="G2080" s="2" t="s">
        <v>9189</v>
      </c>
      <c r="H2080" s="2" t="s">
        <v>9189</v>
      </c>
      <c r="I2080" s="2" t="s">
        <v>9190</v>
      </c>
      <c r="J2080" s="2" t="s">
        <v>658</v>
      </c>
      <c r="K2080" s="2" t="s">
        <v>255</v>
      </c>
      <c r="L2080" s="3">
        <v>15.46</v>
      </c>
      <c r="M2080" s="3">
        <v>16.23</v>
      </c>
      <c r="N2080" s="3">
        <v>34.99</v>
      </c>
      <c r="O2080" s="2" t="s">
        <v>243</v>
      </c>
      <c r="P2080" s="2" t="s">
        <v>341</v>
      </c>
      <c r="Q2080" s="2" t="s">
        <v>237</v>
      </c>
      <c r="R2080" s="2" t="s">
        <v>231</v>
      </c>
      <c r="S2080" s="2" t="s">
        <v>9214</v>
      </c>
      <c r="T2080" s="2" t="s">
        <v>1630</v>
      </c>
      <c r="U2080" s="2" t="s">
        <v>231</v>
      </c>
      <c r="V2080" s="2" t="s">
        <v>239</v>
      </c>
      <c r="W2080" s="2" t="s">
        <v>273</v>
      </c>
      <c r="X2080" s="2" t="s">
        <v>231</v>
      </c>
      <c r="Y2080" s="2" t="s">
        <v>274</v>
      </c>
      <c r="Z2080" s="4">
        <v>326</v>
      </c>
      <c r="AA2080" s="4">
        <f>=ROUNDDOWN(19.1764705882353,0)</f>
      </c>
      <c r="AB2080" s="5">
        <v>17</v>
      </c>
      <c r="AC2080" s="2" t="s">
        <v>1128</v>
      </c>
      <c r="AD2080" s="4">
        <v>250</v>
      </c>
      <c r="AE2080" s="4">
        <v>250</v>
      </c>
      <c r="AF2080" s="6">
        <v>64</v>
      </c>
      <c r="AG2080" s="6"/>
      <c r="AH2080" s="7">
        <v>1</v>
      </c>
      <c r="AI2080" s="4"/>
      <c r="AJ2080" s="4">
        <f>=ROUNDDOWN({0},0)</f>
      </c>
      <c r="AK2080" s="5"/>
      <c r="AL2080" s="2" t="s">
        <v>231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 t="s">
        <v>231</v>
      </c>
      <c r="BD2080" s="8" t="s">
        <v>231</v>
      </c>
      <c r="BE2080" s="4" t="s">
        <v>231</v>
      </c>
      <c r="BF2080" s="8" t="s">
        <v>231</v>
      </c>
      <c r="BG2080" s="7" t="s">
        <v>231</v>
      </c>
      <c r="BH2080" s="7" t="s">
        <v>231</v>
      </c>
      <c r="BI2080" s="7"/>
      <c r="BJ2080" s="4">
        <v>58</v>
      </c>
      <c r="BK2080" s="8">
        <v>829.09</v>
      </c>
      <c r="BL2080" s="2" t="s">
        <v>9215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9216</v>
      </c>
      <c r="BV2080" s="2" t="s">
        <v>231</v>
      </c>
      <c r="BW2080" s="2" t="s">
        <v>231</v>
      </c>
      <c r="BX2080" s="2" t="s">
        <v>1360</v>
      </c>
      <c r="BY2080" s="2" t="s">
        <v>277</v>
      </c>
      <c r="BZ2080" s="2" t="s">
        <v>243</v>
      </c>
      <c r="CA2080" s="2" t="s">
        <v>284</v>
      </c>
      <c r="CB2080" s="2" t="s">
        <v>3171</v>
      </c>
      <c r="CC2080" s="2" t="s">
        <v>244</v>
      </c>
      <c r="CD2080" s="2" t="s">
        <v>231</v>
      </c>
      <c r="CE2080" s="4">
        <v>326</v>
      </c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>
        <v>250</v>
      </c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  <c r="HG2080" s="4"/>
      <c r="HH2080" s="4"/>
      <c r="HI2080" s="4"/>
      <c r="HJ2080" s="4"/>
      <c r="HK2080" s="4"/>
      <c r="HL2080" s="4"/>
    </row>
    <row r="2081">
      <c r="A2081" s="2" t="s">
        <v>9217</v>
      </c>
      <c r="B2081" s="2" t="s">
        <v>226</v>
      </c>
      <c r="C2081" s="2" t="s">
        <v>825</v>
      </c>
      <c r="D2081" s="2" t="s">
        <v>228</v>
      </c>
      <c r="E2081" s="2" t="s">
        <v>229</v>
      </c>
      <c r="F2081" s="2" t="s">
        <v>9189</v>
      </c>
      <c r="G2081" s="2" t="s">
        <v>9189</v>
      </c>
      <c r="H2081" s="2" t="s">
        <v>9189</v>
      </c>
      <c r="I2081" s="2" t="s">
        <v>9190</v>
      </c>
      <c r="J2081" s="2" t="s">
        <v>302</v>
      </c>
      <c r="K2081" s="2" t="s">
        <v>2125</v>
      </c>
      <c r="L2081" s="3">
        <v>18.42</v>
      </c>
      <c r="M2081" s="3">
        <v>19.34</v>
      </c>
      <c r="N2081" s="3">
        <v>40.99</v>
      </c>
      <c r="O2081" s="2" t="s">
        <v>243</v>
      </c>
      <c r="P2081" s="2" t="s">
        <v>270</v>
      </c>
      <c r="Q2081" s="2" t="s">
        <v>237</v>
      </c>
      <c r="R2081" s="2" t="s">
        <v>231</v>
      </c>
      <c r="S2081" s="2" t="s">
        <v>6170</v>
      </c>
      <c r="T2081" s="2" t="s">
        <v>1630</v>
      </c>
      <c r="U2081" s="2" t="s">
        <v>231</v>
      </c>
      <c r="V2081" s="2" t="s">
        <v>239</v>
      </c>
      <c r="W2081" s="2" t="s">
        <v>273</v>
      </c>
      <c r="X2081" s="2" t="s">
        <v>231</v>
      </c>
      <c r="Y2081" s="2" t="s">
        <v>9218</v>
      </c>
      <c r="Z2081" s="4">
        <v>366</v>
      </c>
      <c r="AA2081" s="4">
        <f>=ROUNDDOWN(30.5,0)</f>
      </c>
      <c r="AB2081" s="5">
        <v>12</v>
      </c>
      <c r="AC2081" s="2" t="s">
        <v>406</v>
      </c>
      <c r="AD2081" s="4">
        <v>170</v>
      </c>
      <c r="AE2081" s="4">
        <v>170</v>
      </c>
      <c r="AF2081" s="6">
        <v>64</v>
      </c>
      <c r="AG2081" s="6"/>
      <c r="AH2081" s="7">
        <v>1</v>
      </c>
      <c r="AI2081" s="4"/>
      <c r="AJ2081" s="4">
        <f>=ROUNDDOWN({0},0)</f>
      </c>
      <c r="AK2081" s="5"/>
      <c r="AL2081" s="2" t="s">
        <v>231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 t="s">
        <v>231</v>
      </c>
      <c r="BD2081" s="8" t="s">
        <v>231</v>
      </c>
      <c r="BE2081" s="4" t="s">
        <v>231</v>
      </c>
      <c r="BF2081" s="8" t="s">
        <v>231</v>
      </c>
      <c r="BG2081" s="7" t="s">
        <v>231</v>
      </c>
      <c r="BH2081" s="7" t="s">
        <v>231</v>
      </c>
      <c r="BI2081" s="7"/>
      <c r="BJ2081" s="4">
        <v>54</v>
      </c>
      <c r="BK2081" s="8">
        <v>961.77</v>
      </c>
      <c r="BL2081" s="2" t="s">
        <v>9219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9220</v>
      </c>
      <c r="BV2081" s="2" t="s">
        <v>231</v>
      </c>
      <c r="BW2081" s="2" t="s">
        <v>231</v>
      </c>
      <c r="BX2081" s="2" t="s">
        <v>231</v>
      </c>
      <c r="BY2081" s="2" t="s">
        <v>277</v>
      </c>
      <c r="BZ2081" s="2" t="s">
        <v>243</v>
      </c>
      <c r="CA2081" s="2" t="s">
        <v>9221</v>
      </c>
      <c r="CB2081" s="2" t="s">
        <v>9222</v>
      </c>
      <c r="CC2081" s="2" t="s">
        <v>244</v>
      </c>
      <c r="CD2081" s="2" t="s">
        <v>231</v>
      </c>
      <c r="CE2081" s="4">
        <v>366</v>
      </c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>
        <v>170</v>
      </c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  <c r="HG2081" s="4"/>
      <c r="HH2081" s="4"/>
      <c r="HI2081" s="4"/>
      <c r="HJ2081" s="4"/>
      <c r="HK2081" s="4"/>
      <c r="HL2081" s="4"/>
    </row>
    <row r="2082">
      <c r="A2082" s="2" t="s">
        <v>9223</v>
      </c>
      <c r="B2082" s="2" t="s">
        <v>226</v>
      </c>
      <c r="C2082" s="2" t="s">
        <v>825</v>
      </c>
      <c r="D2082" s="2" t="s">
        <v>228</v>
      </c>
      <c r="E2082" s="2" t="s">
        <v>229</v>
      </c>
      <c r="F2082" s="2" t="s">
        <v>9189</v>
      </c>
      <c r="G2082" s="2" t="s">
        <v>9189</v>
      </c>
      <c r="H2082" s="2" t="s">
        <v>9189</v>
      </c>
      <c r="I2082" s="2" t="s">
        <v>9190</v>
      </c>
      <c r="J2082" s="2" t="s">
        <v>832</v>
      </c>
      <c r="K2082" s="2" t="s">
        <v>778</v>
      </c>
      <c r="L2082" s="3">
        <v>12.32</v>
      </c>
      <c r="M2082" s="3">
        <v>12.94</v>
      </c>
      <c r="N2082" s="3">
        <v>28.99</v>
      </c>
      <c r="O2082" s="2" t="s">
        <v>243</v>
      </c>
      <c r="P2082" s="2" t="s">
        <v>341</v>
      </c>
      <c r="Q2082" s="2" t="s">
        <v>237</v>
      </c>
      <c r="R2082" s="2" t="s">
        <v>231</v>
      </c>
      <c r="S2082" s="2" t="s">
        <v>9224</v>
      </c>
      <c r="T2082" s="2" t="s">
        <v>1630</v>
      </c>
      <c r="U2082" s="2" t="s">
        <v>231</v>
      </c>
      <c r="V2082" s="2" t="s">
        <v>239</v>
      </c>
      <c r="W2082" s="2" t="s">
        <v>273</v>
      </c>
      <c r="X2082" s="2" t="s">
        <v>231</v>
      </c>
      <c r="Y2082" s="2" t="s">
        <v>274</v>
      </c>
      <c r="Z2082" s="4">
        <v>156</v>
      </c>
      <c r="AA2082" s="4">
        <f>=ROUNDDOWN(17.3333333333333,0)</f>
      </c>
      <c r="AB2082" s="5">
        <v>9</v>
      </c>
      <c r="AC2082" s="2" t="s">
        <v>1128</v>
      </c>
      <c r="AD2082" s="4">
        <v>420</v>
      </c>
      <c r="AE2082" s="4">
        <v>420</v>
      </c>
      <c r="AF2082" s="6">
        <v>64</v>
      </c>
      <c r="AG2082" s="6"/>
      <c r="AH2082" s="7">
        <v>1</v>
      </c>
      <c r="AI2082" s="4"/>
      <c r="AJ2082" s="4">
        <f>=ROUNDDOWN({0},0)</f>
      </c>
      <c r="AK2082" s="5"/>
      <c r="AL2082" s="2" t="s">
        <v>231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231</v>
      </c>
      <c r="AW2082" s="8" t="s">
        <v>231</v>
      </c>
      <c r="AX2082" s="4" t="s">
        <v>231</v>
      </c>
      <c r="AY2082" s="8" t="s">
        <v>231</v>
      </c>
      <c r="AZ2082" s="7" t="s">
        <v>231</v>
      </c>
      <c r="BA2082" s="7" t="s">
        <v>231</v>
      </c>
      <c r="BB2082" s="7"/>
      <c r="BC2082" s="4" t="s">
        <v>231</v>
      </c>
      <c r="BD2082" s="8" t="s">
        <v>231</v>
      </c>
      <c r="BE2082" s="4" t="s">
        <v>231</v>
      </c>
      <c r="BF2082" s="8" t="s">
        <v>231</v>
      </c>
      <c r="BG2082" s="7" t="s">
        <v>231</v>
      </c>
      <c r="BH2082" s="7" t="s">
        <v>231</v>
      </c>
      <c r="BI2082" s="7"/>
      <c r="BJ2082" s="4">
        <v>47</v>
      </c>
      <c r="BK2082" s="8">
        <v>575.45</v>
      </c>
      <c r="BL2082" s="2" t="s">
        <v>1510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9225</v>
      </c>
      <c r="BV2082" s="2" t="s">
        <v>231</v>
      </c>
      <c r="BW2082" s="2" t="s">
        <v>231</v>
      </c>
      <c r="BX2082" s="2" t="s">
        <v>1360</v>
      </c>
      <c r="BY2082" s="2" t="s">
        <v>277</v>
      </c>
      <c r="BZ2082" s="2" t="s">
        <v>243</v>
      </c>
      <c r="CA2082" s="2" t="s">
        <v>9199</v>
      </c>
      <c r="CB2082" s="2" t="s">
        <v>2817</v>
      </c>
      <c r="CC2082" s="2" t="s">
        <v>244</v>
      </c>
      <c r="CD2082" s="2" t="s">
        <v>231</v>
      </c>
      <c r="CE2082" s="4">
        <v>156</v>
      </c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>
        <v>420</v>
      </c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  <c r="HG2082" s="4"/>
      <c r="HH2082" s="4"/>
      <c r="HI2082" s="4"/>
      <c r="HJ2082" s="4"/>
      <c r="HK2082" s="4"/>
      <c r="HL2082" s="4"/>
    </row>
    <row r="2083">
      <c r="A2083" s="2" t="s">
        <v>9226</v>
      </c>
      <c r="B2083" s="2" t="s">
        <v>226</v>
      </c>
      <c r="C2083" s="2" t="s">
        <v>825</v>
      </c>
      <c r="D2083" s="2" t="s">
        <v>228</v>
      </c>
      <c r="E2083" s="2" t="s">
        <v>229</v>
      </c>
      <c r="F2083" s="2" t="s">
        <v>9189</v>
      </c>
      <c r="G2083" s="2" t="s">
        <v>9189</v>
      </c>
      <c r="H2083" s="2" t="s">
        <v>9189</v>
      </c>
      <c r="I2083" s="2" t="s">
        <v>9190</v>
      </c>
      <c r="J2083" s="2" t="s">
        <v>658</v>
      </c>
      <c r="K2083" s="2" t="s">
        <v>778</v>
      </c>
      <c r="L2083" s="3">
        <v>15.46</v>
      </c>
      <c r="M2083" s="3">
        <v>16.23</v>
      </c>
      <c r="N2083" s="3">
        <v>34.99</v>
      </c>
      <c r="O2083" s="2" t="s">
        <v>243</v>
      </c>
      <c r="P2083" s="2" t="s">
        <v>341</v>
      </c>
      <c r="Q2083" s="2" t="s">
        <v>237</v>
      </c>
      <c r="R2083" s="2" t="s">
        <v>231</v>
      </c>
      <c r="S2083" s="2" t="s">
        <v>9224</v>
      </c>
      <c r="T2083" s="2" t="s">
        <v>1630</v>
      </c>
      <c r="U2083" s="2" t="s">
        <v>231</v>
      </c>
      <c r="V2083" s="2" t="s">
        <v>239</v>
      </c>
      <c r="W2083" s="2" t="s">
        <v>273</v>
      </c>
      <c r="X2083" s="2" t="s">
        <v>231</v>
      </c>
      <c r="Y2083" s="2" t="s">
        <v>274</v>
      </c>
      <c r="Z2083" s="4">
        <v>302</v>
      </c>
      <c r="AA2083" s="4">
        <f>=ROUNDDOWN(21.5714285714286,0)</f>
      </c>
      <c r="AB2083" s="5">
        <v>14</v>
      </c>
      <c r="AC2083" s="2" t="s">
        <v>1128</v>
      </c>
      <c r="AD2083" s="4">
        <v>50</v>
      </c>
      <c r="AE2083" s="4">
        <v>50</v>
      </c>
      <c r="AF2083" s="6">
        <v>64</v>
      </c>
      <c r="AG2083" s="6"/>
      <c r="AH2083" s="7">
        <v>1</v>
      </c>
      <c r="AI2083" s="4"/>
      <c r="AJ2083" s="4">
        <f>=ROUNDDOWN({0},0)</f>
      </c>
      <c r="AK2083" s="5"/>
      <c r="AL2083" s="2" t="s">
        <v>231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231</v>
      </c>
      <c r="AW2083" s="8" t="s">
        <v>231</v>
      </c>
      <c r="AX2083" s="4" t="s">
        <v>231</v>
      </c>
      <c r="AY2083" s="8" t="s">
        <v>231</v>
      </c>
      <c r="AZ2083" s="7" t="s">
        <v>231</v>
      </c>
      <c r="BA2083" s="7" t="s">
        <v>231</v>
      </c>
      <c r="BB2083" s="7"/>
      <c r="BC2083" s="4" t="s">
        <v>231</v>
      </c>
      <c r="BD2083" s="8" t="s">
        <v>231</v>
      </c>
      <c r="BE2083" s="4" t="s">
        <v>231</v>
      </c>
      <c r="BF2083" s="8" t="s">
        <v>231</v>
      </c>
      <c r="BG2083" s="7" t="s">
        <v>231</v>
      </c>
      <c r="BH2083" s="7" t="s">
        <v>231</v>
      </c>
      <c r="BI2083" s="7"/>
      <c r="BJ2083" s="4">
        <v>39</v>
      </c>
      <c r="BK2083" s="8">
        <v>551.11</v>
      </c>
      <c r="BL2083" s="2" t="s">
        <v>9227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9228</v>
      </c>
      <c r="BV2083" s="2" t="s">
        <v>231</v>
      </c>
      <c r="BW2083" s="2" t="s">
        <v>231</v>
      </c>
      <c r="BX2083" s="2" t="s">
        <v>1360</v>
      </c>
      <c r="BY2083" s="2" t="s">
        <v>277</v>
      </c>
      <c r="BZ2083" s="2" t="s">
        <v>243</v>
      </c>
      <c r="CA2083" s="2" t="s">
        <v>9199</v>
      </c>
      <c r="CB2083" s="2" t="s">
        <v>9229</v>
      </c>
      <c r="CC2083" s="2" t="s">
        <v>244</v>
      </c>
      <c r="CD2083" s="2" t="s">
        <v>231</v>
      </c>
      <c r="CE2083" s="4">
        <v>302</v>
      </c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>
        <v>50</v>
      </c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</row>
    <row r="2084">
      <c r="A2084" s="2" t="s">
        <v>9230</v>
      </c>
      <c r="B2084" s="2" t="s">
        <v>226</v>
      </c>
      <c r="C2084" s="2" t="s">
        <v>825</v>
      </c>
      <c r="D2084" s="2" t="s">
        <v>228</v>
      </c>
      <c r="E2084" s="2" t="s">
        <v>229</v>
      </c>
      <c r="F2084" s="2" t="s">
        <v>9189</v>
      </c>
      <c r="G2084" s="2" t="s">
        <v>9189</v>
      </c>
      <c r="H2084" s="2" t="s">
        <v>9189</v>
      </c>
      <c r="I2084" s="2" t="s">
        <v>9190</v>
      </c>
      <c r="J2084" s="2" t="s">
        <v>302</v>
      </c>
      <c r="K2084" s="2" t="s">
        <v>778</v>
      </c>
      <c r="L2084" s="3">
        <v>18.42</v>
      </c>
      <c r="M2084" s="3">
        <v>19.34</v>
      </c>
      <c r="N2084" s="3">
        <v>40.99</v>
      </c>
      <c r="O2084" s="2" t="s">
        <v>243</v>
      </c>
      <c r="P2084" s="2" t="s">
        <v>341</v>
      </c>
      <c r="Q2084" s="2" t="s">
        <v>237</v>
      </c>
      <c r="R2084" s="2" t="s">
        <v>231</v>
      </c>
      <c r="S2084" s="2" t="s">
        <v>9224</v>
      </c>
      <c r="T2084" s="2" t="s">
        <v>1630</v>
      </c>
      <c r="U2084" s="2" t="s">
        <v>231</v>
      </c>
      <c r="V2084" s="2" t="s">
        <v>239</v>
      </c>
      <c r="W2084" s="2" t="s">
        <v>273</v>
      </c>
      <c r="X2084" s="2" t="s">
        <v>231</v>
      </c>
      <c r="Y2084" s="2" t="s">
        <v>274</v>
      </c>
      <c r="Z2084" s="4">
        <v>230</v>
      </c>
      <c r="AA2084" s="4">
        <f>=ROUNDDOWN(20.9090909090909,0)</f>
      </c>
      <c r="AB2084" s="5">
        <v>11</v>
      </c>
      <c r="AC2084" s="2" t="s">
        <v>1128</v>
      </c>
      <c r="AD2084" s="4">
        <v>30</v>
      </c>
      <c r="AE2084" s="4">
        <v>30</v>
      </c>
      <c r="AF2084" s="6">
        <v>64</v>
      </c>
      <c r="AG2084" s="6"/>
      <c r="AH2084" s="7">
        <v>1</v>
      </c>
      <c r="AI2084" s="4"/>
      <c r="AJ2084" s="4">
        <f>=ROUNDDOWN({0},0)</f>
      </c>
      <c r="AK2084" s="5"/>
      <c r="AL2084" s="2" t="s">
        <v>231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231</v>
      </c>
      <c r="AW2084" s="8" t="s">
        <v>231</v>
      </c>
      <c r="AX2084" s="4" t="s">
        <v>231</v>
      </c>
      <c r="AY2084" s="8" t="s">
        <v>231</v>
      </c>
      <c r="AZ2084" s="7" t="s">
        <v>231</v>
      </c>
      <c r="BA2084" s="7" t="s">
        <v>231</v>
      </c>
      <c r="BB2084" s="7"/>
      <c r="BC2084" s="4" t="s">
        <v>231</v>
      </c>
      <c r="BD2084" s="8" t="s">
        <v>231</v>
      </c>
      <c r="BE2084" s="4" t="s">
        <v>231</v>
      </c>
      <c r="BF2084" s="8" t="s">
        <v>231</v>
      </c>
      <c r="BG2084" s="7" t="s">
        <v>231</v>
      </c>
      <c r="BH2084" s="7" t="s">
        <v>231</v>
      </c>
      <c r="BI2084" s="7"/>
      <c r="BJ2084" s="4">
        <v>50</v>
      </c>
      <c r="BK2084" s="8">
        <v>855.58</v>
      </c>
      <c r="BL2084" s="2" t="s">
        <v>9231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9232</v>
      </c>
      <c r="BV2084" s="2" t="s">
        <v>231</v>
      </c>
      <c r="BW2084" s="2" t="s">
        <v>231</v>
      </c>
      <c r="BX2084" s="2" t="s">
        <v>1360</v>
      </c>
      <c r="BY2084" s="2" t="s">
        <v>277</v>
      </c>
      <c r="BZ2084" s="2" t="s">
        <v>243</v>
      </c>
      <c r="CA2084" s="2" t="s">
        <v>9199</v>
      </c>
      <c r="CB2084" s="2" t="s">
        <v>9233</v>
      </c>
      <c r="CC2084" s="2" t="s">
        <v>244</v>
      </c>
      <c r="CD2084" s="2" t="s">
        <v>231</v>
      </c>
      <c r="CE2084" s="4">
        <v>230</v>
      </c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>
        <v>30</v>
      </c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  <c r="HG2084" s="4"/>
      <c r="HH2084" s="4"/>
      <c r="HI2084" s="4"/>
      <c r="HJ2084" s="4"/>
      <c r="HK2084" s="4"/>
      <c r="HL2084" s="4"/>
    </row>
    <row r="2085">
      <c r="A2085" s="2" t="s">
        <v>9234</v>
      </c>
      <c r="B2085" s="2" t="s">
        <v>226</v>
      </c>
      <c r="C2085" s="2" t="s">
        <v>631</v>
      </c>
      <c r="D2085" s="2" t="s">
        <v>1549</v>
      </c>
      <c r="E2085" s="2" t="s">
        <v>3949</v>
      </c>
      <c r="F2085" s="2" t="s">
        <v>9235</v>
      </c>
      <c r="G2085" s="2" t="s">
        <v>9235</v>
      </c>
      <c r="H2085" s="2" t="s">
        <v>9235</v>
      </c>
      <c r="I2085" s="2" t="s">
        <v>9236</v>
      </c>
      <c r="J2085" s="2" t="s">
        <v>302</v>
      </c>
      <c r="K2085" s="2" t="s">
        <v>234</v>
      </c>
      <c r="L2085" s="3">
        <v>100</v>
      </c>
      <c r="M2085" s="3">
        <v>105</v>
      </c>
      <c r="N2085" s="3">
        <v>209.99</v>
      </c>
      <c r="O2085" s="2" t="s">
        <v>243</v>
      </c>
      <c r="P2085" s="2" t="s">
        <v>270</v>
      </c>
      <c r="Q2085" s="2" t="s">
        <v>237</v>
      </c>
      <c r="R2085" s="2" t="s">
        <v>231</v>
      </c>
      <c r="S2085" s="2" t="s">
        <v>9237</v>
      </c>
      <c r="T2085" s="2" t="s">
        <v>1630</v>
      </c>
      <c r="U2085" s="2" t="s">
        <v>327</v>
      </c>
      <c r="V2085" s="2" t="s">
        <v>239</v>
      </c>
      <c r="W2085" s="2" t="s">
        <v>273</v>
      </c>
      <c r="X2085" s="2" t="s">
        <v>231</v>
      </c>
      <c r="Y2085" s="2" t="s">
        <v>8467</v>
      </c>
      <c r="Z2085" s="4"/>
      <c r="AA2085" s="4">
        <f>=ROUNDDOWN({0},0)</f>
      </c>
      <c r="AB2085" s="5">
        <v>31</v>
      </c>
      <c r="AC2085" s="2" t="s">
        <v>1651</v>
      </c>
      <c r="AD2085" s="4">
        <v>480</v>
      </c>
      <c r="AE2085" s="4">
        <v>710</v>
      </c>
      <c r="AF2085" s="6">
        <v>65</v>
      </c>
      <c r="AG2085" s="6"/>
      <c r="AH2085" s="7">
        <v>0</v>
      </c>
      <c r="AI2085" s="4"/>
      <c r="AJ2085" s="4">
        <f>=ROUNDDOWN({0},0)</f>
      </c>
      <c r="AK2085" s="5"/>
      <c r="AL2085" s="2" t="s">
        <v>231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231</v>
      </c>
      <c r="BD2085" s="8" t="s">
        <v>231</v>
      </c>
      <c r="BE2085" s="4" t="s">
        <v>231</v>
      </c>
      <c r="BF2085" s="8" t="s">
        <v>231</v>
      </c>
      <c r="BG2085" s="7" t="s">
        <v>231</v>
      </c>
      <c r="BH2085" s="7" t="s">
        <v>231</v>
      </c>
      <c r="BI2085" s="7"/>
      <c r="BJ2085" s="4"/>
      <c r="BK2085" s="8"/>
      <c r="BL2085" s="2" t="s">
        <v>231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9238</v>
      </c>
      <c r="BV2085" s="2" t="s">
        <v>231</v>
      </c>
      <c r="BW2085" s="2" t="s">
        <v>231</v>
      </c>
      <c r="BX2085" s="2" t="s">
        <v>231</v>
      </c>
      <c r="BY2085" s="2" t="s">
        <v>277</v>
      </c>
      <c r="BZ2085" s="2" t="s">
        <v>243</v>
      </c>
      <c r="CA2085" s="2" t="s">
        <v>3687</v>
      </c>
      <c r="CB2085" s="2" t="s">
        <v>2100</v>
      </c>
      <c r="CC2085" s="2" t="s">
        <v>244</v>
      </c>
      <c r="CD2085" s="2" t="s">
        <v>231</v>
      </c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>
        <v>480</v>
      </c>
      <c r="GR2085" s="4"/>
      <c r="GS2085" s="4"/>
      <c r="GT2085" s="4"/>
      <c r="GU2085" s="4"/>
      <c r="GV2085" s="4"/>
      <c r="GW2085" s="4"/>
      <c r="GX2085" s="4"/>
      <c r="GY2085" s="4"/>
      <c r="GZ2085" s="4">
        <v>230</v>
      </c>
      <c r="HA2085" s="4"/>
      <c r="HB2085" s="4"/>
      <c r="HC2085" s="4"/>
      <c r="HD2085" s="4"/>
      <c r="HE2085" s="4"/>
      <c r="HF2085" s="4"/>
      <c r="HG2085" s="4"/>
      <c r="HH2085" s="4"/>
      <c r="HI2085" s="4"/>
      <c r="HJ2085" s="4"/>
      <c r="HK2085" s="4"/>
      <c r="HL2085" s="4"/>
    </row>
    <row r="2086">
      <c r="A2086" s="2" t="s">
        <v>9239</v>
      </c>
      <c r="B2086" s="2" t="s">
        <v>226</v>
      </c>
      <c r="C2086" s="2" t="s">
        <v>631</v>
      </c>
      <c r="D2086" s="2" t="s">
        <v>1549</v>
      </c>
      <c r="E2086" s="2" t="s">
        <v>3949</v>
      </c>
      <c r="F2086" s="2" t="s">
        <v>9235</v>
      </c>
      <c r="G2086" s="2" t="s">
        <v>9235</v>
      </c>
      <c r="H2086" s="2" t="s">
        <v>9235</v>
      </c>
      <c r="I2086" s="2" t="s">
        <v>9236</v>
      </c>
      <c r="J2086" s="2" t="s">
        <v>293</v>
      </c>
      <c r="K2086" s="2" t="s">
        <v>306</v>
      </c>
      <c r="L2086" s="3">
        <v>95.23</v>
      </c>
      <c r="M2086" s="3">
        <v>99.99</v>
      </c>
      <c r="N2086" s="3">
        <v>199.99</v>
      </c>
      <c r="O2086" s="2" t="s">
        <v>243</v>
      </c>
      <c r="P2086" s="2" t="s">
        <v>270</v>
      </c>
      <c r="Q2086" s="2" t="s">
        <v>237</v>
      </c>
      <c r="R2086" s="2" t="s">
        <v>231</v>
      </c>
      <c r="S2086" s="2" t="s">
        <v>9240</v>
      </c>
      <c r="T2086" s="2" t="s">
        <v>1630</v>
      </c>
      <c r="U2086" s="2" t="s">
        <v>327</v>
      </c>
      <c r="V2086" s="2" t="s">
        <v>239</v>
      </c>
      <c r="W2086" s="2" t="s">
        <v>273</v>
      </c>
      <c r="X2086" s="2" t="s">
        <v>231</v>
      </c>
      <c r="Y2086" s="2" t="s">
        <v>8467</v>
      </c>
      <c r="Z2086" s="4">
        <v>142</v>
      </c>
      <c r="AA2086" s="4">
        <f>=ROUNDDOWN(12.9090909090909,0)</f>
      </c>
      <c r="AB2086" s="5">
        <v>11</v>
      </c>
      <c r="AC2086" s="2" t="s">
        <v>1651</v>
      </c>
      <c r="AD2086" s="4">
        <v>150</v>
      </c>
      <c r="AE2086" s="4">
        <v>300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231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231</v>
      </c>
      <c r="AW2086" s="8" t="s">
        <v>231</v>
      </c>
      <c r="AX2086" s="4" t="s">
        <v>231</v>
      </c>
      <c r="AY2086" s="8" t="s">
        <v>231</v>
      </c>
      <c r="AZ2086" s="7" t="s">
        <v>231</v>
      </c>
      <c r="BA2086" s="7" t="s">
        <v>231</v>
      </c>
      <c r="BB2086" s="7"/>
      <c r="BC2086" s="4" t="s">
        <v>231</v>
      </c>
      <c r="BD2086" s="8" t="s">
        <v>231</v>
      </c>
      <c r="BE2086" s="4" t="s">
        <v>231</v>
      </c>
      <c r="BF2086" s="8" t="s">
        <v>231</v>
      </c>
      <c r="BG2086" s="7" t="s">
        <v>231</v>
      </c>
      <c r="BH2086" s="7" t="s">
        <v>231</v>
      </c>
      <c r="BI2086" s="7"/>
      <c r="BJ2086" s="4">
        <v>6</v>
      </c>
      <c r="BK2086" s="8">
        <v>561.94</v>
      </c>
      <c r="BL2086" s="2" t="s">
        <v>2210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9241</v>
      </c>
      <c r="BV2086" s="2" t="s">
        <v>231</v>
      </c>
      <c r="BW2086" s="2" t="s">
        <v>231</v>
      </c>
      <c r="BX2086" s="2" t="s">
        <v>231</v>
      </c>
      <c r="BY2086" s="2" t="s">
        <v>277</v>
      </c>
      <c r="BZ2086" s="2" t="s">
        <v>243</v>
      </c>
      <c r="CA2086" s="2" t="s">
        <v>3687</v>
      </c>
      <c r="CB2086" s="2" t="s">
        <v>3083</v>
      </c>
      <c r="CC2086" s="2" t="s">
        <v>244</v>
      </c>
      <c r="CD2086" s="2" t="s">
        <v>231</v>
      </c>
      <c r="CE2086" s="4">
        <v>142</v>
      </c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>
        <v>150</v>
      </c>
      <c r="GR2086" s="4"/>
      <c r="GS2086" s="4"/>
      <c r="GT2086" s="4"/>
      <c r="GU2086" s="4"/>
      <c r="GV2086" s="4"/>
      <c r="GW2086" s="4"/>
      <c r="GX2086" s="4"/>
      <c r="GY2086" s="4"/>
      <c r="GZ2086" s="4">
        <v>150</v>
      </c>
      <c r="HA2086" s="4"/>
      <c r="HB2086" s="4"/>
      <c r="HC2086" s="4"/>
      <c r="HD2086" s="4"/>
      <c r="HE2086" s="4"/>
      <c r="HF2086" s="4"/>
      <c r="HG2086" s="4"/>
      <c r="HH2086" s="4"/>
      <c r="HI2086" s="4"/>
      <c r="HJ2086" s="4"/>
      <c r="HK2086" s="4"/>
      <c r="HL2086" s="4"/>
    </row>
    <row r="2087">
      <c r="A2087" s="2" t="s">
        <v>9242</v>
      </c>
      <c r="B2087" s="2" t="s">
        <v>226</v>
      </c>
      <c r="C2087" s="2" t="s">
        <v>631</v>
      </c>
      <c r="D2087" s="2" t="s">
        <v>1549</v>
      </c>
      <c r="E2087" s="2" t="s">
        <v>3949</v>
      </c>
      <c r="F2087" s="2" t="s">
        <v>9235</v>
      </c>
      <c r="G2087" s="2" t="s">
        <v>9235</v>
      </c>
      <c r="H2087" s="2" t="s">
        <v>9235</v>
      </c>
      <c r="I2087" s="2" t="s">
        <v>9236</v>
      </c>
      <c r="J2087" s="2" t="s">
        <v>302</v>
      </c>
      <c r="K2087" s="2" t="s">
        <v>306</v>
      </c>
      <c r="L2087" s="3">
        <v>100</v>
      </c>
      <c r="M2087" s="3">
        <v>105</v>
      </c>
      <c r="N2087" s="3">
        <v>209.99</v>
      </c>
      <c r="O2087" s="2" t="s">
        <v>243</v>
      </c>
      <c r="P2087" s="2" t="s">
        <v>270</v>
      </c>
      <c r="Q2087" s="2" t="s">
        <v>237</v>
      </c>
      <c r="R2087" s="2" t="s">
        <v>231</v>
      </c>
      <c r="S2087" s="2" t="s">
        <v>9240</v>
      </c>
      <c r="T2087" s="2" t="s">
        <v>1630</v>
      </c>
      <c r="U2087" s="2" t="s">
        <v>327</v>
      </c>
      <c r="V2087" s="2" t="s">
        <v>239</v>
      </c>
      <c r="W2087" s="2" t="s">
        <v>273</v>
      </c>
      <c r="X2087" s="2" t="s">
        <v>231</v>
      </c>
      <c r="Y2087" s="2" t="s">
        <v>8467</v>
      </c>
      <c r="Z2087" s="4"/>
      <c r="AA2087" s="4">
        <f>=ROUNDDOWN({0},0)</f>
      </c>
      <c r="AB2087" s="5">
        <v>22</v>
      </c>
      <c r="AC2087" s="2" t="s">
        <v>1651</v>
      </c>
      <c r="AD2087" s="4">
        <v>340</v>
      </c>
      <c r="AE2087" s="4">
        <v>510</v>
      </c>
      <c r="AF2087" s="6">
        <v>65</v>
      </c>
      <c r="AG2087" s="6"/>
      <c r="AH2087" s="7">
        <v>0</v>
      </c>
      <c r="AI2087" s="4"/>
      <c r="AJ2087" s="4">
        <f>=ROUNDDOWN({0},0)</f>
      </c>
      <c r="AK2087" s="5"/>
      <c r="AL2087" s="2" t="s">
        <v>231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231</v>
      </c>
      <c r="AW2087" s="8" t="s">
        <v>231</v>
      </c>
      <c r="AX2087" s="4" t="s">
        <v>231</v>
      </c>
      <c r="AY2087" s="8" t="s">
        <v>231</v>
      </c>
      <c r="AZ2087" s="7" t="s">
        <v>231</v>
      </c>
      <c r="BA2087" s="7" t="s">
        <v>231</v>
      </c>
      <c r="BB2087" s="7"/>
      <c r="BC2087" s="4" t="s">
        <v>231</v>
      </c>
      <c r="BD2087" s="8" t="s">
        <v>231</v>
      </c>
      <c r="BE2087" s="4" t="s">
        <v>231</v>
      </c>
      <c r="BF2087" s="8" t="s">
        <v>231</v>
      </c>
      <c r="BG2087" s="7" t="s">
        <v>231</v>
      </c>
      <c r="BH2087" s="7" t="s">
        <v>231</v>
      </c>
      <c r="BI2087" s="7"/>
      <c r="BJ2087" s="4"/>
      <c r="BK2087" s="8"/>
      <c r="BL2087" s="2" t="s">
        <v>231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9243</v>
      </c>
      <c r="BV2087" s="2" t="s">
        <v>231</v>
      </c>
      <c r="BW2087" s="2" t="s">
        <v>231</v>
      </c>
      <c r="BX2087" s="2" t="s">
        <v>231</v>
      </c>
      <c r="BY2087" s="2" t="s">
        <v>277</v>
      </c>
      <c r="BZ2087" s="2" t="s">
        <v>243</v>
      </c>
      <c r="CA2087" s="2" t="s">
        <v>3687</v>
      </c>
      <c r="CB2087" s="2" t="s">
        <v>456</v>
      </c>
      <c r="CC2087" s="2" t="s">
        <v>244</v>
      </c>
      <c r="CD2087" s="2" t="s">
        <v>231</v>
      </c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>
        <v>340</v>
      </c>
      <c r="GR2087" s="4"/>
      <c r="GS2087" s="4"/>
      <c r="GT2087" s="4"/>
      <c r="GU2087" s="4"/>
      <c r="GV2087" s="4"/>
      <c r="GW2087" s="4"/>
      <c r="GX2087" s="4"/>
      <c r="GY2087" s="4"/>
      <c r="GZ2087" s="4">
        <v>170</v>
      </c>
      <c r="HA2087" s="4"/>
      <c r="HB2087" s="4"/>
      <c r="HC2087" s="4"/>
      <c r="HD2087" s="4"/>
      <c r="HE2087" s="4"/>
      <c r="HF2087" s="4"/>
      <c r="HG2087" s="4"/>
      <c r="HH2087" s="4"/>
      <c r="HI2087" s="4"/>
      <c r="HJ2087" s="4"/>
      <c r="HK2087" s="4"/>
      <c r="HL2087" s="4"/>
    </row>
    <row r="2088">
      <c r="A2088" s="2" t="s">
        <v>9244</v>
      </c>
      <c r="B2088" s="2" t="s">
        <v>226</v>
      </c>
      <c r="C2088" s="2" t="s">
        <v>631</v>
      </c>
      <c r="D2088" s="2" t="s">
        <v>1549</v>
      </c>
      <c r="E2088" s="2" t="s">
        <v>3949</v>
      </c>
      <c r="F2088" s="2" t="s">
        <v>9235</v>
      </c>
      <c r="G2088" s="2" t="s">
        <v>9235</v>
      </c>
      <c r="H2088" s="2" t="s">
        <v>9235</v>
      </c>
      <c r="I2088" s="2" t="s">
        <v>9236</v>
      </c>
      <c r="J2088" s="2" t="s">
        <v>302</v>
      </c>
      <c r="K2088" s="2" t="s">
        <v>452</v>
      </c>
      <c r="L2088" s="3">
        <v>100</v>
      </c>
      <c r="M2088" s="3">
        <v>105</v>
      </c>
      <c r="N2088" s="3">
        <v>209.99</v>
      </c>
      <c r="O2088" s="2" t="s">
        <v>243</v>
      </c>
      <c r="P2088" s="2" t="s">
        <v>270</v>
      </c>
      <c r="Q2088" s="2" t="s">
        <v>237</v>
      </c>
      <c r="R2088" s="2" t="s">
        <v>231</v>
      </c>
      <c r="S2088" s="2" t="s">
        <v>9245</v>
      </c>
      <c r="T2088" s="2" t="s">
        <v>1630</v>
      </c>
      <c r="U2088" s="2" t="s">
        <v>327</v>
      </c>
      <c r="V2088" s="2" t="s">
        <v>239</v>
      </c>
      <c r="W2088" s="2" t="s">
        <v>273</v>
      </c>
      <c r="X2088" s="2" t="s">
        <v>231</v>
      </c>
      <c r="Y2088" s="2" t="s">
        <v>8467</v>
      </c>
      <c r="Z2088" s="4">
        <v>1</v>
      </c>
      <c r="AA2088" s="4">
        <f>=ROUNDDOWN(0.0555555555555556,0)</f>
      </c>
      <c r="AB2088" s="5">
        <v>18</v>
      </c>
      <c r="AC2088" s="2" t="s">
        <v>1651</v>
      </c>
      <c r="AD2088" s="4">
        <v>300</v>
      </c>
      <c r="AE2088" s="4">
        <v>450</v>
      </c>
      <c r="AF2088" s="6">
        <v>65</v>
      </c>
      <c r="AG2088" s="6"/>
      <c r="AH2088" s="7">
        <v>0</v>
      </c>
      <c r="AI2088" s="4"/>
      <c r="AJ2088" s="4">
        <f>=ROUNDDOWN({0},0)</f>
      </c>
      <c r="AK2088" s="5"/>
      <c r="AL2088" s="2" t="s">
        <v>231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 t="s">
        <v>231</v>
      </c>
      <c r="BD2088" s="8" t="s">
        <v>231</v>
      </c>
      <c r="BE2088" s="4" t="s">
        <v>231</v>
      </c>
      <c r="BF2088" s="8" t="s">
        <v>231</v>
      </c>
      <c r="BG2088" s="7" t="s">
        <v>231</v>
      </c>
      <c r="BH2088" s="7" t="s">
        <v>231</v>
      </c>
      <c r="BI2088" s="7"/>
      <c r="BJ2088" s="4"/>
      <c r="BK2088" s="8"/>
      <c r="BL2088" s="2" t="s">
        <v>231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9246</v>
      </c>
      <c r="BV2088" s="2" t="s">
        <v>231</v>
      </c>
      <c r="BW2088" s="2" t="s">
        <v>231</v>
      </c>
      <c r="BX2088" s="2" t="s">
        <v>231</v>
      </c>
      <c r="BY2088" s="2" t="s">
        <v>277</v>
      </c>
      <c r="BZ2088" s="2" t="s">
        <v>243</v>
      </c>
      <c r="CA2088" s="2" t="s">
        <v>3687</v>
      </c>
      <c r="CB2088" s="2" t="s">
        <v>3896</v>
      </c>
      <c r="CC2088" s="2" t="s">
        <v>244</v>
      </c>
      <c r="CD2088" s="2" t="s">
        <v>231</v>
      </c>
      <c r="CE2088" s="4">
        <v>1</v>
      </c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>
        <v>300</v>
      </c>
      <c r="GR2088" s="4"/>
      <c r="GS2088" s="4"/>
      <c r="GT2088" s="4"/>
      <c r="GU2088" s="4"/>
      <c r="GV2088" s="4"/>
      <c r="GW2088" s="4"/>
      <c r="GX2088" s="4"/>
      <c r="GY2088" s="4"/>
      <c r="GZ2088" s="4">
        <v>150</v>
      </c>
      <c r="HA2088" s="4"/>
      <c r="HB2088" s="4"/>
      <c r="HC2088" s="4"/>
      <c r="HD2088" s="4"/>
      <c r="HE2088" s="4"/>
      <c r="HF2088" s="4"/>
      <c r="HG2088" s="4"/>
      <c r="HH2088" s="4"/>
      <c r="HI2088" s="4"/>
      <c r="HJ2088" s="4"/>
      <c r="HK2088" s="4"/>
      <c r="HL2088" s="4"/>
    </row>
    <row r="2089">
      <c r="A2089" s="2" t="s">
        <v>9247</v>
      </c>
      <c r="B2089" s="2" t="s">
        <v>847</v>
      </c>
      <c r="C2089" s="2" t="s">
        <v>288</v>
      </c>
      <c r="D2089" s="2" t="s">
        <v>882</v>
      </c>
      <c r="E2089" s="2" t="s">
        <v>2191</v>
      </c>
      <c r="F2089" s="2" t="s">
        <v>9248</v>
      </c>
      <c r="G2089" s="2" t="s">
        <v>9248</v>
      </c>
      <c r="H2089" s="2" t="s">
        <v>9248</v>
      </c>
      <c r="I2089" s="2" t="s">
        <v>9249</v>
      </c>
      <c r="J2089" s="2" t="s">
        <v>807</v>
      </c>
      <c r="K2089" s="2" t="s">
        <v>269</v>
      </c>
      <c r="L2089" s="3">
        <v>58.22</v>
      </c>
      <c r="M2089" s="3">
        <v>61.13</v>
      </c>
      <c r="N2089" s="3">
        <v>118.99</v>
      </c>
      <c r="O2089" s="2" t="s">
        <v>243</v>
      </c>
      <c r="P2089" s="2" t="s">
        <v>1985</v>
      </c>
      <c r="Q2089" s="2" t="s">
        <v>237</v>
      </c>
      <c r="R2089" s="2" t="s">
        <v>231</v>
      </c>
      <c r="S2089" s="2" t="s">
        <v>9250</v>
      </c>
      <c r="T2089" s="2" t="s">
        <v>231</v>
      </c>
      <c r="U2089" s="2" t="s">
        <v>661</v>
      </c>
      <c r="V2089" s="2" t="s">
        <v>836</v>
      </c>
      <c r="W2089" s="2" t="s">
        <v>691</v>
      </c>
      <c r="X2089" s="2" t="s">
        <v>231</v>
      </c>
      <c r="Y2089" s="2" t="s">
        <v>9251</v>
      </c>
      <c r="Z2089" s="4">
        <v>33</v>
      </c>
      <c r="AA2089" s="4">
        <f>=ROUNDDOWN(22,0)</f>
      </c>
      <c r="AB2089" s="5">
        <v>1.5</v>
      </c>
      <c r="AC2089" s="2" t="s">
        <v>231</v>
      </c>
      <c r="AD2089" s="4"/>
      <c r="AE2089" s="4"/>
      <c r="AF2089" s="6">
        <v>63</v>
      </c>
      <c r="AG2089" s="6"/>
      <c r="AH2089" s="7">
        <v>1</v>
      </c>
      <c r="AI2089" s="4"/>
      <c r="AJ2089" s="4">
        <f>=ROUNDDOWN({0},0)</f>
      </c>
      <c r="AK2089" s="5"/>
      <c r="AL2089" s="2" t="s">
        <v>231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7</v>
      </c>
      <c r="BK2089" s="8">
        <v>470.66</v>
      </c>
      <c r="BL2089" s="2" t="s">
        <v>9252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9253</v>
      </c>
      <c r="BV2089" s="2" t="s">
        <v>231</v>
      </c>
      <c r="BW2089" s="2" t="s">
        <v>231</v>
      </c>
      <c r="BX2089" s="2" t="s">
        <v>231</v>
      </c>
      <c r="BY2089" s="2" t="s">
        <v>277</v>
      </c>
      <c r="BZ2089" s="2" t="s">
        <v>243</v>
      </c>
      <c r="CA2089" s="2" t="s">
        <v>9254</v>
      </c>
      <c r="CB2089" s="2" t="s">
        <v>336</v>
      </c>
      <c r="CC2089" s="2" t="s">
        <v>244</v>
      </c>
      <c r="CD2089" s="2" t="s">
        <v>231</v>
      </c>
      <c r="CE2089" s="4"/>
      <c r="CF2089" s="4">
        <v>33</v>
      </c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  <c r="HG2089" s="4"/>
      <c r="HH2089" s="4"/>
      <c r="HI2089" s="4"/>
      <c r="HJ2089" s="4"/>
      <c r="HK2089" s="4"/>
      <c r="HL2089" s="4"/>
    </row>
    <row r="2090">
      <c r="A2090" s="2" t="s">
        <v>9255</v>
      </c>
      <c r="B2090" s="2" t="s">
        <v>1186</v>
      </c>
      <c r="C2090" s="2" t="s">
        <v>815</v>
      </c>
      <c r="D2090" s="2" t="s">
        <v>654</v>
      </c>
      <c r="E2090" s="2" t="s">
        <v>890</v>
      </c>
      <c r="F2090" s="2" t="s">
        <v>3494</v>
      </c>
      <c r="G2090" s="2" t="s">
        <v>3494</v>
      </c>
      <c r="H2090" s="2" t="s">
        <v>3494</v>
      </c>
      <c r="I2090" s="2" t="s">
        <v>9256</v>
      </c>
      <c r="J2090" s="2" t="s">
        <v>669</v>
      </c>
      <c r="K2090" s="2" t="s">
        <v>1967</v>
      </c>
      <c r="L2090" s="3">
        <v>74.29</v>
      </c>
      <c r="M2090" s="3">
        <v>78</v>
      </c>
      <c r="N2090" s="3">
        <v>159.99</v>
      </c>
      <c r="O2090" s="2" t="s">
        <v>243</v>
      </c>
      <c r="P2090" s="2" t="s">
        <v>270</v>
      </c>
      <c r="Q2090" s="2" t="s">
        <v>237</v>
      </c>
      <c r="R2090" s="2" t="s">
        <v>231</v>
      </c>
      <c r="S2090" s="2" t="s">
        <v>9257</v>
      </c>
      <c r="T2090" s="2" t="s">
        <v>362</v>
      </c>
      <c r="U2090" s="2" t="s">
        <v>835</v>
      </c>
      <c r="V2090" s="2" t="s">
        <v>3223</v>
      </c>
      <c r="W2090" s="2" t="s">
        <v>2541</v>
      </c>
      <c r="X2090" s="2" t="s">
        <v>896</v>
      </c>
      <c r="Y2090" s="2" t="s">
        <v>2683</v>
      </c>
      <c r="Z2090" s="4">
        <v>244</v>
      </c>
      <c r="AA2090" s="4">
        <f>=ROUNDDOWN(81.3333333333333,0)</f>
      </c>
      <c r="AB2090" s="5">
        <v>3</v>
      </c>
      <c r="AC2090" s="2" t="s">
        <v>231</v>
      </c>
      <c r="AD2090" s="4"/>
      <c r="AE2090" s="4"/>
      <c r="AF2090" s="6">
        <v>66</v>
      </c>
      <c r="AG2090" s="6"/>
      <c r="AH2090" s="7">
        <v>1</v>
      </c>
      <c r="AI2090" s="4"/>
      <c r="AJ2090" s="4">
        <f>=ROUNDDOWN({0},0)</f>
      </c>
      <c r="AK2090" s="5"/>
      <c r="AL2090" s="2" t="s">
        <v>231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231</v>
      </c>
      <c r="AW2090" s="8" t="s">
        <v>231</v>
      </c>
      <c r="AX2090" s="4" t="s">
        <v>231</v>
      </c>
      <c r="AY2090" s="8" t="s">
        <v>231</v>
      </c>
      <c r="AZ2090" s="7" t="s">
        <v>231</v>
      </c>
      <c r="BA2090" s="7" t="s">
        <v>231</v>
      </c>
      <c r="BB2090" s="7" t="s">
        <v>231</v>
      </c>
      <c r="BC2090" s="4" t="s">
        <v>231</v>
      </c>
      <c r="BD2090" s="8" t="s">
        <v>231</v>
      </c>
      <c r="BE2090" s="4" t="s">
        <v>231</v>
      </c>
      <c r="BF2090" s="8" t="s">
        <v>231</v>
      </c>
      <c r="BG2090" s="7" t="s">
        <v>231</v>
      </c>
      <c r="BH2090" s="7" t="s">
        <v>231</v>
      </c>
      <c r="BI2090" s="7"/>
      <c r="BJ2090" s="4">
        <v>1</v>
      </c>
      <c r="BK2090" s="8">
        <v>89.41</v>
      </c>
      <c r="BL2090" s="2" t="s">
        <v>1120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9258</v>
      </c>
      <c r="BV2090" s="2" t="s">
        <v>231</v>
      </c>
      <c r="BW2090" s="2" t="s">
        <v>231</v>
      </c>
      <c r="BX2090" s="2" t="s">
        <v>241</v>
      </c>
      <c r="BY2090" s="2" t="s">
        <v>277</v>
      </c>
      <c r="BZ2090" s="2" t="s">
        <v>243</v>
      </c>
      <c r="CA2090" s="2" t="s">
        <v>9259</v>
      </c>
      <c r="CB2090" s="2" t="s">
        <v>2703</v>
      </c>
      <c r="CC2090" s="2" t="s">
        <v>244</v>
      </c>
      <c r="CD2090" s="2" t="s">
        <v>231</v>
      </c>
      <c r="CE2090" s="4">
        <v>244</v>
      </c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  <c r="HG2090" s="4"/>
      <c r="HH2090" s="4"/>
      <c r="HI2090" s="4"/>
      <c r="HJ2090" s="4"/>
      <c r="HK2090" s="4"/>
      <c r="HL2090" s="4"/>
    </row>
    <row r="2091">
      <c r="A2091" s="2" t="s">
        <v>9260</v>
      </c>
      <c r="B2091" s="2" t="s">
        <v>1186</v>
      </c>
      <c r="C2091" s="2" t="s">
        <v>815</v>
      </c>
      <c r="D2091" s="2" t="s">
        <v>826</v>
      </c>
      <c r="E2091" s="2" t="s">
        <v>1060</v>
      </c>
      <c r="F2091" s="2" t="s">
        <v>3494</v>
      </c>
      <c r="G2091" s="2" t="s">
        <v>3494</v>
      </c>
      <c r="H2091" s="2" t="s">
        <v>3494</v>
      </c>
      <c r="I2091" s="2" t="s">
        <v>9261</v>
      </c>
      <c r="J2091" s="2" t="s">
        <v>669</v>
      </c>
      <c r="K2091" s="2" t="s">
        <v>1967</v>
      </c>
      <c r="L2091" s="3">
        <v>65.55</v>
      </c>
      <c r="M2091" s="3">
        <v>68.83</v>
      </c>
      <c r="N2091" s="3">
        <v>139.99</v>
      </c>
      <c r="O2091" s="2" t="s">
        <v>243</v>
      </c>
      <c r="P2091" s="2" t="s">
        <v>270</v>
      </c>
      <c r="Q2091" s="2" t="s">
        <v>237</v>
      </c>
      <c r="R2091" s="2" t="s">
        <v>231</v>
      </c>
      <c r="S2091" s="2" t="s">
        <v>9257</v>
      </c>
      <c r="T2091" s="2" t="s">
        <v>362</v>
      </c>
      <c r="U2091" s="2" t="s">
        <v>835</v>
      </c>
      <c r="V2091" s="2" t="s">
        <v>3223</v>
      </c>
      <c r="W2091" s="2" t="s">
        <v>2541</v>
      </c>
      <c r="X2091" s="2" t="s">
        <v>896</v>
      </c>
      <c r="Y2091" s="2" t="s">
        <v>2683</v>
      </c>
      <c r="Z2091" s="4">
        <v>163</v>
      </c>
      <c r="AA2091" s="4">
        <f>=ROUNDDOWN(40.75,0)</f>
      </c>
      <c r="AB2091" s="5">
        <v>4</v>
      </c>
      <c r="AC2091" s="2" t="s">
        <v>231</v>
      </c>
      <c r="AD2091" s="4"/>
      <c r="AE2091" s="4"/>
      <c r="AF2091" s="6">
        <v>66</v>
      </c>
      <c r="AG2091" s="6"/>
      <c r="AH2091" s="7">
        <v>1</v>
      </c>
      <c r="AI2091" s="4"/>
      <c r="AJ2091" s="4">
        <f>=ROUNDDOWN({0},0)</f>
      </c>
      <c r="AK2091" s="5"/>
      <c r="AL2091" s="2" t="s">
        <v>231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231</v>
      </c>
      <c r="AW2091" s="8" t="s">
        <v>231</v>
      </c>
      <c r="AX2091" s="4" t="s">
        <v>231</v>
      </c>
      <c r="AY2091" s="8" t="s">
        <v>231</v>
      </c>
      <c r="AZ2091" s="7" t="s">
        <v>231</v>
      </c>
      <c r="BA2091" s="7" t="s">
        <v>231</v>
      </c>
      <c r="BB2091" s="7" t="s">
        <v>231</v>
      </c>
      <c r="BC2091" s="4" t="s">
        <v>231</v>
      </c>
      <c r="BD2091" s="8" t="s">
        <v>231</v>
      </c>
      <c r="BE2091" s="4" t="s">
        <v>231</v>
      </c>
      <c r="BF2091" s="8" t="s">
        <v>231</v>
      </c>
      <c r="BG2091" s="7" t="s">
        <v>231</v>
      </c>
      <c r="BH2091" s="7" t="s">
        <v>231</v>
      </c>
      <c r="BI2091" s="7"/>
      <c r="BJ2091" s="4">
        <v>1</v>
      </c>
      <c r="BK2091" s="8">
        <v>73.8</v>
      </c>
      <c r="BL2091" s="2" t="s">
        <v>465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9262</v>
      </c>
      <c r="BV2091" s="2" t="s">
        <v>231</v>
      </c>
      <c r="BW2091" s="2" t="s">
        <v>231</v>
      </c>
      <c r="BX2091" s="2" t="s">
        <v>241</v>
      </c>
      <c r="BY2091" s="2" t="s">
        <v>277</v>
      </c>
      <c r="BZ2091" s="2" t="s">
        <v>243</v>
      </c>
      <c r="CA2091" s="2" t="s">
        <v>7141</v>
      </c>
      <c r="CB2091" s="2" t="s">
        <v>231</v>
      </c>
      <c r="CC2091" s="2" t="s">
        <v>244</v>
      </c>
      <c r="CD2091" s="2" t="s">
        <v>231</v>
      </c>
      <c r="CE2091" s="4">
        <v>163</v>
      </c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4"/>
      <c r="HH2091" s="4"/>
      <c r="HI2091" s="4"/>
      <c r="HJ2091" s="4"/>
      <c r="HK2091" s="4"/>
      <c r="HL2091" s="4"/>
    </row>
    <row r="2092">
      <c r="A2092" s="2" t="s">
        <v>9263</v>
      </c>
      <c r="B2092" s="2" t="s">
        <v>992</v>
      </c>
      <c r="C2092" s="2" t="s">
        <v>815</v>
      </c>
      <c r="D2092" s="2" t="s">
        <v>993</v>
      </c>
      <c r="E2092" s="2" t="s">
        <v>994</v>
      </c>
      <c r="F2092" s="2" t="s">
        <v>3494</v>
      </c>
      <c r="G2092" s="2" t="s">
        <v>3494</v>
      </c>
      <c r="H2092" s="2" t="s">
        <v>3494</v>
      </c>
      <c r="I2092" s="2" t="s">
        <v>9264</v>
      </c>
      <c r="J2092" s="2" t="s">
        <v>996</v>
      </c>
      <c r="K2092" s="2" t="s">
        <v>234</v>
      </c>
      <c r="L2092" s="3">
        <v>22.5</v>
      </c>
      <c r="M2092" s="3">
        <v>23.62</v>
      </c>
      <c r="N2092" s="3">
        <v>49.99</v>
      </c>
      <c r="O2092" s="2" t="s">
        <v>243</v>
      </c>
      <c r="P2092" s="2" t="s">
        <v>341</v>
      </c>
      <c r="Q2092" s="2" t="s">
        <v>237</v>
      </c>
      <c r="R2092" s="2" t="s">
        <v>231</v>
      </c>
      <c r="S2092" s="2" t="s">
        <v>9265</v>
      </c>
      <c r="T2092" s="2" t="s">
        <v>362</v>
      </c>
      <c r="U2092" s="2" t="s">
        <v>327</v>
      </c>
      <c r="V2092" s="2" t="s">
        <v>5672</v>
      </c>
      <c r="W2092" s="2" t="s">
        <v>2541</v>
      </c>
      <c r="X2092" s="2" t="s">
        <v>1520</v>
      </c>
      <c r="Y2092" s="2" t="s">
        <v>3799</v>
      </c>
      <c r="Z2092" s="4">
        <v>78</v>
      </c>
      <c r="AA2092" s="4">
        <f>=ROUNDDOWN(14.1818181818182,0)</f>
      </c>
      <c r="AB2092" s="5">
        <v>5.5</v>
      </c>
      <c r="AC2092" s="2" t="s">
        <v>231</v>
      </c>
      <c r="AD2092" s="4"/>
      <c r="AE2092" s="4"/>
      <c r="AF2092" s="6">
        <v>68</v>
      </c>
      <c r="AG2092" s="6"/>
      <c r="AH2092" s="7">
        <v>1</v>
      </c>
      <c r="AI2092" s="4"/>
      <c r="AJ2092" s="4">
        <f>=ROUNDDOWN({0},0)</f>
      </c>
      <c r="AK2092" s="5"/>
      <c r="AL2092" s="2" t="s">
        <v>231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231</v>
      </c>
      <c r="BD2092" s="8" t="s">
        <v>231</v>
      </c>
      <c r="BE2092" s="4" t="s">
        <v>231</v>
      </c>
      <c r="BF2092" s="8" t="s">
        <v>231</v>
      </c>
      <c r="BG2092" s="7" t="s">
        <v>231</v>
      </c>
      <c r="BH2092" s="7" t="s">
        <v>231</v>
      </c>
      <c r="BI2092" s="7"/>
      <c r="BJ2092" s="4">
        <v>21</v>
      </c>
      <c r="BK2092" s="8">
        <v>677.51</v>
      </c>
      <c r="BL2092" s="2" t="s">
        <v>9266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9267</v>
      </c>
      <c r="BV2092" s="2" t="s">
        <v>231</v>
      </c>
      <c r="BW2092" s="2" t="s">
        <v>231</v>
      </c>
      <c r="BX2092" s="2" t="s">
        <v>5538</v>
      </c>
      <c r="BY2092" s="2" t="s">
        <v>277</v>
      </c>
      <c r="BZ2092" s="2" t="s">
        <v>243</v>
      </c>
      <c r="CA2092" s="2" t="s">
        <v>845</v>
      </c>
      <c r="CB2092" s="2" t="s">
        <v>9268</v>
      </c>
      <c r="CC2092" s="2" t="s">
        <v>244</v>
      </c>
      <c r="CD2092" s="2" t="s">
        <v>231</v>
      </c>
      <c r="CE2092" s="4">
        <v>78</v>
      </c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  <c r="HG2092" s="4"/>
      <c r="HH2092" s="4"/>
      <c r="HI2092" s="4"/>
      <c r="HJ2092" s="4"/>
      <c r="HK2092" s="4"/>
      <c r="HL2092" s="4"/>
    </row>
    <row r="2093">
      <c r="A2093" s="2" t="s">
        <v>9269</v>
      </c>
      <c r="B2093" s="2" t="s">
        <v>1186</v>
      </c>
      <c r="C2093" s="2" t="s">
        <v>815</v>
      </c>
      <c r="D2093" s="2" t="s">
        <v>826</v>
      </c>
      <c r="E2093" s="2" t="s">
        <v>1060</v>
      </c>
      <c r="F2093" s="2" t="s">
        <v>9270</v>
      </c>
      <c r="G2093" s="2" t="s">
        <v>9270</v>
      </c>
      <c r="H2093" s="2" t="s">
        <v>9270</v>
      </c>
      <c r="I2093" s="2" t="s">
        <v>9271</v>
      </c>
      <c r="J2093" s="2" t="s">
        <v>658</v>
      </c>
      <c r="K2093" s="2" t="s">
        <v>234</v>
      </c>
      <c r="L2093" s="3">
        <v>49.35</v>
      </c>
      <c r="M2093" s="3">
        <v>51.81</v>
      </c>
      <c r="N2093" s="3">
        <v>104.99</v>
      </c>
      <c r="O2093" s="2" t="s">
        <v>250</v>
      </c>
      <c r="P2093" s="2" t="s">
        <v>341</v>
      </c>
      <c r="Q2093" s="2" t="s">
        <v>237</v>
      </c>
      <c r="R2093" s="2" t="s">
        <v>231</v>
      </c>
      <c r="S2093" s="2" t="s">
        <v>9272</v>
      </c>
      <c r="T2093" s="2" t="s">
        <v>362</v>
      </c>
      <c r="U2093" s="2" t="s">
        <v>835</v>
      </c>
      <c r="V2093" s="2" t="s">
        <v>1890</v>
      </c>
      <c r="W2093" s="2" t="s">
        <v>2897</v>
      </c>
      <c r="X2093" s="2" t="s">
        <v>896</v>
      </c>
      <c r="Y2093" s="2" t="s">
        <v>240</v>
      </c>
      <c r="Z2093" s="4">
        <v>126</v>
      </c>
      <c r="AA2093" s="4">
        <f>=ROUNDDOWN(74.1176470588235,0)</f>
      </c>
      <c r="AB2093" s="5">
        <v>1.7</v>
      </c>
      <c r="AC2093" s="2" t="s">
        <v>231</v>
      </c>
      <c r="AD2093" s="4"/>
      <c r="AE2093" s="4"/>
      <c r="AF2093" s="6">
        <v>67</v>
      </c>
      <c r="AG2093" s="6"/>
      <c r="AH2093" s="7">
        <v>1</v>
      </c>
      <c r="AI2093" s="4"/>
      <c r="AJ2093" s="4">
        <f>=ROUNDDOWN({0},0)</f>
      </c>
      <c r="AK2093" s="5"/>
      <c r="AL2093" s="2" t="s">
        <v>231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/>
      <c r="BD2093" s="8"/>
      <c r="BE2093" s="4"/>
      <c r="BF2093" s="8"/>
      <c r="BG2093" s="7"/>
      <c r="BH2093" s="7"/>
      <c r="BI2093" s="7"/>
      <c r="BJ2093" s="4">
        <v>8</v>
      </c>
      <c r="BK2093" s="8">
        <v>230.2</v>
      </c>
      <c r="BL2093" s="2" t="s">
        <v>619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9273</v>
      </c>
      <c r="BV2093" s="2" t="s">
        <v>231</v>
      </c>
      <c r="BW2093" s="2" t="s">
        <v>231</v>
      </c>
      <c r="BX2093" s="2" t="s">
        <v>231</v>
      </c>
      <c r="BY2093" s="2" t="s">
        <v>277</v>
      </c>
      <c r="BZ2093" s="2" t="s">
        <v>243</v>
      </c>
      <c r="CA2093" s="2" t="s">
        <v>3146</v>
      </c>
      <c r="CB2093" s="2" t="s">
        <v>9274</v>
      </c>
      <c r="CC2093" s="2" t="s">
        <v>244</v>
      </c>
      <c r="CD2093" s="2" t="s">
        <v>231</v>
      </c>
      <c r="CE2093" s="4">
        <v>126</v>
      </c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  <c r="HG2093" s="4"/>
      <c r="HH2093" s="4"/>
      <c r="HI2093" s="4"/>
      <c r="HJ2093" s="4"/>
      <c r="HK2093" s="4"/>
      <c r="HL2093" s="4"/>
    </row>
    <row r="2094">
      <c r="A2094" s="2" t="s">
        <v>9275</v>
      </c>
      <c r="B2094" s="2" t="s">
        <v>1004</v>
      </c>
      <c r="C2094" s="2" t="s">
        <v>815</v>
      </c>
      <c r="D2094" s="2" t="s">
        <v>1837</v>
      </c>
      <c r="E2094" s="2" t="s">
        <v>1838</v>
      </c>
      <c r="F2094" s="2" t="s">
        <v>9276</v>
      </c>
      <c r="G2094" s="2" t="s">
        <v>231</v>
      </c>
      <c r="H2094" s="2" t="s">
        <v>231</v>
      </c>
      <c r="I2094" s="2" t="s">
        <v>1838</v>
      </c>
      <c r="J2094" s="2" t="s">
        <v>807</v>
      </c>
      <c r="K2094" s="2" t="s">
        <v>319</v>
      </c>
      <c r="L2094" s="3">
        <v>99.75</v>
      </c>
      <c r="M2094" s="3">
        <v>104.74</v>
      </c>
      <c r="N2094" s="3">
        <v>199.99</v>
      </c>
      <c r="O2094" s="2" t="s">
        <v>235</v>
      </c>
      <c r="P2094" s="2" t="s">
        <v>341</v>
      </c>
      <c r="Q2094" s="2" t="s">
        <v>237</v>
      </c>
      <c r="R2094" s="2" t="s">
        <v>231</v>
      </c>
      <c r="S2094" s="2" t="s">
        <v>9277</v>
      </c>
      <c r="T2094" s="2" t="s">
        <v>231</v>
      </c>
      <c r="U2094" s="2" t="s">
        <v>231</v>
      </c>
      <c r="V2094" s="2" t="s">
        <v>239</v>
      </c>
      <c r="W2094" s="2" t="s">
        <v>691</v>
      </c>
      <c r="X2094" s="2" t="s">
        <v>231</v>
      </c>
      <c r="Y2094" s="2" t="s">
        <v>274</v>
      </c>
      <c r="Z2094" s="4">
        <v>76</v>
      </c>
      <c r="AA2094" s="4">
        <f>=ROUNDDOWN(126.666666666667,0)</f>
      </c>
      <c r="AB2094" s="5">
        <v>0.6</v>
      </c>
      <c r="AC2094" s="2" t="s">
        <v>231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231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/>
      <c r="BD2094" s="8"/>
      <c r="BE2094" s="4"/>
      <c r="BF2094" s="8"/>
      <c r="BG2094" s="7"/>
      <c r="BH2094" s="7"/>
      <c r="BI2094" s="7"/>
      <c r="BJ2094" s="4">
        <v>3</v>
      </c>
      <c r="BK2094" s="8">
        <v>192.48</v>
      </c>
      <c r="BL2094" s="2" t="s">
        <v>2343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9278</v>
      </c>
      <c r="BV2094" s="2" t="s">
        <v>231</v>
      </c>
      <c r="BW2094" s="2" t="s">
        <v>231</v>
      </c>
      <c r="BX2094" s="2" t="s">
        <v>231</v>
      </c>
      <c r="BY2094" s="2" t="s">
        <v>277</v>
      </c>
      <c r="BZ2094" s="2" t="s">
        <v>243</v>
      </c>
      <c r="CA2094" s="2" t="s">
        <v>7822</v>
      </c>
      <c r="CB2094" s="2" t="s">
        <v>336</v>
      </c>
      <c r="CC2094" s="2" t="s">
        <v>244</v>
      </c>
      <c r="CD2094" s="2" t="s">
        <v>231</v>
      </c>
      <c r="CE2094" s="4"/>
      <c r="CF2094" s="4">
        <v>76</v>
      </c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  <c r="HG2094" s="4"/>
      <c r="HH2094" s="4"/>
      <c r="HI2094" s="4"/>
      <c r="HJ2094" s="4"/>
      <c r="HK2094" s="4"/>
      <c r="HL2094" s="4"/>
    </row>
    <row r="2095">
      <c r="A2095" s="2" t="s">
        <v>9279</v>
      </c>
      <c r="B2095" s="2" t="s">
        <v>1186</v>
      </c>
      <c r="C2095" s="2" t="s">
        <v>1017</v>
      </c>
      <c r="D2095" s="2" t="s">
        <v>9280</v>
      </c>
      <c r="E2095" s="2" t="s">
        <v>1463</v>
      </c>
      <c r="F2095" s="2" t="s">
        <v>9281</v>
      </c>
      <c r="G2095" s="2" t="s">
        <v>9282</v>
      </c>
      <c r="H2095" s="2" t="s">
        <v>9283</v>
      </c>
      <c r="I2095" s="2" t="s">
        <v>9284</v>
      </c>
      <c r="J2095" s="2" t="s">
        <v>832</v>
      </c>
      <c r="K2095" s="2" t="s">
        <v>234</v>
      </c>
      <c r="L2095" s="3">
        <v>21.42</v>
      </c>
      <c r="M2095" s="3">
        <v>22.49</v>
      </c>
      <c r="N2095" s="3">
        <v>49.99</v>
      </c>
      <c r="O2095" s="2" t="s">
        <v>243</v>
      </c>
      <c r="P2095" s="2" t="s">
        <v>295</v>
      </c>
      <c r="Q2095" s="2" t="s">
        <v>237</v>
      </c>
      <c r="R2095" s="2" t="s">
        <v>231</v>
      </c>
      <c r="S2095" s="2" t="s">
        <v>9285</v>
      </c>
      <c r="T2095" s="2" t="s">
        <v>1432</v>
      </c>
      <c r="U2095" s="2" t="s">
        <v>791</v>
      </c>
      <c r="V2095" s="2" t="s">
        <v>239</v>
      </c>
      <c r="W2095" s="2" t="s">
        <v>273</v>
      </c>
      <c r="X2095" s="2" t="s">
        <v>691</v>
      </c>
      <c r="Y2095" s="2" t="s">
        <v>231</v>
      </c>
      <c r="Z2095" s="4"/>
      <c r="AA2095" s="4">
        <f>=ROUNDDOWN({0},0)</f>
      </c>
      <c r="AB2095" s="5"/>
      <c r="AC2095" s="2" t="s">
        <v>477</v>
      </c>
      <c r="AD2095" s="4">
        <v>87</v>
      </c>
      <c r="AE2095" s="4">
        <v>201</v>
      </c>
      <c r="AF2095" s="6"/>
      <c r="AG2095" s="6"/>
      <c r="AH2095" s="7">
        <v>0</v>
      </c>
      <c r="AI2095" s="4"/>
      <c r="AJ2095" s="4">
        <f>=ROUNDDOWN({0},0)</f>
      </c>
      <c r="AK2095" s="5"/>
      <c r="AL2095" s="2" t="s">
        <v>231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231</v>
      </c>
      <c r="AW2095" s="8" t="s">
        <v>231</v>
      </c>
      <c r="AX2095" s="4" t="s">
        <v>231</v>
      </c>
      <c r="AY2095" s="8" t="s">
        <v>231</v>
      </c>
      <c r="AZ2095" s="7" t="s">
        <v>231</v>
      </c>
      <c r="BA2095" s="7" t="s">
        <v>231</v>
      </c>
      <c r="BB2095" s="7"/>
      <c r="BC2095" s="4" t="s">
        <v>231</v>
      </c>
      <c r="BD2095" s="8" t="s">
        <v>231</v>
      </c>
      <c r="BE2095" s="4" t="s">
        <v>231</v>
      </c>
      <c r="BF2095" s="8" t="s">
        <v>231</v>
      </c>
      <c r="BG2095" s="7" t="s">
        <v>231</v>
      </c>
      <c r="BH2095" s="7" t="s">
        <v>231</v>
      </c>
      <c r="BI2095" s="7"/>
      <c r="BJ2095" s="4"/>
      <c r="BK2095" s="8"/>
      <c r="BL2095" s="2" t="s">
        <v>231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241</v>
      </c>
      <c r="BV2095" s="2" t="s">
        <v>231</v>
      </c>
      <c r="BW2095" s="2" t="s">
        <v>231</v>
      </c>
      <c r="BX2095" s="2" t="s">
        <v>2109</v>
      </c>
      <c r="BY2095" s="2" t="s">
        <v>242</v>
      </c>
      <c r="BZ2095" s="2" t="s">
        <v>243</v>
      </c>
      <c r="CA2095" s="2" t="s">
        <v>231</v>
      </c>
      <c r="CB2095" s="2" t="s">
        <v>231</v>
      </c>
      <c r="CC2095" s="2" t="s">
        <v>244</v>
      </c>
      <c r="CD2095" s="2" t="s">
        <v>231</v>
      </c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>
        <v>87</v>
      </c>
      <c r="DT2095" s="4"/>
      <c r="DU2095" s="4"/>
      <c r="DV2095" s="4"/>
      <c r="DW2095" s="4"/>
      <c r="DX2095" s="4"/>
      <c r="DY2095" s="4"/>
      <c r="DZ2095" s="4"/>
      <c r="EA2095" s="4"/>
      <c r="EB2095" s="4">
        <v>60</v>
      </c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>
        <v>15</v>
      </c>
      <c r="EX2095" s="4"/>
      <c r="EY2095" s="4">
        <v>39</v>
      </c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4"/>
      <c r="HH2095" s="4"/>
      <c r="HI2095" s="4"/>
      <c r="HJ2095" s="4"/>
      <c r="HK2095" s="4"/>
      <c r="HL2095" s="4"/>
    </row>
    <row r="2096">
      <c r="A2096" s="2" t="s">
        <v>9286</v>
      </c>
      <c r="B2096" s="2" t="s">
        <v>1186</v>
      </c>
      <c r="C2096" s="2" t="s">
        <v>1017</v>
      </c>
      <c r="D2096" s="2" t="s">
        <v>9280</v>
      </c>
      <c r="E2096" s="2" t="s">
        <v>1463</v>
      </c>
      <c r="F2096" s="2" t="s">
        <v>9281</v>
      </c>
      <c r="G2096" s="2" t="s">
        <v>9282</v>
      </c>
      <c r="H2096" s="2" t="s">
        <v>9283</v>
      </c>
      <c r="I2096" s="2" t="s">
        <v>9284</v>
      </c>
      <c r="J2096" s="2" t="s">
        <v>658</v>
      </c>
      <c r="K2096" s="2" t="s">
        <v>234</v>
      </c>
      <c r="L2096" s="3">
        <v>26.19</v>
      </c>
      <c r="M2096" s="3">
        <v>27.5</v>
      </c>
      <c r="N2096" s="3">
        <v>54.99</v>
      </c>
      <c r="O2096" s="2" t="s">
        <v>243</v>
      </c>
      <c r="P2096" s="2" t="s">
        <v>295</v>
      </c>
      <c r="Q2096" s="2" t="s">
        <v>237</v>
      </c>
      <c r="R2096" s="2" t="s">
        <v>231</v>
      </c>
      <c r="S2096" s="2" t="s">
        <v>9285</v>
      </c>
      <c r="T2096" s="2" t="s">
        <v>1432</v>
      </c>
      <c r="U2096" s="2" t="s">
        <v>835</v>
      </c>
      <c r="V2096" s="2" t="s">
        <v>239</v>
      </c>
      <c r="W2096" s="2" t="s">
        <v>273</v>
      </c>
      <c r="X2096" s="2" t="s">
        <v>691</v>
      </c>
      <c r="Y2096" s="2" t="s">
        <v>231</v>
      </c>
      <c r="Z2096" s="4"/>
      <c r="AA2096" s="4">
        <f>=ROUNDDOWN({0},0)</f>
      </c>
      <c r="AB2096" s="5"/>
      <c r="AC2096" s="2" t="s">
        <v>477</v>
      </c>
      <c r="AD2096" s="4">
        <v>276</v>
      </c>
      <c r="AE2096" s="4">
        <v>666</v>
      </c>
      <c r="AF2096" s="6"/>
      <c r="AG2096" s="6"/>
      <c r="AH2096" s="7">
        <v>0</v>
      </c>
      <c r="AI2096" s="4"/>
      <c r="AJ2096" s="4">
        <f>=ROUNDDOWN({0},0)</f>
      </c>
      <c r="AK2096" s="5"/>
      <c r="AL2096" s="2" t="s">
        <v>231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231</v>
      </c>
      <c r="AW2096" s="8" t="s">
        <v>231</v>
      </c>
      <c r="AX2096" s="4" t="s">
        <v>231</v>
      </c>
      <c r="AY2096" s="8" t="s">
        <v>231</v>
      </c>
      <c r="AZ2096" s="7" t="s">
        <v>231</v>
      </c>
      <c r="BA2096" s="7" t="s">
        <v>231</v>
      </c>
      <c r="BB2096" s="7"/>
      <c r="BC2096" s="4" t="s">
        <v>231</v>
      </c>
      <c r="BD2096" s="8" t="s">
        <v>231</v>
      </c>
      <c r="BE2096" s="4" t="s">
        <v>231</v>
      </c>
      <c r="BF2096" s="8" t="s">
        <v>231</v>
      </c>
      <c r="BG2096" s="7" t="s">
        <v>231</v>
      </c>
      <c r="BH2096" s="7" t="s">
        <v>231</v>
      </c>
      <c r="BI2096" s="7"/>
      <c r="BJ2096" s="4"/>
      <c r="BK2096" s="8"/>
      <c r="BL2096" s="2" t="s">
        <v>231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241</v>
      </c>
      <c r="BV2096" s="2" t="s">
        <v>231</v>
      </c>
      <c r="BW2096" s="2" t="s">
        <v>231</v>
      </c>
      <c r="BX2096" s="2" t="s">
        <v>2109</v>
      </c>
      <c r="BY2096" s="2" t="s">
        <v>242</v>
      </c>
      <c r="BZ2096" s="2" t="s">
        <v>243</v>
      </c>
      <c r="CA2096" s="2" t="s">
        <v>231</v>
      </c>
      <c r="CB2096" s="2" t="s">
        <v>231</v>
      </c>
      <c r="CC2096" s="2" t="s">
        <v>244</v>
      </c>
      <c r="CD2096" s="2" t="s">
        <v>231</v>
      </c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>
        <v>276</v>
      </c>
      <c r="DT2096" s="4"/>
      <c r="DU2096" s="4"/>
      <c r="DV2096" s="4"/>
      <c r="DW2096" s="4"/>
      <c r="DX2096" s="4"/>
      <c r="DY2096" s="4"/>
      <c r="DZ2096" s="4"/>
      <c r="EA2096" s="4"/>
      <c r="EB2096" s="4">
        <v>204</v>
      </c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>
        <v>57</v>
      </c>
      <c r="EX2096" s="4"/>
      <c r="EY2096" s="4">
        <v>129</v>
      </c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4"/>
      <c r="HH2096" s="4"/>
      <c r="HI2096" s="4"/>
      <c r="HJ2096" s="4"/>
      <c r="HK2096" s="4"/>
      <c r="HL2096" s="4"/>
    </row>
    <row r="2097">
      <c r="A2097" s="2" t="s">
        <v>9287</v>
      </c>
      <c r="B2097" s="2" t="s">
        <v>1186</v>
      </c>
      <c r="C2097" s="2" t="s">
        <v>1017</v>
      </c>
      <c r="D2097" s="2" t="s">
        <v>9280</v>
      </c>
      <c r="E2097" s="2" t="s">
        <v>1463</v>
      </c>
      <c r="F2097" s="2" t="s">
        <v>9281</v>
      </c>
      <c r="G2097" s="2" t="s">
        <v>9282</v>
      </c>
      <c r="H2097" s="2" t="s">
        <v>9283</v>
      </c>
      <c r="I2097" s="2" t="s">
        <v>9284</v>
      </c>
      <c r="J2097" s="2" t="s">
        <v>669</v>
      </c>
      <c r="K2097" s="2" t="s">
        <v>234</v>
      </c>
      <c r="L2097" s="3">
        <v>28.57</v>
      </c>
      <c r="M2097" s="3">
        <v>30</v>
      </c>
      <c r="N2097" s="3">
        <v>59.99</v>
      </c>
      <c r="O2097" s="2" t="s">
        <v>243</v>
      </c>
      <c r="P2097" s="2" t="s">
        <v>295</v>
      </c>
      <c r="Q2097" s="2" t="s">
        <v>237</v>
      </c>
      <c r="R2097" s="2" t="s">
        <v>231</v>
      </c>
      <c r="S2097" s="2" t="s">
        <v>9285</v>
      </c>
      <c r="T2097" s="2" t="s">
        <v>1432</v>
      </c>
      <c r="U2097" s="2" t="s">
        <v>835</v>
      </c>
      <c r="V2097" s="2" t="s">
        <v>239</v>
      </c>
      <c r="W2097" s="2" t="s">
        <v>273</v>
      </c>
      <c r="X2097" s="2" t="s">
        <v>691</v>
      </c>
      <c r="Y2097" s="2" t="s">
        <v>231</v>
      </c>
      <c r="Z2097" s="4"/>
      <c r="AA2097" s="4">
        <f>=ROUNDDOWN({0},0)</f>
      </c>
      <c r="AB2097" s="5"/>
      <c r="AC2097" s="2" t="s">
        <v>477</v>
      </c>
      <c r="AD2097" s="4">
        <v>243</v>
      </c>
      <c r="AE2097" s="4">
        <v>606</v>
      </c>
      <c r="AF2097" s="6"/>
      <c r="AG2097" s="6"/>
      <c r="AH2097" s="7">
        <v>0</v>
      </c>
      <c r="AI2097" s="4"/>
      <c r="AJ2097" s="4">
        <f>=ROUNDDOWN({0},0)</f>
      </c>
      <c r="AK2097" s="5"/>
      <c r="AL2097" s="2" t="s">
        <v>231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231</v>
      </c>
      <c r="AW2097" s="8" t="s">
        <v>231</v>
      </c>
      <c r="AX2097" s="4" t="s">
        <v>231</v>
      </c>
      <c r="AY2097" s="8" t="s">
        <v>231</v>
      </c>
      <c r="AZ2097" s="7" t="s">
        <v>231</v>
      </c>
      <c r="BA2097" s="7" t="s">
        <v>231</v>
      </c>
      <c r="BB2097" s="7"/>
      <c r="BC2097" s="4" t="s">
        <v>231</v>
      </c>
      <c r="BD2097" s="8" t="s">
        <v>231</v>
      </c>
      <c r="BE2097" s="4" t="s">
        <v>231</v>
      </c>
      <c r="BF2097" s="8" t="s">
        <v>231</v>
      </c>
      <c r="BG2097" s="7" t="s">
        <v>231</v>
      </c>
      <c r="BH2097" s="7" t="s">
        <v>231</v>
      </c>
      <c r="BI2097" s="7"/>
      <c r="BJ2097" s="4"/>
      <c r="BK2097" s="8"/>
      <c r="BL2097" s="2" t="s">
        <v>231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241</v>
      </c>
      <c r="BV2097" s="2" t="s">
        <v>231</v>
      </c>
      <c r="BW2097" s="2" t="s">
        <v>231</v>
      </c>
      <c r="BX2097" s="2" t="s">
        <v>2109</v>
      </c>
      <c r="BY2097" s="2" t="s">
        <v>242</v>
      </c>
      <c r="BZ2097" s="2" t="s">
        <v>243</v>
      </c>
      <c r="CA2097" s="2" t="s">
        <v>231</v>
      </c>
      <c r="CB2097" s="2" t="s">
        <v>231</v>
      </c>
      <c r="CC2097" s="2" t="s">
        <v>244</v>
      </c>
      <c r="CD2097" s="2" t="s">
        <v>231</v>
      </c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>
        <v>243</v>
      </c>
      <c r="DT2097" s="4"/>
      <c r="DU2097" s="4"/>
      <c r="DV2097" s="4"/>
      <c r="DW2097" s="4"/>
      <c r="DX2097" s="4"/>
      <c r="DY2097" s="4"/>
      <c r="DZ2097" s="4"/>
      <c r="EA2097" s="4"/>
      <c r="EB2097" s="4">
        <v>192</v>
      </c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>
        <v>51</v>
      </c>
      <c r="EX2097" s="4"/>
      <c r="EY2097" s="4">
        <v>120</v>
      </c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  <c r="HG2097" s="4"/>
      <c r="HH2097" s="4"/>
      <c r="HI2097" s="4"/>
      <c r="HJ2097" s="4"/>
      <c r="HK2097" s="4"/>
      <c r="HL2097" s="4"/>
    </row>
    <row r="2098">
      <c r="A2098" s="2" t="s">
        <v>9288</v>
      </c>
      <c r="B2098" s="2" t="s">
        <v>1186</v>
      </c>
      <c r="C2098" s="2" t="s">
        <v>1017</v>
      </c>
      <c r="D2098" s="2" t="s">
        <v>9280</v>
      </c>
      <c r="E2098" s="2" t="s">
        <v>1463</v>
      </c>
      <c r="F2098" s="2" t="s">
        <v>9281</v>
      </c>
      <c r="G2098" s="2" t="s">
        <v>9282</v>
      </c>
      <c r="H2098" s="2" t="s">
        <v>9283</v>
      </c>
      <c r="I2098" s="2" t="s">
        <v>9284</v>
      </c>
      <c r="J2098" s="2" t="s">
        <v>832</v>
      </c>
      <c r="K2098" s="2" t="s">
        <v>1491</v>
      </c>
      <c r="L2098" s="3">
        <v>21.42</v>
      </c>
      <c r="M2098" s="3">
        <v>22.49</v>
      </c>
      <c r="N2098" s="3">
        <v>49.99</v>
      </c>
      <c r="O2098" s="2" t="s">
        <v>243</v>
      </c>
      <c r="P2098" s="2" t="s">
        <v>295</v>
      </c>
      <c r="Q2098" s="2" t="s">
        <v>237</v>
      </c>
      <c r="R2098" s="2" t="s">
        <v>231</v>
      </c>
      <c r="S2098" s="2" t="s">
        <v>9289</v>
      </c>
      <c r="T2098" s="2" t="s">
        <v>1432</v>
      </c>
      <c r="U2098" s="2" t="s">
        <v>791</v>
      </c>
      <c r="V2098" s="2" t="s">
        <v>239</v>
      </c>
      <c r="W2098" s="2" t="s">
        <v>273</v>
      </c>
      <c r="X2098" s="2" t="s">
        <v>691</v>
      </c>
      <c r="Y2098" s="2" t="s">
        <v>231</v>
      </c>
      <c r="Z2098" s="4"/>
      <c r="AA2098" s="4">
        <f>=ROUNDDOWN({0},0)</f>
      </c>
      <c r="AB2098" s="5"/>
      <c r="AC2098" s="2" t="s">
        <v>477</v>
      </c>
      <c r="AD2098" s="4">
        <v>135</v>
      </c>
      <c r="AE2098" s="4">
        <v>339</v>
      </c>
      <c r="AF2098" s="6"/>
      <c r="AG2098" s="6"/>
      <c r="AH2098" s="7">
        <v>0</v>
      </c>
      <c r="AI2098" s="4"/>
      <c r="AJ2098" s="4">
        <f>=ROUNDDOWN({0},0)</f>
      </c>
      <c r="AK2098" s="5"/>
      <c r="AL2098" s="2" t="s">
        <v>231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231</v>
      </c>
      <c r="AW2098" s="8" t="s">
        <v>231</v>
      </c>
      <c r="AX2098" s="4" t="s">
        <v>231</v>
      </c>
      <c r="AY2098" s="8" t="s">
        <v>231</v>
      </c>
      <c r="AZ2098" s="7" t="s">
        <v>231</v>
      </c>
      <c r="BA2098" s="7" t="s">
        <v>231</v>
      </c>
      <c r="BB2098" s="7"/>
      <c r="BC2098" s="4" t="s">
        <v>231</v>
      </c>
      <c r="BD2098" s="8" t="s">
        <v>231</v>
      </c>
      <c r="BE2098" s="4" t="s">
        <v>231</v>
      </c>
      <c r="BF2098" s="8" t="s">
        <v>231</v>
      </c>
      <c r="BG2098" s="7" t="s">
        <v>231</v>
      </c>
      <c r="BH2098" s="7" t="s">
        <v>231</v>
      </c>
      <c r="BI2098" s="7"/>
      <c r="BJ2098" s="4"/>
      <c r="BK2098" s="8"/>
      <c r="BL2098" s="2" t="s">
        <v>231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241</v>
      </c>
      <c r="BV2098" s="2" t="s">
        <v>231</v>
      </c>
      <c r="BW2098" s="2" t="s">
        <v>231</v>
      </c>
      <c r="BX2098" s="2" t="s">
        <v>2109</v>
      </c>
      <c r="BY2098" s="2" t="s">
        <v>242</v>
      </c>
      <c r="BZ2098" s="2" t="s">
        <v>243</v>
      </c>
      <c r="CA2098" s="2" t="s">
        <v>231</v>
      </c>
      <c r="CB2098" s="2" t="s">
        <v>231</v>
      </c>
      <c r="CC2098" s="2" t="s">
        <v>244</v>
      </c>
      <c r="CD2098" s="2" t="s">
        <v>231</v>
      </c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>
        <v>135</v>
      </c>
      <c r="DT2098" s="4"/>
      <c r="DU2098" s="4"/>
      <c r="DV2098" s="4"/>
      <c r="DW2098" s="4"/>
      <c r="DX2098" s="4"/>
      <c r="DY2098" s="4"/>
      <c r="DZ2098" s="4"/>
      <c r="EA2098" s="4"/>
      <c r="EB2098" s="4">
        <v>105</v>
      </c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>
        <v>30</v>
      </c>
      <c r="EX2098" s="4"/>
      <c r="EY2098" s="4">
        <v>69</v>
      </c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  <c r="HG2098" s="4"/>
      <c r="HH2098" s="4"/>
      <c r="HI2098" s="4"/>
      <c r="HJ2098" s="4"/>
      <c r="HK2098" s="4"/>
      <c r="HL2098" s="4"/>
    </row>
    <row r="2099">
      <c r="A2099" s="2" t="s">
        <v>9290</v>
      </c>
      <c r="B2099" s="2" t="s">
        <v>1186</v>
      </c>
      <c r="C2099" s="2" t="s">
        <v>1017</v>
      </c>
      <c r="D2099" s="2" t="s">
        <v>9280</v>
      </c>
      <c r="E2099" s="2" t="s">
        <v>1463</v>
      </c>
      <c r="F2099" s="2" t="s">
        <v>9281</v>
      </c>
      <c r="G2099" s="2" t="s">
        <v>9282</v>
      </c>
      <c r="H2099" s="2" t="s">
        <v>9283</v>
      </c>
      <c r="I2099" s="2" t="s">
        <v>9284</v>
      </c>
      <c r="J2099" s="2" t="s">
        <v>658</v>
      </c>
      <c r="K2099" s="2" t="s">
        <v>1491</v>
      </c>
      <c r="L2099" s="3">
        <v>26.19</v>
      </c>
      <c r="M2099" s="3">
        <v>27.5</v>
      </c>
      <c r="N2099" s="3">
        <v>54.99</v>
      </c>
      <c r="O2099" s="2" t="s">
        <v>243</v>
      </c>
      <c r="P2099" s="2" t="s">
        <v>295</v>
      </c>
      <c r="Q2099" s="2" t="s">
        <v>237</v>
      </c>
      <c r="R2099" s="2" t="s">
        <v>231</v>
      </c>
      <c r="S2099" s="2" t="s">
        <v>9289</v>
      </c>
      <c r="T2099" s="2" t="s">
        <v>1432</v>
      </c>
      <c r="U2099" s="2" t="s">
        <v>835</v>
      </c>
      <c r="V2099" s="2" t="s">
        <v>239</v>
      </c>
      <c r="W2099" s="2" t="s">
        <v>273</v>
      </c>
      <c r="X2099" s="2" t="s">
        <v>691</v>
      </c>
      <c r="Y2099" s="2" t="s">
        <v>231</v>
      </c>
      <c r="Z2099" s="4"/>
      <c r="AA2099" s="4">
        <f>=ROUNDDOWN({0},0)</f>
      </c>
      <c r="AB2099" s="5"/>
      <c r="AC2099" s="2" t="s">
        <v>477</v>
      </c>
      <c r="AD2099" s="4">
        <v>351</v>
      </c>
      <c r="AE2099" s="4">
        <v>966</v>
      </c>
      <c r="AF2099" s="6"/>
      <c r="AG2099" s="6"/>
      <c r="AH2099" s="7">
        <v>0</v>
      </c>
      <c r="AI2099" s="4"/>
      <c r="AJ2099" s="4">
        <f>=ROUNDDOWN({0},0)</f>
      </c>
      <c r="AK2099" s="5"/>
      <c r="AL2099" s="2" t="s">
        <v>231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231</v>
      </c>
      <c r="AW2099" s="8" t="s">
        <v>231</v>
      </c>
      <c r="AX2099" s="4" t="s">
        <v>231</v>
      </c>
      <c r="AY2099" s="8" t="s">
        <v>231</v>
      </c>
      <c r="AZ2099" s="7" t="s">
        <v>231</v>
      </c>
      <c r="BA2099" s="7" t="s">
        <v>231</v>
      </c>
      <c r="BB2099" s="7"/>
      <c r="BC2099" s="4" t="s">
        <v>231</v>
      </c>
      <c r="BD2099" s="8" t="s">
        <v>231</v>
      </c>
      <c r="BE2099" s="4" t="s">
        <v>231</v>
      </c>
      <c r="BF2099" s="8" t="s">
        <v>231</v>
      </c>
      <c r="BG2099" s="7" t="s">
        <v>231</v>
      </c>
      <c r="BH2099" s="7" t="s">
        <v>231</v>
      </c>
      <c r="BI2099" s="7"/>
      <c r="BJ2099" s="4"/>
      <c r="BK2099" s="8"/>
      <c r="BL2099" s="2" t="s">
        <v>231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241</v>
      </c>
      <c r="BV2099" s="2" t="s">
        <v>231</v>
      </c>
      <c r="BW2099" s="2" t="s">
        <v>231</v>
      </c>
      <c r="BX2099" s="2" t="s">
        <v>2109</v>
      </c>
      <c r="BY2099" s="2" t="s">
        <v>242</v>
      </c>
      <c r="BZ2099" s="2" t="s">
        <v>243</v>
      </c>
      <c r="CA2099" s="2" t="s">
        <v>231</v>
      </c>
      <c r="CB2099" s="2" t="s">
        <v>231</v>
      </c>
      <c r="CC2099" s="2" t="s">
        <v>244</v>
      </c>
      <c r="CD2099" s="2" t="s">
        <v>231</v>
      </c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>
        <v>351</v>
      </c>
      <c r="DT2099" s="4"/>
      <c r="DU2099" s="4"/>
      <c r="DV2099" s="4"/>
      <c r="DW2099" s="4"/>
      <c r="DX2099" s="4"/>
      <c r="DY2099" s="4"/>
      <c r="DZ2099" s="4"/>
      <c r="EA2099" s="4"/>
      <c r="EB2099" s="4">
        <v>306</v>
      </c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>
        <v>93</v>
      </c>
      <c r="EX2099" s="4"/>
      <c r="EY2099" s="4">
        <v>216</v>
      </c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4"/>
      <c r="HH2099" s="4"/>
      <c r="HI2099" s="4"/>
      <c r="HJ2099" s="4"/>
      <c r="HK2099" s="4"/>
      <c r="HL2099" s="4"/>
    </row>
    <row r="2100">
      <c r="A2100" s="2" t="s">
        <v>9291</v>
      </c>
      <c r="B2100" s="2" t="s">
        <v>1186</v>
      </c>
      <c r="C2100" s="2" t="s">
        <v>1017</v>
      </c>
      <c r="D2100" s="2" t="s">
        <v>9280</v>
      </c>
      <c r="E2100" s="2" t="s">
        <v>1463</v>
      </c>
      <c r="F2100" s="2" t="s">
        <v>9281</v>
      </c>
      <c r="G2100" s="2" t="s">
        <v>9282</v>
      </c>
      <c r="H2100" s="2" t="s">
        <v>9283</v>
      </c>
      <c r="I2100" s="2" t="s">
        <v>9284</v>
      </c>
      <c r="J2100" s="2" t="s">
        <v>669</v>
      </c>
      <c r="K2100" s="2" t="s">
        <v>1491</v>
      </c>
      <c r="L2100" s="3">
        <v>28.57</v>
      </c>
      <c r="M2100" s="3">
        <v>30</v>
      </c>
      <c r="N2100" s="3">
        <v>59.99</v>
      </c>
      <c r="O2100" s="2" t="s">
        <v>243</v>
      </c>
      <c r="P2100" s="2" t="s">
        <v>295</v>
      </c>
      <c r="Q2100" s="2" t="s">
        <v>237</v>
      </c>
      <c r="R2100" s="2" t="s">
        <v>231</v>
      </c>
      <c r="S2100" s="2" t="s">
        <v>9289</v>
      </c>
      <c r="T2100" s="2" t="s">
        <v>1432</v>
      </c>
      <c r="U2100" s="2" t="s">
        <v>835</v>
      </c>
      <c r="V2100" s="2" t="s">
        <v>239</v>
      </c>
      <c r="W2100" s="2" t="s">
        <v>273</v>
      </c>
      <c r="X2100" s="2" t="s">
        <v>691</v>
      </c>
      <c r="Y2100" s="2" t="s">
        <v>231</v>
      </c>
      <c r="Z2100" s="4"/>
      <c r="AA2100" s="4">
        <f>=ROUNDDOWN({0},0)</f>
      </c>
      <c r="AB2100" s="5"/>
      <c r="AC2100" s="2" t="s">
        <v>477</v>
      </c>
      <c r="AD2100" s="4">
        <v>336</v>
      </c>
      <c r="AE2100" s="4">
        <v>897</v>
      </c>
      <c r="AF2100" s="6"/>
      <c r="AG2100" s="6"/>
      <c r="AH2100" s="7">
        <v>0</v>
      </c>
      <c r="AI2100" s="4"/>
      <c r="AJ2100" s="4">
        <f>=ROUNDDOWN({0},0)</f>
      </c>
      <c r="AK2100" s="5"/>
      <c r="AL2100" s="2" t="s">
        <v>231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231</v>
      </c>
      <c r="AW2100" s="8" t="s">
        <v>231</v>
      </c>
      <c r="AX2100" s="4" t="s">
        <v>231</v>
      </c>
      <c r="AY2100" s="8" t="s">
        <v>231</v>
      </c>
      <c r="AZ2100" s="7" t="s">
        <v>231</v>
      </c>
      <c r="BA2100" s="7" t="s">
        <v>231</v>
      </c>
      <c r="BB2100" s="7"/>
      <c r="BC2100" s="4" t="s">
        <v>231</v>
      </c>
      <c r="BD2100" s="8" t="s">
        <v>231</v>
      </c>
      <c r="BE2100" s="4" t="s">
        <v>231</v>
      </c>
      <c r="BF2100" s="8" t="s">
        <v>231</v>
      </c>
      <c r="BG2100" s="7" t="s">
        <v>231</v>
      </c>
      <c r="BH2100" s="7" t="s">
        <v>231</v>
      </c>
      <c r="BI2100" s="7"/>
      <c r="BJ2100" s="4"/>
      <c r="BK2100" s="8"/>
      <c r="BL2100" s="2" t="s">
        <v>231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241</v>
      </c>
      <c r="BV2100" s="2" t="s">
        <v>231</v>
      </c>
      <c r="BW2100" s="2" t="s">
        <v>231</v>
      </c>
      <c r="BX2100" s="2" t="s">
        <v>2109</v>
      </c>
      <c r="BY2100" s="2" t="s">
        <v>242</v>
      </c>
      <c r="BZ2100" s="2" t="s">
        <v>243</v>
      </c>
      <c r="CA2100" s="2" t="s">
        <v>231</v>
      </c>
      <c r="CB2100" s="2" t="s">
        <v>231</v>
      </c>
      <c r="CC2100" s="2" t="s">
        <v>244</v>
      </c>
      <c r="CD2100" s="2" t="s">
        <v>231</v>
      </c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>
        <v>336</v>
      </c>
      <c r="DT2100" s="4"/>
      <c r="DU2100" s="4"/>
      <c r="DV2100" s="4"/>
      <c r="DW2100" s="4"/>
      <c r="DX2100" s="4"/>
      <c r="DY2100" s="4"/>
      <c r="DZ2100" s="4"/>
      <c r="EA2100" s="4"/>
      <c r="EB2100" s="4">
        <v>285</v>
      </c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>
        <v>84</v>
      </c>
      <c r="EX2100" s="4"/>
      <c r="EY2100" s="4">
        <v>192</v>
      </c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4"/>
      <c r="HH2100" s="4"/>
      <c r="HI2100" s="4"/>
      <c r="HJ2100" s="4"/>
      <c r="HK2100" s="4"/>
      <c r="HL2100" s="4"/>
    </row>
    <row r="2101">
      <c r="A2101" s="2" t="s">
        <v>9292</v>
      </c>
      <c r="B2101" s="2" t="s">
        <v>1186</v>
      </c>
      <c r="C2101" s="2" t="s">
        <v>1017</v>
      </c>
      <c r="D2101" s="2" t="s">
        <v>9280</v>
      </c>
      <c r="E2101" s="2" t="s">
        <v>1463</v>
      </c>
      <c r="F2101" s="2" t="s">
        <v>9281</v>
      </c>
      <c r="G2101" s="2" t="s">
        <v>9282</v>
      </c>
      <c r="H2101" s="2" t="s">
        <v>9283</v>
      </c>
      <c r="I2101" s="2" t="s">
        <v>9284</v>
      </c>
      <c r="J2101" s="2" t="s">
        <v>832</v>
      </c>
      <c r="K2101" s="2" t="s">
        <v>1496</v>
      </c>
      <c r="L2101" s="3">
        <v>21.42</v>
      </c>
      <c r="M2101" s="3">
        <v>22.49</v>
      </c>
      <c r="N2101" s="3">
        <v>49.99</v>
      </c>
      <c r="O2101" s="2" t="s">
        <v>243</v>
      </c>
      <c r="P2101" s="2" t="s">
        <v>295</v>
      </c>
      <c r="Q2101" s="2" t="s">
        <v>237</v>
      </c>
      <c r="R2101" s="2" t="s">
        <v>231</v>
      </c>
      <c r="S2101" s="2" t="s">
        <v>9293</v>
      </c>
      <c r="T2101" s="2" t="s">
        <v>1432</v>
      </c>
      <c r="U2101" s="2" t="s">
        <v>791</v>
      </c>
      <c r="V2101" s="2" t="s">
        <v>239</v>
      </c>
      <c r="W2101" s="2" t="s">
        <v>273</v>
      </c>
      <c r="X2101" s="2" t="s">
        <v>691</v>
      </c>
      <c r="Y2101" s="2" t="s">
        <v>231</v>
      </c>
      <c r="Z2101" s="4"/>
      <c r="AA2101" s="4">
        <f>=ROUNDDOWN({0},0)</f>
      </c>
      <c r="AB2101" s="5"/>
      <c r="AC2101" s="2" t="s">
        <v>477</v>
      </c>
      <c r="AD2101" s="4">
        <v>111</v>
      </c>
      <c r="AE2101" s="4">
        <v>255</v>
      </c>
      <c r="AF2101" s="6"/>
      <c r="AG2101" s="6"/>
      <c r="AH2101" s="7">
        <v>0</v>
      </c>
      <c r="AI2101" s="4"/>
      <c r="AJ2101" s="4">
        <f>=ROUNDDOWN({0},0)</f>
      </c>
      <c r="AK2101" s="5"/>
      <c r="AL2101" s="2" t="s">
        <v>231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231</v>
      </c>
      <c r="AW2101" s="8" t="s">
        <v>231</v>
      </c>
      <c r="AX2101" s="4" t="s">
        <v>231</v>
      </c>
      <c r="AY2101" s="8" t="s">
        <v>231</v>
      </c>
      <c r="AZ2101" s="7" t="s">
        <v>231</v>
      </c>
      <c r="BA2101" s="7" t="s">
        <v>231</v>
      </c>
      <c r="BB2101" s="7"/>
      <c r="BC2101" s="4" t="s">
        <v>231</v>
      </c>
      <c r="BD2101" s="8" t="s">
        <v>231</v>
      </c>
      <c r="BE2101" s="4" t="s">
        <v>231</v>
      </c>
      <c r="BF2101" s="8" t="s">
        <v>231</v>
      </c>
      <c r="BG2101" s="7" t="s">
        <v>231</v>
      </c>
      <c r="BH2101" s="7" t="s">
        <v>231</v>
      </c>
      <c r="BI2101" s="7"/>
      <c r="BJ2101" s="4"/>
      <c r="BK2101" s="8"/>
      <c r="BL2101" s="2" t="s">
        <v>231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241</v>
      </c>
      <c r="BV2101" s="2" t="s">
        <v>231</v>
      </c>
      <c r="BW2101" s="2" t="s">
        <v>231</v>
      </c>
      <c r="BX2101" s="2" t="s">
        <v>2109</v>
      </c>
      <c r="BY2101" s="2" t="s">
        <v>242</v>
      </c>
      <c r="BZ2101" s="2" t="s">
        <v>243</v>
      </c>
      <c r="CA2101" s="2" t="s">
        <v>231</v>
      </c>
      <c r="CB2101" s="2" t="s">
        <v>231</v>
      </c>
      <c r="CC2101" s="2" t="s">
        <v>244</v>
      </c>
      <c r="CD2101" s="2" t="s">
        <v>231</v>
      </c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>
        <v>111</v>
      </c>
      <c r="DT2101" s="4"/>
      <c r="DU2101" s="4"/>
      <c r="DV2101" s="4"/>
      <c r="DW2101" s="4"/>
      <c r="DX2101" s="4"/>
      <c r="DY2101" s="4"/>
      <c r="DZ2101" s="4"/>
      <c r="EA2101" s="4"/>
      <c r="EB2101" s="4">
        <v>72</v>
      </c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>
        <v>21</v>
      </c>
      <c r="EX2101" s="4"/>
      <c r="EY2101" s="4">
        <v>51</v>
      </c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  <c r="HG2101" s="4"/>
      <c r="HH2101" s="4"/>
      <c r="HI2101" s="4"/>
      <c r="HJ2101" s="4"/>
      <c r="HK2101" s="4"/>
      <c r="HL2101" s="4"/>
    </row>
    <row r="2102">
      <c r="A2102" s="2" t="s">
        <v>9294</v>
      </c>
      <c r="B2102" s="2" t="s">
        <v>1186</v>
      </c>
      <c r="C2102" s="2" t="s">
        <v>1017</v>
      </c>
      <c r="D2102" s="2" t="s">
        <v>9280</v>
      </c>
      <c r="E2102" s="2" t="s">
        <v>1463</v>
      </c>
      <c r="F2102" s="2" t="s">
        <v>9281</v>
      </c>
      <c r="G2102" s="2" t="s">
        <v>9282</v>
      </c>
      <c r="H2102" s="2" t="s">
        <v>9283</v>
      </c>
      <c r="I2102" s="2" t="s">
        <v>9284</v>
      </c>
      <c r="J2102" s="2" t="s">
        <v>658</v>
      </c>
      <c r="K2102" s="2" t="s">
        <v>1496</v>
      </c>
      <c r="L2102" s="3">
        <v>26.19</v>
      </c>
      <c r="M2102" s="3">
        <v>27.5</v>
      </c>
      <c r="N2102" s="3">
        <v>54.99</v>
      </c>
      <c r="O2102" s="2" t="s">
        <v>243</v>
      </c>
      <c r="P2102" s="2" t="s">
        <v>295</v>
      </c>
      <c r="Q2102" s="2" t="s">
        <v>237</v>
      </c>
      <c r="R2102" s="2" t="s">
        <v>231</v>
      </c>
      <c r="S2102" s="2" t="s">
        <v>9293</v>
      </c>
      <c r="T2102" s="2" t="s">
        <v>1432</v>
      </c>
      <c r="U2102" s="2" t="s">
        <v>835</v>
      </c>
      <c r="V2102" s="2" t="s">
        <v>239</v>
      </c>
      <c r="W2102" s="2" t="s">
        <v>273</v>
      </c>
      <c r="X2102" s="2" t="s">
        <v>691</v>
      </c>
      <c r="Y2102" s="2" t="s">
        <v>231</v>
      </c>
      <c r="Z2102" s="4"/>
      <c r="AA2102" s="4">
        <f>=ROUNDDOWN({0},0)</f>
      </c>
      <c r="AB2102" s="5"/>
      <c r="AC2102" s="2" t="s">
        <v>477</v>
      </c>
      <c r="AD2102" s="4">
        <v>324</v>
      </c>
      <c r="AE2102" s="4">
        <v>816</v>
      </c>
      <c r="AF2102" s="6"/>
      <c r="AG2102" s="6"/>
      <c r="AH2102" s="7">
        <v>0</v>
      </c>
      <c r="AI2102" s="4"/>
      <c r="AJ2102" s="4">
        <f>=ROUNDDOWN({0},0)</f>
      </c>
      <c r="AK2102" s="5"/>
      <c r="AL2102" s="2" t="s">
        <v>231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231</v>
      </c>
      <c r="AW2102" s="8" t="s">
        <v>231</v>
      </c>
      <c r="AX2102" s="4" t="s">
        <v>231</v>
      </c>
      <c r="AY2102" s="8" t="s">
        <v>231</v>
      </c>
      <c r="AZ2102" s="7" t="s">
        <v>231</v>
      </c>
      <c r="BA2102" s="7" t="s">
        <v>231</v>
      </c>
      <c r="BB2102" s="7"/>
      <c r="BC2102" s="4" t="s">
        <v>231</v>
      </c>
      <c r="BD2102" s="8" t="s">
        <v>231</v>
      </c>
      <c r="BE2102" s="4" t="s">
        <v>231</v>
      </c>
      <c r="BF2102" s="8" t="s">
        <v>231</v>
      </c>
      <c r="BG2102" s="7" t="s">
        <v>231</v>
      </c>
      <c r="BH2102" s="7" t="s">
        <v>231</v>
      </c>
      <c r="BI2102" s="7"/>
      <c r="BJ2102" s="4"/>
      <c r="BK2102" s="8"/>
      <c r="BL2102" s="2" t="s">
        <v>231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241</v>
      </c>
      <c r="BV2102" s="2" t="s">
        <v>231</v>
      </c>
      <c r="BW2102" s="2" t="s">
        <v>231</v>
      </c>
      <c r="BX2102" s="2" t="s">
        <v>2109</v>
      </c>
      <c r="BY2102" s="2" t="s">
        <v>242</v>
      </c>
      <c r="BZ2102" s="2" t="s">
        <v>243</v>
      </c>
      <c r="CA2102" s="2" t="s">
        <v>231</v>
      </c>
      <c r="CB2102" s="2" t="s">
        <v>231</v>
      </c>
      <c r="CC2102" s="2" t="s">
        <v>244</v>
      </c>
      <c r="CD2102" s="2" t="s">
        <v>231</v>
      </c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>
        <v>324</v>
      </c>
      <c r="DT2102" s="4"/>
      <c r="DU2102" s="4"/>
      <c r="DV2102" s="4"/>
      <c r="DW2102" s="4"/>
      <c r="DX2102" s="4"/>
      <c r="DY2102" s="4"/>
      <c r="DZ2102" s="4"/>
      <c r="EA2102" s="4"/>
      <c r="EB2102" s="4">
        <v>243</v>
      </c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>
        <v>75</v>
      </c>
      <c r="EX2102" s="4"/>
      <c r="EY2102" s="4">
        <v>174</v>
      </c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  <c r="HG2102" s="4"/>
      <c r="HH2102" s="4"/>
      <c r="HI2102" s="4"/>
      <c r="HJ2102" s="4"/>
      <c r="HK2102" s="4"/>
      <c r="HL2102" s="4"/>
    </row>
    <row r="2103">
      <c r="A2103" s="2" t="s">
        <v>9295</v>
      </c>
      <c r="B2103" s="2" t="s">
        <v>1186</v>
      </c>
      <c r="C2103" s="2" t="s">
        <v>1017</v>
      </c>
      <c r="D2103" s="2" t="s">
        <v>9280</v>
      </c>
      <c r="E2103" s="2" t="s">
        <v>1463</v>
      </c>
      <c r="F2103" s="2" t="s">
        <v>9281</v>
      </c>
      <c r="G2103" s="2" t="s">
        <v>9282</v>
      </c>
      <c r="H2103" s="2" t="s">
        <v>9283</v>
      </c>
      <c r="I2103" s="2" t="s">
        <v>9284</v>
      </c>
      <c r="J2103" s="2" t="s">
        <v>669</v>
      </c>
      <c r="K2103" s="2" t="s">
        <v>1496</v>
      </c>
      <c r="L2103" s="3">
        <v>28.57</v>
      </c>
      <c r="M2103" s="3">
        <v>30</v>
      </c>
      <c r="N2103" s="3">
        <v>59.99</v>
      </c>
      <c r="O2103" s="2" t="s">
        <v>243</v>
      </c>
      <c r="P2103" s="2" t="s">
        <v>295</v>
      </c>
      <c r="Q2103" s="2" t="s">
        <v>237</v>
      </c>
      <c r="R2103" s="2" t="s">
        <v>231</v>
      </c>
      <c r="S2103" s="2" t="s">
        <v>9293</v>
      </c>
      <c r="T2103" s="2" t="s">
        <v>1432</v>
      </c>
      <c r="U2103" s="2" t="s">
        <v>835</v>
      </c>
      <c r="V2103" s="2" t="s">
        <v>239</v>
      </c>
      <c r="W2103" s="2" t="s">
        <v>273</v>
      </c>
      <c r="X2103" s="2" t="s">
        <v>691</v>
      </c>
      <c r="Y2103" s="2" t="s">
        <v>231</v>
      </c>
      <c r="Z2103" s="4"/>
      <c r="AA2103" s="4">
        <f>=ROUNDDOWN({0},0)</f>
      </c>
      <c r="AB2103" s="5"/>
      <c r="AC2103" s="2" t="s">
        <v>477</v>
      </c>
      <c r="AD2103" s="4">
        <v>318</v>
      </c>
      <c r="AE2103" s="4">
        <v>810</v>
      </c>
      <c r="AF2103" s="6"/>
      <c r="AG2103" s="6"/>
      <c r="AH2103" s="7">
        <v>0</v>
      </c>
      <c r="AI2103" s="4"/>
      <c r="AJ2103" s="4">
        <f>=ROUNDDOWN({0},0)</f>
      </c>
      <c r="AK2103" s="5"/>
      <c r="AL2103" s="2" t="s">
        <v>231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231</v>
      </c>
      <c r="AW2103" s="8" t="s">
        <v>231</v>
      </c>
      <c r="AX2103" s="4" t="s">
        <v>231</v>
      </c>
      <c r="AY2103" s="8" t="s">
        <v>231</v>
      </c>
      <c r="AZ2103" s="7" t="s">
        <v>231</v>
      </c>
      <c r="BA2103" s="7" t="s">
        <v>231</v>
      </c>
      <c r="BB2103" s="7"/>
      <c r="BC2103" s="4" t="s">
        <v>231</v>
      </c>
      <c r="BD2103" s="8" t="s">
        <v>231</v>
      </c>
      <c r="BE2103" s="4" t="s">
        <v>231</v>
      </c>
      <c r="BF2103" s="8" t="s">
        <v>231</v>
      </c>
      <c r="BG2103" s="7" t="s">
        <v>231</v>
      </c>
      <c r="BH2103" s="7" t="s">
        <v>231</v>
      </c>
      <c r="BI2103" s="7"/>
      <c r="BJ2103" s="4"/>
      <c r="BK2103" s="8"/>
      <c r="BL2103" s="2" t="s">
        <v>231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241</v>
      </c>
      <c r="BV2103" s="2" t="s">
        <v>231</v>
      </c>
      <c r="BW2103" s="2" t="s">
        <v>231</v>
      </c>
      <c r="BX2103" s="2" t="s">
        <v>2109</v>
      </c>
      <c r="BY2103" s="2" t="s">
        <v>242</v>
      </c>
      <c r="BZ2103" s="2" t="s">
        <v>243</v>
      </c>
      <c r="CA2103" s="2" t="s">
        <v>231</v>
      </c>
      <c r="CB2103" s="2" t="s">
        <v>231</v>
      </c>
      <c r="CC2103" s="2" t="s">
        <v>244</v>
      </c>
      <c r="CD2103" s="2" t="s">
        <v>231</v>
      </c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>
        <v>318</v>
      </c>
      <c r="DT2103" s="4"/>
      <c r="DU2103" s="4"/>
      <c r="DV2103" s="4"/>
      <c r="DW2103" s="4"/>
      <c r="DX2103" s="4"/>
      <c r="DY2103" s="4"/>
      <c r="DZ2103" s="4"/>
      <c r="EA2103" s="4"/>
      <c r="EB2103" s="4">
        <v>255</v>
      </c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>
        <v>72</v>
      </c>
      <c r="EX2103" s="4"/>
      <c r="EY2103" s="4">
        <v>165</v>
      </c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  <c r="HG2103" s="4"/>
      <c r="HH2103" s="4"/>
      <c r="HI2103" s="4"/>
      <c r="HJ2103" s="4"/>
      <c r="HK2103" s="4"/>
      <c r="HL2103" s="4"/>
    </row>
    <row r="2104">
      <c r="A2104" s="2" t="s">
        <v>9296</v>
      </c>
      <c r="B2104" s="2" t="s">
        <v>1186</v>
      </c>
      <c r="C2104" s="2" t="s">
        <v>1017</v>
      </c>
      <c r="D2104" s="2" t="s">
        <v>9280</v>
      </c>
      <c r="E2104" s="2" t="s">
        <v>1463</v>
      </c>
      <c r="F2104" s="2" t="s">
        <v>9281</v>
      </c>
      <c r="G2104" s="2" t="s">
        <v>9282</v>
      </c>
      <c r="H2104" s="2" t="s">
        <v>9283</v>
      </c>
      <c r="I2104" s="2" t="s">
        <v>9284</v>
      </c>
      <c r="J2104" s="2" t="s">
        <v>832</v>
      </c>
      <c r="K2104" s="2" t="s">
        <v>319</v>
      </c>
      <c r="L2104" s="3">
        <v>21.42</v>
      </c>
      <c r="M2104" s="3">
        <v>22.49</v>
      </c>
      <c r="N2104" s="3">
        <v>49.99</v>
      </c>
      <c r="O2104" s="2" t="s">
        <v>243</v>
      </c>
      <c r="P2104" s="2" t="s">
        <v>295</v>
      </c>
      <c r="Q2104" s="2" t="s">
        <v>237</v>
      </c>
      <c r="R2104" s="2" t="s">
        <v>231</v>
      </c>
      <c r="S2104" s="2" t="s">
        <v>9297</v>
      </c>
      <c r="T2104" s="2" t="s">
        <v>1432</v>
      </c>
      <c r="U2104" s="2" t="s">
        <v>791</v>
      </c>
      <c r="V2104" s="2" t="s">
        <v>239</v>
      </c>
      <c r="W2104" s="2" t="s">
        <v>273</v>
      </c>
      <c r="X2104" s="2" t="s">
        <v>691</v>
      </c>
      <c r="Y2104" s="2" t="s">
        <v>231</v>
      </c>
      <c r="Z2104" s="4"/>
      <c r="AA2104" s="4">
        <f>=ROUNDDOWN({0},0)</f>
      </c>
      <c r="AB2104" s="5"/>
      <c r="AC2104" s="2" t="s">
        <v>477</v>
      </c>
      <c r="AD2104" s="4">
        <v>156</v>
      </c>
      <c r="AE2104" s="4">
        <v>348</v>
      </c>
      <c r="AF2104" s="6"/>
      <c r="AG2104" s="6"/>
      <c r="AH2104" s="7">
        <v>0</v>
      </c>
      <c r="AI2104" s="4"/>
      <c r="AJ2104" s="4">
        <f>=ROUNDDOWN({0},0)</f>
      </c>
      <c r="AK2104" s="5"/>
      <c r="AL2104" s="2" t="s">
        <v>231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231</v>
      </c>
      <c r="AW2104" s="8" t="s">
        <v>231</v>
      </c>
      <c r="AX2104" s="4" t="s">
        <v>231</v>
      </c>
      <c r="AY2104" s="8" t="s">
        <v>231</v>
      </c>
      <c r="AZ2104" s="7" t="s">
        <v>231</v>
      </c>
      <c r="BA2104" s="7" t="s">
        <v>231</v>
      </c>
      <c r="BB2104" s="7"/>
      <c r="BC2104" s="4" t="s">
        <v>231</v>
      </c>
      <c r="BD2104" s="8" t="s">
        <v>231</v>
      </c>
      <c r="BE2104" s="4" t="s">
        <v>231</v>
      </c>
      <c r="BF2104" s="8" t="s">
        <v>231</v>
      </c>
      <c r="BG2104" s="7" t="s">
        <v>231</v>
      </c>
      <c r="BH2104" s="7" t="s">
        <v>231</v>
      </c>
      <c r="BI2104" s="7"/>
      <c r="BJ2104" s="4"/>
      <c r="BK2104" s="8"/>
      <c r="BL2104" s="2" t="s">
        <v>231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241</v>
      </c>
      <c r="BV2104" s="2" t="s">
        <v>231</v>
      </c>
      <c r="BW2104" s="2" t="s">
        <v>231</v>
      </c>
      <c r="BX2104" s="2" t="s">
        <v>2109</v>
      </c>
      <c r="BY2104" s="2" t="s">
        <v>242</v>
      </c>
      <c r="BZ2104" s="2" t="s">
        <v>243</v>
      </c>
      <c r="CA2104" s="2" t="s">
        <v>231</v>
      </c>
      <c r="CB2104" s="2" t="s">
        <v>231</v>
      </c>
      <c r="CC2104" s="2" t="s">
        <v>244</v>
      </c>
      <c r="CD2104" s="2" t="s">
        <v>231</v>
      </c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>
        <v>156</v>
      </c>
      <c r="DT2104" s="4"/>
      <c r="DU2104" s="4"/>
      <c r="DV2104" s="4"/>
      <c r="DW2104" s="4"/>
      <c r="DX2104" s="4"/>
      <c r="DY2104" s="4"/>
      <c r="DZ2104" s="4"/>
      <c r="EA2104" s="4"/>
      <c r="EB2104" s="4">
        <v>102</v>
      </c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>
        <v>27</v>
      </c>
      <c r="EX2104" s="4"/>
      <c r="EY2104" s="4">
        <v>63</v>
      </c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  <c r="HG2104" s="4"/>
      <c r="HH2104" s="4"/>
      <c r="HI2104" s="4"/>
      <c r="HJ2104" s="4"/>
      <c r="HK2104" s="4"/>
      <c r="HL2104" s="4"/>
    </row>
    <row r="2105">
      <c r="A2105" s="2" t="s">
        <v>9298</v>
      </c>
      <c r="B2105" s="2" t="s">
        <v>1186</v>
      </c>
      <c r="C2105" s="2" t="s">
        <v>1017</v>
      </c>
      <c r="D2105" s="2" t="s">
        <v>9280</v>
      </c>
      <c r="E2105" s="2" t="s">
        <v>1463</v>
      </c>
      <c r="F2105" s="2" t="s">
        <v>9281</v>
      </c>
      <c r="G2105" s="2" t="s">
        <v>9282</v>
      </c>
      <c r="H2105" s="2" t="s">
        <v>9283</v>
      </c>
      <c r="I2105" s="2" t="s">
        <v>9284</v>
      </c>
      <c r="J2105" s="2" t="s">
        <v>658</v>
      </c>
      <c r="K2105" s="2" t="s">
        <v>319</v>
      </c>
      <c r="L2105" s="3">
        <v>26.19</v>
      </c>
      <c r="M2105" s="3">
        <v>27.5</v>
      </c>
      <c r="N2105" s="3">
        <v>54.99</v>
      </c>
      <c r="O2105" s="2" t="s">
        <v>243</v>
      </c>
      <c r="P2105" s="2" t="s">
        <v>295</v>
      </c>
      <c r="Q2105" s="2" t="s">
        <v>237</v>
      </c>
      <c r="R2105" s="2" t="s">
        <v>231</v>
      </c>
      <c r="S2105" s="2" t="s">
        <v>9297</v>
      </c>
      <c r="T2105" s="2" t="s">
        <v>1432</v>
      </c>
      <c r="U2105" s="2" t="s">
        <v>835</v>
      </c>
      <c r="V2105" s="2" t="s">
        <v>239</v>
      </c>
      <c r="W2105" s="2" t="s">
        <v>273</v>
      </c>
      <c r="X2105" s="2" t="s">
        <v>691</v>
      </c>
      <c r="Y2105" s="2" t="s">
        <v>231</v>
      </c>
      <c r="Z2105" s="4"/>
      <c r="AA2105" s="4">
        <f>=ROUNDDOWN({0},0)</f>
      </c>
      <c r="AB2105" s="5"/>
      <c r="AC2105" s="2" t="s">
        <v>477</v>
      </c>
      <c r="AD2105" s="4">
        <v>570</v>
      </c>
      <c r="AE2105" s="4">
        <v>1395</v>
      </c>
      <c r="AF2105" s="6"/>
      <c r="AG2105" s="6"/>
      <c r="AH2105" s="7">
        <v>0</v>
      </c>
      <c r="AI2105" s="4"/>
      <c r="AJ2105" s="4">
        <f>=ROUNDDOWN({0},0)</f>
      </c>
      <c r="AK2105" s="5"/>
      <c r="AL2105" s="2" t="s">
        <v>231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231</v>
      </c>
      <c r="AW2105" s="8" t="s">
        <v>231</v>
      </c>
      <c r="AX2105" s="4" t="s">
        <v>231</v>
      </c>
      <c r="AY2105" s="8" t="s">
        <v>231</v>
      </c>
      <c r="AZ2105" s="7" t="s">
        <v>231</v>
      </c>
      <c r="BA2105" s="7" t="s">
        <v>231</v>
      </c>
      <c r="BB2105" s="7"/>
      <c r="BC2105" s="4" t="s">
        <v>231</v>
      </c>
      <c r="BD2105" s="8" t="s">
        <v>231</v>
      </c>
      <c r="BE2105" s="4" t="s">
        <v>231</v>
      </c>
      <c r="BF2105" s="8" t="s">
        <v>231</v>
      </c>
      <c r="BG2105" s="7" t="s">
        <v>231</v>
      </c>
      <c r="BH2105" s="7" t="s">
        <v>231</v>
      </c>
      <c r="BI2105" s="7"/>
      <c r="BJ2105" s="4"/>
      <c r="BK2105" s="8"/>
      <c r="BL2105" s="2" t="s">
        <v>231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241</v>
      </c>
      <c r="BV2105" s="2" t="s">
        <v>231</v>
      </c>
      <c r="BW2105" s="2" t="s">
        <v>231</v>
      </c>
      <c r="BX2105" s="2" t="s">
        <v>2109</v>
      </c>
      <c r="BY2105" s="2" t="s">
        <v>242</v>
      </c>
      <c r="BZ2105" s="2" t="s">
        <v>243</v>
      </c>
      <c r="CA2105" s="2" t="s">
        <v>231</v>
      </c>
      <c r="CB2105" s="2" t="s">
        <v>231</v>
      </c>
      <c r="CC2105" s="2" t="s">
        <v>244</v>
      </c>
      <c r="CD2105" s="2" t="s">
        <v>231</v>
      </c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>
        <v>570</v>
      </c>
      <c r="DT2105" s="4"/>
      <c r="DU2105" s="4"/>
      <c r="DV2105" s="4"/>
      <c r="DW2105" s="4"/>
      <c r="DX2105" s="4"/>
      <c r="DY2105" s="4"/>
      <c r="DZ2105" s="4"/>
      <c r="EA2105" s="4"/>
      <c r="EB2105" s="4">
        <v>414</v>
      </c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>
        <v>123</v>
      </c>
      <c r="EX2105" s="4"/>
      <c r="EY2105" s="4">
        <v>288</v>
      </c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  <c r="HG2105" s="4"/>
      <c r="HH2105" s="4"/>
      <c r="HI2105" s="4"/>
      <c r="HJ2105" s="4"/>
      <c r="HK2105" s="4"/>
      <c r="HL2105" s="4"/>
    </row>
    <row r="2106">
      <c r="A2106" s="2" t="s">
        <v>9299</v>
      </c>
      <c r="B2106" s="2" t="s">
        <v>1186</v>
      </c>
      <c r="C2106" s="2" t="s">
        <v>1017</v>
      </c>
      <c r="D2106" s="2" t="s">
        <v>9280</v>
      </c>
      <c r="E2106" s="2" t="s">
        <v>1463</v>
      </c>
      <c r="F2106" s="2" t="s">
        <v>9281</v>
      </c>
      <c r="G2106" s="2" t="s">
        <v>9282</v>
      </c>
      <c r="H2106" s="2" t="s">
        <v>9283</v>
      </c>
      <c r="I2106" s="2" t="s">
        <v>9284</v>
      </c>
      <c r="J2106" s="2" t="s">
        <v>669</v>
      </c>
      <c r="K2106" s="2" t="s">
        <v>319</v>
      </c>
      <c r="L2106" s="3">
        <v>28.57</v>
      </c>
      <c r="M2106" s="3">
        <v>30</v>
      </c>
      <c r="N2106" s="3">
        <v>59.99</v>
      </c>
      <c r="O2106" s="2" t="s">
        <v>243</v>
      </c>
      <c r="P2106" s="2" t="s">
        <v>295</v>
      </c>
      <c r="Q2106" s="2" t="s">
        <v>237</v>
      </c>
      <c r="R2106" s="2" t="s">
        <v>231</v>
      </c>
      <c r="S2106" s="2" t="s">
        <v>9297</v>
      </c>
      <c r="T2106" s="2" t="s">
        <v>1432</v>
      </c>
      <c r="U2106" s="2" t="s">
        <v>835</v>
      </c>
      <c r="V2106" s="2" t="s">
        <v>239</v>
      </c>
      <c r="W2106" s="2" t="s">
        <v>273</v>
      </c>
      <c r="X2106" s="2" t="s">
        <v>691</v>
      </c>
      <c r="Y2106" s="2" t="s">
        <v>231</v>
      </c>
      <c r="Z2106" s="4"/>
      <c r="AA2106" s="4">
        <f>=ROUNDDOWN({0},0)</f>
      </c>
      <c r="AB2106" s="5"/>
      <c r="AC2106" s="2" t="s">
        <v>477</v>
      </c>
      <c r="AD2106" s="4">
        <v>299</v>
      </c>
      <c r="AE2106" s="4">
        <v>1388</v>
      </c>
      <c r="AF2106" s="6"/>
      <c r="AG2106" s="6"/>
      <c r="AH2106" s="7">
        <v>0</v>
      </c>
      <c r="AI2106" s="4"/>
      <c r="AJ2106" s="4">
        <f>=ROUNDDOWN({0},0)</f>
      </c>
      <c r="AK2106" s="5"/>
      <c r="AL2106" s="2" t="s">
        <v>231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231</v>
      </c>
      <c r="AW2106" s="8" t="s">
        <v>231</v>
      </c>
      <c r="AX2106" s="4" t="s">
        <v>231</v>
      </c>
      <c r="AY2106" s="8" t="s">
        <v>231</v>
      </c>
      <c r="AZ2106" s="7" t="s">
        <v>231</v>
      </c>
      <c r="BA2106" s="7" t="s">
        <v>231</v>
      </c>
      <c r="BB2106" s="7"/>
      <c r="BC2106" s="4" t="s">
        <v>231</v>
      </c>
      <c r="BD2106" s="8" t="s">
        <v>231</v>
      </c>
      <c r="BE2106" s="4" t="s">
        <v>231</v>
      </c>
      <c r="BF2106" s="8" t="s">
        <v>231</v>
      </c>
      <c r="BG2106" s="7" t="s">
        <v>231</v>
      </c>
      <c r="BH2106" s="7" t="s">
        <v>231</v>
      </c>
      <c r="BI2106" s="7"/>
      <c r="BJ2106" s="4"/>
      <c r="BK2106" s="8"/>
      <c r="BL2106" s="2" t="s">
        <v>231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241</v>
      </c>
      <c r="BV2106" s="2" t="s">
        <v>231</v>
      </c>
      <c r="BW2106" s="2" t="s">
        <v>231</v>
      </c>
      <c r="BX2106" s="2" t="s">
        <v>2109</v>
      </c>
      <c r="BY2106" s="2" t="s">
        <v>242</v>
      </c>
      <c r="BZ2106" s="2" t="s">
        <v>243</v>
      </c>
      <c r="CA2106" s="2" t="s">
        <v>231</v>
      </c>
      <c r="CB2106" s="2" t="s">
        <v>231</v>
      </c>
      <c r="CC2106" s="2" t="s">
        <v>244</v>
      </c>
      <c r="CD2106" s="2" t="s">
        <v>231</v>
      </c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>
        <v>299</v>
      </c>
      <c r="DT2106" s="4"/>
      <c r="DU2106" s="4"/>
      <c r="DV2106" s="4"/>
      <c r="DW2106" s="4"/>
      <c r="DX2106" s="4"/>
      <c r="DY2106" s="4"/>
      <c r="DZ2106" s="4">
        <v>261</v>
      </c>
      <c r="EA2106" s="4"/>
      <c r="EB2106" s="4">
        <v>438</v>
      </c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>
        <v>117</v>
      </c>
      <c r="EX2106" s="4"/>
      <c r="EY2106" s="4">
        <v>273</v>
      </c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  <c r="HG2106" s="4"/>
      <c r="HH2106" s="4"/>
      <c r="HI2106" s="4"/>
      <c r="HJ2106" s="4"/>
      <c r="HK2106" s="4"/>
      <c r="HL2106" s="4"/>
    </row>
    <row r="2107">
      <c r="A2107" s="2" t="s">
        <v>9300</v>
      </c>
      <c r="B2107" s="2" t="s">
        <v>824</v>
      </c>
      <c r="C2107" s="2" t="s">
        <v>825</v>
      </c>
      <c r="D2107" s="2" t="s">
        <v>654</v>
      </c>
      <c r="E2107" s="2" t="s">
        <v>890</v>
      </c>
      <c r="F2107" s="2" t="s">
        <v>9301</v>
      </c>
      <c r="G2107" s="2" t="s">
        <v>6363</v>
      </c>
      <c r="H2107" s="2" t="s">
        <v>9302</v>
      </c>
      <c r="I2107" s="2" t="s">
        <v>9303</v>
      </c>
      <c r="J2107" s="2" t="s">
        <v>832</v>
      </c>
      <c r="K2107" s="2" t="s">
        <v>985</v>
      </c>
      <c r="L2107" s="3">
        <v>33.33</v>
      </c>
      <c r="M2107" s="3">
        <v>35</v>
      </c>
      <c r="N2107" s="3">
        <v>69.99</v>
      </c>
      <c r="O2107" s="2" t="s">
        <v>243</v>
      </c>
      <c r="P2107" s="2" t="s">
        <v>236</v>
      </c>
      <c r="Q2107" s="2" t="s">
        <v>237</v>
      </c>
      <c r="R2107" s="2" t="s">
        <v>231</v>
      </c>
      <c r="S2107" s="2" t="s">
        <v>9304</v>
      </c>
      <c r="T2107" s="2" t="s">
        <v>3671</v>
      </c>
      <c r="U2107" s="2" t="s">
        <v>791</v>
      </c>
      <c r="V2107" s="2" t="s">
        <v>239</v>
      </c>
      <c r="W2107" s="2" t="s">
        <v>299</v>
      </c>
      <c r="X2107" s="2" t="s">
        <v>273</v>
      </c>
      <c r="Y2107" s="2" t="s">
        <v>231</v>
      </c>
      <c r="Z2107" s="4"/>
      <c r="AA2107" s="4">
        <f>=ROUNDDOWN({0},0)</f>
      </c>
      <c r="AB2107" s="5"/>
      <c r="AC2107" s="2" t="s">
        <v>701</v>
      </c>
      <c r="AD2107" s="4">
        <v>70</v>
      </c>
      <c r="AE2107" s="4">
        <v>140</v>
      </c>
      <c r="AF2107" s="6">
        <v>66</v>
      </c>
      <c r="AG2107" s="6"/>
      <c r="AH2107" s="7">
        <v>0</v>
      </c>
      <c r="AI2107" s="4"/>
      <c r="AJ2107" s="4">
        <f>=ROUNDDOWN({0},0)</f>
      </c>
      <c r="AK2107" s="5"/>
      <c r="AL2107" s="2" t="s">
        <v>231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231</v>
      </c>
      <c r="AW2107" s="8" t="s">
        <v>231</v>
      </c>
      <c r="AX2107" s="4" t="s">
        <v>231</v>
      </c>
      <c r="AY2107" s="8" t="s">
        <v>231</v>
      </c>
      <c r="AZ2107" s="7" t="s">
        <v>231</v>
      </c>
      <c r="BA2107" s="7" t="s">
        <v>231</v>
      </c>
      <c r="BB2107" s="7"/>
      <c r="BC2107" s="4" t="s">
        <v>231</v>
      </c>
      <c r="BD2107" s="8" t="s">
        <v>231</v>
      </c>
      <c r="BE2107" s="4" t="s">
        <v>231</v>
      </c>
      <c r="BF2107" s="8" t="s">
        <v>231</v>
      </c>
      <c r="BG2107" s="7" t="s">
        <v>231</v>
      </c>
      <c r="BH2107" s="7" t="s">
        <v>231</v>
      </c>
      <c r="BI2107" s="7"/>
      <c r="BJ2107" s="4"/>
      <c r="BK2107" s="8"/>
      <c r="BL2107" s="2" t="s">
        <v>231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241</v>
      </c>
      <c r="BV2107" s="2" t="s">
        <v>231</v>
      </c>
      <c r="BW2107" s="2" t="s">
        <v>231</v>
      </c>
      <c r="BX2107" s="2" t="s">
        <v>241</v>
      </c>
      <c r="BY2107" s="2" t="s">
        <v>242</v>
      </c>
      <c r="BZ2107" s="2" t="s">
        <v>243</v>
      </c>
      <c r="CA2107" s="2" t="s">
        <v>231</v>
      </c>
      <c r="CB2107" s="2" t="s">
        <v>231</v>
      </c>
      <c r="CC2107" s="2" t="s">
        <v>244</v>
      </c>
      <c r="CD2107" s="2" t="s">
        <v>231</v>
      </c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>
        <v>70</v>
      </c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>
        <v>70</v>
      </c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/>
      <c r="HJ2107" s="4"/>
      <c r="HK2107" s="4"/>
      <c r="HL2107" s="4"/>
    </row>
    <row r="2108">
      <c r="A2108" s="2" t="s">
        <v>9305</v>
      </c>
      <c r="B2108" s="2" t="s">
        <v>824</v>
      </c>
      <c r="C2108" s="2" t="s">
        <v>825</v>
      </c>
      <c r="D2108" s="2" t="s">
        <v>654</v>
      </c>
      <c r="E2108" s="2" t="s">
        <v>890</v>
      </c>
      <c r="F2108" s="2" t="s">
        <v>9301</v>
      </c>
      <c r="G2108" s="2" t="s">
        <v>6363</v>
      </c>
      <c r="H2108" s="2" t="s">
        <v>9302</v>
      </c>
      <c r="I2108" s="2" t="s">
        <v>9303</v>
      </c>
      <c r="J2108" s="2" t="s">
        <v>658</v>
      </c>
      <c r="K2108" s="2" t="s">
        <v>985</v>
      </c>
      <c r="L2108" s="3">
        <v>42.85</v>
      </c>
      <c r="M2108" s="3">
        <v>44.99</v>
      </c>
      <c r="N2108" s="3">
        <v>89.99</v>
      </c>
      <c r="O2108" s="2" t="s">
        <v>243</v>
      </c>
      <c r="P2108" s="2" t="s">
        <v>236</v>
      </c>
      <c r="Q2108" s="2" t="s">
        <v>237</v>
      </c>
      <c r="R2108" s="2" t="s">
        <v>231</v>
      </c>
      <c r="S2108" s="2" t="s">
        <v>9304</v>
      </c>
      <c r="T2108" s="2" t="s">
        <v>3671</v>
      </c>
      <c r="U2108" s="2" t="s">
        <v>835</v>
      </c>
      <c r="V2108" s="2" t="s">
        <v>239</v>
      </c>
      <c r="W2108" s="2" t="s">
        <v>299</v>
      </c>
      <c r="X2108" s="2" t="s">
        <v>273</v>
      </c>
      <c r="Y2108" s="2" t="s">
        <v>231</v>
      </c>
      <c r="Z2108" s="4"/>
      <c r="AA2108" s="4">
        <f>=ROUNDDOWN({0},0)</f>
      </c>
      <c r="AB2108" s="5"/>
      <c r="AC2108" s="2" t="s">
        <v>701</v>
      </c>
      <c r="AD2108" s="4">
        <v>190</v>
      </c>
      <c r="AE2108" s="4">
        <v>380</v>
      </c>
      <c r="AF2108" s="6">
        <v>66</v>
      </c>
      <c r="AG2108" s="6"/>
      <c r="AH2108" s="7">
        <v>0</v>
      </c>
      <c r="AI2108" s="4"/>
      <c r="AJ2108" s="4">
        <f>=ROUNDDOWN({0},0)</f>
      </c>
      <c r="AK2108" s="5"/>
      <c r="AL2108" s="2" t="s">
        <v>231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231</v>
      </c>
      <c r="AW2108" s="8" t="s">
        <v>231</v>
      </c>
      <c r="AX2108" s="4" t="s">
        <v>231</v>
      </c>
      <c r="AY2108" s="8" t="s">
        <v>231</v>
      </c>
      <c r="AZ2108" s="7" t="s">
        <v>231</v>
      </c>
      <c r="BA2108" s="7" t="s">
        <v>231</v>
      </c>
      <c r="BB2108" s="7"/>
      <c r="BC2108" s="4" t="s">
        <v>231</v>
      </c>
      <c r="BD2108" s="8" t="s">
        <v>231</v>
      </c>
      <c r="BE2108" s="4" t="s">
        <v>231</v>
      </c>
      <c r="BF2108" s="8" t="s">
        <v>231</v>
      </c>
      <c r="BG2108" s="7" t="s">
        <v>231</v>
      </c>
      <c r="BH2108" s="7" t="s">
        <v>231</v>
      </c>
      <c r="BI2108" s="7"/>
      <c r="BJ2108" s="4"/>
      <c r="BK2108" s="8"/>
      <c r="BL2108" s="2" t="s">
        <v>231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241</v>
      </c>
      <c r="BV2108" s="2" t="s">
        <v>231</v>
      </c>
      <c r="BW2108" s="2" t="s">
        <v>231</v>
      </c>
      <c r="BX2108" s="2" t="s">
        <v>241</v>
      </c>
      <c r="BY2108" s="2" t="s">
        <v>242</v>
      </c>
      <c r="BZ2108" s="2" t="s">
        <v>243</v>
      </c>
      <c r="CA2108" s="2" t="s">
        <v>231</v>
      </c>
      <c r="CB2108" s="2" t="s">
        <v>231</v>
      </c>
      <c r="CC2108" s="2" t="s">
        <v>244</v>
      </c>
      <c r="CD2108" s="2" t="s">
        <v>231</v>
      </c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>
        <v>190</v>
      </c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>
        <v>190</v>
      </c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  <c r="HG2108" s="4"/>
      <c r="HH2108" s="4"/>
      <c r="HI2108" s="4"/>
      <c r="HJ2108" s="4"/>
      <c r="HK2108" s="4"/>
      <c r="HL2108" s="4"/>
    </row>
    <row r="2109">
      <c r="A2109" s="2" t="s">
        <v>9306</v>
      </c>
      <c r="B2109" s="2" t="s">
        <v>824</v>
      </c>
      <c r="C2109" s="2" t="s">
        <v>825</v>
      </c>
      <c r="D2109" s="2" t="s">
        <v>654</v>
      </c>
      <c r="E2109" s="2" t="s">
        <v>890</v>
      </c>
      <c r="F2109" s="2" t="s">
        <v>9301</v>
      </c>
      <c r="G2109" s="2" t="s">
        <v>6363</v>
      </c>
      <c r="H2109" s="2" t="s">
        <v>9302</v>
      </c>
      <c r="I2109" s="2" t="s">
        <v>9303</v>
      </c>
      <c r="J2109" s="2" t="s">
        <v>669</v>
      </c>
      <c r="K2109" s="2" t="s">
        <v>985</v>
      </c>
      <c r="L2109" s="3">
        <v>47.61</v>
      </c>
      <c r="M2109" s="3">
        <v>49.99</v>
      </c>
      <c r="N2109" s="3">
        <v>99.99</v>
      </c>
      <c r="O2109" s="2" t="s">
        <v>243</v>
      </c>
      <c r="P2109" s="2" t="s">
        <v>236</v>
      </c>
      <c r="Q2109" s="2" t="s">
        <v>237</v>
      </c>
      <c r="R2109" s="2" t="s">
        <v>231</v>
      </c>
      <c r="S2109" s="2" t="s">
        <v>9304</v>
      </c>
      <c r="T2109" s="2" t="s">
        <v>3671</v>
      </c>
      <c r="U2109" s="2" t="s">
        <v>835</v>
      </c>
      <c r="V2109" s="2" t="s">
        <v>239</v>
      </c>
      <c r="W2109" s="2" t="s">
        <v>299</v>
      </c>
      <c r="X2109" s="2" t="s">
        <v>273</v>
      </c>
      <c r="Y2109" s="2" t="s">
        <v>231</v>
      </c>
      <c r="Z2109" s="4"/>
      <c r="AA2109" s="4">
        <f>=ROUNDDOWN({0},0)</f>
      </c>
      <c r="AB2109" s="5"/>
      <c r="AC2109" s="2" t="s">
        <v>701</v>
      </c>
      <c r="AD2109" s="4">
        <v>140</v>
      </c>
      <c r="AE2109" s="4">
        <v>280</v>
      </c>
      <c r="AF2109" s="6">
        <v>66</v>
      </c>
      <c r="AG2109" s="6"/>
      <c r="AH2109" s="7">
        <v>0</v>
      </c>
      <c r="AI2109" s="4"/>
      <c r="AJ2109" s="4">
        <f>=ROUNDDOWN({0},0)</f>
      </c>
      <c r="AK2109" s="5"/>
      <c r="AL2109" s="2" t="s">
        <v>231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231</v>
      </c>
      <c r="AW2109" s="8" t="s">
        <v>231</v>
      </c>
      <c r="AX2109" s="4" t="s">
        <v>231</v>
      </c>
      <c r="AY2109" s="8" t="s">
        <v>231</v>
      </c>
      <c r="AZ2109" s="7" t="s">
        <v>231</v>
      </c>
      <c r="BA2109" s="7" t="s">
        <v>231</v>
      </c>
      <c r="BB2109" s="7"/>
      <c r="BC2109" s="4" t="s">
        <v>231</v>
      </c>
      <c r="BD2109" s="8" t="s">
        <v>231</v>
      </c>
      <c r="BE2109" s="4" t="s">
        <v>231</v>
      </c>
      <c r="BF2109" s="8" t="s">
        <v>231</v>
      </c>
      <c r="BG2109" s="7" t="s">
        <v>231</v>
      </c>
      <c r="BH2109" s="7" t="s">
        <v>231</v>
      </c>
      <c r="BI2109" s="7"/>
      <c r="BJ2109" s="4"/>
      <c r="BK2109" s="8"/>
      <c r="BL2109" s="2" t="s">
        <v>231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241</v>
      </c>
      <c r="BV2109" s="2" t="s">
        <v>231</v>
      </c>
      <c r="BW2109" s="2" t="s">
        <v>231</v>
      </c>
      <c r="BX2109" s="2" t="s">
        <v>241</v>
      </c>
      <c r="BY2109" s="2" t="s">
        <v>242</v>
      </c>
      <c r="BZ2109" s="2" t="s">
        <v>243</v>
      </c>
      <c r="CA2109" s="2" t="s">
        <v>231</v>
      </c>
      <c r="CB2109" s="2" t="s">
        <v>231</v>
      </c>
      <c r="CC2109" s="2" t="s">
        <v>244</v>
      </c>
      <c r="CD2109" s="2" t="s">
        <v>231</v>
      </c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>
        <v>140</v>
      </c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>
        <v>140</v>
      </c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  <c r="HF2109" s="4"/>
      <c r="HG2109" s="4"/>
      <c r="HH2109" s="4"/>
      <c r="HI2109" s="4"/>
      <c r="HJ2109" s="4"/>
      <c r="HK2109" s="4"/>
      <c r="HL2109" s="4"/>
    </row>
    <row r="2110">
      <c r="A2110" s="2" t="s">
        <v>9307</v>
      </c>
      <c r="B2110" s="2" t="s">
        <v>824</v>
      </c>
      <c r="C2110" s="2" t="s">
        <v>825</v>
      </c>
      <c r="D2110" s="2" t="s">
        <v>654</v>
      </c>
      <c r="E2110" s="2" t="s">
        <v>890</v>
      </c>
      <c r="F2110" s="2" t="s">
        <v>9301</v>
      </c>
      <c r="G2110" s="2" t="s">
        <v>6363</v>
      </c>
      <c r="H2110" s="2" t="s">
        <v>9302</v>
      </c>
      <c r="I2110" s="2" t="s">
        <v>9303</v>
      </c>
      <c r="J2110" s="2" t="s">
        <v>832</v>
      </c>
      <c r="K2110" s="2" t="s">
        <v>486</v>
      </c>
      <c r="L2110" s="3">
        <v>33.33</v>
      </c>
      <c r="M2110" s="3">
        <v>35</v>
      </c>
      <c r="N2110" s="3">
        <v>69.99</v>
      </c>
      <c r="O2110" s="2" t="s">
        <v>243</v>
      </c>
      <c r="P2110" s="2" t="s">
        <v>270</v>
      </c>
      <c r="Q2110" s="2" t="s">
        <v>237</v>
      </c>
      <c r="R2110" s="2" t="s">
        <v>231</v>
      </c>
      <c r="S2110" s="2" t="s">
        <v>9308</v>
      </c>
      <c r="T2110" s="2" t="s">
        <v>3671</v>
      </c>
      <c r="U2110" s="2" t="s">
        <v>791</v>
      </c>
      <c r="V2110" s="2" t="s">
        <v>239</v>
      </c>
      <c r="W2110" s="2" t="s">
        <v>299</v>
      </c>
      <c r="X2110" s="2" t="s">
        <v>273</v>
      </c>
      <c r="Y2110" s="2" t="s">
        <v>1878</v>
      </c>
      <c r="Z2110" s="4">
        <v>95</v>
      </c>
      <c r="AA2110" s="4">
        <f>=ROUNDDOWN(19,0)</f>
      </c>
      <c r="AB2110" s="5">
        <v>5</v>
      </c>
      <c r="AC2110" s="2" t="s">
        <v>1128</v>
      </c>
      <c r="AD2110" s="4">
        <v>120</v>
      </c>
      <c r="AE2110" s="4">
        <v>210</v>
      </c>
      <c r="AF2110" s="6">
        <v>64</v>
      </c>
      <c r="AG2110" s="6"/>
      <c r="AH2110" s="7">
        <v>1</v>
      </c>
      <c r="AI2110" s="4"/>
      <c r="AJ2110" s="4">
        <f>=ROUNDDOWN({0},0)</f>
      </c>
      <c r="AK2110" s="5"/>
      <c r="AL2110" s="2" t="s">
        <v>231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231</v>
      </c>
      <c r="AW2110" s="8" t="s">
        <v>231</v>
      </c>
      <c r="AX2110" s="4" t="s">
        <v>231</v>
      </c>
      <c r="AY2110" s="8" t="s">
        <v>231</v>
      </c>
      <c r="AZ2110" s="7" t="s">
        <v>231</v>
      </c>
      <c r="BA2110" s="7" t="s">
        <v>231</v>
      </c>
      <c r="BB2110" s="7"/>
      <c r="BC2110" s="4" t="s">
        <v>231</v>
      </c>
      <c r="BD2110" s="8" t="s">
        <v>231</v>
      </c>
      <c r="BE2110" s="4" t="s">
        <v>231</v>
      </c>
      <c r="BF2110" s="8" t="s">
        <v>231</v>
      </c>
      <c r="BG2110" s="7" t="s">
        <v>231</v>
      </c>
      <c r="BH2110" s="7" t="s">
        <v>231</v>
      </c>
      <c r="BI2110" s="7"/>
      <c r="BJ2110" s="4">
        <v>4</v>
      </c>
      <c r="BK2110" s="8">
        <v>151.2</v>
      </c>
      <c r="BL2110" s="2" t="s">
        <v>838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9309</v>
      </c>
      <c r="BV2110" s="2" t="s">
        <v>231</v>
      </c>
      <c r="BW2110" s="2" t="s">
        <v>231</v>
      </c>
      <c r="BX2110" s="2" t="s">
        <v>241</v>
      </c>
      <c r="BY2110" s="2" t="s">
        <v>277</v>
      </c>
      <c r="BZ2110" s="2" t="s">
        <v>243</v>
      </c>
      <c r="CA2110" s="2" t="s">
        <v>2342</v>
      </c>
      <c r="CB2110" s="2" t="s">
        <v>1958</v>
      </c>
      <c r="CC2110" s="2" t="s">
        <v>244</v>
      </c>
      <c r="CD2110" s="2" t="s">
        <v>231</v>
      </c>
      <c r="CE2110" s="4">
        <v>95</v>
      </c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>
        <v>120</v>
      </c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>
        <v>90</v>
      </c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  <c r="HF2110" s="4"/>
      <c r="HG2110" s="4"/>
      <c r="HH2110" s="4"/>
      <c r="HI2110" s="4"/>
      <c r="HJ2110" s="4"/>
      <c r="HK2110" s="4"/>
      <c r="HL2110" s="4"/>
    </row>
    <row r="2111">
      <c r="A2111" s="2" t="s">
        <v>9310</v>
      </c>
      <c r="B2111" s="2" t="s">
        <v>824</v>
      </c>
      <c r="C2111" s="2" t="s">
        <v>825</v>
      </c>
      <c r="D2111" s="2" t="s">
        <v>654</v>
      </c>
      <c r="E2111" s="2" t="s">
        <v>890</v>
      </c>
      <c r="F2111" s="2" t="s">
        <v>9301</v>
      </c>
      <c r="G2111" s="2" t="s">
        <v>6363</v>
      </c>
      <c r="H2111" s="2" t="s">
        <v>9302</v>
      </c>
      <c r="I2111" s="2" t="s">
        <v>9303</v>
      </c>
      <c r="J2111" s="2" t="s">
        <v>658</v>
      </c>
      <c r="K2111" s="2" t="s">
        <v>486</v>
      </c>
      <c r="L2111" s="3">
        <v>42.85</v>
      </c>
      <c r="M2111" s="3">
        <v>44.99</v>
      </c>
      <c r="N2111" s="3">
        <v>89.99</v>
      </c>
      <c r="O2111" s="2" t="s">
        <v>243</v>
      </c>
      <c r="P2111" s="2" t="s">
        <v>270</v>
      </c>
      <c r="Q2111" s="2" t="s">
        <v>237</v>
      </c>
      <c r="R2111" s="2" t="s">
        <v>231</v>
      </c>
      <c r="S2111" s="2" t="s">
        <v>9308</v>
      </c>
      <c r="T2111" s="2" t="s">
        <v>3671</v>
      </c>
      <c r="U2111" s="2" t="s">
        <v>835</v>
      </c>
      <c r="V2111" s="2" t="s">
        <v>239</v>
      </c>
      <c r="W2111" s="2" t="s">
        <v>299</v>
      </c>
      <c r="X2111" s="2" t="s">
        <v>273</v>
      </c>
      <c r="Y2111" s="2" t="s">
        <v>921</v>
      </c>
      <c r="Z2111" s="4">
        <v>128</v>
      </c>
      <c r="AA2111" s="4">
        <f>=ROUNDDOWN(12.8,0)</f>
      </c>
      <c r="AB2111" s="5">
        <v>10</v>
      </c>
      <c r="AC2111" s="2" t="s">
        <v>1128</v>
      </c>
      <c r="AD2111" s="4">
        <v>270</v>
      </c>
      <c r="AE2111" s="4">
        <v>470</v>
      </c>
      <c r="AF2111" s="6">
        <v>64</v>
      </c>
      <c r="AG2111" s="6"/>
      <c r="AH2111" s="7">
        <v>1</v>
      </c>
      <c r="AI2111" s="4"/>
      <c r="AJ2111" s="4">
        <f>=ROUNDDOWN({0},0)</f>
      </c>
      <c r="AK2111" s="5"/>
      <c r="AL2111" s="2" t="s">
        <v>231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231</v>
      </c>
      <c r="AW2111" s="8" t="s">
        <v>231</v>
      </c>
      <c r="AX2111" s="4" t="s">
        <v>231</v>
      </c>
      <c r="AY2111" s="8" t="s">
        <v>231</v>
      </c>
      <c r="AZ2111" s="7" t="s">
        <v>231</v>
      </c>
      <c r="BA2111" s="7" t="s">
        <v>231</v>
      </c>
      <c r="BB2111" s="7"/>
      <c r="BC2111" s="4" t="s">
        <v>231</v>
      </c>
      <c r="BD2111" s="8" t="s">
        <v>231</v>
      </c>
      <c r="BE2111" s="4" t="s">
        <v>231</v>
      </c>
      <c r="BF2111" s="8" t="s">
        <v>231</v>
      </c>
      <c r="BG2111" s="7" t="s">
        <v>231</v>
      </c>
      <c r="BH2111" s="7" t="s">
        <v>231</v>
      </c>
      <c r="BI2111" s="7"/>
      <c r="BJ2111" s="4">
        <v>16</v>
      </c>
      <c r="BK2111" s="8">
        <v>771.54</v>
      </c>
      <c r="BL2111" s="2" t="s">
        <v>9311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9312</v>
      </c>
      <c r="BV2111" s="2" t="s">
        <v>231</v>
      </c>
      <c r="BW2111" s="2" t="s">
        <v>231</v>
      </c>
      <c r="BX2111" s="2" t="s">
        <v>241</v>
      </c>
      <c r="BY2111" s="2" t="s">
        <v>277</v>
      </c>
      <c r="BZ2111" s="2" t="s">
        <v>243</v>
      </c>
      <c r="CA2111" s="2" t="s">
        <v>2342</v>
      </c>
      <c r="CB2111" s="2" t="s">
        <v>6600</v>
      </c>
      <c r="CC2111" s="2" t="s">
        <v>244</v>
      </c>
      <c r="CD2111" s="2" t="s">
        <v>231</v>
      </c>
      <c r="CE2111" s="4">
        <v>128</v>
      </c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>
        <v>270</v>
      </c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>
        <v>200</v>
      </c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  <c r="HF2111" s="4"/>
      <c r="HG2111" s="4"/>
      <c r="HH2111" s="4"/>
      <c r="HI2111" s="4"/>
      <c r="HJ2111" s="4"/>
      <c r="HK2111" s="4"/>
      <c r="HL2111" s="4"/>
    </row>
    <row r="2112">
      <c r="A2112" s="2" t="s">
        <v>9313</v>
      </c>
      <c r="B2112" s="2" t="s">
        <v>824</v>
      </c>
      <c r="C2112" s="2" t="s">
        <v>825</v>
      </c>
      <c r="D2112" s="2" t="s">
        <v>654</v>
      </c>
      <c r="E2112" s="2" t="s">
        <v>890</v>
      </c>
      <c r="F2112" s="2" t="s">
        <v>9301</v>
      </c>
      <c r="G2112" s="2" t="s">
        <v>6363</v>
      </c>
      <c r="H2112" s="2" t="s">
        <v>9302</v>
      </c>
      <c r="I2112" s="2" t="s">
        <v>9303</v>
      </c>
      <c r="J2112" s="2" t="s">
        <v>669</v>
      </c>
      <c r="K2112" s="2" t="s">
        <v>486</v>
      </c>
      <c r="L2112" s="3">
        <v>47.61</v>
      </c>
      <c r="M2112" s="3">
        <v>49.99</v>
      </c>
      <c r="N2112" s="3">
        <v>99.99</v>
      </c>
      <c r="O2112" s="2" t="s">
        <v>243</v>
      </c>
      <c r="P2112" s="2" t="s">
        <v>270</v>
      </c>
      <c r="Q2112" s="2" t="s">
        <v>237</v>
      </c>
      <c r="R2112" s="2" t="s">
        <v>231</v>
      </c>
      <c r="S2112" s="2" t="s">
        <v>9308</v>
      </c>
      <c r="T2112" s="2" t="s">
        <v>3671</v>
      </c>
      <c r="U2112" s="2" t="s">
        <v>835</v>
      </c>
      <c r="V2112" s="2" t="s">
        <v>239</v>
      </c>
      <c r="W2112" s="2" t="s">
        <v>299</v>
      </c>
      <c r="X2112" s="2" t="s">
        <v>273</v>
      </c>
      <c r="Y2112" s="2" t="s">
        <v>921</v>
      </c>
      <c r="Z2112" s="4">
        <v>223</v>
      </c>
      <c r="AA2112" s="4">
        <f>=ROUNDDOWN(55.75,0)</f>
      </c>
      <c r="AB2112" s="5">
        <v>4</v>
      </c>
      <c r="AC2112" s="2" t="s">
        <v>1128</v>
      </c>
      <c r="AD2112" s="4">
        <v>50</v>
      </c>
      <c r="AE2112" s="4">
        <v>50</v>
      </c>
      <c r="AF2112" s="6">
        <v>64</v>
      </c>
      <c r="AG2112" s="6"/>
      <c r="AH2112" s="7">
        <v>1</v>
      </c>
      <c r="AI2112" s="4"/>
      <c r="AJ2112" s="4">
        <f>=ROUNDDOWN({0},0)</f>
      </c>
      <c r="AK2112" s="5"/>
      <c r="AL2112" s="2" t="s">
        <v>231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231</v>
      </c>
      <c r="AW2112" s="8" t="s">
        <v>231</v>
      </c>
      <c r="AX2112" s="4" t="s">
        <v>231</v>
      </c>
      <c r="AY2112" s="8" t="s">
        <v>231</v>
      </c>
      <c r="AZ2112" s="7" t="s">
        <v>231</v>
      </c>
      <c r="BA2112" s="7" t="s">
        <v>231</v>
      </c>
      <c r="BB2112" s="7"/>
      <c r="BC2112" s="4" t="s">
        <v>231</v>
      </c>
      <c r="BD2112" s="8" t="s">
        <v>231</v>
      </c>
      <c r="BE2112" s="4" t="s">
        <v>231</v>
      </c>
      <c r="BF2112" s="8" t="s">
        <v>231</v>
      </c>
      <c r="BG2112" s="7" t="s">
        <v>231</v>
      </c>
      <c r="BH2112" s="7" t="s">
        <v>231</v>
      </c>
      <c r="BI2112" s="7"/>
      <c r="BJ2112" s="4">
        <v>5</v>
      </c>
      <c r="BK2112" s="8">
        <v>267.97</v>
      </c>
      <c r="BL2112" s="2" t="s">
        <v>9314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9315</v>
      </c>
      <c r="BV2112" s="2" t="s">
        <v>231</v>
      </c>
      <c r="BW2112" s="2" t="s">
        <v>231</v>
      </c>
      <c r="BX2112" s="2" t="s">
        <v>241</v>
      </c>
      <c r="BY2112" s="2" t="s">
        <v>277</v>
      </c>
      <c r="BZ2112" s="2" t="s">
        <v>243</v>
      </c>
      <c r="CA2112" s="2" t="s">
        <v>2342</v>
      </c>
      <c r="CB2112" s="2" t="s">
        <v>8472</v>
      </c>
      <c r="CC2112" s="2" t="s">
        <v>244</v>
      </c>
      <c r="CD2112" s="2" t="s">
        <v>231</v>
      </c>
      <c r="CE2112" s="4">
        <v>223</v>
      </c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>
        <v>50</v>
      </c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  <c r="HG2112" s="4"/>
      <c r="HH2112" s="4"/>
      <c r="HI2112" s="4"/>
      <c r="HJ2112" s="4"/>
      <c r="HK2112" s="4"/>
      <c r="HL2112" s="4"/>
    </row>
    <row r="2113">
      <c r="A2113" s="2" t="s">
        <v>9316</v>
      </c>
      <c r="B2113" s="2" t="s">
        <v>824</v>
      </c>
      <c r="C2113" s="2" t="s">
        <v>825</v>
      </c>
      <c r="D2113" s="2" t="s">
        <v>654</v>
      </c>
      <c r="E2113" s="2" t="s">
        <v>890</v>
      </c>
      <c r="F2113" s="2" t="s">
        <v>9301</v>
      </c>
      <c r="G2113" s="2" t="s">
        <v>6363</v>
      </c>
      <c r="H2113" s="2" t="s">
        <v>9302</v>
      </c>
      <c r="I2113" s="2" t="s">
        <v>9303</v>
      </c>
      <c r="J2113" s="2" t="s">
        <v>832</v>
      </c>
      <c r="K2113" s="2" t="s">
        <v>682</v>
      </c>
      <c r="L2113" s="3">
        <v>33.33</v>
      </c>
      <c r="M2113" s="3">
        <v>35</v>
      </c>
      <c r="N2113" s="3">
        <v>69.99</v>
      </c>
      <c r="O2113" s="2" t="s">
        <v>243</v>
      </c>
      <c r="P2113" s="2" t="s">
        <v>236</v>
      </c>
      <c r="Q2113" s="2" t="s">
        <v>237</v>
      </c>
      <c r="R2113" s="2" t="s">
        <v>231</v>
      </c>
      <c r="S2113" s="2" t="s">
        <v>9317</v>
      </c>
      <c r="T2113" s="2" t="s">
        <v>3671</v>
      </c>
      <c r="U2113" s="2" t="s">
        <v>791</v>
      </c>
      <c r="V2113" s="2" t="s">
        <v>239</v>
      </c>
      <c r="W2113" s="2" t="s">
        <v>299</v>
      </c>
      <c r="X2113" s="2" t="s">
        <v>273</v>
      </c>
      <c r="Y2113" s="2" t="s">
        <v>231</v>
      </c>
      <c r="Z2113" s="4"/>
      <c r="AA2113" s="4">
        <f>=ROUNDDOWN({0},0)</f>
      </c>
      <c r="AB2113" s="5"/>
      <c r="AC2113" s="2" t="s">
        <v>701</v>
      </c>
      <c r="AD2113" s="4">
        <v>65</v>
      </c>
      <c r="AE2113" s="4">
        <v>130</v>
      </c>
      <c r="AF2113" s="6">
        <v>66</v>
      </c>
      <c r="AG2113" s="6"/>
      <c r="AH2113" s="7">
        <v>0</v>
      </c>
      <c r="AI2113" s="4"/>
      <c r="AJ2113" s="4">
        <f>=ROUNDDOWN({0},0)</f>
      </c>
      <c r="AK2113" s="5"/>
      <c r="AL2113" s="2" t="s">
        <v>231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231</v>
      </c>
      <c r="AW2113" s="8" t="s">
        <v>231</v>
      </c>
      <c r="AX2113" s="4" t="s">
        <v>231</v>
      </c>
      <c r="AY2113" s="8" t="s">
        <v>231</v>
      </c>
      <c r="AZ2113" s="7" t="s">
        <v>231</v>
      </c>
      <c r="BA2113" s="7" t="s">
        <v>231</v>
      </c>
      <c r="BB2113" s="7"/>
      <c r="BC2113" s="4" t="s">
        <v>231</v>
      </c>
      <c r="BD2113" s="8" t="s">
        <v>231</v>
      </c>
      <c r="BE2113" s="4" t="s">
        <v>231</v>
      </c>
      <c r="BF2113" s="8" t="s">
        <v>231</v>
      </c>
      <c r="BG2113" s="7" t="s">
        <v>231</v>
      </c>
      <c r="BH2113" s="7" t="s">
        <v>231</v>
      </c>
      <c r="BI2113" s="7"/>
      <c r="BJ2113" s="4"/>
      <c r="BK2113" s="8"/>
      <c r="BL2113" s="2" t="s">
        <v>231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241</v>
      </c>
      <c r="BV2113" s="2" t="s">
        <v>231</v>
      </c>
      <c r="BW2113" s="2" t="s">
        <v>231</v>
      </c>
      <c r="BX2113" s="2" t="s">
        <v>241</v>
      </c>
      <c r="BY2113" s="2" t="s">
        <v>242</v>
      </c>
      <c r="BZ2113" s="2" t="s">
        <v>243</v>
      </c>
      <c r="CA2113" s="2" t="s">
        <v>231</v>
      </c>
      <c r="CB2113" s="2" t="s">
        <v>231</v>
      </c>
      <c r="CC2113" s="2" t="s">
        <v>244</v>
      </c>
      <c r="CD2113" s="2" t="s">
        <v>231</v>
      </c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>
        <v>65</v>
      </c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>
        <v>65</v>
      </c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  <c r="HG2113" s="4"/>
      <c r="HH2113" s="4"/>
      <c r="HI2113" s="4"/>
      <c r="HJ2113" s="4"/>
      <c r="HK2113" s="4"/>
      <c r="HL2113" s="4"/>
    </row>
    <row r="2114">
      <c r="A2114" s="2" t="s">
        <v>9318</v>
      </c>
      <c r="B2114" s="2" t="s">
        <v>824</v>
      </c>
      <c r="C2114" s="2" t="s">
        <v>825</v>
      </c>
      <c r="D2114" s="2" t="s">
        <v>654</v>
      </c>
      <c r="E2114" s="2" t="s">
        <v>890</v>
      </c>
      <c r="F2114" s="2" t="s">
        <v>9301</v>
      </c>
      <c r="G2114" s="2" t="s">
        <v>6363</v>
      </c>
      <c r="H2114" s="2" t="s">
        <v>9302</v>
      </c>
      <c r="I2114" s="2" t="s">
        <v>9303</v>
      </c>
      <c r="J2114" s="2" t="s">
        <v>658</v>
      </c>
      <c r="K2114" s="2" t="s">
        <v>682</v>
      </c>
      <c r="L2114" s="3">
        <v>42.85</v>
      </c>
      <c r="M2114" s="3">
        <v>44.99</v>
      </c>
      <c r="N2114" s="3">
        <v>89.99</v>
      </c>
      <c r="O2114" s="2" t="s">
        <v>243</v>
      </c>
      <c r="P2114" s="2" t="s">
        <v>236</v>
      </c>
      <c r="Q2114" s="2" t="s">
        <v>237</v>
      </c>
      <c r="R2114" s="2" t="s">
        <v>231</v>
      </c>
      <c r="S2114" s="2" t="s">
        <v>9317</v>
      </c>
      <c r="T2114" s="2" t="s">
        <v>3671</v>
      </c>
      <c r="U2114" s="2" t="s">
        <v>835</v>
      </c>
      <c r="V2114" s="2" t="s">
        <v>239</v>
      </c>
      <c r="W2114" s="2" t="s">
        <v>299</v>
      </c>
      <c r="X2114" s="2" t="s">
        <v>273</v>
      </c>
      <c r="Y2114" s="2" t="s">
        <v>231</v>
      </c>
      <c r="Z2114" s="4"/>
      <c r="AA2114" s="4">
        <f>=ROUNDDOWN({0},0)</f>
      </c>
      <c r="AB2114" s="5"/>
      <c r="AC2114" s="2" t="s">
        <v>701</v>
      </c>
      <c r="AD2114" s="4">
        <v>250</v>
      </c>
      <c r="AE2114" s="4">
        <v>500</v>
      </c>
      <c r="AF2114" s="6">
        <v>66</v>
      </c>
      <c r="AG2114" s="6"/>
      <c r="AH2114" s="7">
        <v>0</v>
      </c>
      <c r="AI2114" s="4"/>
      <c r="AJ2114" s="4">
        <f>=ROUNDDOWN({0},0)</f>
      </c>
      <c r="AK2114" s="5"/>
      <c r="AL2114" s="2" t="s">
        <v>231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231</v>
      </c>
      <c r="AW2114" s="8" t="s">
        <v>231</v>
      </c>
      <c r="AX2114" s="4" t="s">
        <v>231</v>
      </c>
      <c r="AY2114" s="8" t="s">
        <v>231</v>
      </c>
      <c r="AZ2114" s="7" t="s">
        <v>231</v>
      </c>
      <c r="BA2114" s="7" t="s">
        <v>231</v>
      </c>
      <c r="BB2114" s="7"/>
      <c r="BC2114" s="4" t="s">
        <v>231</v>
      </c>
      <c r="BD2114" s="8" t="s">
        <v>231</v>
      </c>
      <c r="BE2114" s="4" t="s">
        <v>231</v>
      </c>
      <c r="BF2114" s="8" t="s">
        <v>231</v>
      </c>
      <c r="BG2114" s="7" t="s">
        <v>231</v>
      </c>
      <c r="BH2114" s="7" t="s">
        <v>231</v>
      </c>
      <c r="BI2114" s="7"/>
      <c r="BJ2114" s="4"/>
      <c r="BK2114" s="8"/>
      <c r="BL2114" s="2" t="s">
        <v>231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241</v>
      </c>
      <c r="BV2114" s="2" t="s">
        <v>231</v>
      </c>
      <c r="BW2114" s="2" t="s">
        <v>231</v>
      </c>
      <c r="BX2114" s="2" t="s">
        <v>241</v>
      </c>
      <c r="BY2114" s="2" t="s">
        <v>242</v>
      </c>
      <c r="BZ2114" s="2" t="s">
        <v>243</v>
      </c>
      <c r="CA2114" s="2" t="s">
        <v>231</v>
      </c>
      <c r="CB2114" s="2" t="s">
        <v>231</v>
      </c>
      <c r="CC2114" s="2" t="s">
        <v>244</v>
      </c>
      <c r="CD2114" s="2" t="s">
        <v>231</v>
      </c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>
        <v>250</v>
      </c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>
        <v>250</v>
      </c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  <c r="HG2114" s="4"/>
      <c r="HH2114" s="4"/>
      <c r="HI2114" s="4"/>
      <c r="HJ2114" s="4"/>
      <c r="HK2114" s="4"/>
      <c r="HL2114" s="4"/>
    </row>
    <row r="2115">
      <c r="A2115" s="2" t="s">
        <v>9319</v>
      </c>
      <c r="B2115" s="2" t="s">
        <v>824</v>
      </c>
      <c r="C2115" s="2" t="s">
        <v>825</v>
      </c>
      <c r="D2115" s="2" t="s">
        <v>654</v>
      </c>
      <c r="E2115" s="2" t="s">
        <v>890</v>
      </c>
      <c r="F2115" s="2" t="s">
        <v>9301</v>
      </c>
      <c r="G2115" s="2" t="s">
        <v>6363</v>
      </c>
      <c r="H2115" s="2" t="s">
        <v>9302</v>
      </c>
      <c r="I2115" s="2" t="s">
        <v>9303</v>
      </c>
      <c r="J2115" s="2" t="s">
        <v>669</v>
      </c>
      <c r="K2115" s="2" t="s">
        <v>682</v>
      </c>
      <c r="L2115" s="3">
        <v>47.61</v>
      </c>
      <c r="M2115" s="3">
        <v>49.99</v>
      </c>
      <c r="N2115" s="3">
        <v>99.99</v>
      </c>
      <c r="O2115" s="2" t="s">
        <v>243</v>
      </c>
      <c r="P2115" s="2" t="s">
        <v>236</v>
      </c>
      <c r="Q2115" s="2" t="s">
        <v>237</v>
      </c>
      <c r="R2115" s="2" t="s">
        <v>231</v>
      </c>
      <c r="S2115" s="2" t="s">
        <v>9317</v>
      </c>
      <c r="T2115" s="2" t="s">
        <v>3671</v>
      </c>
      <c r="U2115" s="2" t="s">
        <v>835</v>
      </c>
      <c r="V2115" s="2" t="s">
        <v>239</v>
      </c>
      <c r="W2115" s="2" t="s">
        <v>299</v>
      </c>
      <c r="X2115" s="2" t="s">
        <v>273</v>
      </c>
      <c r="Y2115" s="2" t="s">
        <v>231</v>
      </c>
      <c r="Z2115" s="4"/>
      <c r="AA2115" s="4">
        <f>=ROUNDDOWN({0},0)</f>
      </c>
      <c r="AB2115" s="5"/>
      <c r="AC2115" s="2" t="s">
        <v>701</v>
      </c>
      <c r="AD2115" s="4">
        <v>135</v>
      </c>
      <c r="AE2115" s="4">
        <v>270</v>
      </c>
      <c r="AF2115" s="6">
        <v>66</v>
      </c>
      <c r="AG2115" s="6"/>
      <c r="AH2115" s="7">
        <v>0</v>
      </c>
      <c r="AI2115" s="4"/>
      <c r="AJ2115" s="4">
        <f>=ROUNDDOWN({0},0)</f>
      </c>
      <c r="AK2115" s="5"/>
      <c r="AL2115" s="2" t="s">
        <v>231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231</v>
      </c>
      <c r="AW2115" s="8" t="s">
        <v>231</v>
      </c>
      <c r="AX2115" s="4" t="s">
        <v>231</v>
      </c>
      <c r="AY2115" s="8" t="s">
        <v>231</v>
      </c>
      <c r="AZ2115" s="7" t="s">
        <v>231</v>
      </c>
      <c r="BA2115" s="7" t="s">
        <v>231</v>
      </c>
      <c r="BB2115" s="7"/>
      <c r="BC2115" s="4" t="s">
        <v>231</v>
      </c>
      <c r="BD2115" s="8" t="s">
        <v>231</v>
      </c>
      <c r="BE2115" s="4" t="s">
        <v>231</v>
      </c>
      <c r="BF2115" s="8" t="s">
        <v>231</v>
      </c>
      <c r="BG2115" s="7" t="s">
        <v>231</v>
      </c>
      <c r="BH2115" s="7" t="s">
        <v>231</v>
      </c>
      <c r="BI2115" s="7"/>
      <c r="BJ2115" s="4"/>
      <c r="BK2115" s="8"/>
      <c r="BL2115" s="2" t="s">
        <v>231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241</v>
      </c>
      <c r="BV2115" s="2" t="s">
        <v>231</v>
      </c>
      <c r="BW2115" s="2" t="s">
        <v>231</v>
      </c>
      <c r="BX2115" s="2" t="s">
        <v>241</v>
      </c>
      <c r="BY2115" s="2" t="s">
        <v>242</v>
      </c>
      <c r="BZ2115" s="2" t="s">
        <v>243</v>
      </c>
      <c r="CA2115" s="2" t="s">
        <v>231</v>
      </c>
      <c r="CB2115" s="2" t="s">
        <v>231</v>
      </c>
      <c r="CC2115" s="2" t="s">
        <v>244</v>
      </c>
      <c r="CD2115" s="2" t="s">
        <v>231</v>
      </c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>
        <v>135</v>
      </c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>
        <v>135</v>
      </c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  <c r="HF2115" s="4"/>
      <c r="HG2115" s="4"/>
      <c r="HH2115" s="4"/>
      <c r="HI2115" s="4"/>
      <c r="HJ2115" s="4"/>
      <c r="HK2115" s="4"/>
      <c r="HL2115" s="4"/>
    </row>
    <row r="2116">
      <c r="A2116" s="2" t="s">
        <v>9320</v>
      </c>
      <c r="B2116" s="2" t="s">
        <v>824</v>
      </c>
      <c r="C2116" s="2" t="s">
        <v>825</v>
      </c>
      <c r="D2116" s="2" t="s">
        <v>654</v>
      </c>
      <c r="E2116" s="2" t="s">
        <v>890</v>
      </c>
      <c r="F2116" s="2" t="s">
        <v>9301</v>
      </c>
      <c r="G2116" s="2" t="s">
        <v>6363</v>
      </c>
      <c r="H2116" s="2" t="s">
        <v>9302</v>
      </c>
      <c r="I2116" s="2" t="s">
        <v>9303</v>
      </c>
      <c r="J2116" s="2" t="s">
        <v>658</v>
      </c>
      <c r="K2116" s="2" t="s">
        <v>1677</v>
      </c>
      <c r="L2116" s="3">
        <v>42.85</v>
      </c>
      <c r="M2116" s="3">
        <v>44.99</v>
      </c>
      <c r="N2116" s="3">
        <v>89.99</v>
      </c>
      <c r="O2116" s="2" t="s">
        <v>243</v>
      </c>
      <c r="P2116" s="2" t="s">
        <v>270</v>
      </c>
      <c r="Q2116" s="2" t="s">
        <v>237</v>
      </c>
      <c r="R2116" s="2" t="s">
        <v>231</v>
      </c>
      <c r="S2116" s="2" t="s">
        <v>9321</v>
      </c>
      <c r="T2116" s="2" t="s">
        <v>3671</v>
      </c>
      <c r="U2116" s="2" t="s">
        <v>835</v>
      </c>
      <c r="V2116" s="2" t="s">
        <v>239</v>
      </c>
      <c r="W2116" s="2" t="s">
        <v>299</v>
      </c>
      <c r="X2116" s="2" t="s">
        <v>273</v>
      </c>
      <c r="Y2116" s="2" t="s">
        <v>921</v>
      </c>
      <c r="Z2116" s="4">
        <v>346</v>
      </c>
      <c r="AA2116" s="4">
        <f>=ROUNDDOWN(43.25,0)</f>
      </c>
      <c r="AB2116" s="5">
        <v>8</v>
      </c>
      <c r="AC2116" s="2" t="s">
        <v>2082</v>
      </c>
      <c r="AD2116" s="4">
        <v>240</v>
      </c>
      <c r="AE2116" s="4">
        <v>240</v>
      </c>
      <c r="AF2116" s="6">
        <v>64</v>
      </c>
      <c r="AG2116" s="6"/>
      <c r="AH2116" s="7">
        <v>1</v>
      </c>
      <c r="AI2116" s="4"/>
      <c r="AJ2116" s="4">
        <f>=ROUNDDOWN({0},0)</f>
      </c>
      <c r="AK2116" s="5"/>
      <c r="AL2116" s="2" t="s">
        <v>231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231</v>
      </c>
      <c r="AW2116" s="8" t="s">
        <v>231</v>
      </c>
      <c r="AX2116" s="4" t="s">
        <v>231</v>
      </c>
      <c r="AY2116" s="8" t="s">
        <v>231</v>
      </c>
      <c r="AZ2116" s="7" t="s">
        <v>231</v>
      </c>
      <c r="BA2116" s="7" t="s">
        <v>231</v>
      </c>
      <c r="BB2116" s="7"/>
      <c r="BC2116" s="4" t="s">
        <v>231</v>
      </c>
      <c r="BD2116" s="8" t="s">
        <v>231</v>
      </c>
      <c r="BE2116" s="4" t="s">
        <v>231</v>
      </c>
      <c r="BF2116" s="8" t="s">
        <v>231</v>
      </c>
      <c r="BG2116" s="7" t="s">
        <v>231</v>
      </c>
      <c r="BH2116" s="7" t="s">
        <v>231</v>
      </c>
      <c r="BI2116" s="7"/>
      <c r="BJ2116" s="4">
        <v>14</v>
      </c>
      <c r="BK2116" s="8">
        <v>703.71</v>
      </c>
      <c r="BL2116" s="2" t="s">
        <v>9322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9323</v>
      </c>
      <c r="BV2116" s="2" t="s">
        <v>231</v>
      </c>
      <c r="BW2116" s="2" t="s">
        <v>231</v>
      </c>
      <c r="BX2116" s="2" t="s">
        <v>241</v>
      </c>
      <c r="BY2116" s="2" t="s">
        <v>277</v>
      </c>
      <c r="BZ2116" s="2" t="s">
        <v>243</v>
      </c>
      <c r="CA2116" s="2" t="s">
        <v>2342</v>
      </c>
      <c r="CB2116" s="2" t="s">
        <v>2753</v>
      </c>
      <c r="CC2116" s="2" t="s">
        <v>244</v>
      </c>
      <c r="CD2116" s="2" t="s">
        <v>231</v>
      </c>
      <c r="CE2116" s="4">
        <v>346</v>
      </c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>
        <v>240</v>
      </c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  <c r="HF2116" s="4"/>
      <c r="HG2116" s="4"/>
      <c r="HH2116" s="4"/>
      <c r="HI2116" s="4"/>
      <c r="HJ2116" s="4"/>
      <c r="HK2116" s="4"/>
      <c r="HL2116" s="4"/>
    </row>
    <row r="2117">
      <c r="A2117" s="2" t="s">
        <v>9324</v>
      </c>
      <c r="B2117" s="2" t="s">
        <v>824</v>
      </c>
      <c r="C2117" s="2" t="s">
        <v>825</v>
      </c>
      <c r="D2117" s="2" t="s">
        <v>654</v>
      </c>
      <c r="E2117" s="2" t="s">
        <v>890</v>
      </c>
      <c r="F2117" s="2" t="s">
        <v>9301</v>
      </c>
      <c r="G2117" s="2" t="s">
        <v>6363</v>
      </c>
      <c r="H2117" s="2" t="s">
        <v>9302</v>
      </c>
      <c r="I2117" s="2" t="s">
        <v>9303</v>
      </c>
      <c r="J2117" s="2" t="s">
        <v>669</v>
      </c>
      <c r="K2117" s="2" t="s">
        <v>1677</v>
      </c>
      <c r="L2117" s="3">
        <v>47.61</v>
      </c>
      <c r="M2117" s="3">
        <v>49.99</v>
      </c>
      <c r="N2117" s="3">
        <v>99.99</v>
      </c>
      <c r="O2117" s="2" t="s">
        <v>243</v>
      </c>
      <c r="P2117" s="2" t="s">
        <v>270</v>
      </c>
      <c r="Q2117" s="2" t="s">
        <v>237</v>
      </c>
      <c r="R2117" s="2" t="s">
        <v>231</v>
      </c>
      <c r="S2117" s="2" t="s">
        <v>9321</v>
      </c>
      <c r="T2117" s="2" t="s">
        <v>3671</v>
      </c>
      <c r="U2117" s="2" t="s">
        <v>835</v>
      </c>
      <c r="V2117" s="2" t="s">
        <v>239</v>
      </c>
      <c r="W2117" s="2" t="s">
        <v>299</v>
      </c>
      <c r="X2117" s="2" t="s">
        <v>273</v>
      </c>
      <c r="Y2117" s="2" t="s">
        <v>921</v>
      </c>
      <c r="Z2117" s="4">
        <v>211</v>
      </c>
      <c r="AA2117" s="4">
        <f>=ROUNDDOWN(30.1428571428571,0)</f>
      </c>
      <c r="AB2117" s="5">
        <v>7</v>
      </c>
      <c r="AC2117" s="2" t="s">
        <v>2082</v>
      </c>
      <c r="AD2117" s="4">
        <v>110</v>
      </c>
      <c r="AE2117" s="4">
        <v>110</v>
      </c>
      <c r="AF2117" s="6">
        <v>64</v>
      </c>
      <c r="AG2117" s="6"/>
      <c r="AH2117" s="7">
        <v>1</v>
      </c>
      <c r="AI2117" s="4"/>
      <c r="AJ2117" s="4">
        <f>=ROUNDDOWN({0},0)</f>
      </c>
      <c r="AK2117" s="5"/>
      <c r="AL2117" s="2" t="s">
        <v>231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231</v>
      </c>
      <c r="AW2117" s="8" t="s">
        <v>231</v>
      </c>
      <c r="AX2117" s="4" t="s">
        <v>231</v>
      </c>
      <c r="AY2117" s="8" t="s">
        <v>231</v>
      </c>
      <c r="AZ2117" s="7" t="s">
        <v>231</v>
      </c>
      <c r="BA2117" s="7" t="s">
        <v>231</v>
      </c>
      <c r="BB2117" s="7"/>
      <c r="BC2117" s="4" t="s">
        <v>231</v>
      </c>
      <c r="BD2117" s="8" t="s">
        <v>231</v>
      </c>
      <c r="BE2117" s="4" t="s">
        <v>231</v>
      </c>
      <c r="BF2117" s="8" t="s">
        <v>231</v>
      </c>
      <c r="BG2117" s="7" t="s">
        <v>231</v>
      </c>
      <c r="BH2117" s="7" t="s">
        <v>231</v>
      </c>
      <c r="BI2117" s="7"/>
      <c r="BJ2117" s="4">
        <v>10</v>
      </c>
      <c r="BK2117" s="8">
        <v>511.4</v>
      </c>
      <c r="BL2117" s="2" t="s">
        <v>8208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9325</v>
      </c>
      <c r="BV2117" s="2" t="s">
        <v>231</v>
      </c>
      <c r="BW2117" s="2" t="s">
        <v>231</v>
      </c>
      <c r="BX2117" s="2" t="s">
        <v>241</v>
      </c>
      <c r="BY2117" s="2" t="s">
        <v>277</v>
      </c>
      <c r="BZ2117" s="2" t="s">
        <v>243</v>
      </c>
      <c r="CA2117" s="2" t="s">
        <v>2342</v>
      </c>
      <c r="CB2117" s="2" t="s">
        <v>2771</v>
      </c>
      <c r="CC2117" s="2" t="s">
        <v>244</v>
      </c>
      <c r="CD2117" s="2" t="s">
        <v>231</v>
      </c>
      <c r="CE2117" s="4">
        <v>211</v>
      </c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>
        <v>110</v>
      </c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  <c r="HF2117" s="4"/>
      <c r="HG2117" s="4"/>
      <c r="HH2117" s="4"/>
      <c r="HI2117" s="4"/>
      <c r="HJ2117" s="4"/>
      <c r="HK2117" s="4"/>
      <c r="HL2117" s="4"/>
    </row>
    <row r="2118">
      <c r="A2118" s="2" t="s">
        <v>9326</v>
      </c>
      <c r="B2118" s="2" t="s">
        <v>824</v>
      </c>
      <c r="C2118" s="2" t="s">
        <v>825</v>
      </c>
      <c r="D2118" s="2" t="s">
        <v>654</v>
      </c>
      <c r="E2118" s="2" t="s">
        <v>890</v>
      </c>
      <c r="F2118" s="2" t="s">
        <v>9301</v>
      </c>
      <c r="G2118" s="2" t="s">
        <v>6363</v>
      </c>
      <c r="H2118" s="2" t="s">
        <v>9302</v>
      </c>
      <c r="I2118" s="2" t="s">
        <v>9303</v>
      </c>
      <c r="J2118" s="2" t="s">
        <v>658</v>
      </c>
      <c r="K2118" s="2" t="s">
        <v>463</v>
      </c>
      <c r="L2118" s="3">
        <v>42.85</v>
      </c>
      <c r="M2118" s="3">
        <v>44.99</v>
      </c>
      <c r="N2118" s="3">
        <v>89.99</v>
      </c>
      <c r="O2118" s="2" t="s">
        <v>243</v>
      </c>
      <c r="P2118" s="2" t="s">
        <v>270</v>
      </c>
      <c r="Q2118" s="2" t="s">
        <v>237</v>
      </c>
      <c r="R2118" s="2" t="s">
        <v>231</v>
      </c>
      <c r="S2118" s="2" t="s">
        <v>9327</v>
      </c>
      <c r="T2118" s="2" t="s">
        <v>3671</v>
      </c>
      <c r="U2118" s="2" t="s">
        <v>835</v>
      </c>
      <c r="V2118" s="2" t="s">
        <v>239</v>
      </c>
      <c r="W2118" s="2" t="s">
        <v>299</v>
      </c>
      <c r="X2118" s="2" t="s">
        <v>273</v>
      </c>
      <c r="Y2118" s="2" t="s">
        <v>921</v>
      </c>
      <c r="Z2118" s="4">
        <v>196</v>
      </c>
      <c r="AA2118" s="4">
        <f>=ROUNDDOWN(16.3333333333333,0)</f>
      </c>
      <c r="AB2118" s="5">
        <v>12</v>
      </c>
      <c r="AC2118" s="2" t="s">
        <v>1128</v>
      </c>
      <c r="AD2118" s="4">
        <v>160</v>
      </c>
      <c r="AE2118" s="4">
        <v>350</v>
      </c>
      <c r="AF2118" s="6">
        <v>64</v>
      </c>
      <c r="AG2118" s="6"/>
      <c r="AH2118" s="7">
        <v>1</v>
      </c>
      <c r="AI2118" s="4"/>
      <c r="AJ2118" s="4">
        <f>=ROUNDDOWN({0},0)</f>
      </c>
      <c r="AK2118" s="5"/>
      <c r="AL2118" s="2" t="s">
        <v>231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231</v>
      </c>
      <c r="AW2118" s="8" t="s">
        <v>231</v>
      </c>
      <c r="AX2118" s="4" t="s">
        <v>231</v>
      </c>
      <c r="AY2118" s="8" t="s">
        <v>231</v>
      </c>
      <c r="AZ2118" s="7" t="s">
        <v>231</v>
      </c>
      <c r="BA2118" s="7" t="s">
        <v>231</v>
      </c>
      <c r="BB2118" s="7"/>
      <c r="BC2118" s="4" t="s">
        <v>231</v>
      </c>
      <c r="BD2118" s="8" t="s">
        <v>231</v>
      </c>
      <c r="BE2118" s="4" t="s">
        <v>231</v>
      </c>
      <c r="BF2118" s="8" t="s">
        <v>231</v>
      </c>
      <c r="BG2118" s="7" t="s">
        <v>231</v>
      </c>
      <c r="BH2118" s="7" t="s">
        <v>231</v>
      </c>
      <c r="BI2118" s="7"/>
      <c r="BJ2118" s="4">
        <v>22</v>
      </c>
      <c r="BK2118" s="8">
        <v>1092.83</v>
      </c>
      <c r="BL2118" s="2" t="s">
        <v>9328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9329</v>
      </c>
      <c r="BV2118" s="2" t="s">
        <v>231</v>
      </c>
      <c r="BW2118" s="2" t="s">
        <v>231</v>
      </c>
      <c r="BX2118" s="2" t="s">
        <v>241</v>
      </c>
      <c r="BY2118" s="2" t="s">
        <v>277</v>
      </c>
      <c r="BZ2118" s="2" t="s">
        <v>243</v>
      </c>
      <c r="CA2118" s="2" t="s">
        <v>2342</v>
      </c>
      <c r="CB2118" s="2" t="s">
        <v>1598</v>
      </c>
      <c r="CC2118" s="2" t="s">
        <v>244</v>
      </c>
      <c r="CD2118" s="2" t="s">
        <v>231</v>
      </c>
      <c r="CE2118" s="4">
        <v>196</v>
      </c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>
        <v>160</v>
      </c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>
        <v>190</v>
      </c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  <c r="HF2118" s="4"/>
      <c r="HG2118" s="4"/>
      <c r="HH2118" s="4"/>
      <c r="HI2118" s="4"/>
      <c r="HJ2118" s="4"/>
      <c r="HK2118" s="4"/>
      <c r="HL2118" s="4"/>
    </row>
    <row r="2119">
      <c r="A2119" s="2" t="s">
        <v>9330</v>
      </c>
      <c r="B2119" s="2" t="s">
        <v>824</v>
      </c>
      <c r="C2119" s="2" t="s">
        <v>825</v>
      </c>
      <c r="D2119" s="2" t="s">
        <v>654</v>
      </c>
      <c r="E2119" s="2" t="s">
        <v>890</v>
      </c>
      <c r="F2119" s="2" t="s">
        <v>9301</v>
      </c>
      <c r="G2119" s="2" t="s">
        <v>6363</v>
      </c>
      <c r="H2119" s="2" t="s">
        <v>9302</v>
      </c>
      <c r="I2119" s="2" t="s">
        <v>9303</v>
      </c>
      <c r="J2119" s="2" t="s">
        <v>669</v>
      </c>
      <c r="K2119" s="2" t="s">
        <v>463</v>
      </c>
      <c r="L2119" s="3">
        <v>47.61</v>
      </c>
      <c r="M2119" s="3">
        <v>49.99</v>
      </c>
      <c r="N2119" s="3">
        <v>99.99</v>
      </c>
      <c r="O2119" s="2" t="s">
        <v>243</v>
      </c>
      <c r="P2119" s="2" t="s">
        <v>270</v>
      </c>
      <c r="Q2119" s="2" t="s">
        <v>237</v>
      </c>
      <c r="R2119" s="2" t="s">
        <v>231</v>
      </c>
      <c r="S2119" s="2" t="s">
        <v>9327</v>
      </c>
      <c r="T2119" s="2" t="s">
        <v>3671</v>
      </c>
      <c r="U2119" s="2" t="s">
        <v>835</v>
      </c>
      <c r="V2119" s="2" t="s">
        <v>239</v>
      </c>
      <c r="W2119" s="2" t="s">
        <v>299</v>
      </c>
      <c r="X2119" s="2" t="s">
        <v>273</v>
      </c>
      <c r="Y2119" s="2" t="s">
        <v>921</v>
      </c>
      <c r="Z2119" s="4">
        <v>194</v>
      </c>
      <c r="AA2119" s="4">
        <f>=ROUNDDOWN(24.25,0)</f>
      </c>
      <c r="AB2119" s="5">
        <v>8</v>
      </c>
      <c r="AC2119" s="2" t="s">
        <v>1128</v>
      </c>
      <c r="AD2119" s="4">
        <v>120</v>
      </c>
      <c r="AE2119" s="4">
        <v>120</v>
      </c>
      <c r="AF2119" s="6">
        <v>64</v>
      </c>
      <c r="AG2119" s="6"/>
      <c r="AH2119" s="7">
        <v>1</v>
      </c>
      <c r="AI2119" s="4"/>
      <c r="AJ2119" s="4">
        <f>=ROUNDDOWN({0},0)</f>
      </c>
      <c r="AK2119" s="5"/>
      <c r="AL2119" s="2" t="s">
        <v>231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231</v>
      </c>
      <c r="AW2119" s="8" t="s">
        <v>231</v>
      </c>
      <c r="AX2119" s="4" t="s">
        <v>231</v>
      </c>
      <c r="AY2119" s="8" t="s">
        <v>231</v>
      </c>
      <c r="AZ2119" s="7" t="s">
        <v>231</v>
      </c>
      <c r="BA2119" s="7" t="s">
        <v>231</v>
      </c>
      <c r="BB2119" s="7"/>
      <c r="BC2119" s="4" t="s">
        <v>231</v>
      </c>
      <c r="BD2119" s="8" t="s">
        <v>231</v>
      </c>
      <c r="BE2119" s="4" t="s">
        <v>231</v>
      </c>
      <c r="BF2119" s="8" t="s">
        <v>231</v>
      </c>
      <c r="BG2119" s="7" t="s">
        <v>231</v>
      </c>
      <c r="BH2119" s="7" t="s">
        <v>231</v>
      </c>
      <c r="BI2119" s="7"/>
      <c r="BJ2119" s="4">
        <v>9</v>
      </c>
      <c r="BK2119" s="8">
        <v>447.27</v>
      </c>
      <c r="BL2119" s="2" t="s">
        <v>9331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9332</v>
      </c>
      <c r="BV2119" s="2" t="s">
        <v>231</v>
      </c>
      <c r="BW2119" s="2" t="s">
        <v>231</v>
      </c>
      <c r="BX2119" s="2" t="s">
        <v>241</v>
      </c>
      <c r="BY2119" s="2" t="s">
        <v>277</v>
      </c>
      <c r="BZ2119" s="2" t="s">
        <v>243</v>
      </c>
      <c r="CA2119" s="2" t="s">
        <v>2342</v>
      </c>
      <c r="CB2119" s="2" t="s">
        <v>822</v>
      </c>
      <c r="CC2119" s="2" t="s">
        <v>244</v>
      </c>
      <c r="CD2119" s="2" t="s">
        <v>231</v>
      </c>
      <c r="CE2119" s="4">
        <v>194</v>
      </c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>
        <v>120</v>
      </c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  <c r="HF2119" s="4"/>
      <c r="HG2119" s="4"/>
      <c r="HH2119" s="4"/>
      <c r="HI2119" s="4"/>
      <c r="HJ2119" s="4"/>
      <c r="HK2119" s="4"/>
      <c r="HL2119" s="4"/>
    </row>
    <row r="2120">
      <c r="A2120" s="2" t="s">
        <v>9333</v>
      </c>
      <c r="B2120" s="2" t="s">
        <v>992</v>
      </c>
      <c r="C2120" s="2" t="s">
        <v>1439</v>
      </c>
      <c r="D2120" s="2" t="s">
        <v>993</v>
      </c>
      <c r="E2120" s="2" t="s">
        <v>994</v>
      </c>
      <c r="F2120" s="2" t="s">
        <v>9334</v>
      </c>
      <c r="G2120" s="2" t="s">
        <v>9335</v>
      </c>
      <c r="H2120" s="2" t="s">
        <v>9336</v>
      </c>
      <c r="I2120" s="2" t="s">
        <v>9337</v>
      </c>
      <c r="J2120" s="2" t="s">
        <v>1450</v>
      </c>
      <c r="K2120" s="2" t="s">
        <v>682</v>
      </c>
      <c r="L2120" s="3">
        <v>21</v>
      </c>
      <c r="M2120" s="3">
        <v>22.05</v>
      </c>
      <c r="N2120" s="3">
        <v>49.99</v>
      </c>
      <c r="O2120" s="2" t="s">
        <v>243</v>
      </c>
      <c r="P2120" s="2" t="s">
        <v>270</v>
      </c>
      <c r="Q2120" s="2" t="s">
        <v>237</v>
      </c>
      <c r="R2120" s="2" t="s">
        <v>231</v>
      </c>
      <c r="S2120" s="2" t="s">
        <v>9338</v>
      </c>
      <c r="T2120" s="2" t="s">
        <v>231</v>
      </c>
      <c r="U2120" s="2" t="s">
        <v>231</v>
      </c>
      <c r="V2120" s="2" t="s">
        <v>1444</v>
      </c>
      <c r="W2120" s="2" t="s">
        <v>9339</v>
      </c>
      <c r="X2120" s="2" t="s">
        <v>998</v>
      </c>
      <c r="Y2120" s="2" t="s">
        <v>4300</v>
      </c>
      <c r="Z2120" s="4">
        <v>413</v>
      </c>
      <c r="AA2120" s="4">
        <f>=ROUNDDOWN(118,0)</f>
      </c>
      <c r="AB2120" s="5">
        <v>3.5</v>
      </c>
      <c r="AC2120" s="2" t="s">
        <v>231</v>
      </c>
      <c r="AD2120" s="4"/>
      <c r="AE2120" s="4"/>
      <c r="AF2120" s="6">
        <v>68</v>
      </c>
      <c r="AG2120" s="6"/>
      <c r="AH2120" s="7">
        <v>1</v>
      </c>
      <c r="AI2120" s="4"/>
      <c r="AJ2120" s="4">
        <f>=ROUNDDOWN({0},0)</f>
      </c>
      <c r="AK2120" s="5"/>
      <c r="AL2120" s="2" t="s">
        <v>231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 t="s">
        <v>231</v>
      </c>
      <c r="BD2120" s="8" t="s">
        <v>231</v>
      </c>
      <c r="BE2120" s="4" t="s">
        <v>231</v>
      </c>
      <c r="BF2120" s="8" t="s">
        <v>231</v>
      </c>
      <c r="BG2120" s="7" t="s">
        <v>231</v>
      </c>
      <c r="BH2120" s="7" t="s">
        <v>231</v>
      </c>
      <c r="BI2120" s="7"/>
      <c r="BJ2120" s="4">
        <v>25</v>
      </c>
      <c r="BK2120" s="8">
        <v>519.92</v>
      </c>
      <c r="BL2120" s="2" t="s">
        <v>9340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9341</v>
      </c>
      <c r="BV2120" s="2" t="s">
        <v>231</v>
      </c>
      <c r="BW2120" s="2" t="s">
        <v>231</v>
      </c>
      <c r="BX2120" s="2" t="s">
        <v>231</v>
      </c>
      <c r="BY2120" s="2" t="s">
        <v>277</v>
      </c>
      <c r="BZ2120" s="2" t="s">
        <v>243</v>
      </c>
      <c r="CA2120" s="2" t="s">
        <v>9221</v>
      </c>
      <c r="CB2120" s="2" t="s">
        <v>4389</v>
      </c>
      <c r="CC2120" s="2" t="s">
        <v>244</v>
      </c>
      <c r="CD2120" s="2" t="s">
        <v>231</v>
      </c>
      <c r="CE2120" s="4">
        <v>413</v>
      </c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  <c r="HF2120" s="4"/>
      <c r="HG2120" s="4"/>
      <c r="HH2120" s="4"/>
      <c r="HI2120" s="4"/>
      <c r="HJ2120" s="4"/>
      <c r="HK2120" s="4"/>
      <c r="HL2120" s="4"/>
    </row>
    <row r="2121">
      <c r="A2121" s="2" t="s">
        <v>9342</v>
      </c>
      <c r="B2121" s="2" t="s">
        <v>992</v>
      </c>
      <c r="C2121" s="2" t="s">
        <v>1439</v>
      </c>
      <c r="D2121" s="2" t="s">
        <v>993</v>
      </c>
      <c r="E2121" s="2" t="s">
        <v>994</v>
      </c>
      <c r="F2121" s="2" t="s">
        <v>9334</v>
      </c>
      <c r="G2121" s="2" t="s">
        <v>9335</v>
      </c>
      <c r="H2121" s="2" t="s">
        <v>9336</v>
      </c>
      <c r="I2121" s="2" t="s">
        <v>9337</v>
      </c>
      <c r="J2121" s="2" t="s">
        <v>996</v>
      </c>
      <c r="K2121" s="2" t="s">
        <v>255</v>
      </c>
      <c r="L2121" s="3">
        <v>16.8</v>
      </c>
      <c r="M2121" s="3">
        <v>17.64</v>
      </c>
      <c r="N2121" s="3">
        <v>39.99</v>
      </c>
      <c r="O2121" s="2" t="s">
        <v>243</v>
      </c>
      <c r="P2121" s="2" t="s">
        <v>270</v>
      </c>
      <c r="Q2121" s="2" t="s">
        <v>237</v>
      </c>
      <c r="R2121" s="2" t="s">
        <v>231</v>
      </c>
      <c r="S2121" s="2" t="s">
        <v>9343</v>
      </c>
      <c r="T2121" s="2" t="s">
        <v>231</v>
      </c>
      <c r="U2121" s="2" t="s">
        <v>327</v>
      </c>
      <c r="V2121" s="2" t="s">
        <v>1444</v>
      </c>
      <c r="W2121" s="2" t="s">
        <v>299</v>
      </c>
      <c r="X2121" s="2" t="s">
        <v>998</v>
      </c>
      <c r="Y2121" s="2" t="s">
        <v>9344</v>
      </c>
      <c r="Z2121" s="4">
        <v>251</v>
      </c>
      <c r="AA2121" s="4">
        <f>=ROUNDDOWN(11.4090909090909,0)</f>
      </c>
      <c r="AB2121" s="5">
        <v>22</v>
      </c>
      <c r="AC2121" s="2" t="s">
        <v>701</v>
      </c>
      <c r="AD2121" s="4">
        <v>364</v>
      </c>
      <c r="AE2121" s="4">
        <v>668</v>
      </c>
      <c r="AF2121" s="6">
        <v>68</v>
      </c>
      <c r="AG2121" s="6"/>
      <c r="AH2121" s="7">
        <v>0.9032</v>
      </c>
      <c r="AI2121" s="4"/>
      <c r="AJ2121" s="4">
        <f>=ROUNDDOWN({0},0)</f>
      </c>
      <c r="AK2121" s="5"/>
      <c r="AL2121" s="2" t="s">
        <v>231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231</v>
      </c>
      <c r="AW2121" s="8" t="s">
        <v>231</v>
      </c>
      <c r="AX2121" s="4" t="s">
        <v>231</v>
      </c>
      <c r="AY2121" s="8" t="s">
        <v>231</v>
      </c>
      <c r="AZ2121" s="7" t="s">
        <v>231</v>
      </c>
      <c r="BA2121" s="7" t="s">
        <v>231</v>
      </c>
      <c r="BB2121" s="7"/>
      <c r="BC2121" s="4" t="s">
        <v>231</v>
      </c>
      <c r="BD2121" s="8" t="s">
        <v>231</v>
      </c>
      <c r="BE2121" s="4" t="s">
        <v>231</v>
      </c>
      <c r="BF2121" s="8" t="s">
        <v>231</v>
      </c>
      <c r="BG2121" s="7" t="s">
        <v>231</v>
      </c>
      <c r="BH2121" s="7" t="s">
        <v>231</v>
      </c>
      <c r="BI2121" s="7"/>
      <c r="BJ2121" s="4">
        <v>65</v>
      </c>
      <c r="BK2121" s="8">
        <v>1116.59</v>
      </c>
      <c r="BL2121" s="2" t="s">
        <v>1283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9345</v>
      </c>
      <c r="BV2121" s="2" t="s">
        <v>231</v>
      </c>
      <c r="BW2121" s="2" t="s">
        <v>231</v>
      </c>
      <c r="BX2121" s="2" t="s">
        <v>231</v>
      </c>
      <c r="BY2121" s="2" t="s">
        <v>277</v>
      </c>
      <c r="BZ2121" s="2" t="s">
        <v>243</v>
      </c>
      <c r="CA2121" s="2" t="s">
        <v>1385</v>
      </c>
      <c r="CB2121" s="2" t="s">
        <v>9346</v>
      </c>
      <c r="CC2121" s="2" t="s">
        <v>244</v>
      </c>
      <c r="CD2121" s="2" t="s">
        <v>231</v>
      </c>
      <c r="CE2121" s="4">
        <v>251</v>
      </c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>
        <v>364</v>
      </c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>
        <v>304</v>
      </c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  <c r="HG2121" s="4"/>
      <c r="HH2121" s="4"/>
      <c r="HI2121" s="4"/>
      <c r="HJ2121" s="4"/>
      <c r="HK2121" s="4"/>
      <c r="HL2121" s="4"/>
    </row>
    <row r="2122">
      <c r="A2122" s="2" t="s">
        <v>9347</v>
      </c>
      <c r="B2122" s="2" t="s">
        <v>992</v>
      </c>
      <c r="C2122" s="2" t="s">
        <v>1439</v>
      </c>
      <c r="D2122" s="2" t="s">
        <v>993</v>
      </c>
      <c r="E2122" s="2" t="s">
        <v>994</v>
      </c>
      <c r="F2122" s="2" t="s">
        <v>9334</v>
      </c>
      <c r="G2122" s="2" t="s">
        <v>9335</v>
      </c>
      <c r="H2122" s="2" t="s">
        <v>9336</v>
      </c>
      <c r="I2122" s="2" t="s">
        <v>9337</v>
      </c>
      <c r="J2122" s="2" t="s">
        <v>1450</v>
      </c>
      <c r="K2122" s="2" t="s">
        <v>255</v>
      </c>
      <c r="L2122" s="3">
        <v>21</v>
      </c>
      <c r="M2122" s="3">
        <v>22.05</v>
      </c>
      <c r="N2122" s="3">
        <v>49.99</v>
      </c>
      <c r="O2122" s="2" t="s">
        <v>243</v>
      </c>
      <c r="P2122" s="2" t="s">
        <v>270</v>
      </c>
      <c r="Q2122" s="2" t="s">
        <v>237</v>
      </c>
      <c r="R2122" s="2" t="s">
        <v>231</v>
      </c>
      <c r="S2122" s="2" t="s">
        <v>9343</v>
      </c>
      <c r="T2122" s="2" t="s">
        <v>231</v>
      </c>
      <c r="U2122" s="2" t="s">
        <v>327</v>
      </c>
      <c r="V2122" s="2" t="s">
        <v>1444</v>
      </c>
      <c r="W2122" s="2" t="s">
        <v>299</v>
      </c>
      <c r="X2122" s="2" t="s">
        <v>998</v>
      </c>
      <c r="Y2122" s="2" t="s">
        <v>9344</v>
      </c>
      <c r="Z2122" s="4">
        <v>121</v>
      </c>
      <c r="AA2122" s="4">
        <f>=ROUNDDOWN(11,0)</f>
      </c>
      <c r="AB2122" s="5">
        <v>11</v>
      </c>
      <c r="AC2122" s="2" t="s">
        <v>701</v>
      </c>
      <c r="AD2122" s="4">
        <v>468</v>
      </c>
      <c r="AE2122" s="4">
        <v>628</v>
      </c>
      <c r="AF2122" s="6">
        <v>68</v>
      </c>
      <c r="AG2122" s="6"/>
      <c r="AH2122" s="7">
        <v>1</v>
      </c>
      <c r="AI2122" s="4"/>
      <c r="AJ2122" s="4">
        <f>=ROUNDDOWN({0},0)</f>
      </c>
      <c r="AK2122" s="5"/>
      <c r="AL2122" s="2" t="s">
        <v>231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231</v>
      </c>
      <c r="AW2122" s="8" t="s">
        <v>231</v>
      </c>
      <c r="AX2122" s="4" t="s">
        <v>231</v>
      </c>
      <c r="AY2122" s="8" t="s">
        <v>231</v>
      </c>
      <c r="AZ2122" s="7" t="s">
        <v>231</v>
      </c>
      <c r="BA2122" s="7" t="s">
        <v>231</v>
      </c>
      <c r="BB2122" s="7"/>
      <c r="BC2122" s="4" t="s">
        <v>231</v>
      </c>
      <c r="BD2122" s="8" t="s">
        <v>231</v>
      </c>
      <c r="BE2122" s="4" t="s">
        <v>231</v>
      </c>
      <c r="BF2122" s="8" t="s">
        <v>231</v>
      </c>
      <c r="BG2122" s="7" t="s">
        <v>231</v>
      </c>
      <c r="BH2122" s="7" t="s">
        <v>231</v>
      </c>
      <c r="BI2122" s="7"/>
      <c r="BJ2122" s="4">
        <v>43</v>
      </c>
      <c r="BK2122" s="8">
        <v>910.46</v>
      </c>
      <c r="BL2122" s="2" t="s">
        <v>6247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9348</v>
      </c>
      <c r="BV2122" s="2" t="s">
        <v>231</v>
      </c>
      <c r="BW2122" s="2" t="s">
        <v>231</v>
      </c>
      <c r="BX2122" s="2" t="s">
        <v>231</v>
      </c>
      <c r="BY2122" s="2" t="s">
        <v>277</v>
      </c>
      <c r="BZ2122" s="2" t="s">
        <v>243</v>
      </c>
      <c r="CA2122" s="2" t="s">
        <v>1385</v>
      </c>
      <c r="CB2122" s="2" t="s">
        <v>7898</v>
      </c>
      <c r="CC2122" s="2" t="s">
        <v>244</v>
      </c>
      <c r="CD2122" s="2" t="s">
        <v>231</v>
      </c>
      <c r="CE2122" s="4">
        <v>121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>
        <v>468</v>
      </c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>
        <v>160</v>
      </c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  <c r="HG2122" s="4"/>
      <c r="HH2122" s="4"/>
      <c r="HI2122" s="4"/>
      <c r="HJ2122" s="4"/>
      <c r="HK2122" s="4"/>
      <c r="HL2122" s="4"/>
    </row>
    <row r="2123">
      <c r="A2123" s="2" t="s">
        <v>9349</v>
      </c>
      <c r="B2123" s="2" t="s">
        <v>1186</v>
      </c>
      <c r="C2123" s="2" t="s">
        <v>241</v>
      </c>
      <c r="D2123" s="2" t="s">
        <v>654</v>
      </c>
      <c r="E2123" s="2" t="s">
        <v>890</v>
      </c>
      <c r="F2123" s="2" t="s">
        <v>9350</v>
      </c>
      <c r="G2123" s="2" t="s">
        <v>9351</v>
      </c>
      <c r="H2123" s="2" t="s">
        <v>9352</v>
      </c>
      <c r="I2123" s="2" t="s">
        <v>9353</v>
      </c>
      <c r="J2123" s="2" t="s">
        <v>832</v>
      </c>
      <c r="K2123" s="2" t="s">
        <v>269</v>
      </c>
      <c r="L2123" s="3">
        <v>19.04</v>
      </c>
      <c r="M2123" s="3">
        <v>19.99</v>
      </c>
      <c r="N2123" s="3">
        <v>39.99</v>
      </c>
      <c r="O2123" s="2" t="s">
        <v>243</v>
      </c>
      <c r="P2123" s="2" t="s">
        <v>236</v>
      </c>
      <c r="Q2123" s="2" t="s">
        <v>237</v>
      </c>
      <c r="R2123" s="2" t="s">
        <v>231</v>
      </c>
      <c r="S2123" s="2" t="s">
        <v>9354</v>
      </c>
      <c r="T2123" s="2" t="s">
        <v>472</v>
      </c>
      <c r="U2123" s="2" t="s">
        <v>791</v>
      </c>
      <c r="V2123" s="2" t="s">
        <v>1485</v>
      </c>
      <c r="W2123" s="2" t="s">
        <v>691</v>
      </c>
      <c r="X2123" s="2" t="s">
        <v>273</v>
      </c>
      <c r="Y2123" s="2" t="s">
        <v>5152</v>
      </c>
      <c r="Z2123" s="4">
        <v>3</v>
      </c>
      <c r="AA2123" s="4">
        <f>=ROUNDDOWN(1.66666666666667,0)</f>
      </c>
      <c r="AB2123" s="5">
        <v>1.8</v>
      </c>
      <c r="AC2123" s="2" t="s">
        <v>3693</v>
      </c>
      <c r="AD2123" s="4">
        <v>330</v>
      </c>
      <c r="AE2123" s="4">
        <v>546</v>
      </c>
      <c r="AF2123" s="6">
        <v>63</v>
      </c>
      <c r="AG2123" s="6">
        <v>46</v>
      </c>
      <c r="AH2123" s="7">
        <v>0</v>
      </c>
      <c r="AI2123" s="4"/>
      <c r="AJ2123" s="4">
        <f>=ROUNDDOWN({0},0)</f>
      </c>
      <c r="AK2123" s="5"/>
      <c r="AL2123" s="2" t="s">
        <v>231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231</v>
      </c>
      <c r="AW2123" s="8" t="s">
        <v>231</v>
      </c>
      <c r="AX2123" s="4" t="s">
        <v>231</v>
      </c>
      <c r="AY2123" s="8" t="s">
        <v>231</v>
      </c>
      <c r="AZ2123" s="7" t="s">
        <v>231</v>
      </c>
      <c r="BA2123" s="7" t="s">
        <v>231</v>
      </c>
      <c r="BB2123" s="7"/>
      <c r="BC2123" s="4" t="s">
        <v>231</v>
      </c>
      <c r="BD2123" s="8" t="s">
        <v>231</v>
      </c>
      <c r="BE2123" s="4" t="s">
        <v>231</v>
      </c>
      <c r="BF2123" s="8" t="s">
        <v>231</v>
      </c>
      <c r="BG2123" s="7" t="s">
        <v>231</v>
      </c>
      <c r="BH2123" s="7" t="s">
        <v>231</v>
      </c>
      <c r="BI2123" s="7"/>
      <c r="BJ2123" s="4"/>
      <c r="BK2123" s="8"/>
      <c r="BL2123" s="2" t="s">
        <v>231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9355</v>
      </c>
      <c r="BV2123" s="2" t="s">
        <v>231</v>
      </c>
      <c r="BW2123" s="2" t="s">
        <v>231</v>
      </c>
      <c r="BX2123" s="2" t="s">
        <v>2109</v>
      </c>
      <c r="BY2123" s="2" t="s">
        <v>277</v>
      </c>
      <c r="BZ2123" s="2" t="s">
        <v>243</v>
      </c>
      <c r="CA2123" s="2" t="s">
        <v>231</v>
      </c>
      <c r="CB2123" s="2" t="s">
        <v>231</v>
      </c>
      <c r="CC2123" s="2" t="s">
        <v>244</v>
      </c>
      <c r="CD2123" s="2" t="s">
        <v>231</v>
      </c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>
        <v>3</v>
      </c>
      <c r="CQ2123" s="4"/>
      <c r="CR2123" s="4"/>
      <c r="CS2123" s="4"/>
      <c r="CT2123" s="4"/>
      <c r="CU2123" s="4"/>
      <c r="CV2123" s="4"/>
      <c r="CW2123" s="4"/>
      <c r="CX2123" s="4"/>
      <c r="CY2123" s="4"/>
      <c r="CZ2123" s="4">
        <v>330</v>
      </c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>
        <v>111</v>
      </c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>
        <v>33</v>
      </c>
      <c r="EL2123" s="4"/>
      <c r="EM2123" s="4"/>
      <c r="EN2123" s="4"/>
      <c r="EO2123" s="4"/>
      <c r="EP2123" s="4"/>
      <c r="EQ2123" s="4"/>
      <c r="ER2123" s="4"/>
      <c r="ES2123" s="4">
        <v>72</v>
      </c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  <c r="HG2123" s="4"/>
      <c r="HH2123" s="4"/>
      <c r="HI2123" s="4"/>
      <c r="HJ2123" s="4"/>
      <c r="HK2123" s="4"/>
      <c r="HL2123" s="4"/>
    </row>
    <row r="2124">
      <c r="A2124" s="2" t="s">
        <v>9356</v>
      </c>
      <c r="B2124" s="2" t="s">
        <v>1186</v>
      </c>
      <c r="C2124" s="2" t="s">
        <v>241</v>
      </c>
      <c r="D2124" s="2" t="s">
        <v>654</v>
      </c>
      <c r="E2124" s="2" t="s">
        <v>890</v>
      </c>
      <c r="F2124" s="2" t="s">
        <v>9350</v>
      </c>
      <c r="G2124" s="2" t="s">
        <v>9351</v>
      </c>
      <c r="H2124" s="2" t="s">
        <v>9352</v>
      </c>
      <c r="I2124" s="2" t="s">
        <v>9353</v>
      </c>
      <c r="J2124" s="2" t="s">
        <v>658</v>
      </c>
      <c r="K2124" s="2" t="s">
        <v>269</v>
      </c>
      <c r="L2124" s="3">
        <v>23.8</v>
      </c>
      <c r="M2124" s="3">
        <v>24.99</v>
      </c>
      <c r="N2124" s="3">
        <v>49.99</v>
      </c>
      <c r="O2124" s="2" t="s">
        <v>243</v>
      </c>
      <c r="P2124" s="2" t="s">
        <v>236</v>
      </c>
      <c r="Q2124" s="2" t="s">
        <v>237</v>
      </c>
      <c r="R2124" s="2" t="s">
        <v>231</v>
      </c>
      <c r="S2124" s="2" t="s">
        <v>9354</v>
      </c>
      <c r="T2124" s="2" t="s">
        <v>472</v>
      </c>
      <c r="U2124" s="2" t="s">
        <v>835</v>
      </c>
      <c r="V2124" s="2" t="s">
        <v>1485</v>
      </c>
      <c r="W2124" s="2" t="s">
        <v>691</v>
      </c>
      <c r="X2124" s="2" t="s">
        <v>273</v>
      </c>
      <c r="Y2124" s="2" t="s">
        <v>5152</v>
      </c>
      <c r="Z2124" s="4"/>
      <c r="AA2124" s="4">
        <f>=ROUNDDOWN({0},0)</f>
      </c>
      <c r="AB2124" s="5">
        <v>0.9</v>
      </c>
      <c r="AC2124" s="2" t="s">
        <v>3693</v>
      </c>
      <c r="AD2124" s="4">
        <v>672</v>
      </c>
      <c r="AE2124" s="4">
        <v>1629</v>
      </c>
      <c r="AF2124" s="6">
        <v>63</v>
      </c>
      <c r="AG2124" s="6">
        <v>46</v>
      </c>
      <c r="AH2124" s="7">
        <v>0</v>
      </c>
      <c r="AI2124" s="4"/>
      <c r="AJ2124" s="4">
        <f>=ROUNDDOWN({0},0)</f>
      </c>
      <c r="AK2124" s="5"/>
      <c r="AL2124" s="2" t="s">
        <v>231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231</v>
      </c>
      <c r="AW2124" s="8" t="s">
        <v>231</v>
      </c>
      <c r="AX2124" s="4" t="s">
        <v>231</v>
      </c>
      <c r="AY2124" s="8" t="s">
        <v>231</v>
      </c>
      <c r="AZ2124" s="7" t="s">
        <v>231</v>
      </c>
      <c r="BA2124" s="7" t="s">
        <v>231</v>
      </c>
      <c r="BB2124" s="7"/>
      <c r="BC2124" s="4" t="s">
        <v>231</v>
      </c>
      <c r="BD2124" s="8" t="s">
        <v>231</v>
      </c>
      <c r="BE2124" s="4" t="s">
        <v>231</v>
      </c>
      <c r="BF2124" s="8" t="s">
        <v>231</v>
      </c>
      <c r="BG2124" s="7" t="s">
        <v>231</v>
      </c>
      <c r="BH2124" s="7" t="s">
        <v>231</v>
      </c>
      <c r="BI2124" s="7"/>
      <c r="BJ2124" s="4"/>
      <c r="BK2124" s="8"/>
      <c r="BL2124" s="2" t="s">
        <v>231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9357</v>
      </c>
      <c r="BV2124" s="2" t="s">
        <v>231</v>
      </c>
      <c r="BW2124" s="2" t="s">
        <v>231</v>
      </c>
      <c r="BX2124" s="2" t="s">
        <v>2109</v>
      </c>
      <c r="BY2124" s="2" t="s">
        <v>277</v>
      </c>
      <c r="BZ2124" s="2" t="s">
        <v>243</v>
      </c>
      <c r="CA2124" s="2" t="s">
        <v>231</v>
      </c>
      <c r="CB2124" s="2" t="s">
        <v>231</v>
      </c>
      <c r="CC2124" s="2" t="s">
        <v>244</v>
      </c>
      <c r="CD2124" s="2" t="s">
        <v>231</v>
      </c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>
        <v>672</v>
      </c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>
        <v>402</v>
      </c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>
        <v>258</v>
      </c>
      <c r="EL2124" s="4"/>
      <c r="EM2124" s="4"/>
      <c r="EN2124" s="4"/>
      <c r="EO2124" s="4"/>
      <c r="EP2124" s="4"/>
      <c r="EQ2124" s="4"/>
      <c r="ER2124" s="4"/>
      <c r="ES2124" s="4">
        <v>297</v>
      </c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  <c r="HG2124" s="4"/>
      <c r="HH2124" s="4"/>
      <c r="HI2124" s="4"/>
      <c r="HJ2124" s="4"/>
      <c r="HK2124" s="4"/>
      <c r="HL2124" s="4"/>
    </row>
    <row r="2125">
      <c r="A2125" s="2" t="s">
        <v>9358</v>
      </c>
      <c r="B2125" s="2" t="s">
        <v>1186</v>
      </c>
      <c r="C2125" s="2" t="s">
        <v>241</v>
      </c>
      <c r="D2125" s="2" t="s">
        <v>654</v>
      </c>
      <c r="E2125" s="2" t="s">
        <v>890</v>
      </c>
      <c r="F2125" s="2" t="s">
        <v>9350</v>
      </c>
      <c r="G2125" s="2" t="s">
        <v>9351</v>
      </c>
      <c r="H2125" s="2" t="s">
        <v>9352</v>
      </c>
      <c r="I2125" s="2" t="s">
        <v>9353</v>
      </c>
      <c r="J2125" s="2" t="s">
        <v>669</v>
      </c>
      <c r="K2125" s="2" t="s">
        <v>269</v>
      </c>
      <c r="L2125" s="3">
        <v>26.19</v>
      </c>
      <c r="M2125" s="3">
        <v>27.5</v>
      </c>
      <c r="N2125" s="3">
        <v>54.99</v>
      </c>
      <c r="O2125" s="2" t="s">
        <v>243</v>
      </c>
      <c r="P2125" s="2" t="s">
        <v>236</v>
      </c>
      <c r="Q2125" s="2" t="s">
        <v>237</v>
      </c>
      <c r="R2125" s="2" t="s">
        <v>231</v>
      </c>
      <c r="S2125" s="2" t="s">
        <v>9354</v>
      </c>
      <c r="T2125" s="2" t="s">
        <v>472</v>
      </c>
      <c r="U2125" s="2" t="s">
        <v>835</v>
      </c>
      <c r="V2125" s="2" t="s">
        <v>1485</v>
      </c>
      <c r="W2125" s="2" t="s">
        <v>691</v>
      </c>
      <c r="X2125" s="2" t="s">
        <v>273</v>
      </c>
      <c r="Y2125" s="2" t="s">
        <v>772</v>
      </c>
      <c r="Z2125" s="4"/>
      <c r="AA2125" s="4">
        <f>=ROUNDDOWN({0},0)</f>
      </c>
      <c r="AB2125" s="5"/>
      <c r="AC2125" s="2" t="s">
        <v>3693</v>
      </c>
      <c r="AD2125" s="4">
        <v>546</v>
      </c>
      <c r="AE2125" s="4">
        <v>1305</v>
      </c>
      <c r="AF2125" s="6">
        <v>63</v>
      </c>
      <c r="AG2125" s="6">
        <v>46</v>
      </c>
      <c r="AH2125" s="7">
        <v>0</v>
      </c>
      <c r="AI2125" s="4"/>
      <c r="AJ2125" s="4">
        <f>=ROUNDDOWN({0},0)</f>
      </c>
      <c r="AK2125" s="5"/>
      <c r="AL2125" s="2" t="s">
        <v>231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231</v>
      </c>
      <c r="AW2125" s="8" t="s">
        <v>231</v>
      </c>
      <c r="AX2125" s="4" t="s">
        <v>231</v>
      </c>
      <c r="AY2125" s="8" t="s">
        <v>231</v>
      </c>
      <c r="AZ2125" s="7" t="s">
        <v>231</v>
      </c>
      <c r="BA2125" s="7" t="s">
        <v>231</v>
      </c>
      <c r="BB2125" s="7"/>
      <c r="BC2125" s="4" t="s">
        <v>231</v>
      </c>
      <c r="BD2125" s="8" t="s">
        <v>231</v>
      </c>
      <c r="BE2125" s="4" t="s">
        <v>231</v>
      </c>
      <c r="BF2125" s="8" t="s">
        <v>231</v>
      </c>
      <c r="BG2125" s="7" t="s">
        <v>231</v>
      </c>
      <c r="BH2125" s="7" t="s">
        <v>231</v>
      </c>
      <c r="BI2125" s="7"/>
      <c r="BJ2125" s="4"/>
      <c r="BK2125" s="8"/>
      <c r="BL2125" s="2" t="s">
        <v>231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9359</v>
      </c>
      <c r="BV2125" s="2" t="s">
        <v>231</v>
      </c>
      <c r="BW2125" s="2" t="s">
        <v>231</v>
      </c>
      <c r="BX2125" s="2" t="s">
        <v>2109</v>
      </c>
      <c r="BY2125" s="2" t="s">
        <v>277</v>
      </c>
      <c r="BZ2125" s="2" t="s">
        <v>243</v>
      </c>
      <c r="CA2125" s="2" t="s">
        <v>231</v>
      </c>
      <c r="CB2125" s="2" t="s">
        <v>231</v>
      </c>
      <c r="CC2125" s="2" t="s">
        <v>244</v>
      </c>
      <c r="CD2125" s="2" t="s">
        <v>231</v>
      </c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>
        <v>546</v>
      </c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>
        <v>315</v>
      </c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>
        <v>225</v>
      </c>
      <c r="EL2125" s="4"/>
      <c r="EM2125" s="4"/>
      <c r="EN2125" s="4"/>
      <c r="EO2125" s="4"/>
      <c r="EP2125" s="4"/>
      <c r="EQ2125" s="4"/>
      <c r="ER2125" s="4"/>
      <c r="ES2125" s="4">
        <v>219</v>
      </c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  <c r="HG2125" s="4"/>
      <c r="HH2125" s="4"/>
      <c r="HI2125" s="4"/>
      <c r="HJ2125" s="4"/>
      <c r="HK2125" s="4"/>
      <c r="HL2125" s="4"/>
    </row>
    <row r="2126">
      <c r="A2126" s="2" t="s">
        <v>9360</v>
      </c>
      <c r="B2126" s="2" t="s">
        <v>1186</v>
      </c>
      <c r="C2126" s="2" t="s">
        <v>631</v>
      </c>
      <c r="D2126" s="2" t="s">
        <v>654</v>
      </c>
      <c r="E2126" s="2" t="s">
        <v>890</v>
      </c>
      <c r="F2126" s="2" t="s">
        <v>9350</v>
      </c>
      <c r="G2126" s="2" t="s">
        <v>9350</v>
      </c>
      <c r="H2126" s="2" t="s">
        <v>9350</v>
      </c>
      <c r="I2126" s="2" t="s">
        <v>9361</v>
      </c>
      <c r="J2126" s="2" t="s">
        <v>658</v>
      </c>
      <c r="K2126" s="2" t="s">
        <v>234</v>
      </c>
      <c r="L2126" s="3">
        <v>45.71</v>
      </c>
      <c r="M2126" s="3">
        <v>48</v>
      </c>
      <c r="N2126" s="3">
        <v>99</v>
      </c>
      <c r="O2126" s="2" t="s">
        <v>235</v>
      </c>
      <c r="P2126" s="2" t="s">
        <v>341</v>
      </c>
      <c r="Q2126" s="2" t="s">
        <v>237</v>
      </c>
      <c r="R2126" s="2" t="s">
        <v>231</v>
      </c>
      <c r="S2126" s="2" t="s">
        <v>9362</v>
      </c>
      <c r="T2126" s="2" t="s">
        <v>231</v>
      </c>
      <c r="U2126" s="2" t="s">
        <v>835</v>
      </c>
      <c r="V2126" s="2" t="s">
        <v>239</v>
      </c>
      <c r="W2126" s="2" t="s">
        <v>273</v>
      </c>
      <c r="X2126" s="2" t="s">
        <v>231</v>
      </c>
      <c r="Y2126" s="2" t="s">
        <v>6255</v>
      </c>
      <c r="Z2126" s="4">
        <v>67</v>
      </c>
      <c r="AA2126" s="4">
        <f>=ROUNDDOWN(31.9047619047619,0)</f>
      </c>
      <c r="AB2126" s="5">
        <v>2.1</v>
      </c>
      <c r="AC2126" s="2" t="s">
        <v>231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231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231</v>
      </c>
      <c r="AW2126" s="8" t="s">
        <v>231</v>
      </c>
      <c r="AX2126" s="4" t="s">
        <v>231</v>
      </c>
      <c r="AY2126" s="8" t="s">
        <v>231</v>
      </c>
      <c r="AZ2126" s="7" t="s">
        <v>231</v>
      </c>
      <c r="BA2126" s="7" t="s">
        <v>231</v>
      </c>
      <c r="BB2126" s="7"/>
      <c r="BC2126" s="4" t="s">
        <v>231</v>
      </c>
      <c r="BD2126" s="8" t="s">
        <v>231</v>
      </c>
      <c r="BE2126" s="4" t="s">
        <v>231</v>
      </c>
      <c r="BF2126" s="8" t="s">
        <v>231</v>
      </c>
      <c r="BG2126" s="7" t="s">
        <v>231</v>
      </c>
      <c r="BH2126" s="7" t="s">
        <v>231</v>
      </c>
      <c r="BI2126" s="7"/>
      <c r="BJ2126" s="4">
        <v>11</v>
      </c>
      <c r="BK2126" s="8">
        <v>473.28</v>
      </c>
      <c r="BL2126" s="2" t="s">
        <v>9363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9364</v>
      </c>
      <c r="BV2126" s="2" t="s">
        <v>231</v>
      </c>
      <c r="BW2126" s="2" t="s">
        <v>231</v>
      </c>
      <c r="BX2126" s="2" t="s">
        <v>231</v>
      </c>
      <c r="BY2126" s="2" t="s">
        <v>277</v>
      </c>
      <c r="BZ2126" s="2" t="s">
        <v>243</v>
      </c>
      <c r="CA2126" s="2" t="s">
        <v>7952</v>
      </c>
      <c r="CB2126" s="2" t="s">
        <v>3742</v>
      </c>
      <c r="CC2126" s="2" t="s">
        <v>244</v>
      </c>
      <c r="CD2126" s="2" t="s">
        <v>231</v>
      </c>
      <c r="CE2126" s="4">
        <v>67</v>
      </c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  <c r="HG2126" s="4"/>
      <c r="HH2126" s="4"/>
      <c r="HI2126" s="4"/>
      <c r="HJ2126" s="4"/>
      <c r="HK2126" s="4"/>
      <c r="HL2126" s="4"/>
    </row>
    <row r="2127">
      <c r="A2127" s="2" t="s">
        <v>9365</v>
      </c>
      <c r="B2127" s="2" t="s">
        <v>1186</v>
      </c>
      <c r="C2127" s="2" t="s">
        <v>631</v>
      </c>
      <c r="D2127" s="2" t="s">
        <v>654</v>
      </c>
      <c r="E2127" s="2" t="s">
        <v>890</v>
      </c>
      <c r="F2127" s="2" t="s">
        <v>9350</v>
      </c>
      <c r="G2127" s="2" t="s">
        <v>9350</v>
      </c>
      <c r="H2127" s="2" t="s">
        <v>9350</v>
      </c>
      <c r="I2127" s="2" t="s">
        <v>9361</v>
      </c>
      <c r="J2127" s="2" t="s">
        <v>669</v>
      </c>
      <c r="K2127" s="2" t="s">
        <v>234</v>
      </c>
      <c r="L2127" s="3">
        <v>50.28</v>
      </c>
      <c r="M2127" s="3">
        <v>52.79</v>
      </c>
      <c r="N2127" s="3">
        <v>109.99</v>
      </c>
      <c r="O2127" s="2" t="s">
        <v>235</v>
      </c>
      <c r="P2127" s="2" t="s">
        <v>341</v>
      </c>
      <c r="Q2127" s="2" t="s">
        <v>237</v>
      </c>
      <c r="R2127" s="2" t="s">
        <v>231</v>
      </c>
      <c r="S2127" s="2" t="s">
        <v>9362</v>
      </c>
      <c r="T2127" s="2" t="s">
        <v>231</v>
      </c>
      <c r="U2127" s="2" t="s">
        <v>835</v>
      </c>
      <c r="V2127" s="2" t="s">
        <v>239</v>
      </c>
      <c r="W2127" s="2" t="s">
        <v>273</v>
      </c>
      <c r="X2127" s="2" t="s">
        <v>231</v>
      </c>
      <c r="Y2127" s="2" t="s">
        <v>6255</v>
      </c>
      <c r="Z2127" s="4">
        <v>80</v>
      </c>
      <c r="AA2127" s="4">
        <f>=ROUNDDOWN(40,0)</f>
      </c>
      <c r="AB2127" s="5">
        <v>2</v>
      </c>
      <c r="AC2127" s="2" t="s">
        <v>231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231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231</v>
      </c>
      <c r="AW2127" s="8" t="s">
        <v>231</v>
      </c>
      <c r="AX2127" s="4" t="s">
        <v>231</v>
      </c>
      <c r="AY2127" s="8" t="s">
        <v>231</v>
      </c>
      <c r="AZ2127" s="7" t="s">
        <v>231</v>
      </c>
      <c r="BA2127" s="7" t="s">
        <v>231</v>
      </c>
      <c r="BB2127" s="7"/>
      <c r="BC2127" s="4" t="s">
        <v>231</v>
      </c>
      <c r="BD2127" s="8" t="s">
        <v>231</v>
      </c>
      <c r="BE2127" s="4" t="s">
        <v>231</v>
      </c>
      <c r="BF2127" s="8" t="s">
        <v>231</v>
      </c>
      <c r="BG2127" s="7" t="s">
        <v>231</v>
      </c>
      <c r="BH2127" s="7" t="s">
        <v>231</v>
      </c>
      <c r="BI2127" s="7"/>
      <c r="BJ2127" s="4">
        <v>26</v>
      </c>
      <c r="BK2127" s="8">
        <v>863</v>
      </c>
      <c r="BL2127" s="2" t="s">
        <v>9366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9367</v>
      </c>
      <c r="BV2127" s="2" t="s">
        <v>231</v>
      </c>
      <c r="BW2127" s="2" t="s">
        <v>231</v>
      </c>
      <c r="BX2127" s="2" t="s">
        <v>231</v>
      </c>
      <c r="BY2127" s="2" t="s">
        <v>277</v>
      </c>
      <c r="BZ2127" s="2" t="s">
        <v>243</v>
      </c>
      <c r="CA2127" s="2" t="s">
        <v>7952</v>
      </c>
      <c r="CB2127" s="2" t="s">
        <v>2683</v>
      </c>
      <c r="CC2127" s="2" t="s">
        <v>244</v>
      </c>
      <c r="CD2127" s="2" t="s">
        <v>231</v>
      </c>
      <c r="CE2127" s="4">
        <v>80</v>
      </c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  <c r="HG2127" s="4"/>
      <c r="HH2127" s="4"/>
      <c r="HI2127" s="4"/>
      <c r="HJ2127" s="4"/>
      <c r="HK2127" s="4"/>
      <c r="HL2127" s="4"/>
    </row>
    <row r="2128">
      <c r="A2128" s="2" t="s">
        <v>9368</v>
      </c>
      <c r="B2128" s="2" t="s">
        <v>1186</v>
      </c>
      <c r="C2128" s="2" t="s">
        <v>241</v>
      </c>
      <c r="D2128" s="2" t="s">
        <v>654</v>
      </c>
      <c r="E2128" s="2" t="s">
        <v>890</v>
      </c>
      <c r="F2128" s="2" t="s">
        <v>9350</v>
      </c>
      <c r="G2128" s="2" t="s">
        <v>9351</v>
      </c>
      <c r="H2128" s="2" t="s">
        <v>9352</v>
      </c>
      <c r="I2128" s="2" t="s">
        <v>9353</v>
      </c>
      <c r="J2128" s="2" t="s">
        <v>832</v>
      </c>
      <c r="K2128" s="2" t="s">
        <v>253</v>
      </c>
      <c r="L2128" s="3">
        <v>19.04</v>
      </c>
      <c r="M2128" s="3">
        <v>19.99</v>
      </c>
      <c r="N2128" s="3">
        <v>39.99</v>
      </c>
      <c r="O2128" s="2" t="s">
        <v>243</v>
      </c>
      <c r="P2128" s="2" t="s">
        <v>236</v>
      </c>
      <c r="Q2128" s="2" t="s">
        <v>237</v>
      </c>
      <c r="R2128" s="2" t="s">
        <v>231</v>
      </c>
      <c r="S2128" s="2" t="s">
        <v>9369</v>
      </c>
      <c r="T2128" s="2" t="s">
        <v>472</v>
      </c>
      <c r="U2128" s="2" t="s">
        <v>791</v>
      </c>
      <c r="V2128" s="2" t="s">
        <v>1485</v>
      </c>
      <c r="W2128" s="2" t="s">
        <v>691</v>
      </c>
      <c r="X2128" s="2" t="s">
        <v>273</v>
      </c>
      <c r="Y2128" s="2" t="s">
        <v>5152</v>
      </c>
      <c r="Z2128" s="4">
        <v>210</v>
      </c>
      <c r="AA2128" s="4">
        <f>=ROUNDDOWN(116.666666666667,0)</f>
      </c>
      <c r="AB2128" s="5">
        <v>1.8</v>
      </c>
      <c r="AC2128" s="2" t="s">
        <v>876</v>
      </c>
      <c r="AD2128" s="4">
        <v>216</v>
      </c>
      <c r="AE2128" s="4">
        <v>408</v>
      </c>
      <c r="AF2128" s="6">
        <v>63</v>
      </c>
      <c r="AG2128" s="6">
        <v>46</v>
      </c>
      <c r="AH2128" s="7">
        <v>0</v>
      </c>
      <c r="AI2128" s="4"/>
      <c r="AJ2128" s="4">
        <f>=ROUNDDOWN({0},0)</f>
      </c>
      <c r="AK2128" s="5"/>
      <c r="AL2128" s="2" t="s">
        <v>231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231</v>
      </c>
      <c r="AW2128" s="8" t="s">
        <v>231</v>
      </c>
      <c r="AX2128" s="4" t="s">
        <v>231</v>
      </c>
      <c r="AY2128" s="8" t="s">
        <v>231</v>
      </c>
      <c r="AZ2128" s="7" t="s">
        <v>231</v>
      </c>
      <c r="BA2128" s="7" t="s">
        <v>231</v>
      </c>
      <c r="BB2128" s="7"/>
      <c r="BC2128" s="4" t="s">
        <v>231</v>
      </c>
      <c r="BD2128" s="8" t="s">
        <v>231</v>
      </c>
      <c r="BE2128" s="4" t="s">
        <v>231</v>
      </c>
      <c r="BF2128" s="8" t="s">
        <v>231</v>
      </c>
      <c r="BG2128" s="7" t="s">
        <v>231</v>
      </c>
      <c r="BH2128" s="7" t="s">
        <v>231</v>
      </c>
      <c r="BI2128" s="7"/>
      <c r="BJ2128" s="4"/>
      <c r="BK2128" s="8"/>
      <c r="BL2128" s="2" t="s">
        <v>231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9370</v>
      </c>
      <c r="BV2128" s="2" t="s">
        <v>231</v>
      </c>
      <c r="BW2128" s="2" t="s">
        <v>231</v>
      </c>
      <c r="BX2128" s="2" t="s">
        <v>2109</v>
      </c>
      <c r="BY2128" s="2" t="s">
        <v>277</v>
      </c>
      <c r="BZ2128" s="2" t="s">
        <v>243</v>
      </c>
      <c r="CA2128" s="2" t="s">
        <v>231</v>
      </c>
      <c r="CB2128" s="2" t="s">
        <v>231</v>
      </c>
      <c r="CC2128" s="2" t="s">
        <v>244</v>
      </c>
      <c r="CD2128" s="2" t="s">
        <v>231</v>
      </c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>
        <v>210</v>
      </c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>
        <v>216</v>
      </c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>
        <v>66</v>
      </c>
      <c r="EL2128" s="4"/>
      <c r="EM2128" s="4"/>
      <c r="EN2128" s="4"/>
      <c r="EO2128" s="4"/>
      <c r="EP2128" s="4"/>
      <c r="EQ2128" s="4"/>
      <c r="ER2128" s="4"/>
      <c r="ES2128" s="4">
        <v>126</v>
      </c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  <c r="HG2128" s="4"/>
      <c r="HH2128" s="4"/>
      <c r="HI2128" s="4"/>
      <c r="HJ2128" s="4"/>
      <c r="HK2128" s="4"/>
      <c r="HL2128" s="4"/>
    </row>
    <row r="2129">
      <c r="A2129" s="2" t="s">
        <v>9371</v>
      </c>
      <c r="B2129" s="2" t="s">
        <v>1186</v>
      </c>
      <c r="C2129" s="2" t="s">
        <v>241</v>
      </c>
      <c r="D2129" s="2" t="s">
        <v>654</v>
      </c>
      <c r="E2129" s="2" t="s">
        <v>890</v>
      </c>
      <c r="F2129" s="2" t="s">
        <v>9350</v>
      </c>
      <c r="G2129" s="2" t="s">
        <v>9351</v>
      </c>
      <c r="H2129" s="2" t="s">
        <v>9352</v>
      </c>
      <c r="I2129" s="2" t="s">
        <v>9353</v>
      </c>
      <c r="J2129" s="2" t="s">
        <v>658</v>
      </c>
      <c r="K2129" s="2" t="s">
        <v>253</v>
      </c>
      <c r="L2129" s="3">
        <v>23.8</v>
      </c>
      <c r="M2129" s="3">
        <v>24.99</v>
      </c>
      <c r="N2129" s="3">
        <v>49.99</v>
      </c>
      <c r="O2129" s="2" t="s">
        <v>243</v>
      </c>
      <c r="P2129" s="2" t="s">
        <v>236</v>
      </c>
      <c r="Q2129" s="2" t="s">
        <v>237</v>
      </c>
      <c r="R2129" s="2" t="s">
        <v>231</v>
      </c>
      <c r="S2129" s="2" t="s">
        <v>9369</v>
      </c>
      <c r="T2129" s="2" t="s">
        <v>472</v>
      </c>
      <c r="U2129" s="2" t="s">
        <v>835</v>
      </c>
      <c r="V2129" s="2" t="s">
        <v>1485</v>
      </c>
      <c r="W2129" s="2" t="s">
        <v>691</v>
      </c>
      <c r="X2129" s="2" t="s">
        <v>273</v>
      </c>
      <c r="Y2129" s="2" t="s">
        <v>5152</v>
      </c>
      <c r="Z2129" s="4">
        <v>768</v>
      </c>
      <c r="AA2129" s="4">
        <f>=ROUNDDOWN(853.333333333333,0)</f>
      </c>
      <c r="AB2129" s="5">
        <v>0.9</v>
      </c>
      <c r="AC2129" s="2" t="s">
        <v>876</v>
      </c>
      <c r="AD2129" s="4">
        <v>672</v>
      </c>
      <c r="AE2129" s="4">
        <v>1437</v>
      </c>
      <c r="AF2129" s="6">
        <v>63</v>
      </c>
      <c r="AG2129" s="6">
        <v>46</v>
      </c>
      <c r="AH2129" s="7">
        <v>0</v>
      </c>
      <c r="AI2129" s="4"/>
      <c r="AJ2129" s="4">
        <f>=ROUNDDOWN({0},0)</f>
      </c>
      <c r="AK2129" s="5"/>
      <c r="AL2129" s="2" t="s">
        <v>231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231</v>
      </c>
      <c r="AW2129" s="8" t="s">
        <v>231</v>
      </c>
      <c r="AX2129" s="4" t="s">
        <v>231</v>
      </c>
      <c r="AY2129" s="8" t="s">
        <v>231</v>
      </c>
      <c r="AZ2129" s="7" t="s">
        <v>231</v>
      </c>
      <c r="BA2129" s="7" t="s">
        <v>231</v>
      </c>
      <c r="BB2129" s="7"/>
      <c r="BC2129" s="4" t="s">
        <v>231</v>
      </c>
      <c r="BD2129" s="8" t="s">
        <v>231</v>
      </c>
      <c r="BE2129" s="4" t="s">
        <v>231</v>
      </c>
      <c r="BF2129" s="8" t="s">
        <v>231</v>
      </c>
      <c r="BG2129" s="7" t="s">
        <v>231</v>
      </c>
      <c r="BH2129" s="7" t="s">
        <v>231</v>
      </c>
      <c r="BI2129" s="7"/>
      <c r="BJ2129" s="4"/>
      <c r="BK2129" s="8"/>
      <c r="BL2129" s="2" t="s">
        <v>231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9372</v>
      </c>
      <c r="BV2129" s="2" t="s">
        <v>231</v>
      </c>
      <c r="BW2129" s="2" t="s">
        <v>231</v>
      </c>
      <c r="BX2129" s="2" t="s">
        <v>2109</v>
      </c>
      <c r="BY2129" s="2" t="s">
        <v>277</v>
      </c>
      <c r="BZ2129" s="2" t="s">
        <v>243</v>
      </c>
      <c r="CA2129" s="2" t="s">
        <v>231</v>
      </c>
      <c r="CB2129" s="2" t="s">
        <v>231</v>
      </c>
      <c r="CC2129" s="2" t="s">
        <v>244</v>
      </c>
      <c r="CD2129" s="2" t="s">
        <v>231</v>
      </c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>
        <v>768</v>
      </c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>
        <v>672</v>
      </c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>
        <v>243</v>
      </c>
      <c r="EL2129" s="4"/>
      <c r="EM2129" s="4"/>
      <c r="EN2129" s="4"/>
      <c r="EO2129" s="4"/>
      <c r="EP2129" s="4"/>
      <c r="EQ2129" s="4"/>
      <c r="ER2129" s="4"/>
      <c r="ES2129" s="4">
        <v>522</v>
      </c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  <c r="HG2129" s="4"/>
      <c r="HH2129" s="4"/>
      <c r="HI2129" s="4"/>
      <c r="HJ2129" s="4"/>
      <c r="HK2129" s="4"/>
      <c r="HL2129" s="4"/>
    </row>
    <row r="2130">
      <c r="A2130" s="2" t="s">
        <v>9373</v>
      </c>
      <c r="B2130" s="2" t="s">
        <v>1186</v>
      </c>
      <c r="C2130" s="2" t="s">
        <v>241</v>
      </c>
      <c r="D2130" s="2" t="s">
        <v>654</v>
      </c>
      <c r="E2130" s="2" t="s">
        <v>890</v>
      </c>
      <c r="F2130" s="2" t="s">
        <v>9350</v>
      </c>
      <c r="G2130" s="2" t="s">
        <v>9351</v>
      </c>
      <c r="H2130" s="2" t="s">
        <v>9352</v>
      </c>
      <c r="I2130" s="2" t="s">
        <v>9353</v>
      </c>
      <c r="J2130" s="2" t="s">
        <v>669</v>
      </c>
      <c r="K2130" s="2" t="s">
        <v>253</v>
      </c>
      <c r="L2130" s="3">
        <v>26.19</v>
      </c>
      <c r="M2130" s="3">
        <v>27.5</v>
      </c>
      <c r="N2130" s="3">
        <v>54.99</v>
      </c>
      <c r="O2130" s="2" t="s">
        <v>243</v>
      </c>
      <c r="P2130" s="2" t="s">
        <v>236</v>
      </c>
      <c r="Q2130" s="2" t="s">
        <v>237</v>
      </c>
      <c r="R2130" s="2" t="s">
        <v>231</v>
      </c>
      <c r="S2130" s="2" t="s">
        <v>9369</v>
      </c>
      <c r="T2130" s="2" t="s">
        <v>472</v>
      </c>
      <c r="U2130" s="2" t="s">
        <v>835</v>
      </c>
      <c r="V2130" s="2" t="s">
        <v>1485</v>
      </c>
      <c r="W2130" s="2" t="s">
        <v>691</v>
      </c>
      <c r="X2130" s="2" t="s">
        <v>273</v>
      </c>
      <c r="Y2130" s="2" t="s">
        <v>2279</v>
      </c>
      <c r="Z2130" s="4">
        <v>621</v>
      </c>
      <c r="AA2130" s="4">
        <f>=ROUNDDOWN({0},0)</f>
      </c>
      <c r="AB2130" s="5"/>
      <c r="AC2130" s="2" t="s">
        <v>876</v>
      </c>
      <c r="AD2130" s="4">
        <v>540</v>
      </c>
      <c r="AE2130" s="4">
        <v>1224</v>
      </c>
      <c r="AF2130" s="6">
        <v>63</v>
      </c>
      <c r="AG2130" s="6">
        <v>46</v>
      </c>
      <c r="AH2130" s="7">
        <v>0</v>
      </c>
      <c r="AI2130" s="4"/>
      <c r="AJ2130" s="4">
        <f>=ROUNDDOWN({0},0)</f>
      </c>
      <c r="AK2130" s="5"/>
      <c r="AL2130" s="2" t="s">
        <v>231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231</v>
      </c>
      <c r="AW2130" s="8" t="s">
        <v>231</v>
      </c>
      <c r="AX2130" s="4" t="s">
        <v>231</v>
      </c>
      <c r="AY2130" s="8" t="s">
        <v>231</v>
      </c>
      <c r="AZ2130" s="7" t="s">
        <v>231</v>
      </c>
      <c r="BA2130" s="7" t="s">
        <v>231</v>
      </c>
      <c r="BB2130" s="7"/>
      <c r="BC2130" s="4" t="s">
        <v>231</v>
      </c>
      <c r="BD2130" s="8" t="s">
        <v>231</v>
      </c>
      <c r="BE2130" s="4" t="s">
        <v>231</v>
      </c>
      <c r="BF2130" s="8" t="s">
        <v>231</v>
      </c>
      <c r="BG2130" s="7" t="s">
        <v>231</v>
      </c>
      <c r="BH2130" s="7" t="s">
        <v>231</v>
      </c>
      <c r="BI2130" s="7"/>
      <c r="BJ2130" s="4"/>
      <c r="BK2130" s="8"/>
      <c r="BL2130" s="2" t="s">
        <v>231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9374</v>
      </c>
      <c r="BV2130" s="2" t="s">
        <v>231</v>
      </c>
      <c r="BW2130" s="2" t="s">
        <v>231</v>
      </c>
      <c r="BX2130" s="2" t="s">
        <v>2109</v>
      </c>
      <c r="BY2130" s="2" t="s">
        <v>277</v>
      </c>
      <c r="BZ2130" s="2" t="s">
        <v>243</v>
      </c>
      <c r="CA2130" s="2" t="s">
        <v>231</v>
      </c>
      <c r="CB2130" s="2" t="s">
        <v>231</v>
      </c>
      <c r="CC2130" s="2" t="s">
        <v>244</v>
      </c>
      <c r="CD2130" s="2" t="s">
        <v>231</v>
      </c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>
        <v>621</v>
      </c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>
        <v>540</v>
      </c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>
        <v>261</v>
      </c>
      <c r="EL2130" s="4"/>
      <c r="EM2130" s="4"/>
      <c r="EN2130" s="4"/>
      <c r="EO2130" s="4"/>
      <c r="EP2130" s="4"/>
      <c r="EQ2130" s="4"/>
      <c r="ER2130" s="4"/>
      <c r="ES2130" s="4">
        <v>423</v>
      </c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  <c r="HG2130" s="4"/>
      <c r="HH2130" s="4"/>
      <c r="HI2130" s="4"/>
      <c r="HJ2130" s="4"/>
      <c r="HK2130" s="4"/>
      <c r="HL2130" s="4"/>
    </row>
    <row r="2131">
      <c r="A2131" s="2" t="s">
        <v>9375</v>
      </c>
      <c r="B2131" s="2" t="s">
        <v>1186</v>
      </c>
      <c r="C2131" s="2" t="s">
        <v>631</v>
      </c>
      <c r="D2131" s="2" t="s">
        <v>654</v>
      </c>
      <c r="E2131" s="2" t="s">
        <v>890</v>
      </c>
      <c r="F2131" s="2" t="s">
        <v>9350</v>
      </c>
      <c r="G2131" s="2" t="s">
        <v>9350</v>
      </c>
      <c r="H2131" s="2" t="s">
        <v>9350</v>
      </c>
      <c r="I2131" s="2" t="s">
        <v>9361</v>
      </c>
      <c r="J2131" s="2" t="s">
        <v>658</v>
      </c>
      <c r="K2131" s="2" t="s">
        <v>1496</v>
      </c>
      <c r="L2131" s="3">
        <v>45.71</v>
      </c>
      <c r="M2131" s="3">
        <v>48</v>
      </c>
      <c r="N2131" s="3">
        <v>99.99</v>
      </c>
      <c r="O2131" s="2" t="s">
        <v>235</v>
      </c>
      <c r="P2131" s="2" t="s">
        <v>341</v>
      </c>
      <c r="Q2131" s="2" t="s">
        <v>237</v>
      </c>
      <c r="R2131" s="2" t="s">
        <v>231</v>
      </c>
      <c r="S2131" s="2" t="s">
        <v>9376</v>
      </c>
      <c r="T2131" s="2" t="s">
        <v>231</v>
      </c>
      <c r="U2131" s="2" t="s">
        <v>835</v>
      </c>
      <c r="V2131" s="2" t="s">
        <v>239</v>
      </c>
      <c r="W2131" s="2" t="s">
        <v>273</v>
      </c>
      <c r="X2131" s="2" t="s">
        <v>231</v>
      </c>
      <c r="Y2131" s="2" t="s">
        <v>6255</v>
      </c>
      <c r="Z2131" s="4">
        <v>117</v>
      </c>
      <c r="AA2131" s="4">
        <f>=ROUNDDOWN(58.5,0)</f>
      </c>
      <c r="AB2131" s="5">
        <v>2</v>
      </c>
      <c r="AC2131" s="2" t="s">
        <v>231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231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 t="s">
        <v>231</v>
      </c>
      <c r="BD2131" s="8" t="s">
        <v>231</v>
      </c>
      <c r="BE2131" s="4" t="s">
        <v>231</v>
      </c>
      <c r="BF2131" s="8" t="s">
        <v>231</v>
      </c>
      <c r="BG2131" s="7" t="s">
        <v>231</v>
      </c>
      <c r="BH2131" s="7" t="s">
        <v>231</v>
      </c>
      <c r="BI2131" s="7"/>
      <c r="BJ2131" s="4">
        <v>17</v>
      </c>
      <c r="BK2131" s="8">
        <v>772.38</v>
      </c>
      <c r="BL2131" s="2" t="s">
        <v>7700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9377</v>
      </c>
      <c r="BV2131" s="2" t="s">
        <v>231</v>
      </c>
      <c r="BW2131" s="2" t="s">
        <v>231</v>
      </c>
      <c r="BX2131" s="2" t="s">
        <v>231</v>
      </c>
      <c r="BY2131" s="2" t="s">
        <v>277</v>
      </c>
      <c r="BZ2131" s="2" t="s">
        <v>243</v>
      </c>
      <c r="CA2131" s="2" t="s">
        <v>7952</v>
      </c>
      <c r="CB2131" s="2" t="s">
        <v>6940</v>
      </c>
      <c r="CC2131" s="2" t="s">
        <v>244</v>
      </c>
      <c r="CD2131" s="2" t="s">
        <v>231</v>
      </c>
      <c r="CE2131" s="4">
        <v>117</v>
      </c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  <c r="HG2131" s="4"/>
      <c r="HH2131" s="4"/>
      <c r="HI2131" s="4"/>
      <c r="HJ2131" s="4"/>
      <c r="HK2131" s="4"/>
      <c r="HL2131" s="4"/>
    </row>
    <row r="2132">
      <c r="A2132" s="2" t="s">
        <v>9378</v>
      </c>
      <c r="B2132" s="2" t="s">
        <v>1186</v>
      </c>
      <c r="C2132" s="2" t="s">
        <v>241</v>
      </c>
      <c r="D2132" s="2" t="s">
        <v>654</v>
      </c>
      <c r="E2132" s="2" t="s">
        <v>890</v>
      </c>
      <c r="F2132" s="2" t="s">
        <v>9350</v>
      </c>
      <c r="G2132" s="2" t="s">
        <v>9351</v>
      </c>
      <c r="H2132" s="2" t="s">
        <v>9352</v>
      </c>
      <c r="I2132" s="2" t="s">
        <v>9353</v>
      </c>
      <c r="J2132" s="2" t="s">
        <v>832</v>
      </c>
      <c r="K2132" s="2" t="s">
        <v>2125</v>
      </c>
      <c r="L2132" s="3">
        <v>19.04</v>
      </c>
      <c r="M2132" s="3">
        <v>19.99</v>
      </c>
      <c r="N2132" s="3">
        <v>39.99</v>
      </c>
      <c r="O2132" s="2" t="s">
        <v>243</v>
      </c>
      <c r="P2132" s="2" t="s">
        <v>236</v>
      </c>
      <c r="Q2132" s="2" t="s">
        <v>237</v>
      </c>
      <c r="R2132" s="2" t="s">
        <v>231</v>
      </c>
      <c r="S2132" s="2" t="s">
        <v>9379</v>
      </c>
      <c r="T2132" s="2" t="s">
        <v>472</v>
      </c>
      <c r="U2132" s="2" t="s">
        <v>791</v>
      </c>
      <c r="V2132" s="2" t="s">
        <v>1485</v>
      </c>
      <c r="W2132" s="2" t="s">
        <v>691</v>
      </c>
      <c r="X2132" s="2" t="s">
        <v>273</v>
      </c>
      <c r="Y2132" s="2" t="s">
        <v>2279</v>
      </c>
      <c r="Z2132" s="4">
        <v>3</v>
      </c>
      <c r="AA2132" s="4">
        <f>=ROUNDDOWN({0},0)</f>
      </c>
      <c r="AB2132" s="5"/>
      <c r="AC2132" s="2" t="s">
        <v>3693</v>
      </c>
      <c r="AD2132" s="4">
        <v>315</v>
      </c>
      <c r="AE2132" s="4">
        <v>531</v>
      </c>
      <c r="AF2132" s="6">
        <v>63</v>
      </c>
      <c r="AG2132" s="6">
        <v>46</v>
      </c>
      <c r="AH2132" s="7">
        <v>0</v>
      </c>
      <c r="AI2132" s="4"/>
      <c r="AJ2132" s="4">
        <f>=ROUNDDOWN({0},0)</f>
      </c>
      <c r="AK2132" s="5"/>
      <c r="AL2132" s="2" t="s">
        <v>231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231</v>
      </c>
      <c r="AW2132" s="8" t="s">
        <v>231</v>
      </c>
      <c r="AX2132" s="4" t="s">
        <v>231</v>
      </c>
      <c r="AY2132" s="8" t="s">
        <v>231</v>
      </c>
      <c r="AZ2132" s="7" t="s">
        <v>231</v>
      </c>
      <c r="BA2132" s="7" t="s">
        <v>231</v>
      </c>
      <c r="BB2132" s="7"/>
      <c r="BC2132" s="4" t="s">
        <v>231</v>
      </c>
      <c r="BD2132" s="8" t="s">
        <v>231</v>
      </c>
      <c r="BE2132" s="4" t="s">
        <v>231</v>
      </c>
      <c r="BF2132" s="8" t="s">
        <v>231</v>
      </c>
      <c r="BG2132" s="7" t="s">
        <v>231</v>
      </c>
      <c r="BH2132" s="7" t="s">
        <v>231</v>
      </c>
      <c r="BI2132" s="7"/>
      <c r="BJ2132" s="4"/>
      <c r="BK2132" s="8"/>
      <c r="BL2132" s="2" t="s">
        <v>231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9380</v>
      </c>
      <c r="BV2132" s="2" t="s">
        <v>231</v>
      </c>
      <c r="BW2132" s="2" t="s">
        <v>231</v>
      </c>
      <c r="BX2132" s="2" t="s">
        <v>2109</v>
      </c>
      <c r="BY2132" s="2" t="s">
        <v>277</v>
      </c>
      <c r="BZ2132" s="2" t="s">
        <v>243</v>
      </c>
      <c r="CA2132" s="2" t="s">
        <v>231</v>
      </c>
      <c r="CB2132" s="2" t="s">
        <v>231</v>
      </c>
      <c r="CC2132" s="2" t="s">
        <v>244</v>
      </c>
      <c r="CD2132" s="2" t="s">
        <v>231</v>
      </c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>
        <v>3</v>
      </c>
      <c r="CQ2132" s="4"/>
      <c r="CR2132" s="4"/>
      <c r="CS2132" s="4"/>
      <c r="CT2132" s="4"/>
      <c r="CU2132" s="4"/>
      <c r="CV2132" s="4"/>
      <c r="CW2132" s="4"/>
      <c r="CX2132" s="4"/>
      <c r="CY2132" s="4"/>
      <c r="CZ2132" s="4">
        <v>315</v>
      </c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>
        <v>111</v>
      </c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>
        <v>33</v>
      </c>
      <c r="EL2132" s="4"/>
      <c r="EM2132" s="4"/>
      <c r="EN2132" s="4"/>
      <c r="EO2132" s="4"/>
      <c r="EP2132" s="4"/>
      <c r="EQ2132" s="4"/>
      <c r="ER2132" s="4"/>
      <c r="ES2132" s="4">
        <v>72</v>
      </c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  <c r="HG2132" s="4"/>
      <c r="HH2132" s="4"/>
      <c r="HI2132" s="4"/>
      <c r="HJ2132" s="4"/>
      <c r="HK2132" s="4"/>
      <c r="HL2132" s="4"/>
    </row>
    <row r="2133">
      <c r="A2133" s="2" t="s">
        <v>9381</v>
      </c>
      <c r="B2133" s="2" t="s">
        <v>1186</v>
      </c>
      <c r="C2133" s="2" t="s">
        <v>241</v>
      </c>
      <c r="D2133" s="2" t="s">
        <v>654</v>
      </c>
      <c r="E2133" s="2" t="s">
        <v>890</v>
      </c>
      <c r="F2133" s="2" t="s">
        <v>9350</v>
      </c>
      <c r="G2133" s="2" t="s">
        <v>9351</v>
      </c>
      <c r="H2133" s="2" t="s">
        <v>9352</v>
      </c>
      <c r="I2133" s="2" t="s">
        <v>9353</v>
      </c>
      <c r="J2133" s="2" t="s">
        <v>658</v>
      </c>
      <c r="K2133" s="2" t="s">
        <v>2125</v>
      </c>
      <c r="L2133" s="3">
        <v>23.8</v>
      </c>
      <c r="M2133" s="3">
        <v>24.99</v>
      </c>
      <c r="N2133" s="3">
        <v>49.99</v>
      </c>
      <c r="O2133" s="2" t="s">
        <v>243</v>
      </c>
      <c r="P2133" s="2" t="s">
        <v>236</v>
      </c>
      <c r="Q2133" s="2" t="s">
        <v>237</v>
      </c>
      <c r="R2133" s="2" t="s">
        <v>231</v>
      </c>
      <c r="S2133" s="2" t="s">
        <v>9379</v>
      </c>
      <c r="T2133" s="2" t="s">
        <v>472</v>
      </c>
      <c r="U2133" s="2" t="s">
        <v>835</v>
      </c>
      <c r="V2133" s="2" t="s">
        <v>1485</v>
      </c>
      <c r="W2133" s="2" t="s">
        <v>691</v>
      </c>
      <c r="X2133" s="2" t="s">
        <v>273</v>
      </c>
      <c r="Y2133" s="2" t="s">
        <v>772</v>
      </c>
      <c r="Z2133" s="4"/>
      <c r="AA2133" s="4">
        <f>=ROUNDDOWN({0},0)</f>
      </c>
      <c r="AB2133" s="5"/>
      <c r="AC2133" s="2" t="s">
        <v>3693</v>
      </c>
      <c r="AD2133" s="4">
        <v>624</v>
      </c>
      <c r="AE2133" s="4">
        <v>1554</v>
      </c>
      <c r="AF2133" s="6">
        <v>63</v>
      </c>
      <c r="AG2133" s="6">
        <v>46</v>
      </c>
      <c r="AH2133" s="7">
        <v>0</v>
      </c>
      <c r="AI2133" s="4"/>
      <c r="AJ2133" s="4">
        <f>=ROUNDDOWN({0},0)</f>
      </c>
      <c r="AK2133" s="5"/>
      <c r="AL2133" s="2" t="s">
        <v>231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231</v>
      </c>
      <c r="AW2133" s="8" t="s">
        <v>231</v>
      </c>
      <c r="AX2133" s="4" t="s">
        <v>231</v>
      </c>
      <c r="AY2133" s="8" t="s">
        <v>231</v>
      </c>
      <c r="AZ2133" s="7" t="s">
        <v>231</v>
      </c>
      <c r="BA2133" s="7" t="s">
        <v>231</v>
      </c>
      <c r="BB2133" s="7"/>
      <c r="BC2133" s="4" t="s">
        <v>231</v>
      </c>
      <c r="BD2133" s="8" t="s">
        <v>231</v>
      </c>
      <c r="BE2133" s="4" t="s">
        <v>231</v>
      </c>
      <c r="BF2133" s="8" t="s">
        <v>231</v>
      </c>
      <c r="BG2133" s="7" t="s">
        <v>231</v>
      </c>
      <c r="BH2133" s="7" t="s">
        <v>231</v>
      </c>
      <c r="BI2133" s="7"/>
      <c r="BJ2133" s="4"/>
      <c r="BK2133" s="8"/>
      <c r="BL2133" s="2" t="s">
        <v>231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9382</v>
      </c>
      <c r="BV2133" s="2" t="s">
        <v>231</v>
      </c>
      <c r="BW2133" s="2" t="s">
        <v>231</v>
      </c>
      <c r="BX2133" s="2" t="s">
        <v>2109</v>
      </c>
      <c r="BY2133" s="2" t="s">
        <v>277</v>
      </c>
      <c r="BZ2133" s="2" t="s">
        <v>243</v>
      </c>
      <c r="CA2133" s="2" t="s">
        <v>231</v>
      </c>
      <c r="CB2133" s="2" t="s">
        <v>231</v>
      </c>
      <c r="CC2133" s="2" t="s">
        <v>244</v>
      </c>
      <c r="CD2133" s="2" t="s">
        <v>231</v>
      </c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>
        <v>624</v>
      </c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>
        <v>378</v>
      </c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>
        <v>252</v>
      </c>
      <c r="EL2133" s="4"/>
      <c r="EM2133" s="4"/>
      <c r="EN2133" s="4"/>
      <c r="EO2133" s="4"/>
      <c r="EP2133" s="4"/>
      <c r="EQ2133" s="4"/>
      <c r="ER2133" s="4"/>
      <c r="ES2133" s="4">
        <v>300</v>
      </c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  <c r="HG2133" s="4"/>
      <c r="HH2133" s="4"/>
      <c r="HI2133" s="4"/>
      <c r="HJ2133" s="4"/>
      <c r="HK2133" s="4"/>
      <c r="HL2133" s="4"/>
    </row>
    <row r="2134">
      <c r="A2134" s="2" t="s">
        <v>9383</v>
      </c>
      <c r="B2134" s="2" t="s">
        <v>1186</v>
      </c>
      <c r="C2134" s="2" t="s">
        <v>241</v>
      </c>
      <c r="D2134" s="2" t="s">
        <v>654</v>
      </c>
      <c r="E2134" s="2" t="s">
        <v>890</v>
      </c>
      <c r="F2134" s="2" t="s">
        <v>9350</v>
      </c>
      <c r="G2134" s="2" t="s">
        <v>9351</v>
      </c>
      <c r="H2134" s="2" t="s">
        <v>9352</v>
      </c>
      <c r="I2134" s="2" t="s">
        <v>9353</v>
      </c>
      <c r="J2134" s="2" t="s">
        <v>669</v>
      </c>
      <c r="K2134" s="2" t="s">
        <v>2125</v>
      </c>
      <c r="L2134" s="3">
        <v>26.19</v>
      </c>
      <c r="M2134" s="3">
        <v>27.5</v>
      </c>
      <c r="N2134" s="3">
        <v>54.99</v>
      </c>
      <c r="O2134" s="2" t="s">
        <v>243</v>
      </c>
      <c r="P2134" s="2" t="s">
        <v>236</v>
      </c>
      <c r="Q2134" s="2" t="s">
        <v>237</v>
      </c>
      <c r="R2134" s="2" t="s">
        <v>231</v>
      </c>
      <c r="S2134" s="2" t="s">
        <v>9379</v>
      </c>
      <c r="T2134" s="2" t="s">
        <v>472</v>
      </c>
      <c r="U2134" s="2" t="s">
        <v>835</v>
      </c>
      <c r="V2134" s="2" t="s">
        <v>1485</v>
      </c>
      <c r="W2134" s="2" t="s">
        <v>691</v>
      </c>
      <c r="X2134" s="2" t="s">
        <v>273</v>
      </c>
      <c r="Y2134" s="2" t="s">
        <v>772</v>
      </c>
      <c r="Z2134" s="4"/>
      <c r="AA2134" s="4">
        <f>=ROUNDDOWN({0},0)</f>
      </c>
      <c r="AB2134" s="5"/>
      <c r="AC2134" s="2" t="s">
        <v>3693</v>
      </c>
      <c r="AD2134" s="4">
        <v>528</v>
      </c>
      <c r="AE2134" s="4">
        <v>1257</v>
      </c>
      <c r="AF2134" s="6">
        <v>63</v>
      </c>
      <c r="AG2134" s="6">
        <v>46</v>
      </c>
      <c r="AH2134" s="7">
        <v>0</v>
      </c>
      <c r="AI2134" s="4"/>
      <c r="AJ2134" s="4">
        <f>=ROUNDDOWN({0},0)</f>
      </c>
      <c r="AK2134" s="5"/>
      <c r="AL2134" s="2" t="s">
        <v>231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231</v>
      </c>
      <c r="AW2134" s="8" t="s">
        <v>231</v>
      </c>
      <c r="AX2134" s="4" t="s">
        <v>231</v>
      </c>
      <c r="AY2134" s="8" t="s">
        <v>231</v>
      </c>
      <c r="AZ2134" s="7" t="s">
        <v>231</v>
      </c>
      <c r="BA2134" s="7" t="s">
        <v>231</v>
      </c>
      <c r="BB2134" s="7"/>
      <c r="BC2134" s="4" t="s">
        <v>231</v>
      </c>
      <c r="BD2134" s="8" t="s">
        <v>231</v>
      </c>
      <c r="BE2134" s="4" t="s">
        <v>231</v>
      </c>
      <c r="BF2134" s="8" t="s">
        <v>231</v>
      </c>
      <c r="BG2134" s="7" t="s">
        <v>231</v>
      </c>
      <c r="BH2134" s="7" t="s">
        <v>231</v>
      </c>
      <c r="BI2134" s="7"/>
      <c r="BJ2134" s="4"/>
      <c r="BK2134" s="8"/>
      <c r="BL2134" s="2" t="s">
        <v>231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9384</v>
      </c>
      <c r="BV2134" s="2" t="s">
        <v>231</v>
      </c>
      <c r="BW2134" s="2" t="s">
        <v>231</v>
      </c>
      <c r="BX2134" s="2" t="s">
        <v>2109</v>
      </c>
      <c r="BY2134" s="2" t="s">
        <v>277</v>
      </c>
      <c r="BZ2134" s="2" t="s">
        <v>243</v>
      </c>
      <c r="CA2134" s="2" t="s">
        <v>231</v>
      </c>
      <c r="CB2134" s="2" t="s">
        <v>231</v>
      </c>
      <c r="CC2134" s="2" t="s">
        <v>244</v>
      </c>
      <c r="CD2134" s="2" t="s">
        <v>231</v>
      </c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>
        <v>528</v>
      </c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>
        <v>291</v>
      </c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>
        <v>216</v>
      </c>
      <c r="EL2134" s="4"/>
      <c r="EM2134" s="4"/>
      <c r="EN2134" s="4"/>
      <c r="EO2134" s="4"/>
      <c r="EP2134" s="4"/>
      <c r="EQ2134" s="4"/>
      <c r="ER2134" s="4"/>
      <c r="ES2134" s="4">
        <v>222</v>
      </c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  <c r="HG2134" s="4"/>
      <c r="HH2134" s="4"/>
      <c r="HI2134" s="4"/>
      <c r="HJ2134" s="4"/>
      <c r="HK2134" s="4"/>
      <c r="HL2134" s="4"/>
    </row>
    <row r="2135">
      <c r="A2135" s="2" t="s">
        <v>9385</v>
      </c>
      <c r="B2135" s="2" t="s">
        <v>1004</v>
      </c>
      <c r="C2135" s="2" t="s">
        <v>815</v>
      </c>
      <c r="D2135" s="2" t="s">
        <v>6435</v>
      </c>
      <c r="E2135" s="2" t="s">
        <v>2651</v>
      </c>
      <c r="F2135" s="2" t="s">
        <v>6116</v>
      </c>
      <c r="G2135" s="2" t="s">
        <v>6116</v>
      </c>
      <c r="H2135" s="2" t="s">
        <v>6116</v>
      </c>
      <c r="I2135" s="2" t="s">
        <v>9386</v>
      </c>
      <c r="J2135" s="2" t="s">
        <v>9387</v>
      </c>
      <c r="K2135" s="2" t="s">
        <v>8019</v>
      </c>
      <c r="L2135" s="3">
        <v>157.5</v>
      </c>
      <c r="M2135" s="3">
        <v>165.38</v>
      </c>
      <c r="N2135" s="3">
        <v>329</v>
      </c>
      <c r="O2135" s="2" t="s">
        <v>243</v>
      </c>
      <c r="P2135" s="2" t="s">
        <v>236</v>
      </c>
      <c r="Q2135" s="2" t="s">
        <v>237</v>
      </c>
      <c r="R2135" s="2" t="s">
        <v>231</v>
      </c>
      <c r="S2135" s="2" t="s">
        <v>231</v>
      </c>
      <c r="T2135" s="2" t="s">
        <v>231</v>
      </c>
      <c r="U2135" s="2" t="s">
        <v>327</v>
      </c>
      <c r="V2135" s="2" t="s">
        <v>662</v>
      </c>
      <c r="W2135" s="2" t="s">
        <v>691</v>
      </c>
      <c r="X2135" s="2" t="s">
        <v>273</v>
      </c>
      <c r="Y2135" s="2" t="s">
        <v>5792</v>
      </c>
      <c r="Z2135" s="4">
        <v>47</v>
      </c>
      <c r="AA2135" s="4">
        <f>=ROUNDDOWN(23.5,0)</f>
      </c>
      <c r="AB2135" s="5">
        <v>2</v>
      </c>
      <c r="AC2135" s="2" t="s">
        <v>231</v>
      </c>
      <c r="AD2135" s="4"/>
      <c r="AE2135" s="4"/>
      <c r="AF2135" s="6">
        <v>74</v>
      </c>
      <c r="AG2135" s="6"/>
      <c r="AH2135" s="7">
        <v>1</v>
      </c>
      <c r="AI2135" s="4"/>
      <c r="AJ2135" s="4">
        <f>=ROUNDDOWN({0},0)</f>
      </c>
      <c r="AK2135" s="5"/>
      <c r="AL2135" s="2" t="s">
        <v>231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231</v>
      </c>
      <c r="AW2135" s="8" t="s">
        <v>231</v>
      </c>
      <c r="AX2135" s="4" t="s">
        <v>231</v>
      </c>
      <c r="AY2135" s="8" t="s">
        <v>231</v>
      </c>
      <c r="AZ2135" s="7" t="s">
        <v>231</v>
      </c>
      <c r="BA2135" s="7" t="s">
        <v>231</v>
      </c>
      <c r="BB2135" s="7"/>
      <c r="BC2135" s="4" t="s">
        <v>231</v>
      </c>
      <c r="BD2135" s="8" t="s">
        <v>231</v>
      </c>
      <c r="BE2135" s="4" t="s">
        <v>231</v>
      </c>
      <c r="BF2135" s="8" t="s">
        <v>231</v>
      </c>
      <c r="BG2135" s="7" t="s">
        <v>231</v>
      </c>
      <c r="BH2135" s="7" t="s">
        <v>231</v>
      </c>
      <c r="BI2135" s="7"/>
      <c r="BJ2135" s="4">
        <v>15</v>
      </c>
      <c r="BK2135" s="8">
        <v>2629.86</v>
      </c>
      <c r="BL2135" s="2" t="s">
        <v>2343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9388</v>
      </c>
      <c r="BV2135" s="2" t="s">
        <v>231</v>
      </c>
      <c r="BW2135" s="2" t="s">
        <v>231</v>
      </c>
      <c r="BX2135" s="2" t="s">
        <v>241</v>
      </c>
      <c r="BY2135" s="2" t="s">
        <v>277</v>
      </c>
      <c r="BZ2135" s="2" t="s">
        <v>243</v>
      </c>
      <c r="CA2135" s="2" t="s">
        <v>9389</v>
      </c>
      <c r="CB2135" s="2" t="s">
        <v>2635</v>
      </c>
      <c r="CC2135" s="2" t="s">
        <v>244</v>
      </c>
      <c r="CD2135" s="2" t="s">
        <v>231</v>
      </c>
      <c r="CE2135" s="4"/>
      <c r="CF2135" s="4">
        <v>47</v>
      </c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  <c r="HG2135" s="4"/>
      <c r="HH2135" s="4"/>
      <c r="HI2135" s="4"/>
      <c r="HJ2135" s="4"/>
      <c r="HK2135" s="4"/>
      <c r="HL2135" s="4"/>
    </row>
    <row r="2136">
      <c r="A2136" s="2" t="s">
        <v>9390</v>
      </c>
      <c r="B2136" s="2" t="s">
        <v>1004</v>
      </c>
      <c r="C2136" s="2" t="s">
        <v>815</v>
      </c>
      <c r="D2136" s="2" t="s">
        <v>6435</v>
      </c>
      <c r="E2136" s="2" t="s">
        <v>2651</v>
      </c>
      <c r="F2136" s="2" t="s">
        <v>6116</v>
      </c>
      <c r="G2136" s="2" t="s">
        <v>6116</v>
      </c>
      <c r="H2136" s="2" t="s">
        <v>6116</v>
      </c>
      <c r="I2136" s="2" t="s">
        <v>9391</v>
      </c>
      <c r="J2136" s="2" t="s">
        <v>9392</v>
      </c>
      <c r="K2136" s="2" t="s">
        <v>8019</v>
      </c>
      <c r="L2136" s="3">
        <v>166.5</v>
      </c>
      <c r="M2136" s="3">
        <v>174.83</v>
      </c>
      <c r="N2136" s="3">
        <v>349</v>
      </c>
      <c r="O2136" s="2" t="s">
        <v>243</v>
      </c>
      <c r="P2136" s="2" t="s">
        <v>236</v>
      </c>
      <c r="Q2136" s="2" t="s">
        <v>237</v>
      </c>
      <c r="R2136" s="2" t="s">
        <v>231</v>
      </c>
      <c r="S2136" s="2" t="s">
        <v>231</v>
      </c>
      <c r="T2136" s="2" t="s">
        <v>231</v>
      </c>
      <c r="U2136" s="2" t="s">
        <v>327</v>
      </c>
      <c r="V2136" s="2" t="s">
        <v>662</v>
      </c>
      <c r="W2136" s="2" t="s">
        <v>691</v>
      </c>
      <c r="X2136" s="2" t="s">
        <v>273</v>
      </c>
      <c r="Y2136" s="2" t="s">
        <v>5792</v>
      </c>
      <c r="Z2136" s="4">
        <v>98</v>
      </c>
      <c r="AA2136" s="4">
        <f>=ROUNDDOWN(49,0)</f>
      </c>
      <c r="AB2136" s="5">
        <v>2</v>
      </c>
      <c r="AC2136" s="2" t="s">
        <v>231</v>
      </c>
      <c r="AD2136" s="4"/>
      <c r="AE2136" s="4"/>
      <c r="AF2136" s="6">
        <v>74</v>
      </c>
      <c r="AG2136" s="6"/>
      <c r="AH2136" s="7">
        <v>1</v>
      </c>
      <c r="AI2136" s="4"/>
      <c r="AJ2136" s="4">
        <f>=ROUNDDOWN({0},0)</f>
      </c>
      <c r="AK2136" s="5"/>
      <c r="AL2136" s="2" t="s">
        <v>231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231</v>
      </c>
      <c r="AW2136" s="8" t="s">
        <v>231</v>
      </c>
      <c r="AX2136" s="4" t="s">
        <v>231</v>
      </c>
      <c r="AY2136" s="8" t="s">
        <v>231</v>
      </c>
      <c r="AZ2136" s="7" t="s">
        <v>231</v>
      </c>
      <c r="BA2136" s="7" t="s">
        <v>231</v>
      </c>
      <c r="BB2136" s="7"/>
      <c r="BC2136" s="4" t="s">
        <v>231</v>
      </c>
      <c r="BD2136" s="8" t="s">
        <v>231</v>
      </c>
      <c r="BE2136" s="4" t="s">
        <v>231</v>
      </c>
      <c r="BF2136" s="8" t="s">
        <v>231</v>
      </c>
      <c r="BG2136" s="7" t="s">
        <v>231</v>
      </c>
      <c r="BH2136" s="7" t="s">
        <v>231</v>
      </c>
      <c r="BI2136" s="7"/>
      <c r="BJ2136" s="4">
        <v>10</v>
      </c>
      <c r="BK2136" s="8">
        <v>2246.14</v>
      </c>
      <c r="BL2136" s="2" t="s">
        <v>2343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9393</v>
      </c>
      <c r="BV2136" s="2" t="s">
        <v>231</v>
      </c>
      <c r="BW2136" s="2" t="s">
        <v>231</v>
      </c>
      <c r="BX2136" s="2" t="s">
        <v>241</v>
      </c>
      <c r="BY2136" s="2" t="s">
        <v>277</v>
      </c>
      <c r="BZ2136" s="2" t="s">
        <v>243</v>
      </c>
      <c r="CA2136" s="2" t="s">
        <v>9389</v>
      </c>
      <c r="CB2136" s="2" t="s">
        <v>2635</v>
      </c>
      <c r="CC2136" s="2" t="s">
        <v>244</v>
      </c>
      <c r="CD2136" s="2" t="s">
        <v>231</v>
      </c>
      <c r="CE2136" s="4"/>
      <c r="CF2136" s="4">
        <v>98</v>
      </c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  <c r="HG2136" s="4"/>
      <c r="HH2136" s="4"/>
      <c r="HI2136" s="4"/>
      <c r="HJ2136" s="4"/>
      <c r="HK2136" s="4"/>
      <c r="HL2136" s="4"/>
    </row>
    <row r="2137">
      <c r="A2137" s="2" t="s">
        <v>9394</v>
      </c>
      <c r="B2137" s="2" t="s">
        <v>1004</v>
      </c>
      <c r="C2137" s="2" t="s">
        <v>815</v>
      </c>
      <c r="D2137" s="2" t="s">
        <v>6435</v>
      </c>
      <c r="E2137" s="2" t="s">
        <v>2538</v>
      </c>
      <c r="F2137" s="2" t="s">
        <v>6116</v>
      </c>
      <c r="G2137" s="2" t="s">
        <v>6116</v>
      </c>
      <c r="H2137" s="2" t="s">
        <v>6116</v>
      </c>
      <c r="I2137" s="2" t="s">
        <v>9395</v>
      </c>
      <c r="J2137" s="2" t="s">
        <v>807</v>
      </c>
      <c r="K2137" s="2" t="s">
        <v>8019</v>
      </c>
      <c r="L2137" s="3">
        <v>326.34</v>
      </c>
      <c r="M2137" s="3">
        <v>342.66</v>
      </c>
      <c r="N2137" s="3">
        <v>689</v>
      </c>
      <c r="O2137" s="2" t="s">
        <v>243</v>
      </c>
      <c r="P2137" s="2" t="s">
        <v>1037</v>
      </c>
      <c r="Q2137" s="2" t="s">
        <v>237</v>
      </c>
      <c r="R2137" s="2" t="s">
        <v>231</v>
      </c>
      <c r="S2137" s="2" t="s">
        <v>231</v>
      </c>
      <c r="T2137" s="2" t="s">
        <v>231</v>
      </c>
      <c r="U2137" s="2" t="s">
        <v>791</v>
      </c>
      <c r="V2137" s="2" t="s">
        <v>662</v>
      </c>
      <c r="W2137" s="2" t="s">
        <v>691</v>
      </c>
      <c r="X2137" s="2" t="s">
        <v>273</v>
      </c>
      <c r="Y2137" s="2" t="s">
        <v>5792</v>
      </c>
      <c r="Z2137" s="4">
        <v>49</v>
      </c>
      <c r="AA2137" s="4">
        <f>=ROUNDDOWN({0},0)</f>
      </c>
      <c r="AB2137" s="5"/>
      <c r="AC2137" s="2" t="s">
        <v>231</v>
      </c>
      <c r="AD2137" s="4"/>
      <c r="AE2137" s="4"/>
      <c r="AF2137" s="6"/>
      <c r="AG2137" s="6"/>
      <c r="AH2137" s="7">
        <v>1</v>
      </c>
      <c r="AI2137" s="4"/>
      <c r="AJ2137" s="4">
        <f>=ROUNDDOWN({0},0)</f>
      </c>
      <c r="AK2137" s="5"/>
      <c r="AL2137" s="2" t="s">
        <v>231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231</v>
      </c>
      <c r="AW2137" s="8" t="s">
        <v>231</v>
      </c>
      <c r="AX2137" s="4" t="s">
        <v>231</v>
      </c>
      <c r="AY2137" s="8" t="s">
        <v>231</v>
      </c>
      <c r="AZ2137" s="7" t="s">
        <v>231</v>
      </c>
      <c r="BA2137" s="7" t="s">
        <v>231</v>
      </c>
      <c r="BB2137" s="7" t="s">
        <v>231</v>
      </c>
      <c r="BC2137" s="4" t="s">
        <v>231</v>
      </c>
      <c r="BD2137" s="8" t="s">
        <v>231</v>
      </c>
      <c r="BE2137" s="4" t="s">
        <v>231</v>
      </c>
      <c r="BF2137" s="8" t="s">
        <v>231</v>
      </c>
      <c r="BG2137" s="7" t="s">
        <v>231</v>
      </c>
      <c r="BH2137" s="7" t="s">
        <v>231</v>
      </c>
      <c r="BI2137" s="7"/>
      <c r="BJ2137" s="4"/>
      <c r="BK2137" s="8"/>
      <c r="BL2137" s="2" t="s">
        <v>231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9396</v>
      </c>
      <c r="BV2137" s="2" t="s">
        <v>231</v>
      </c>
      <c r="BW2137" s="2" t="s">
        <v>231</v>
      </c>
      <c r="BX2137" s="2" t="s">
        <v>241</v>
      </c>
      <c r="BY2137" s="2" t="s">
        <v>277</v>
      </c>
      <c r="BZ2137" s="2" t="s">
        <v>243</v>
      </c>
      <c r="CA2137" s="2" t="s">
        <v>9389</v>
      </c>
      <c r="CB2137" s="2" t="s">
        <v>231</v>
      </c>
      <c r="CC2137" s="2" t="s">
        <v>244</v>
      </c>
      <c r="CD2137" s="2" t="s">
        <v>231</v>
      </c>
      <c r="CE2137" s="4"/>
      <c r="CF2137" s="4">
        <v>49</v>
      </c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  <c r="HG2137" s="4"/>
      <c r="HH2137" s="4"/>
      <c r="HI2137" s="4"/>
      <c r="HJ2137" s="4"/>
      <c r="HK2137" s="4"/>
      <c r="HL2137" s="4"/>
    </row>
    <row r="2138">
      <c r="A2138" s="2" t="s">
        <v>9397</v>
      </c>
      <c r="B2138" s="2" t="s">
        <v>1004</v>
      </c>
      <c r="C2138" s="2" t="s">
        <v>815</v>
      </c>
      <c r="D2138" s="2" t="s">
        <v>6435</v>
      </c>
      <c r="E2138" s="2" t="s">
        <v>2538</v>
      </c>
      <c r="F2138" s="2" t="s">
        <v>6116</v>
      </c>
      <c r="G2138" s="2" t="s">
        <v>6116</v>
      </c>
      <c r="H2138" s="2" t="s">
        <v>6116</v>
      </c>
      <c r="I2138" s="2" t="s">
        <v>9398</v>
      </c>
      <c r="J2138" s="2" t="s">
        <v>807</v>
      </c>
      <c r="K2138" s="2" t="s">
        <v>8019</v>
      </c>
      <c r="L2138" s="3">
        <v>785.99</v>
      </c>
      <c r="M2138" s="3">
        <v>825.29</v>
      </c>
      <c r="N2138" s="3">
        <v>1649</v>
      </c>
      <c r="O2138" s="2" t="s">
        <v>243</v>
      </c>
      <c r="P2138" s="2" t="s">
        <v>1037</v>
      </c>
      <c r="Q2138" s="2" t="s">
        <v>237</v>
      </c>
      <c r="R2138" s="2" t="s">
        <v>231</v>
      </c>
      <c r="S2138" s="2" t="s">
        <v>231</v>
      </c>
      <c r="T2138" s="2" t="s">
        <v>231</v>
      </c>
      <c r="U2138" s="2" t="s">
        <v>661</v>
      </c>
      <c r="V2138" s="2" t="s">
        <v>662</v>
      </c>
      <c r="W2138" s="2" t="s">
        <v>691</v>
      </c>
      <c r="X2138" s="2" t="s">
        <v>273</v>
      </c>
      <c r="Y2138" s="2" t="s">
        <v>5792</v>
      </c>
      <c r="Z2138" s="4">
        <v>24</v>
      </c>
      <c r="AA2138" s="4">
        <f>=ROUNDDOWN(80,0)</f>
      </c>
      <c r="AB2138" s="5">
        <v>0.3</v>
      </c>
      <c r="AC2138" s="2" t="s">
        <v>231</v>
      </c>
      <c r="AD2138" s="4"/>
      <c r="AE2138" s="4"/>
      <c r="AF2138" s="6"/>
      <c r="AG2138" s="6"/>
      <c r="AH2138" s="7">
        <v>1</v>
      </c>
      <c r="AI2138" s="4"/>
      <c r="AJ2138" s="4">
        <f>=ROUNDDOWN({0},0)</f>
      </c>
      <c r="AK2138" s="5"/>
      <c r="AL2138" s="2" t="s">
        <v>231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231</v>
      </c>
      <c r="AW2138" s="8" t="s">
        <v>231</v>
      </c>
      <c r="AX2138" s="4" t="s">
        <v>231</v>
      </c>
      <c r="AY2138" s="8" t="s">
        <v>231</v>
      </c>
      <c r="AZ2138" s="7" t="s">
        <v>231</v>
      </c>
      <c r="BA2138" s="7" t="s">
        <v>231</v>
      </c>
      <c r="BB2138" s="7" t="s">
        <v>231</v>
      </c>
      <c r="BC2138" s="4" t="s">
        <v>231</v>
      </c>
      <c r="BD2138" s="8" t="s">
        <v>231</v>
      </c>
      <c r="BE2138" s="4" t="s">
        <v>231</v>
      </c>
      <c r="BF2138" s="8" t="s">
        <v>231</v>
      </c>
      <c r="BG2138" s="7" t="s">
        <v>231</v>
      </c>
      <c r="BH2138" s="7" t="s">
        <v>231</v>
      </c>
      <c r="BI2138" s="7"/>
      <c r="BJ2138" s="4">
        <v>1</v>
      </c>
      <c r="BK2138" s="8">
        <v>825.29</v>
      </c>
      <c r="BL2138" s="2" t="s">
        <v>1306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9399</v>
      </c>
      <c r="BV2138" s="2" t="s">
        <v>231</v>
      </c>
      <c r="BW2138" s="2" t="s">
        <v>231</v>
      </c>
      <c r="BX2138" s="2" t="s">
        <v>241</v>
      </c>
      <c r="BY2138" s="2" t="s">
        <v>277</v>
      </c>
      <c r="BZ2138" s="2" t="s">
        <v>243</v>
      </c>
      <c r="CA2138" s="2" t="s">
        <v>9389</v>
      </c>
      <c r="CB2138" s="2" t="s">
        <v>231</v>
      </c>
      <c r="CC2138" s="2" t="s">
        <v>244</v>
      </c>
      <c r="CD2138" s="2" t="s">
        <v>231</v>
      </c>
      <c r="CE2138" s="4"/>
      <c r="CF2138" s="4">
        <v>24</v>
      </c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  <c r="HG2138" s="4"/>
      <c r="HH2138" s="4"/>
      <c r="HI2138" s="4"/>
      <c r="HJ2138" s="4"/>
      <c r="HK2138" s="4"/>
      <c r="HL2138" s="4"/>
    </row>
    <row r="2139">
      <c r="A2139" s="2" t="s">
        <v>9400</v>
      </c>
      <c r="B2139" s="2" t="s">
        <v>1004</v>
      </c>
      <c r="C2139" s="2" t="s">
        <v>815</v>
      </c>
      <c r="D2139" s="2" t="s">
        <v>6435</v>
      </c>
      <c r="E2139" s="2" t="s">
        <v>2538</v>
      </c>
      <c r="F2139" s="2" t="s">
        <v>6116</v>
      </c>
      <c r="G2139" s="2" t="s">
        <v>6116</v>
      </c>
      <c r="H2139" s="2" t="s">
        <v>6116</v>
      </c>
      <c r="I2139" s="2" t="s">
        <v>9401</v>
      </c>
      <c r="J2139" s="2" t="s">
        <v>807</v>
      </c>
      <c r="K2139" s="2" t="s">
        <v>8019</v>
      </c>
      <c r="L2139" s="3">
        <v>480.69</v>
      </c>
      <c r="M2139" s="3">
        <v>504.72</v>
      </c>
      <c r="N2139" s="3">
        <v>999</v>
      </c>
      <c r="O2139" s="2" t="s">
        <v>243</v>
      </c>
      <c r="P2139" s="2" t="s">
        <v>1037</v>
      </c>
      <c r="Q2139" s="2" t="s">
        <v>237</v>
      </c>
      <c r="R2139" s="2" t="s">
        <v>231</v>
      </c>
      <c r="S2139" s="2" t="s">
        <v>231</v>
      </c>
      <c r="T2139" s="2" t="s">
        <v>231</v>
      </c>
      <c r="U2139" s="2" t="s">
        <v>835</v>
      </c>
      <c r="V2139" s="2" t="s">
        <v>662</v>
      </c>
      <c r="W2139" s="2" t="s">
        <v>691</v>
      </c>
      <c r="X2139" s="2" t="s">
        <v>273</v>
      </c>
      <c r="Y2139" s="2" t="s">
        <v>5792</v>
      </c>
      <c r="Z2139" s="4">
        <v>48</v>
      </c>
      <c r="AA2139" s="4">
        <f>=ROUNDDOWN({0},0)</f>
      </c>
      <c r="AB2139" s="5"/>
      <c r="AC2139" s="2" t="s">
        <v>231</v>
      </c>
      <c r="AD2139" s="4"/>
      <c r="AE2139" s="4"/>
      <c r="AF2139" s="6"/>
      <c r="AG2139" s="6"/>
      <c r="AH2139" s="7">
        <v>1</v>
      </c>
      <c r="AI2139" s="4"/>
      <c r="AJ2139" s="4">
        <f>=ROUNDDOWN({0},0)</f>
      </c>
      <c r="AK2139" s="5"/>
      <c r="AL2139" s="2" t="s">
        <v>231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231</v>
      </c>
      <c r="AW2139" s="8" t="s">
        <v>231</v>
      </c>
      <c r="AX2139" s="4" t="s">
        <v>231</v>
      </c>
      <c r="AY2139" s="8" t="s">
        <v>231</v>
      </c>
      <c r="AZ2139" s="7" t="s">
        <v>231</v>
      </c>
      <c r="BA2139" s="7" t="s">
        <v>231</v>
      </c>
      <c r="BB2139" s="7" t="s">
        <v>231</v>
      </c>
      <c r="BC2139" s="4" t="s">
        <v>231</v>
      </c>
      <c r="BD2139" s="8" t="s">
        <v>231</v>
      </c>
      <c r="BE2139" s="4" t="s">
        <v>231</v>
      </c>
      <c r="BF2139" s="8" t="s">
        <v>231</v>
      </c>
      <c r="BG2139" s="7" t="s">
        <v>231</v>
      </c>
      <c r="BH2139" s="7" t="s">
        <v>231</v>
      </c>
      <c r="BI2139" s="7"/>
      <c r="BJ2139" s="4"/>
      <c r="BK2139" s="8"/>
      <c r="BL2139" s="2" t="s">
        <v>231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9402</v>
      </c>
      <c r="BV2139" s="2" t="s">
        <v>231</v>
      </c>
      <c r="BW2139" s="2" t="s">
        <v>231</v>
      </c>
      <c r="BX2139" s="2" t="s">
        <v>241</v>
      </c>
      <c r="BY2139" s="2" t="s">
        <v>277</v>
      </c>
      <c r="BZ2139" s="2" t="s">
        <v>243</v>
      </c>
      <c r="CA2139" s="2" t="s">
        <v>9389</v>
      </c>
      <c r="CB2139" s="2" t="s">
        <v>231</v>
      </c>
      <c r="CC2139" s="2" t="s">
        <v>244</v>
      </c>
      <c r="CD2139" s="2" t="s">
        <v>231</v>
      </c>
      <c r="CE2139" s="4"/>
      <c r="CF2139" s="4">
        <v>48</v>
      </c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4"/>
      <c r="HH2139" s="4"/>
      <c r="HI2139" s="4"/>
      <c r="HJ2139" s="4"/>
      <c r="HK2139" s="4"/>
      <c r="HL2139" s="4"/>
    </row>
    <row r="2140">
      <c r="A2140" s="2" t="s">
        <v>9403</v>
      </c>
      <c r="B2140" s="2" t="s">
        <v>1004</v>
      </c>
      <c r="C2140" s="2" t="s">
        <v>815</v>
      </c>
      <c r="D2140" s="2" t="s">
        <v>6435</v>
      </c>
      <c r="E2140" s="2" t="s">
        <v>2538</v>
      </c>
      <c r="F2140" s="2" t="s">
        <v>6116</v>
      </c>
      <c r="G2140" s="2" t="s">
        <v>6116</v>
      </c>
      <c r="H2140" s="2" t="s">
        <v>6116</v>
      </c>
      <c r="I2140" s="2" t="s">
        <v>9404</v>
      </c>
      <c r="J2140" s="2" t="s">
        <v>807</v>
      </c>
      <c r="K2140" s="2" t="s">
        <v>8019</v>
      </c>
      <c r="L2140" s="3">
        <v>777.31</v>
      </c>
      <c r="M2140" s="3">
        <v>816.18</v>
      </c>
      <c r="N2140" s="3">
        <v>1629</v>
      </c>
      <c r="O2140" s="2" t="s">
        <v>243</v>
      </c>
      <c r="P2140" s="2" t="s">
        <v>1037</v>
      </c>
      <c r="Q2140" s="2" t="s">
        <v>237</v>
      </c>
      <c r="R2140" s="2" t="s">
        <v>231</v>
      </c>
      <c r="S2140" s="2" t="s">
        <v>231</v>
      </c>
      <c r="T2140" s="2" t="s">
        <v>231</v>
      </c>
      <c r="U2140" s="2" t="s">
        <v>661</v>
      </c>
      <c r="V2140" s="2" t="s">
        <v>662</v>
      </c>
      <c r="W2140" s="2" t="s">
        <v>691</v>
      </c>
      <c r="X2140" s="2" t="s">
        <v>273</v>
      </c>
      <c r="Y2140" s="2" t="s">
        <v>5792</v>
      </c>
      <c r="Z2140" s="4">
        <v>16</v>
      </c>
      <c r="AA2140" s="4">
        <f>=ROUNDDOWN({0},0)</f>
      </c>
      <c r="AB2140" s="5"/>
      <c r="AC2140" s="2" t="s">
        <v>231</v>
      </c>
      <c r="AD2140" s="4"/>
      <c r="AE2140" s="4"/>
      <c r="AF2140" s="6"/>
      <c r="AG2140" s="6"/>
      <c r="AH2140" s="7">
        <v>1</v>
      </c>
      <c r="AI2140" s="4"/>
      <c r="AJ2140" s="4">
        <f>=ROUNDDOWN({0},0)</f>
      </c>
      <c r="AK2140" s="5"/>
      <c r="AL2140" s="2" t="s">
        <v>231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231</v>
      </c>
      <c r="AW2140" s="8" t="s">
        <v>231</v>
      </c>
      <c r="AX2140" s="4" t="s">
        <v>231</v>
      </c>
      <c r="AY2140" s="8" t="s">
        <v>231</v>
      </c>
      <c r="AZ2140" s="7" t="s">
        <v>231</v>
      </c>
      <c r="BA2140" s="7" t="s">
        <v>231</v>
      </c>
      <c r="BB2140" s="7" t="s">
        <v>231</v>
      </c>
      <c r="BC2140" s="4" t="s">
        <v>231</v>
      </c>
      <c r="BD2140" s="8" t="s">
        <v>231</v>
      </c>
      <c r="BE2140" s="4" t="s">
        <v>231</v>
      </c>
      <c r="BF2140" s="8" t="s">
        <v>231</v>
      </c>
      <c r="BG2140" s="7" t="s">
        <v>231</v>
      </c>
      <c r="BH2140" s="7" t="s">
        <v>231</v>
      </c>
      <c r="BI2140" s="7"/>
      <c r="BJ2140" s="4"/>
      <c r="BK2140" s="8"/>
      <c r="BL2140" s="2" t="s">
        <v>231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9405</v>
      </c>
      <c r="BV2140" s="2" t="s">
        <v>231</v>
      </c>
      <c r="BW2140" s="2" t="s">
        <v>231</v>
      </c>
      <c r="BX2140" s="2" t="s">
        <v>241</v>
      </c>
      <c r="BY2140" s="2" t="s">
        <v>277</v>
      </c>
      <c r="BZ2140" s="2" t="s">
        <v>243</v>
      </c>
      <c r="CA2140" s="2" t="s">
        <v>9389</v>
      </c>
      <c r="CB2140" s="2" t="s">
        <v>231</v>
      </c>
      <c r="CC2140" s="2" t="s">
        <v>244</v>
      </c>
      <c r="CD2140" s="2" t="s">
        <v>231</v>
      </c>
      <c r="CE2140" s="4"/>
      <c r="CF2140" s="4">
        <v>16</v>
      </c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4"/>
      <c r="HH2140" s="4"/>
      <c r="HI2140" s="4"/>
      <c r="HJ2140" s="4"/>
      <c r="HK2140" s="4"/>
      <c r="HL2140" s="4"/>
    </row>
    <row r="2141">
      <c r="A2141" s="2" t="s">
        <v>9406</v>
      </c>
      <c r="B2141" s="2" t="s">
        <v>1004</v>
      </c>
      <c r="C2141" s="2" t="s">
        <v>815</v>
      </c>
      <c r="D2141" s="2" t="s">
        <v>6435</v>
      </c>
      <c r="E2141" s="2" t="s">
        <v>6436</v>
      </c>
      <c r="F2141" s="2" t="s">
        <v>6116</v>
      </c>
      <c r="G2141" s="2" t="s">
        <v>6116</v>
      </c>
      <c r="H2141" s="2" t="s">
        <v>6116</v>
      </c>
      <c r="I2141" s="2" t="s">
        <v>9407</v>
      </c>
      <c r="J2141" s="2" t="s">
        <v>807</v>
      </c>
      <c r="K2141" s="2" t="s">
        <v>8019</v>
      </c>
      <c r="L2141" s="3">
        <v>442.76</v>
      </c>
      <c r="M2141" s="3">
        <v>464.9</v>
      </c>
      <c r="N2141" s="3">
        <v>929</v>
      </c>
      <c r="O2141" s="2" t="s">
        <v>243</v>
      </c>
      <c r="P2141" s="2" t="s">
        <v>1037</v>
      </c>
      <c r="Q2141" s="2" t="s">
        <v>237</v>
      </c>
      <c r="R2141" s="2" t="s">
        <v>231</v>
      </c>
      <c r="S2141" s="2" t="s">
        <v>231</v>
      </c>
      <c r="T2141" s="2" t="s">
        <v>231</v>
      </c>
      <c r="U2141" s="2" t="s">
        <v>835</v>
      </c>
      <c r="V2141" s="2" t="s">
        <v>662</v>
      </c>
      <c r="W2141" s="2" t="s">
        <v>691</v>
      </c>
      <c r="X2141" s="2" t="s">
        <v>273</v>
      </c>
      <c r="Y2141" s="2" t="s">
        <v>5792</v>
      </c>
      <c r="Z2141" s="4">
        <v>25</v>
      </c>
      <c r="AA2141" s="4">
        <f>=ROUNDDOWN({0},0)</f>
      </c>
      <c r="AB2141" s="5"/>
      <c r="AC2141" s="2" t="s">
        <v>231</v>
      </c>
      <c r="AD2141" s="4"/>
      <c r="AE2141" s="4"/>
      <c r="AF2141" s="6"/>
      <c r="AG2141" s="6"/>
      <c r="AH2141" s="7">
        <v>1</v>
      </c>
      <c r="AI2141" s="4"/>
      <c r="AJ2141" s="4">
        <f>=ROUNDDOWN({0},0)</f>
      </c>
      <c r="AK2141" s="5"/>
      <c r="AL2141" s="2" t="s">
        <v>231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231</v>
      </c>
      <c r="AW2141" s="8" t="s">
        <v>231</v>
      </c>
      <c r="AX2141" s="4" t="s">
        <v>231</v>
      </c>
      <c r="AY2141" s="8" t="s">
        <v>231</v>
      </c>
      <c r="AZ2141" s="7" t="s">
        <v>231</v>
      </c>
      <c r="BA2141" s="7" t="s">
        <v>231</v>
      </c>
      <c r="BB2141" s="7" t="s">
        <v>231</v>
      </c>
      <c r="BC2141" s="4" t="s">
        <v>231</v>
      </c>
      <c r="BD2141" s="8" t="s">
        <v>231</v>
      </c>
      <c r="BE2141" s="4" t="s">
        <v>231</v>
      </c>
      <c r="BF2141" s="8" t="s">
        <v>231</v>
      </c>
      <c r="BG2141" s="7" t="s">
        <v>231</v>
      </c>
      <c r="BH2141" s="7" t="s">
        <v>231</v>
      </c>
      <c r="BI2141" s="7"/>
      <c r="BJ2141" s="4"/>
      <c r="BK2141" s="8"/>
      <c r="BL2141" s="2" t="s">
        <v>231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9408</v>
      </c>
      <c r="BV2141" s="2" t="s">
        <v>231</v>
      </c>
      <c r="BW2141" s="2" t="s">
        <v>231</v>
      </c>
      <c r="BX2141" s="2" t="s">
        <v>241</v>
      </c>
      <c r="BY2141" s="2" t="s">
        <v>277</v>
      </c>
      <c r="BZ2141" s="2" t="s">
        <v>243</v>
      </c>
      <c r="CA2141" s="2" t="s">
        <v>9389</v>
      </c>
      <c r="CB2141" s="2" t="s">
        <v>231</v>
      </c>
      <c r="CC2141" s="2" t="s">
        <v>244</v>
      </c>
      <c r="CD2141" s="2" t="s">
        <v>231</v>
      </c>
      <c r="CE2141" s="4"/>
      <c r="CF2141" s="4">
        <v>25</v>
      </c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  <c r="HG2141" s="4"/>
      <c r="HH2141" s="4"/>
      <c r="HI2141" s="4"/>
      <c r="HJ2141" s="4"/>
      <c r="HK2141" s="4"/>
      <c r="HL2141" s="4"/>
    </row>
    <row r="2142">
      <c r="A2142" s="2" t="s">
        <v>9409</v>
      </c>
      <c r="B2142" s="2" t="s">
        <v>1004</v>
      </c>
      <c r="C2142" s="2" t="s">
        <v>815</v>
      </c>
      <c r="D2142" s="2" t="s">
        <v>6435</v>
      </c>
      <c r="E2142" s="2" t="s">
        <v>6436</v>
      </c>
      <c r="F2142" s="2" t="s">
        <v>6116</v>
      </c>
      <c r="G2142" s="2" t="s">
        <v>6116</v>
      </c>
      <c r="H2142" s="2" t="s">
        <v>6116</v>
      </c>
      <c r="I2142" s="2" t="s">
        <v>9410</v>
      </c>
      <c r="J2142" s="2" t="s">
        <v>807</v>
      </c>
      <c r="K2142" s="2" t="s">
        <v>8019</v>
      </c>
      <c r="L2142" s="3">
        <v>591.02</v>
      </c>
      <c r="M2142" s="3">
        <v>620.57</v>
      </c>
      <c r="N2142" s="3">
        <v>1239</v>
      </c>
      <c r="O2142" s="2" t="s">
        <v>243</v>
      </c>
      <c r="P2142" s="2" t="s">
        <v>1037</v>
      </c>
      <c r="Q2142" s="2" t="s">
        <v>237</v>
      </c>
      <c r="R2142" s="2" t="s">
        <v>231</v>
      </c>
      <c r="S2142" s="2" t="s">
        <v>231</v>
      </c>
      <c r="T2142" s="2" t="s">
        <v>231</v>
      </c>
      <c r="U2142" s="2" t="s">
        <v>298</v>
      </c>
      <c r="V2142" s="2" t="s">
        <v>662</v>
      </c>
      <c r="W2142" s="2" t="s">
        <v>691</v>
      </c>
      <c r="X2142" s="2" t="s">
        <v>273</v>
      </c>
      <c r="Y2142" s="2" t="s">
        <v>5792</v>
      </c>
      <c r="Z2142" s="4">
        <v>25</v>
      </c>
      <c r="AA2142" s="4">
        <f>=ROUNDDOWN({0},0)</f>
      </c>
      <c r="AB2142" s="5"/>
      <c r="AC2142" s="2" t="s">
        <v>231</v>
      </c>
      <c r="AD2142" s="4"/>
      <c r="AE2142" s="4"/>
      <c r="AF2142" s="6"/>
      <c r="AG2142" s="6"/>
      <c r="AH2142" s="7">
        <v>1</v>
      </c>
      <c r="AI2142" s="4"/>
      <c r="AJ2142" s="4">
        <f>=ROUNDDOWN({0},0)</f>
      </c>
      <c r="AK2142" s="5"/>
      <c r="AL2142" s="2" t="s">
        <v>231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231</v>
      </c>
      <c r="AW2142" s="8" t="s">
        <v>231</v>
      </c>
      <c r="AX2142" s="4" t="s">
        <v>231</v>
      </c>
      <c r="AY2142" s="8" t="s">
        <v>231</v>
      </c>
      <c r="AZ2142" s="7" t="s">
        <v>231</v>
      </c>
      <c r="BA2142" s="7" t="s">
        <v>231</v>
      </c>
      <c r="BB2142" s="7" t="s">
        <v>231</v>
      </c>
      <c r="BC2142" s="4" t="s">
        <v>231</v>
      </c>
      <c r="BD2142" s="8" t="s">
        <v>231</v>
      </c>
      <c r="BE2142" s="4" t="s">
        <v>231</v>
      </c>
      <c r="BF2142" s="8" t="s">
        <v>231</v>
      </c>
      <c r="BG2142" s="7" t="s">
        <v>231</v>
      </c>
      <c r="BH2142" s="7" t="s">
        <v>231</v>
      </c>
      <c r="BI2142" s="7"/>
      <c r="BJ2142" s="4"/>
      <c r="BK2142" s="8"/>
      <c r="BL2142" s="2" t="s">
        <v>231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9411</v>
      </c>
      <c r="BV2142" s="2" t="s">
        <v>231</v>
      </c>
      <c r="BW2142" s="2" t="s">
        <v>231</v>
      </c>
      <c r="BX2142" s="2" t="s">
        <v>241</v>
      </c>
      <c r="BY2142" s="2" t="s">
        <v>277</v>
      </c>
      <c r="BZ2142" s="2" t="s">
        <v>243</v>
      </c>
      <c r="CA2142" s="2" t="s">
        <v>9389</v>
      </c>
      <c r="CB2142" s="2" t="s">
        <v>9412</v>
      </c>
      <c r="CC2142" s="2" t="s">
        <v>244</v>
      </c>
      <c r="CD2142" s="2" t="s">
        <v>231</v>
      </c>
      <c r="CE2142" s="4"/>
      <c r="CF2142" s="4">
        <v>25</v>
      </c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  <c r="HG2142" s="4"/>
      <c r="HH2142" s="4"/>
      <c r="HI2142" s="4"/>
      <c r="HJ2142" s="4"/>
      <c r="HK2142" s="4"/>
      <c r="HL2142" s="4"/>
    </row>
    <row r="2143">
      <c r="A2143" s="2" t="s">
        <v>9413</v>
      </c>
      <c r="B2143" s="2" t="s">
        <v>1004</v>
      </c>
      <c r="C2143" s="2" t="s">
        <v>815</v>
      </c>
      <c r="D2143" s="2" t="s">
        <v>6435</v>
      </c>
      <c r="E2143" s="2" t="s">
        <v>2651</v>
      </c>
      <c r="F2143" s="2" t="s">
        <v>6116</v>
      </c>
      <c r="G2143" s="2" t="s">
        <v>6116</v>
      </c>
      <c r="H2143" s="2" t="s">
        <v>6116</v>
      </c>
      <c r="I2143" s="2" t="s">
        <v>9386</v>
      </c>
      <c r="J2143" s="2" t="s">
        <v>9387</v>
      </c>
      <c r="K2143" s="2" t="s">
        <v>9414</v>
      </c>
      <c r="L2143" s="3">
        <v>157.5</v>
      </c>
      <c r="M2143" s="3">
        <v>165.38</v>
      </c>
      <c r="N2143" s="3">
        <v>329</v>
      </c>
      <c r="O2143" s="2" t="s">
        <v>243</v>
      </c>
      <c r="P2143" s="2" t="s">
        <v>1985</v>
      </c>
      <c r="Q2143" s="2" t="s">
        <v>237</v>
      </c>
      <c r="R2143" s="2" t="s">
        <v>231</v>
      </c>
      <c r="S2143" s="2" t="s">
        <v>231</v>
      </c>
      <c r="T2143" s="2" t="s">
        <v>231</v>
      </c>
      <c r="U2143" s="2" t="s">
        <v>327</v>
      </c>
      <c r="V2143" s="2" t="s">
        <v>662</v>
      </c>
      <c r="W2143" s="2" t="s">
        <v>691</v>
      </c>
      <c r="X2143" s="2" t="s">
        <v>273</v>
      </c>
      <c r="Y2143" s="2" t="s">
        <v>9415</v>
      </c>
      <c r="Z2143" s="4">
        <v>101</v>
      </c>
      <c r="AA2143" s="4">
        <f>=ROUNDDOWN(33.6666666666667,0)</f>
      </c>
      <c r="AB2143" s="5">
        <v>3</v>
      </c>
      <c r="AC2143" s="2" t="s">
        <v>231</v>
      </c>
      <c r="AD2143" s="4"/>
      <c r="AE2143" s="4"/>
      <c r="AF2143" s="6">
        <v>74</v>
      </c>
      <c r="AG2143" s="6"/>
      <c r="AH2143" s="7">
        <v>1</v>
      </c>
      <c r="AI2143" s="4"/>
      <c r="AJ2143" s="4">
        <f>=ROUNDDOWN({0},0)</f>
      </c>
      <c r="AK2143" s="5"/>
      <c r="AL2143" s="2" t="s">
        <v>231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231</v>
      </c>
      <c r="AW2143" s="8" t="s">
        <v>231</v>
      </c>
      <c r="AX2143" s="4" t="s">
        <v>231</v>
      </c>
      <c r="AY2143" s="8" t="s">
        <v>231</v>
      </c>
      <c r="AZ2143" s="7" t="s">
        <v>231</v>
      </c>
      <c r="BA2143" s="7" t="s">
        <v>231</v>
      </c>
      <c r="BB2143" s="7"/>
      <c r="BC2143" s="4" t="s">
        <v>231</v>
      </c>
      <c r="BD2143" s="8" t="s">
        <v>231</v>
      </c>
      <c r="BE2143" s="4" t="s">
        <v>231</v>
      </c>
      <c r="BF2143" s="8" t="s">
        <v>231</v>
      </c>
      <c r="BG2143" s="7" t="s">
        <v>231</v>
      </c>
      <c r="BH2143" s="7" t="s">
        <v>231</v>
      </c>
      <c r="BI2143" s="7"/>
      <c r="BJ2143" s="4">
        <v>4</v>
      </c>
      <c r="BK2143" s="8">
        <v>796.78</v>
      </c>
      <c r="BL2143" s="2" t="s">
        <v>2343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9416</v>
      </c>
      <c r="BV2143" s="2" t="s">
        <v>231</v>
      </c>
      <c r="BW2143" s="2" t="s">
        <v>231</v>
      </c>
      <c r="BX2143" s="2" t="s">
        <v>241</v>
      </c>
      <c r="BY2143" s="2" t="s">
        <v>277</v>
      </c>
      <c r="BZ2143" s="2" t="s">
        <v>243</v>
      </c>
      <c r="CA2143" s="2" t="s">
        <v>9154</v>
      </c>
      <c r="CB2143" s="2" t="s">
        <v>7055</v>
      </c>
      <c r="CC2143" s="2" t="s">
        <v>244</v>
      </c>
      <c r="CD2143" s="2" t="s">
        <v>231</v>
      </c>
      <c r="CE2143" s="4"/>
      <c r="CF2143" s="4">
        <v>101</v>
      </c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  <c r="HG2143" s="4"/>
      <c r="HH2143" s="4"/>
      <c r="HI2143" s="4"/>
      <c r="HJ2143" s="4"/>
      <c r="HK2143" s="4"/>
      <c r="HL2143" s="4"/>
    </row>
    <row r="2144">
      <c r="A2144" s="2" t="s">
        <v>9417</v>
      </c>
      <c r="B2144" s="2" t="s">
        <v>1004</v>
      </c>
      <c r="C2144" s="2" t="s">
        <v>815</v>
      </c>
      <c r="D2144" s="2" t="s">
        <v>6435</v>
      </c>
      <c r="E2144" s="2" t="s">
        <v>2651</v>
      </c>
      <c r="F2144" s="2" t="s">
        <v>6116</v>
      </c>
      <c r="G2144" s="2" t="s">
        <v>6116</v>
      </c>
      <c r="H2144" s="2" t="s">
        <v>6116</v>
      </c>
      <c r="I2144" s="2" t="s">
        <v>9391</v>
      </c>
      <c r="J2144" s="2" t="s">
        <v>9392</v>
      </c>
      <c r="K2144" s="2" t="s">
        <v>9414</v>
      </c>
      <c r="L2144" s="3">
        <v>166.5</v>
      </c>
      <c r="M2144" s="3">
        <v>174.82</v>
      </c>
      <c r="N2144" s="3">
        <v>349</v>
      </c>
      <c r="O2144" s="2" t="s">
        <v>243</v>
      </c>
      <c r="P2144" s="2" t="s">
        <v>1985</v>
      </c>
      <c r="Q2144" s="2" t="s">
        <v>237</v>
      </c>
      <c r="R2144" s="2" t="s">
        <v>231</v>
      </c>
      <c r="S2144" s="2" t="s">
        <v>231</v>
      </c>
      <c r="T2144" s="2" t="s">
        <v>231</v>
      </c>
      <c r="U2144" s="2" t="s">
        <v>327</v>
      </c>
      <c r="V2144" s="2" t="s">
        <v>662</v>
      </c>
      <c r="W2144" s="2" t="s">
        <v>691</v>
      </c>
      <c r="X2144" s="2" t="s">
        <v>273</v>
      </c>
      <c r="Y2144" s="2" t="s">
        <v>9415</v>
      </c>
      <c r="Z2144" s="4">
        <v>45</v>
      </c>
      <c r="AA2144" s="4">
        <f>=ROUNDDOWN(15,0)</f>
      </c>
      <c r="AB2144" s="5">
        <v>3</v>
      </c>
      <c r="AC2144" s="2" t="s">
        <v>477</v>
      </c>
      <c r="AD2144" s="4">
        <v>72</v>
      </c>
      <c r="AE2144" s="4">
        <v>72</v>
      </c>
      <c r="AF2144" s="6">
        <v>74</v>
      </c>
      <c r="AG2144" s="6"/>
      <c r="AH2144" s="7">
        <v>1</v>
      </c>
      <c r="AI2144" s="4"/>
      <c r="AJ2144" s="4">
        <f>=ROUNDDOWN({0},0)</f>
      </c>
      <c r="AK2144" s="5"/>
      <c r="AL2144" s="2" t="s">
        <v>231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231</v>
      </c>
      <c r="AW2144" s="8" t="s">
        <v>231</v>
      </c>
      <c r="AX2144" s="4" t="s">
        <v>231</v>
      </c>
      <c r="AY2144" s="8" t="s">
        <v>231</v>
      </c>
      <c r="AZ2144" s="7" t="s">
        <v>231</v>
      </c>
      <c r="BA2144" s="7" t="s">
        <v>231</v>
      </c>
      <c r="BB2144" s="7"/>
      <c r="BC2144" s="4" t="s">
        <v>231</v>
      </c>
      <c r="BD2144" s="8" t="s">
        <v>231</v>
      </c>
      <c r="BE2144" s="4" t="s">
        <v>231</v>
      </c>
      <c r="BF2144" s="8" t="s">
        <v>231</v>
      </c>
      <c r="BG2144" s="7" t="s">
        <v>231</v>
      </c>
      <c r="BH2144" s="7" t="s">
        <v>231</v>
      </c>
      <c r="BI2144" s="7"/>
      <c r="BJ2144" s="4">
        <v>7</v>
      </c>
      <c r="BK2144" s="8">
        <v>1336.02</v>
      </c>
      <c r="BL2144" s="2" t="s">
        <v>9418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9419</v>
      </c>
      <c r="BV2144" s="2" t="s">
        <v>231</v>
      </c>
      <c r="BW2144" s="2" t="s">
        <v>231</v>
      </c>
      <c r="BX2144" s="2" t="s">
        <v>241</v>
      </c>
      <c r="BY2144" s="2" t="s">
        <v>277</v>
      </c>
      <c r="BZ2144" s="2" t="s">
        <v>243</v>
      </c>
      <c r="CA2144" s="2" t="s">
        <v>9154</v>
      </c>
      <c r="CB2144" s="2" t="s">
        <v>9420</v>
      </c>
      <c r="CC2144" s="2" t="s">
        <v>244</v>
      </c>
      <c r="CD2144" s="2" t="s">
        <v>231</v>
      </c>
      <c r="CE2144" s="4"/>
      <c r="CF2144" s="4">
        <v>45</v>
      </c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>
        <v>72</v>
      </c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  <c r="HG2144" s="4"/>
      <c r="HH2144" s="4"/>
      <c r="HI2144" s="4"/>
      <c r="HJ2144" s="4"/>
      <c r="HK2144" s="4"/>
      <c r="HL2144" s="4"/>
    </row>
    <row r="2145">
      <c r="A2145" s="2" t="s">
        <v>9421</v>
      </c>
      <c r="B2145" s="2" t="s">
        <v>1004</v>
      </c>
      <c r="C2145" s="2" t="s">
        <v>815</v>
      </c>
      <c r="D2145" s="2" t="s">
        <v>6435</v>
      </c>
      <c r="E2145" s="2" t="s">
        <v>2412</v>
      </c>
      <c r="F2145" s="2" t="s">
        <v>6116</v>
      </c>
      <c r="G2145" s="2" t="s">
        <v>6116</v>
      </c>
      <c r="H2145" s="2" t="s">
        <v>6116</v>
      </c>
      <c r="I2145" s="2" t="s">
        <v>9422</v>
      </c>
      <c r="J2145" s="2" t="s">
        <v>2412</v>
      </c>
      <c r="K2145" s="2" t="s">
        <v>9414</v>
      </c>
      <c r="L2145" s="3">
        <v>118.8</v>
      </c>
      <c r="M2145" s="3">
        <v>124.74</v>
      </c>
      <c r="N2145" s="3">
        <v>249</v>
      </c>
      <c r="O2145" s="2" t="s">
        <v>243</v>
      </c>
      <c r="P2145" s="2" t="s">
        <v>1985</v>
      </c>
      <c r="Q2145" s="2" t="s">
        <v>237</v>
      </c>
      <c r="R2145" s="2" t="s">
        <v>231</v>
      </c>
      <c r="S2145" s="2" t="s">
        <v>231</v>
      </c>
      <c r="T2145" s="2" t="s">
        <v>231</v>
      </c>
      <c r="U2145" s="2" t="s">
        <v>327</v>
      </c>
      <c r="V2145" s="2" t="s">
        <v>662</v>
      </c>
      <c r="W2145" s="2" t="s">
        <v>691</v>
      </c>
      <c r="X2145" s="2" t="s">
        <v>273</v>
      </c>
      <c r="Y2145" s="2" t="s">
        <v>9415</v>
      </c>
      <c r="Z2145" s="4">
        <v>50</v>
      </c>
      <c r="AA2145" s="4">
        <f>=ROUNDDOWN(25,0)</f>
      </c>
      <c r="AB2145" s="5">
        <v>2</v>
      </c>
      <c r="AC2145" s="2" t="s">
        <v>231</v>
      </c>
      <c r="AD2145" s="4"/>
      <c r="AE2145" s="4"/>
      <c r="AF2145" s="6">
        <v>74</v>
      </c>
      <c r="AG2145" s="6"/>
      <c r="AH2145" s="7">
        <v>1</v>
      </c>
      <c r="AI2145" s="4"/>
      <c r="AJ2145" s="4">
        <f>=ROUNDDOWN({0},0)</f>
      </c>
      <c r="AK2145" s="5"/>
      <c r="AL2145" s="2" t="s">
        <v>231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231</v>
      </c>
      <c r="AW2145" s="8" t="s">
        <v>231</v>
      </c>
      <c r="AX2145" s="4" t="s">
        <v>231</v>
      </c>
      <c r="AY2145" s="8" t="s">
        <v>231</v>
      </c>
      <c r="AZ2145" s="7" t="s">
        <v>231</v>
      </c>
      <c r="BA2145" s="7" t="s">
        <v>231</v>
      </c>
      <c r="BB2145" s="7"/>
      <c r="BC2145" s="4" t="s">
        <v>231</v>
      </c>
      <c r="BD2145" s="8" t="s">
        <v>231</v>
      </c>
      <c r="BE2145" s="4" t="s">
        <v>231</v>
      </c>
      <c r="BF2145" s="8" t="s">
        <v>231</v>
      </c>
      <c r="BG2145" s="7" t="s">
        <v>231</v>
      </c>
      <c r="BH2145" s="7" t="s">
        <v>231</v>
      </c>
      <c r="BI2145" s="7"/>
      <c r="BJ2145" s="4">
        <v>2</v>
      </c>
      <c r="BK2145" s="8">
        <v>315.47</v>
      </c>
      <c r="BL2145" s="2" t="s">
        <v>2210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9423</v>
      </c>
      <c r="BV2145" s="2" t="s">
        <v>231</v>
      </c>
      <c r="BW2145" s="2" t="s">
        <v>231</v>
      </c>
      <c r="BX2145" s="2" t="s">
        <v>241</v>
      </c>
      <c r="BY2145" s="2" t="s">
        <v>277</v>
      </c>
      <c r="BZ2145" s="2" t="s">
        <v>243</v>
      </c>
      <c r="CA2145" s="2" t="s">
        <v>9154</v>
      </c>
      <c r="CB2145" s="2" t="s">
        <v>2097</v>
      </c>
      <c r="CC2145" s="2" t="s">
        <v>244</v>
      </c>
      <c r="CD2145" s="2" t="s">
        <v>231</v>
      </c>
      <c r="CE2145" s="4"/>
      <c r="CF2145" s="4">
        <v>50</v>
      </c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  <c r="HG2145" s="4"/>
      <c r="HH2145" s="4"/>
      <c r="HI2145" s="4"/>
      <c r="HJ2145" s="4"/>
      <c r="HK2145" s="4"/>
      <c r="HL2145" s="4"/>
    </row>
    <row r="2146">
      <c r="A2146" s="2" t="s">
        <v>9424</v>
      </c>
      <c r="B2146" s="2" t="s">
        <v>1004</v>
      </c>
      <c r="C2146" s="2" t="s">
        <v>815</v>
      </c>
      <c r="D2146" s="2" t="s">
        <v>6435</v>
      </c>
      <c r="E2146" s="2" t="s">
        <v>9425</v>
      </c>
      <c r="F2146" s="2" t="s">
        <v>6116</v>
      </c>
      <c r="G2146" s="2" t="s">
        <v>6116</v>
      </c>
      <c r="H2146" s="2" t="s">
        <v>6116</v>
      </c>
      <c r="I2146" s="2" t="s">
        <v>9407</v>
      </c>
      <c r="J2146" s="2" t="s">
        <v>807</v>
      </c>
      <c r="K2146" s="2" t="s">
        <v>9414</v>
      </c>
      <c r="L2146" s="3">
        <v>442.76</v>
      </c>
      <c r="M2146" s="3">
        <v>464.9</v>
      </c>
      <c r="N2146" s="3">
        <v>929</v>
      </c>
      <c r="O2146" s="2" t="s">
        <v>243</v>
      </c>
      <c r="P2146" s="2" t="s">
        <v>1037</v>
      </c>
      <c r="Q2146" s="2" t="s">
        <v>237</v>
      </c>
      <c r="R2146" s="2" t="s">
        <v>231</v>
      </c>
      <c r="S2146" s="2" t="s">
        <v>231</v>
      </c>
      <c r="T2146" s="2" t="s">
        <v>231</v>
      </c>
      <c r="U2146" s="2" t="s">
        <v>835</v>
      </c>
      <c r="V2146" s="2" t="s">
        <v>662</v>
      </c>
      <c r="W2146" s="2" t="s">
        <v>691</v>
      </c>
      <c r="X2146" s="2" t="s">
        <v>273</v>
      </c>
      <c r="Y2146" s="2" t="s">
        <v>9154</v>
      </c>
      <c r="Z2146" s="4">
        <v>22</v>
      </c>
      <c r="AA2146" s="4">
        <f>=ROUNDDOWN({0},0)</f>
      </c>
      <c r="AB2146" s="5"/>
      <c r="AC2146" s="2" t="s">
        <v>231</v>
      </c>
      <c r="AD2146" s="4"/>
      <c r="AE2146" s="4"/>
      <c r="AF2146" s="6"/>
      <c r="AG2146" s="6"/>
      <c r="AH2146" s="7">
        <v>1</v>
      </c>
      <c r="AI2146" s="4"/>
      <c r="AJ2146" s="4">
        <f>=ROUNDDOWN({0},0)</f>
      </c>
      <c r="AK2146" s="5"/>
      <c r="AL2146" s="2" t="s">
        <v>231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231</v>
      </c>
      <c r="AW2146" s="8" t="s">
        <v>231</v>
      </c>
      <c r="AX2146" s="4" t="s">
        <v>231</v>
      </c>
      <c r="AY2146" s="8" t="s">
        <v>231</v>
      </c>
      <c r="AZ2146" s="7" t="s">
        <v>231</v>
      </c>
      <c r="BA2146" s="7" t="s">
        <v>231</v>
      </c>
      <c r="BB2146" s="7" t="s">
        <v>231</v>
      </c>
      <c r="BC2146" s="4" t="s">
        <v>231</v>
      </c>
      <c r="BD2146" s="8" t="s">
        <v>231</v>
      </c>
      <c r="BE2146" s="4" t="s">
        <v>231</v>
      </c>
      <c r="BF2146" s="8" t="s">
        <v>231</v>
      </c>
      <c r="BG2146" s="7" t="s">
        <v>231</v>
      </c>
      <c r="BH2146" s="7" t="s">
        <v>231</v>
      </c>
      <c r="BI2146" s="7"/>
      <c r="BJ2146" s="4"/>
      <c r="BK2146" s="8"/>
      <c r="BL2146" s="2" t="s">
        <v>231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9426</v>
      </c>
      <c r="BV2146" s="2" t="s">
        <v>231</v>
      </c>
      <c r="BW2146" s="2" t="s">
        <v>231</v>
      </c>
      <c r="BX2146" s="2" t="s">
        <v>241</v>
      </c>
      <c r="BY2146" s="2" t="s">
        <v>277</v>
      </c>
      <c r="BZ2146" s="2" t="s">
        <v>243</v>
      </c>
      <c r="CA2146" s="2" t="s">
        <v>5255</v>
      </c>
      <c r="CB2146" s="2" t="s">
        <v>231</v>
      </c>
      <c r="CC2146" s="2" t="s">
        <v>244</v>
      </c>
      <c r="CD2146" s="2" t="s">
        <v>231</v>
      </c>
      <c r="CE2146" s="4"/>
      <c r="CF2146" s="4">
        <v>22</v>
      </c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  <c r="HG2146" s="4"/>
      <c r="HH2146" s="4"/>
      <c r="HI2146" s="4"/>
      <c r="HJ2146" s="4"/>
      <c r="HK2146" s="4"/>
      <c r="HL2146" s="4"/>
    </row>
    <row r="2147">
      <c r="A2147" s="2" t="s">
        <v>9427</v>
      </c>
      <c r="B2147" s="2" t="s">
        <v>1004</v>
      </c>
      <c r="C2147" s="2" t="s">
        <v>815</v>
      </c>
      <c r="D2147" s="2" t="s">
        <v>6435</v>
      </c>
      <c r="E2147" s="2" t="s">
        <v>9425</v>
      </c>
      <c r="F2147" s="2" t="s">
        <v>6116</v>
      </c>
      <c r="G2147" s="2" t="s">
        <v>6116</v>
      </c>
      <c r="H2147" s="2" t="s">
        <v>6116</v>
      </c>
      <c r="I2147" s="2" t="s">
        <v>9410</v>
      </c>
      <c r="J2147" s="2" t="s">
        <v>807</v>
      </c>
      <c r="K2147" s="2" t="s">
        <v>9414</v>
      </c>
      <c r="L2147" s="3">
        <v>591.02</v>
      </c>
      <c r="M2147" s="3">
        <v>620.57</v>
      </c>
      <c r="N2147" s="3">
        <v>1239</v>
      </c>
      <c r="O2147" s="2" t="s">
        <v>243</v>
      </c>
      <c r="P2147" s="2" t="s">
        <v>1037</v>
      </c>
      <c r="Q2147" s="2" t="s">
        <v>237</v>
      </c>
      <c r="R2147" s="2" t="s">
        <v>231</v>
      </c>
      <c r="S2147" s="2" t="s">
        <v>231</v>
      </c>
      <c r="T2147" s="2" t="s">
        <v>231</v>
      </c>
      <c r="U2147" s="2" t="s">
        <v>298</v>
      </c>
      <c r="V2147" s="2" t="s">
        <v>662</v>
      </c>
      <c r="W2147" s="2" t="s">
        <v>691</v>
      </c>
      <c r="X2147" s="2" t="s">
        <v>273</v>
      </c>
      <c r="Y2147" s="2" t="s">
        <v>9154</v>
      </c>
      <c r="Z2147" s="4">
        <v>22</v>
      </c>
      <c r="AA2147" s="4">
        <f>=ROUNDDOWN({0},0)</f>
      </c>
      <c r="AB2147" s="5"/>
      <c r="AC2147" s="2" t="s">
        <v>231</v>
      </c>
      <c r="AD2147" s="4"/>
      <c r="AE2147" s="4"/>
      <c r="AF2147" s="6"/>
      <c r="AG2147" s="6"/>
      <c r="AH2147" s="7">
        <v>1</v>
      </c>
      <c r="AI2147" s="4"/>
      <c r="AJ2147" s="4">
        <f>=ROUNDDOWN({0},0)</f>
      </c>
      <c r="AK2147" s="5"/>
      <c r="AL2147" s="2" t="s">
        <v>231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231</v>
      </c>
      <c r="AW2147" s="8" t="s">
        <v>231</v>
      </c>
      <c r="AX2147" s="4" t="s">
        <v>231</v>
      </c>
      <c r="AY2147" s="8" t="s">
        <v>231</v>
      </c>
      <c r="AZ2147" s="7" t="s">
        <v>231</v>
      </c>
      <c r="BA2147" s="7" t="s">
        <v>231</v>
      </c>
      <c r="BB2147" s="7" t="s">
        <v>231</v>
      </c>
      <c r="BC2147" s="4" t="s">
        <v>231</v>
      </c>
      <c r="BD2147" s="8" t="s">
        <v>231</v>
      </c>
      <c r="BE2147" s="4" t="s">
        <v>231</v>
      </c>
      <c r="BF2147" s="8" t="s">
        <v>231</v>
      </c>
      <c r="BG2147" s="7" t="s">
        <v>231</v>
      </c>
      <c r="BH2147" s="7" t="s">
        <v>231</v>
      </c>
      <c r="BI2147" s="7"/>
      <c r="BJ2147" s="4"/>
      <c r="BK2147" s="8"/>
      <c r="BL2147" s="2" t="s">
        <v>231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9428</v>
      </c>
      <c r="BV2147" s="2" t="s">
        <v>231</v>
      </c>
      <c r="BW2147" s="2" t="s">
        <v>231</v>
      </c>
      <c r="BX2147" s="2" t="s">
        <v>241</v>
      </c>
      <c r="BY2147" s="2" t="s">
        <v>277</v>
      </c>
      <c r="BZ2147" s="2" t="s">
        <v>243</v>
      </c>
      <c r="CA2147" s="2" t="s">
        <v>5255</v>
      </c>
      <c r="CB2147" s="2" t="s">
        <v>231</v>
      </c>
      <c r="CC2147" s="2" t="s">
        <v>244</v>
      </c>
      <c r="CD2147" s="2" t="s">
        <v>231</v>
      </c>
      <c r="CE2147" s="4"/>
      <c r="CF2147" s="4">
        <v>22</v>
      </c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  <c r="HG2147" s="4"/>
      <c r="HH2147" s="4"/>
      <c r="HI2147" s="4"/>
      <c r="HJ2147" s="4"/>
      <c r="HK2147" s="4"/>
      <c r="HL2147" s="4"/>
    </row>
    <row r="2148">
      <c r="A2148" s="2" t="s">
        <v>9429</v>
      </c>
      <c r="B2148" s="2" t="s">
        <v>1004</v>
      </c>
      <c r="C2148" s="2" t="s">
        <v>815</v>
      </c>
      <c r="D2148" s="2" t="s">
        <v>6435</v>
      </c>
      <c r="E2148" s="2" t="s">
        <v>2538</v>
      </c>
      <c r="F2148" s="2" t="s">
        <v>6116</v>
      </c>
      <c r="G2148" s="2" t="s">
        <v>6116</v>
      </c>
      <c r="H2148" s="2" t="s">
        <v>6116</v>
      </c>
      <c r="I2148" s="2" t="s">
        <v>9395</v>
      </c>
      <c r="J2148" s="2" t="s">
        <v>807</v>
      </c>
      <c r="K2148" s="2" t="s">
        <v>9414</v>
      </c>
      <c r="L2148" s="3">
        <v>326.34</v>
      </c>
      <c r="M2148" s="3">
        <v>342.66</v>
      </c>
      <c r="N2148" s="3">
        <v>689</v>
      </c>
      <c r="O2148" s="2" t="s">
        <v>243</v>
      </c>
      <c r="P2148" s="2" t="s">
        <v>1037</v>
      </c>
      <c r="Q2148" s="2" t="s">
        <v>237</v>
      </c>
      <c r="R2148" s="2" t="s">
        <v>231</v>
      </c>
      <c r="S2148" s="2" t="s">
        <v>231</v>
      </c>
      <c r="T2148" s="2" t="s">
        <v>231</v>
      </c>
      <c r="U2148" s="2" t="s">
        <v>791</v>
      </c>
      <c r="V2148" s="2" t="s">
        <v>662</v>
      </c>
      <c r="W2148" s="2" t="s">
        <v>691</v>
      </c>
      <c r="X2148" s="2" t="s">
        <v>273</v>
      </c>
      <c r="Y2148" s="2" t="s">
        <v>9154</v>
      </c>
      <c r="Z2148" s="4">
        <v>22</v>
      </c>
      <c r="AA2148" s="4">
        <f>=ROUNDDOWN(73.3333333333333,0)</f>
      </c>
      <c r="AB2148" s="5">
        <v>0.3</v>
      </c>
      <c r="AC2148" s="2" t="s">
        <v>231</v>
      </c>
      <c r="AD2148" s="4"/>
      <c r="AE2148" s="4"/>
      <c r="AF2148" s="6"/>
      <c r="AG2148" s="6"/>
      <c r="AH2148" s="7">
        <v>1</v>
      </c>
      <c r="AI2148" s="4"/>
      <c r="AJ2148" s="4">
        <f>=ROUNDDOWN({0},0)</f>
      </c>
      <c r="AK2148" s="5"/>
      <c r="AL2148" s="2" t="s">
        <v>231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231</v>
      </c>
      <c r="AW2148" s="8" t="s">
        <v>231</v>
      </c>
      <c r="AX2148" s="4" t="s">
        <v>231</v>
      </c>
      <c r="AY2148" s="8" t="s">
        <v>231</v>
      </c>
      <c r="AZ2148" s="7" t="s">
        <v>231</v>
      </c>
      <c r="BA2148" s="7" t="s">
        <v>231</v>
      </c>
      <c r="BB2148" s="7" t="s">
        <v>231</v>
      </c>
      <c r="BC2148" s="4" t="s">
        <v>231</v>
      </c>
      <c r="BD2148" s="8" t="s">
        <v>231</v>
      </c>
      <c r="BE2148" s="4" t="s">
        <v>231</v>
      </c>
      <c r="BF2148" s="8" t="s">
        <v>231</v>
      </c>
      <c r="BG2148" s="7" t="s">
        <v>231</v>
      </c>
      <c r="BH2148" s="7" t="s">
        <v>231</v>
      </c>
      <c r="BI2148" s="7"/>
      <c r="BJ2148" s="4">
        <v>1</v>
      </c>
      <c r="BK2148" s="8">
        <v>342.66</v>
      </c>
      <c r="BL2148" s="2" t="s">
        <v>1306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9430</v>
      </c>
      <c r="BV2148" s="2" t="s">
        <v>231</v>
      </c>
      <c r="BW2148" s="2" t="s">
        <v>231</v>
      </c>
      <c r="BX2148" s="2" t="s">
        <v>241</v>
      </c>
      <c r="BY2148" s="2" t="s">
        <v>277</v>
      </c>
      <c r="BZ2148" s="2" t="s">
        <v>243</v>
      </c>
      <c r="CA2148" s="2" t="s">
        <v>5255</v>
      </c>
      <c r="CB2148" s="2" t="s">
        <v>231</v>
      </c>
      <c r="CC2148" s="2" t="s">
        <v>244</v>
      </c>
      <c r="CD2148" s="2" t="s">
        <v>231</v>
      </c>
      <c r="CE2148" s="4"/>
      <c r="CF2148" s="4">
        <v>22</v>
      </c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  <c r="HF2148" s="4"/>
      <c r="HG2148" s="4"/>
      <c r="HH2148" s="4"/>
      <c r="HI2148" s="4"/>
      <c r="HJ2148" s="4"/>
      <c r="HK2148" s="4"/>
      <c r="HL2148" s="4"/>
    </row>
    <row r="2149">
      <c r="A2149" s="2" t="s">
        <v>9431</v>
      </c>
      <c r="B2149" s="2" t="s">
        <v>1004</v>
      </c>
      <c r="C2149" s="2" t="s">
        <v>815</v>
      </c>
      <c r="D2149" s="2" t="s">
        <v>6435</v>
      </c>
      <c r="E2149" s="2" t="s">
        <v>2538</v>
      </c>
      <c r="F2149" s="2" t="s">
        <v>6116</v>
      </c>
      <c r="G2149" s="2" t="s">
        <v>6116</v>
      </c>
      <c r="H2149" s="2" t="s">
        <v>6116</v>
      </c>
      <c r="I2149" s="2" t="s">
        <v>9398</v>
      </c>
      <c r="J2149" s="2" t="s">
        <v>807</v>
      </c>
      <c r="K2149" s="2" t="s">
        <v>9414</v>
      </c>
      <c r="L2149" s="3">
        <v>785.99</v>
      </c>
      <c r="M2149" s="3">
        <v>825.29</v>
      </c>
      <c r="N2149" s="3">
        <v>1649</v>
      </c>
      <c r="O2149" s="2" t="s">
        <v>243</v>
      </c>
      <c r="P2149" s="2" t="s">
        <v>1037</v>
      </c>
      <c r="Q2149" s="2" t="s">
        <v>237</v>
      </c>
      <c r="R2149" s="2" t="s">
        <v>231</v>
      </c>
      <c r="S2149" s="2" t="s">
        <v>231</v>
      </c>
      <c r="T2149" s="2" t="s">
        <v>231</v>
      </c>
      <c r="U2149" s="2" t="s">
        <v>661</v>
      </c>
      <c r="V2149" s="2" t="s">
        <v>662</v>
      </c>
      <c r="W2149" s="2" t="s">
        <v>691</v>
      </c>
      <c r="X2149" s="2" t="s">
        <v>273</v>
      </c>
      <c r="Y2149" s="2" t="s">
        <v>9154</v>
      </c>
      <c r="Z2149" s="4">
        <v>15</v>
      </c>
      <c r="AA2149" s="4">
        <f>=ROUNDDOWN({0},0)</f>
      </c>
      <c r="AB2149" s="5"/>
      <c r="AC2149" s="2" t="s">
        <v>231</v>
      </c>
      <c r="AD2149" s="4"/>
      <c r="AE2149" s="4"/>
      <c r="AF2149" s="6"/>
      <c r="AG2149" s="6"/>
      <c r="AH2149" s="7">
        <v>1</v>
      </c>
      <c r="AI2149" s="4"/>
      <c r="AJ2149" s="4">
        <f>=ROUNDDOWN({0},0)</f>
      </c>
      <c r="AK2149" s="5"/>
      <c r="AL2149" s="2" t="s">
        <v>231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231</v>
      </c>
      <c r="AW2149" s="8" t="s">
        <v>231</v>
      </c>
      <c r="AX2149" s="4" t="s">
        <v>231</v>
      </c>
      <c r="AY2149" s="8" t="s">
        <v>231</v>
      </c>
      <c r="AZ2149" s="7" t="s">
        <v>231</v>
      </c>
      <c r="BA2149" s="7" t="s">
        <v>231</v>
      </c>
      <c r="BB2149" s="7" t="s">
        <v>231</v>
      </c>
      <c r="BC2149" s="4" t="s">
        <v>231</v>
      </c>
      <c r="BD2149" s="8" t="s">
        <v>231</v>
      </c>
      <c r="BE2149" s="4" t="s">
        <v>231</v>
      </c>
      <c r="BF2149" s="8" t="s">
        <v>231</v>
      </c>
      <c r="BG2149" s="7" t="s">
        <v>231</v>
      </c>
      <c r="BH2149" s="7" t="s">
        <v>231</v>
      </c>
      <c r="BI2149" s="7"/>
      <c r="BJ2149" s="4"/>
      <c r="BK2149" s="8"/>
      <c r="BL2149" s="2" t="s">
        <v>231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9432</v>
      </c>
      <c r="BV2149" s="2" t="s">
        <v>231</v>
      </c>
      <c r="BW2149" s="2" t="s">
        <v>231</v>
      </c>
      <c r="BX2149" s="2" t="s">
        <v>241</v>
      </c>
      <c r="BY2149" s="2" t="s">
        <v>277</v>
      </c>
      <c r="BZ2149" s="2" t="s">
        <v>243</v>
      </c>
      <c r="CA2149" s="2" t="s">
        <v>5255</v>
      </c>
      <c r="CB2149" s="2" t="s">
        <v>231</v>
      </c>
      <c r="CC2149" s="2" t="s">
        <v>244</v>
      </c>
      <c r="CD2149" s="2" t="s">
        <v>231</v>
      </c>
      <c r="CE2149" s="4"/>
      <c r="CF2149" s="4">
        <v>15</v>
      </c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  <c r="HF2149" s="4"/>
      <c r="HG2149" s="4"/>
      <c r="HH2149" s="4"/>
      <c r="HI2149" s="4"/>
      <c r="HJ2149" s="4"/>
      <c r="HK2149" s="4"/>
      <c r="HL2149" s="4"/>
    </row>
    <row r="2150">
      <c r="A2150" s="2" t="s">
        <v>9433</v>
      </c>
      <c r="B2150" s="2" t="s">
        <v>1004</v>
      </c>
      <c r="C2150" s="2" t="s">
        <v>815</v>
      </c>
      <c r="D2150" s="2" t="s">
        <v>6435</v>
      </c>
      <c r="E2150" s="2" t="s">
        <v>2538</v>
      </c>
      <c r="F2150" s="2" t="s">
        <v>6116</v>
      </c>
      <c r="G2150" s="2" t="s">
        <v>6116</v>
      </c>
      <c r="H2150" s="2" t="s">
        <v>6116</v>
      </c>
      <c r="I2150" s="2" t="s">
        <v>9401</v>
      </c>
      <c r="J2150" s="2" t="s">
        <v>807</v>
      </c>
      <c r="K2150" s="2" t="s">
        <v>9414</v>
      </c>
      <c r="L2150" s="3">
        <v>480.69</v>
      </c>
      <c r="M2150" s="3">
        <v>504.72</v>
      </c>
      <c r="N2150" s="3">
        <v>999</v>
      </c>
      <c r="O2150" s="2" t="s">
        <v>243</v>
      </c>
      <c r="P2150" s="2" t="s">
        <v>1037</v>
      </c>
      <c r="Q2150" s="2" t="s">
        <v>237</v>
      </c>
      <c r="R2150" s="2" t="s">
        <v>231</v>
      </c>
      <c r="S2150" s="2" t="s">
        <v>231</v>
      </c>
      <c r="T2150" s="2" t="s">
        <v>231</v>
      </c>
      <c r="U2150" s="2" t="s">
        <v>835</v>
      </c>
      <c r="V2150" s="2" t="s">
        <v>662</v>
      </c>
      <c r="W2150" s="2" t="s">
        <v>691</v>
      </c>
      <c r="X2150" s="2" t="s">
        <v>273</v>
      </c>
      <c r="Y2150" s="2" t="s">
        <v>9154</v>
      </c>
      <c r="Z2150" s="4">
        <v>22</v>
      </c>
      <c r="AA2150" s="4">
        <f>=ROUNDDOWN({0},0)</f>
      </c>
      <c r="AB2150" s="5"/>
      <c r="AC2150" s="2" t="s">
        <v>231</v>
      </c>
      <c r="AD2150" s="4"/>
      <c r="AE2150" s="4"/>
      <c r="AF2150" s="6"/>
      <c r="AG2150" s="6"/>
      <c r="AH2150" s="7">
        <v>1</v>
      </c>
      <c r="AI2150" s="4"/>
      <c r="AJ2150" s="4">
        <f>=ROUNDDOWN({0},0)</f>
      </c>
      <c r="AK2150" s="5"/>
      <c r="AL2150" s="2" t="s">
        <v>231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231</v>
      </c>
      <c r="AW2150" s="8" t="s">
        <v>231</v>
      </c>
      <c r="AX2150" s="4" t="s">
        <v>231</v>
      </c>
      <c r="AY2150" s="8" t="s">
        <v>231</v>
      </c>
      <c r="AZ2150" s="7" t="s">
        <v>231</v>
      </c>
      <c r="BA2150" s="7" t="s">
        <v>231</v>
      </c>
      <c r="BB2150" s="7" t="s">
        <v>231</v>
      </c>
      <c r="BC2150" s="4" t="s">
        <v>231</v>
      </c>
      <c r="BD2150" s="8" t="s">
        <v>231</v>
      </c>
      <c r="BE2150" s="4" t="s">
        <v>231</v>
      </c>
      <c r="BF2150" s="8" t="s">
        <v>231</v>
      </c>
      <c r="BG2150" s="7" t="s">
        <v>231</v>
      </c>
      <c r="BH2150" s="7" t="s">
        <v>231</v>
      </c>
      <c r="BI2150" s="7"/>
      <c r="BJ2150" s="4"/>
      <c r="BK2150" s="8"/>
      <c r="BL2150" s="2" t="s">
        <v>231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9434</v>
      </c>
      <c r="BV2150" s="2" t="s">
        <v>231</v>
      </c>
      <c r="BW2150" s="2" t="s">
        <v>231</v>
      </c>
      <c r="BX2150" s="2" t="s">
        <v>241</v>
      </c>
      <c r="BY2150" s="2" t="s">
        <v>277</v>
      </c>
      <c r="BZ2150" s="2" t="s">
        <v>243</v>
      </c>
      <c r="CA2150" s="2" t="s">
        <v>5255</v>
      </c>
      <c r="CB2150" s="2" t="s">
        <v>9435</v>
      </c>
      <c r="CC2150" s="2" t="s">
        <v>244</v>
      </c>
      <c r="CD2150" s="2" t="s">
        <v>231</v>
      </c>
      <c r="CE2150" s="4"/>
      <c r="CF2150" s="4">
        <v>22</v>
      </c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  <c r="HF2150" s="4"/>
      <c r="HG2150" s="4"/>
      <c r="HH2150" s="4"/>
      <c r="HI2150" s="4"/>
      <c r="HJ2150" s="4"/>
      <c r="HK2150" s="4"/>
      <c r="HL2150" s="4"/>
    </row>
    <row r="2151">
      <c r="A2151" s="2" t="s">
        <v>9436</v>
      </c>
      <c r="B2151" s="2" t="s">
        <v>1004</v>
      </c>
      <c r="C2151" s="2" t="s">
        <v>815</v>
      </c>
      <c r="D2151" s="2" t="s">
        <v>6435</v>
      </c>
      <c r="E2151" s="2" t="s">
        <v>2538</v>
      </c>
      <c r="F2151" s="2" t="s">
        <v>6116</v>
      </c>
      <c r="G2151" s="2" t="s">
        <v>6116</v>
      </c>
      <c r="H2151" s="2" t="s">
        <v>6116</v>
      </c>
      <c r="I2151" s="2" t="s">
        <v>9404</v>
      </c>
      <c r="J2151" s="2" t="s">
        <v>807</v>
      </c>
      <c r="K2151" s="2" t="s">
        <v>9414</v>
      </c>
      <c r="L2151" s="3">
        <v>777.31</v>
      </c>
      <c r="M2151" s="3">
        <v>816.18</v>
      </c>
      <c r="N2151" s="3">
        <v>1629</v>
      </c>
      <c r="O2151" s="2" t="s">
        <v>243</v>
      </c>
      <c r="P2151" s="2" t="s">
        <v>1037</v>
      </c>
      <c r="Q2151" s="2" t="s">
        <v>237</v>
      </c>
      <c r="R2151" s="2" t="s">
        <v>231</v>
      </c>
      <c r="S2151" s="2" t="s">
        <v>231</v>
      </c>
      <c r="T2151" s="2" t="s">
        <v>231</v>
      </c>
      <c r="U2151" s="2" t="s">
        <v>661</v>
      </c>
      <c r="V2151" s="2" t="s">
        <v>662</v>
      </c>
      <c r="W2151" s="2" t="s">
        <v>691</v>
      </c>
      <c r="X2151" s="2" t="s">
        <v>273</v>
      </c>
      <c r="Y2151" s="2" t="s">
        <v>9154</v>
      </c>
      <c r="Z2151" s="4">
        <v>22</v>
      </c>
      <c r="AA2151" s="4">
        <f>=ROUNDDOWN({0},0)</f>
      </c>
      <c r="AB2151" s="5"/>
      <c r="AC2151" s="2" t="s">
        <v>231</v>
      </c>
      <c r="AD2151" s="4"/>
      <c r="AE2151" s="4"/>
      <c r="AF2151" s="6"/>
      <c r="AG2151" s="6"/>
      <c r="AH2151" s="7">
        <v>1</v>
      </c>
      <c r="AI2151" s="4"/>
      <c r="AJ2151" s="4">
        <f>=ROUNDDOWN({0},0)</f>
      </c>
      <c r="AK2151" s="5"/>
      <c r="AL2151" s="2" t="s">
        <v>231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231</v>
      </c>
      <c r="AW2151" s="8" t="s">
        <v>231</v>
      </c>
      <c r="AX2151" s="4" t="s">
        <v>231</v>
      </c>
      <c r="AY2151" s="8" t="s">
        <v>231</v>
      </c>
      <c r="AZ2151" s="7" t="s">
        <v>231</v>
      </c>
      <c r="BA2151" s="7" t="s">
        <v>231</v>
      </c>
      <c r="BB2151" s="7" t="s">
        <v>231</v>
      </c>
      <c r="BC2151" s="4" t="s">
        <v>231</v>
      </c>
      <c r="BD2151" s="8" t="s">
        <v>231</v>
      </c>
      <c r="BE2151" s="4" t="s">
        <v>231</v>
      </c>
      <c r="BF2151" s="8" t="s">
        <v>231</v>
      </c>
      <c r="BG2151" s="7" t="s">
        <v>231</v>
      </c>
      <c r="BH2151" s="7" t="s">
        <v>231</v>
      </c>
      <c r="BI2151" s="7"/>
      <c r="BJ2151" s="4"/>
      <c r="BK2151" s="8"/>
      <c r="BL2151" s="2" t="s">
        <v>231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9437</v>
      </c>
      <c r="BV2151" s="2" t="s">
        <v>231</v>
      </c>
      <c r="BW2151" s="2" t="s">
        <v>231</v>
      </c>
      <c r="BX2151" s="2" t="s">
        <v>241</v>
      </c>
      <c r="BY2151" s="2" t="s">
        <v>277</v>
      </c>
      <c r="BZ2151" s="2" t="s">
        <v>243</v>
      </c>
      <c r="CA2151" s="2" t="s">
        <v>5255</v>
      </c>
      <c r="CB2151" s="2" t="s">
        <v>231</v>
      </c>
      <c r="CC2151" s="2" t="s">
        <v>244</v>
      </c>
      <c r="CD2151" s="2" t="s">
        <v>231</v>
      </c>
      <c r="CE2151" s="4"/>
      <c r="CF2151" s="4">
        <v>22</v>
      </c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  <c r="HG2151" s="4"/>
      <c r="HH2151" s="4"/>
      <c r="HI2151" s="4"/>
      <c r="HJ2151" s="4"/>
      <c r="HK2151" s="4"/>
      <c r="HL2151" s="4"/>
    </row>
    <row r="2152">
      <c r="A2152" s="2" t="s">
        <v>9438</v>
      </c>
      <c r="B2152" s="2" t="s">
        <v>1004</v>
      </c>
      <c r="C2152" s="2" t="s">
        <v>1105</v>
      </c>
      <c r="D2152" s="2" t="s">
        <v>1837</v>
      </c>
      <c r="E2152" s="2" t="s">
        <v>2264</v>
      </c>
      <c r="F2152" s="2" t="s">
        <v>9439</v>
      </c>
      <c r="G2152" s="2" t="s">
        <v>9439</v>
      </c>
      <c r="H2152" s="2" t="s">
        <v>9439</v>
      </c>
      <c r="I2152" s="2" t="s">
        <v>9440</v>
      </c>
      <c r="J2152" s="2" t="s">
        <v>807</v>
      </c>
      <c r="K2152" s="2" t="s">
        <v>9441</v>
      </c>
      <c r="L2152" s="3">
        <v>95.64</v>
      </c>
      <c r="M2152" s="3">
        <v>100.42</v>
      </c>
      <c r="N2152" s="3">
        <v>189.99</v>
      </c>
      <c r="O2152" s="2" t="s">
        <v>235</v>
      </c>
      <c r="P2152" s="2" t="s">
        <v>341</v>
      </c>
      <c r="Q2152" s="2" t="s">
        <v>237</v>
      </c>
      <c r="R2152" s="2" t="s">
        <v>231</v>
      </c>
      <c r="S2152" s="2" t="s">
        <v>231</v>
      </c>
      <c r="T2152" s="2" t="s">
        <v>231</v>
      </c>
      <c r="U2152" s="2" t="s">
        <v>231</v>
      </c>
      <c r="V2152" s="2" t="s">
        <v>662</v>
      </c>
      <c r="W2152" s="2" t="s">
        <v>691</v>
      </c>
      <c r="X2152" s="2" t="s">
        <v>792</v>
      </c>
      <c r="Y2152" s="2" t="s">
        <v>7909</v>
      </c>
      <c r="Z2152" s="4">
        <v>203</v>
      </c>
      <c r="AA2152" s="4">
        <f>=ROUNDDOWN(67.6666666666667,0)</f>
      </c>
      <c r="AB2152" s="5">
        <v>3</v>
      </c>
      <c r="AC2152" s="2" t="s">
        <v>231</v>
      </c>
      <c r="AD2152" s="4"/>
      <c r="AE2152" s="4"/>
      <c r="AF2152" s="6">
        <v>74</v>
      </c>
      <c r="AG2152" s="6"/>
      <c r="AH2152" s="7">
        <v>1</v>
      </c>
      <c r="AI2152" s="4"/>
      <c r="AJ2152" s="4">
        <f>=ROUNDDOWN({0},0)</f>
      </c>
      <c r="AK2152" s="5"/>
      <c r="AL2152" s="2" t="s">
        <v>231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231</v>
      </c>
      <c r="BD2152" s="8" t="s">
        <v>231</v>
      </c>
      <c r="BE2152" s="4" t="s">
        <v>231</v>
      </c>
      <c r="BF2152" s="8" t="s">
        <v>231</v>
      </c>
      <c r="BG2152" s="7" t="s">
        <v>231</v>
      </c>
      <c r="BH2152" s="7" t="s">
        <v>231</v>
      </c>
      <c r="BI2152" s="7"/>
      <c r="BJ2152" s="4">
        <v>11</v>
      </c>
      <c r="BK2152" s="8">
        <v>552.31</v>
      </c>
      <c r="BL2152" s="2" t="s">
        <v>9442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9443</v>
      </c>
      <c r="BV2152" s="2" t="s">
        <v>231</v>
      </c>
      <c r="BW2152" s="2" t="s">
        <v>231</v>
      </c>
      <c r="BX2152" s="2" t="s">
        <v>231</v>
      </c>
      <c r="BY2152" s="2" t="s">
        <v>277</v>
      </c>
      <c r="BZ2152" s="2" t="s">
        <v>243</v>
      </c>
      <c r="CA2152" s="2" t="s">
        <v>8959</v>
      </c>
      <c r="CB2152" s="2" t="s">
        <v>5539</v>
      </c>
      <c r="CC2152" s="2" t="s">
        <v>244</v>
      </c>
      <c r="CD2152" s="2" t="s">
        <v>231</v>
      </c>
      <c r="CE2152" s="4"/>
      <c r="CF2152" s="4">
        <v>203</v>
      </c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</row>
    <row r="2153">
      <c r="A2153" s="2" t="s">
        <v>9444</v>
      </c>
      <c r="B2153" s="2" t="s">
        <v>1004</v>
      </c>
      <c r="C2153" s="2" t="s">
        <v>288</v>
      </c>
      <c r="D2153" s="2" t="s">
        <v>1031</v>
      </c>
      <c r="E2153" s="2" t="s">
        <v>1032</v>
      </c>
      <c r="F2153" s="2" t="s">
        <v>9439</v>
      </c>
      <c r="G2153" s="2" t="s">
        <v>9445</v>
      </c>
      <c r="H2153" s="2" t="s">
        <v>9446</v>
      </c>
      <c r="I2153" s="2" t="s">
        <v>9447</v>
      </c>
      <c r="J2153" s="2" t="s">
        <v>807</v>
      </c>
      <c r="K2153" s="2" t="s">
        <v>306</v>
      </c>
      <c r="L2153" s="3">
        <v>162.45</v>
      </c>
      <c r="M2153" s="3">
        <v>170.57</v>
      </c>
      <c r="N2153" s="3">
        <v>339</v>
      </c>
      <c r="O2153" s="2" t="s">
        <v>243</v>
      </c>
      <c r="P2153" s="2" t="s">
        <v>341</v>
      </c>
      <c r="Q2153" s="2" t="s">
        <v>237</v>
      </c>
      <c r="R2153" s="2" t="s">
        <v>231</v>
      </c>
      <c r="S2153" s="2" t="s">
        <v>231</v>
      </c>
      <c r="T2153" s="2" t="s">
        <v>231</v>
      </c>
      <c r="U2153" s="2" t="s">
        <v>231</v>
      </c>
      <c r="V2153" s="2" t="s">
        <v>239</v>
      </c>
      <c r="W2153" s="2" t="s">
        <v>691</v>
      </c>
      <c r="X2153" s="2" t="s">
        <v>792</v>
      </c>
      <c r="Y2153" s="2" t="s">
        <v>3026</v>
      </c>
      <c r="Z2153" s="4">
        <v>95</v>
      </c>
      <c r="AA2153" s="4">
        <f>=ROUNDDOWN(316.666666666667,0)</f>
      </c>
      <c r="AB2153" s="5">
        <v>0.3</v>
      </c>
      <c r="AC2153" s="2" t="s">
        <v>231</v>
      </c>
      <c r="AD2153" s="4"/>
      <c r="AE2153" s="4"/>
      <c r="AF2153" s="6">
        <v>66</v>
      </c>
      <c r="AG2153" s="6"/>
      <c r="AH2153" s="7">
        <v>1</v>
      </c>
      <c r="AI2153" s="4"/>
      <c r="AJ2153" s="4">
        <f>=ROUNDDOWN({0},0)</f>
      </c>
      <c r="AK2153" s="5"/>
      <c r="AL2153" s="2" t="s">
        <v>231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231</v>
      </c>
      <c r="BD2153" s="8" t="s">
        <v>231</v>
      </c>
      <c r="BE2153" s="4" t="s">
        <v>231</v>
      </c>
      <c r="BF2153" s="8" t="s">
        <v>231</v>
      </c>
      <c r="BG2153" s="7" t="s">
        <v>231</v>
      </c>
      <c r="BH2153" s="7" t="s">
        <v>231</v>
      </c>
      <c r="BI2153" s="7"/>
      <c r="BJ2153" s="4">
        <v>1</v>
      </c>
      <c r="BK2153" s="8">
        <v>170.57</v>
      </c>
      <c r="BL2153" s="2" t="s">
        <v>6149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9448</v>
      </c>
      <c r="BV2153" s="2" t="s">
        <v>231</v>
      </c>
      <c r="BW2153" s="2" t="s">
        <v>231</v>
      </c>
      <c r="BX2153" s="2" t="s">
        <v>231</v>
      </c>
      <c r="BY2153" s="2" t="s">
        <v>277</v>
      </c>
      <c r="BZ2153" s="2" t="s">
        <v>243</v>
      </c>
      <c r="CA2153" s="2" t="s">
        <v>3026</v>
      </c>
      <c r="CB2153" s="2" t="s">
        <v>2386</v>
      </c>
      <c r="CC2153" s="2" t="s">
        <v>244</v>
      </c>
      <c r="CD2153" s="2" t="s">
        <v>231</v>
      </c>
      <c r="CE2153" s="4"/>
      <c r="CF2153" s="4">
        <v>95</v>
      </c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</row>
    <row r="2154">
      <c r="A2154" s="2" t="s">
        <v>9449</v>
      </c>
      <c r="B2154" s="2" t="s">
        <v>1186</v>
      </c>
      <c r="C2154" s="2" t="s">
        <v>1980</v>
      </c>
      <c r="D2154" s="2" t="s">
        <v>3558</v>
      </c>
      <c r="E2154" s="2" t="s">
        <v>3559</v>
      </c>
      <c r="F2154" s="2" t="s">
        <v>9450</v>
      </c>
      <c r="G2154" s="2" t="s">
        <v>9450</v>
      </c>
      <c r="H2154" s="2" t="s">
        <v>9450</v>
      </c>
      <c r="I2154" s="2" t="s">
        <v>3561</v>
      </c>
      <c r="J2154" s="2" t="s">
        <v>2759</v>
      </c>
      <c r="K2154" s="2" t="s">
        <v>2081</v>
      </c>
      <c r="L2154" s="3">
        <v>24.76</v>
      </c>
      <c r="M2154" s="3">
        <v>26</v>
      </c>
      <c r="N2154" s="3">
        <v>79.99</v>
      </c>
      <c r="O2154" s="2" t="s">
        <v>243</v>
      </c>
      <c r="P2154" s="2" t="s">
        <v>1985</v>
      </c>
      <c r="Q2154" s="2" t="s">
        <v>237</v>
      </c>
      <c r="R2154" s="2" t="s">
        <v>231</v>
      </c>
      <c r="S2154" s="2" t="s">
        <v>231</v>
      </c>
      <c r="T2154" s="2" t="s">
        <v>231</v>
      </c>
      <c r="U2154" s="2" t="s">
        <v>327</v>
      </c>
      <c r="V2154" s="2" t="s">
        <v>1986</v>
      </c>
      <c r="W2154" s="2" t="s">
        <v>676</v>
      </c>
      <c r="X2154" s="2" t="s">
        <v>231</v>
      </c>
      <c r="Y2154" s="2" t="s">
        <v>1992</v>
      </c>
      <c r="Z2154" s="4">
        <v>137</v>
      </c>
      <c r="AA2154" s="4">
        <f>=ROUNDDOWN(45.6666666666667,0)</f>
      </c>
      <c r="AB2154" s="5">
        <v>3</v>
      </c>
      <c r="AC2154" s="2" t="s">
        <v>231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231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231</v>
      </c>
      <c r="BD2154" s="8" t="s">
        <v>231</v>
      </c>
      <c r="BE2154" s="4" t="s">
        <v>231</v>
      </c>
      <c r="BF2154" s="8" t="s">
        <v>231</v>
      </c>
      <c r="BG2154" s="7" t="s">
        <v>231</v>
      </c>
      <c r="BH2154" s="7" t="s">
        <v>231</v>
      </c>
      <c r="BI2154" s="7"/>
      <c r="BJ2154" s="4">
        <v>4</v>
      </c>
      <c r="BK2154" s="8">
        <v>109.2</v>
      </c>
      <c r="BL2154" s="2" t="s">
        <v>5542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9451</v>
      </c>
      <c r="BV2154" s="2" t="s">
        <v>231</v>
      </c>
      <c r="BW2154" s="2" t="s">
        <v>231</v>
      </c>
      <c r="BX2154" s="2" t="s">
        <v>231</v>
      </c>
      <c r="BY2154" s="2" t="s">
        <v>277</v>
      </c>
      <c r="BZ2154" s="2" t="s">
        <v>243</v>
      </c>
      <c r="CA2154" s="2" t="s">
        <v>1620</v>
      </c>
      <c r="CB2154" s="2" t="s">
        <v>231</v>
      </c>
      <c r="CC2154" s="2" t="s">
        <v>244</v>
      </c>
      <c r="CD2154" s="2" t="s">
        <v>231</v>
      </c>
      <c r="CE2154" s="4">
        <v>137</v>
      </c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</row>
    <row r="2155">
      <c r="A2155" s="2" t="s">
        <v>9452</v>
      </c>
      <c r="B2155" s="2" t="s">
        <v>1186</v>
      </c>
      <c r="C2155" s="2" t="s">
        <v>1980</v>
      </c>
      <c r="D2155" s="2" t="s">
        <v>3558</v>
      </c>
      <c r="E2155" s="2" t="s">
        <v>3559</v>
      </c>
      <c r="F2155" s="2" t="s">
        <v>9450</v>
      </c>
      <c r="G2155" s="2" t="s">
        <v>9450</v>
      </c>
      <c r="H2155" s="2" t="s">
        <v>9450</v>
      </c>
      <c r="I2155" s="2" t="s">
        <v>3561</v>
      </c>
      <c r="J2155" s="2" t="s">
        <v>2759</v>
      </c>
      <c r="K2155" s="2" t="s">
        <v>463</v>
      </c>
      <c r="L2155" s="3">
        <v>24.76</v>
      </c>
      <c r="M2155" s="3">
        <v>26</v>
      </c>
      <c r="N2155" s="3">
        <v>79.99</v>
      </c>
      <c r="O2155" s="2" t="s">
        <v>243</v>
      </c>
      <c r="P2155" s="2" t="s">
        <v>1985</v>
      </c>
      <c r="Q2155" s="2" t="s">
        <v>237</v>
      </c>
      <c r="R2155" s="2" t="s">
        <v>231</v>
      </c>
      <c r="S2155" s="2" t="s">
        <v>231</v>
      </c>
      <c r="T2155" s="2" t="s">
        <v>231</v>
      </c>
      <c r="U2155" s="2" t="s">
        <v>327</v>
      </c>
      <c r="V2155" s="2" t="s">
        <v>1986</v>
      </c>
      <c r="W2155" s="2" t="s">
        <v>676</v>
      </c>
      <c r="X2155" s="2" t="s">
        <v>231</v>
      </c>
      <c r="Y2155" s="2" t="s">
        <v>1992</v>
      </c>
      <c r="Z2155" s="4">
        <v>145</v>
      </c>
      <c r="AA2155" s="4">
        <f>=ROUNDDOWN(36.25,0)</f>
      </c>
      <c r="AB2155" s="5">
        <v>4</v>
      </c>
      <c r="AC2155" s="2" t="s">
        <v>231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231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231</v>
      </c>
      <c r="BD2155" s="8" t="s">
        <v>231</v>
      </c>
      <c r="BE2155" s="4" t="s">
        <v>231</v>
      </c>
      <c r="BF2155" s="8" t="s">
        <v>231</v>
      </c>
      <c r="BG2155" s="7" t="s">
        <v>231</v>
      </c>
      <c r="BH2155" s="7" t="s">
        <v>231</v>
      </c>
      <c r="BI2155" s="7"/>
      <c r="BJ2155" s="4">
        <v>11</v>
      </c>
      <c r="BK2155" s="8">
        <v>422.37</v>
      </c>
      <c r="BL2155" s="2" t="s">
        <v>9453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9454</v>
      </c>
      <c r="BV2155" s="2" t="s">
        <v>231</v>
      </c>
      <c r="BW2155" s="2" t="s">
        <v>231</v>
      </c>
      <c r="BX2155" s="2" t="s">
        <v>231</v>
      </c>
      <c r="BY2155" s="2" t="s">
        <v>277</v>
      </c>
      <c r="BZ2155" s="2" t="s">
        <v>243</v>
      </c>
      <c r="CA2155" s="2" t="s">
        <v>1620</v>
      </c>
      <c r="CB2155" s="2" t="s">
        <v>231</v>
      </c>
      <c r="CC2155" s="2" t="s">
        <v>244</v>
      </c>
      <c r="CD2155" s="2" t="s">
        <v>231</v>
      </c>
      <c r="CE2155" s="4">
        <v>145</v>
      </c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</row>
    <row r="2156">
      <c r="A2156" s="2" t="s">
        <v>9455</v>
      </c>
      <c r="B2156" s="2" t="s">
        <v>1004</v>
      </c>
      <c r="C2156" s="2" t="s">
        <v>815</v>
      </c>
      <c r="D2156" s="2" t="s">
        <v>1837</v>
      </c>
      <c r="E2156" s="2" t="s">
        <v>7920</v>
      </c>
      <c r="F2156" s="2" t="s">
        <v>9456</v>
      </c>
      <c r="G2156" s="2" t="s">
        <v>9456</v>
      </c>
      <c r="H2156" s="2" t="s">
        <v>9456</v>
      </c>
      <c r="I2156" s="2" t="s">
        <v>9457</v>
      </c>
      <c r="J2156" s="2" t="s">
        <v>9458</v>
      </c>
      <c r="K2156" s="2" t="s">
        <v>1496</v>
      </c>
      <c r="L2156" s="3">
        <v>218.5</v>
      </c>
      <c r="M2156" s="3">
        <v>229.42</v>
      </c>
      <c r="N2156" s="3">
        <v>459</v>
      </c>
      <c r="O2156" s="2" t="s">
        <v>243</v>
      </c>
      <c r="P2156" s="2" t="s">
        <v>236</v>
      </c>
      <c r="Q2156" s="2" t="s">
        <v>237</v>
      </c>
      <c r="R2156" s="2" t="s">
        <v>231</v>
      </c>
      <c r="S2156" s="2" t="s">
        <v>231</v>
      </c>
      <c r="T2156" s="2" t="s">
        <v>231</v>
      </c>
      <c r="U2156" s="2" t="s">
        <v>327</v>
      </c>
      <c r="V2156" s="2" t="s">
        <v>662</v>
      </c>
      <c r="W2156" s="2" t="s">
        <v>691</v>
      </c>
      <c r="X2156" s="2" t="s">
        <v>273</v>
      </c>
      <c r="Y2156" s="2" t="s">
        <v>231</v>
      </c>
      <c r="Z2156" s="4"/>
      <c r="AA2156" s="4">
        <f>=ROUNDDOWN({0},0)</f>
      </c>
      <c r="AB2156" s="5"/>
      <c r="AC2156" s="2" t="s">
        <v>9459</v>
      </c>
      <c r="AD2156" s="4">
        <v>364</v>
      </c>
      <c r="AE2156" s="4">
        <v>364</v>
      </c>
      <c r="AF2156" s="6">
        <v>74</v>
      </c>
      <c r="AG2156" s="6"/>
      <c r="AH2156" s="7">
        <v>0</v>
      </c>
      <c r="AI2156" s="4"/>
      <c r="AJ2156" s="4">
        <f>=ROUNDDOWN({0},0)</f>
      </c>
      <c r="AK2156" s="5"/>
      <c r="AL2156" s="2" t="s">
        <v>231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/>
      <c r="BD2156" s="8"/>
      <c r="BE2156" s="4"/>
      <c r="BF2156" s="8"/>
      <c r="BG2156" s="7"/>
      <c r="BH2156" s="7"/>
      <c r="BI2156" s="7"/>
      <c r="BJ2156" s="4"/>
      <c r="BK2156" s="8"/>
      <c r="BL2156" s="2" t="s">
        <v>231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241</v>
      </c>
      <c r="BV2156" s="2" t="s">
        <v>231</v>
      </c>
      <c r="BW2156" s="2" t="s">
        <v>231</v>
      </c>
      <c r="BX2156" s="2" t="s">
        <v>312</v>
      </c>
      <c r="BY2156" s="2" t="s">
        <v>242</v>
      </c>
      <c r="BZ2156" s="2" t="s">
        <v>243</v>
      </c>
      <c r="CA2156" s="2" t="s">
        <v>231</v>
      </c>
      <c r="CB2156" s="2" t="s">
        <v>231</v>
      </c>
      <c r="CC2156" s="2" t="s">
        <v>244</v>
      </c>
      <c r="CD2156" s="2" t="s">
        <v>231</v>
      </c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>
        <v>364</v>
      </c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</row>
    <row r="2157">
      <c r="A2157" s="2" t="s">
        <v>9460</v>
      </c>
      <c r="B2157" s="2" t="s">
        <v>847</v>
      </c>
      <c r="C2157" s="2" t="s">
        <v>288</v>
      </c>
      <c r="D2157" s="2" t="s">
        <v>882</v>
      </c>
      <c r="E2157" s="2" t="s">
        <v>849</v>
      </c>
      <c r="F2157" s="2" t="s">
        <v>9461</v>
      </c>
      <c r="G2157" s="2" t="s">
        <v>9461</v>
      </c>
      <c r="H2157" s="2" t="s">
        <v>9461</v>
      </c>
      <c r="I2157" s="2" t="s">
        <v>9462</v>
      </c>
      <c r="J2157" s="2" t="s">
        <v>807</v>
      </c>
      <c r="K2157" s="2" t="s">
        <v>9463</v>
      </c>
      <c r="L2157" s="3">
        <v>52.38</v>
      </c>
      <c r="M2157" s="3">
        <v>55</v>
      </c>
      <c r="N2157" s="3">
        <v>109.99</v>
      </c>
      <c r="O2157" s="2" t="s">
        <v>243</v>
      </c>
      <c r="P2157" s="2" t="s">
        <v>236</v>
      </c>
      <c r="Q2157" s="2" t="s">
        <v>237</v>
      </c>
      <c r="R2157" s="2" t="s">
        <v>231</v>
      </c>
      <c r="S2157" s="2" t="s">
        <v>231</v>
      </c>
      <c r="T2157" s="2" t="s">
        <v>231</v>
      </c>
      <c r="U2157" s="2" t="s">
        <v>327</v>
      </c>
      <c r="V2157" s="2" t="s">
        <v>662</v>
      </c>
      <c r="W2157" s="2" t="s">
        <v>363</v>
      </c>
      <c r="X2157" s="2" t="s">
        <v>792</v>
      </c>
      <c r="Y2157" s="2" t="s">
        <v>5872</v>
      </c>
      <c r="Z2157" s="4">
        <v>74</v>
      </c>
      <c r="AA2157" s="4">
        <f>=ROUNDDOWN({0},0)</f>
      </c>
      <c r="AB2157" s="5"/>
      <c r="AC2157" s="2" t="s">
        <v>231</v>
      </c>
      <c r="AD2157" s="4"/>
      <c r="AE2157" s="4"/>
      <c r="AF2157" s="6">
        <v>63</v>
      </c>
      <c r="AG2157" s="6"/>
      <c r="AH2157" s="7">
        <v>1</v>
      </c>
      <c r="AI2157" s="4"/>
      <c r="AJ2157" s="4">
        <f>=ROUNDDOWN({0},0)</f>
      </c>
      <c r="AK2157" s="5"/>
      <c r="AL2157" s="2" t="s">
        <v>231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/>
      <c r="BD2157" s="8"/>
      <c r="BE2157" s="4"/>
      <c r="BF2157" s="8"/>
      <c r="BG2157" s="7"/>
      <c r="BH2157" s="7"/>
      <c r="BI2157" s="7"/>
      <c r="BJ2157" s="4">
        <v>2</v>
      </c>
      <c r="BK2157" s="8">
        <v>110</v>
      </c>
      <c r="BL2157" s="2" t="s">
        <v>1306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9464</v>
      </c>
      <c r="BV2157" s="2" t="s">
        <v>231</v>
      </c>
      <c r="BW2157" s="2" t="s">
        <v>231</v>
      </c>
      <c r="BX2157" s="2" t="s">
        <v>241</v>
      </c>
      <c r="BY2157" s="2" t="s">
        <v>277</v>
      </c>
      <c r="BZ2157" s="2" t="s">
        <v>243</v>
      </c>
      <c r="CA2157" s="2" t="s">
        <v>1583</v>
      </c>
      <c r="CB2157" s="2" t="s">
        <v>5479</v>
      </c>
      <c r="CC2157" s="2" t="s">
        <v>244</v>
      </c>
      <c r="CD2157" s="2" t="s">
        <v>231</v>
      </c>
      <c r="CE2157" s="4"/>
      <c r="CF2157" s="4">
        <v>74</v>
      </c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</row>
    <row r="2158">
      <c r="A2158" s="2" t="s">
        <v>9465</v>
      </c>
      <c r="B2158" s="2" t="s">
        <v>847</v>
      </c>
      <c r="C2158" s="2" t="s">
        <v>288</v>
      </c>
      <c r="D2158" s="2" t="s">
        <v>9466</v>
      </c>
      <c r="E2158" s="2" t="s">
        <v>9467</v>
      </c>
      <c r="F2158" s="2" t="s">
        <v>9468</v>
      </c>
      <c r="G2158" s="2" t="s">
        <v>9468</v>
      </c>
      <c r="H2158" s="2" t="s">
        <v>9468</v>
      </c>
      <c r="I2158" s="2" t="s">
        <v>9469</v>
      </c>
      <c r="J2158" s="2" t="s">
        <v>807</v>
      </c>
      <c r="K2158" s="2" t="s">
        <v>294</v>
      </c>
      <c r="L2158" s="3">
        <v>62.4</v>
      </c>
      <c r="M2158" s="3">
        <v>65.52</v>
      </c>
      <c r="N2158" s="3">
        <v>129.99</v>
      </c>
      <c r="O2158" s="2" t="s">
        <v>250</v>
      </c>
      <c r="P2158" s="2" t="s">
        <v>341</v>
      </c>
      <c r="Q2158" s="2" t="s">
        <v>237</v>
      </c>
      <c r="R2158" s="2" t="s">
        <v>231</v>
      </c>
      <c r="S2158" s="2" t="s">
        <v>231</v>
      </c>
      <c r="T2158" s="2" t="s">
        <v>231</v>
      </c>
      <c r="U2158" s="2" t="s">
        <v>231</v>
      </c>
      <c r="V2158" s="2" t="s">
        <v>662</v>
      </c>
      <c r="W2158" s="2" t="s">
        <v>792</v>
      </c>
      <c r="X2158" s="2" t="s">
        <v>231</v>
      </c>
      <c r="Y2158" s="2" t="s">
        <v>1078</v>
      </c>
      <c r="Z2158" s="4"/>
      <c r="AA2158" s="4">
        <f>=ROUNDDOWN({0},0)</f>
      </c>
      <c r="AB2158" s="5"/>
      <c r="AC2158" s="2" t="s">
        <v>231</v>
      </c>
      <c r="AD2158" s="4"/>
      <c r="AE2158" s="4"/>
      <c r="AF2158" s="6"/>
      <c r="AG2158" s="6"/>
      <c r="AH2158" s="7">
        <v>0</v>
      </c>
      <c r="AI2158" s="4"/>
      <c r="AJ2158" s="4">
        <f>=ROUNDDOWN({0},0)</f>
      </c>
      <c r="AK2158" s="5"/>
      <c r="AL2158" s="2" t="s">
        <v>231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/>
      <c r="BD2158" s="8"/>
      <c r="BE2158" s="4"/>
      <c r="BF2158" s="8"/>
      <c r="BG2158" s="7"/>
      <c r="BH2158" s="7"/>
      <c r="BI2158" s="7"/>
      <c r="BJ2158" s="4"/>
      <c r="BK2158" s="8"/>
      <c r="BL2158" s="2" t="s">
        <v>231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9470</v>
      </c>
      <c r="BV2158" s="2" t="s">
        <v>231</v>
      </c>
      <c r="BW2158" s="2" t="s">
        <v>231</v>
      </c>
      <c r="BX2158" s="2" t="s">
        <v>231</v>
      </c>
      <c r="BY2158" s="2" t="s">
        <v>277</v>
      </c>
      <c r="BZ2158" s="2" t="s">
        <v>243</v>
      </c>
      <c r="CA2158" s="2" t="s">
        <v>2902</v>
      </c>
      <c r="CB2158" s="2" t="s">
        <v>9471</v>
      </c>
      <c r="CC2158" s="2" t="s">
        <v>244</v>
      </c>
      <c r="CD2158" s="2" t="s">
        <v>231</v>
      </c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</row>
    <row r="2159">
      <c r="A2159" s="2" t="s">
        <v>9472</v>
      </c>
      <c r="B2159" s="2" t="s">
        <v>1004</v>
      </c>
      <c r="C2159" s="2" t="s">
        <v>867</v>
      </c>
      <c r="D2159" s="2" t="s">
        <v>1689</v>
      </c>
      <c r="E2159" s="2" t="s">
        <v>2651</v>
      </c>
      <c r="F2159" s="2" t="s">
        <v>9473</v>
      </c>
      <c r="G2159" s="2" t="s">
        <v>9473</v>
      </c>
      <c r="H2159" s="2" t="s">
        <v>9473</v>
      </c>
      <c r="I2159" s="2" t="s">
        <v>9474</v>
      </c>
      <c r="J2159" s="2" t="s">
        <v>807</v>
      </c>
      <c r="K2159" s="2" t="s">
        <v>2269</v>
      </c>
      <c r="L2159" s="3">
        <v>260</v>
      </c>
      <c r="M2159" s="3">
        <v>273</v>
      </c>
      <c r="N2159" s="3">
        <v>549</v>
      </c>
      <c r="O2159" s="2" t="s">
        <v>243</v>
      </c>
      <c r="P2159" s="2" t="s">
        <v>236</v>
      </c>
      <c r="Q2159" s="2" t="s">
        <v>237</v>
      </c>
      <c r="R2159" s="2" t="s">
        <v>231</v>
      </c>
      <c r="S2159" s="2" t="s">
        <v>231</v>
      </c>
      <c r="T2159" s="2" t="s">
        <v>231</v>
      </c>
      <c r="U2159" s="2" t="s">
        <v>327</v>
      </c>
      <c r="V2159" s="2" t="s">
        <v>662</v>
      </c>
      <c r="W2159" s="2" t="s">
        <v>676</v>
      </c>
      <c r="X2159" s="2" t="s">
        <v>5476</v>
      </c>
      <c r="Y2159" s="2" t="s">
        <v>1057</v>
      </c>
      <c r="Z2159" s="4">
        <v>90</v>
      </c>
      <c r="AA2159" s="4">
        <f>=ROUNDDOWN(25.7142857142857,0)</f>
      </c>
      <c r="AB2159" s="5">
        <v>3.5</v>
      </c>
      <c r="AC2159" s="2" t="s">
        <v>231</v>
      </c>
      <c r="AD2159" s="4"/>
      <c r="AE2159" s="4"/>
      <c r="AF2159" s="6">
        <v>66</v>
      </c>
      <c r="AG2159" s="6"/>
      <c r="AH2159" s="7">
        <v>1</v>
      </c>
      <c r="AI2159" s="4"/>
      <c r="AJ2159" s="4">
        <f>=ROUNDDOWN({0},0)</f>
      </c>
      <c r="AK2159" s="5"/>
      <c r="AL2159" s="2" t="s">
        <v>231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/>
      <c r="AW2159" s="8"/>
      <c r="AX2159" s="4"/>
      <c r="AY2159" s="8"/>
      <c r="AZ2159" s="7"/>
      <c r="BA2159" s="7"/>
      <c r="BB2159" s="7"/>
      <c r="BC2159" s="4" t="s">
        <v>231</v>
      </c>
      <c r="BD2159" s="8" t="s">
        <v>231</v>
      </c>
      <c r="BE2159" s="4" t="s">
        <v>231</v>
      </c>
      <c r="BF2159" s="8" t="s">
        <v>231</v>
      </c>
      <c r="BG2159" s="7" t="s">
        <v>231</v>
      </c>
      <c r="BH2159" s="7" t="s">
        <v>231</v>
      </c>
      <c r="BI2159" s="7"/>
      <c r="BJ2159" s="4">
        <v>8</v>
      </c>
      <c r="BK2159" s="8">
        <v>2200.38</v>
      </c>
      <c r="BL2159" s="2" t="s">
        <v>2343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9475</v>
      </c>
      <c r="BV2159" s="2" t="s">
        <v>231</v>
      </c>
      <c r="BW2159" s="2" t="s">
        <v>231</v>
      </c>
      <c r="BX2159" s="2" t="s">
        <v>241</v>
      </c>
      <c r="BY2159" s="2" t="s">
        <v>277</v>
      </c>
      <c r="BZ2159" s="2" t="s">
        <v>243</v>
      </c>
      <c r="CA2159" s="2" t="s">
        <v>1436</v>
      </c>
      <c r="CB2159" s="2" t="s">
        <v>231</v>
      </c>
      <c r="CC2159" s="2" t="s">
        <v>244</v>
      </c>
      <c r="CD2159" s="2" t="s">
        <v>231</v>
      </c>
      <c r="CE2159" s="4"/>
      <c r="CF2159" s="4">
        <v>90</v>
      </c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</row>
    <row r="2160">
      <c r="A2160" s="2" t="s">
        <v>9476</v>
      </c>
      <c r="B2160" s="2" t="s">
        <v>1186</v>
      </c>
      <c r="C2160" s="2" t="s">
        <v>1836</v>
      </c>
      <c r="D2160" s="2" t="s">
        <v>826</v>
      </c>
      <c r="E2160" s="2" t="s">
        <v>827</v>
      </c>
      <c r="F2160" s="2" t="s">
        <v>9473</v>
      </c>
      <c r="G2160" s="2" t="s">
        <v>9473</v>
      </c>
      <c r="H2160" s="2" t="s">
        <v>9473</v>
      </c>
      <c r="I2160" s="2" t="s">
        <v>9477</v>
      </c>
      <c r="J2160" s="2" t="s">
        <v>658</v>
      </c>
      <c r="K2160" s="2" t="s">
        <v>3021</v>
      </c>
      <c r="L2160" s="3">
        <v>80</v>
      </c>
      <c r="M2160" s="3">
        <v>84</v>
      </c>
      <c r="N2160" s="3">
        <v>159.99</v>
      </c>
      <c r="O2160" s="2" t="s">
        <v>243</v>
      </c>
      <c r="P2160" s="2" t="s">
        <v>236</v>
      </c>
      <c r="Q2160" s="2" t="s">
        <v>237</v>
      </c>
      <c r="R2160" s="2" t="s">
        <v>231</v>
      </c>
      <c r="S2160" s="2" t="s">
        <v>9478</v>
      </c>
      <c r="T2160" s="2" t="s">
        <v>362</v>
      </c>
      <c r="U2160" s="2" t="s">
        <v>661</v>
      </c>
      <c r="V2160" s="2" t="s">
        <v>391</v>
      </c>
      <c r="W2160" s="2" t="s">
        <v>971</v>
      </c>
      <c r="X2160" s="2" t="s">
        <v>9479</v>
      </c>
      <c r="Y2160" s="2" t="s">
        <v>3934</v>
      </c>
      <c r="Z2160" s="4">
        <v>16</v>
      </c>
      <c r="AA2160" s="4">
        <f>=ROUNDDOWN(2.66666666666667,0)</f>
      </c>
      <c r="AB2160" s="5">
        <v>6</v>
      </c>
      <c r="AC2160" s="2" t="s">
        <v>231</v>
      </c>
      <c r="AD2160" s="4"/>
      <c r="AE2160" s="4"/>
      <c r="AF2160" s="6">
        <v>65</v>
      </c>
      <c r="AG2160" s="6"/>
      <c r="AH2160" s="7">
        <v>0.7097</v>
      </c>
      <c r="AI2160" s="4"/>
      <c r="AJ2160" s="4">
        <f>=ROUNDDOWN({0},0)</f>
      </c>
      <c r="AK2160" s="5"/>
      <c r="AL2160" s="2" t="s">
        <v>231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231</v>
      </c>
      <c r="AW2160" s="8" t="s">
        <v>231</v>
      </c>
      <c r="AX2160" s="4" t="s">
        <v>231</v>
      </c>
      <c r="AY2160" s="8" t="s">
        <v>231</v>
      </c>
      <c r="AZ2160" s="7" t="s">
        <v>231</v>
      </c>
      <c r="BA2160" s="7" t="s">
        <v>231</v>
      </c>
      <c r="BB2160" s="7"/>
      <c r="BC2160" s="4" t="s">
        <v>231</v>
      </c>
      <c r="BD2160" s="8" t="s">
        <v>231</v>
      </c>
      <c r="BE2160" s="4" t="s">
        <v>231</v>
      </c>
      <c r="BF2160" s="8" t="s">
        <v>231</v>
      </c>
      <c r="BG2160" s="7" t="s">
        <v>231</v>
      </c>
      <c r="BH2160" s="7" t="s">
        <v>231</v>
      </c>
      <c r="BI2160" s="7"/>
      <c r="BJ2160" s="4">
        <v>2</v>
      </c>
      <c r="BK2160" s="8">
        <v>168</v>
      </c>
      <c r="BL2160" s="2" t="s">
        <v>1306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9480</v>
      </c>
      <c r="BV2160" s="2" t="s">
        <v>231</v>
      </c>
      <c r="BW2160" s="2" t="s">
        <v>231</v>
      </c>
      <c r="BX2160" s="2" t="s">
        <v>241</v>
      </c>
      <c r="BY2160" s="2" t="s">
        <v>277</v>
      </c>
      <c r="BZ2160" s="2" t="s">
        <v>243</v>
      </c>
      <c r="CA2160" s="2" t="s">
        <v>1437</v>
      </c>
      <c r="CB2160" s="2" t="s">
        <v>231</v>
      </c>
      <c r="CC2160" s="2" t="s">
        <v>244</v>
      </c>
      <c r="CD2160" s="2" t="s">
        <v>231</v>
      </c>
      <c r="CE2160" s="4">
        <v>16</v>
      </c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</row>
    <row r="2161">
      <c r="A2161" s="2" t="s">
        <v>9481</v>
      </c>
      <c r="B2161" s="2" t="s">
        <v>1186</v>
      </c>
      <c r="C2161" s="2" t="s">
        <v>1836</v>
      </c>
      <c r="D2161" s="2" t="s">
        <v>826</v>
      </c>
      <c r="E2161" s="2" t="s">
        <v>827</v>
      </c>
      <c r="F2161" s="2" t="s">
        <v>9473</v>
      </c>
      <c r="G2161" s="2" t="s">
        <v>9473</v>
      </c>
      <c r="H2161" s="2" t="s">
        <v>9473</v>
      </c>
      <c r="I2161" s="2" t="s">
        <v>9477</v>
      </c>
      <c r="J2161" s="2" t="s">
        <v>669</v>
      </c>
      <c r="K2161" s="2" t="s">
        <v>3021</v>
      </c>
      <c r="L2161" s="3">
        <v>90</v>
      </c>
      <c r="M2161" s="3">
        <v>94.5</v>
      </c>
      <c r="N2161" s="3">
        <v>179.99</v>
      </c>
      <c r="O2161" s="2" t="s">
        <v>243</v>
      </c>
      <c r="P2161" s="2" t="s">
        <v>236</v>
      </c>
      <c r="Q2161" s="2" t="s">
        <v>237</v>
      </c>
      <c r="R2161" s="2" t="s">
        <v>231</v>
      </c>
      <c r="S2161" s="2" t="s">
        <v>9478</v>
      </c>
      <c r="T2161" s="2" t="s">
        <v>362</v>
      </c>
      <c r="U2161" s="2" t="s">
        <v>661</v>
      </c>
      <c r="V2161" s="2" t="s">
        <v>391</v>
      </c>
      <c r="W2161" s="2" t="s">
        <v>971</v>
      </c>
      <c r="X2161" s="2" t="s">
        <v>9479</v>
      </c>
      <c r="Y2161" s="2" t="s">
        <v>3934</v>
      </c>
      <c r="Z2161" s="4">
        <v>13</v>
      </c>
      <c r="AA2161" s="4">
        <f>=ROUNDDOWN(2.16666666666667,0)</f>
      </c>
      <c r="AB2161" s="5">
        <v>6</v>
      </c>
      <c r="AC2161" s="2" t="s">
        <v>231</v>
      </c>
      <c r="AD2161" s="4"/>
      <c r="AE2161" s="4"/>
      <c r="AF2161" s="6">
        <v>65</v>
      </c>
      <c r="AG2161" s="6"/>
      <c r="AH2161" s="7">
        <v>0.6774</v>
      </c>
      <c r="AI2161" s="4"/>
      <c r="AJ2161" s="4">
        <f>=ROUNDDOWN({0},0)</f>
      </c>
      <c r="AK2161" s="5"/>
      <c r="AL2161" s="2" t="s">
        <v>231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231</v>
      </c>
      <c r="AW2161" s="8" t="s">
        <v>231</v>
      </c>
      <c r="AX2161" s="4" t="s">
        <v>231</v>
      </c>
      <c r="AY2161" s="8" t="s">
        <v>231</v>
      </c>
      <c r="AZ2161" s="7" t="s">
        <v>231</v>
      </c>
      <c r="BA2161" s="7" t="s">
        <v>231</v>
      </c>
      <c r="BB2161" s="7"/>
      <c r="BC2161" s="4" t="s">
        <v>231</v>
      </c>
      <c r="BD2161" s="8" t="s">
        <v>231</v>
      </c>
      <c r="BE2161" s="4" t="s">
        <v>231</v>
      </c>
      <c r="BF2161" s="8" t="s">
        <v>231</v>
      </c>
      <c r="BG2161" s="7" t="s">
        <v>231</v>
      </c>
      <c r="BH2161" s="7" t="s">
        <v>231</v>
      </c>
      <c r="BI2161" s="7"/>
      <c r="BJ2161" s="4"/>
      <c r="BK2161" s="8"/>
      <c r="BL2161" s="2" t="s">
        <v>231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9482</v>
      </c>
      <c r="BV2161" s="2" t="s">
        <v>231</v>
      </c>
      <c r="BW2161" s="2" t="s">
        <v>231</v>
      </c>
      <c r="BX2161" s="2" t="s">
        <v>241</v>
      </c>
      <c r="BY2161" s="2" t="s">
        <v>277</v>
      </c>
      <c r="BZ2161" s="2" t="s">
        <v>243</v>
      </c>
      <c r="CA2161" s="2" t="s">
        <v>1437</v>
      </c>
      <c r="CB2161" s="2" t="s">
        <v>231</v>
      </c>
      <c r="CC2161" s="2" t="s">
        <v>244</v>
      </c>
      <c r="CD2161" s="2" t="s">
        <v>231</v>
      </c>
      <c r="CE2161" s="4">
        <v>13</v>
      </c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</row>
    <row r="2162">
      <c r="A2162" s="2" t="s">
        <v>9483</v>
      </c>
      <c r="B2162" s="2" t="s">
        <v>940</v>
      </c>
      <c r="C2162" s="2" t="s">
        <v>288</v>
      </c>
      <c r="D2162" s="2" t="s">
        <v>3996</v>
      </c>
      <c r="E2162" s="2" t="s">
        <v>3997</v>
      </c>
      <c r="F2162" s="2" t="s">
        <v>9484</v>
      </c>
      <c r="G2162" s="2" t="s">
        <v>9484</v>
      </c>
      <c r="H2162" s="2" t="s">
        <v>9484</v>
      </c>
      <c r="I2162" s="2" t="s">
        <v>9485</v>
      </c>
      <c r="J2162" s="2" t="s">
        <v>807</v>
      </c>
      <c r="K2162" s="2" t="s">
        <v>463</v>
      </c>
      <c r="L2162" s="3">
        <v>21.6</v>
      </c>
      <c r="M2162" s="3">
        <v>22.68</v>
      </c>
      <c r="N2162" s="3">
        <v>44.99</v>
      </c>
      <c r="O2162" s="2" t="s">
        <v>243</v>
      </c>
      <c r="P2162" s="2" t="s">
        <v>341</v>
      </c>
      <c r="Q2162" s="2" t="s">
        <v>237</v>
      </c>
      <c r="R2162" s="2" t="s">
        <v>231</v>
      </c>
      <c r="S2162" s="2" t="s">
        <v>231</v>
      </c>
      <c r="T2162" s="2" t="s">
        <v>231</v>
      </c>
      <c r="U2162" s="2" t="s">
        <v>231</v>
      </c>
      <c r="V2162" s="2" t="s">
        <v>836</v>
      </c>
      <c r="W2162" s="2" t="s">
        <v>691</v>
      </c>
      <c r="X2162" s="2" t="s">
        <v>231</v>
      </c>
      <c r="Y2162" s="2" t="s">
        <v>9486</v>
      </c>
      <c r="Z2162" s="4">
        <v>321</v>
      </c>
      <c r="AA2162" s="4">
        <f>=ROUNDDOWN(35.6666666666667,0)</f>
      </c>
      <c r="AB2162" s="5">
        <v>9</v>
      </c>
      <c r="AC2162" s="2" t="s">
        <v>231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231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/>
      <c r="AW2162" s="8"/>
      <c r="AX2162" s="4"/>
      <c r="AY2162" s="8"/>
      <c r="AZ2162" s="7"/>
      <c r="BA2162" s="7"/>
      <c r="BB2162" s="7"/>
      <c r="BC2162" s="4"/>
      <c r="BD2162" s="8"/>
      <c r="BE2162" s="4"/>
      <c r="BF2162" s="8"/>
      <c r="BG2162" s="7"/>
      <c r="BH2162" s="7"/>
      <c r="BI2162" s="7"/>
      <c r="BJ2162" s="4">
        <v>28</v>
      </c>
      <c r="BK2162" s="8">
        <v>688.28</v>
      </c>
      <c r="BL2162" s="2" t="s">
        <v>9487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9488</v>
      </c>
      <c r="BV2162" s="2" t="s">
        <v>231</v>
      </c>
      <c r="BW2162" s="2" t="s">
        <v>231</v>
      </c>
      <c r="BX2162" s="2" t="s">
        <v>231</v>
      </c>
      <c r="BY2162" s="2" t="s">
        <v>277</v>
      </c>
      <c r="BZ2162" s="2" t="s">
        <v>243</v>
      </c>
      <c r="CA2162" s="2" t="s">
        <v>1336</v>
      </c>
      <c r="CB2162" s="2" t="s">
        <v>313</v>
      </c>
      <c r="CC2162" s="2" t="s">
        <v>244</v>
      </c>
      <c r="CD2162" s="2" t="s">
        <v>231</v>
      </c>
      <c r="CE2162" s="4">
        <v>321</v>
      </c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/>
      <c r="HJ2162" s="4"/>
      <c r="HK2162" s="4"/>
      <c r="HL2162" s="4"/>
    </row>
    <row r="2163">
      <c r="A2163" s="2" t="s">
        <v>9489</v>
      </c>
      <c r="B2163" s="2" t="s">
        <v>1186</v>
      </c>
      <c r="C2163" s="2" t="s">
        <v>653</v>
      </c>
      <c r="D2163" s="2" t="s">
        <v>654</v>
      </c>
      <c r="E2163" s="2" t="s">
        <v>655</v>
      </c>
      <c r="F2163" s="2" t="s">
        <v>9490</v>
      </c>
      <c r="G2163" s="2" t="s">
        <v>9490</v>
      </c>
      <c r="H2163" s="2" t="s">
        <v>9490</v>
      </c>
      <c r="I2163" s="2" t="s">
        <v>9491</v>
      </c>
      <c r="J2163" s="2" t="s">
        <v>658</v>
      </c>
      <c r="K2163" s="2" t="s">
        <v>269</v>
      </c>
      <c r="L2163" s="3">
        <v>150</v>
      </c>
      <c r="M2163" s="3">
        <v>157.5</v>
      </c>
      <c r="N2163" s="3">
        <v>299.99</v>
      </c>
      <c r="O2163" s="2" t="s">
        <v>243</v>
      </c>
      <c r="P2163" s="2" t="s">
        <v>236</v>
      </c>
      <c r="Q2163" s="2" t="s">
        <v>237</v>
      </c>
      <c r="R2163" s="2" t="s">
        <v>231</v>
      </c>
      <c r="S2163" s="2" t="s">
        <v>9492</v>
      </c>
      <c r="T2163" s="2" t="s">
        <v>362</v>
      </c>
      <c r="U2163" s="2" t="s">
        <v>5729</v>
      </c>
      <c r="V2163" s="2" t="s">
        <v>391</v>
      </c>
      <c r="W2163" s="2" t="s">
        <v>792</v>
      </c>
      <c r="X2163" s="2" t="s">
        <v>896</v>
      </c>
      <c r="Y2163" s="2" t="s">
        <v>3288</v>
      </c>
      <c r="Z2163" s="4"/>
      <c r="AA2163" s="4">
        <f>=ROUNDDOWN({0},0)</f>
      </c>
      <c r="AB2163" s="5"/>
      <c r="AC2163" s="2" t="s">
        <v>636</v>
      </c>
      <c r="AD2163" s="4">
        <v>110</v>
      </c>
      <c r="AE2163" s="4">
        <v>267</v>
      </c>
      <c r="AF2163" s="6">
        <v>67</v>
      </c>
      <c r="AG2163" s="6"/>
      <c r="AH2163" s="7">
        <v>0</v>
      </c>
      <c r="AI2163" s="4"/>
      <c r="AJ2163" s="4">
        <f>=ROUNDDOWN({0},0)</f>
      </c>
      <c r="AK2163" s="5"/>
      <c r="AL2163" s="2" t="s">
        <v>231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231</v>
      </c>
      <c r="AW2163" s="8" t="s">
        <v>231</v>
      </c>
      <c r="AX2163" s="4" t="s">
        <v>231</v>
      </c>
      <c r="AY2163" s="8" t="s">
        <v>231</v>
      </c>
      <c r="AZ2163" s="7" t="s">
        <v>231</v>
      </c>
      <c r="BA2163" s="7" t="s">
        <v>231</v>
      </c>
      <c r="BB2163" s="7"/>
      <c r="BC2163" s="4" t="s">
        <v>231</v>
      </c>
      <c r="BD2163" s="8" t="s">
        <v>231</v>
      </c>
      <c r="BE2163" s="4" t="s">
        <v>231</v>
      </c>
      <c r="BF2163" s="8" t="s">
        <v>231</v>
      </c>
      <c r="BG2163" s="7" t="s">
        <v>231</v>
      </c>
      <c r="BH2163" s="7" t="s">
        <v>231</v>
      </c>
      <c r="BI2163" s="7"/>
      <c r="BJ2163" s="4"/>
      <c r="BK2163" s="8"/>
      <c r="BL2163" s="2" t="s">
        <v>231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241</v>
      </c>
      <c r="BV2163" s="2" t="s">
        <v>231</v>
      </c>
      <c r="BW2163" s="2" t="s">
        <v>231</v>
      </c>
      <c r="BX2163" s="2" t="s">
        <v>241</v>
      </c>
      <c r="BY2163" s="2" t="s">
        <v>242</v>
      </c>
      <c r="BZ2163" s="2" t="s">
        <v>243</v>
      </c>
      <c r="CA2163" s="2" t="s">
        <v>231</v>
      </c>
      <c r="CB2163" s="2" t="s">
        <v>231</v>
      </c>
      <c r="CC2163" s="2" t="s">
        <v>2256</v>
      </c>
      <c r="CD2163" s="2" t="s">
        <v>231</v>
      </c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>
        <v>110</v>
      </c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>
        <v>157</v>
      </c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</row>
    <row r="2164">
      <c r="A2164" s="2" t="s">
        <v>9493</v>
      </c>
      <c r="B2164" s="2" t="s">
        <v>1186</v>
      </c>
      <c r="C2164" s="2" t="s">
        <v>653</v>
      </c>
      <c r="D2164" s="2" t="s">
        <v>654</v>
      </c>
      <c r="E2164" s="2" t="s">
        <v>655</v>
      </c>
      <c r="F2164" s="2" t="s">
        <v>9490</v>
      </c>
      <c r="G2164" s="2" t="s">
        <v>9490</v>
      </c>
      <c r="H2164" s="2" t="s">
        <v>9490</v>
      </c>
      <c r="I2164" s="2" t="s">
        <v>9491</v>
      </c>
      <c r="J2164" s="2" t="s">
        <v>669</v>
      </c>
      <c r="K2164" s="2" t="s">
        <v>269</v>
      </c>
      <c r="L2164" s="3">
        <v>175</v>
      </c>
      <c r="M2164" s="3">
        <v>183.75</v>
      </c>
      <c r="N2164" s="3">
        <v>349.99</v>
      </c>
      <c r="O2164" s="2" t="s">
        <v>243</v>
      </c>
      <c r="P2164" s="2" t="s">
        <v>236</v>
      </c>
      <c r="Q2164" s="2" t="s">
        <v>237</v>
      </c>
      <c r="R2164" s="2" t="s">
        <v>231</v>
      </c>
      <c r="S2164" s="2" t="s">
        <v>9492</v>
      </c>
      <c r="T2164" s="2" t="s">
        <v>362</v>
      </c>
      <c r="U2164" s="2" t="s">
        <v>1196</v>
      </c>
      <c r="V2164" s="2" t="s">
        <v>391</v>
      </c>
      <c r="W2164" s="2" t="s">
        <v>792</v>
      </c>
      <c r="X2164" s="2" t="s">
        <v>896</v>
      </c>
      <c r="Y2164" s="2" t="s">
        <v>3288</v>
      </c>
      <c r="Z2164" s="4"/>
      <c r="AA2164" s="4">
        <f>=ROUNDDOWN({0},0)</f>
      </c>
      <c r="AB2164" s="5"/>
      <c r="AC2164" s="2" t="s">
        <v>636</v>
      </c>
      <c r="AD2164" s="4">
        <v>130</v>
      </c>
      <c r="AE2164" s="4">
        <v>213</v>
      </c>
      <c r="AF2164" s="6">
        <v>67</v>
      </c>
      <c r="AG2164" s="6"/>
      <c r="AH2164" s="7">
        <v>0</v>
      </c>
      <c r="AI2164" s="4"/>
      <c r="AJ2164" s="4">
        <f>=ROUNDDOWN({0},0)</f>
      </c>
      <c r="AK2164" s="5"/>
      <c r="AL2164" s="2" t="s">
        <v>231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231</v>
      </c>
      <c r="AW2164" s="8" t="s">
        <v>231</v>
      </c>
      <c r="AX2164" s="4" t="s">
        <v>231</v>
      </c>
      <c r="AY2164" s="8" t="s">
        <v>231</v>
      </c>
      <c r="AZ2164" s="7" t="s">
        <v>231</v>
      </c>
      <c r="BA2164" s="7" t="s">
        <v>231</v>
      </c>
      <c r="BB2164" s="7"/>
      <c r="BC2164" s="4" t="s">
        <v>231</v>
      </c>
      <c r="BD2164" s="8" t="s">
        <v>231</v>
      </c>
      <c r="BE2164" s="4" t="s">
        <v>231</v>
      </c>
      <c r="BF2164" s="8" t="s">
        <v>231</v>
      </c>
      <c r="BG2164" s="7" t="s">
        <v>231</v>
      </c>
      <c r="BH2164" s="7" t="s">
        <v>231</v>
      </c>
      <c r="BI2164" s="7"/>
      <c r="BJ2164" s="4"/>
      <c r="BK2164" s="8"/>
      <c r="BL2164" s="2" t="s">
        <v>231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241</v>
      </c>
      <c r="BV2164" s="2" t="s">
        <v>231</v>
      </c>
      <c r="BW2164" s="2" t="s">
        <v>231</v>
      </c>
      <c r="BX2164" s="2" t="s">
        <v>241</v>
      </c>
      <c r="BY2164" s="2" t="s">
        <v>242</v>
      </c>
      <c r="BZ2164" s="2" t="s">
        <v>243</v>
      </c>
      <c r="CA2164" s="2" t="s">
        <v>231</v>
      </c>
      <c r="CB2164" s="2" t="s">
        <v>231</v>
      </c>
      <c r="CC2164" s="2" t="s">
        <v>2256</v>
      </c>
      <c r="CD2164" s="2" t="s">
        <v>231</v>
      </c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>
        <v>130</v>
      </c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>
        <v>83</v>
      </c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/>
      <c r="HJ2164" s="4"/>
      <c r="HK2164" s="4"/>
      <c r="HL2164" s="4"/>
    </row>
    <row r="2165">
      <c r="A2165" s="2" t="s">
        <v>9494</v>
      </c>
      <c r="B2165" s="2" t="s">
        <v>824</v>
      </c>
      <c r="C2165" s="2" t="s">
        <v>1051</v>
      </c>
      <c r="D2165" s="2" t="s">
        <v>654</v>
      </c>
      <c r="E2165" s="2" t="s">
        <v>655</v>
      </c>
      <c r="F2165" s="2" t="s">
        <v>9495</v>
      </c>
      <c r="G2165" s="2" t="s">
        <v>9496</v>
      </c>
      <c r="H2165" s="2" t="s">
        <v>9497</v>
      </c>
      <c r="I2165" s="2" t="s">
        <v>9498</v>
      </c>
      <c r="J2165" s="2" t="s">
        <v>658</v>
      </c>
      <c r="K2165" s="2" t="s">
        <v>306</v>
      </c>
      <c r="L2165" s="3">
        <v>74.4</v>
      </c>
      <c r="M2165" s="3">
        <v>78.12</v>
      </c>
      <c r="N2165" s="3">
        <v>154.99</v>
      </c>
      <c r="O2165" s="2" t="s">
        <v>243</v>
      </c>
      <c r="P2165" s="2" t="s">
        <v>341</v>
      </c>
      <c r="Q2165" s="2" t="s">
        <v>237</v>
      </c>
      <c r="R2165" s="2" t="s">
        <v>231</v>
      </c>
      <c r="S2165" s="2" t="s">
        <v>9499</v>
      </c>
      <c r="T2165" s="2" t="s">
        <v>362</v>
      </c>
      <c r="U2165" s="2" t="s">
        <v>700</v>
      </c>
      <c r="V2165" s="2" t="s">
        <v>1433</v>
      </c>
      <c r="W2165" s="2" t="s">
        <v>2897</v>
      </c>
      <c r="X2165" s="2" t="s">
        <v>2898</v>
      </c>
      <c r="Y2165" s="2" t="s">
        <v>6741</v>
      </c>
      <c r="Z2165" s="4">
        <v>73</v>
      </c>
      <c r="AA2165" s="4">
        <f>=ROUNDDOWN(48.6666666666667,0)</f>
      </c>
      <c r="AB2165" s="5">
        <v>1.5</v>
      </c>
      <c r="AC2165" s="2" t="s">
        <v>231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231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/>
      <c r="BD2165" s="8"/>
      <c r="BE2165" s="4"/>
      <c r="BF2165" s="8"/>
      <c r="BG2165" s="7"/>
      <c r="BH2165" s="7"/>
      <c r="BI2165" s="7"/>
      <c r="BJ2165" s="4">
        <v>8</v>
      </c>
      <c r="BK2165" s="8">
        <v>526.89</v>
      </c>
      <c r="BL2165" s="2" t="s">
        <v>9500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9501</v>
      </c>
      <c r="BV2165" s="2" t="s">
        <v>231</v>
      </c>
      <c r="BW2165" s="2" t="s">
        <v>231</v>
      </c>
      <c r="BX2165" s="2" t="s">
        <v>231</v>
      </c>
      <c r="BY2165" s="2" t="s">
        <v>277</v>
      </c>
      <c r="BZ2165" s="2" t="s">
        <v>243</v>
      </c>
      <c r="CA2165" s="2" t="s">
        <v>614</v>
      </c>
      <c r="CB2165" s="2" t="s">
        <v>6778</v>
      </c>
      <c r="CC2165" s="2" t="s">
        <v>244</v>
      </c>
      <c r="CD2165" s="2" t="s">
        <v>231</v>
      </c>
      <c r="CE2165" s="4">
        <v>73</v>
      </c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</row>
    <row r="2166">
      <c r="A2166" s="2" t="s">
        <v>9502</v>
      </c>
      <c r="B2166" s="2" t="s">
        <v>801</v>
      </c>
      <c r="C2166" s="2" t="s">
        <v>867</v>
      </c>
      <c r="D2166" s="2" t="s">
        <v>1114</v>
      </c>
      <c r="E2166" s="2" t="s">
        <v>1115</v>
      </c>
      <c r="F2166" s="2" t="s">
        <v>9503</v>
      </c>
      <c r="G2166" s="2" t="s">
        <v>9503</v>
      </c>
      <c r="H2166" s="2" t="s">
        <v>9503</v>
      </c>
      <c r="I2166" s="2" t="s">
        <v>9504</v>
      </c>
      <c r="J2166" s="2" t="s">
        <v>807</v>
      </c>
      <c r="K2166" s="2" t="s">
        <v>269</v>
      </c>
      <c r="L2166" s="3">
        <v>63</v>
      </c>
      <c r="M2166" s="3">
        <v>66.15</v>
      </c>
      <c r="N2166" s="3">
        <v>129.99</v>
      </c>
      <c r="O2166" s="2" t="s">
        <v>243</v>
      </c>
      <c r="P2166" s="2" t="s">
        <v>236</v>
      </c>
      <c r="Q2166" s="2" t="s">
        <v>237</v>
      </c>
      <c r="R2166" s="2" t="s">
        <v>231</v>
      </c>
      <c r="S2166" s="2" t="s">
        <v>231</v>
      </c>
      <c r="T2166" s="2" t="s">
        <v>231</v>
      </c>
      <c r="U2166" s="2" t="s">
        <v>327</v>
      </c>
      <c r="V2166" s="2" t="s">
        <v>662</v>
      </c>
      <c r="W2166" s="2" t="s">
        <v>5476</v>
      </c>
      <c r="X2166" s="2" t="s">
        <v>363</v>
      </c>
      <c r="Y2166" s="2" t="s">
        <v>3308</v>
      </c>
      <c r="Z2166" s="4">
        <v>87</v>
      </c>
      <c r="AA2166" s="4">
        <f>=ROUNDDOWN(43.5,0)</f>
      </c>
      <c r="AB2166" s="5">
        <v>2</v>
      </c>
      <c r="AC2166" s="2" t="s">
        <v>231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231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/>
      <c r="BD2166" s="8"/>
      <c r="BE2166" s="4"/>
      <c r="BF2166" s="8"/>
      <c r="BG2166" s="7"/>
      <c r="BH2166" s="7"/>
      <c r="BI2166" s="7"/>
      <c r="BJ2166" s="4">
        <v>8</v>
      </c>
      <c r="BK2166" s="8">
        <v>545.43</v>
      </c>
      <c r="BL2166" s="2" t="s">
        <v>4174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9505</v>
      </c>
      <c r="BV2166" s="2" t="s">
        <v>231</v>
      </c>
      <c r="BW2166" s="2" t="s">
        <v>231</v>
      </c>
      <c r="BX2166" s="2" t="s">
        <v>241</v>
      </c>
      <c r="BY2166" s="2" t="s">
        <v>277</v>
      </c>
      <c r="BZ2166" s="2" t="s">
        <v>243</v>
      </c>
      <c r="CA2166" s="2" t="s">
        <v>5422</v>
      </c>
      <c r="CB2166" s="2" t="s">
        <v>9506</v>
      </c>
      <c r="CC2166" s="2" t="s">
        <v>244</v>
      </c>
      <c r="CD2166" s="2" t="s">
        <v>231</v>
      </c>
      <c r="CE2166" s="4"/>
      <c r="CF2166" s="4">
        <v>87</v>
      </c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</row>
    <row r="2167">
      <c r="A2167" s="2" t="s">
        <v>9507</v>
      </c>
      <c r="B2167" s="2" t="s">
        <v>824</v>
      </c>
      <c r="C2167" s="2" t="s">
        <v>825</v>
      </c>
      <c r="D2167" s="2" t="s">
        <v>654</v>
      </c>
      <c r="E2167" s="2" t="s">
        <v>655</v>
      </c>
      <c r="F2167" s="2" t="s">
        <v>9508</v>
      </c>
      <c r="G2167" s="2" t="s">
        <v>9509</v>
      </c>
      <c r="H2167" s="2" t="s">
        <v>9510</v>
      </c>
      <c r="I2167" s="2" t="s">
        <v>984</v>
      </c>
      <c r="J2167" s="2" t="s">
        <v>832</v>
      </c>
      <c r="K2167" s="2" t="s">
        <v>1169</v>
      </c>
      <c r="L2167" s="3">
        <v>30.36</v>
      </c>
      <c r="M2167" s="3">
        <v>31.88</v>
      </c>
      <c r="N2167" s="3">
        <v>69.99</v>
      </c>
      <c r="O2167" s="2" t="s">
        <v>243</v>
      </c>
      <c r="P2167" s="2" t="s">
        <v>341</v>
      </c>
      <c r="Q2167" s="2" t="s">
        <v>237</v>
      </c>
      <c r="R2167" s="2" t="s">
        <v>231</v>
      </c>
      <c r="S2167" s="2" t="s">
        <v>9511</v>
      </c>
      <c r="T2167" s="2" t="s">
        <v>472</v>
      </c>
      <c r="U2167" s="2" t="s">
        <v>298</v>
      </c>
      <c r="V2167" s="2" t="s">
        <v>987</v>
      </c>
      <c r="W2167" s="2" t="s">
        <v>691</v>
      </c>
      <c r="X2167" s="2" t="s">
        <v>273</v>
      </c>
      <c r="Y2167" s="2" t="s">
        <v>274</v>
      </c>
      <c r="Z2167" s="4">
        <v>681</v>
      </c>
      <c r="AA2167" s="4">
        <f>=ROUNDDOWN(340.5,0)</f>
      </c>
      <c r="AB2167" s="5">
        <v>2</v>
      </c>
      <c r="AC2167" s="2" t="s">
        <v>231</v>
      </c>
      <c r="AD2167" s="4"/>
      <c r="AE2167" s="4"/>
      <c r="AF2167" s="6">
        <v>64</v>
      </c>
      <c r="AG2167" s="6"/>
      <c r="AH2167" s="7">
        <v>1</v>
      </c>
      <c r="AI2167" s="4"/>
      <c r="AJ2167" s="4">
        <f>=ROUNDDOWN({0},0)</f>
      </c>
      <c r="AK2167" s="5"/>
      <c r="AL2167" s="2" t="s">
        <v>231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/>
      <c r="BD2167" s="8"/>
      <c r="BE2167" s="4"/>
      <c r="BF2167" s="8"/>
      <c r="BG2167" s="7"/>
      <c r="BH2167" s="7"/>
      <c r="BI2167" s="7"/>
      <c r="BJ2167" s="4">
        <v>14</v>
      </c>
      <c r="BK2167" s="8">
        <v>387.19</v>
      </c>
      <c r="BL2167" s="2" t="s">
        <v>9512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9513</v>
      </c>
      <c r="BV2167" s="2" t="s">
        <v>231</v>
      </c>
      <c r="BW2167" s="2" t="s">
        <v>231</v>
      </c>
      <c r="BX2167" s="2" t="s">
        <v>231</v>
      </c>
      <c r="BY2167" s="2" t="s">
        <v>277</v>
      </c>
      <c r="BZ2167" s="2" t="s">
        <v>243</v>
      </c>
      <c r="CA2167" s="2" t="s">
        <v>284</v>
      </c>
      <c r="CB2167" s="2" t="s">
        <v>551</v>
      </c>
      <c r="CC2167" s="2" t="s">
        <v>244</v>
      </c>
      <c r="CD2167" s="2" t="s">
        <v>231</v>
      </c>
      <c r="CE2167" s="4"/>
      <c r="CF2167" s="4">
        <v>681</v>
      </c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</row>
    <row r="2168">
      <c r="A2168" s="2" t="s">
        <v>9514</v>
      </c>
      <c r="B2168" s="2" t="s">
        <v>1232</v>
      </c>
      <c r="C2168" s="2" t="s">
        <v>1233</v>
      </c>
      <c r="D2168" s="2" t="s">
        <v>1234</v>
      </c>
      <c r="E2168" s="2" t="s">
        <v>1235</v>
      </c>
      <c r="F2168" s="2" t="s">
        <v>9515</v>
      </c>
      <c r="G2168" s="2" t="s">
        <v>9515</v>
      </c>
      <c r="H2168" s="2" t="s">
        <v>9515</v>
      </c>
      <c r="I2168" s="2" t="s">
        <v>9516</v>
      </c>
      <c r="J2168" s="2" t="s">
        <v>7888</v>
      </c>
      <c r="K2168" s="2" t="s">
        <v>253</v>
      </c>
      <c r="L2168" s="3">
        <v>9.51</v>
      </c>
      <c r="M2168" s="3">
        <v>9.99</v>
      </c>
      <c r="N2168" s="3">
        <v>24.99</v>
      </c>
      <c r="O2168" s="2" t="s">
        <v>243</v>
      </c>
      <c r="P2168" s="2" t="s">
        <v>270</v>
      </c>
      <c r="Q2168" s="2" t="s">
        <v>237</v>
      </c>
      <c r="R2168" s="2" t="s">
        <v>231</v>
      </c>
      <c r="S2168" s="2" t="s">
        <v>231</v>
      </c>
      <c r="T2168" s="2" t="s">
        <v>231</v>
      </c>
      <c r="U2168" s="2" t="s">
        <v>327</v>
      </c>
      <c r="V2168" s="2" t="s">
        <v>662</v>
      </c>
      <c r="W2168" s="2" t="s">
        <v>273</v>
      </c>
      <c r="X2168" s="2" t="s">
        <v>231</v>
      </c>
      <c r="Y2168" s="2" t="s">
        <v>3045</v>
      </c>
      <c r="Z2168" s="4">
        <v>109</v>
      </c>
      <c r="AA2168" s="4">
        <f>=ROUNDDOWN(14.3421052631579,0)</f>
      </c>
      <c r="AB2168" s="5">
        <v>7.6</v>
      </c>
      <c r="AC2168" s="2" t="s">
        <v>231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231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231</v>
      </c>
      <c r="AW2168" s="8" t="s">
        <v>231</v>
      </c>
      <c r="AX2168" s="4" t="s">
        <v>231</v>
      </c>
      <c r="AY2168" s="8" t="s">
        <v>231</v>
      </c>
      <c r="AZ2168" s="7" t="s">
        <v>231</v>
      </c>
      <c r="BA2168" s="7" t="s">
        <v>231</v>
      </c>
      <c r="BB2168" s="7"/>
      <c r="BC2168" s="4" t="s">
        <v>231</v>
      </c>
      <c r="BD2168" s="8" t="s">
        <v>231</v>
      </c>
      <c r="BE2168" s="4" t="s">
        <v>231</v>
      </c>
      <c r="BF2168" s="8" t="s">
        <v>231</v>
      </c>
      <c r="BG2168" s="7" t="s">
        <v>231</v>
      </c>
      <c r="BH2168" s="7" t="s">
        <v>231</v>
      </c>
      <c r="BI2168" s="7"/>
      <c r="BJ2168" s="4">
        <v>54</v>
      </c>
      <c r="BK2168" s="8">
        <v>613.56</v>
      </c>
      <c r="BL2168" s="2" t="s">
        <v>2594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9517</v>
      </c>
      <c r="BV2168" s="2" t="s">
        <v>231</v>
      </c>
      <c r="BW2168" s="2" t="s">
        <v>231</v>
      </c>
      <c r="BX2168" s="2" t="s">
        <v>241</v>
      </c>
      <c r="BY2168" s="2" t="s">
        <v>277</v>
      </c>
      <c r="BZ2168" s="2" t="s">
        <v>243</v>
      </c>
      <c r="CA2168" s="2" t="s">
        <v>5422</v>
      </c>
      <c r="CB2168" s="2" t="s">
        <v>231</v>
      </c>
      <c r="CC2168" s="2" t="s">
        <v>244</v>
      </c>
      <c r="CD2168" s="2" t="s">
        <v>231</v>
      </c>
      <c r="CE2168" s="4">
        <v>109</v>
      </c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</row>
    <row r="2169">
      <c r="A2169" s="2" t="s">
        <v>9518</v>
      </c>
      <c r="B2169" s="2" t="s">
        <v>1232</v>
      </c>
      <c r="C2169" s="2" t="s">
        <v>1233</v>
      </c>
      <c r="D2169" s="2" t="s">
        <v>1234</v>
      </c>
      <c r="E2169" s="2" t="s">
        <v>1235</v>
      </c>
      <c r="F2169" s="2" t="s">
        <v>9515</v>
      </c>
      <c r="G2169" s="2" t="s">
        <v>9515</v>
      </c>
      <c r="H2169" s="2" t="s">
        <v>9515</v>
      </c>
      <c r="I2169" s="2" t="s">
        <v>9519</v>
      </c>
      <c r="J2169" s="2" t="s">
        <v>9520</v>
      </c>
      <c r="K2169" s="2" t="s">
        <v>253</v>
      </c>
      <c r="L2169" s="3">
        <v>16.01</v>
      </c>
      <c r="M2169" s="3">
        <v>16.81</v>
      </c>
      <c r="N2169" s="3">
        <v>34.99</v>
      </c>
      <c r="O2169" s="2" t="s">
        <v>243</v>
      </c>
      <c r="P2169" s="2" t="s">
        <v>270</v>
      </c>
      <c r="Q2169" s="2" t="s">
        <v>237</v>
      </c>
      <c r="R2169" s="2" t="s">
        <v>231</v>
      </c>
      <c r="S2169" s="2" t="s">
        <v>231</v>
      </c>
      <c r="T2169" s="2" t="s">
        <v>231</v>
      </c>
      <c r="U2169" s="2" t="s">
        <v>327</v>
      </c>
      <c r="V2169" s="2" t="s">
        <v>662</v>
      </c>
      <c r="W2169" s="2" t="s">
        <v>273</v>
      </c>
      <c r="X2169" s="2" t="s">
        <v>231</v>
      </c>
      <c r="Y2169" s="2" t="s">
        <v>3045</v>
      </c>
      <c r="Z2169" s="4">
        <v>401</v>
      </c>
      <c r="AA2169" s="4">
        <f>=ROUNDDOWN(44.5555555555556,0)</f>
      </c>
      <c r="AB2169" s="5">
        <v>9</v>
      </c>
      <c r="AC2169" s="2" t="s">
        <v>231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231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231</v>
      </c>
      <c r="AW2169" s="8" t="s">
        <v>231</v>
      </c>
      <c r="AX2169" s="4" t="s">
        <v>231</v>
      </c>
      <c r="AY2169" s="8" t="s">
        <v>231</v>
      </c>
      <c r="AZ2169" s="7" t="s">
        <v>231</v>
      </c>
      <c r="BA2169" s="7" t="s">
        <v>231</v>
      </c>
      <c r="BB2169" s="7"/>
      <c r="BC2169" s="4" t="s">
        <v>231</v>
      </c>
      <c r="BD2169" s="8" t="s">
        <v>231</v>
      </c>
      <c r="BE2169" s="4" t="s">
        <v>231</v>
      </c>
      <c r="BF2169" s="8" t="s">
        <v>231</v>
      </c>
      <c r="BG2169" s="7" t="s">
        <v>231</v>
      </c>
      <c r="BH2169" s="7" t="s">
        <v>231</v>
      </c>
      <c r="BI2169" s="7"/>
      <c r="BJ2169" s="4">
        <v>16</v>
      </c>
      <c r="BK2169" s="8">
        <v>294.68</v>
      </c>
      <c r="BL2169" s="2" t="s">
        <v>9521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9522</v>
      </c>
      <c r="BV2169" s="2" t="s">
        <v>231</v>
      </c>
      <c r="BW2169" s="2" t="s">
        <v>231</v>
      </c>
      <c r="BX2169" s="2" t="s">
        <v>241</v>
      </c>
      <c r="BY2169" s="2" t="s">
        <v>277</v>
      </c>
      <c r="BZ2169" s="2" t="s">
        <v>243</v>
      </c>
      <c r="CA2169" s="2" t="s">
        <v>5422</v>
      </c>
      <c r="CB2169" s="2" t="s">
        <v>231</v>
      </c>
      <c r="CC2169" s="2" t="s">
        <v>244</v>
      </c>
      <c r="CD2169" s="2" t="s">
        <v>231</v>
      </c>
      <c r="CE2169" s="4">
        <v>401</v>
      </c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</row>
    <row r="2170">
      <c r="A2170" s="2" t="s">
        <v>9523</v>
      </c>
      <c r="B2170" s="2" t="s">
        <v>1186</v>
      </c>
      <c r="C2170" s="2" t="s">
        <v>288</v>
      </c>
      <c r="D2170" s="2" t="s">
        <v>1462</v>
      </c>
      <c r="E2170" s="2" t="s">
        <v>1463</v>
      </c>
      <c r="F2170" s="2" t="s">
        <v>9515</v>
      </c>
      <c r="G2170" s="2" t="s">
        <v>9524</v>
      </c>
      <c r="H2170" s="2" t="s">
        <v>9525</v>
      </c>
      <c r="I2170" s="2" t="s">
        <v>9526</v>
      </c>
      <c r="J2170" s="2" t="s">
        <v>669</v>
      </c>
      <c r="K2170" s="2" t="s">
        <v>306</v>
      </c>
      <c r="L2170" s="3">
        <v>33.33</v>
      </c>
      <c r="M2170" s="3">
        <v>35</v>
      </c>
      <c r="N2170" s="3">
        <v>69.99</v>
      </c>
      <c r="O2170" s="2" t="s">
        <v>243</v>
      </c>
      <c r="P2170" s="2" t="s">
        <v>341</v>
      </c>
      <c r="Q2170" s="2" t="s">
        <v>237</v>
      </c>
      <c r="R2170" s="2" t="s">
        <v>231</v>
      </c>
      <c r="S2170" s="2" t="s">
        <v>9527</v>
      </c>
      <c r="T2170" s="2" t="s">
        <v>472</v>
      </c>
      <c r="U2170" s="2" t="s">
        <v>835</v>
      </c>
      <c r="V2170" s="2" t="s">
        <v>239</v>
      </c>
      <c r="W2170" s="2" t="s">
        <v>273</v>
      </c>
      <c r="X2170" s="2" t="s">
        <v>971</v>
      </c>
      <c r="Y2170" s="2" t="s">
        <v>3742</v>
      </c>
      <c r="Z2170" s="4">
        <v>399</v>
      </c>
      <c r="AA2170" s="4">
        <f>=ROUNDDOWN(43.3695652173913,0)</f>
      </c>
      <c r="AB2170" s="5">
        <v>9.2</v>
      </c>
      <c r="AC2170" s="2" t="s">
        <v>231</v>
      </c>
      <c r="AD2170" s="4"/>
      <c r="AE2170" s="4"/>
      <c r="AF2170" s="6">
        <v>64</v>
      </c>
      <c r="AG2170" s="6"/>
      <c r="AH2170" s="7">
        <v>1</v>
      </c>
      <c r="AI2170" s="4"/>
      <c r="AJ2170" s="4">
        <f>=ROUNDDOWN({0},0)</f>
      </c>
      <c r="AK2170" s="5"/>
      <c r="AL2170" s="2" t="s">
        <v>231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 t="s">
        <v>231</v>
      </c>
      <c r="BD2170" s="8" t="s">
        <v>231</v>
      </c>
      <c r="BE2170" s="4" t="s">
        <v>231</v>
      </c>
      <c r="BF2170" s="8" t="s">
        <v>231</v>
      </c>
      <c r="BG2170" s="7" t="s">
        <v>231</v>
      </c>
      <c r="BH2170" s="7" t="s">
        <v>231</v>
      </c>
      <c r="BI2170" s="7"/>
      <c r="BJ2170" s="4">
        <v>43</v>
      </c>
      <c r="BK2170" s="8">
        <v>1044.74</v>
      </c>
      <c r="BL2170" s="2" t="s">
        <v>9528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9529</v>
      </c>
      <c r="BV2170" s="2" t="s">
        <v>231</v>
      </c>
      <c r="BW2170" s="2" t="s">
        <v>231</v>
      </c>
      <c r="BX2170" s="2" t="s">
        <v>231</v>
      </c>
      <c r="BY2170" s="2" t="s">
        <v>277</v>
      </c>
      <c r="BZ2170" s="2" t="s">
        <v>243</v>
      </c>
      <c r="CA2170" s="2" t="s">
        <v>9530</v>
      </c>
      <c r="CB2170" s="2" t="s">
        <v>2409</v>
      </c>
      <c r="CC2170" s="2" t="s">
        <v>244</v>
      </c>
      <c r="CD2170" s="2" t="s">
        <v>231</v>
      </c>
      <c r="CE2170" s="4">
        <v>399</v>
      </c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</row>
    <row r="2171">
      <c r="A2171" s="2" t="s">
        <v>9531</v>
      </c>
      <c r="B2171" s="2" t="s">
        <v>824</v>
      </c>
      <c r="C2171" s="2" t="s">
        <v>825</v>
      </c>
      <c r="D2171" s="2" t="s">
        <v>654</v>
      </c>
      <c r="E2171" s="2" t="s">
        <v>890</v>
      </c>
      <c r="F2171" s="2" t="s">
        <v>7807</v>
      </c>
      <c r="G2171" s="2" t="s">
        <v>2057</v>
      </c>
      <c r="H2171" s="2" t="s">
        <v>9532</v>
      </c>
      <c r="I2171" s="2" t="s">
        <v>9533</v>
      </c>
      <c r="J2171" s="2" t="s">
        <v>832</v>
      </c>
      <c r="K2171" s="2" t="s">
        <v>5846</v>
      </c>
      <c r="L2171" s="3">
        <v>30.95</v>
      </c>
      <c r="M2171" s="3">
        <v>32.5</v>
      </c>
      <c r="N2171" s="3">
        <v>64.99</v>
      </c>
      <c r="O2171" s="2" t="s">
        <v>243</v>
      </c>
      <c r="P2171" s="2" t="s">
        <v>270</v>
      </c>
      <c r="Q2171" s="2" t="s">
        <v>237</v>
      </c>
      <c r="R2171" s="2" t="s">
        <v>231</v>
      </c>
      <c r="S2171" s="2" t="s">
        <v>9534</v>
      </c>
      <c r="T2171" s="2" t="s">
        <v>895</v>
      </c>
      <c r="U2171" s="2" t="s">
        <v>791</v>
      </c>
      <c r="V2171" s="2" t="s">
        <v>239</v>
      </c>
      <c r="W2171" s="2" t="s">
        <v>299</v>
      </c>
      <c r="X2171" s="2" t="s">
        <v>1268</v>
      </c>
      <c r="Y2171" s="2" t="s">
        <v>2325</v>
      </c>
      <c r="Z2171" s="4">
        <v>287</v>
      </c>
      <c r="AA2171" s="4">
        <f>=ROUNDDOWN(71.75,0)</f>
      </c>
      <c r="AB2171" s="5">
        <v>4</v>
      </c>
      <c r="AC2171" s="2" t="s">
        <v>231</v>
      </c>
      <c r="AD2171" s="4"/>
      <c r="AE2171" s="4"/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231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231</v>
      </c>
      <c r="AW2171" s="8" t="s">
        <v>231</v>
      </c>
      <c r="AX2171" s="4" t="s">
        <v>231</v>
      </c>
      <c r="AY2171" s="8" t="s">
        <v>231</v>
      </c>
      <c r="AZ2171" s="7" t="s">
        <v>231</v>
      </c>
      <c r="BA2171" s="7" t="s">
        <v>231</v>
      </c>
      <c r="BB2171" s="7" t="s">
        <v>231</v>
      </c>
      <c r="BC2171" s="4" t="s">
        <v>231</v>
      </c>
      <c r="BD2171" s="8" t="s">
        <v>231</v>
      </c>
      <c r="BE2171" s="4" t="s">
        <v>231</v>
      </c>
      <c r="BF2171" s="8" t="s">
        <v>231</v>
      </c>
      <c r="BG2171" s="7" t="s">
        <v>231</v>
      </c>
      <c r="BH2171" s="7" t="s">
        <v>231</v>
      </c>
      <c r="BI2171" s="7"/>
      <c r="BJ2171" s="4">
        <v>4</v>
      </c>
      <c r="BK2171" s="8">
        <v>137.46</v>
      </c>
      <c r="BL2171" s="2" t="s">
        <v>9535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9536</v>
      </c>
      <c r="BV2171" s="2" t="s">
        <v>231</v>
      </c>
      <c r="BW2171" s="2" t="s">
        <v>231</v>
      </c>
      <c r="BX2171" s="2" t="s">
        <v>241</v>
      </c>
      <c r="BY2171" s="2" t="s">
        <v>277</v>
      </c>
      <c r="BZ2171" s="2" t="s">
        <v>243</v>
      </c>
      <c r="CA2171" s="2" t="s">
        <v>9537</v>
      </c>
      <c r="CB2171" s="2" t="s">
        <v>640</v>
      </c>
      <c r="CC2171" s="2" t="s">
        <v>244</v>
      </c>
      <c r="CD2171" s="2" t="s">
        <v>231</v>
      </c>
      <c r="CE2171" s="4">
        <v>127</v>
      </c>
      <c r="CF2171" s="4"/>
      <c r="CG2171" s="4"/>
      <c r="CH2171" s="4"/>
      <c r="CI2171" s="4"/>
      <c r="CJ2171" s="4"/>
      <c r="CK2171" s="4"/>
      <c r="CL2171" s="4">
        <v>160</v>
      </c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/>
    </row>
    <row r="2172">
      <c r="A2172" s="2" t="s">
        <v>9538</v>
      </c>
      <c r="B2172" s="2" t="s">
        <v>824</v>
      </c>
      <c r="C2172" s="2" t="s">
        <v>825</v>
      </c>
      <c r="D2172" s="2" t="s">
        <v>826</v>
      </c>
      <c r="E2172" s="2" t="s">
        <v>1060</v>
      </c>
      <c r="F2172" s="2" t="s">
        <v>7807</v>
      </c>
      <c r="G2172" s="2" t="s">
        <v>2057</v>
      </c>
      <c r="H2172" s="2" t="s">
        <v>9532</v>
      </c>
      <c r="I2172" s="2" t="s">
        <v>9539</v>
      </c>
      <c r="J2172" s="2" t="s">
        <v>832</v>
      </c>
      <c r="K2172" s="2" t="s">
        <v>5846</v>
      </c>
      <c r="L2172" s="3">
        <v>23.8</v>
      </c>
      <c r="M2172" s="3">
        <v>24.99</v>
      </c>
      <c r="N2172" s="3">
        <v>49.99</v>
      </c>
      <c r="O2172" s="2" t="s">
        <v>243</v>
      </c>
      <c r="P2172" s="2" t="s">
        <v>270</v>
      </c>
      <c r="Q2172" s="2" t="s">
        <v>237</v>
      </c>
      <c r="R2172" s="2" t="s">
        <v>231</v>
      </c>
      <c r="S2172" s="2" t="s">
        <v>9534</v>
      </c>
      <c r="T2172" s="2" t="s">
        <v>895</v>
      </c>
      <c r="U2172" s="2" t="s">
        <v>791</v>
      </c>
      <c r="V2172" s="2" t="s">
        <v>239</v>
      </c>
      <c r="W2172" s="2" t="s">
        <v>299</v>
      </c>
      <c r="X2172" s="2" t="s">
        <v>1268</v>
      </c>
      <c r="Y2172" s="2" t="s">
        <v>2325</v>
      </c>
      <c r="Z2172" s="4">
        <v>132</v>
      </c>
      <c r="AA2172" s="4">
        <f>=ROUNDDOWN(66,0)</f>
      </c>
      <c r="AB2172" s="5">
        <v>2</v>
      </c>
      <c r="AC2172" s="2" t="s">
        <v>231</v>
      </c>
      <c r="AD2172" s="4"/>
      <c r="AE2172" s="4"/>
      <c r="AF2172" s="6">
        <v>64</v>
      </c>
      <c r="AG2172" s="6"/>
      <c r="AH2172" s="7">
        <v>1</v>
      </c>
      <c r="AI2172" s="4"/>
      <c r="AJ2172" s="4">
        <f>=ROUNDDOWN({0},0)</f>
      </c>
      <c r="AK2172" s="5"/>
      <c r="AL2172" s="2" t="s">
        <v>231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231</v>
      </c>
      <c r="AW2172" s="8" t="s">
        <v>231</v>
      </c>
      <c r="AX2172" s="4" t="s">
        <v>231</v>
      </c>
      <c r="AY2172" s="8" t="s">
        <v>231</v>
      </c>
      <c r="AZ2172" s="7" t="s">
        <v>231</v>
      </c>
      <c r="BA2172" s="7" t="s">
        <v>231</v>
      </c>
      <c r="BB2172" s="7" t="s">
        <v>231</v>
      </c>
      <c r="BC2172" s="4" t="s">
        <v>231</v>
      </c>
      <c r="BD2172" s="8" t="s">
        <v>231</v>
      </c>
      <c r="BE2172" s="4" t="s">
        <v>231</v>
      </c>
      <c r="BF2172" s="8" t="s">
        <v>231</v>
      </c>
      <c r="BG2172" s="7" t="s">
        <v>231</v>
      </c>
      <c r="BH2172" s="7" t="s">
        <v>231</v>
      </c>
      <c r="BI2172" s="7"/>
      <c r="BJ2172" s="4">
        <v>2</v>
      </c>
      <c r="BK2172" s="8">
        <v>53.61</v>
      </c>
      <c r="BL2172" s="2" t="s">
        <v>3890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9540</v>
      </c>
      <c r="BV2172" s="2" t="s">
        <v>231</v>
      </c>
      <c r="BW2172" s="2" t="s">
        <v>231</v>
      </c>
      <c r="BX2172" s="2" t="s">
        <v>241</v>
      </c>
      <c r="BY2172" s="2" t="s">
        <v>277</v>
      </c>
      <c r="BZ2172" s="2" t="s">
        <v>243</v>
      </c>
      <c r="CA2172" s="2" t="s">
        <v>9537</v>
      </c>
      <c r="CB2172" s="2" t="s">
        <v>4982</v>
      </c>
      <c r="CC2172" s="2" t="s">
        <v>244</v>
      </c>
      <c r="CD2172" s="2" t="s">
        <v>231</v>
      </c>
      <c r="CE2172" s="4">
        <v>52</v>
      </c>
      <c r="CF2172" s="4"/>
      <c r="CG2172" s="4"/>
      <c r="CH2172" s="4"/>
      <c r="CI2172" s="4"/>
      <c r="CJ2172" s="4"/>
      <c r="CK2172" s="4"/>
      <c r="CL2172" s="4">
        <v>80</v>
      </c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</row>
    <row r="2173">
      <c r="A2173" s="2" t="s">
        <v>9541</v>
      </c>
      <c r="B2173" s="2" t="s">
        <v>824</v>
      </c>
      <c r="C2173" s="2" t="s">
        <v>825</v>
      </c>
      <c r="D2173" s="2" t="s">
        <v>654</v>
      </c>
      <c r="E2173" s="2" t="s">
        <v>890</v>
      </c>
      <c r="F2173" s="2" t="s">
        <v>7807</v>
      </c>
      <c r="G2173" s="2" t="s">
        <v>2057</v>
      </c>
      <c r="H2173" s="2" t="s">
        <v>9532</v>
      </c>
      <c r="I2173" s="2" t="s">
        <v>9533</v>
      </c>
      <c r="J2173" s="2" t="s">
        <v>669</v>
      </c>
      <c r="K2173" s="2" t="s">
        <v>5846</v>
      </c>
      <c r="L2173" s="3">
        <v>45.23</v>
      </c>
      <c r="M2173" s="3">
        <v>47.49</v>
      </c>
      <c r="N2173" s="3">
        <v>94.99</v>
      </c>
      <c r="O2173" s="2" t="s">
        <v>243</v>
      </c>
      <c r="P2173" s="2" t="s">
        <v>270</v>
      </c>
      <c r="Q2173" s="2" t="s">
        <v>237</v>
      </c>
      <c r="R2173" s="2" t="s">
        <v>231</v>
      </c>
      <c r="S2173" s="2" t="s">
        <v>9534</v>
      </c>
      <c r="T2173" s="2" t="s">
        <v>895</v>
      </c>
      <c r="U2173" s="2" t="s">
        <v>835</v>
      </c>
      <c r="V2173" s="2" t="s">
        <v>239</v>
      </c>
      <c r="W2173" s="2" t="s">
        <v>299</v>
      </c>
      <c r="X2173" s="2" t="s">
        <v>1268</v>
      </c>
      <c r="Y2173" s="2" t="s">
        <v>2325</v>
      </c>
      <c r="Z2173" s="4">
        <v>294</v>
      </c>
      <c r="AA2173" s="4">
        <f>=ROUNDDOWN(36.75,0)</f>
      </c>
      <c r="AB2173" s="5">
        <v>8</v>
      </c>
      <c r="AC2173" s="2" t="s">
        <v>231</v>
      </c>
      <c r="AD2173" s="4"/>
      <c r="AE2173" s="4"/>
      <c r="AF2173" s="6">
        <v>64</v>
      </c>
      <c r="AG2173" s="6"/>
      <c r="AH2173" s="7">
        <v>1</v>
      </c>
      <c r="AI2173" s="4"/>
      <c r="AJ2173" s="4">
        <f>=ROUNDDOWN({0},0)</f>
      </c>
      <c r="AK2173" s="5"/>
      <c r="AL2173" s="2" t="s">
        <v>231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231</v>
      </c>
      <c r="AW2173" s="8" t="s">
        <v>231</v>
      </c>
      <c r="AX2173" s="4" t="s">
        <v>231</v>
      </c>
      <c r="AY2173" s="8" t="s">
        <v>231</v>
      </c>
      <c r="AZ2173" s="7" t="s">
        <v>231</v>
      </c>
      <c r="BA2173" s="7" t="s">
        <v>231</v>
      </c>
      <c r="BB2173" s="7"/>
      <c r="BC2173" s="4" t="s">
        <v>231</v>
      </c>
      <c r="BD2173" s="8" t="s">
        <v>231</v>
      </c>
      <c r="BE2173" s="4" t="s">
        <v>231</v>
      </c>
      <c r="BF2173" s="8" t="s">
        <v>231</v>
      </c>
      <c r="BG2173" s="7" t="s">
        <v>231</v>
      </c>
      <c r="BH2173" s="7" t="s">
        <v>231</v>
      </c>
      <c r="BI2173" s="7"/>
      <c r="BJ2173" s="4">
        <v>19</v>
      </c>
      <c r="BK2173" s="8">
        <v>979.37</v>
      </c>
      <c r="BL2173" s="2" t="s">
        <v>3839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9542</v>
      </c>
      <c r="BV2173" s="2" t="s">
        <v>231</v>
      </c>
      <c r="BW2173" s="2" t="s">
        <v>231</v>
      </c>
      <c r="BX2173" s="2" t="s">
        <v>241</v>
      </c>
      <c r="BY2173" s="2" t="s">
        <v>277</v>
      </c>
      <c r="BZ2173" s="2" t="s">
        <v>243</v>
      </c>
      <c r="CA2173" s="2" t="s">
        <v>9537</v>
      </c>
      <c r="CB2173" s="2" t="s">
        <v>387</v>
      </c>
      <c r="CC2173" s="2" t="s">
        <v>244</v>
      </c>
      <c r="CD2173" s="2" t="s">
        <v>231</v>
      </c>
      <c r="CE2173" s="4">
        <v>64</v>
      </c>
      <c r="CF2173" s="4"/>
      <c r="CG2173" s="4"/>
      <c r="CH2173" s="4"/>
      <c r="CI2173" s="4"/>
      <c r="CJ2173" s="4"/>
      <c r="CK2173" s="4"/>
      <c r="CL2173" s="4">
        <v>230</v>
      </c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</row>
    <row r="2174">
      <c r="A2174" s="2" t="s">
        <v>9543</v>
      </c>
      <c r="B2174" s="2" t="s">
        <v>824</v>
      </c>
      <c r="C2174" s="2" t="s">
        <v>825</v>
      </c>
      <c r="D2174" s="2" t="s">
        <v>826</v>
      </c>
      <c r="E2174" s="2" t="s">
        <v>1060</v>
      </c>
      <c r="F2174" s="2" t="s">
        <v>7807</v>
      </c>
      <c r="G2174" s="2" t="s">
        <v>2057</v>
      </c>
      <c r="H2174" s="2" t="s">
        <v>9532</v>
      </c>
      <c r="I2174" s="2" t="s">
        <v>9539</v>
      </c>
      <c r="J2174" s="2" t="s">
        <v>832</v>
      </c>
      <c r="K2174" s="2" t="s">
        <v>8713</v>
      </c>
      <c r="L2174" s="3">
        <v>23.8</v>
      </c>
      <c r="M2174" s="3">
        <v>24.99</v>
      </c>
      <c r="N2174" s="3">
        <v>49.99</v>
      </c>
      <c r="O2174" s="2" t="s">
        <v>243</v>
      </c>
      <c r="P2174" s="2" t="s">
        <v>270</v>
      </c>
      <c r="Q2174" s="2" t="s">
        <v>237</v>
      </c>
      <c r="R2174" s="2" t="s">
        <v>231</v>
      </c>
      <c r="S2174" s="2" t="s">
        <v>9544</v>
      </c>
      <c r="T2174" s="2" t="s">
        <v>895</v>
      </c>
      <c r="U2174" s="2" t="s">
        <v>791</v>
      </c>
      <c r="V2174" s="2" t="s">
        <v>239</v>
      </c>
      <c r="W2174" s="2" t="s">
        <v>299</v>
      </c>
      <c r="X2174" s="2" t="s">
        <v>1268</v>
      </c>
      <c r="Y2174" s="2" t="s">
        <v>2325</v>
      </c>
      <c r="Z2174" s="4">
        <v>135</v>
      </c>
      <c r="AA2174" s="4">
        <f>=ROUNDDOWN(67.5,0)</f>
      </c>
      <c r="AB2174" s="5">
        <v>2</v>
      </c>
      <c r="AC2174" s="2" t="s">
        <v>231</v>
      </c>
      <c r="AD2174" s="4"/>
      <c r="AE2174" s="4"/>
      <c r="AF2174" s="6">
        <v>64</v>
      </c>
      <c r="AG2174" s="6"/>
      <c r="AH2174" s="7">
        <v>1</v>
      </c>
      <c r="AI2174" s="4"/>
      <c r="AJ2174" s="4">
        <f>=ROUNDDOWN({0},0)</f>
      </c>
      <c r="AK2174" s="5"/>
      <c r="AL2174" s="2" t="s">
        <v>231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231</v>
      </c>
      <c r="AW2174" s="8" t="s">
        <v>231</v>
      </c>
      <c r="AX2174" s="4" t="s">
        <v>231</v>
      </c>
      <c r="AY2174" s="8" t="s">
        <v>231</v>
      </c>
      <c r="AZ2174" s="7" t="s">
        <v>231</v>
      </c>
      <c r="BA2174" s="7" t="s">
        <v>231</v>
      </c>
      <c r="BB2174" s="7"/>
      <c r="BC2174" s="4" t="s">
        <v>231</v>
      </c>
      <c r="BD2174" s="8" t="s">
        <v>231</v>
      </c>
      <c r="BE2174" s="4" t="s">
        <v>231</v>
      </c>
      <c r="BF2174" s="8" t="s">
        <v>231</v>
      </c>
      <c r="BG2174" s="7" t="s">
        <v>231</v>
      </c>
      <c r="BH2174" s="7" t="s">
        <v>231</v>
      </c>
      <c r="BI2174" s="7"/>
      <c r="BJ2174" s="4">
        <v>2</v>
      </c>
      <c r="BK2174" s="8">
        <v>53.98</v>
      </c>
      <c r="BL2174" s="2" t="s">
        <v>4558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9545</v>
      </c>
      <c r="BV2174" s="2" t="s">
        <v>231</v>
      </c>
      <c r="BW2174" s="2" t="s">
        <v>231</v>
      </c>
      <c r="BX2174" s="2" t="s">
        <v>241</v>
      </c>
      <c r="BY2174" s="2" t="s">
        <v>277</v>
      </c>
      <c r="BZ2174" s="2" t="s">
        <v>243</v>
      </c>
      <c r="CA2174" s="2" t="s">
        <v>9537</v>
      </c>
      <c r="CB2174" s="2" t="s">
        <v>231</v>
      </c>
      <c r="CC2174" s="2" t="s">
        <v>244</v>
      </c>
      <c r="CD2174" s="2" t="s">
        <v>231</v>
      </c>
      <c r="CE2174" s="4">
        <v>135</v>
      </c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</row>
    <row r="2175">
      <c r="A2175" s="2" t="s">
        <v>9546</v>
      </c>
      <c r="B2175" s="2" t="s">
        <v>824</v>
      </c>
      <c r="C2175" s="2" t="s">
        <v>825</v>
      </c>
      <c r="D2175" s="2" t="s">
        <v>654</v>
      </c>
      <c r="E2175" s="2" t="s">
        <v>890</v>
      </c>
      <c r="F2175" s="2" t="s">
        <v>7807</v>
      </c>
      <c r="G2175" s="2" t="s">
        <v>2057</v>
      </c>
      <c r="H2175" s="2" t="s">
        <v>9532</v>
      </c>
      <c r="I2175" s="2" t="s">
        <v>9533</v>
      </c>
      <c r="J2175" s="2" t="s">
        <v>658</v>
      </c>
      <c r="K2175" s="2" t="s">
        <v>8713</v>
      </c>
      <c r="L2175" s="3">
        <v>40.47</v>
      </c>
      <c r="M2175" s="3">
        <v>42.49</v>
      </c>
      <c r="N2175" s="3">
        <v>84.99</v>
      </c>
      <c r="O2175" s="2" t="s">
        <v>243</v>
      </c>
      <c r="P2175" s="2" t="s">
        <v>270</v>
      </c>
      <c r="Q2175" s="2" t="s">
        <v>237</v>
      </c>
      <c r="R2175" s="2" t="s">
        <v>231</v>
      </c>
      <c r="S2175" s="2" t="s">
        <v>9544</v>
      </c>
      <c r="T2175" s="2" t="s">
        <v>895</v>
      </c>
      <c r="U2175" s="2" t="s">
        <v>835</v>
      </c>
      <c r="V2175" s="2" t="s">
        <v>239</v>
      </c>
      <c r="W2175" s="2" t="s">
        <v>299</v>
      </c>
      <c r="X2175" s="2" t="s">
        <v>1268</v>
      </c>
      <c r="Y2175" s="2" t="s">
        <v>2325</v>
      </c>
      <c r="Z2175" s="4">
        <v>441</v>
      </c>
      <c r="AA2175" s="4">
        <f>=ROUNDDOWN(55.125,0)</f>
      </c>
      <c r="AB2175" s="5">
        <v>8</v>
      </c>
      <c r="AC2175" s="2" t="s">
        <v>231</v>
      </c>
      <c r="AD2175" s="4"/>
      <c r="AE2175" s="4"/>
      <c r="AF2175" s="6">
        <v>64</v>
      </c>
      <c r="AG2175" s="6"/>
      <c r="AH2175" s="7">
        <v>1</v>
      </c>
      <c r="AI2175" s="4"/>
      <c r="AJ2175" s="4">
        <f>=ROUNDDOWN({0},0)</f>
      </c>
      <c r="AK2175" s="5"/>
      <c r="AL2175" s="2" t="s">
        <v>231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231</v>
      </c>
      <c r="AW2175" s="8" t="s">
        <v>231</v>
      </c>
      <c r="AX2175" s="4" t="s">
        <v>231</v>
      </c>
      <c r="AY2175" s="8" t="s">
        <v>231</v>
      </c>
      <c r="AZ2175" s="7" t="s">
        <v>231</v>
      </c>
      <c r="BA2175" s="7" t="s">
        <v>231</v>
      </c>
      <c r="BB2175" s="7" t="s">
        <v>231</v>
      </c>
      <c r="BC2175" s="4" t="s">
        <v>231</v>
      </c>
      <c r="BD2175" s="8" t="s">
        <v>231</v>
      </c>
      <c r="BE2175" s="4" t="s">
        <v>231</v>
      </c>
      <c r="BF2175" s="8" t="s">
        <v>231</v>
      </c>
      <c r="BG2175" s="7" t="s">
        <v>231</v>
      </c>
      <c r="BH2175" s="7" t="s">
        <v>231</v>
      </c>
      <c r="BI2175" s="7"/>
      <c r="BJ2175" s="4">
        <v>7</v>
      </c>
      <c r="BK2175" s="8">
        <v>290.22</v>
      </c>
      <c r="BL2175" s="2" t="s">
        <v>9547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9548</v>
      </c>
      <c r="BV2175" s="2" t="s">
        <v>231</v>
      </c>
      <c r="BW2175" s="2" t="s">
        <v>231</v>
      </c>
      <c r="BX2175" s="2" t="s">
        <v>241</v>
      </c>
      <c r="BY2175" s="2" t="s">
        <v>277</v>
      </c>
      <c r="BZ2175" s="2" t="s">
        <v>243</v>
      </c>
      <c r="CA2175" s="2" t="s">
        <v>9537</v>
      </c>
      <c r="CB2175" s="2" t="s">
        <v>948</v>
      </c>
      <c r="CC2175" s="2" t="s">
        <v>244</v>
      </c>
      <c r="CD2175" s="2" t="s">
        <v>231</v>
      </c>
      <c r="CE2175" s="4">
        <v>441</v>
      </c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</row>
    <row r="2176">
      <c r="A2176" s="2" t="s">
        <v>9549</v>
      </c>
      <c r="B2176" s="2" t="s">
        <v>824</v>
      </c>
      <c r="C2176" s="2" t="s">
        <v>825</v>
      </c>
      <c r="D2176" s="2" t="s">
        <v>826</v>
      </c>
      <c r="E2176" s="2" t="s">
        <v>1060</v>
      </c>
      <c r="F2176" s="2" t="s">
        <v>7807</v>
      </c>
      <c r="G2176" s="2" t="s">
        <v>2057</v>
      </c>
      <c r="H2176" s="2" t="s">
        <v>9532</v>
      </c>
      <c r="I2176" s="2" t="s">
        <v>9539</v>
      </c>
      <c r="J2176" s="2" t="s">
        <v>658</v>
      </c>
      <c r="K2176" s="2" t="s">
        <v>8713</v>
      </c>
      <c r="L2176" s="3">
        <v>33.33</v>
      </c>
      <c r="M2176" s="3">
        <v>35</v>
      </c>
      <c r="N2176" s="3">
        <v>69.99</v>
      </c>
      <c r="O2176" s="2" t="s">
        <v>243</v>
      </c>
      <c r="P2176" s="2" t="s">
        <v>270</v>
      </c>
      <c r="Q2176" s="2" t="s">
        <v>237</v>
      </c>
      <c r="R2176" s="2" t="s">
        <v>231</v>
      </c>
      <c r="S2176" s="2" t="s">
        <v>9544</v>
      </c>
      <c r="T2176" s="2" t="s">
        <v>895</v>
      </c>
      <c r="U2176" s="2" t="s">
        <v>835</v>
      </c>
      <c r="V2176" s="2" t="s">
        <v>239</v>
      </c>
      <c r="W2176" s="2" t="s">
        <v>299</v>
      </c>
      <c r="X2176" s="2" t="s">
        <v>1268</v>
      </c>
      <c r="Y2176" s="2" t="s">
        <v>2325</v>
      </c>
      <c r="Z2176" s="4">
        <v>199</v>
      </c>
      <c r="AA2176" s="4">
        <f>=ROUNDDOWN(39.8,0)</f>
      </c>
      <c r="AB2176" s="5">
        <v>5</v>
      </c>
      <c r="AC2176" s="2" t="s">
        <v>231</v>
      </c>
      <c r="AD2176" s="4"/>
      <c r="AE2176" s="4"/>
      <c r="AF2176" s="6">
        <v>64</v>
      </c>
      <c r="AG2176" s="6"/>
      <c r="AH2176" s="7">
        <v>1</v>
      </c>
      <c r="AI2176" s="4"/>
      <c r="AJ2176" s="4">
        <f>=ROUNDDOWN({0},0)</f>
      </c>
      <c r="AK2176" s="5"/>
      <c r="AL2176" s="2" t="s">
        <v>231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231</v>
      </c>
      <c r="AW2176" s="8" t="s">
        <v>231</v>
      </c>
      <c r="AX2176" s="4" t="s">
        <v>231</v>
      </c>
      <c r="AY2176" s="8" t="s">
        <v>231</v>
      </c>
      <c r="AZ2176" s="7" t="s">
        <v>231</v>
      </c>
      <c r="BA2176" s="7" t="s">
        <v>231</v>
      </c>
      <c r="BB2176" s="7" t="s">
        <v>231</v>
      </c>
      <c r="BC2176" s="4" t="s">
        <v>231</v>
      </c>
      <c r="BD2176" s="8" t="s">
        <v>231</v>
      </c>
      <c r="BE2176" s="4" t="s">
        <v>231</v>
      </c>
      <c r="BF2176" s="8" t="s">
        <v>231</v>
      </c>
      <c r="BG2176" s="7" t="s">
        <v>231</v>
      </c>
      <c r="BH2176" s="7" t="s">
        <v>231</v>
      </c>
      <c r="BI2176" s="7"/>
      <c r="BJ2176" s="4">
        <v>8</v>
      </c>
      <c r="BK2176" s="8">
        <v>302.93</v>
      </c>
      <c r="BL2176" s="2" t="s">
        <v>3767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9550</v>
      </c>
      <c r="BV2176" s="2" t="s">
        <v>231</v>
      </c>
      <c r="BW2176" s="2" t="s">
        <v>231</v>
      </c>
      <c r="BX2176" s="2" t="s">
        <v>241</v>
      </c>
      <c r="BY2176" s="2" t="s">
        <v>277</v>
      </c>
      <c r="BZ2176" s="2" t="s">
        <v>243</v>
      </c>
      <c r="CA2176" s="2" t="s">
        <v>9537</v>
      </c>
      <c r="CB2176" s="2" t="s">
        <v>5872</v>
      </c>
      <c r="CC2176" s="2" t="s">
        <v>244</v>
      </c>
      <c r="CD2176" s="2" t="s">
        <v>231</v>
      </c>
      <c r="CE2176" s="4">
        <v>199</v>
      </c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</row>
    <row r="2177">
      <c r="A2177" s="2" t="s">
        <v>9551</v>
      </c>
      <c r="B2177" s="2" t="s">
        <v>847</v>
      </c>
      <c r="C2177" s="2" t="s">
        <v>867</v>
      </c>
      <c r="D2177" s="2" t="s">
        <v>906</v>
      </c>
      <c r="E2177" s="2" t="s">
        <v>907</v>
      </c>
      <c r="F2177" s="2" t="s">
        <v>7807</v>
      </c>
      <c r="G2177" s="2" t="s">
        <v>7807</v>
      </c>
      <c r="H2177" s="2" t="s">
        <v>7807</v>
      </c>
      <c r="I2177" s="2" t="s">
        <v>9552</v>
      </c>
      <c r="J2177" s="2" t="s">
        <v>807</v>
      </c>
      <c r="K2177" s="2" t="s">
        <v>234</v>
      </c>
      <c r="L2177" s="3">
        <v>95.23</v>
      </c>
      <c r="M2177" s="3">
        <v>99.99</v>
      </c>
      <c r="N2177" s="3">
        <v>199.99</v>
      </c>
      <c r="O2177" s="2" t="s">
        <v>243</v>
      </c>
      <c r="P2177" s="2" t="s">
        <v>236</v>
      </c>
      <c r="Q2177" s="2" t="s">
        <v>237</v>
      </c>
      <c r="R2177" s="2" t="s">
        <v>231</v>
      </c>
      <c r="S2177" s="2" t="s">
        <v>231</v>
      </c>
      <c r="T2177" s="2" t="s">
        <v>231</v>
      </c>
      <c r="U2177" s="2" t="s">
        <v>327</v>
      </c>
      <c r="V2177" s="2" t="s">
        <v>662</v>
      </c>
      <c r="W2177" s="2" t="s">
        <v>363</v>
      </c>
      <c r="X2177" s="2" t="s">
        <v>5476</v>
      </c>
      <c r="Y2177" s="2" t="s">
        <v>7240</v>
      </c>
      <c r="Z2177" s="4">
        <v>99</v>
      </c>
      <c r="AA2177" s="4">
        <f>=ROUNDDOWN(495,0)</f>
      </c>
      <c r="AB2177" s="5">
        <v>0.2</v>
      </c>
      <c r="AC2177" s="2" t="s">
        <v>231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231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231</v>
      </c>
      <c r="BD2177" s="8" t="s">
        <v>231</v>
      </c>
      <c r="BE2177" s="4" t="s">
        <v>231</v>
      </c>
      <c r="BF2177" s="8" t="s">
        <v>231</v>
      </c>
      <c r="BG2177" s="7" t="s">
        <v>231</v>
      </c>
      <c r="BH2177" s="7" t="s">
        <v>231</v>
      </c>
      <c r="BI2177" s="7"/>
      <c r="BJ2177" s="4">
        <v>1</v>
      </c>
      <c r="BK2177" s="8">
        <v>109.51</v>
      </c>
      <c r="BL2177" s="2" t="s">
        <v>1020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9553</v>
      </c>
      <c r="BV2177" s="2" t="s">
        <v>231</v>
      </c>
      <c r="BW2177" s="2" t="s">
        <v>231</v>
      </c>
      <c r="BX2177" s="2" t="s">
        <v>241</v>
      </c>
      <c r="BY2177" s="2" t="s">
        <v>277</v>
      </c>
      <c r="BZ2177" s="2" t="s">
        <v>243</v>
      </c>
      <c r="CA2177" s="2" t="s">
        <v>8744</v>
      </c>
      <c r="CB2177" s="2" t="s">
        <v>231</v>
      </c>
      <c r="CC2177" s="2" t="s">
        <v>244</v>
      </c>
      <c r="CD2177" s="2" t="s">
        <v>231</v>
      </c>
      <c r="CE2177" s="4"/>
      <c r="CF2177" s="4">
        <v>99</v>
      </c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</row>
    <row r="2178">
      <c r="A2178" s="2" t="s">
        <v>9554</v>
      </c>
      <c r="B2178" s="2" t="s">
        <v>847</v>
      </c>
      <c r="C2178" s="2" t="s">
        <v>867</v>
      </c>
      <c r="D2178" s="2" t="s">
        <v>906</v>
      </c>
      <c r="E2178" s="2" t="s">
        <v>907</v>
      </c>
      <c r="F2178" s="2" t="s">
        <v>7807</v>
      </c>
      <c r="G2178" s="2" t="s">
        <v>7807</v>
      </c>
      <c r="H2178" s="2" t="s">
        <v>7807</v>
      </c>
      <c r="I2178" s="2" t="s">
        <v>9552</v>
      </c>
      <c r="J2178" s="2" t="s">
        <v>807</v>
      </c>
      <c r="K2178" s="2" t="s">
        <v>1496</v>
      </c>
      <c r="L2178" s="3">
        <v>95.23</v>
      </c>
      <c r="M2178" s="3">
        <v>99.99</v>
      </c>
      <c r="N2178" s="3">
        <v>199.99</v>
      </c>
      <c r="O2178" s="2" t="s">
        <v>243</v>
      </c>
      <c r="P2178" s="2" t="s">
        <v>236</v>
      </c>
      <c r="Q2178" s="2" t="s">
        <v>237</v>
      </c>
      <c r="R2178" s="2" t="s">
        <v>231</v>
      </c>
      <c r="S2178" s="2" t="s">
        <v>231</v>
      </c>
      <c r="T2178" s="2" t="s">
        <v>231</v>
      </c>
      <c r="U2178" s="2" t="s">
        <v>327</v>
      </c>
      <c r="V2178" s="2" t="s">
        <v>662</v>
      </c>
      <c r="W2178" s="2" t="s">
        <v>363</v>
      </c>
      <c r="X2178" s="2" t="s">
        <v>5476</v>
      </c>
      <c r="Y2178" s="2" t="s">
        <v>7240</v>
      </c>
      <c r="Z2178" s="4">
        <v>97</v>
      </c>
      <c r="AA2178" s="4">
        <f>=ROUNDDOWN({0},0)</f>
      </c>
      <c r="AB2178" s="5"/>
      <c r="AC2178" s="2" t="s">
        <v>231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231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231</v>
      </c>
      <c r="BD2178" s="8" t="s">
        <v>231</v>
      </c>
      <c r="BE2178" s="4" t="s">
        <v>231</v>
      </c>
      <c r="BF2178" s="8" t="s">
        <v>231</v>
      </c>
      <c r="BG2178" s="7" t="s">
        <v>231</v>
      </c>
      <c r="BH2178" s="7" t="s">
        <v>231</v>
      </c>
      <c r="BI2178" s="7"/>
      <c r="BJ2178" s="4">
        <v>2</v>
      </c>
      <c r="BK2178" s="8">
        <v>209.5</v>
      </c>
      <c r="BL2178" s="2" t="s">
        <v>863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9555</v>
      </c>
      <c r="BV2178" s="2" t="s">
        <v>231</v>
      </c>
      <c r="BW2178" s="2" t="s">
        <v>231</v>
      </c>
      <c r="BX2178" s="2" t="s">
        <v>241</v>
      </c>
      <c r="BY2178" s="2" t="s">
        <v>277</v>
      </c>
      <c r="BZ2178" s="2" t="s">
        <v>243</v>
      </c>
      <c r="CA2178" s="2" t="s">
        <v>8744</v>
      </c>
      <c r="CB2178" s="2" t="s">
        <v>231</v>
      </c>
      <c r="CC2178" s="2" t="s">
        <v>244</v>
      </c>
      <c r="CD2178" s="2" t="s">
        <v>231</v>
      </c>
      <c r="CE2178" s="4"/>
      <c r="CF2178" s="4">
        <v>97</v>
      </c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</row>
    <row r="2179">
      <c r="A2179" s="2" t="s">
        <v>9556</v>
      </c>
      <c r="B2179" s="2" t="s">
        <v>824</v>
      </c>
      <c r="C2179" s="2" t="s">
        <v>825</v>
      </c>
      <c r="D2179" s="2" t="s">
        <v>826</v>
      </c>
      <c r="E2179" s="2" t="s">
        <v>1060</v>
      </c>
      <c r="F2179" s="2" t="s">
        <v>7807</v>
      </c>
      <c r="G2179" s="2" t="s">
        <v>2057</v>
      </c>
      <c r="H2179" s="2" t="s">
        <v>9532</v>
      </c>
      <c r="I2179" s="2" t="s">
        <v>9539</v>
      </c>
      <c r="J2179" s="2" t="s">
        <v>832</v>
      </c>
      <c r="K2179" s="2" t="s">
        <v>3713</v>
      </c>
      <c r="L2179" s="3">
        <v>23.8</v>
      </c>
      <c r="M2179" s="3">
        <v>24.99</v>
      </c>
      <c r="N2179" s="3">
        <v>49.99</v>
      </c>
      <c r="O2179" s="2" t="s">
        <v>243</v>
      </c>
      <c r="P2179" s="2" t="s">
        <v>270</v>
      </c>
      <c r="Q2179" s="2" t="s">
        <v>237</v>
      </c>
      <c r="R2179" s="2" t="s">
        <v>231</v>
      </c>
      <c r="S2179" s="2" t="s">
        <v>9557</v>
      </c>
      <c r="T2179" s="2" t="s">
        <v>895</v>
      </c>
      <c r="U2179" s="2" t="s">
        <v>791</v>
      </c>
      <c r="V2179" s="2" t="s">
        <v>239</v>
      </c>
      <c r="W2179" s="2" t="s">
        <v>299</v>
      </c>
      <c r="X2179" s="2" t="s">
        <v>1268</v>
      </c>
      <c r="Y2179" s="2" t="s">
        <v>2325</v>
      </c>
      <c r="Z2179" s="4">
        <v>124</v>
      </c>
      <c r="AA2179" s="4">
        <f>=ROUNDDOWN(62,0)</f>
      </c>
      <c r="AB2179" s="5">
        <v>2</v>
      </c>
      <c r="AC2179" s="2" t="s">
        <v>231</v>
      </c>
      <c r="AD2179" s="4"/>
      <c r="AE2179" s="4"/>
      <c r="AF2179" s="6">
        <v>64</v>
      </c>
      <c r="AG2179" s="6"/>
      <c r="AH2179" s="7">
        <v>1</v>
      </c>
      <c r="AI2179" s="4"/>
      <c r="AJ2179" s="4">
        <f>=ROUNDDOWN({0},0)</f>
      </c>
      <c r="AK2179" s="5"/>
      <c r="AL2179" s="2" t="s">
        <v>231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231</v>
      </c>
      <c r="AW2179" s="8" t="s">
        <v>231</v>
      </c>
      <c r="AX2179" s="4" t="s">
        <v>231</v>
      </c>
      <c r="AY2179" s="8" t="s">
        <v>231</v>
      </c>
      <c r="AZ2179" s="7" t="s">
        <v>231</v>
      </c>
      <c r="BA2179" s="7" t="s">
        <v>231</v>
      </c>
      <c r="BB2179" s="7"/>
      <c r="BC2179" s="4" t="s">
        <v>231</v>
      </c>
      <c r="BD2179" s="8" t="s">
        <v>231</v>
      </c>
      <c r="BE2179" s="4" t="s">
        <v>231</v>
      </c>
      <c r="BF2179" s="8" t="s">
        <v>231</v>
      </c>
      <c r="BG2179" s="7" t="s">
        <v>231</v>
      </c>
      <c r="BH2179" s="7" t="s">
        <v>231</v>
      </c>
      <c r="BI2179" s="7"/>
      <c r="BJ2179" s="4">
        <v>5</v>
      </c>
      <c r="BK2179" s="8">
        <v>126.7</v>
      </c>
      <c r="BL2179" s="2" t="s">
        <v>1206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9558</v>
      </c>
      <c r="BV2179" s="2" t="s">
        <v>231</v>
      </c>
      <c r="BW2179" s="2" t="s">
        <v>231</v>
      </c>
      <c r="BX2179" s="2" t="s">
        <v>241</v>
      </c>
      <c r="BY2179" s="2" t="s">
        <v>277</v>
      </c>
      <c r="BZ2179" s="2" t="s">
        <v>243</v>
      </c>
      <c r="CA2179" s="2" t="s">
        <v>9537</v>
      </c>
      <c r="CB2179" s="2" t="s">
        <v>3776</v>
      </c>
      <c r="CC2179" s="2" t="s">
        <v>244</v>
      </c>
      <c r="CD2179" s="2" t="s">
        <v>231</v>
      </c>
      <c r="CE2179" s="4">
        <v>74</v>
      </c>
      <c r="CF2179" s="4"/>
      <c r="CG2179" s="4"/>
      <c r="CH2179" s="4"/>
      <c r="CI2179" s="4"/>
      <c r="CJ2179" s="4"/>
      <c r="CK2179" s="4"/>
      <c r="CL2179" s="4">
        <v>50</v>
      </c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</row>
    <row r="2180">
      <c r="A2180" s="2" t="s">
        <v>9559</v>
      </c>
      <c r="B2180" s="2" t="s">
        <v>824</v>
      </c>
      <c r="C2180" s="2" t="s">
        <v>825</v>
      </c>
      <c r="D2180" s="2" t="s">
        <v>654</v>
      </c>
      <c r="E2180" s="2" t="s">
        <v>890</v>
      </c>
      <c r="F2180" s="2" t="s">
        <v>7807</v>
      </c>
      <c r="G2180" s="2" t="s">
        <v>2057</v>
      </c>
      <c r="H2180" s="2" t="s">
        <v>9532</v>
      </c>
      <c r="I2180" s="2" t="s">
        <v>9533</v>
      </c>
      <c r="J2180" s="2" t="s">
        <v>658</v>
      </c>
      <c r="K2180" s="2" t="s">
        <v>3713</v>
      </c>
      <c r="L2180" s="3">
        <v>40.47</v>
      </c>
      <c r="M2180" s="3">
        <v>42.49</v>
      </c>
      <c r="N2180" s="3">
        <v>84.99</v>
      </c>
      <c r="O2180" s="2" t="s">
        <v>243</v>
      </c>
      <c r="P2180" s="2" t="s">
        <v>270</v>
      </c>
      <c r="Q2180" s="2" t="s">
        <v>237</v>
      </c>
      <c r="R2180" s="2" t="s">
        <v>231</v>
      </c>
      <c r="S2180" s="2" t="s">
        <v>9557</v>
      </c>
      <c r="T2180" s="2" t="s">
        <v>895</v>
      </c>
      <c r="U2180" s="2" t="s">
        <v>835</v>
      </c>
      <c r="V2180" s="2" t="s">
        <v>239</v>
      </c>
      <c r="W2180" s="2" t="s">
        <v>299</v>
      </c>
      <c r="X2180" s="2" t="s">
        <v>1268</v>
      </c>
      <c r="Y2180" s="2" t="s">
        <v>2325</v>
      </c>
      <c r="Z2180" s="4">
        <v>410</v>
      </c>
      <c r="AA2180" s="4">
        <f>=ROUNDDOWN(37.2727272727273,0)</f>
      </c>
      <c r="AB2180" s="5">
        <v>11</v>
      </c>
      <c r="AC2180" s="2" t="s">
        <v>231</v>
      </c>
      <c r="AD2180" s="4"/>
      <c r="AE2180" s="4"/>
      <c r="AF2180" s="6">
        <v>64</v>
      </c>
      <c r="AG2180" s="6"/>
      <c r="AH2180" s="7">
        <v>0.2581</v>
      </c>
      <c r="AI2180" s="4"/>
      <c r="AJ2180" s="4">
        <f>=ROUNDDOWN({0},0)</f>
      </c>
      <c r="AK2180" s="5"/>
      <c r="AL2180" s="2" t="s">
        <v>231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231</v>
      </c>
      <c r="AW2180" s="8" t="s">
        <v>231</v>
      </c>
      <c r="AX2180" s="4" t="s">
        <v>231</v>
      </c>
      <c r="AY2180" s="8" t="s">
        <v>231</v>
      </c>
      <c r="AZ2180" s="7" t="s">
        <v>231</v>
      </c>
      <c r="BA2180" s="7" t="s">
        <v>231</v>
      </c>
      <c r="BB2180" s="7"/>
      <c r="BC2180" s="4" t="s">
        <v>231</v>
      </c>
      <c r="BD2180" s="8" t="s">
        <v>231</v>
      </c>
      <c r="BE2180" s="4" t="s">
        <v>231</v>
      </c>
      <c r="BF2180" s="8" t="s">
        <v>231</v>
      </c>
      <c r="BG2180" s="7" t="s">
        <v>231</v>
      </c>
      <c r="BH2180" s="7" t="s">
        <v>231</v>
      </c>
      <c r="BI2180" s="7"/>
      <c r="BJ2180" s="4">
        <v>16</v>
      </c>
      <c r="BK2180" s="8">
        <v>740.99</v>
      </c>
      <c r="BL2180" s="2" t="s">
        <v>9560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9561</v>
      </c>
      <c r="BV2180" s="2" t="s">
        <v>231</v>
      </c>
      <c r="BW2180" s="2" t="s">
        <v>231</v>
      </c>
      <c r="BX2180" s="2" t="s">
        <v>241</v>
      </c>
      <c r="BY2180" s="2" t="s">
        <v>277</v>
      </c>
      <c r="BZ2180" s="2" t="s">
        <v>243</v>
      </c>
      <c r="CA2180" s="2" t="s">
        <v>9537</v>
      </c>
      <c r="CB2180" s="2" t="s">
        <v>1737</v>
      </c>
      <c r="CC2180" s="2" t="s">
        <v>244</v>
      </c>
      <c r="CD2180" s="2" t="s">
        <v>231</v>
      </c>
      <c r="CE2180" s="4"/>
      <c r="CF2180" s="4"/>
      <c r="CG2180" s="4"/>
      <c r="CH2180" s="4"/>
      <c r="CI2180" s="4"/>
      <c r="CJ2180" s="4"/>
      <c r="CK2180" s="4"/>
      <c r="CL2180" s="4">
        <v>410</v>
      </c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</row>
    <row r="2181">
      <c r="A2181" s="2" t="s">
        <v>9562</v>
      </c>
      <c r="B2181" s="2" t="s">
        <v>824</v>
      </c>
      <c r="C2181" s="2" t="s">
        <v>825</v>
      </c>
      <c r="D2181" s="2" t="s">
        <v>654</v>
      </c>
      <c r="E2181" s="2" t="s">
        <v>890</v>
      </c>
      <c r="F2181" s="2" t="s">
        <v>7807</v>
      </c>
      <c r="G2181" s="2" t="s">
        <v>2057</v>
      </c>
      <c r="H2181" s="2" t="s">
        <v>9532</v>
      </c>
      <c r="I2181" s="2" t="s">
        <v>9533</v>
      </c>
      <c r="J2181" s="2" t="s">
        <v>669</v>
      </c>
      <c r="K2181" s="2" t="s">
        <v>3713</v>
      </c>
      <c r="L2181" s="3">
        <v>45.23</v>
      </c>
      <c r="M2181" s="3">
        <v>47.49</v>
      </c>
      <c r="N2181" s="3">
        <v>94.99</v>
      </c>
      <c r="O2181" s="2" t="s">
        <v>243</v>
      </c>
      <c r="P2181" s="2" t="s">
        <v>270</v>
      </c>
      <c r="Q2181" s="2" t="s">
        <v>237</v>
      </c>
      <c r="R2181" s="2" t="s">
        <v>231</v>
      </c>
      <c r="S2181" s="2" t="s">
        <v>9557</v>
      </c>
      <c r="T2181" s="2" t="s">
        <v>895</v>
      </c>
      <c r="U2181" s="2" t="s">
        <v>835</v>
      </c>
      <c r="V2181" s="2" t="s">
        <v>239</v>
      </c>
      <c r="W2181" s="2" t="s">
        <v>299</v>
      </c>
      <c r="X2181" s="2" t="s">
        <v>1268</v>
      </c>
      <c r="Y2181" s="2" t="s">
        <v>947</v>
      </c>
      <c r="Z2181" s="4">
        <v>343</v>
      </c>
      <c r="AA2181" s="4">
        <f>=ROUNDDOWN(53.59375,0)</f>
      </c>
      <c r="AB2181" s="5">
        <v>6.4</v>
      </c>
      <c r="AC2181" s="2" t="s">
        <v>231</v>
      </c>
      <c r="AD2181" s="4"/>
      <c r="AE2181" s="4"/>
      <c r="AF2181" s="6">
        <v>64</v>
      </c>
      <c r="AG2181" s="6"/>
      <c r="AH2181" s="7">
        <v>0.0323</v>
      </c>
      <c r="AI2181" s="4"/>
      <c r="AJ2181" s="4">
        <f>=ROUNDDOWN({0},0)</f>
      </c>
      <c r="AK2181" s="5"/>
      <c r="AL2181" s="2" t="s">
        <v>231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231</v>
      </c>
      <c r="AW2181" s="8" t="s">
        <v>231</v>
      </c>
      <c r="AX2181" s="4" t="s">
        <v>231</v>
      </c>
      <c r="AY2181" s="8" t="s">
        <v>231</v>
      </c>
      <c r="AZ2181" s="7" t="s">
        <v>231</v>
      </c>
      <c r="BA2181" s="7" t="s">
        <v>231</v>
      </c>
      <c r="BB2181" s="7"/>
      <c r="BC2181" s="4" t="s">
        <v>231</v>
      </c>
      <c r="BD2181" s="8" t="s">
        <v>231</v>
      </c>
      <c r="BE2181" s="4" t="s">
        <v>231</v>
      </c>
      <c r="BF2181" s="8" t="s">
        <v>231</v>
      </c>
      <c r="BG2181" s="7" t="s">
        <v>231</v>
      </c>
      <c r="BH2181" s="7" t="s">
        <v>231</v>
      </c>
      <c r="BI2181" s="7"/>
      <c r="BJ2181" s="4">
        <v>3</v>
      </c>
      <c r="BK2181" s="8">
        <v>156.03</v>
      </c>
      <c r="BL2181" s="2" t="s">
        <v>1020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9563</v>
      </c>
      <c r="BV2181" s="2" t="s">
        <v>231</v>
      </c>
      <c r="BW2181" s="2" t="s">
        <v>231</v>
      </c>
      <c r="BX2181" s="2" t="s">
        <v>241</v>
      </c>
      <c r="BY2181" s="2" t="s">
        <v>277</v>
      </c>
      <c r="BZ2181" s="2" t="s">
        <v>243</v>
      </c>
      <c r="CA2181" s="2" t="s">
        <v>9537</v>
      </c>
      <c r="CB2181" s="2" t="s">
        <v>387</v>
      </c>
      <c r="CC2181" s="2" t="s">
        <v>244</v>
      </c>
      <c r="CD2181" s="2" t="s">
        <v>231</v>
      </c>
      <c r="CE2181" s="4">
        <v>279</v>
      </c>
      <c r="CF2181" s="4"/>
      <c r="CG2181" s="4"/>
      <c r="CH2181" s="4"/>
      <c r="CI2181" s="4"/>
      <c r="CJ2181" s="4"/>
      <c r="CK2181" s="4"/>
      <c r="CL2181" s="4">
        <v>64</v>
      </c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</row>
    <row r="2182">
      <c r="A2182" s="2" t="s">
        <v>9564</v>
      </c>
      <c r="B2182" s="2" t="s">
        <v>801</v>
      </c>
      <c r="C2182" s="2" t="s">
        <v>867</v>
      </c>
      <c r="D2182" s="2" t="s">
        <v>2228</v>
      </c>
      <c r="E2182" s="2" t="s">
        <v>2229</v>
      </c>
      <c r="F2182" s="2" t="s">
        <v>9565</v>
      </c>
      <c r="G2182" s="2" t="s">
        <v>9565</v>
      </c>
      <c r="H2182" s="2" t="s">
        <v>9565</v>
      </c>
      <c r="I2182" s="2" t="s">
        <v>9566</v>
      </c>
      <c r="J2182" s="2" t="s">
        <v>807</v>
      </c>
      <c r="K2182" s="2" t="s">
        <v>9567</v>
      </c>
      <c r="L2182" s="3">
        <v>85</v>
      </c>
      <c r="M2182" s="3">
        <v>89.25</v>
      </c>
      <c r="N2182" s="3">
        <v>179.99</v>
      </c>
      <c r="O2182" s="2" t="s">
        <v>243</v>
      </c>
      <c r="P2182" s="2" t="s">
        <v>270</v>
      </c>
      <c r="Q2182" s="2" t="s">
        <v>237</v>
      </c>
      <c r="R2182" s="2" t="s">
        <v>231</v>
      </c>
      <c r="S2182" s="2" t="s">
        <v>231</v>
      </c>
      <c r="T2182" s="2" t="s">
        <v>231</v>
      </c>
      <c r="U2182" s="2" t="s">
        <v>327</v>
      </c>
      <c r="V2182" s="2" t="s">
        <v>662</v>
      </c>
      <c r="W2182" s="2" t="s">
        <v>5476</v>
      </c>
      <c r="X2182" s="2" t="s">
        <v>363</v>
      </c>
      <c r="Y2182" s="2" t="s">
        <v>4002</v>
      </c>
      <c r="Z2182" s="4">
        <v>55</v>
      </c>
      <c r="AA2182" s="4">
        <f>=ROUNDDOWN(55,0)</f>
      </c>
      <c r="AB2182" s="5">
        <v>1</v>
      </c>
      <c r="AC2182" s="2" t="s">
        <v>231</v>
      </c>
      <c r="AD2182" s="4"/>
      <c r="AE2182" s="4"/>
      <c r="AF2182" s="6">
        <v>63</v>
      </c>
      <c r="AG2182" s="6"/>
      <c r="AH2182" s="7">
        <v>1</v>
      </c>
      <c r="AI2182" s="4"/>
      <c r="AJ2182" s="4">
        <f>=ROUNDDOWN({0},0)</f>
      </c>
      <c r="AK2182" s="5"/>
      <c r="AL2182" s="2" t="s">
        <v>231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/>
      <c r="BD2182" s="8"/>
      <c r="BE2182" s="4"/>
      <c r="BF2182" s="8"/>
      <c r="BG2182" s="7"/>
      <c r="BH2182" s="7"/>
      <c r="BI2182" s="7"/>
      <c r="BJ2182" s="4">
        <v>3</v>
      </c>
      <c r="BK2182" s="8">
        <v>262.86</v>
      </c>
      <c r="BL2182" s="2" t="s">
        <v>1976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9568</v>
      </c>
      <c r="BV2182" s="2" t="s">
        <v>231</v>
      </c>
      <c r="BW2182" s="2" t="s">
        <v>231</v>
      </c>
      <c r="BX2182" s="2" t="s">
        <v>241</v>
      </c>
      <c r="BY2182" s="2" t="s">
        <v>277</v>
      </c>
      <c r="BZ2182" s="2" t="s">
        <v>243</v>
      </c>
      <c r="CA2182" s="2" t="s">
        <v>2403</v>
      </c>
      <c r="CB2182" s="2" t="s">
        <v>3136</v>
      </c>
      <c r="CC2182" s="2" t="s">
        <v>244</v>
      </c>
      <c r="CD2182" s="2" t="s">
        <v>231</v>
      </c>
      <c r="CE2182" s="4"/>
      <c r="CF2182" s="4">
        <v>55</v>
      </c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</row>
    <row r="2183">
      <c r="A2183" s="2" t="s">
        <v>9569</v>
      </c>
      <c r="B2183" s="2" t="s">
        <v>1186</v>
      </c>
      <c r="C2183" s="2" t="s">
        <v>1017</v>
      </c>
      <c r="D2183" s="2" t="s">
        <v>1462</v>
      </c>
      <c r="E2183" s="2" t="s">
        <v>2563</v>
      </c>
      <c r="F2183" s="2" t="s">
        <v>5090</v>
      </c>
      <c r="G2183" s="2" t="s">
        <v>231</v>
      </c>
      <c r="H2183" s="2" t="s">
        <v>231</v>
      </c>
      <c r="I2183" s="2" t="s">
        <v>9570</v>
      </c>
      <c r="J2183" s="2" t="s">
        <v>658</v>
      </c>
      <c r="K2183" s="2" t="s">
        <v>5853</v>
      </c>
      <c r="L2183" s="3">
        <v>23.19</v>
      </c>
      <c r="M2183" s="3">
        <v>24.35</v>
      </c>
      <c r="N2183" s="3">
        <v>39.99</v>
      </c>
      <c r="O2183" s="2" t="s">
        <v>250</v>
      </c>
      <c r="P2183" s="2" t="s">
        <v>1019</v>
      </c>
      <c r="Q2183" s="2" t="s">
        <v>237</v>
      </c>
      <c r="R2183" s="2" t="s">
        <v>1020</v>
      </c>
      <c r="S2183" s="2" t="s">
        <v>231</v>
      </c>
      <c r="T2183" s="2" t="s">
        <v>231</v>
      </c>
      <c r="U2183" s="2" t="s">
        <v>231</v>
      </c>
      <c r="V2183" s="2" t="s">
        <v>1192</v>
      </c>
      <c r="W2183" s="2" t="s">
        <v>971</v>
      </c>
      <c r="X2183" s="2" t="s">
        <v>231</v>
      </c>
      <c r="Y2183" s="2" t="s">
        <v>760</v>
      </c>
      <c r="Z2183" s="4">
        <v>16</v>
      </c>
      <c r="AA2183" s="4">
        <f>=ROUNDDOWN(80,0)</f>
      </c>
      <c r="AB2183" s="5">
        <v>0.2</v>
      </c>
      <c r="AC2183" s="2" t="s">
        <v>231</v>
      </c>
      <c r="AD2183" s="4"/>
      <c r="AE2183" s="4"/>
      <c r="AF2183" s="6">
        <v>64</v>
      </c>
      <c r="AG2183" s="6"/>
      <c r="AH2183" s="7">
        <v>1</v>
      </c>
      <c r="AI2183" s="4"/>
      <c r="AJ2183" s="4">
        <f>=ROUNDDOWN({0},0)</f>
      </c>
      <c r="AK2183" s="5"/>
      <c r="AL2183" s="2" t="s">
        <v>231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231</v>
      </c>
      <c r="AW2183" s="8" t="s">
        <v>231</v>
      </c>
      <c r="AX2183" s="4" t="s">
        <v>231</v>
      </c>
      <c r="AY2183" s="8" t="s">
        <v>231</v>
      </c>
      <c r="AZ2183" s="7" t="s">
        <v>231</v>
      </c>
      <c r="BA2183" s="7" t="s">
        <v>231</v>
      </c>
      <c r="BB2183" s="7"/>
      <c r="BC2183" s="4" t="s">
        <v>231</v>
      </c>
      <c r="BD2183" s="8" t="s">
        <v>231</v>
      </c>
      <c r="BE2183" s="4" t="s">
        <v>231</v>
      </c>
      <c r="BF2183" s="8" t="s">
        <v>231</v>
      </c>
      <c r="BG2183" s="7" t="s">
        <v>231</v>
      </c>
      <c r="BH2183" s="7" t="s">
        <v>231</v>
      </c>
      <c r="BI2183" s="7"/>
      <c r="BJ2183" s="4"/>
      <c r="BK2183" s="8"/>
      <c r="BL2183" s="2" t="s">
        <v>1022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9571</v>
      </c>
      <c r="BV2183" s="2" t="s">
        <v>231</v>
      </c>
      <c r="BW2183" s="2" t="s">
        <v>231</v>
      </c>
      <c r="BX2183" s="2" t="s">
        <v>241</v>
      </c>
      <c r="BY2183" s="2" t="s">
        <v>277</v>
      </c>
      <c r="BZ2183" s="2" t="s">
        <v>243</v>
      </c>
      <c r="CA2183" s="2" t="s">
        <v>1155</v>
      </c>
      <c r="CB2183" s="2" t="s">
        <v>231</v>
      </c>
      <c r="CC2183" s="2" t="s">
        <v>244</v>
      </c>
      <c r="CD2183" s="2" t="s">
        <v>231</v>
      </c>
      <c r="CE2183" s="4">
        <v>16</v>
      </c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</row>
    <row r="2184">
      <c r="A2184" s="2" t="s">
        <v>9572</v>
      </c>
      <c r="B2184" s="2" t="s">
        <v>1186</v>
      </c>
      <c r="C2184" s="2" t="s">
        <v>1017</v>
      </c>
      <c r="D2184" s="2" t="s">
        <v>1462</v>
      </c>
      <c r="E2184" s="2" t="s">
        <v>2563</v>
      </c>
      <c r="F2184" s="2" t="s">
        <v>5090</v>
      </c>
      <c r="G2184" s="2" t="s">
        <v>231</v>
      </c>
      <c r="H2184" s="2" t="s">
        <v>231</v>
      </c>
      <c r="I2184" s="2" t="s">
        <v>9570</v>
      </c>
      <c r="J2184" s="2" t="s">
        <v>302</v>
      </c>
      <c r="K2184" s="2" t="s">
        <v>5853</v>
      </c>
      <c r="L2184" s="3">
        <v>26.09</v>
      </c>
      <c r="M2184" s="3">
        <v>27.39</v>
      </c>
      <c r="N2184" s="3">
        <v>44.99</v>
      </c>
      <c r="O2184" s="2" t="s">
        <v>250</v>
      </c>
      <c r="P2184" s="2" t="s">
        <v>1019</v>
      </c>
      <c r="Q2184" s="2" t="s">
        <v>237</v>
      </c>
      <c r="R2184" s="2" t="s">
        <v>1020</v>
      </c>
      <c r="S2184" s="2" t="s">
        <v>231</v>
      </c>
      <c r="T2184" s="2" t="s">
        <v>231</v>
      </c>
      <c r="U2184" s="2" t="s">
        <v>231</v>
      </c>
      <c r="V2184" s="2" t="s">
        <v>1192</v>
      </c>
      <c r="W2184" s="2" t="s">
        <v>971</v>
      </c>
      <c r="X2184" s="2" t="s">
        <v>231</v>
      </c>
      <c r="Y2184" s="2" t="s">
        <v>760</v>
      </c>
      <c r="Z2184" s="4">
        <v>49</v>
      </c>
      <c r="AA2184" s="4">
        <f>=ROUNDDOWN({0},0)</f>
      </c>
      <c r="AB2184" s="5"/>
      <c r="AC2184" s="2" t="s">
        <v>231</v>
      </c>
      <c r="AD2184" s="4"/>
      <c r="AE2184" s="4"/>
      <c r="AF2184" s="6">
        <v>64</v>
      </c>
      <c r="AG2184" s="6"/>
      <c r="AH2184" s="7">
        <v>1</v>
      </c>
      <c r="AI2184" s="4"/>
      <c r="AJ2184" s="4">
        <f>=ROUNDDOWN({0},0)</f>
      </c>
      <c r="AK2184" s="5"/>
      <c r="AL2184" s="2" t="s">
        <v>231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231</v>
      </c>
      <c r="AW2184" s="8" t="s">
        <v>231</v>
      </c>
      <c r="AX2184" s="4" t="s">
        <v>231</v>
      </c>
      <c r="AY2184" s="8" t="s">
        <v>231</v>
      </c>
      <c r="AZ2184" s="7" t="s">
        <v>231</v>
      </c>
      <c r="BA2184" s="7" t="s">
        <v>231</v>
      </c>
      <c r="BB2184" s="7"/>
      <c r="BC2184" s="4" t="s">
        <v>231</v>
      </c>
      <c r="BD2184" s="8" t="s">
        <v>231</v>
      </c>
      <c r="BE2184" s="4" t="s">
        <v>231</v>
      </c>
      <c r="BF2184" s="8" t="s">
        <v>231</v>
      </c>
      <c r="BG2184" s="7" t="s">
        <v>231</v>
      </c>
      <c r="BH2184" s="7" t="s">
        <v>231</v>
      </c>
      <c r="BI2184" s="7"/>
      <c r="BJ2184" s="4">
        <v>1</v>
      </c>
      <c r="BK2184" s="8">
        <v>28.05</v>
      </c>
      <c r="BL2184" s="2" t="s">
        <v>9573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9574</v>
      </c>
      <c r="BV2184" s="2" t="s">
        <v>231</v>
      </c>
      <c r="BW2184" s="2" t="s">
        <v>231</v>
      </c>
      <c r="BX2184" s="2" t="s">
        <v>241</v>
      </c>
      <c r="BY2184" s="2" t="s">
        <v>277</v>
      </c>
      <c r="BZ2184" s="2" t="s">
        <v>243</v>
      </c>
      <c r="CA2184" s="2" t="s">
        <v>1155</v>
      </c>
      <c r="CB2184" s="2" t="s">
        <v>231</v>
      </c>
      <c r="CC2184" s="2" t="s">
        <v>244</v>
      </c>
      <c r="CD2184" s="2" t="s">
        <v>231</v>
      </c>
      <c r="CE2184" s="4">
        <v>49</v>
      </c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</row>
    <row r="2185">
      <c r="A2185" s="2" t="s">
        <v>9575</v>
      </c>
      <c r="B2185" s="2" t="s">
        <v>1004</v>
      </c>
      <c r="C2185" s="2" t="s">
        <v>288</v>
      </c>
      <c r="D2185" s="2" t="s">
        <v>1917</v>
      </c>
      <c r="E2185" s="2" t="s">
        <v>2495</v>
      </c>
      <c r="F2185" s="2" t="s">
        <v>9576</v>
      </c>
      <c r="G2185" s="2" t="s">
        <v>9577</v>
      </c>
      <c r="H2185" s="2" t="s">
        <v>9578</v>
      </c>
      <c r="I2185" s="2" t="s">
        <v>1918</v>
      </c>
      <c r="J2185" s="2" t="s">
        <v>807</v>
      </c>
      <c r="K2185" s="2" t="s">
        <v>2599</v>
      </c>
      <c r="L2185" s="3">
        <v>110</v>
      </c>
      <c r="M2185" s="3">
        <v>115.5</v>
      </c>
      <c r="N2185" s="3">
        <v>229</v>
      </c>
      <c r="O2185" s="2" t="s">
        <v>235</v>
      </c>
      <c r="P2185" s="2" t="s">
        <v>341</v>
      </c>
      <c r="Q2185" s="2" t="s">
        <v>237</v>
      </c>
      <c r="R2185" s="2" t="s">
        <v>231</v>
      </c>
      <c r="S2185" s="2" t="s">
        <v>9579</v>
      </c>
      <c r="T2185" s="2" t="s">
        <v>231</v>
      </c>
      <c r="U2185" s="2" t="s">
        <v>231</v>
      </c>
      <c r="V2185" s="2" t="s">
        <v>239</v>
      </c>
      <c r="W2185" s="2" t="s">
        <v>792</v>
      </c>
      <c r="X2185" s="2" t="s">
        <v>231</v>
      </c>
      <c r="Y2185" s="2" t="s">
        <v>274</v>
      </c>
      <c r="Z2185" s="4">
        <v>70</v>
      </c>
      <c r="AA2185" s="4">
        <f>=ROUNDDOWN(12.7272727272727,0)</f>
      </c>
      <c r="AB2185" s="5">
        <v>5.5</v>
      </c>
      <c r="AC2185" s="2" t="s">
        <v>231</v>
      </c>
      <c r="AD2185" s="4"/>
      <c r="AE2185" s="4"/>
      <c r="AF2185" s="6">
        <v>65</v>
      </c>
      <c r="AG2185" s="6">
        <v>48</v>
      </c>
      <c r="AH2185" s="7">
        <v>1</v>
      </c>
      <c r="AI2185" s="4"/>
      <c r="AJ2185" s="4">
        <f>=ROUNDDOWN({0},0)</f>
      </c>
      <c r="AK2185" s="5"/>
      <c r="AL2185" s="2" t="s">
        <v>231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/>
      <c r="BD2185" s="8"/>
      <c r="BE2185" s="4"/>
      <c r="BF2185" s="8"/>
      <c r="BG2185" s="7"/>
      <c r="BH2185" s="7"/>
      <c r="BI2185" s="7"/>
      <c r="BJ2185" s="4">
        <v>23</v>
      </c>
      <c r="BK2185" s="8">
        <v>1301.73</v>
      </c>
      <c r="BL2185" s="2" t="s">
        <v>9580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9581</v>
      </c>
      <c r="BV2185" s="2" t="s">
        <v>231</v>
      </c>
      <c r="BW2185" s="2" t="s">
        <v>231</v>
      </c>
      <c r="BX2185" s="2" t="s">
        <v>231</v>
      </c>
      <c r="BY2185" s="2" t="s">
        <v>277</v>
      </c>
      <c r="BZ2185" s="2" t="s">
        <v>243</v>
      </c>
      <c r="CA2185" s="2" t="s">
        <v>284</v>
      </c>
      <c r="CB2185" s="2" t="s">
        <v>9582</v>
      </c>
      <c r="CC2185" s="2" t="s">
        <v>244</v>
      </c>
      <c r="CD2185" s="2" t="s">
        <v>231</v>
      </c>
      <c r="CE2185" s="4"/>
      <c r="CF2185" s="4">
        <v>70</v>
      </c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</row>
    <row r="2186">
      <c r="A2186" s="2" t="s">
        <v>9583</v>
      </c>
      <c r="B2186" s="2" t="s">
        <v>1186</v>
      </c>
      <c r="C2186" s="2" t="s">
        <v>815</v>
      </c>
      <c r="D2186" s="2" t="s">
        <v>826</v>
      </c>
      <c r="E2186" s="2" t="s">
        <v>827</v>
      </c>
      <c r="F2186" s="2" t="s">
        <v>9584</v>
      </c>
      <c r="G2186" s="2" t="s">
        <v>231</v>
      </c>
      <c r="H2186" s="2" t="s">
        <v>231</v>
      </c>
      <c r="I2186" s="2" t="s">
        <v>9585</v>
      </c>
      <c r="J2186" s="2" t="s">
        <v>318</v>
      </c>
      <c r="K2186" s="2" t="s">
        <v>253</v>
      </c>
      <c r="L2186" s="3">
        <v>43.2</v>
      </c>
      <c r="M2186" s="3">
        <v>45.35</v>
      </c>
      <c r="N2186" s="3">
        <v>89.99</v>
      </c>
      <c r="O2186" s="2" t="s">
        <v>250</v>
      </c>
      <c r="P2186" s="2" t="s">
        <v>341</v>
      </c>
      <c r="Q2186" s="2" t="s">
        <v>237</v>
      </c>
      <c r="R2186" s="2" t="s">
        <v>231</v>
      </c>
      <c r="S2186" s="2" t="s">
        <v>9586</v>
      </c>
      <c r="T2186" s="2" t="s">
        <v>231</v>
      </c>
      <c r="U2186" s="2" t="s">
        <v>231</v>
      </c>
      <c r="V2186" s="2" t="s">
        <v>1304</v>
      </c>
      <c r="W2186" s="2" t="s">
        <v>273</v>
      </c>
      <c r="X2186" s="2" t="s">
        <v>9587</v>
      </c>
      <c r="Y2186" s="2" t="s">
        <v>274</v>
      </c>
      <c r="Z2186" s="4">
        <v>36</v>
      </c>
      <c r="AA2186" s="4">
        <f>=ROUNDDOWN(36,0)</f>
      </c>
      <c r="AB2186" s="5">
        <v>1</v>
      </c>
      <c r="AC2186" s="2" t="s">
        <v>231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231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231</v>
      </c>
      <c r="AW2186" s="8" t="s">
        <v>231</v>
      </c>
      <c r="AX2186" s="4" t="s">
        <v>231</v>
      </c>
      <c r="AY2186" s="8" t="s">
        <v>231</v>
      </c>
      <c r="AZ2186" s="7" t="s">
        <v>231</v>
      </c>
      <c r="BA2186" s="7" t="s">
        <v>231</v>
      </c>
      <c r="BB2186" s="7"/>
      <c r="BC2186" s="4" t="s">
        <v>231</v>
      </c>
      <c r="BD2186" s="8" t="s">
        <v>231</v>
      </c>
      <c r="BE2186" s="4" t="s">
        <v>231</v>
      </c>
      <c r="BF2186" s="8" t="s">
        <v>231</v>
      </c>
      <c r="BG2186" s="7" t="s">
        <v>231</v>
      </c>
      <c r="BH2186" s="7" t="s">
        <v>231</v>
      </c>
      <c r="BI2186" s="7"/>
      <c r="BJ2186" s="4">
        <v>4</v>
      </c>
      <c r="BK2186" s="8">
        <v>118.5</v>
      </c>
      <c r="BL2186" s="2" t="s">
        <v>1240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9588</v>
      </c>
      <c r="BV2186" s="2" t="s">
        <v>231</v>
      </c>
      <c r="BW2186" s="2" t="s">
        <v>231</v>
      </c>
      <c r="BX2186" s="2" t="s">
        <v>231</v>
      </c>
      <c r="BY2186" s="2" t="s">
        <v>277</v>
      </c>
      <c r="BZ2186" s="2" t="s">
        <v>243</v>
      </c>
      <c r="CA2186" s="2" t="s">
        <v>284</v>
      </c>
      <c r="CB2186" s="2" t="s">
        <v>541</v>
      </c>
      <c r="CC2186" s="2" t="s">
        <v>244</v>
      </c>
      <c r="CD2186" s="2" t="s">
        <v>231</v>
      </c>
      <c r="CE2186" s="4">
        <v>36</v>
      </c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</row>
    <row r="2187">
      <c r="A2187" s="2" t="s">
        <v>9589</v>
      </c>
      <c r="B2187" s="2" t="s">
        <v>1186</v>
      </c>
      <c r="C2187" s="2" t="s">
        <v>815</v>
      </c>
      <c r="D2187" s="2" t="s">
        <v>826</v>
      </c>
      <c r="E2187" s="2" t="s">
        <v>827</v>
      </c>
      <c r="F2187" s="2" t="s">
        <v>9584</v>
      </c>
      <c r="G2187" s="2" t="s">
        <v>231</v>
      </c>
      <c r="H2187" s="2" t="s">
        <v>231</v>
      </c>
      <c r="I2187" s="2" t="s">
        <v>9585</v>
      </c>
      <c r="J2187" s="2" t="s">
        <v>302</v>
      </c>
      <c r="K2187" s="2" t="s">
        <v>253</v>
      </c>
      <c r="L2187" s="3">
        <v>69.5</v>
      </c>
      <c r="M2187" s="3">
        <v>72.98</v>
      </c>
      <c r="N2187" s="3">
        <v>139</v>
      </c>
      <c r="O2187" s="2" t="s">
        <v>250</v>
      </c>
      <c r="P2187" s="2" t="s">
        <v>341</v>
      </c>
      <c r="Q2187" s="2" t="s">
        <v>237</v>
      </c>
      <c r="R2187" s="2" t="s">
        <v>231</v>
      </c>
      <c r="S2187" s="2" t="s">
        <v>9586</v>
      </c>
      <c r="T2187" s="2" t="s">
        <v>231</v>
      </c>
      <c r="U2187" s="2" t="s">
        <v>231</v>
      </c>
      <c r="V2187" s="2" t="s">
        <v>1304</v>
      </c>
      <c r="W2187" s="2" t="s">
        <v>273</v>
      </c>
      <c r="X2187" s="2" t="s">
        <v>9587</v>
      </c>
      <c r="Y2187" s="2" t="s">
        <v>274</v>
      </c>
      <c r="Z2187" s="4">
        <v>37</v>
      </c>
      <c r="AA2187" s="4">
        <f>=ROUNDDOWN(61.6666666666667,0)</f>
      </c>
      <c r="AB2187" s="5">
        <v>0.6</v>
      </c>
      <c r="AC2187" s="2" t="s">
        <v>231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231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231</v>
      </c>
      <c r="AW2187" s="8" t="s">
        <v>231</v>
      </c>
      <c r="AX2187" s="4" t="s">
        <v>231</v>
      </c>
      <c r="AY2187" s="8" t="s">
        <v>231</v>
      </c>
      <c r="AZ2187" s="7" t="s">
        <v>231</v>
      </c>
      <c r="BA2187" s="7" t="s">
        <v>231</v>
      </c>
      <c r="BB2187" s="7"/>
      <c r="BC2187" s="4" t="s">
        <v>231</v>
      </c>
      <c r="BD2187" s="8" t="s">
        <v>231</v>
      </c>
      <c r="BE2187" s="4" t="s">
        <v>231</v>
      </c>
      <c r="BF2187" s="8" t="s">
        <v>231</v>
      </c>
      <c r="BG2187" s="7" t="s">
        <v>231</v>
      </c>
      <c r="BH2187" s="7" t="s">
        <v>231</v>
      </c>
      <c r="BI2187" s="7"/>
      <c r="BJ2187" s="4">
        <v>3</v>
      </c>
      <c r="BK2187" s="8">
        <v>160.59</v>
      </c>
      <c r="BL2187" s="2" t="s">
        <v>619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9590</v>
      </c>
      <c r="BV2187" s="2" t="s">
        <v>231</v>
      </c>
      <c r="BW2187" s="2" t="s">
        <v>231</v>
      </c>
      <c r="BX2187" s="2" t="s">
        <v>231</v>
      </c>
      <c r="BY2187" s="2" t="s">
        <v>277</v>
      </c>
      <c r="BZ2187" s="2" t="s">
        <v>243</v>
      </c>
      <c r="CA2187" s="2" t="s">
        <v>284</v>
      </c>
      <c r="CB2187" s="2" t="s">
        <v>617</v>
      </c>
      <c r="CC2187" s="2" t="s">
        <v>244</v>
      </c>
      <c r="CD2187" s="2" t="s">
        <v>231</v>
      </c>
      <c r="CE2187" s="4">
        <v>37</v>
      </c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</row>
    <row r="2188">
      <c r="A2188" s="2" t="s">
        <v>9591</v>
      </c>
      <c r="B2188" s="2" t="s">
        <v>847</v>
      </c>
      <c r="C2188" s="2" t="s">
        <v>288</v>
      </c>
      <c r="D2188" s="2" t="s">
        <v>848</v>
      </c>
      <c r="E2188" s="2" t="s">
        <v>849</v>
      </c>
      <c r="F2188" s="2" t="s">
        <v>9592</v>
      </c>
      <c r="G2188" s="2" t="s">
        <v>9592</v>
      </c>
      <c r="H2188" s="2" t="s">
        <v>9592</v>
      </c>
      <c r="I2188" s="2" t="s">
        <v>9593</v>
      </c>
      <c r="J2188" s="2" t="s">
        <v>807</v>
      </c>
      <c r="K2188" s="2" t="s">
        <v>1496</v>
      </c>
      <c r="L2188" s="3">
        <v>59.5</v>
      </c>
      <c r="M2188" s="3">
        <v>62.48</v>
      </c>
      <c r="N2188" s="3">
        <v>135.99</v>
      </c>
      <c r="O2188" s="2" t="s">
        <v>243</v>
      </c>
      <c r="P2188" s="2" t="s">
        <v>341</v>
      </c>
      <c r="Q2188" s="2" t="s">
        <v>237</v>
      </c>
      <c r="R2188" s="2" t="s">
        <v>231</v>
      </c>
      <c r="S2188" s="2" t="s">
        <v>9594</v>
      </c>
      <c r="T2188" s="2" t="s">
        <v>231</v>
      </c>
      <c r="U2188" s="2" t="s">
        <v>327</v>
      </c>
      <c r="V2188" s="2" t="s">
        <v>3223</v>
      </c>
      <c r="W2188" s="2" t="s">
        <v>2541</v>
      </c>
      <c r="X2188" s="2" t="s">
        <v>231</v>
      </c>
      <c r="Y2188" s="2" t="s">
        <v>274</v>
      </c>
      <c r="Z2188" s="4">
        <v>12</v>
      </c>
      <c r="AA2188" s="4">
        <f>=ROUNDDOWN(6,0)</f>
      </c>
      <c r="AB2188" s="5">
        <v>2</v>
      </c>
      <c r="AC2188" s="2" t="s">
        <v>231</v>
      </c>
      <c r="AD2188" s="4"/>
      <c r="AE2188" s="4"/>
      <c r="AF2188" s="6">
        <v>63</v>
      </c>
      <c r="AG2188" s="6"/>
      <c r="AH2188" s="7">
        <v>1</v>
      </c>
      <c r="AI2188" s="4"/>
      <c r="AJ2188" s="4">
        <f>=ROUNDDOWN({0},0)</f>
      </c>
      <c r="AK2188" s="5"/>
      <c r="AL2188" s="2" t="s">
        <v>231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/>
      <c r="BD2188" s="8"/>
      <c r="BE2188" s="4"/>
      <c r="BF2188" s="8"/>
      <c r="BG2188" s="7"/>
      <c r="BH2188" s="7"/>
      <c r="BI2188" s="7"/>
      <c r="BJ2188" s="4">
        <v>9</v>
      </c>
      <c r="BK2188" s="8">
        <v>499.08</v>
      </c>
      <c r="BL2188" s="2" t="s">
        <v>9595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9596</v>
      </c>
      <c r="BV2188" s="2" t="s">
        <v>231</v>
      </c>
      <c r="BW2188" s="2" t="s">
        <v>231</v>
      </c>
      <c r="BX2188" s="2" t="s">
        <v>231</v>
      </c>
      <c r="BY2188" s="2" t="s">
        <v>277</v>
      </c>
      <c r="BZ2188" s="2" t="s">
        <v>243</v>
      </c>
      <c r="CA2188" s="2" t="s">
        <v>284</v>
      </c>
      <c r="CB2188" s="2" t="s">
        <v>9597</v>
      </c>
      <c r="CC2188" s="2" t="s">
        <v>244</v>
      </c>
      <c r="CD2188" s="2" t="s">
        <v>231</v>
      </c>
      <c r="CE2188" s="4">
        <v>12</v>
      </c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</row>
    <row r="2189">
      <c r="A2189" s="2" t="s">
        <v>9598</v>
      </c>
      <c r="B2189" s="2" t="s">
        <v>1186</v>
      </c>
      <c r="C2189" s="2" t="s">
        <v>815</v>
      </c>
      <c r="D2189" s="2" t="s">
        <v>1462</v>
      </c>
      <c r="E2189" s="2" t="s">
        <v>2563</v>
      </c>
      <c r="F2189" s="2" t="s">
        <v>9599</v>
      </c>
      <c r="G2189" s="2" t="s">
        <v>9599</v>
      </c>
      <c r="H2189" s="2" t="s">
        <v>9599</v>
      </c>
      <c r="I2189" s="2" t="s">
        <v>9600</v>
      </c>
      <c r="J2189" s="2" t="s">
        <v>669</v>
      </c>
      <c r="K2189" s="2" t="s">
        <v>870</v>
      </c>
      <c r="L2189" s="3">
        <v>81.19</v>
      </c>
      <c r="M2189" s="3">
        <v>85.25</v>
      </c>
      <c r="N2189" s="3">
        <v>139.99</v>
      </c>
      <c r="O2189" s="2" t="s">
        <v>243</v>
      </c>
      <c r="P2189" s="2" t="s">
        <v>1019</v>
      </c>
      <c r="Q2189" s="2" t="s">
        <v>237</v>
      </c>
      <c r="R2189" s="2" t="s">
        <v>1020</v>
      </c>
      <c r="S2189" s="2" t="s">
        <v>231</v>
      </c>
      <c r="T2189" s="2" t="s">
        <v>231</v>
      </c>
      <c r="U2189" s="2" t="s">
        <v>298</v>
      </c>
      <c r="V2189" s="2" t="s">
        <v>662</v>
      </c>
      <c r="W2189" s="2" t="s">
        <v>231</v>
      </c>
      <c r="X2189" s="2" t="s">
        <v>231</v>
      </c>
      <c r="Y2189" s="2" t="s">
        <v>3455</v>
      </c>
      <c r="Z2189" s="4">
        <v>85</v>
      </c>
      <c r="AA2189" s="4">
        <f>=ROUNDDOWN(60.7142857142857,0)</f>
      </c>
      <c r="AB2189" s="5">
        <v>1.4</v>
      </c>
      <c r="AC2189" s="2" t="s">
        <v>231</v>
      </c>
      <c r="AD2189" s="4"/>
      <c r="AE2189" s="4"/>
      <c r="AF2189" s="6">
        <v>64</v>
      </c>
      <c r="AG2189" s="6"/>
      <c r="AH2189" s="7">
        <v>1</v>
      </c>
      <c r="AI2189" s="4"/>
      <c r="AJ2189" s="4">
        <f>=ROUNDDOWN({0},0)</f>
      </c>
      <c r="AK2189" s="5"/>
      <c r="AL2189" s="2" t="s">
        <v>231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/>
      <c r="BD2189" s="8"/>
      <c r="BE2189" s="4"/>
      <c r="BF2189" s="8"/>
      <c r="BG2189" s="7"/>
      <c r="BH2189" s="7"/>
      <c r="BI2189" s="7"/>
      <c r="BJ2189" s="4">
        <v>24</v>
      </c>
      <c r="BK2189" s="8">
        <v>1583.36</v>
      </c>
      <c r="BL2189" s="2" t="s">
        <v>9573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9601</v>
      </c>
      <c r="BV2189" s="2" t="s">
        <v>231</v>
      </c>
      <c r="BW2189" s="2" t="s">
        <v>231</v>
      </c>
      <c r="BX2189" s="2" t="s">
        <v>241</v>
      </c>
      <c r="BY2189" s="2" t="s">
        <v>277</v>
      </c>
      <c r="BZ2189" s="2" t="s">
        <v>243</v>
      </c>
      <c r="CA2189" s="2" t="s">
        <v>793</v>
      </c>
      <c r="CB2189" s="2" t="s">
        <v>231</v>
      </c>
      <c r="CC2189" s="2" t="s">
        <v>244</v>
      </c>
      <c r="CD2189" s="2" t="s">
        <v>231</v>
      </c>
      <c r="CE2189" s="4">
        <v>85</v>
      </c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</row>
    <row r="2190">
      <c r="A2190" s="2" t="s">
        <v>9602</v>
      </c>
      <c r="B2190" s="2" t="s">
        <v>801</v>
      </c>
      <c r="C2190" s="2" t="s">
        <v>1105</v>
      </c>
      <c r="D2190" s="2" t="s">
        <v>1114</v>
      </c>
      <c r="E2190" s="2" t="s">
        <v>1115</v>
      </c>
      <c r="F2190" s="2" t="s">
        <v>9603</v>
      </c>
      <c r="G2190" s="2" t="s">
        <v>9603</v>
      </c>
      <c r="H2190" s="2" t="s">
        <v>9603</v>
      </c>
      <c r="I2190" s="2" t="s">
        <v>8302</v>
      </c>
      <c r="J2190" s="2" t="s">
        <v>807</v>
      </c>
      <c r="K2190" s="2" t="s">
        <v>269</v>
      </c>
      <c r="L2190" s="3">
        <v>34</v>
      </c>
      <c r="M2190" s="3">
        <v>35.7</v>
      </c>
      <c r="N2190" s="3">
        <v>69.99</v>
      </c>
      <c r="O2190" s="2" t="s">
        <v>243</v>
      </c>
      <c r="P2190" s="2" t="s">
        <v>236</v>
      </c>
      <c r="Q2190" s="2" t="s">
        <v>237</v>
      </c>
      <c r="R2190" s="2" t="s">
        <v>231</v>
      </c>
      <c r="S2190" s="2" t="s">
        <v>231</v>
      </c>
      <c r="T2190" s="2" t="s">
        <v>231</v>
      </c>
      <c r="U2190" s="2" t="s">
        <v>327</v>
      </c>
      <c r="V2190" s="2" t="s">
        <v>662</v>
      </c>
      <c r="W2190" s="2" t="s">
        <v>792</v>
      </c>
      <c r="X2190" s="2" t="s">
        <v>273</v>
      </c>
      <c r="Y2190" s="2" t="s">
        <v>3693</v>
      </c>
      <c r="Z2190" s="4">
        <v>100</v>
      </c>
      <c r="AA2190" s="4">
        <f>=ROUNDDOWN({0},0)</f>
      </c>
      <c r="AB2190" s="5"/>
      <c r="AC2190" s="2" t="s">
        <v>231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231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231</v>
      </c>
      <c r="BD2190" s="8" t="s">
        <v>231</v>
      </c>
      <c r="BE2190" s="4" t="s">
        <v>231</v>
      </c>
      <c r="BF2190" s="8" t="s">
        <v>231</v>
      </c>
      <c r="BG2190" s="7" t="s">
        <v>231</v>
      </c>
      <c r="BH2190" s="7" t="s">
        <v>231</v>
      </c>
      <c r="BI2190" s="7"/>
      <c r="BJ2190" s="4"/>
      <c r="BK2190" s="8"/>
      <c r="BL2190" s="2" t="s">
        <v>231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241</v>
      </c>
      <c r="BV2190" s="2" t="s">
        <v>231</v>
      </c>
      <c r="BW2190" s="2" t="s">
        <v>231</v>
      </c>
      <c r="BX2190" s="2" t="s">
        <v>241</v>
      </c>
      <c r="BY2190" s="2" t="s">
        <v>242</v>
      </c>
      <c r="BZ2190" s="2" t="s">
        <v>243</v>
      </c>
      <c r="CA2190" s="2" t="s">
        <v>231</v>
      </c>
      <c r="CB2190" s="2" t="s">
        <v>231</v>
      </c>
      <c r="CC2190" s="2" t="s">
        <v>244</v>
      </c>
      <c r="CD2190" s="2" t="s">
        <v>231</v>
      </c>
      <c r="CE2190" s="4"/>
      <c r="CF2190" s="4">
        <v>100</v>
      </c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</row>
    <row r="2191">
      <c r="A2191" s="2" t="s">
        <v>9604</v>
      </c>
      <c r="B2191" s="2" t="s">
        <v>801</v>
      </c>
      <c r="C2191" s="2" t="s">
        <v>1105</v>
      </c>
      <c r="D2191" s="2" t="s">
        <v>1114</v>
      </c>
      <c r="E2191" s="2" t="s">
        <v>1115</v>
      </c>
      <c r="F2191" s="2" t="s">
        <v>9603</v>
      </c>
      <c r="G2191" s="2" t="s">
        <v>9603</v>
      </c>
      <c r="H2191" s="2" t="s">
        <v>9603</v>
      </c>
      <c r="I2191" s="2" t="s">
        <v>8302</v>
      </c>
      <c r="J2191" s="2" t="s">
        <v>807</v>
      </c>
      <c r="K2191" s="2" t="s">
        <v>2125</v>
      </c>
      <c r="L2191" s="3">
        <v>34</v>
      </c>
      <c r="M2191" s="3">
        <v>35.7</v>
      </c>
      <c r="N2191" s="3">
        <v>69.99</v>
      </c>
      <c r="O2191" s="2" t="s">
        <v>243</v>
      </c>
      <c r="P2191" s="2" t="s">
        <v>236</v>
      </c>
      <c r="Q2191" s="2" t="s">
        <v>237</v>
      </c>
      <c r="R2191" s="2" t="s">
        <v>231</v>
      </c>
      <c r="S2191" s="2" t="s">
        <v>231</v>
      </c>
      <c r="T2191" s="2" t="s">
        <v>231</v>
      </c>
      <c r="U2191" s="2" t="s">
        <v>327</v>
      </c>
      <c r="V2191" s="2" t="s">
        <v>662</v>
      </c>
      <c r="W2191" s="2" t="s">
        <v>792</v>
      </c>
      <c r="X2191" s="2" t="s">
        <v>273</v>
      </c>
      <c r="Y2191" s="2" t="s">
        <v>3693</v>
      </c>
      <c r="Z2191" s="4">
        <v>80</v>
      </c>
      <c r="AA2191" s="4">
        <f>=ROUNDDOWN({0},0)</f>
      </c>
      <c r="AB2191" s="5"/>
      <c r="AC2191" s="2" t="s">
        <v>231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231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 t="s">
        <v>231</v>
      </c>
      <c r="BD2191" s="8" t="s">
        <v>231</v>
      </c>
      <c r="BE2191" s="4" t="s">
        <v>231</v>
      </c>
      <c r="BF2191" s="8" t="s">
        <v>231</v>
      </c>
      <c r="BG2191" s="7" t="s">
        <v>231</v>
      </c>
      <c r="BH2191" s="7" t="s">
        <v>231</v>
      </c>
      <c r="BI2191" s="7"/>
      <c r="BJ2191" s="4"/>
      <c r="BK2191" s="8"/>
      <c r="BL2191" s="2" t="s">
        <v>231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241</v>
      </c>
      <c r="BV2191" s="2" t="s">
        <v>231</v>
      </c>
      <c r="BW2191" s="2" t="s">
        <v>231</v>
      </c>
      <c r="BX2191" s="2" t="s">
        <v>241</v>
      </c>
      <c r="BY2191" s="2" t="s">
        <v>242</v>
      </c>
      <c r="BZ2191" s="2" t="s">
        <v>243</v>
      </c>
      <c r="CA2191" s="2" t="s">
        <v>231</v>
      </c>
      <c r="CB2191" s="2" t="s">
        <v>231</v>
      </c>
      <c r="CC2191" s="2" t="s">
        <v>244</v>
      </c>
      <c r="CD2191" s="2" t="s">
        <v>231</v>
      </c>
      <c r="CE2191" s="4"/>
      <c r="CF2191" s="4">
        <v>80</v>
      </c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</row>
    <row r="2192">
      <c r="A2192" s="2" t="s">
        <v>9605</v>
      </c>
      <c r="B2192" s="2" t="s">
        <v>847</v>
      </c>
      <c r="C2192" s="2" t="s">
        <v>815</v>
      </c>
      <c r="D2192" s="2" t="s">
        <v>882</v>
      </c>
      <c r="E2192" s="2" t="s">
        <v>849</v>
      </c>
      <c r="F2192" s="2" t="s">
        <v>9606</v>
      </c>
      <c r="G2192" s="2" t="s">
        <v>9606</v>
      </c>
      <c r="H2192" s="2" t="s">
        <v>9606</v>
      </c>
      <c r="I2192" s="2" t="s">
        <v>9607</v>
      </c>
      <c r="J2192" s="2" t="s">
        <v>807</v>
      </c>
      <c r="K2192" s="2" t="s">
        <v>294</v>
      </c>
      <c r="L2192" s="3">
        <v>47.61</v>
      </c>
      <c r="M2192" s="3">
        <v>49.99</v>
      </c>
      <c r="N2192" s="3">
        <v>99.99</v>
      </c>
      <c r="O2192" s="2" t="s">
        <v>243</v>
      </c>
      <c r="P2192" s="2" t="s">
        <v>236</v>
      </c>
      <c r="Q2192" s="2" t="s">
        <v>237</v>
      </c>
      <c r="R2192" s="2" t="s">
        <v>231</v>
      </c>
      <c r="S2192" s="2" t="s">
        <v>231</v>
      </c>
      <c r="T2192" s="2" t="s">
        <v>231</v>
      </c>
      <c r="U2192" s="2" t="s">
        <v>791</v>
      </c>
      <c r="V2192" s="2" t="s">
        <v>5961</v>
      </c>
      <c r="W2192" s="2" t="s">
        <v>691</v>
      </c>
      <c r="X2192" s="2" t="s">
        <v>808</v>
      </c>
      <c r="Y2192" s="2" t="s">
        <v>5872</v>
      </c>
      <c r="Z2192" s="4">
        <v>65</v>
      </c>
      <c r="AA2192" s="4">
        <f>=ROUNDDOWN(65,0)</f>
      </c>
      <c r="AB2192" s="5">
        <v>1</v>
      </c>
      <c r="AC2192" s="2" t="s">
        <v>231</v>
      </c>
      <c r="AD2192" s="4"/>
      <c r="AE2192" s="4"/>
      <c r="AF2192" s="6">
        <v>63</v>
      </c>
      <c r="AG2192" s="6"/>
      <c r="AH2192" s="7">
        <v>1</v>
      </c>
      <c r="AI2192" s="4"/>
      <c r="AJ2192" s="4">
        <f>=ROUNDDOWN({0},0)</f>
      </c>
      <c r="AK2192" s="5"/>
      <c r="AL2192" s="2" t="s">
        <v>231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/>
      <c r="BD2192" s="8"/>
      <c r="BE2192" s="4"/>
      <c r="BF2192" s="8"/>
      <c r="BG2192" s="7"/>
      <c r="BH2192" s="7"/>
      <c r="BI2192" s="7"/>
      <c r="BJ2192" s="4">
        <v>2</v>
      </c>
      <c r="BK2192" s="8">
        <v>125.42</v>
      </c>
      <c r="BL2192" s="2" t="s">
        <v>1306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9608</v>
      </c>
      <c r="BV2192" s="2" t="s">
        <v>231</v>
      </c>
      <c r="BW2192" s="2" t="s">
        <v>231</v>
      </c>
      <c r="BX2192" s="2" t="s">
        <v>241</v>
      </c>
      <c r="BY2192" s="2" t="s">
        <v>277</v>
      </c>
      <c r="BZ2192" s="2" t="s">
        <v>243</v>
      </c>
      <c r="CA2192" s="2" t="s">
        <v>1583</v>
      </c>
      <c r="CB2192" s="2" t="s">
        <v>231</v>
      </c>
      <c r="CC2192" s="2" t="s">
        <v>244</v>
      </c>
      <c r="CD2192" s="2" t="s">
        <v>231</v>
      </c>
      <c r="CE2192" s="4"/>
      <c r="CF2192" s="4">
        <v>65</v>
      </c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</row>
    <row r="2193">
      <c r="A2193" s="2" t="s">
        <v>9609</v>
      </c>
      <c r="B2193" s="2" t="s">
        <v>1004</v>
      </c>
      <c r="C2193" s="2" t="s">
        <v>815</v>
      </c>
      <c r="D2193" s="2" t="s">
        <v>1689</v>
      </c>
      <c r="E2193" s="2" t="s">
        <v>1690</v>
      </c>
      <c r="F2193" s="2" t="s">
        <v>9610</v>
      </c>
      <c r="G2193" s="2" t="s">
        <v>9610</v>
      </c>
      <c r="H2193" s="2" t="s">
        <v>9610</v>
      </c>
      <c r="I2193" s="2" t="s">
        <v>9611</v>
      </c>
      <c r="J2193" s="2" t="s">
        <v>807</v>
      </c>
      <c r="K2193" s="2" t="s">
        <v>2321</v>
      </c>
      <c r="L2193" s="3">
        <v>353.78</v>
      </c>
      <c r="M2193" s="3">
        <v>371.47</v>
      </c>
      <c r="N2193" s="3">
        <v>739</v>
      </c>
      <c r="O2193" s="2" t="s">
        <v>243</v>
      </c>
      <c r="P2193" s="2" t="s">
        <v>1037</v>
      </c>
      <c r="Q2193" s="2" t="s">
        <v>237</v>
      </c>
      <c r="R2193" s="2" t="s">
        <v>231</v>
      </c>
      <c r="S2193" s="2" t="s">
        <v>231</v>
      </c>
      <c r="T2193" s="2" t="s">
        <v>231</v>
      </c>
      <c r="U2193" s="2" t="s">
        <v>791</v>
      </c>
      <c r="V2193" s="2" t="s">
        <v>239</v>
      </c>
      <c r="W2193" s="2" t="s">
        <v>808</v>
      </c>
      <c r="X2193" s="2" t="s">
        <v>231</v>
      </c>
      <c r="Y2193" s="2" t="s">
        <v>6241</v>
      </c>
      <c r="Z2193" s="4">
        <v>187</v>
      </c>
      <c r="AA2193" s="4">
        <f>=ROUNDDOWN({0},0)</f>
      </c>
      <c r="AB2193" s="5"/>
      <c r="AC2193" s="2" t="s">
        <v>231</v>
      </c>
      <c r="AD2193" s="4"/>
      <c r="AE2193" s="4"/>
      <c r="AF2193" s="6"/>
      <c r="AG2193" s="6"/>
      <c r="AH2193" s="7">
        <v>1</v>
      </c>
      <c r="AI2193" s="4"/>
      <c r="AJ2193" s="4">
        <f>=ROUNDDOWN({0},0)</f>
      </c>
      <c r="AK2193" s="5"/>
      <c r="AL2193" s="2" t="s">
        <v>231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231</v>
      </c>
      <c r="BD2193" s="8" t="s">
        <v>231</v>
      </c>
      <c r="BE2193" s="4" t="s">
        <v>231</v>
      </c>
      <c r="BF2193" s="8" t="s">
        <v>231</v>
      </c>
      <c r="BG2193" s="7" t="s">
        <v>231</v>
      </c>
      <c r="BH2193" s="7" t="s">
        <v>231</v>
      </c>
      <c r="BI2193" s="7"/>
      <c r="BJ2193" s="4"/>
      <c r="BK2193" s="8"/>
      <c r="BL2193" s="2" t="s">
        <v>231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9612</v>
      </c>
      <c r="BV2193" s="2" t="s">
        <v>231</v>
      </c>
      <c r="BW2193" s="2" t="s">
        <v>231</v>
      </c>
      <c r="BX2193" s="2" t="s">
        <v>241</v>
      </c>
      <c r="BY2193" s="2" t="s">
        <v>277</v>
      </c>
      <c r="BZ2193" s="2" t="s">
        <v>243</v>
      </c>
      <c r="CA2193" s="2" t="s">
        <v>7714</v>
      </c>
      <c r="CB2193" s="2" t="s">
        <v>231</v>
      </c>
      <c r="CC2193" s="2" t="s">
        <v>244</v>
      </c>
      <c r="CD2193" s="2" t="s">
        <v>231</v>
      </c>
      <c r="CE2193" s="4"/>
      <c r="CF2193" s="4">
        <v>186</v>
      </c>
      <c r="CG2193" s="4"/>
      <c r="CH2193" s="4"/>
      <c r="CI2193" s="4">
        <v>1</v>
      </c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</row>
    <row r="2194">
      <c r="A2194" s="2" t="s">
        <v>9613</v>
      </c>
      <c r="B2194" s="2" t="s">
        <v>1004</v>
      </c>
      <c r="C2194" s="2" t="s">
        <v>815</v>
      </c>
      <c r="D2194" s="2" t="s">
        <v>1689</v>
      </c>
      <c r="E2194" s="2" t="s">
        <v>1690</v>
      </c>
      <c r="F2194" s="2" t="s">
        <v>9610</v>
      </c>
      <c r="G2194" s="2" t="s">
        <v>9610</v>
      </c>
      <c r="H2194" s="2" t="s">
        <v>231</v>
      </c>
      <c r="I2194" s="2" t="s">
        <v>9611</v>
      </c>
      <c r="J2194" s="2" t="s">
        <v>807</v>
      </c>
      <c r="K2194" s="2" t="s">
        <v>269</v>
      </c>
      <c r="L2194" s="3">
        <v>353.78</v>
      </c>
      <c r="M2194" s="3">
        <v>371.47</v>
      </c>
      <c r="N2194" s="3">
        <v>739</v>
      </c>
      <c r="O2194" s="2" t="s">
        <v>243</v>
      </c>
      <c r="P2194" s="2" t="s">
        <v>1037</v>
      </c>
      <c r="Q2194" s="2" t="s">
        <v>237</v>
      </c>
      <c r="R2194" s="2" t="s">
        <v>16</v>
      </c>
      <c r="S2194" s="2" t="s">
        <v>9614</v>
      </c>
      <c r="T2194" s="2" t="s">
        <v>231</v>
      </c>
      <c r="U2194" s="2" t="s">
        <v>791</v>
      </c>
      <c r="V2194" s="2" t="s">
        <v>239</v>
      </c>
      <c r="W2194" s="2" t="s">
        <v>808</v>
      </c>
      <c r="X2194" s="2" t="s">
        <v>231</v>
      </c>
      <c r="Y2194" s="2" t="s">
        <v>9615</v>
      </c>
      <c r="Z2194" s="4">
        <v>411</v>
      </c>
      <c r="AA2194" s="4">
        <f>=ROUNDDOWN({0},0)</f>
      </c>
      <c r="AB2194" s="5"/>
      <c r="AC2194" s="2" t="s">
        <v>1128</v>
      </c>
      <c r="AD2194" s="4">
        <v>40</v>
      </c>
      <c r="AE2194" s="4">
        <v>119</v>
      </c>
      <c r="AF2194" s="6"/>
      <c r="AG2194" s="6"/>
      <c r="AH2194" s="7">
        <v>1</v>
      </c>
      <c r="AI2194" s="4"/>
      <c r="AJ2194" s="4">
        <f>=ROUNDDOWN({0},0)</f>
      </c>
      <c r="AK2194" s="5"/>
      <c r="AL2194" s="2" t="s">
        <v>4449</v>
      </c>
      <c r="AM2194" s="4">
        <v>57</v>
      </c>
      <c r="AN2194" s="4">
        <v>84</v>
      </c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231</v>
      </c>
      <c r="BD2194" s="8" t="s">
        <v>231</v>
      </c>
      <c r="BE2194" s="4" t="s">
        <v>231</v>
      </c>
      <c r="BF2194" s="8" t="s">
        <v>231</v>
      </c>
      <c r="BG2194" s="7" t="s">
        <v>231</v>
      </c>
      <c r="BH2194" s="7" t="s">
        <v>231</v>
      </c>
      <c r="BI2194" s="7"/>
      <c r="BJ2194" s="4"/>
      <c r="BK2194" s="8"/>
      <c r="BL2194" s="2" t="s">
        <v>231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9616</v>
      </c>
      <c r="BV2194" s="2" t="s">
        <v>231</v>
      </c>
      <c r="BW2194" s="2" t="s">
        <v>231</v>
      </c>
      <c r="BX2194" s="2" t="s">
        <v>241</v>
      </c>
      <c r="BY2194" s="2" t="s">
        <v>277</v>
      </c>
      <c r="BZ2194" s="2" t="s">
        <v>243</v>
      </c>
      <c r="CA2194" s="2" t="s">
        <v>3896</v>
      </c>
      <c r="CB2194" s="2" t="s">
        <v>3973</v>
      </c>
      <c r="CC2194" s="2" t="s">
        <v>244</v>
      </c>
      <c r="CD2194" s="2" t="s">
        <v>231</v>
      </c>
      <c r="CE2194" s="4"/>
      <c r="CF2194" s="4">
        <v>330</v>
      </c>
      <c r="CG2194" s="4"/>
      <c r="CH2194" s="4"/>
      <c r="CI2194" s="4">
        <v>81</v>
      </c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>
        <v>40</v>
      </c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>
        <v>79</v>
      </c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>
        <v>57</v>
      </c>
      <c r="HJ2194" s="4"/>
      <c r="HK2194" s="4">
        <v>27</v>
      </c>
      <c r="HL2194" s="4"/>
    </row>
    <row r="2195">
      <c r="A2195" s="2" t="s">
        <v>9617</v>
      </c>
      <c r="B2195" s="2" t="s">
        <v>1004</v>
      </c>
      <c r="C2195" s="2" t="s">
        <v>815</v>
      </c>
      <c r="D2195" s="2" t="s">
        <v>1689</v>
      </c>
      <c r="E2195" s="2" t="s">
        <v>1690</v>
      </c>
      <c r="F2195" s="2" t="s">
        <v>9610</v>
      </c>
      <c r="G2195" s="2" t="s">
        <v>9610</v>
      </c>
      <c r="H2195" s="2" t="s">
        <v>9610</v>
      </c>
      <c r="I2195" s="2" t="s">
        <v>1690</v>
      </c>
      <c r="J2195" s="2" t="s">
        <v>807</v>
      </c>
      <c r="K2195" s="2" t="s">
        <v>682</v>
      </c>
      <c r="L2195" s="3">
        <v>180.5</v>
      </c>
      <c r="M2195" s="3">
        <v>189.52</v>
      </c>
      <c r="N2195" s="3">
        <v>379</v>
      </c>
      <c r="O2195" s="2" t="s">
        <v>243</v>
      </c>
      <c r="P2195" s="2" t="s">
        <v>871</v>
      </c>
      <c r="Q2195" s="2" t="s">
        <v>237</v>
      </c>
      <c r="R2195" s="2" t="s">
        <v>231</v>
      </c>
      <c r="S2195" s="2" t="s">
        <v>231</v>
      </c>
      <c r="T2195" s="2" t="s">
        <v>231</v>
      </c>
      <c r="U2195" s="2" t="s">
        <v>327</v>
      </c>
      <c r="V2195" s="2" t="s">
        <v>239</v>
      </c>
      <c r="W2195" s="2" t="s">
        <v>808</v>
      </c>
      <c r="X2195" s="2" t="s">
        <v>231</v>
      </c>
      <c r="Y2195" s="2" t="s">
        <v>9618</v>
      </c>
      <c r="Z2195" s="4">
        <v>118</v>
      </c>
      <c r="AA2195" s="4">
        <f>=ROUNDDOWN(56.1904761904762,0)</f>
      </c>
      <c r="AB2195" s="5">
        <v>2.1</v>
      </c>
      <c r="AC2195" s="2" t="s">
        <v>1128</v>
      </c>
      <c r="AD2195" s="4">
        <v>30</v>
      </c>
      <c r="AE2195" s="4">
        <v>226</v>
      </c>
      <c r="AF2195" s="6">
        <v>74</v>
      </c>
      <c r="AG2195" s="6">
        <v>60</v>
      </c>
      <c r="AH2195" s="7">
        <v>1</v>
      </c>
      <c r="AI2195" s="4"/>
      <c r="AJ2195" s="4">
        <f>=ROUNDDOWN({0},0)</f>
      </c>
      <c r="AK2195" s="5"/>
      <c r="AL2195" s="2" t="s">
        <v>2251</v>
      </c>
      <c r="AM2195" s="4">
        <v>50</v>
      </c>
      <c r="AN2195" s="4">
        <v>50</v>
      </c>
      <c r="AO2195" s="7">
        <v>0</v>
      </c>
      <c r="AP2195" s="4"/>
      <c r="AQ2195" s="8"/>
      <c r="AR2195" s="4"/>
      <c r="AS2195" s="8"/>
      <c r="AT2195" s="7"/>
      <c r="AU2195" s="7"/>
      <c r="AV2195" s="4" t="s">
        <v>231</v>
      </c>
      <c r="AW2195" s="8" t="s">
        <v>231</v>
      </c>
      <c r="AX2195" s="4" t="s">
        <v>231</v>
      </c>
      <c r="AY2195" s="8" t="s">
        <v>231</v>
      </c>
      <c r="AZ2195" s="7" t="s">
        <v>231</v>
      </c>
      <c r="BA2195" s="7" t="s">
        <v>231</v>
      </c>
      <c r="BB2195" s="7" t="s">
        <v>231</v>
      </c>
      <c r="BC2195" s="4" t="s">
        <v>231</v>
      </c>
      <c r="BD2195" s="8" t="s">
        <v>231</v>
      </c>
      <c r="BE2195" s="4" t="s">
        <v>231</v>
      </c>
      <c r="BF2195" s="8" t="s">
        <v>231</v>
      </c>
      <c r="BG2195" s="7" t="s">
        <v>231</v>
      </c>
      <c r="BH2195" s="7" t="s">
        <v>231</v>
      </c>
      <c r="BI2195" s="7"/>
      <c r="BJ2195" s="4">
        <v>78</v>
      </c>
      <c r="BK2195" s="8">
        <v>12164.94</v>
      </c>
      <c r="BL2195" s="2" t="s">
        <v>9619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9620</v>
      </c>
      <c r="BV2195" s="2" t="s">
        <v>231</v>
      </c>
      <c r="BW2195" s="2" t="s">
        <v>231</v>
      </c>
      <c r="BX2195" s="2" t="s">
        <v>241</v>
      </c>
      <c r="BY2195" s="2" t="s">
        <v>277</v>
      </c>
      <c r="BZ2195" s="2" t="s">
        <v>243</v>
      </c>
      <c r="CA2195" s="2" t="s">
        <v>2440</v>
      </c>
      <c r="CB2195" s="2" t="s">
        <v>9621</v>
      </c>
      <c r="CC2195" s="2" t="s">
        <v>244</v>
      </c>
      <c r="CD2195" s="2" t="s">
        <v>231</v>
      </c>
      <c r="CE2195" s="4"/>
      <c r="CF2195" s="4">
        <v>118</v>
      </c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>
        <v>30</v>
      </c>
      <c r="DP2195" s="4"/>
      <c r="DQ2195" s="4"/>
      <c r="DR2195" s="4"/>
      <c r="DS2195" s="4"/>
      <c r="DT2195" s="4">
        <v>76</v>
      </c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>
        <v>50</v>
      </c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>
        <v>70</v>
      </c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>
        <v>50</v>
      </c>
      <c r="HL2195" s="4"/>
    </row>
    <row r="2196">
      <c r="A2196" s="2" t="s">
        <v>9622</v>
      </c>
      <c r="B2196" s="2" t="s">
        <v>1004</v>
      </c>
      <c r="C2196" s="2" t="s">
        <v>815</v>
      </c>
      <c r="D2196" s="2" t="s">
        <v>1689</v>
      </c>
      <c r="E2196" s="2" t="s">
        <v>1690</v>
      </c>
      <c r="F2196" s="2" t="s">
        <v>9610</v>
      </c>
      <c r="G2196" s="2" t="s">
        <v>9610</v>
      </c>
      <c r="H2196" s="2" t="s">
        <v>9610</v>
      </c>
      <c r="I2196" s="2" t="s">
        <v>9611</v>
      </c>
      <c r="J2196" s="2" t="s">
        <v>807</v>
      </c>
      <c r="K2196" s="2" t="s">
        <v>682</v>
      </c>
      <c r="L2196" s="3">
        <v>353.78</v>
      </c>
      <c r="M2196" s="3">
        <v>371.47</v>
      </c>
      <c r="N2196" s="3">
        <v>739</v>
      </c>
      <c r="O2196" s="2" t="s">
        <v>243</v>
      </c>
      <c r="P2196" s="2" t="s">
        <v>1037</v>
      </c>
      <c r="Q2196" s="2" t="s">
        <v>237</v>
      </c>
      <c r="R2196" s="2" t="s">
        <v>231</v>
      </c>
      <c r="S2196" s="2" t="s">
        <v>231</v>
      </c>
      <c r="T2196" s="2" t="s">
        <v>231</v>
      </c>
      <c r="U2196" s="2" t="s">
        <v>791</v>
      </c>
      <c r="V2196" s="2" t="s">
        <v>239</v>
      </c>
      <c r="W2196" s="2" t="s">
        <v>808</v>
      </c>
      <c r="X2196" s="2" t="s">
        <v>231</v>
      </c>
      <c r="Y2196" s="2" t="s">
        <v>4921</v>
      </c>
      <c r="Z2196" s="4">
        <v>59</v>
      </c>
      <c r="AA2196" s="4">
        <f>=ROUNDDOWN({0},0)</f>
      </c>
      <c r="AB2196" s="5"/>
      <c r="AC2196" s="2" t="s">
        <v>1128</v>
      </c>
      <c r="AD2196" s="4">
        <v>15</v>
      </c>
      <c r="AE2196" s="4">
        <v>113</v>
      </c>
      <c r="AF2196" s="6"/>
      <c r="AG2196" s="6"/>
      <c r="AH2196" s="7">
        <v>1</v>
      </c>
      <c r="AI2196" s="4"/>
      <c r="AJ2196" s="4">
        <f>=ROUNDDOWN({0},0)</f>
      </c>
      <c r="AK2196" s="5"/>
      <c r="AL2196" s="2" t="s">
        <v>2251</v>
      </c>
      <c r="AM2196" s="4">
        <v>25</v>
      </c>
      <c r="AN2196" s="4">
        <v>25</v>
      </c>
      <c r="AO2196" s="7">
        <v>0</v>
      </c>
      <c r="AP2196" s="4"/>
      <c r="AQ2196" s="8"/>
      <c r="AR2196" s="4"/>
      <c r="AS2196" s="8"/>
      <c r="AT2196" s="7"/>
      <c r="AU2196" s="7"/>
      <c r="AV2196" s="4" t="s">
        <v>231</v>
      </c>
      <c r="AW2196" s="8" t="s">
        <v>231</v>
      </c>
      <c r="AX2196" s="4" t="s">
        <v>231</v>
      </c>
      <c r="AY2196" s="8" t="s">
        <v>231</v>
      </c>
      <c r="AZ2196" s="7" t="s">
        <v>231</v>
      </c>
      <c r="BA2196" s="7" t="s">
        <v>231</v>
      </c>
      <c r="BB2196" s="7" t="s">
        <v>231</v>
      </c>
      <c r="BC2196" s="4" t="s">
        <v>231</v>
      </c>
      <c r="BD2196" s="8" t="s">
        <v>231</v>
      </c>
      <c r="BE2196" s="4" t="s">
        <v>231</v>
      </c>
      <c r="BF2196" s="8" t="s">
        <v>231</v>
      </c>
      <c r="BG2196" s="7" t="s">
        <v>231</v>
      </c>
      <c r="BH2196" s="7" t="s">
        <v>231</v>
      </c>
      <c r="BI2196" s="7"/>
      <c r="BJ2196" s="4"/>
      <c r="BK2196" s="8"/>
      <c r="BL2196" s="2" t="s">
        <v>231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9623</v>
      </c>
      <c r="BV2196" s="2" t="s">
        <v>231</v>
      </c>
      <c r="BW2196" s="2" t="s">
        <v>231</v>
      </c>
      <c r="BX2196" s="2" t="s">
        <v>241</v>
      </c>
      <c r="BY2196" s="2" t="s">
        <v>277</v>
      </c>
      <c r="BZ2196" s="2" t="s">
        <v>243</v>
      </c>
      <c r="CA2196" s="2" t="s">
        <v>7714</v>
      </c>
      <c r="CB2196" s="2" t="s">
        <v>231</v>
      </c>
      <c r="CC2196" s="2" t="s">
        <v>244</v>
      </c>
      <c r="CD2196" s="2" t="s">
        <v>231</v>
      </c>
      <c r="CE2196" s="4"/>
      <c r="CF2196" s="4">
        <v>59</v>
      </c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>
        <v>15</v>
      </c>
      <c r="DP2196" s="4"/>
      <c r="DQ2196" s="4"/>
      <c r="DR2196" s="4"/>
      <c r="DS2196" s="4"/>
      <c r="DT2196" s="4">
        <v>38</v>
      </c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>
        <v>25</v>
      </c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>
        <v>35</v>
      </c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>
        <v>25</v>
      </c>
      <c r="HL2196" s="4"/>
    </row>
    <row r="2197">
      <c r="A2197" s="2" t="s">
        <v>9624</v>
      </c>
      <c r="B2197" s="2" t="s">
        <v>1389</v>
      </c>
      <c r="C2197" s="2" t="s">
        <v>288</v>
      </c>
      <c r="D2197" s="2" t="s">
        <v>1389</v>
      </c>
      <c r="E2197" s="2" t="s">
        <v>1389</v>
      </c>
      <c r="F2197" s="2" t="s">
        <v>9610</v>
      </c>
      <c r="G2197" s="2" t="s">
        <v>1419</v>
      </c>
      <c r="H2197" s="2" t="s">
        <v>9625</v>
      </c>
      <c r="I2197" s="2" t="s">
        <v>9626</v>
      </c>
      <c r="J2197" s="2" t="s">
        <v>4988</v>
      </c>
      <c r="K2197" s="2" t="s">
        <v>9627</v>
      </c>
      <c r="L2197" s="3">
        <v>32.8</v>
      </c>
      <c r="M2197" s="3">
        <v>34.44</v>
      </c>
      <c r="N2197" s="3">
        <v>74.99</v>
      </c>
      <c r="O2197" s="2" t="s">
        <v>243</v>
      </c>
      <c r="P2197" s="2" t="s">
        <v>341</v>
      </c>
      <c r="Q2197" s="2" t="s">
        <v>237</v>
      </c>
      <c r="R2197" s="2" t="s">
        <v>231</v>
      </c>
      <c r="S2197" s="2" t="s">
        <v>231</v>
      </c>
      <c r="T2197" s="2" t="s">
        <v>231</v>
      </c>
      <c r="U2197" s="2" t="s">
        <v>327</v>
      </c>
      <c r="V2197" s="2" t="s">
        <v>836</v>
      </c>
      <c r="W2197" s="2" t="s">
        <v>691</v>
      </c>
      <c r="X2197" s="2" t="s">
        <v>231</v>
      </c>
      <c r="Y2197" s="2" t="s">
        <v>3198</v>
      </c>
      <c r="Z2197" s="4">
        <v>49</v>
      </c>
      <c r="AA2197" s="4">
        <f>=ROUNDDOWN(245,0)</f>
      </c>
      <c r="AB2197" s="5">
        <v>0.2</v>
      </c>
      <c r="AC2197" s="2" t="s">
        <v>231</v>
      </c>
      <c r="AD2197" s="4"/>
      <c r="AE2197" s="4"/>
      <c r="AF2197" s="6">
        <v>63</v>
      </c>
      <c r="AG2197" s="6"/>
      <c r="AH2197" s="7">
        <v>1</v>
      </c>
      <c r="AI2197" s="4"/>
      <c r="AJ2197" s="4">
        <f>=ROUNDDOWN({0},0)</f>
      </c>
      <c r="AK2197" s="5"/>
      <c r="AL2197" s="2" t="s">
        <v>231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231</v>
      </c>
      <c r="BD2197" s="8" t="s">
        <v>231</v>
      </c>
      <c r="BE2197" s="4" t="s">
        <v>231</v>
      </c>
      <c r="BF2197" s="8" t="s">
        <v>231</v>
      </c>
      <c r="BG2197" s="7" t="s">
        <v>231</v>
      </c>
      <c r="BH2197" s="7" t="s">
        <v>231</v>
      </c>
      <c r="BI2197" s="7"/>
      <c r="BJ2197" s="4">
        <v>1</v>
      </c>
      <c r="BK2197" s="8">
        <v>36.16</v>
      </c>
      <c r="BL2197" s="2" t="s">
        <v>9628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9629</v>
      </c>
      <c r="BV2197" s="2" t="s">
        <v>231</v>
      </c>
      <c r="BW2197" s="2" t="s">
        <v>231</v>
      </c>
      <c r="BX2197" s="2" t="s">
        <v>231</v>
      </c>
      <c r="BY2197" s="2" t="s">
        <v>277</v>
      </c>
      <c r="BZ2197" s="2" t="s">
        <v>243</v>
      </c>
      <c r="CA2197" s="2" t="s">
        <v>8773</v>
      </c>
      <c r="CB2197" s="2" t="s">
        <v>231</v>
      </c>
      <c r="CC2197" s="2" t="s">
        <v>244</v>
      </c>
      <c r="CD2197" s="2" t="s">
        <v>231</v>
      </c>
      <c r="CE2197" s="4"/>
      <c r="CF2197" s="4">
        <v>49</v>
      </c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</row>
    <row r="2198">
      <c r="A2198" s="2" t="s">
        <v>9630</v>
      </c>
      <c r="B2198" s="2" t="s">
        <v>1004</v>
      </c>
      <c r="C2198" s="2" t="s">
        <v>815</v>
      </c>
      <c r="D2198" s="2" t="s">
        <v>1689</v>
      </c>
      <c r="E2198" s="2" t="s">
        <v>1690</v>
      </c>
      <c r="F2198" s="2" t="s">
        <v>9610</v>
      </c>
      <c r="G2198" s="2" t="s">
        <v>9610</v>
      </c>
      <c r="H2198" s="2" t="s">
        <v>9610</v>
      </c>
      <c r="I2198" s="2" t="s">
        <v>9611</v>
      </c>
      <c r="J2198" s="2" t="s">
        <v>807</v>
      </c>
      <c r="K2198" s="2" t="s">
        <v>1939</v>
      </c>
      <c r="L2198" s="3">
        <v>353.78</v>
      </c>
      <c r="M2198" s="3">
        <v>371.47</v>
      </c>
      <c r="N2198" s="3">
        <v>739</v>
      </c>
      <c r="O2198" s="2" t="s">
        <v>243</v>
      </c>
      <c r="P2198" s="2" t="s">
        <v>1037</v>
      </c>
      <c r="Q2198" s="2" t="s">
        <v>237</v>
      </c>
      <c r="R2198" s="2" t="s">
        <v>231</v>
      </c>
      <c r="S2198" s="2" t="s">
        <v>231</v>
      </c>
      <c r="T2198" s="2" t="s">
        <v>231</v>
      </c>
      <c r="U2198" s="2" t="s">
        <v>791</v>
      </c>
      <c r="V2198" s="2" t="s">
        <v>239</v>
      </c>
      <c r="W2198" s="2" t="s">
        <v>808</v>
      </c>
      <c r="X2198" s="2" t="s">
        <v>231</v>
      </c>
      <c r="Y2198" s="2" t="s">
        <v>8383</v>
      </c>
      <c r="Z2198" s="4">
        <v>76</v>
      </c>
      <c r="AA2198" s="4">
        <f>=ROUNDDOWN({0},0)</f>
      </c>
      <c r="AB2198" s="5"/>
      <c r="AC2198" s="2" t="s">
        <v>1128</v>
      </c>
      <c r="AD2198" s="4">
        <v>20</v>
      </c>
      <c r="AE2198" s="4">
        <v>65</v>
      </c>
      <c r="AF2198" s="6"/>
      <c r="AG2198" s="6"/>
      <c r="AH2198" s="7">
        <v>1</v>
      </c>
      <c r="AI2198" s="4"/>
      <c r="AJ2198" s="4">
        <f>=ROUNDDOWN({0},0)</f>
      </c>
      <c r="AK2198" s="5"/>
      <c r="AL2198" s="2" t="s">
        <v>4449</v>
      </c>
      <c r="AM2198" s="4">
        <v>30</v>
      </c>
      <c r="AN2198" s="4">
        <v>30</v>
      </c>
      <c r="AO2198" s="7">
        <v>0</v>
      </c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 t="s">
        <v>231</v>
      </c>
      <c r="BD2198" s="8" t="s">
        <v>231</v>
      </c>
      <c r="BE2198" s="4" t="s">
        <v>231</v>
      </c>
      <c r="BF2198" s="8" t="s">
        <v>231</v>
      </c>
      <c r="BG2198" s="7" t="s">
        <v>231</v>
      </c>
      <c r="BH2198" s="7" t="s">
        <v>231</v>
      </c>
      <c r="BI2198" s="7"/>
      <c r="BJ2198" s="4"/>
      <c r="BK2198" s="8"/>
      <c r="BL2198" s="2" t="s">
        <v>231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9631</v>
      </c>
      <c r="BV2198" s="2" t="s">
        <v>231</v>
      </c>
      <c r="BW2198" s="2" t="s">
        <v>231</v>
      </c>
      <c r="BX2198" s="2" t="s">
        <v>241</v>
      </c>
      <c r="BY2198" s="2" t="s">
        <v>277</v>
      </c>
      <c r="BZ2198" s="2" t="s">
        <v>243</v>
      </c>
      <c r="CA2198" s="2" t="s">
        <v>7714</v>
      </c>
      <c r="CB2198" s="2" t="s">
        <v>231</v>
      </c>
      <c r="CC2198" s="2" t="s">
        <v>244</v>
      </c>
      <c r="CD2198" s="2" t="s">
        <v>231</v>
      </c>
      <c r="CE2198" s="4"/>
      <c r="CF2198" s="4">
        <v>76</v>
      </c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>
        <v>20</v>
      </c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>
        <v>34</v>
      </c>
      <c r="FJ2198" s="4"/>
      <c r="FK2198" s="4"/>
      <c r="FL2198" s="4"/>
      <c r="FM2198" s="4"/>
      <c r="FN2198" s="4"/>
      <c r="FO2198" s="4">
        <v>11</v>
      </c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>
        <v>30</v>
      </c>
      <c r="HJ2198" s="4"/>
      <c r="HK2198" s="4"/>
      <c r="HL2198" s="4"/>
    </row>
    <row r="2199">
      <c r="A2199" s="2" t="s">
        <v>9632</v>
      </c>
      <c r="B2199" s="2" t="s">
        <v>1004</v>
      </c>
      <c r="C2199" s="2" t="s">
        <v>815</v>
      </c>
      <c r="D2199" s="2" t="s">
        <v>1689</v>
      </c>
      <c r="E2199" s="2" t="s">
        <v>1690</v>
      </c>
      <c r="F2199" s="2" t="s">
        <v>9610</v>
      </c>
      <c r="G2199" s="2" t="s">
        <v>9610</v>
      </c>
      <c r="H2199" s="2" t="s">
        <v>9610</v>
      </c>
      <c r="I2199" s="2" t="s">
        <v>9611</v>
      </c>
      <c r="J2199" s="2" t="s">
        <v>807</v>
      </c>
      <c r="K2199" s="2" t="s">
        <v>747</v>
      </c>
      <c r="L2199" s="3">
        <v>353.78</v>
      </c>
      <c r="M2199" s="3">
        <v>371.47</v>
      </c>
      <c r="N2199" s="3">
        <v>739</v>
      </c>
      <c r="O2199" s="2" t="s">
        <v>243</v>
      </c>
      <c r="P2199" s="2" t="s">
        <v>1037</v>
      </c>
      <c r="Q2199" s="2" t="s">
        <v>237</v>
      </c>
      <c r="R2199" s="2" t="s">
        <v>231</v>
      </c>
      <c r="S2199" s="2" t="s">
        <v>231</v>
      </c>
      <c r="T2199" s="2" t="s">
        <v>231</v>
      </c>
      <c r="U2199" s="2" t="s">
        <v>791</v>
      </c>
      <c r="V2199" s="2" t="s">
        <v>239</v>
      </c>
      <c r="W2199" s="2" t="s">
        <v>808</v>
      </c>
      <c r="X2199" s="2" t="s">
        <v>231</v>
      </c>
      <c r="Y2199" s="2" t="s">
        <v>4921</v>
      </c>
      <c r="Z2199" s="4">
        <v>113</v>
      </c>
      <c r="AA2199" s="4">
        <f>=ROUNDDOWN({0},0)</f>
      </c>
      <c r="AB2199" s="5"/>
      <c r="AC2199" s="2" t="s">
        <v>231</v>
      </c>
      <c r="AD2199" s="4"/>
      <c r="AE2199" s="4"/>
      <c r="AF2199" s="6"/>
      <c r="AG2199" s="6"/>
      <c r="AH2199" s="7">
        <v>1</v>
      </c>
      <c r="AI2199" s="4"/>
      <c r="AJ2199" s="4">
        <f>=ROUNDDOWN({0},0)</f>
      </c>
      <c r="AK2199" s="5"/>
      <c r="AL2199" s="2" t="s">
        <v>231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 t="s">
        <v>231</v>
      </c>
      <c r="BD2199" s="8" t="s">
        <v>231</v>
      </c>
      <c r="BE2199" s="4" t="s">
        <v>231</v>
      </c>
      <c r="BF2199" s="8" t="s">
        <v>231</v>
      </c>
      <c r="BG2199" s="7" t="s">
        <v>231</v>
      </c>
      <c r="BH2199" s="7" t="s">
        <v>231</v>
      </c>
      <c r="BI2199" s="7"/>
      <c r="BJ2199" s="4"/>
      <c r="BK2199" s="8"/>
      <c r="BL2199" s="2" t="s">
        <v>231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9633</v>
      </c>
      <c r="BV2199" s="2" t="s">
        <v>231</v>
      </c>
      <c r="BW2199" s="2" t="s">
        <v>231</v>
      </c>
      <c r="BX2199" s="2" t="s">
        <v>241</v>
      </c>
      <c r="BY2199" s="2" t="s">
        <v>277</v>
      </c>
      <c r="BZ2199" s="2" t="s">
        <v>243</v>
      </c>
      <c r="CA2199" s="2" t="s">
        <v>7714</v>
      </c>
      <c r="CB2199" s="2" t="s">
        <v>231</v>
      </c>
      <c r="CC2199" s="2" t="s">
        <v>244</v>
      </c>
      <c r="CD2199" s="2" t="s">
        <v>231</v>
      </c>
      <c r="CE2199" s="4"/>
      <c r="CF2199" s="4">
        <v>113</v>
      </c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  <c r="HG2199" s="4"/>
      <c r="HH2199" s="4"/>
      <c r="HI2199" s="4"/>
      <c r="HJ2199" s="4"/>
      <c r="HK2199" s="4"/>
      <c r="HL2199" s="4"/>
    </row>
    <row r="2200">
      <c r="A2200" s="2" t="s">
        <v>9634</v>
      </c>
      <c r="B2200" s="2" t="s">
        <v>1389</v>
      </c>
      <c r="C2200" s="2" t="s">
        <v>288</v>
      </c>
      <c r="D2200" s="2" t="s">
        <v>1389</v>
      </c>
      <c r="E2200" s="2" t="s">
        <v>1389</v>
      </c>
      <c r="F2200" s="2" t="s">
        <v>9610</v>
      </c>
      <c r="G2200" s="2" t="s">
        <v>1419</v>
      </c>
      <c r="H2200" s="2" t="s">
        <v>9625</v>
      </c>
      <c r="I2200" s="2" t="s">
        <v>9626</v>
      </c>
      <c r="J2200" s="2" t="s">
        <v>1393</v>
      </c>
      <c r="K2200" s="2" t="s">
        <v>870</v>
      </c>
      <c r="L2200" s="3">
        <v>57.32</v>
      </c>
      <c r="M2200" s="3">
        <v>60.19</v>
      </c>
      <c r="N2200" s="3">
        <v>129.99</v>
      </c>
      <c r="O2200" s="2" t="s">
        <v>243</v>
      </c>
      <c r="P2200" s="2" t="s">
        <v>341</v>
      </c>
      <c r="Q2200" s="2" t="s">
        <v>237</v>
      </c>
      <c r="R2200" s="2" t="s">
        <v>231</v>
      </c>
      <c r="S2200" s="2" t="s">
        <v>231</v>
      </c>
      <c r="T2200" s="2" t="s">
        <v>231</v>
      </c>
      <c r="U2200" s="2" t="s">
        <v>327</v>
      </c>
      <c r="V2200" s="2" t="s">
        <v>836</v>
      </c>
      <c r="W2200" s="2" t="s">
        <v>691</v>
      </c>
      <c r="X2200" s="2" t="s">
        <v>231</v>
      </c>
      <c r="Y2200" s="2" t="s">
        <v>9635</v>
      </c>
      <c r="Z2200" s="4">
        <v>168</v>
      </c>
      <c r="AA2200" s="4">
        <f>=ROUNDDOWN(168,0)</f>
      </c>
      <c r="AB2200" s="5">
        <v>1</v>
      </c>
      <c r="AC2200" s="2" t="s">
        <v>231</v>
      </c>
      <c r="AD2200" s="4"/>
      <c r="AE2200" s="4"/>
      <c r="AF2200" s="6">
        <v>63</v>
      </c>
      <c r="AG2200" s="6"/>
      <c r="AH2200" s="7">
        <v>1</v>
      </c>
      <c r="AI2200" s="4"/>
      <c r="AJ2200" s="4">
        <f>=ROUNDDOWN({0},0)</f>
      </c>
      <c r="AK2200" s="5"/>
      <c r="AL2200" s="2" t="s">
        <v>231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231</v>
      </c>
      <c r="AW2200" s="8" t="s">
        <v>231</v>
      </c>
      <c r="AX2200" s="4" t="s">
        <v>231</v>
      </c>
      <c r="AY2200" s="8" t="s">
        <v>231</v>
      </c>
      <c r="AZ2200" s="7" t="s">
        <v>231</v>
      </c>
      <c r="BA2200" s="7" t="s">
        <v>231</v>
      </c>
      <c r="BB2200" s="7"/>
      <c r="BC2200" s="4" t="s">
        <v>231</v>
      </c>
      <c r="BD2200" s="8" t="s">
        <v>231</v>
      </c>
      <c r="BE2200" s="4" t="s">
        <v>231</v>
      </c>
      <c r="BF2200" s="8" t="s">
        <v>231</v>
      </c>
      <c r="BG2200" s="7" t="s">
        <v>231</v>
      </c>
      <c r="BH2200" s="7" t="s">
        <v>231</v>
      </c>
      <c r="BI2200" s="7"/>
      <c r="BJ2200" s="4">
        <v>4</v>
      </c>
      <c r="BK2200" s="8">
        <v>154.99</v>
      </c>
      <c r="BL2200" s="2" t="s">
        <v>1396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9636</v>
      </c>
      <c r="BV2200" s="2" t="s">
        <v>231</v>
      </c>
      <c r="BW2200" s="2" t="s">
        <v>231</v>
      </c>
      <c r="BX2200" s="2" t="s">
        <v>231</v>
      </c>
      <c r="BY2200" s="2" t="s">
        <v>277</v>
      </c>
      <c r="BZ2200" s="2" t="s">
        <v>243</v>
      </c>
      <c r="CA2200" s="2" t="s">
        <v>1404</v>
      </c>
      <c r="CB2200" s="2" t="s">
        <v>7840</v>
      </c>
      <c r="CC2200" s="2" t="s">
        <v>244</v>
      </c>
      <c r="CD2200" s="2" t="s">
        <v>231</v>
      </c>
      <c r="CE2200" s="4"/>
      <c r="CF2200" s="4">
        <v>168</v>
      </c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  <c r="HG2200" s="4"/>
      <c r="HH2200" s="4"/>
      <c r="HI2200" s="4"/>
      <c r="HJ2200" s="4"/>
      <c r="HK2200" s="4"/>
      <c r="HL2200" s="4"/>
    </row>
    <row r="2201">
      <c r="A2201" s="2" t="s">
        <v>9637</v>
      </c>
      <c r="B2201" s="2" t="s">
        <v>1389</v>
      </c>
      <c r="C2201" s="2" t="s">
        <v>288</v>
      </c>
      <c r="D2201" s="2" t="s">
        <v>1389</v>
      </c>
      <c r="E2201" s="2" t="s">
        <v>1389</v>
      </c>
      <c r="F2201" s="2" t="s">
        <v>9610</v>
      </c>
      <c r="G2201" s="2" t="s">
        <v>1419</v>
      </c>
      <c r="H2201" s="2" t="s">
        <v>9625</v>
      </c>
      <c r="I2201" s="2" t="s">
        <v>9626</v>
      </c>
      <c r="J2201" s="2" t="s">
        <v>1401</v>
      </c>
      <c r="K2201" s="2" t="s">
        <v>870</v>
      </c>
      <c r="L2201" s="3">
        <v>93.71</v>
      </c>
      <c r="M2201" s="3">
        <v>98.4</v>
      </c>
      <c r="N2201" s="3">
        <v>209.99</v>
      </c>
      <c r="O2201" s="2" t="s">
        <v>243</v>
      </c>
      <c r="P2201" s="2" t="s">
        <v>341</v>
      </c>
      <c r="Q2201" s="2" t="s">
        <v>237</v>
      </c>
      <c r="R2201" s="2" t="s">
        <v>231</v>
      </c>
      <c r="S2201" s="2" t="s">
        <v>231</v>
      </c>
      <c r="T2201" s="2" t="s">
        <v>231</v>
      </c>
      <c r="U2201" s="2" t="s">
        <v>327</v>
      </c>
      <c r="V2201" s="2" t="s">
        <v>836</v>
      </c>
      <c r="W2201" s="2" t="s">
        <v>691</v>
      </c>
      <c r="X2201" s="2" t="s">
        <v>231</v>
      </c>
      <c r="Y2201" s="2" t="s">
        <v>9635</v>
      </c>
      <c r="Z2201" s="4">
        <v>78</v>
      </c>
      <c r="AA2201" s="4">
        <f>=ROUNDDOWN(111.428571428571,0)</f>
      </c>
      <c r="AB2201" s="5">
        <v>0.7</v>
      </c>
      <c r="AC2201" s="2" t="s">
        <v>231</v>
      </c>
      <c r="AD2201" s="4"/>
      <c r="AE2201" s="4"/>
      <c r="AF2201" s="6">
        <v>63</v>
      </c>
      <c r="AG2201" s="6"/>
      <c r="AH2201" s="7">
        <v>1</v>
      </c>
      <c r="AI2201" s="4"/>
      <c r="AJ2201" s="4">
        <f>=ROUNDDOWN({0},0)</f>
      </c>
      <c r="AK2201" s="5"/>
      <c r="AL2201" s="2" t="s">
        <v>231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231</v>
      </c>
      <c r="AW2201" s="8" t="s">
        <v>231</v>
      </c>
      <c r="AX2201" s="4" t="s">
        <v>231</v>
      </c>
      <c r="AY2201" s="8" t="s">
        <v>231</v>
      </c>
      <c r="AZ2201" s="7" t="s">
        <v>231</v>
      </c>
      <c r="BA2201" s="7" t="s">
        <v>231</v>
      </c>
      <c r="BB2201" s="7"/>
      <c r="BC2201" s="4" t="s">
        <v>231</v>
      </c>
      <c r="BD2201" s="8" t="s">
        <v>231</v>
      </c>
      <c r="BE2201" s="4" t="s">
        <v>231</v>
      </c>
      <c r="BF2201" s="8" t="s">
        <v>231</v>
      </c>
      <c r="BG2201" s="7" t="s">
        <v>231</v>
      </c>
      <c r="BH2201" s="7" t="s">
        <v>231</v>
      </c>
      <c r="BI2201" s="7"/>
      <c r="BJ2201" s="4">
        <v>2</v>
      </c>
      <c r="BK2201" s="8">
        <v>175.53</v>
      </c>
      <c r="BL2201" s="2" t="s">
        <v>9638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9639</v>
      </c>
      <c r="BV2201" s="2" t="s">
        <v>231</v>
      </c>
      <c r="BW2201" s="2" t="s">
        <v>231</v>
      </c>
      <c r="BX2201" s="2" t="s">
        <v>231</v>
      </c>
      <c r="BY2201" s="2" t="s">
        <v>277</v>
      </c>
      <c r="BZ2201" s="2" t="s">
        <v>243</v>
      </c>
      <c r="CA2201" s="2" t="s">
        <v>1404</v>
      </c>
      <c r="CB2201" s="2" t="s">
        <v>716</v>
      </c>
      <c r="CC2201" s="2" t="s">
        <v>244</v>
      </c>
      <c r="CD2201" s="2" t="s">
        <v>231</v>
      </c>
      <c r="CE2201" s="4"/>
      <c r="CF2201" s="4">
        <v>78</v>
      </c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  <c r="HG2201" s="4"/>
      <c r="HH2201" s="4"/>
      <c r="HI2201" s="4"/>
      <c r="HJ2201" s="4"/>
      <c r="HK2201" s="4"/>
      <c r="HL2201" s="4"/>
    </row>
    <row r="2202">
      <c r="A2202" s="2" t="s">
        <v>9640</v>
      </c>
      <c r="B2202" s="2" t="s">
        <v>1004</v>
      </c>
      <c r="C2202" s="2" t="s">
        <v>815</v>
      </c>
      <c r="D2202" s="2" t="s">
        <v>1689</v>
      </c>
      <c r="E2202" s="2" t="s">
        <v>1690</v>
      </c>
      <c r="F2202" s="2" t="s">
        <v>9610</v>
      </c>
      <c r="G2202" s="2" t="s">
        <v>9610</v>
      </c>
      <c r="H2202" s="2" t="s">
        <v>9610</v>
      </c>
      <c r="I2202" s="2" t="s">
        <v>9611</v>
      </c>
      <c r="J2202" s="2" t="s">
        <v>807</v>
      </c>
      <c r="K2202" s="2" t="s">
        <v>9641</v>
      </c>
      <c r="L2202" s="3">
        <v>353.78</v>
      </c>
      <c r="M2202" s="3">
        <v>371.47</v>
      </c>
      <c r="N2202" s="3">
        <v>739</v>
      </c>
      <c r="O2202" s="2" t="s">
        <v>243</v>
      </c>
      <c r="P2202" s="2" t="s">
        <v>1037</v>
      </c>
      <c r="Q2202" s="2" t="s">
        <v>237</v>
      </c>
      <c r="R2202" s="2" t="s">
        <v>231</v>
      </c>
      <c r="S2202" s="2" t="s">
        <v>9642</v>
      </c>
      <c r="T2202" s="2" t="s">
        <v>472</v>
      </c>
      <c r="U2202" s="2" t="s">
        <v>791</v>
      </c>
      <c r="V2202" s="2" t="s">
        <v>239</v>
      </c>
      <c r="W2202" s="2" t="s">
        <v>808</v>
      </c>
      <c r="X2202" s="2" t="s">
        <v>231</v>
      </c>
      <c r="Y2202" s="2" t="s">
        <v>274</v>
      </c>
      <c r="Z2202" s="4">
        <v>194</v>
      </c>
      <c r="AA2202" s="4">
        <f>=ROUNDDOWN({0},0)</f>
      </c>
      <c r="AB2202" s="5"/>
      <c r="AC2202" s="2" t="s">
        <v>231</v>
      </c>
      <c r="AD2202" s="4"/>
      <c r="AE2202" s="4"/>
      <c r="AF2202" s="6"/>
      <c r="AG2202" s="6"/>
      <c r="AH2202" s="7">
        <v>1</v>
      </c>
      <c r="AI2202" s="4"/>
      <c r="AJ2202" s="4">
        <f>=ROUNDDOWN({0},0)</f>
      </c>
      <c r="AK2202" s="5"/>
      <c r="AL2202" s="2" t="s">
        <v>231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231</v>
      </c>
      <c r="AW2202" s="8" t="s">
        <v>231</v>
      </c>
      <c r="AX2202" s="4" t="s">
        <v>231</v>
      </c>
      <c r="AY2202" s="8" t="s">
        <v>231</v>
      </c>
      <c r="AZ2202" s="7" t="s">
        <v>231</v>
      </c>
      <c r="BA2202" s="7" t="s">
        <v>231</v>
      </c>
      <c r="BB2202" s="7" t="s">
        <v>231</v>
      </c>
      <c r="BC2202" s="4" t="s">
        <v>231</v>
      </c>
      <c r="BD2202" s="8" t="s">
        <v>231</v>
      </c>
      <c r="BE2202" s="4" t="s">
        <v>231</v>
      </c>
      <c r="BF2202" s="8" t="s">
        <v>231</v>
      </c>
      <c r="BG2202" s="7" t="s">
        <v>231</v>
      </c>
      <c r="BH2202" s="7" t="s">
        <v>231</v>
      </c>
      <c r="BI2202" s="7"/>
      <c r="BJ2202" s="4"/>
      <c r="BK2202" s="8"/>
      <c r="BL2202" s="2" t="s">
        <v>231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9643</v>
      </c>
      <c r="BV2202" s="2" t="s">
        <v>231</v>
      </c>
      <c r="BW2202" s="2" t="s">
        <v>231</v>
      </c>
      <c r="BX2202" s="2" t="s">
        <v>241</v>
      </c>
      <c r="BY2202" s="2" t="s">
        <v>277</v>
      </c>
      <c r="BZ2202" s="2" t="s">
        <v>243</v>
      </c>
      <c r="CA2202" s="2" t="s">
        <v>7714</v>
      </c>
      <c r="CB2202" s="2" t="s">
        <v>231</v>
      </c>
      <c r="CC2202" s="2" t="s">
        <v>244</v>
      </c>
      <c r="CD2202" s="2" t="s">
        <v>231</v>
      </c>
      <c r="CE2202" s="4"/>
      <c r="CF2202" s="4">
        <v>193</v>
      </c>
      <c r="CG2202" s="4"/>
      <c r="CH2202" s="4"/>
      <c r="CI2202" s="4">
        <v>1</v>
      </c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  <c r="HG2202" s="4"/>
      <c r="HH2202" s="4"/>
      <c r="HI2202" s="4"/>
      <c r="HJ2202" s="4"/>
      <c r="HK2202" s="4"/>
      <c r="HL2202" s="4"/>
    </row>
    <row r="2203">
      <c r="A2203" s="2" t="s">
        <v>9644</v>
      </c>
      <c r="B2203" s="2" t="s">
        <v>1004</v>
      </c>
      <c r="C2203" s="2" t="s">
        <v>815</v>
      </c>
      <c r="D2203" s="2" t="s">
        <v>1689</v>
      </c>
      <c r="E2203" s="2" t="s">
        <v>1690</v>
      </c>
      <c r="F2203" s="2" t="s">
        <v>9610</v>
      </c>
      <c r="G2203" s="2" t="s">
        <v>9610</v>
      </c>
      <c r="H2203" s="2" t="s">
        <v>9610</v>
      </c>
      <c r="I2203" s="2" t="s">
        <v>1690</v>
      </c>
      <c r="J2203" s="2" t="s">
        <v>807</v>
      </c>
      <c r="K2203" s="2" t="s">
        <v>9641</v>
      </c>
      <c r="L2203" s="3">
        <v>180.5</v>
      </c>
      <c r="M2203" s="3">
        <v>189.52</v>
      </c>
      <c r="N2203" s="3">
        <v>379</v>
      </c>
      <c r="O2203" s="2" t="s">
        <v>243</v>
      </c>
      <c r="P2203" s="2" t="s">
        <v>270</v>
      </c>
      <c r="Q2203" s="2" t="s">
        <v>237</v>
      </c>
      <c r="R2203" s="2" t="s">
        <v>231</v>
      </c>
      <c r="S2203" s="2" t="s">
        <v>9642</v>
      </c>
      <c r="T2203" s="2" t="s">
        <v>472</v>
      </c>
      <c r="U2203" s="2" t="s">
        <v>231</v>
      </c>
      <c r="V2203" s="2" t="s">
        <v>239</v>
      </c>
      <c r="W2203" s="2" t="s">
        <v>808</v>
      </c>
      <c r="X2203" s="2" t="s">
        <v>231</v>
      </c>
      <c r="Y2203" s="2" t="s">
        <v>274</v>
      </c>
      <c r="Z2203" s="4">
        <v>390</v>
      </c>
      <c r="AA2203" s="4">
        <f>=ROUNDDOWN(65,0)</f>
      </c>
      <c r="AB2203" s="5">
        <v>6</v>
      </c>
      <c r="AC2203" s="2" t="s">
        <v>231</v>
      </c>
      <c r="AD2203" s="4"/>
      <c r="AE2203" s="4"/>
      <c r="AF2203" s="6">
        <v>74</v>
      </c>
      <c r="AG2203" s="6">
        <v>60</v>
      </c>
      <c r="AH2203" s="7">
        <v>1</v>
      </c>
      <c r="AI2203" s="4"/>
      <c r="AJ2203" s="4">
        <f>=ROUNDDOWN({0},0)</f>
      </c>
      <c r="AK2203" s="5"/>
      <c r="AL2203" s="2" t="s">
        <v>231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231</v>
      </c>
      <c r="AW2203" s="8" t="s">
        <v>231</v>
      </c>
      <c r="AX2203" s="4" t="s">
        <v>231</v>
      </c>
      <c r="AY2203" s="8" t="s">
        <v>231</v>
      </c>
      <c r="AZ2203" s="7" t="s">
        <v>231</v>
      </c>
      <c r="BA2203" s="7" t="s">
        <v>231</v>
      </c>
      <c r="BB2203" s="7" t="s">
        <v>231</v>
      </c>
      <c r="BC2203" s="4" t="s">
        <v>231</v>
      </c>
      <c r="BD2203" s="8" t="s">
        <v>231</v>
      </c>
      <c r="BE2203" s="4" t="s">
        <v>231</v>
      </c>
      <c r="BF2203" s="8" t="s">
        <v>231</v>
      </c>
      <c r="BG2203" s="7" t="s">
        <v>231</v>
      </c>
      <c r="BH2203" s="7" t="s">
        <v>231</v>
      </c>
      <c r="BI2203" s="7"/>
      <c r="BJ2203" s="4">
        <v>37</v>
      </c>
      <c r="BK2203" s="8">
        <v>5578.33</v>
      </c>
      <c r="BL2203" s="2" t="s">
        <v>9645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9646</v>
      </c>
      <c r="BV2203" s="2" t="s">
        <v>231</v>
      </c>
      <c r="BW2203" s="2" t="s">
        <v>231</v>
      </c>
      <c r="BX2203" s="2" t="s">
        <v>241</v>
      </c>
      <c r="BY2203" s="2" t="s">
        <v>277</v>
      </c>
      <c r="BZ2203" s="2" t="s">
        <v>243</v>
      </c>
      <c r="CA2203" s="2" t="s">
        <v>4509</v>
      </c>
      <c r="CB2203" s="2" t="s">
        <v>4638</v>
      </c>
      <c r="CC2203" s="2" t="s">
        <v>244</v>
      </c>
      <c r="CD2203" s="2" t="s">
        <v>231</v>
      </c>
      <c r="CE2203" s="4"/>
      <c r="CF2203" s="4">
        <v>387</v>
      </c>
      <c r="CG2203" s="4"/>
      <c r="CH2203" s="4"/>
      <c r="CI2203" s="4">
        <v>3</v>
      </c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4"/>
      <c r="HH2203" s="4"/>
      <c r="HI2203" s="4"/>
      <c r="HJ2203" s="4"/>
      <c r="HK2203" s="4"/>
      <c r="HL2203" s="4"/>
    </row>
    <row r="2204">
      <c r="A2204" s="2" t="s">
        <v>9647</v>
      </c>
      <c r="B2204" s="2" t="s">
        <v>1004</v>
      </c>
      <c r="C2204" s="2" t="s">
        <v>815</v>
      </c>
      <c r="D2204" s="2" t="s">
        <v>1689</v>
      </c>
      <c r="E2204" s="2" t="s">
        <v>1690</v>
      </c>
      <c r="F2204" s="2" t="s">
        <v>9610</v>
      </c>
      <c r="G2204" s="2" t="s">
        <v>9610</v>
      </c>
      <c r="H2204" s="2" t="s">
        <v>9610</v>
      </c>
      <c r="I2204" s="2" t="s">
        <v>9611</v>
      </c>
      <c r="J2204" s="2" t="s">
        <v>807</v>
      </c>
      <c r="K2204" s="2" t="s">
        <v>1036</v>
      </c>
      <c r="L2204" s="3">
        <v>353.78</v>
      </c>
      <c r="M2204" s="3">
        <v>371.47</v>
      </c>
      <c r="N2204" s="3">
        <v>739</v>
      </c>
      <c r="O2204" s="2" t="s">
        <v>243</v>
      </c>
      <c r="P2204" s="2" t="s">
        <v>1037</v>
      </c>
      <c r="Q2204" s="2" t="s">
        <v>237</v>
      </c>
      <c r="R2204" s="2" t="s">
        <v>231</v>
      </c>
      <c r="S2204" s="2" t="s">
        <v>231</v>
      </c>
      <c r="T2204" s="2" t="s">
        <v>231</v>
      </c>
      <c r="U2204" s="2" t="s">
        <v>791</v>
      </c>
      <c r="V2204" s="2" t="s">
        <v>239</v>
      </c>
      <c r="W2204" s="2" t="s">
        <v>808</v>
      </c>
      <c r="X2204" s="2" t="s">
        <v>231</v>
      </c>
      <c r="Y2204" s="2" t="s">
        <v>6009</v>
      </c>
      <c r="Z2204" s="4">
        <v>110</v>
      </c>
      <c r="AA2204" s="4">
        <f>=ROUNDDOWN(550,0)</f>
      </c>
      <c r="AB2204" s="5">
        <v>0.2</v>
      </c>
      <c r="AC2204" s="2" t="s">
        <v>1128</v>
      </c>
      <c r="AD2204" s="4">
        <v>12</v>
      </c>
      <c r="AE2204" s="4">
        <v>72</v>
      </c>
      <c r="AF2204" s="6"/>
      <c r="AG2204" s="6"/>
      <c r="AH2204" s="7">
        <v>1</v>
      </c>
      <c r="AI2204" s="4"/>
      <c r="AJ2204" s="4">
        <f>=ROUNDDOWN({0},0)</f>
      </c>
      <c r="AK2204" s="5"/>
      <c r="AL2204" s="2" t="s">
        <v>2251</v>
      </c>
      <c r="AM2204" s="4">
        <v>35</v>
      </c>
      <c r="AN2204" s="4">
        <v>35</v>
      </c>
      <c r="AO2204" s="7">
        <v>0</v>
      </c>
      <c r="AP2204" s="4"/>
      <c r="AQ2204" s="8"/>
      <c r="AR2204" s="4"/>
      <c r="AS2204" s="8"/>
      <c r="AT2204" s="7"/>
      <c r="AU2204" s="7"/>
      <c r="AV2204" s="4"/>
      <c r="AW2204" s="8"/>
      <c r="AX2204" s="4"/>
      <c r="AY2204" s="8"/>
      <c r="AZ2204" s="7"/>
      <c r="BA2204" s="7"/>
      <c r="BB2204" s="7"/>
      <c r="BC2204" s="4" t="s">
        <v>231</v>
      </c>
      <c r="BD2204" s="8" t="s">
        <v>231</v>
      </c>
      <c r="BE2204" s="4" t="s">
        <v>231</v>
      </c>
      <c r="BF2204" s="8" t="s">
        <v>231</v>
      </c>
      <c r="BG2204" s="7" t="s">
        <v>231</v>
      </c>
      <c r="BH2204" s="7" t="s">
        <v>231</v>
      </c>
      <c r="BI2204" s="7"/>
      <c r="BJ2204" s="4">
        <v>2</v>
      </c>
      <c r="BK2204" s="8">
        <v>765.22</v>
      </c>
      <c r="BL2204" s="2" t="s">
        <v>628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9648</v>
      </c>
      <c r="BV2204" s="2" t="s">
        <v>231</v>
      </c>
      <c r="BW2204" s="2" t="s">
        <v>231</v>
      </c>
      <c r="BX2204" s="2" t="s">
        <v>241</v>
      </c>
      <c r="BY2204" s="2" t="s">
        <v>277</v>
      </c>
      <c r="BZ2204" s="2" t="s">
        <v>243</v>
      </c>
      <c r="CA2204" s="2" t="s">
        <v>7714</v>
      </c>
      <c r="CB2204" s="2" t="s">
        <v>231</v>
      </c>
      <c r="CC2204" s="2" t="s">
        <v>244</v>
      </c>
      <c r="CD2204" s="2" t="s">
        <v>231</v>
      </c>
      <c r="CE2204" s="4"/>
      <c r="CF2204" s="4">
        <v>110</v>
      </c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>
        <v>12</v>
      </c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>
        <v>60</v>
      </c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4"/>
      <c r="HH2204" s="4"/>
      <c r="HI2204" s="4"/>
      <c r="HJ2204" s="4"/>
      <c r="HK2204" s="4">
        <v>35</v>
      </c>
      <c r="HL2204" s="4"/>
    </row>
    <row r="2205">
      <c r="A2205" s="2" t="s">
        <v>9649</v>
      </c>
      <c r="B2205" s="2" t="s">
        <v>801</v>
      </c>
      <c r="C2205" s="2" t="s">
        <v>1105</v>
      </c>
      <c r="D2205" s="2" t="s">
        <v>1114</v>
      </c>
      <c r="E2205" s="2" t="s">
        <v>1115</v>
      </c>
      <c r="F2205" s="2" t="s">
        <v>9650</v>
      </c>
      <c r="G2205" s="2" t="s">
        <v>9650</v>
      </c>
      <c r="H2205" s="2" t="s">
        <v>9650</v>
      </c>
      <c r="I2205" s="2" t="s">
        <v>9651</v>
      </c>
      <c r="J2205" s="2" t="s">
        <v>807</v>
      </c>
      <c r="K2205" s="2" t="s">
        <v>294</v>
      </c>
      <c r="L2205" s="3">
        <v>26.78</v>
      </c>
      <c r="M2205" s="3">
        <v>28.12</v>
      </c>
      <c r="N2205" s="3">
        <v>59.99</v>
      </c>
      <c r="O2205" s="2" t="s">
        <v>243</v>
      </c>
      <c r="P2205" s="2" t="s">
        <v>270</v>
      </c>
      <c r="Q2205" s="2" t="s">
        <v>237</v>
      </c>
      <c r="R2205" s="2" t="s">
        <v>231</v>
      </c>
      <c r="S2205" s="2" t="s">
        <v>231</v>
      </c>
      <c r="T2205" s="2" t="s">
        <v>231</v>
      </c>
      <c r="U2205" s="2" t="s">
        <v>327</v>
      </c>
      <c r="V2205" s="2" t="s">
        <v>662</v>
      </c>
      <c r="W2205" s="2" t="s">
        <v>691</v>
      </c>
      <c r="X2205" s="2" t="s">
        <v>231</v>
      </c>
      <c r="Y2205" s="2" t="s">
        <v>5807</v>
      </c>
      <c r="Z2205" s="4">
        <v>184</v>
      </c>
      <c r="AA2205" s="4">
        <f>=ROUNDDOWN(306.666666666667,0)</f>
      </c>
      <c r="AB2205" s="5">
        <v>0.6</v>
      </c>
      <c r="AC2205" s="2" t="s">
        <v>231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231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231</v>
      </c>
      <c r="BD2205" s="8" t="s">
        <v>231</v>
      </c>
      <c r="BE2205" s="4" t="s">
        <v>231</v>
      </c>
      <c r="BF2205" s="8" t="s">
        <v>231</v>
      </c>
      <c r="BG2205" s="7" t="s">
        <v>231</v>
      </c>
      <c r="BH2205" s="7" t="s">
        <v>231</v>
      </c>
      <c r="BI2205" s="7"/>
      <c r="BJ2205" s="4">
        <v>3</v>
      </c>
      <c r="BK2205" s="8">
        <v>101.78</v>
      </c>
      <c r="BL2205" s="2" t="s">
        <v>3685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9652</v>
      </c>
      <c r="BV2205" s="2" t="s">
        <v>231</v>
      </c>
      <c r="BW2205" s="2" t="s">
        <v>231</v>
      </c>
      <c r="BX2205" s="2" t="s">
        <v>231</v>
      </c>
      <c r="BY2205" s="2" t="s">
        <v>277</v>
      </c>
      <c r="BZ2205" s="2" t="s">
        <v>243</v>
      </c>
      <c r="CA2205" s="2" t="s">
        <v>5809</v>
      </c>
      <c r="CB2205" s="2" t="s">
        <v>2012</v>
      </c>
      <c r="CC2205" s="2" t="s">
        <v>244</v>
      </c>
      <c r="CD2205" s="2" t="s">
        <v>231</v>
      </c>
      <c r="CE2205" s="4"/>
      <c r="CF2205" s="4">
        <v>184</v>
      </c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4"/>
      <c r="HH2205" s="4"/>
      <c r="HI2205" s="4"/>
      <c r="HJ2205" s="4"/>
      <c r="HK2205" s="4"/>
      <c r="HL2205" s="4"/>
    </row>
    <row r="2206">
      <c r="A2206" s="2" t="s">
        <v>9653</v>
      </c>
      <c r="B2206" s="2" t="s">
        <v>801</v>
      </c>
      <c r="C2206" s="2" t="s">
        <v>1105</v>
      </c>
      <c r="D2206" s="2" t="s">
        <v>1114</v>
      </c>
      <c r="E2206" s="2" t="s">
        <v>1115</v>
      </c>
      <c r="F2206" s="2" t="s">
        <v>9650</v>
      </c>
      <c r="G2206" s="2" t="s">
        <v>9650</v>
      </c>
      <c r="H2206" s="2" t="s">
        <v>9650</v>
      </c>
      <c r="I2206" s="2" t="s">
        <v>9651</v>
      </c>
      <c r="J2206" s="2" t="s">
        <v>807</v>
      </c>
      <c r="K2206" s="2" t="s">
        <v>319</v>
      </c>
      <c r="L2206" s="3">
        <v>28.19</v>
      </c>
      <c r="M2206" s="3">
        <v>29.6</v>
      </c>
      <c r="N2206" s="3">
        <v>59.99</v>
      </c>
      <c r="O2206" s="2" t="s">
        <v>243</v>
      </c>
      <c r="P2206" s="2" t="s">
        <v>270</v>
      </c>
      <c r="Q2206" s="2" t="s">
        <v>237</v>
      </c>
      <c r="R2206" s="2" t="s">
        <v>231</v>
      </c>
      <c r="S2206" s="2" t="s">
        <v>231</v>
      </c>
      <c r="T2206" s="2" t="s">
        <v>231</v>
      </c>
      <c r="U2206" s="2" t="s">
        <v>327</v>
      </c>
      <c r="V2206" s="2" t="s">
        <v>662</v>
      </c>
      <c r="W2206" s="2" t="s">
        <v>691</v>
      </c>
      <c r="X2206" s="2" t="s">
        <v>231</v>
      </c>
      <c r="Y2206" s="2" t="s">
        <v>5807</v>
      </c>
      <c r="Z2206" s="4">
        <v>175</v>
      </c>
      <c r="AA2206" s="4">
        <f>=ROUNDDOWN(56.4516129032258,0)</f>
      </c>
      <c r="AB2206" s="5">
        <v>3.1</v>
      </c>
      <c r="AC2206" s="2" t="s">
        <v>231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231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 t="s">
        <v>231</v>
      </c>
      <c r="BD2206" s="8" t="s">
        <v>231</v>
      </c>
      <c r="BE2206" s="4" t="s">
        <v>231</v>
      </c>
      <c r="BF2206" s="8" t="s">
        <v>231</v>
      </c>
      <c r="BG2206" s="7" t="s">
        <v>231</v>
      </c>
      <c r="BH2206" s="7" t="s">
        <v>231</v>
      </c>
      <c r="BI2206" s="7"/>
      <c r="BJ2206" s="4">
        <v>11</v>
      </c>
      <c r="BK2206" s="8">
        <v>317.61</v>
      </c>
      <c r="BL2206" s="2" t="s">
        <v>9654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9655</v>
      </c>
      <c r="BV2206" s="2" t="s">
        <v>231</v>
      </c>
      <c r="BW2206" s="2" t="s">
        <v>231</v>
      </c>
      <c r="BX2206" s="2" t="s">
        <v>241</v>
      </c>
      <c r="BY2206" s="2" t="s">
        <v>277</v>
      </c>
      <c r="BZ2206" s="2" t="s">
        <v>243</v>
      </c>
      <c r="CA2206" s="2" t="s">
        <v>5809</v>
      </c>
      <c r="CB2206" s="2" t="s">
        <v>9656</v>
      </c>
      <c r="CC2206" s="2" t="s">
        <v>244</v>
      </c>
      <c r="CD2206" s="2" t="s">
        <v>231</v>
      </c>
      <c r="CE2206" s="4">
        <v>2</v>
      </c>
      <c r="CF2206" s="4">
        <v>173</v>
      </c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  <c r="HG2206" s="4"/>
      <c r="HH2206" s="4"/>
      <c r="HI2206" s="4"/>
      <c r="HJ2206" s="4"/>
      <c r="HK2206" s="4"/>
      <c r="HL2206" s="4"/>
    </row>
    <row r="2207">
      <c r="A2207" s="2" t="s">
        <v>9657</v>
      </c>
      <c r="B2207" s="2" t="s">
        <v>1186</v>
      </c>
      <c r="C2207" s="2" t="s">
        <v>357</v>
      </c>
      <c r="D2207" s="2" t="s">
        <v>654</v>
      </c>
      <c r="E2207" s="2" t="s">
        <v>1187</v>
      </c>
      <c r="F2207" s="2" t="s">
        <v>9658</v>
      </c>
      <c r="G2207" s="2" t="s">
        <v>9659</v>
      </c>
      <c r="H2207" s="2" t="s">
        <v>9660</v>
      </c>
      <c r="I2207" s="2" t="s">
        <v>9661</v>
      </c>
      <c r="J2207" s="2" t="s">
        <v>318</v>
      </c>
      <c r="K2207" s="2" t="s">
        <v>253</v>
      </c>
      <c r="L2207" s="3">
        <v>38.09</v>
      </c>
      <c r="M2207" s="3">
        <v>39.99</v>
      </c>
      <c r="N2207" s="3">
        <v>79.99</v>
      </c>
      <c r="O2207" s="2" t="s">
        <v>243</v>
      </c>
      <c r="P2207" s="2" t="s">
        <v>270</v>
      </c>
      <c r="Q2207" s="2" t="s">
        <v>237</v>
      </c>
      <c r="R2207" s="2" t="s">
        <v>231</v>
      </c>
      <c r="S2207" s="2" t="s">
        <v>9662</v>
      </c>
      <c r="T2207" s="2" t="s">
        <v>231</v>
      </c>
      <c r="U2207" s="2" t="s">
        <v>661</v>
      </c>
      <c r="V2207" s="2" t="s">
        <v>239</v>
      </c>
      <c r="W2207" s="2" t="s">
        <v>273</v>
      </c>
      <c r="X2207" s="2" t="s">
        <v>691</v>
      </c>
      <c r="Y2207" s="2" t="s">
        <v>854</v>
      </c>
      <c r="Z2207" s="4">
        <v>104</v>
      </c>
      <c r="AA2207" s="4">
        <f>=ROUNDDOWN(104,0)</f>
      </c>
      <c r="AB2207" s="5">
        <v>1</v>
      </c>
      <c r="AC2207" s="2" t="s">
        <v>231</v>
      </c>
      <c r="AD2207" s="4"/>
      <c r="AE2207" s="4"/>
      <c r="AF2207" s="6">
        <v>64</v>
      </c>
      <c r="AG2207" s="6"/>
      <c r="AH2207" s="7">
        <v>1</v>
      </c>
      <c r="AI2207" s="4"/>
      <c r="AJ2207" s="4">
        <f>=ROUNDDOWN({0},0)</f>
      </c>
      <c r="AK2207" s="5"/>
      <c r="AL2207" s="2" t="s">
        <v>231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231</v>
      </c>
      <c r="AW2207" s="8" t="s">
        <v>231</v>
      </c>
      <c r="AX2207" s="4" t="s">
        <v>231</v>
      </c>
      <c r="AY2207" s="8" t="s">
        <v>231</v>
      </c>
      <c r="AZ2207" s="7" t="s">
        <v>231</v>
      </c>
      <c r="BA2207" s="7" t="s">
        <v>231</v>
      </c>
      <c r="BB2207" s="7"/>
      <c r="BC2207" s="4" t="s">
        <v>231</v>
      </c>
      <c r="BD2207" s="8" t="s">
        <v>231</v>
      </c>
      <c r="BE2207" s="4" t="s">
        <v>231</v>
      </c>
      <c r="BF2207" s="8" t="s">
        <v>231</v>
      </c>
      <c r="BG2207" s="7" t="s">
        <v>231</v>
      </c>
      <c r="BH2207" s="7" t="s">
        <v>231</v>
      </c>
      <c r="BI2207" s="7"/>
      <c r="BJ2207" s="4">
        <v>17</v>
      </c>
      <c r="BK2207" s="8">
        <v>679.83</v>
      </c>
      <c r="BL2207" s="2" t="s">
        <v>1306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9663</v>
      </c>
      <c r="BV2207" s="2" t="s">
        <v>231</v>
      </c>
      <c r="BW2207" s="2" t="s">
        <v>231</v>
      </c>
      <c r="BX2207" s="2" t="s">
        <v>231</v>
      </c>
      <c r="BY2207" s="2" t="s">
        <v>277</v>
      </c>
      <c r="BZ2207" s="2" t="s">
        <v>243</v>
      </c>
      <c r="CA2207" s="2" t="s">
        <v>6260</v>
      </c>
      <c r="CB2207" s="2" t="s">
        <v>9664</v>
      </c>
      <c r="CC2207" s="2" t="s">
        <v>244</v>
      </c>
      <c r="CD2207" s="2" t="s">
        <v>231</v>
      </c>
      <c r="CE2207" s="4">
        <v>104</v>
      </c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4"/>
      <c r="HH2207" s="4"/>
      <c r="HI2207" s="4"/>
      <c r="HJ2207" s="4"/>
      <c r="HK2207" s="4"/>
      <c r="HL2207" s="4"/>
    </row>
    <row r="2208">
      <c r="A2208" s="2" t="s">
        <v>9665</v>
      </c>
      <c r="B2208" s="2" t="s">
        <v>1186</v>
      </c>
      <c r="C2208" s="2" t="s">
        <v>357</v>
      </c>
      <c r="D2208" s="2" t="s">
        <v>654</v>
      </c>
      <c r="E2208" s="2" t="s">
        <v>1187</v>
      </c>
      <c r="F2208" s="2" t="s">
        <v>9658</v>
      </c>
      <c r="G2208" s="2" t="s">
        <v>9659</v>
      </c>
      <c r="H2208" s="2" t="s">
        <v>9660</v>
      </c>
      <c r="I2208" s="2" t="s">
        <v>9666</v>
      </c>
      <c r="J2208" s="2" t="s">
        <v>304</v>
      </c>
      <c r="K2208" s="2" t="s">
        <v>253</v>
      </c>
      <c r="L2208" s="3">
        <v>52.38</v>
      </c>
      <c r="M2208" s="3">
        <v>55</v>
      </c>
      <c r="N2208" s="3">
        <v>109.99</v>
      </c>
      <c r="O2208" s="2" t="s">
        <v>243</v>
      </c>
      <c r="P2208" s="2" t="s">
        <v>270</v>
      </c>
      <c r="Q2208" s="2" t="s">
        <v>237</v>
      </c>
      <c r="R2208" s="2" t="s">
        <v>231</v>
      </c>
      <c r="S2208" s="2" t="s">
        <v>9662</v>
      </c>
      <c r="T2208" s="2" t="s">
        <v>231</v>
      </c>
      <c r="U2208" s="2" t="s">
        <v>700</v>
      </c>
      <c r="V2208" s="2" t="s">
        <v>239</v>
      </c>
      <c r="W2208" s="2" t="s">
        <v>273</v>
      </c>
      <c r="X2208" s="2" t="s">
        <v>691</v>
      </c>
      <c r="Y2208" s="2" t="s">
        <v>854</v>
      </c>
      <c r="Z2208" s="4">
        <v>246</v>
      </c>
      <c r="AA2208" s="4">
        <f>=ROUNDDOWN(307.5,0)</f>
      </c>
      <c r="AB2208" s="5">
        <v>0.8</v>
      </c>
      <c r="AC2208" s="2" t="s">
        <v>231</v>
      </c>
      <c r="AD2208" s="4"/>
      <c r="AE2208" s="4"/>
      <c r="AF2208" s="6">
        <v>64</v>
      </c>
      <c r="AG2208" s="6"/>
      <c r="AH2208" s="7">
        <v>1</v>
      </c>
      <c r="AI2208" s="4"/>
      <c r="AJ2208" s="4">
        <f>=ROUNDDOWN({0},0)</f>
      </c>
      <c r="AK2208" s="5"/>
      <c r="AL2208" s="2" t="s">
        <v>231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 t="s">
        <v>231</v>
      </c>
      <c r="AW2208" s="8" t="s">
        <v>231</v>
      </c>
      <c r="AX2208" s="4" t="s">
        <v>231</v>
      </c>
      <c r="AY2208" s="8" t="s">
        <v>231</v>
      </c>
      <c r="AZ2208" s="7" t="s">
        <v>231</v>
      </c>
      <c r="BA2208" s="7" t="s">
        <v>231</v>
      </c>
      <c r="BB2208" s="7"/>
      <c r="BC2208" s="4" t="s">
        <v>231</v>
      </c>
      <c r="BD2208" s="8" t="s">
        <v>231</v>
      </c>
      <c r="BE2208" s="4" t="s">
        <v>231</v>
      </c>
      <c r="BF2208" s="8" t="s">
        <v>231</v>
      </c>
      <c r="BG2208" s="7" t="s">
        <v>231</v>
      </c>
      <c r="BH2208" s="7" t="s">
        <v>231</v>
      </c>
      <c r="BI2208" s="7"/>
      <c r="BJ2208" s="4">
        <v>4</v>
      </c>
      <c r="BK2208" s="8">
        <v>237.6</v>
      </c>
      <c r="BL2208" s="2" t="s">
        <v>349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9667</v>
      </c>
      <c r="BV2208" s="2" t="s">
        <v>231</v>
      </c>
      <c r="BW2208" s="2" t="s">
        <v>231</v>
      </c>
      <c r="BX2208" s="2" t="s">
        <v>231</v>
      </c>
      <c r="BY2208" s="2" t="s">
        <v>277</v>
      </c>
      <c r="BZ2208" s="2" t="s">
        <v>243</v>
      </c>
      <c r="CA2208" s="2" t="s">
        <v>6260</v>
      </c>
      <c r="CB2208" s="2" t="s">
        <v>2325</v>
      </c>
      <c r="CC2208" s="2" t="s">
        <v>244</v>
      </c>
      <c r="CD2208" s="2" t="s">
        <v>231</v>
      </c>
      <c r="CE2208" s="4">
        <v>227</v>
      </c>
      <c r="CF2208" s="4"/>
      <c r="CG2208" s="4"/>
      <c r="CH2208" s="4"/>
      <c r="CI2208" s="4"/>
      <c r="CJ2208" s="4"/>
      <c r="CK2208" s="4"/>
      <c r="CL2208" s="4">
        <v>19</v>
      </c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4"/>
      <c r="HH2208" s="4"/>
      <c r="HI2208" s="4"/>
      <c r="HJ2208" s="4"/>
      <c r="HK2208" s="4"/>
      <c r="HL2208" s="4"/>
    </row>
    <row r="2209">
      <c r="A2209" s="2" t="s">
        <v>9668</v>
      </c>
      <c r="B2209" s="2" t="s">
        <v>1186</v>
      </c>
      <c r="C2209" s="2" t="s">
        <v>631</v>
      </c>
      <c r="D2209" s="2" t="s">
        <v>654</v>
      </c>
      <c r="E2209" s="2" t="s">
        <v>1187</v>
      </c>
      <c r="F2209" s="2" t="s">
        <v>9669</v>
      </c>
      <c r="G2209" s="2" t="s">
        <v>9669</v>
      </c>
      <c r="H2209" s="2" t="s">
        <v>9669</v>
      </c>
      <c r="I2209" s="2" t="s">
        <v>9670</v>
      </c>
      <c r="J2209" s="2" t="s">
        <v>293</v>
      </c>
      <c r="K2209" s="2" t="s">
        <v>269</v>
      </c>
      <c r="L2209" s="3">
        <v>47.61</v>
      </c>
      <c r="M2209" s="3">
        <v>49.99</v>
      </c>
      <c r="N2209" s="3">
        <v>99.99</v>
      </c>
      <c r="O2209" s="2" t="s">
        <v>243</v>
      </c>
      <c r="P2209" s="2" t="s">
        <v>917</v>
      </c>
      <c r="Q2209" s="2" t="s">
        <v>237</v>
      </c>
      <c r="R2209" s="2" t="s">
        <v>231</v>
      </c>
      <c r="S2209" s="2" t="s">
        <v>9671</v>
      </c>
      <c r="T2209" s="2" t="s">
        <v>472</v>
      </c>
      <c r="U2209" s="2" t="s">
        <v>3864</v>
      </c>
      <c r="V2209" s="2" t="s">
        <v>987</v>
      </c>
      <c r="W2209" s="2" t="s">
        <v>691</v>
      </c>
      <c r="X2209" s="2" t="s">
        <v>231</v>
      </c>
      <c r="Y2209" s="2" t="s">
        <v>3537</v>
      </c>
      <c r="Z2209" s="4"/>
      <c r="AA2209" s="4">
        <f>=ROUNDDOWN({0},0)</f>
      </c>
      <c r="AB2209" s="5"/>
      <c r="AC2209" s="2" t="s">
        <v>231</v>
      </c>
      <c r="AD2209" s="4"/>
      <c r="AE2209" s="4"/>
      <c r="AF2209" s="6"/>
      <c r="AG2209" s="6"/>
      <c r="AH2209" s="7">
        <v>0</v>
      </c>
      <c r="AI2209" s="4"/>
      <c r="AJ2209" s="4">
        <f>=ROUNDDOWN({0},0)</f>
      </c>
      <c r="AK2209" s="5"/>
      <c r="AL2209" s="2" t="s">
        <v>231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231</v>
      </c>
      <c r="AW2209" s="8" t="s">
        <v>231</v>
      </c>
      <c r="AX2209" s="4" t="s">
        <v>231</v>
      </c>
      <c r="AY2209" s="8" t="s">
        <v>231</v>
      </c>
      <c r="AZ2209" s="7" t="s">
        <v>231</v>
      </c>
      <c r="BA2209" s="7" t="s">
        <v>231</v>
      </c>
      <c r="BB2209" s="7"/>
      <c r="BC2209" s="4" t="s">
        <v>231</v>
      </c>
      <c r="BD2209" s="8" t="s">
        <v>231</v>
      </c>
      <c r="BE2209" s="4" t="s">
        <v>231</v>
      </c>
      <c r="BF2209" s="8" t="s">
        <v>231</v>
      </c>
      <c r="BG2209" s="7" t="s">
        <v>231</v>
      </c>
      <c r="BH2209" s="7" t="s">
        <v>231</v>
      </c>
      <c r="BI2209" s="7"/>
      <c r="BJ2209" s="4"/>
      <c r="BK2209" s="8"/>
      <c r="BL2209" s="2" t="s">
        <v>231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9672</v>
      </c>
      <c r="BV2209" s="2" t="s">
        <v>231</v>
      </c>
      <c r="BW2209" s="2" t="s">
        <v>231</v>
      </c>
      <c r="BX2209" s="2" t="s">
        <v>231</v>
      </c>
      <c r="BY2209" s="2" t="s">
        <v>277</v>
      </c>
      <c r="BZ2209" s="2" t="s">
        <v>243</v>
      </c>
      <c r="CA2209" s="2" t="s">
        <v>1470</v>
      </c>
      <c r="CB2209" s="2" t="s">
        <v>3268</v>
      </c>
      <c r="CC2209" s="2" t="s">
        <v>244</v>
      </c>
      <c r="CD2209" s="2" t="s">
        <v>231</v>
      </c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  <c r="HG2209" s="4"/>
      <c r="HH2209" s="4"/>
      <c r="HI2209" s="4"/>
      <c r="HJ2209" s="4"/>
      <c r="HK2209" s="4"/>
      <c r="HL2209" s="4"/>
    </row>
    <row r="2210">
      <c r="A2210" s="2" t="s">
        <v>9673</v>
      </c>
      <c r="B2210" s="2" t="s">
        <v>1186</v>
      </c>
      <c r="C2210" s="2" t="s">
        <v>631</v>
      </c>
      <c r="D2210" s="2" t="s">
        <v>654</v>
      </c>
      <c r="E2210" s="2" t="s">
        <v>1187</v>
      </c>
      <c r="F2210" s="2" t="s">
        <v>9669</v>
      </c>
      <c r="G2210" s="2" t="s">
        <v>9669</v>
      </c>
      <c r="H2210" s="2" t="s">
        <v>9669</v>
      </c>
      <c r="I2210" s="2" t="s">
        <v>9670</v>
      </c>
      <c r="J2210" s="2" t="s">
        <v>302</v>
      </c>
      <c r="K2210" s="2" t="s">
        <v>269</v>
      </c>
      <c r="L2210" s="3">
        <v>52.38</v>
      </c>
      <c r="M2210" s="3">
        <v>55</v>
      </c>
      <c r="N2210" s="3">
        <v>109.99</v>
      </c>
      <c r="O2210" s="2" t="s">
        <v>243</v>
      </c>
      <c r="P2210" s="2" t="s">
        <v>917</v>
      </c>
      <c r="Q2210" s="2" t="s">
        <v>237</v>
      </c>
      <c r="R2210" s="2" t="s">
        <v>231</v>
      </c>
      <c r="S2210" s="2" t="s">
        <v>9671</v>
      </c>
      <c r="T2210" s="2" t="s">
        <v>472</v>
      </c>
      <c r="U2210" s="2" t="s">
        <v>3864</v>
      </c>
      <c r="V2210" s="2" t="s">
        <v>987</v>
      </c>
      <c r="W2210" s="2" t="s">
        <v>691</v>
      </c>
      <c r="X2210" s="2" t="s">
        <v>231</v>
      </c>
      <c r="Y2210" s="2" t="s">
        <v>3537</v>
      </c>
      <c r="Z2210" s="4"/>
      <c r="AA2210" s="4">
        <f>=ROUNDDOWN({0},0)</f>
      </c>
      <c r="AB2210" s="5">
        <v>0.1</v>
      </c>
      <c r="AC2210" s="2" t="s">
        <v>231</v>
      </c>
      <c r="AD2210" s="4"/>
      <c r="AE2210" s="4"/>
      <c r="AF2210" s="6"/>
      <c r="AG2210" s="6"/>
      <c r="AH2210" s="7">
        <v>0</v>
      </c>
      <c r="AI2210" s="4"/>
      <c r="AJ2210" s="4">
        <f>=ROUNDDOWN({0},0)</f>
      </c>
      <c r="AK2210" s="5"/>
      <c r="AL2210" s="2" t="s">
        <v>231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231</v>
      </c>
      <c r="AW2210" s="8" t="s">
        <v>231</v>
      </c>
      <c r="AX2210" s="4" t="s">
        <v>231</v>
      </c>
      <c r="AY2210" s="8" t="s">
        <v>231</v>
      </c>
      <c r="AZ2210" s="7" t="s">
        <v>231</v>
      </c>
      <c r="BA2210" s="7" t="s">
        <v>231</v>
      </c>
      <c r="BB2210" s="7"/>
      <c r="BC2210" s="4" t="s">
        <v>231</v>
      </c>
      <c r="BD2210" s="8" t="s">
        <v>231</v>
      </c>
      <c r="BE2210" s="4" t="s">
        <v>231</v>
      </c>
      <c r="BF2210" s="8" t="s">
        <v>231</v>
      </c>
      <c r="BG2210" s="7" t="s">
        <v>231</v>
      </c>
      <c r="BH2210" s="7" t="s">
        <v>231</v>
      </c>
      <c r="BI2210" s="7"/>
      <c r="BJ2210" s="4"/>
      <c r="BK2210" s="8"/>
      <c r="BL2210" s="2" t="s">
        <v>231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9674</v>
      </c>
      <c r="BV2210" s="2" t="s">
        <v>231</v>
      </c>
      <c r="BW2210" s="2" t="s">
        <v>231</v>
      </c>
      <c r="BX2210" s="2" t="s">
        <v>231</v>
      </c>
      <c r="BY2210" s="2" t="s">
        <v>277</v>
      </c>
      <c r="BZ2210" s="2" t="s">
        <v>243</v>
      </c>
      <c r="CA2210" s="2" t="s">
        <v>1470</v>
      </c>
      <c r="CB2210" s="2" t="s">
        <v>7840</v>
      </c>
      <c r="CC2210" s="2" t="s">
        <v>244</v>
      </c>
      <c r="CD2210" s="2" t="s">
        <v>231</v>
      </c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</row>
    <row r="2211">
      <c r="A2211" s="2" t="s">
        <v>9675</v>
      </c>
      <c r="B2211" s="2" t="s">
        <v>1186</v>
      </c>
      <c r="C2211" s="2" t="s">
        <v>631</v>
      </c>
      <c r="D2211" s="2" t="s">
        <v>654</v>
      </c>
      <c r="E2211" s="2" t="s">
        <v>1187</v>
      </c>
      <c r="F2211" s="2" t="s">
        <v>9669</v>
      </c>
      <c r="G2211" s="2" t="s">
        <v>9669</v>
      </c>
      <c r="H2211" s="2" t="s">
        <v>9669</v>
      </c>
      <c r="I2211" s="2" t="s">
        <v>9670</v>
      </c>
      <c r="J2211" s="2" t="s">
        <v>293</v>
      </c>
      <c r="K2211" s="2" t="s">
        <v>253</v>
      </c>
      <c r="L2211" s="3">
        <v>47.61</v>
      </c>
      <c r="M2211" s="3">
        <v>49.99</v>
      </c>
      <c r="N2211" s="3">
        <v>99.99</v>
      </c>
      <c r="O2211" s="2" t="s">
        <v>243</v>
      </c>
      <c r="P2211" s="2" t="s">
        <v>917</v>
      </c>
      <c r="Q2211" s="2" t="s">
        <v>237</v>
      </c>
      <c r="R2211" s="2" t="s">
        <v>231</v>
      </c>
      <c r="S2211" s="2" t="s">
        <v>9676</v>
      </c>
      <c r="T2211" s="2" t="s">
        <v>472</v>
      </c>
      <c r="U2211" s="2" t="s">
        <v>3864</v>
      </c>
      <c r="V2211" s="2" t="s">
        <v>987</v>
      </c>
      <c r="W2211" s="2" t="s">
        <v>691</v>
      </c>
      <c r="X2211" s="2" t="s">
        <v>231</v>
      </c>
      <c r="Y2211" s="2" t="s">
        <v>3537</v>
      </c>
      <c r="Z2211" s="4"/>
      <c r="AA2211" s="4">
        <f>=ROUNDDOWN({0},0)</f>
      </c>
      <c r="AB2211" s="5">
        <v>5.9</v>
      </c>
      <c r="AC2211" s="2" t="s">
        <v>231</v>
      </c>
      <c r="AD2211" s="4"/>
      <c r="AE2211" s="4"/>
      <c r="AF2211" s="6"/>
      <c r="AG2211" s="6"/>
      <c r="AH2211" s="7">
        <v>0</v>
      </c>
      <c r="AI2211" s="4"/>
      <c r="AJ2211" s="4">
        <f>=ROUNDDOWN({0},0)</f>
      </c>
      <c r="AK2211" s="5"/>
      <c r="AL2211" s="2" t="s">
        <v>231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 t="s">
        <v>231</v>
      </c>
      <c r="BD2211" s="8" t="s">
        <v>231</v>
      </c>
      <c r="BE2211" s="4" t="s">
        <v>231</v>
      </c>
      <c r="BF2211" s="8" t="s">
        <v>231</v>
      </c>
      <c r="BG2211" s="7" t="s">
        <v>231</v>
      </c>
      <c r="BH2211" s="7" t="s">
        <v>231</v>
      </c>
      <c r="BI2211" s="7"/>
      <c r="BJ2211" s="4"/>
      <c r="BK2211" s="8"/>
      <c r="BL2211" s="2" t="s">
        <v>9677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9678</v>
      </c>
      <c r="BV2211" s="2" t="s">
        <v>231</v>
      </c>
      <c r="BW2211" s="2" t="s">
        <v>231</v>
      </c>
      <c r="BX2211" s="2" t="s">
        <v>231</v>
      </c>
      <c r="BY2211" s="2" t="s">
        <v>277</v>
      </c>
      <c r="BZ2211" s="2" t="s">
        <v>243</v>
      </c>
      <c r="CA2211" s="2" t="s">
        <v>1470</v>
      </c>
      <c r="CB2211" s="2" t="s">
        <v>5926</v>
      </c>
      <c r="CC2211" s="2" t="s">
        <v>244</v>
      </c>
      <c r="CD2211" s="2" t="s">
        <v>231</v>
      </c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  <c r="HG2211" s="4"/>
      <c r="HH2211" s="4"/>
      <c r="HI2211" s="4"/>
      <c r="HJ2211" s="4"/>
      <c r="HK2211" s="4"/>
      <c r="HL2211" s="4"/>
    </row>
    <row r="2212">
      <c r="A2212" s="2" t="s">
        <v>9679</v>
      </c>
      <c r="B2212" s="2" t="s">
        <v>226</v>
      </c>
      <c r="C2212" s="2" t="s">
        <v>288</v>
      </c>
      <c r="D2212" s="2" t="s">
        <v>654</v>
      </c>
      <c r="E2212" s="2" t="s">
        <v>890</v>
      </c>
      <c r="F2212" s="2" t="s">
        <v>9680</v>
      </c>
      <c r="G2212" s="2" t="s">
        <v>1151</v>
      </c>
      <c r="H2212" s="2" t="s">
        <v>231</v>
      </c>
      <c r="I2212" s="2" t="s">
        <v>9681</v>
      </c>
      <c r="J2212" s="2" t="s">
        <v>832</v>
      </c>
      <c r="K2212" s="2" t="s">
        <v>306</v>
      </c>
      <c r="L2212" s="3">
        <v>38.4</v>
      </c>
      <c r="M2212" s="3">
        <v>40.32</v>
      </c>
      <c r="N2212" s="3">
        <v>79.99</v>
      </c>
      <c r="O2212" s="2" t="s">
        <v>243</v>
      </c>
      <c r="P2212" s="2" t="s">
        <v>341</v>
      </c>
      <c r="Q2212" s="2" t="s">
        <v>237</v>
      </c>
      <c r="R2212" s="2" t="s">
        <v>231</v>
      </c>
      <c r="S2212" s="2" t="s">
        <v>9682</v>
      </c>
      <c r="T2212" s="2" t="s">
        <v>895</v>
      </c>
      <c r="U2212" s="2" t="s">
        <v>231</v>
      </c>
      <c r="V2212" s="2" t="s">
        <v>1901</v>
      </c>
      <c r="W2212" s="2" t="s">
        <v>971</v>
      </c>
      <c r="X2212" s="2" t="s">
        <v>676</v>
      </c>
      <c r="Y2212" s="2" t="s">
        <v>6817</v>
      </c>
      <c r="Z2212" s="4"/>
      <c r="AA2212" s="4">
        <f>=ROUNDDOWN({0},0)</f>
      </c>
      <c r="AB2212" s="5">
        <v>4</v>
      </c>
      <c r="AC2212" s="2" t="s">
        <v>231</v>
      </c>
      <c r="AD2212" s="4"/>
      <c r="AE2212" s="4"/>
      <c r="AF2212" s="6">
        <v>65</v>
      </c>
      <c r="AG2212" s="6"/>
      <c r="AH2212" s="7">
        <v>0</v>
      </c>
      <c r="AI2212" s="4"/>
      <c r="AJ2212" s="4">
        <f>=ROUNDDOWN({0},0)</f>
      </c>
      <c r="AK2212" s="5"/>
      <c r="AL2212" s="2" t="s">
        <v>231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/>
      <c r="BD2212" s="8"/>
      <c r="BE2212" s="4"/>
      <c r="BF2212" s="8"/>
      <c r="BG2212" s="7"/>
      <c r="BH2212" s="7"/>
      <c r="BI2212" s="7"/>
      <c r="BJ2212" s="4"/>
      <c r="BK2212" s="8"/>
      <c r="BL2212" s="2" t="s">
        <v>231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9683</v>
      </c>
      <c r="BV2212" s="2" t="s">
        <v>231</v>
      </c>
      <c r="BW2212" s="2" t="s">
        <v>231</v>
      </c>
      <c r="BX2212" s="2" t="s">
        <v>231</v>
      </c>
      <c r="BY2212" s="2" t="s">
        <v>277</v>
      </c>
      <c r="BZ2212" s="2" t="s">
        <v>243</v>
      </c>
      <c r="CA2212" s="2" t="s">
        <v>1633</v>
      </c>
      <c r="CB2212" s="2" t="s">
        <v>3726</v>
      </c>
      <c r="CC2212" s="2" t="s">
        <v>244</v>
      </c>
      <c r="CD2212" s="2" t="s">
        <v>231</v>
      </c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</row>
    <row r="2213">
      <c r="A2213" s="2" t="s">
        <v>9684</v>
      </c>
      <c r="B2213" s="2" t="s">
        <v>262</v>
      </c>
      <c r="C2213" s="2" t="s">
        <v>965</v>
      </c>
      <c r="D2213" s="2" t="s">
        <v>654</v>
      </c>
      <c r="E2213" s="2" t="s">
        <v>1200</v>
      </c>
      <c r="F2213" s="2" t="s">
        <v>9685</v>
      </c>
      <c r="G2213" s="2" t="s">
        <v>9686</v>
      </c>
      <c r="H2213" s="2" t="s">
        <v>9686</v>
      </c>
      <c r="I2213" s="2" t="s">
        <v>9687</v>
      </c>
      <c r="J2213" s="2" t="s">
        <v>658</v>
      </c>
      <c r="K2213" s="2" t="s">
        <v>319</v>
      </c>
      <c r="L2213" s="3">
        <v>57.19</v>
      </c>
      <c r="M2213" s="3">
        <v>60.05</v>
      </c>
      <c r="N2213" s="3">
        <v>109.99</v>
      </c>
      <c r="O2213" s="2" t="s">
        <v>243</v>
      </c>
      <c r="P2213" s="2" t="s">
        <v>341</v>
      </c>
      <c r="Q2213" s="2" t="s">
        <v>237</v>
      </c>
      <c r="R2213" s="2" t="s">
        <v>231</v>
      </c>
      <c r="S2213" s="2" t="s">
        <v>9688</v>
      </c>
      <c r="T2213" s="2" t="s">
        <v>362</v>
      </c>
      <c r="U2213" s="2" t="s">
        <v>231</v>
      </c>
      <c r="V2213" s="2" t="s">
        <v>239</v>
      </c>
      <c r="W2213" s="2" t="s">
        <v>273</v>
      </c>
      <c r="X2213" s="2" t="s">
        <v>231</v>
      </c>
      <c r="Y2213" s="2" t="s">
        <v>274</v>
      </c>
      <c r="Z2213" s="4">
        <v>167</v>
      </c>
      <c r="AA2213" s="4">
        <f>=ROUNDDOWN(27.8333333333333,0)</f>
      </c>
      <c r="AB2213" s="5">
        <v>6</v>
      </c>
      <c r="AC2213" s="2" t="s">
        <v>231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231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231</v>
      </c>
      <c r="AW2213" s="8" t="s">
        <v>231</v>
      </c>
      <c r="AX2213" s="4" t="s">
        <v>231</v>
      </c>
      <c r="AY2213" s="8" t="s">
        <v>231</v>
      </c>
      <c r="AZ2213" s="7" t="s">
        <v>231</v>
      </c>
      <c r="BA2213" s="7" t="s">
        <v>231</v>
      </c>
      <c r="BB2213" s="7"/>
      <c r="BC2213" s="4" t="s">
        <v>231</v>
      </c>
      <c r="BD2213" s="8" t="s">
        <v>231</v>
      </c>
      <c r="BE2213" s="4" t="s">
        <v>231</v>
      </c>
      <c r="BF2213" s="8" t="s">
        <v>231</v>
      </c>
      <c r="BG2213" s="7" t="s">
        <v>231</v>
      </c>
      <c r="BH2213" s="7" t="s">
        <v>231</v>
      </c>
      <c r="BI2213" s="7"/>
      <c r="BJ2213" s="4">
        <v>8</v>
      </c>
      <c r="BK2213" s="8">
        <v>517.52</v>
      </c>
      <c r="BL2213" s="2" t="s">
        <v>9689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9690</v>
      </c>
      <c r="BV2213" s="2" t="s">
        <v>231</v>
      </c>
      <c r="BW2213" s="2" t="s">
        <v>231</v>
      </c>
      <c r="BX2213" s="2" t="s">
        <v>241</v>
      </c>
      <c r="BY2213" s="2" t="s">
        <v>277</v>
      </c>
      <c r="BZ2213" s="2" t="s">
        <v>243</v>
      </c>
      <c r="CA2213" s="2" t="s">
        <v>284</v>
      </c>
      <c r="CB2213" s="2" t="s">
        <v>467</v>
      </c>
      <c r="CC2213" s="2" t="s">
        <v>244</v>
      </c>
      <c r="CD2213" s="2" t="s">
        <v>231</v>
      </c>
      <c r="CE2213" s="4">
        <v>80</v>
      </c>
      <c r="CF2213" s="4"/>
      <c r="CG2213" s="4"/>
      <c r="CH2213" s="4"/>
      <c r="CI2213" s="4">
        <v>87</v>
      </c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  <c r="HG2213" s="4"/>
      <c r="HH2213" s="4"/>
      <c r="HI2213" s="4"/>
      <c r="HJ2213" s="4"/>
      <c r="HK2213" s="4"/>
      <c r="HL2213" s="4"/>
    </row>
    <row r="2214">
      <c r="A2214" s="2" t="s">
        <v>9691</v>
      </c>
      <c r="B2214" s="2" t="s">
        <v>262</v>
      </c>
      <c r="C2214" s="2" t="s">
        <v>965</v>
      </c>
      <c r="D2214" s="2" t="s">
        <v>654</v>
      </c>
      <c r="E2214" s="2" t="s">
        <v>1200</v>
      </c>
      <c r="F2214" s="2" t="s">
        <v>9685</v>
      </c>
      <c r="G2214" s="2" t="s">
        <v>9686</v>
      </c>
      <c r="H2214" s="2" t="s">
        <v>9686</v>
      </c>
      <c r="I2214" s="2" t="s">
        <v>9687</v>
      </c>
      <c r="J2214" s="2" t="s">
        <v>669</v>
      </c>
      <c r="K2214" s="2" t="s">
        <v>319</v>
      </c>
      <c r="L2214" s="3">
        <v>67.59</v>
      </c>
      <c r="M2214" s="3">
        <v>70.97</v>
      </c>
      <c r="N2214" s="3">
        <v>129.99</v>
      </c>
      <c r="O2214" s="2" t="s">
        <v>243</v>
      </c>
      <c r="P2214" s="2" t="s">
        <v>341</v>
      </c>
      <c r="Q2214" s="2" t="s">
        <v>237</v>
      </c>
      <c r="R2214" s="2" t="s">
        <v>231</v>
      </c>
      <c r="S2214" s="2" t="s">
        <v>9688</v>
      </c>
      <c r="T2214" s="2" t="s">
        <v>362</v>
      </c>
      <c r="U2214" s="2" t="s">
        <v>231</v>
      </c>
      <c r="V2214" s="2" t="s">
        <v>239</v>
      </c>
      <c r="W2214" s="2" t="s">
        <v>273</v>
      </c>
      <c r="X2214" s="2" t="s">
        <v>231</v>
      </c>
      <c r="Y2214" s="2" t="s">
        <v>274</v>
      </c>
      <c r="Z2214" s="4">
        <v>134</v>
      </c>
      <c r="AA2214" s="4">
        <f>=ROUNDDOWN(22.3333333333333,0)</f>
      </c>
      <c r="AB2214" s="5">
        <v>6</v>
      </c>
      <c r="AC2214" s="2" t="s">
        <v>231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231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231</v>
      </c>
      <c r="AW2214" s="8" t="s">
        <v>231</v>
      </c>
      <c r="AX2214" s="4" t="s">
        <v>231</v>
      </c>
      <c r="AY2214" s="8" t="s">
        <v>231</v>
      </c>
      <c r="AZ2214" s="7" t="s">
        <v>231</v>
      </c>
      <c r="BA2214" s="7" t="s">
        <v>231</v>
      </c>
      <c r="BB2214" s="7"/>
      <c r="BC2214" s="4" t="s">
        <v>231</v>
      </c>
      <c r="BD2214" s="8" t="s">
        <v>231</v>
      </c>
      <c r="BE2214" s="4" t="s">
        <v>231</v>
      </c>
      <c r="BF2214" s="8" t="s">
        <v>231</v>
      </c>
      <c r="BG2214" s="7" t="s">
        <v>231</v>
      </c>
      <c r="BH2214" s="7" t="s">
        <v>231</v>
      </c>
      <c r="BI2214" s="7"/>
      <c r="BJ2214" s="4">
        <v>9</v>
      </c>
      <c r="BK2214" s="8">
        <v>694.02</v>
      </c>
      <c r="BL2214" s="2" t="s">
        <v>9692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9693</v>
      </c>
      <c r="BV2214" s="2" t="s">
        <v>231</v>
      </c>
      <c r="BW2214" s="2" t="s">
        <v>231</v>
      </c>
      <c r="BX2214" s="2" t="s">
        <v>241</v>
      </c>
      <c r="BY2214" s="2" t="s">
        <v>277</v>
      </c>
      <c r="BZ2214" s="2" t="s">
        <v>243</v>
      </c>
      <c r="CA2214" s="2" t="s">
        <v>284</v>
      </c>
      <c r="CB2214" s="2" t="s">
        <v>467</v>
      </c>
      <c r="CC2214" s="2" t="s">
        <v>244</v>
      </c>
      <c r="CD2214" s="2" t="s">
        <v>231</v>
      </c>
      <c r="CE2214" s="4">
        <v>86</v>
      </c>
      <c r="CF2214" s="4"/>
      <c r="CG2214" s="4"/>
      <c r="CH2214" s="4"/>
      <c r="CI2214" s="4">
        <v>48</v>
      </c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  <c r="HG2214" s="4"/>
      <c r="HH2214" s="4"/>
      <c r="HI2214" s="4"/>
      <c r="HJ2214" s="4"/>
      <c r="HK2214" s="4"/>
      <c r="HL2214" s="4"/>
    </row>
    <row r="2215">
      <c r="A2215" s="2" t="s">
        <v>9694</v>
      </c>
      <c r="B2215" s="2" t="s">
        <v>784</v>
      </c>
      <c r="C2215" s="2" t="s">
        <v>815</v>
      </c>
      <c r="D2215" s="2" t="s">
        <v>785</v>
      </c>
      <c r="E2215" s="2" t="s">
        <v>786</v>
      </c>
      <c r="F2215" s="2" t="s">
        <v>1824</v>
      </c>
      <c r="G2215" s="2" t="s">
        <v>2310</v>
      </c>
      <c r="H2215" s="2" t="s">
        <v>9695</v>
      </c>
      <c r="I2215" s="2" t="s">
        <v>9696</v>
      </c>
      <c r="J2215" s="2" t="s">
        <v>1070</v>
      </c>
      <c r="K2215" s="2" t="s">
        <v>253</v>
      </c>
      <c r="L2215" s="3">
        <v>26.65</v>
      </c>
      <c r="M2215" s="3">
        <v>27.98</v>
      </c>
      <c r="N2215" s="3">
        <v>59.99</v>
      </c>
      <c r="O2215" s="2" t="s">
        <v>243</v>
      </c>
      <c r="P2215" s="2" t="s">
        <v>341</v>
      </c>
      <c r="Q2215" s="2" t="s">
        <v>237</v>
      </c>
      <c r="R2215" s="2" t="s">
        <v>231</v>
      </c>
      <c r="S2215" s="2" t="s">
        <v>9697</v>
      </c>
      <c r="T2215" s="2" t="s">
        <v>362</v>
      </c>
      <c r="U2215" s="2" t="s">
        <v>765</v>
      </c>
      <c r="V2215" s="2" t="s">
        <v>239</v>
      </c>
      <c r="W2215" s="2" t="s">
        <v>2541</v>
      </c>
      <c r="X2215" s="2" t="s">
        <v>273</v>
      </c>
      <c r="Y2215" s="2" t="s">
        <v>5693</v>
      </c>
      <c r="Z2215" s="4">
        <v>253</v>
      </c>
      <c r="AA2215" s="4">
        <f>=ROUNDDOWN(28.1111111111111,0)</f>
      </c>
      <c r="AB2215" s="5">
        <v>9</v>
      </c>
      <c r="AC2215" s="2" t="s">
        <v>231</v>
      </c>
      <c r="AD2215" s="4"/>
      <c r="AE2215" s="4"/>
      <c r="AF2215" s="6">
        <v>67</v>
      </c>
      <c r="AG2215" s="6"/>
      <c r="AH2215" s="7">
        <v>1</v>
      </c>
      <c r="AI2215" s="4"/>
      <c r="AJ2215" s="4">
        <f>=ROUNDDOWN({0},0)</f>
      </c>
      <c r="AK2215" s="5"/>
      <c r="AL2215" s="2" t="s">
        <v>231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231</v>
      </c>
      <c r="AW2215" s="8" t="s">
        <v>231</v>
      </c>
      <c r="AX2215" s="4" t="s">
        <v>231</v>
      </c>
      <c r="AY2215" s="8" t="s">
        <v>231</v>
      </c>
      <c r="AZ2215" s="7" t="s">
        <v>231</v>
      </c>
      <c r="BA2215" s="7" t="s">
        <v>231</v>
      </c>
      <c r="BB2215" s="7"/>
      <c r="BC2215" s="4" t="s">
        <v>231</v>
      </c>
      <c r="BD2215" s="8" t="s">
        <v>231</v>
      </c>
      <c r="BE2215" s="4" t="s">
        <v>231</v>
      </c>
      <c r="BF2215" s="8" t="s">
        <v>231</v>
      </c>
      <c r="BG2215" s="7" t="s">
        <v>231</v>
      </c>
      <c r="BH2215" s="7" t="s">
        <v>231</v>
      </c>
      <c r="BI2215" s="7"/>
      <c r="BJ2215" s="4">
        <v>13</v>
      </c>
      <c r="BK2215" s="8">
        <v>426.11</v>
      </c>
      <c r="BL2215" s="2" t="s">
        <v>9698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9699</v>
      </c>
      <c r="BV2215" s="2" t="s">
        <v>231</v>
      </c>
      <c r="BW2215" s="2" t="s">
        <v>231</v>
      </c>
      <c r="BX2215" s="2" t="s">
        <v>231</v>
      </c>
      <c r="BY2215" s="2" t="s">
        <v>277</v>
      </c>
      <c r="BZ2215" s="2" t="s">
        <v>243</v>
      </c>
      <c r="CA2215" s="2" t="s">
        <v>6303</v>
      </c>
      <c r="CB2215" s="2" t="s">
        <v>3027</v>
      </c>
      <c r="CC2215" s="2" t="s">
        <v>244</v>
      </c>
      <c r="CD2215" s="2" t="s">
        <v>231</v>
      </c>
      <c r="CE2215" s="4">
        <v>253</v>
      </c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  <c r="HG2215" s="4"/>
      <c r="HH2215" s="4"/>
      <c r="HI2215" s="4"/>
      <c r="HJ2215" s="4"/>
      <c r="HK2215" s="4"/>
      <c r="HL2215" s="4"/>
    </row>
    <row r="2216">
      <c r="A2216" s="2" t="s">
        <v>9700</v>
      </c>
      <c r="B2216" s="2" t="s">
        <v>1232</v>
      </c>
      <c r="C2216" s="2" t="s">
        <v>1233</v>
      </c>
      <c r="D2216" s="2" t="s">
        <v>1234</v>
      </c>
      <c r="E2216" s="2" t="s">
        <v>1235</v>
      </c>
      <c r="F2216" s="2" t="s">
        <v>1824</v>
      </c>
      <c r="G2216" s="2" t="s">
        <v>1824</v>
      </c>
      <c r="H2216" s="2" t="s">
        <v>1824</v>
      </c>
      <c r="I2216" s="2" t="s">
        <v>9701</v>
      </c>
      <c r="J2216" s="2" t="s">
        <v>2699</v>
      </c>
      <c r="K2216" s="2" t="s">
        <v>253</v>
      </c>
      <c r="L2216" s="3">
        <v>8.66</v>
      </c>
      <c r="M2216" s="3">
        <v>9.09</v>
      </c>
      <c r="N2216" s="3">
        <v>19.99</v>
      </c>
      <c r="O2216" s="2" t="s">
        <v>243</v>
      </c>
      <c r="P2216" s="2" t="s">
        <v>236</v>
      </c>
      <c r="Q2216" s="2" t="s">
        <v>237</v>
      </c>
      <c r="R2216" s="2" t="s">
        <v>231</v>
      </c>
      <c r="S2216" s="2" t="s">
        <v>231</v>
      </c>
      <c r="T2216" s="2" t="s">
        <v>231</v>
      </c>
      <c r="U2216" s="2" t="s">
        <v>327</v>
      </c>
      <c r="V2216" s="2" t="s">
        <v>662</v>
      </c>
      <c r="W2216" s="2" t="s">
        <v>273</v>
      </c>
      <c r="X2216" s="2" t="s">
        <v>231</v>
      </c>
      <c r="Y2216" s="2" t="s">
        <v>3045</v>
      </c>
      <c r="Z2216" s="4">
        <v>911</v>
      </c>
      <c r="AA2216" s="4">
        <f>=ROUNDDOWN(15.7068965517241,0)</f>
      </c>
      <c r="AB2216" s="5">
        <v>58</v>
      </c>
      <c r="AC2216" s="2" t="s">
        <v>231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231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231</v>
      </c>
      <c r="AW2216" s="8" t="s">
        <v>231</v>
      </c>
      <c r="AX2216" s="4" t="s">
        <v>231</v>
      </c>
      <c r="AY2216" s="8" t="s">
        <v>231</v>
      </c>
      <c r="AZ2216" s="7" t="s">
        <v>231</v>
      </c>
      <c r="BA2216" s="7" t="s">
        <v>231</v>
      </c>
      <c r="BB2216" s="7"/>
      <c r="BC2216" s="4" t="s">
        <v>231</v>
      </c>
      <c r="BD2216" s="8" t="s">
        <v>231</v>
      </c>
      <c r="BE2216" s="4" t="s">
        <v>231</v>
      </c>
      <c r="BF2216" s="8" t="s">
        <v>231</v>
      </c>
      <c r="BG2216" s="7" t="s">
        <v>231</v>
      </c>
      <c r="BH2216" s="7" t="s">
        <v>231</v>
      </c>
      <c r="BI2216" s="7"/>
      <c r="BJ2216" s="4">
        <v>337</v>
      </c>
      <c r="BK2216" s="8">
        <v>3342.28</v>
      </c>
      <c r="BL2216" s="2" t="s">
        <v>3932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9702</v>
      </c>
      <c r="BV2216" s="2" t="s">
        <v>231</v>
      </c>
      <c r="BW2216" s="2" t="s">
        <v>231</v>
      </c>
      <c r="BX2216" s="2" t="s">
        <v>241</v>
      </c>
      <c r="BY2216" s="2" t="s">
        <v>277</v>
      </c>
      <c r="BZ2216" s="2" t="s">
        <v>243</v>
      </c>
      <c r="CA2216" s="2" t="s">
        <v>5422</v>
      </c>
      <c r="CB2216" s="2" t="s">
        <v>231</v>
      </c>
      <c r="CC2216" s="2" t="s">
        <v>244</v>
      </c>
      <c r="CD2216" s="2" t="s">
        <v>231</v>
      </c>
      <c r="CE2216" s="4"/>
      <c r="CF2216" s="4">
        <v>3</v>
      </c>
      <c r="CG2216" s="4"/>
      <c r="CH2216" s="4"/>
      <c r="CI2216" s="4">
        <v>908</v>
      </c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  <c r="HG2216" s="4"/>
      <c r="HH2216" s="4"/>
      <c r="HI2216" s="4"/>
      <c r="HJ2216" s="4"/>
      <c r="HK2216" s="4"/>
      <c r="HL2216" s="4"/>
    </row>
    <row r="2217">
      <c r="A2217" s="2" t="s">
        <v>9703</v>
      </c>
      <c r="B2217" s="2" t="s">
        <v>1232</v>
      </c>
      <c r="C2217" s="2" t="s">
        <v>1233</v>
      </c>
      <c r="D2217" s="2" t="s">
        <v>1234</v>
      </c>
      <c r="E2217" s="2" t="s">
        <v>1235</v>
      </c>
      <c r="F2217" s="2" t="s">
        <v>1824</v>
      </c>
      <c r="G2217" s="2" t="s">
        <v>1824</v>
      </c>
      <c r="H2217" s="2" t="s">
        <v>1824</v>
      </c>
      <c r="I2217" s="2" t="s">
        <v>9701</v>
      </c>
      <c r="J2217" s="2" t="s">
        <v>1238</v>
      </c>
      <c r="K2217" s="2" t="s">
        <v>253</v>
      </c>
      <c r="L2217" s="3">
        <v>10.57</v>
      </c>
      <c r="M2217" s="3">
        <v>11.1</v>
      </c>
      <c r="N2217" s="3">
        <v>23.99</v>
      </c>
      <c r="O2217" s="2" t="s">
        <v>243</v>
      </c>
      <c r="P2217" s="2" t="s">
        <v>236</v>
      </c>
      <c r="Q2217" s="2" t="s">
        <v>237</v>
      </c>
      <c r="R2217" s="2" t="s">
        <v>231</v>
      </c>
      <c r="S2217" s="2" t="s">
        <v>231</v>
      </c>
      <c r="T2217" s="2" t="s">
        <v>231</v>
      </c>
      <c r="U2217" s="2" t="s">
        <v>327</v>
      </c>
      <c r="V2217" s="2" t="s">
        <v>662</v>
      </c>
      <c r="W2217" s="2" t="s">
        <v>273</v>
      </c>
      <c r="X2217" s="2" t="s">
        <v>231</v>
      </c>
      <c r="Y2217" s="2" t="s">
        <v>3045</v>
      </c>
      <c r="Z2217" s="4">
        <v>1615</v>
      </c>
      <c r="AA2217" s="4">
        <f>=ROUNDDOWN(76.9047619047619,0)</f>
      </c>
      <c r="AB2217" s="5">
        <v>21</v>
      </c>
      <c r="AC2217" s="2" t="s">
        <v>231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231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231</v>
      </c>
      <c r="AW2217" s="8" t="s">
        <v>231</v>
      </c>
      <c r="AX2217" s="4" t="s">
        <v>231</v>
      </c>
      <c r="AY2217" s="8" t="s">
        <v>231</v>
      </c>
      <c r="AZ2217" s="7" t="s">
        <v>231</v>
      </c>
      <c r="BA2217" s="7" t="s">
        <v>231</v>
      </c>
      <c r="BB2217" s="7"/>
      <c r="BC2217" s="4" t="s">
        <v>231</v>
      </c>
      <c r="BD2217" s="8" t="s">
        <v>231</v>
      </c>
      <c r="BE2217" s="4" t="s">
        <v>231</v>
      </c>
      <c r="BF2217" s="8" t="s">
        <v>231</v>
      </c>
      <c r="BG2217" s="7" t="s">
        <v>231</v>
      </c>
      <c r="BH2217" s="7" t="s">
        <v>231</v>
      </c>
      <c r="BI2217" s="7"/>
      <c r="BJ2217" s="4">
        <v>93</v>
      </c>
      <c r="BK2217" s="8">
        <v>1123.87</v>
      </c>
      <c r="BL2217" s="2" t="s">
        <v>9704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9705</v>
      </c>
      <c r="BV2217" s="2" t="s">
        <v>231</v>
      </c>
      <c r="BW2217" s="2" t="s">
        <v>231</v>
      </c>
      <c r="BX2217" s="2" t="s">
        <v>241</v>
      </c>
      <c r="BY2217" s="2" t="s">
        <v>277</v>
      </c>
      <c r="BZ2217" s="2" t="s">
        <v>243</v>
      </c>
      <c r="CA2217" s="2" t="s">
        <v>5422</v>
      </c>
      <c r="CB2217" s="2" t="s">
        <v>231</v>
      </c>
      <c r="CC2217" s="2" t="s">
        <v>244</v>
      </c>
      <c r="CD2217" s="2" t="s">
        <v>231</v>
      </c>
      <c r="CE2217" s="4"/>
      <c r="CF2217" s="4">
        <v>250</v>
      </c>
      <c r="CG2217" s="4"/>
      <c r="CH2217" s="4"/>
      <c r="CI2217" s="4">
        <v>1365</v>
      </c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  <c r="HG2217" s="4"/>
      <c r="HH2217" s="4"/>
      <c r="HI2217" s="4"/>
      <c r="HJ2217" s="4"/>
      <c r="HK2217" s="4"/>
      <c r="HL2217" s="4"/>
    </row>
    <row r="2218">
      <c r="A2218" s="2" t="s">
        <v>9706</v>
      </c>
      <c r="B2218" s="2" t="s">
        <v>1232</v>
      </c>
      <c r="C2218" s="2" t="s">
        <v>1233</v>
      </c>
      <c r="D2218" s="2" t="s">
        <v>1234</v>
      </c>
      <c r="E2218" s="2" t="s">
        <v>1235</v>
      </c>
      <c r="F2218" s="2" t="s">
        <v>1824</v>
      </c>
      <c r="G2218" s="2" t="s">
        <v>1824</v>
      </c>
      <c r="H2218" s="2" t="s">
        <v>1824</v>
      </c>
      <c r="I2218" s="2" t="s">
        <v>9701</v>
      </c>
      <c r="J2218" s="2" t="s">
        <v>1245</v>
      </c>
      <c r="K2218" s="2" t="s">
        <v>253</v>
      </c>
      <c r="L2218" s="3">
        <v>13.42</v>
      </c>
      <c r="M2218" s="3">
        <v>14.09</v>
      </c>
      <c r="N2218" s="3">
        <v>29.99</v>
      </c>
      <c r="O2218" s="2" t="s">
        <v>243</v>
      </c>
      <c r="P2218" s="2" t="s">
        <v>236</v>
      </c>
      <c r="Q2218" s="2" t="s">
        <v>237</v>
      </c>
      <c r="R2218" s="2" t="s">
        <v>231</v>
      </c>
      <c r="S2218" s="2" t="s">
        <v>231</v>
      </c>
      <c r="T2218" s="2" t="s">
        <v>231</v>
      </c>
      <c r="U2218" s="2" t="s">
        <v>327</v>
      </c>
      <c r="V2218" s="2" t="s">
        <v>662</v>
      </c>
      <c r="W2218" s="2" t="s">
        <v>273</v>
      </c>
      <c r="X2218" s="2" t="s">
        <v>231</v>
      </c>
      <c r="Y2218" s="2" t="s">
        <v>3045</v>
      </c>
      <c r="Z2218" s="4">
        <v>1518</v>
      </c>
      <c r="AA2218" s="4">
        <f>=ROUNDDOWN(66,0)</f>
      </c>
      <c r="AB2218" s="5">
        <v>23</v>
      </c>
      <c r="AC2218" s="2" t="s">
        <v>231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231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231</v>
      </c>
      <c r="AW2218" s="8" t="s">
        <v>231</v>
      </c>
      <c r="AX2218" s="4" t="s">
        <v>231</v>
      </c>
      <c r="AY2218" s="8" t="s">
        <v>231</v>
      </c>
      <c r="AZ2218" s="7" t="s">
        <v>231</v>
      </c>
      <c r="BA2218" s="7" t="s">
        <v>231</v>
      </c>
      <c r="BB2218" s="7"/>
      <c r="BC2218" s="4" t="s">
        <v>231</v>
      </c>
      <c r="BD2218" s="8" t="s">
        <v>231</v>
      </c>
      <c r="BE2218" s="4" t="s">
        <v>231</v>
      </c>
      <c r="BF2218" s="8" t="s">
        <v>231</v>
      </c>
      <c r="BG2218" s="7" t="s">
        <v>231</v>
      </c>
      <c r="BH2218" s="7" t="s">
        <v>231</v>
      </c>
      <c r="BI2218" s="7"/>
      <c r="BJ2218" s="4">
        <v>117</v>
      </c>
      <c r="BK2218" s="8">
        <v>1797.77</v>
      </c>
      <c r="BL2218" s="2" t="s">
        <v>3932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9707</v>
      </c>
      <c r="BV2218" s="2" t="s">
        <v>231</v>
      </c>
      <c r="BW2218" s="2" t="s">
        <v>231</v>
      </c>
      <c r="BX2218" s="2" t="s">
        <v>241</v>
      </c>
      <c r="BY2218" s="2" t="s">
        <v>277</v>
      </c>
      <c r="BZ2218" s="2" t="s">
        <v>243</v>
      </c>
      <c r="CA2218" s="2" t="s">
        <v>5422</v>
      </c>
      <c r="CB2218" s="2" t="s">
        <v>231</v>
      </c>
      <c r="CC2218" s="2" t="s">
        <v>244</v>
      </c>
      <c r="CD2218" s="2" t="s">
        <v>231</v>
      </c>
      <c r="CE2218" s="4"/>
      <c r="CF2218" s="4">
        <v>174</v>
      </c>
      <c r="CG2218" s="4"/>
      <c r="CH2218" s="4"/>
      <c r="CI2218" s="4">
        <v>1344</v>
      </c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  <c r="HG2218" s="4"/>
      <c r="HH2218" s="4"/>
      <c r="HI2218" s="4"/>
      <c r="HJ2218" s="4"/>
      <c r="HK2218" s="4"/>
      <c r="HL2218" s="4"/>
    </row>
    <row r="2219">
      <c r="A2219" s="2" t="s">
        <v>9708</v>
      </c>
      <c r="B2219" s="2" t="s">
        <v>1232</v>
      </c>
      <c r="C2219" s="2" t="s">
        <v>1233</v>
      </c>
      <c r="D2219" s="2" t="s">
        <v>1234</v>
      </c>
      <c r="E2219" s="2" t="s">
        <v>1235</v>
      </c>
      <c r="F2219" s="2" t="s">
        <v>1824</v>
      </c>
      <c r="G2219" s="2" t="s">
        <v>1824</v>
      </c>
      <c r="H2219" s="2" t="s">
        <v>1824</v>
      </c>
      <c r="I2219" s="2" t="s">
        <v>9701</v>
      </c>
      <c r="J2219" s="2" t="s">
        <v>1249</v>
      </c>
      <c r="K2219" s="2" t="s">
        <v>253</v>
      </c>
      <c r="L2219" s="3">
        <v>15.03</v>
      </c>
      <c r="M2219" s="3">
        <v>15.78</v>
      </c>
      <c r="N2219" s="3">
        <v>34.99</v>
      </c>
      <c r="O2219" s="2" t="s">
        <v>243</v>
      </c>
      <c r="P2219" s="2" t="s">
        <v>236</v>
      </c>
      <c r="Q2219" s="2" t="s">
        <v>237</v>
      </c>
      <c r="R2219" s="2" t="s">
        <v>231</v>
      </c>
      <c r="S2219" s="2" t="s">
        <v>231</v>
      </c>
      <c r="T2219" s="2" t="s">
        <v>231</v>
      </c>
      <c r="U2219" s="2" t="s">
        <v>327</v>
      </c>
      <c r="V2219" s="2" t="s">
        <v>662</v>
      </c>
      <c r="W2219" s="2" t="s">
        <v>273</v>
      </c>
      <c r="X2219" s="2" t="s">
        <v>231</v>
      </c>
      <c r="Y2219" s="2" t="s">
        <v>3045</v>
      </c>
      <c r="Z2219" s="4">
        <v>1813</v>
      </c>
      <c r="AA2219" s="4">
        <f>=ROUNDDOWN(181.3,0)</f>
      </c>
      <c r="AB2219" s="5">
        <v>10</v>
      </c>
      <c r="AC2219" s="2" t="s">
        <v>231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231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231</v>
      </c>
      <c r="AW2219" s="8" t="s">
        <v>231</v>
      </c>
      <c r="AX2219" s="4" t="s">
        <v>231</v>
      </c>
      <c r="AY2219" s="8" t="s">
        <v>231</v>
      </c>
      <c r="AZ2219" s="7" t="s">
        <v>231</v>
      </c>
      <c r="BA2219" s="7" t="s">
        <v>231</v>
      </c>
      <c r="BB2219" s="7"/>
      <c r="BC2219" s="4" t="s">
        <v>231</v>
      </c>
      <c r="BD2219" s="8" t="s">
        <v>231</v>
      </c>
      <c r="BE2219" s="4" t="s">
        <v>231</v>
      </c>
      <c r="BF2219" s="8" t="s">
        <v>231</v>
      </c>
      <c r="BG2219" s="7" t="s">
        <v>231</v>
      </c>
      <c r="BH2219" s="7" t="s">
        <v>231</v>
      </c>
      <c r="BI2219" s="7"/>
      <c r="BJ2219" s="4">
        <v>39</v>
      </c>
      <c r="BK2219" s="8">
        <v>668.86</v>
      </c>
      <c r="BL2219" s="2" t="s">
        <v>9704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9709</v>
      </c>
      <c r="BV2219" s="2" t="s">
        <v>231</v>
      </c>
      <c r="BW2219" s="2" t="s">
        <v>231</v>
      </c>
      <c r="BX2219" s="2" t="s">
        <v>241</v>
      </c>
      <c r="BY2219" s="2" t="s">
        <v>277</v>
      </c>
      <c r="BZ2219" s="2" t="s">
        <v>243</v>
      </c>
      <c r="CA2219" s="2" t="s">
        <v>5422</v>
      </c>
      <c r="CB2219" s="2" t="s">
        <v>231</v>
      </c>
      <c r="CC2219" s="2" t="s">
        <v>244</v>
      </c>
      <c r="CD2219" s="2" t="s">
        <v>231</v>
      </c>
      <c r="CE2219" s="4"/>
      <c r="CF2219" s="4">
        <v>412</v>
      </c>
      <c r="CG2219" s="4"/>
      <c r="CH2219" s="4"/>
      <c r="CI2219" s="4">
        <v>1401</v>
      </c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4"/>
      <c r="HH2219" s="4"/>
      <c r="HI2219" s="4"/>
      <c r="HJ2219" s="4"/>
      <c r="HK2219" s="4"/>
      <c r="HL2219" s="4"/>
    </row>
    <row r="2220">
      <c r="A2220" s="2" t="s">
        <v>9710</v>
      </c>
      <c r="B2220" s="2" t="s">
        <v>847</v>
      </c>
      <c r="C2220" s="2" t="s">
        <v>815</v>
      </c>
      <c r="D2220" s="2" t="s">
        <v>906</v>
      </c>
      <c r="E2220" s="2" t="s">
        <v>907</v>
      </c>
      <c r="F2220" s="2" t="s">
        <v>1824</v>
      </c>
      <c r="G2220" s="2" t="s">
        <v>1824</v>
      </c>
      <c r="H2220" s="2" t="s">
        <v>1824</v>
      </c>
      <c r="I2220" s="2" t="s">
        <v>9711</v>
      </c>
      <c r="J2220" s="2" t="s">
        <v>807</v>
      </c>
      <c r="K2220" s="2" t="s">
        <v>1496</v>
      </c>
      <c r="L2220" s="3">
        <v>59.52</v>
      </c>
      <c r="M2220" s="3">
        <v>62.5</v>
      </c>
      <c r="N2220" s="3">
        <v>124.99</v>
      </c>
      <c r="O2220" s="2" t="s">
        <v>243</v>
      </c>
      <c r="P2220" s="2" t="s">
        <v>871</v>
      </c>
      <c r="Q2220" s="2" t="s">
        <v>237</v>
      </c>
      <c r="R2220" s="2" t="s">
        <v>231</v>
      </c>
      <c r="S2220" s="2" t="s">
        <v>231</v>
      </c>
      <c r="T2220" s="2" t="s">
        <v>231</v>
      </c>
      <c r="U2220" s="2" t="s">
        <v>327</v>
      </c>
      <c r="V2220" s="2" t="s">
        <v>662</v>
      </c>
      <c r="W2220" s="2" t="s">
        <v>273</v>
      </c>
      <c r="X2220" s="2" t="s">
        <v>363</v>
      </c>
      <c r="Y2220" s="2" t="s">
        <v>445</v>
      </c>
      <c r="Z2220" s="4">
        <v>159</v>
      </c>
      <c r="AA2220" s="4">
        <f>=ROUNDDOWN(9.9375,0)</f>
      </c>
      <c r="AB2220" s="5">
        <v>16</v>
      </c>
      <c r="AC2220" s="2" t="s">
        <v>1227</v>
      </c>
      <c r="AD2220" s="4">
        <v>400</v>
      </c>
      <c r="AE2220" s="4">
        <v>400</v>
      </c>
      <c r="AF2220" s="6">
        <v>63</v>
      </c>
      <c r="AG2220" s="6"/>
      <c r="AH2220" s="7">
        <v>1</v>
      </c>
      <c r="AI2220" s="4"/>
      <c r="AJ2220" s="4">
        <f>=ROUNDDOWN({0},0)</f>
      </c>
      <c r="AK2220" s="5"/>
      <c r="AL2220" s="2" t="s">
        <v>231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231</v>
      </c>
      <c r="BD2220" s="8" t="s">
        <v>231</v>
      </c>
      <c r="BE2220" s="4" t="s">
        <v>231</v>
      </c>
      <c r="BF2220" s="8" t="s">
        <v>231</v>
      </c>
      <c r="BG2220" s="7" t="s">
        <v>231</v>
      </c>
      <c r="BH2220" s="7" t="s">
        <v>231</v>
      </c>
      <c r="BI2220" s="7"/>
      <c r="BJ2220" s="4">
        <v>62</v>
      </c>
      <c r="BK2220" s="8">
        <v>4164.49</v>
      </c>
      <c r="BL2220" s="2" t="s">
        <v>9712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9713</v>
      </c>
      <c r="BV2220" s="2" t="s">
        <v>231</v>
      </c>
      <c r="BW2220" s="2" t="s">
        <v>231</v>
      </c>
      <c r="BX2220" s="2" t="s">
        <v>231</v>
      </c>
      <c r="BY2220" s="2" t="s">
        <v>277</v>
      </c>
      <c r="BZ2220" s="2" t="s">
        <v>243</v>
      </c>
      <c r="CA2220" s="2" t="s">
        <v>1612</v>
      </c>
      <c r="CB2220" s="2" t="s">
        <v>446</v>
      </c>
      <c r="CC2220" s="2" t="s">
        <v>244</v>
      </c>
      <c r="CD2220" s="2" t="s">
        <v>231</v>
      </c>
      <c r="CE2220" s="4">
        <v>3</v>
      </c>
      <c r="CF2220" s="4">
        <v>156</v>
      </c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>
        <v>400</v>
      </c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  <c r="HG2220" s="4"/>
      <c r="HH2220" s="4"/>
      <c r="HI2220" s="4"/>
      <c r="HJ2220" s="4"/>
      <c r="HK2220" s="4"/>
      <c r="HL2220" s="4"/>
    </row>
    <row r="2221">
      <c r="A2221" s="2" t="s">
        <v>9714</v>
      </c>
      <c r="B2221" s="2" t="s">
        <v>784</v>
      </c>
      <c r="C2221" s="2" t="s">
        <v>815</v>
      </c>
      <c r="D2221" s="2" t="s">
        <v>785</v>
      </c>
      <c r="E2221" s="2" t="s">
        <v>786</v>
      </c>
      <c r="F2221" s="2" t="s">
        <v>1824</v>
      </c>
      <c r="G2221" s="2" t="s">
        <v>2310</v>
      </c>
      <c r="H2221" s="2" t="s">
        <v>9695</v>
      </c>
      <c r="I2221" s="2" t="s">
        <v>9696</v>
      </c>
      <c r="J2221" s="2" t="s">
        <v>1070</v>
      </c>
      <c r="K2221" s="2" t="s">
        <v>255</v>
      </c>
      <c r="L2221" s="3">
        <v>26.65</v>
      </c>
      <c r="M2221" s="3">
        <v>27.98</v>
      </c>
      <c r="N2221" s="3">
        <v>59.99</v>
      </c>
      <c r="O2221" s="2" t="s">
        <v>243</v>
      </c>
      <c r="P2221" s="2" t="s">
        <v>341</v>
      </c>
      <c r="Q2221" s="2" t="s">
        <v>237</v>
      </c>
      <c r="R2221" s="2" t="s">
        <v>231</v>
      </c>
      <c r="S2221" s="2" t="s">
        <v>9715</v>
      </c>
      <c r="T2221" s="2" t="s">
        <v>362</v>
      </c>
      <c r="U2221" s="2" t="s">
        <v>765</v>
      </c>
      <c r="V2221" s="2" t="s">
        <v>239</v>
      </c>
      <c r="W2221" s="2" t="s">
        <v>2541</v>
      </c>
      <c r="X2221" s="2" t="s">
        <v>273</v>
      </c>
      <c r="Y2221" s="2" t="s">
        <v>5693</v>
      </c>
      <c r="Z2221" s="4">
        <v>245</v>
      </c>
      <c r="AA2221" s="4">
        <f>=ROUNDDOWN(35,0)</f>
      </c>
      <c r="AB2221" s="5">
        <v>7</v>
      </c>
      <c r="AC2221" s="2" t="s">
        <v>231</v>
      </c>
      <c r="AD2221" s="4"/>
      <c r="AE2221" s="4"/>
      <c r="AF2221" s="6">
        <v>67</v>
      </c>
      <c r="AG2221" s="6"/>
      <c r="AH2221" s="7">
        <v>1</v>
      </c>
      <c r="AI2221" s="4"/>
      <c r="AJ2221" s="4">
        <f>=ROUNDDOWN({0},0)</f>
      </c>
      <c r="AK2221" s="5"/>
      <c r="AL2221" s="2" t="s">
        <v>231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231</v>
      </c>
      <c r="BD2221" s="8" t="s">
        <v>231</v>
      </c>
      <c r="BE2221" s="4" t="s">
        <v>231</v>
      </c>
      <c r="BF2221" s="8" t="s">
        <v>231</v>
      </c>
      <c r="BG2221" s="7" t="s">
        <v>231</v>
      </c>
      <c r="BH2221" s="7" t="s">
        <v>231</v>
      </c>
      <c r="BI2221" s="7"/>
      <c r="BJ2221" s="4">
        <v>17</v>
      </c>
      <c r="BK2221" s="8">
        <v>492.69</v>
      </c>
      <c r="BL2221" s="2" t="s">
        <v>9698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9716</v>
      </c>
      <c r="BV2221" s="2" t="s">
        <v>231</v>
      </c>
      <c r="BW2221" s="2" t="s">
        <v>231</v>
      </c>
      <c r="BX2221" s="2" t="s">
        <v>231</v>
      </c>
      <c r="BY2221" s="2" t="s">
        <v>277</v>
      </c>
      <c r="BZ2221" s="2" t="s">
        <v>243</v>
      </c>
      <c r="CA2221" s="2" t="s">
        <v>6303</v>
      </c>
      <c r="CB2221" s="2" t="s">
        <v>1970</v>
      </c>
      <c r="CC2221" s="2" t="s">
        <v>244</v>
      </c>
      <c r="CD2221" s="2" t="s">
        <v>231</v>
      </c>
      <c r="CE2221" s="4">
        <v>245</v>
      </c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  <c r="HG2221" s="4"/>
      <c r="HH2221" s="4"/>
      <c r="HI2221" s="4"/>
      <c r="HJ2221" s="4"/>
      <c r="HK2221" s="4"/>
      <c r="HL2221" s="4"/>
    </row>
    <row r="2222">
      <c r="A2222" s="2" t="s">
        <v>9717</v>
      </c>
      <c r="B2222" s="2" t="s">
        <v>1232</v>
      </c>
      <c r="C2222" s="2" t="s">
        <v>1233</v>
      </c>
      <c r="D2222" s="2" t="s">
        <v>1234</v>
      </c>
      <c r="E2222" s="2" t="s">
        <v>1235</v>
      </c>
      <c r="F2222" s="2" t="s">
        <v>1824</v>
      </c>
      <c r="G2222" s="2" t="s">
        <v>1824</v>
      </c>
      <c r="H2222" s="2" t="s">
        <v>1824</v>
      </c>
      <c r="I2222" s="2" t="s">
        <v>9718</v>
      </c>
      <c r="J2222" s="2" t="s">
        <v>2699</v>
      </c>
      <c r="K2222" s="2" t="s">
        <v>9719</v>
      </c>
      <c r="L2222" s="3">
        <v>11.19</v>
      </c>
      <c r="M2222" s="3">
        <v>11.75</v>
      </c>
      <c r="N2222" s="3">
        <v>21.99</v>
      </c>
      <c r="O2222" s="2" t="s">
        <v>243</v>
      </c>
      <c r="P2222" s="2" t="s">
        <v>236</v>
      </c>
      <c r="Q2222" s="2" t="s">
        <v>237</v>
      </c>
      <c r="R2222" s="2" t="s">
        <v>231</v>
      </c>
      <c r="S2222" s="2" t="s">
        <v>231</v>
      </c>
      <c r="T2222" s="2" t="s">
        <v>231</v>
      </c>
      <c r="U2222" s="2" t="s">
        <v>327</v>
      </c>
      <c r="V2222" s="2" t="s">
        <v>662</v>
      </c>
      <c r="W2222" s="2" t="s">
        <v>273</v>
      </c>
      <c r="X2222" s="2" t="s">
        <v>231</v>
      </c>
      <c r="Y2222" s="2" t="s">
        <v>9720</v>
      </c>
      <c r="Z2222" s="4">
        <v>1778</v>
      </c>
      <c r="AA2222" s="4">
        <f>=ROUNDDOWN(55.5625,0)</f>
      </c>
      <c r="AB2222" s="5">
        <v>32</v>
      </c>
      <c r="AC2222" s="2" t="s">
        <v>231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231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231</v>
      </c>
      <c r="AW2222" s="8" t="s">
        <v>231</v>
      </c>
      <c r="AX2222" s="4" t="s">
        <v>231</v>
      </c>
      <c r="AY2222" s="8" t="s">
        <v>231</v>
      </c>
      <c r="AZ2222" s="7" t="s">
        <v>231</v>
      </c>
      <c r="BA2222" s="7" t="s">
        <v>231</v>
      </c>
      <c r="BB2222" s="7"/>
      <c r="BC2222" s="4" t="s">
        <v>231</v>
      </c>
      <c r="BD2222" s="8" t="s">
        <v>231</v>
      </c>
      <c r="BE2222" s="4" t="s">
        <v>231</v>
      </c>
      <c r="BF2222" s="8" t="s">
        <v>231</v>
      </c>
      <c r="BG2222" s="7" t="s">
        <v>231</v>
      </c>
      <c r="BH2222" s="7" t="s">
        <v>231</v>
      </c>
      <c r="BI2222" s="7"/>
      <c r="BJ2222" s="4">
        <v>59</v>
      </c>
      <c r="BK2222" s="8">
        <v>759.33</v>
      </c>
      <c r="BL2222" s="2" t="s">
        <v>3050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9721</v>
      </c>
      <c r="BV2222" s="2" t="s">
        <v>231</v>
      </c>
      <c r="BW2222" s="2" t="s">
        <v>231</v>
      </c>
      <c r="BX2222" s="2" t="s">
        <v>241</v>
      </c>
      <c r="BY2222" s="2" t="s">
        <v>277</v>
      </c>
      <c r="BZ2222" s="2" t="s">
        <v>243</v>
      </c>
      <c r="CA2222" s="2" t="s">
        <v>5422</v>
      </c>
      <c r="CB2222" s="2" t="s">
        <v>231</v>
      </c>
      <c r="CC2222" s="2" t="s">
        <v>244</v>
      </c>
      <c r="CD2222" s="2" t="s">
        <v>231</v>
      </c>
      <c r="CE2222" s="4"/>
      <c r="CF2222" s="4">
        <v>374</v>
      </c>
      <c r="CG2222" s="4"/>
      <c r="CH2222" s="4"/>
      <c r="CI2222" s="4">
        <v>1404</v>
      </c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</row>
    <row r="2223">
      <c r="A2223" s="2" t="s">
        <v>9722</v>
      </c>
      <c r="B2223" s="2" t="s">
        <v>1232</v>
      </c>
      <c r="C2223" s="2" t="s">
        <v>1233</v>
      </c>
      <c r="D2223" s="2" t="s">
        <v>1234</v>
      </c>
      <c r="E2223" s="2" t="s">
        <v>1235</v>
      </c>
      <c r="F2223" s="2" t="s">
        <v>1824</v>
      </c>
      <c r="G2223" s="2" t="s">
        <v>1824</v>
      </c>
      <c r="H2223" s="2" t="s">
        <v>1824</v>
      </c>
      <c r="I2223" s="2" t="s">
        <v>9718</v>
      </c>
      <c r="J2223" s="2" t="s">
        <v>1238</v>
      </c>
      <c r="K2223" s="2" t="s">
        <v>9719</v>
      </c>
      <c r="L2223" s="3">
        <v>13.49</v>
      </c>
      <c r="M2223" s="3">
        <v>14.16</v>
      </c>
      <c r="N2223" s="3">
        <v>24.99</v>
      </c>
      <c r="O2223" s="2" t="s">
        <v>243</v>
      </c>
      <c r="P2223" s="2" t="s">
        <v>236</v>
      </c>
      <c r="Q2223" s="2" t="s">
        <v>237</v>
      </c>
      <c r="R2223" s="2" t="s">
        <v>231</v>
      </c>
      <c r="S2223" s="2" t="s">
        <v>231</v>
      </c>
      <c r="T2223" s="2" t="s">
        <v>231</v>
      </c>
      <c r="U2223" s="2" t="s">
        <v>327</v>
      </c>
      <c r="V2223" s="2" t="s">
        <v>662</v>
      </c>
      <c r="W2223" s="2" t="s">
        <v>273</v>
      </c>
      <c r="X2223" s="2" t="s">
        <v>231</v>
      </c>
      <c r="Y2223" s="2" t="s">
        <v>9720</v>
      </c>
      <c r="Z2223" s="4">
        <v>1499</v>
      </c>
      <c r="AA2223" s="4">
        <f>=ROUNDDOWN(51.6896551724138,0)</f>
      </c>
      <c r="AB2223" s="5">
        <v>29</v>
      </c>
      <c r="AC2223" s="2" t="s">
        <v>231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231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231</v>
      </c>
      <c r="AW2223" s="8" t="s">
        <v>231</v>
      </c>
      <c r="AX2223" s="4" t="s">
        <v>231</v>
      </c>
      <c r="AY2223" s="8" t="s">
        <v>231</v>
      </c>
      <c r="AZ2223" s="7" t="s">
        <v>231</v>
      </c>
      <c r="BA2223" s="7" t="s">
        <v>231</v>
      </c>
      <c r="BB2223" s="7"/>
      <c r="BC2223" s="4" t="s">
        <v>231</v>
      </c>
      <c r="BD2223" s="8" t="s">
        <v>231</v>
      </c>
      <c r="BE2223" s="4" t="s">
        <v>231</v>
      </c>
      <c r="BF2223" s="8" t="s">
        <v>231</v>
      </c>
      <c r="BG2223" s="7" t="s">
        <v>231</v>
      </c>
      <c r="BH2223" s="7" t="s">
        <v>231</v>
      </c>
      <c r="BI2223" s="7"/>
      <c r="BJ2223" s="4">
        <v>147</v>
      </c>
      <c r="BK2223" s="8">
        <v>2283.21</v>
      </c>
      <c r="BL2223" s="2" t="s">
        <v>3932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9723</v>
      </c>
      <c r="BV2223" s="2" t="s">
        <v>231</v>
      </c>
      <c r="BW2223" s="2" t="s">
        <v>231</v>
      </c>
      <c r="BX2223" s="2" t="s">
        <v>241</v>
      </c>
      <c r="BY2223" s="2" t="s">
        <v>277</v>
      </c>
      <c r="BZ2223" s="2" t="s">
        <v>243</v>
      </c>
      <c r="CA2223" s="2" t="s">
        <v>5422</v>
      </c>
      <c r="CB2223" s="2" t="s">
        <v>231</v>
      </c>
      <c r="CC2223" s="2" t="s">
        <v>244</v>
      </c>
      <c r="CD2223" s="2" t="s">
        <v>231</v>
      </c>
      <c r="CE2223" s="4"/>
      <c r="CF2223" s="4">
        <v>155</v>
      </c>
      <c r="CG2223" s="4"/>
      <c r="CH2223" s="4"/>
      <c r="CI2223" s="4">
        <v>1344</v>
      </c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</row>
    <row r="2224">
      <c r="A2224" s="2" t="s">
        <v>9724</v>
      </c>
      <c r="B2224" s="2" t="s">
        <v>1232</v>
      </c>
      <c r="C2224" s="2" t="s">
        <v>1233</v>
      </c>
      <c r="D2224" s="2" t="s">
        <v>1234</v>
      </c>
      <c r="E2224" s="2" t="s">
        <v>1235</v>
      </c>
      <c r="F2224" s="2" t="s">
        <v>1824</v>
      </c>
      <c r="G2224" s="2" t="s">
        <v>1824</v>
      </c>
      <c r="H2224" s="2" t="s">
        <v>1824</v>
      </c>
      <c r="I2224" s="2" t="s">
        <v>9718</v>
      </c>
      <c r="J2224" s="2" t="s">
        <v>1245</v>
      </c>
      <c r="K2224" s="2" t="s">
        <v>9719</v>
      </c>
      <c r="L2224" s="3">
        <v>18.65</v>
      </c>
      <c r="M2224" s="3">
        <v>19.58</v>
      </c>
      <c r="N2224" s="3">
        <v>26.99</v>
      </c>
      <c r="O2224" s="2" t="s">
        <v>243</v>
      </c>
      <c r="P2224" s="2" t="s">
        <v>236</v>
      </c>
      <c r="Q2224" s="2" t="s">
        <v>237</v>
      </c>
      <c r="R2224" s="2" t="s">
        <v>231</v>
      </c>
      <c r="S2224" s="2" t="s">
        <v>231</v>
      </c>
      <c r="T2224" s="2" t="s">
        <v>231</v>
      </c>
      <c r="U2224" s="2" t="s">
        <v>327</v>
      </c>
      <c r="V2224" s="2" t="s">
        <v>662</v>
      </c>
      <c r="W2224" s="2" t="s">
        <v>273</v>
      </c>
      <c r="X2224" s="2" t="s">
        <v>231</v>
      </c>
      <c r="Y2224" s="2" t="s">
        <v>9720</v>
      </c>
      <c r="Z2224" s="4">
        <v>1711</v>
      </c>
      <c r="AA2224" s="4">
        <f>=ROUNDDOWN(81.4761904761905,0)</f>
      </c>
      <c r="AB2224" s="5">
        <v>21</v>
      </c>
      <c r="AC2224" s="2" t="s">
        <v>231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231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231</v>
      </c>
      <c r="AW2224" s="8" t="s">
        <v>231</v>
      </c>
      <c r="AX2224" s="4" t="s">
        <v>231</v>
      </c>
      <c r="AY2224" s="8" t="s">
        <v>231</v>
      </c>
      <c r="AZ2224" s="7" t="s">
        <v>231</v>
      </c>
      <c r="BA2224" s="7" t="s">
        <v>231</v>
      </c>
      <c r="BB2224" s="7"/>
      <c r="BC2224" s="4" t="s">
        <v>231</v>
      </c>
      <c r="BD2224" s="8" t="s">
        <v>231</v>
      </c>
      <c r="BE2224" s="4" t="s">
        <v>231</v>
      </c>
      <c r="BF2224" s="8" t="s">
        <v>231</v>
      </c>
      <c r="BG2224" s="7" t="s">
        <v>231</v>
      </c>
      <c r="BH2224" s="7" t="s">
        <v>231</v>
      </c>
      <c r="BI2224" s="7"/>
      <c r="BJ2224" s="4">
        <v>62</v>
      </c>
      <c r="BK2224" s="8">
        <v>1318.93</v>
      </c>
      <c r="BL2224" s="2" t="s">
        <v>3932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9725</v>
      </c>
      <c r="BV2224" s="2" t="s">
        <v>231</v>
      </c>
      <c r="BW2224" s="2" t="s">
        <v>231</v>
      </c>
      <c r="BX2224" s="2" t="s">
        <v>241</v>
      </c>
      <c r="BY2224" s="2" t="s">
        <v>277</v>
      </c>
      <c r="BZ2224" s="2" t="s">
        <v>243</v>
      </c>
      <c r="CA2224" s="2" t="s">
        <v>5422</v>
      </c>
      <c r="CB2224" s="2" t="s">
        <v>231</v>
      </c>
      <c r="CC2224" s="2" t="s">
        <v>244</v>
      </c>
      <c r="CD2224" s="2" t="s">
        <v>231</v>
      </c>
      <c r="CE2224" s="4"/>
      <c r="CF2224" s="4">
        <v>290</v>
      </c>
      <c r="CG2224" s="4"/>
      <c r="CH2224" s="4"/>
      <c r="CI2224" s="4">
        <v>1421</v>
      </c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</row>
    <row r="2225">
      <c r="A2225" s="2" t="s">
        <v>9726</v>
      </c>
      <c r="B2225" s="2" t="s">
        <v>1232</v>
      </c>
      <c r="C2225" s="2" t="s">
        <v>1233</v>
      </c>
      <c r="D2225" s="2" t="s">
        <v>1234</v>
      </c>
      <c r="E2225" s="2" t="s">
        <v>1235</v>
      </c>
      <c r="F2225" s="2" t="s">
        <v>1824</v>
      </c>
      <c r="G2225" s="2" t="s">
        <v>1824</v>
      </c>
      <c r="H2225" s="2" t="s">
        <v>1824</v>
      </c>
      <c r="I2225" s="2" t="s">
        <v>9718</v>
      </c>
      <c r="J2225" s="2" t="s">
        <v>1249</v>
      </c>
      <c r="K2225" s="2" t="s">
        <v>9719</v>
      </c>
      <c r="L2225" s="3">
        <v>20.9</v>
      </c>
      <c r="M2225" s="3">
        <v>21.95</v>
      </c>
      <c r="N2225" s="3">
        <v>29.99</v>
      </c>
      <c r="O2225" s="2" t="s">
        <v>243</v>
      </c>
      <c r="P2225" s="2" t="s">
        <v>236</v>
      </c>
      <c r="Q2225" s="2" t="s">
        <v>237</v>
      </c>
      <c r="R2225" s="2" t="s">
        <v>231</v>
      </c>
      <c r="S2225" s="2" t="s">
        <v>231</v>
      </c>
      <c r="T2225" s="2" t="s">
        <v>231</v>
      </c>
      <c r="U2225" s="2" t="s">
        <v>327</v>
      </c>
      <c r="V2225" s="2" t="s">
        <v>662</v>
      </c>
      <c r="W2225" s="2" t="s">
        <v>273</v>
      </c>
      <c r="X2225" s="2" t="s">
        <v>231</v>
      </c>
      <c r="Y2225" s="2" t="s">
        <v>9720</v>
      </c>
      <c r="Z2225" s="4">
        <v>1684</v>
      </c>
      <c r="AA2225" s="4">
        <f>=ROUNDDOWN(76.5454545454545,0)</f>
      </c>
      <c r="AB2225" s="5">
        <v>22</v>
      </c>
      <c r="AC2225" s="2" t="s">
        <v>231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231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231</v>
      </c>
      <c r="AW2225" s="8" t="s">
        <v>231</v>
      </c>
      <c r="AX2225" s="4" t="s">
        <v>231</v>
      </c>
      <c r="AY2225" s="8" t="s">
        <v>231</v>
      </c>
      <c r="AZ2225" s="7" t="s">
        <v>231</v>
      </c>
      <c r="BA2225" s="7" t="s">
        <v>231</v>
      </c>
      <c r="BB2225" s="7"/>
      <c r="BC2225" s="4" t="s">
        <v>231</v>
      </c>
      <c r="BD2225" s="8" t="s">
        <v>231</v>
      </c>
      <c r="BE2225" s="4" t="s">
        <v>231</v>
      </c>
      <c r="BF2225" s="8" t="s">
        <v>231</v>
      </c>
      <c r="BG2225" s="7" t="s">
        <v>231</v>
      </c>
      <c r="BH2225" s="7" t="s">
        <v>231</v>
      </c>
      <c r="BI2225" s="7"/>
      <c r="BJ2225" s="4">
        <v>124</v>
      </c>
      <c r="BK2225" s="8">
        <v>2984.82</v>
      </c>
      <c r="BL2225" s="2" t="s">
        <v>9727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9728</v>
      </c>
      <c r="BV2225" s="2" t="s">
        <v>231</v>
      </c>
      <c r="BW2225" s="2" t="s">
        <v>231</v>
      </c>
      <c r="BX2225" s="2" t="s">
        <v>241</v>
      </c>
      <c r="BY2225" s="2" t="s">
        <v>277</v>
      </c>
      <c r="BZ2225" s="2" t="s">
        <v>243</v>
      </c>
      <c r="CA2225" s="2" t="s">
        <v>5422</v>
      </c>
      <c r="CB2225" s="2" t="s">
        <v>231</v>
      </c>
      <c r="CC2225" s="2" t="s">
        <v>244</v>
      </c>
      <c r="CD2225" s="2" t="s">
        <v>231</v>
      </c>
      <c r="CE2225" s="4"/>
      <c r="CF2225" s="4">
        <v>273</v>
      </c>
      <c r="CG2225" s="4"/>
      <c r="CH2225" s="4"/>
      <c r="CI2225" s="4">
        <v>1411</v>
      </c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</row>
    <row r="2226">
      <c r="A2226" s="2" t="s">
        <v>9729</v>
      </c>
      <c r="B2226" s="2" t="s">
        <v>1004</v>
      </c>
      <c r="C2226" s="2" t="s">
        <v>815</v>
      </c>
      <c r="D2226" s="2" t="s">
        <v>1689</v>
      </c>
      <c r="E2226" s="2" t="s">
        <v>1690</v>
      </c>
      <c r="F2226" s="2" t="s">
        <v>9730</v>
      </c>
      <c r="G2226" s="2" t="s">
        <v>9730</v>
      </c>
      <c r="H2226" s="2" t="s">
        <v>9730</v>
      </c>
      <c r="I2226" s="2" t="s">
        <v>9611</v>
      </c>
      <c r="J2226" s="2" t="s">
        <v>807</v>
      </c>
      <c r="K2226" s="2" t="s">
        <v>1136</v>
      </c>
      <c r="L2226" s="3">
        <v>316.54</v>
      </c>
      <c r="M2226" s="3">
        <v>332.37</v>
      </c>
      <c r="N2226" s="3">
        <v>659</v>
      </c>
      <c r="O2226" s="2" t="s">
        <v>243</v>
      </c>
      <c r="P2226" s="2" t="s">
        <v>1037</v>
      </c>
      <c r="Q2226" s="2" t="s">
        <v>231</v>
      </c>
      <c r="R2226" s="2" t="s">
        <v>231</v>
      </c>
      <c r="S2226" s="2" t="s">
        <v>231</v>
      </c>
      <c r="T2226" s="2" t="s">
        <v>231</v>
      </c>
      <c r="U2226" s="2" t="s">
        <v>791</v>
      </c>
      <c r="V2226" s="2" t="s">
        <v>239</v>
      </c>
      <c r="W2226" s="2" t="s">
        <v>808</v>
      </c>
      <c r="X2226" s="2" t="s">
        <v>691</v>
      </c>
      <c r="Y2226" s="2" t="s">
        <v>9731</v>
      </c>
      <c r="Z2226" s="4">
        <v>60</v>
      </c>
      <c r="AA2226" s="4">
        <f>=ROUNDDOWN({0},0)</f>
      </c>
      <c r="AB2226" s="5"/>
      <c r="AC2226" s="2" t="s">
        <v>9732</v>
      </c>
      <c r="AD2226" s="4">
        <v>50</v>
      </c>
      <c r="AE2226" s="4">
        <v>50</v>
      </c>
      <c r="AF2226" s="6"/>
      <c r="AG2226" s="6"/>
      <c r="AH2226" s="7">
        <v>1</v>
      </c>
      <c r="AI2226" s="4"/>
      <c r="AJ2226" s="4">
        <f>=ROUNDDOWN({0},0)</f>
      </c>
      <c r="AK2226" s="5"/>
      <c r="AL2226" s="2" t="s">
        <v>231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231</v>
      </c>
      <c r="BD2226" s="8" t="s">
        <v>231</v>
      </c>
      <c r="BE2226" s="4" t="s">
        <v>231</v>
      </c>
      <c r="BF2226" s="8" t="s">
        <v>231</v>
      </c>
      <c r="BG2226" s="7" t="s">
        <v>231</v>
      </c>
      <c r="BH2226" s="7" t="s">
        <v>231</v>
      </c>
      <c r="BI2226" s="7"/>
      <c r="BJ2226" s="4"/>
      <c r="BK2226" s="8"/>
      <c r="BL2226" s="2" t="s">
        <v>231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9733</v>
      </c>
      <c r="BV2226" s="2" t="s">
        <v>231</v>
      </c>
      <c r="BW2226" s="2" t="s">
        <v>231</v>
      </c>
      <c r="BX2226" s="2" t="s">
        <v>241</v>
      </c>
      <c r="BY2226" s="2" t="s">
        <v>277</v>
      </c>
      <c r="BZ2226" s="2" t="s">
        <v>243</v>
      </c>
      <c r="CA2226" s="2" t="s">
        <v>9734</v>
      </c>
      <c r="CB2226" s="2" t="s">
        <v>231</v>
      </c>
      <c r="CC2226" s="2" t="s">
        <v>244</v>
      </c>
      <c r="CD2226" s="2" t="s">
        <v>231</v>
      </c>
      <c r="CE2226" s="4"/>
      <c r="CF2226" s="4">
        <v>60</v>
      </c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>
        <v>50</v>
      </c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  <c r="HG2226" s="4"/>
      <c r="HH2226" s="4"/>
      <c r="HI2226" s="4"/>
      <c r="HJ2226" s="4"/>
      <c r="HK2226" s="4"/>
      <c r="HL2226" s="4"/>
    </row>
    <row r="2227">
      <c r="A2227" s="2" t="s">
        <v>9735</v>
      </c>
      <c r="B2227" s="2" t="s">
        <v>1004</v>
      </c>
      <c r="C2227" s="2" t="s">
        <v>815</v>
      </c>
      <c r="D2227" s="2" t="s">
        <v>1689</v>
      </c>
      <c r="E2227" s="2" t="s">
        <v>1690</v>
      </c>
      <c r="F2227" s="2" t="s">
        <v>9730</v>
      </c>
      <c r="G2227" s="2" t="s">
        <v>9730</v>
      </c>
      <c r="H2227" s="2" t="s">
        <v>9730</v>
      </c>
      <c r="I2227" s="2" t="s">
        <v>9611</v>
      </c>
      <c r="J2227" s="2" t="s">
        <v>807</v>
      </c>
      <c r="K2227" s="2" t="s">
        <v>1036</v>
      </c>
      <c r="L2227" s="3">
        <v>316.54</v>
      </c>
      <c r="M2227" s="3">
        <v>332.37</v>
      </c>
      <c r="N2227" s="3">
        <v>659</v>
      </c>
      <c r="O2227" s="2" t="s">
        <v>243</v>
      </c>
      <c r="P2227" s="2" t="s">
        <v>1037</v>
      </c>
      <c r="Q2227" s="2" t="s">
        <v>231</v>
      </c>
      <c r="R2227" s="2" t="s">
        <v>231</v>
      </c>
      <c r="S2227" s="2" t="s">
        <v>231</v>
      </c>
      <c r="T2227" s="2" t="s">
        <v>231</v>
      </c>
      <c r="U2227" s="2" t="s">
        <v>791</v>
      </c>
      <c r="V2227" s="2" t="s">
        <v>239</v>
      </c>
      <c r="W2227" s="2" t="s">
        <v>808</v>
      </c>
      <c r="X2227" s="2" t="s">
        <v>691</v>
      </c>
      <c r="Y2227" s="2" t="s">
        <v>9736</v>
      </c>
      <c r="Z2227" s="4">
        <v>67</v>
      </c>
      <c r="AA2227" s="4">
        <f>=ROUNDDOWN({0},0)</f>
      </c>
      <c r="AB2227" s="5"/>
      <c r="AC2227" s="2" t="s">
        <v>231</v>
      </c>
      <c r="AD2227" s="4"/>
      <c r="AE2227" s="4"/>
      <c r="AF2227" s="6"/>
      <c r="AG2227" s="6"/>
      <c r="AH2227" s="7">
        <v>1</v>
      </c>
      <c r="AI2227" s="4"/>
      <c r="AJ2227" s="4">
        <f>=ROUNDDOWN({0},0)</f>
      </c>
      <c r="AK2227" s="5"/>
      <c r="AL2227" s="2" t="s">
        <v>231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 t="s">
        <v>231</v>
      </c>
      <c r="BD2227" s="8" t="s">
        <v>231</v>
      </c>
      <c r="BE2227" s="4" t="s">
        <v>231</v>
      </c>
      <c r="BF2227" s="8" t="s">
        <v>231</v>
      </c>
      <c r="BG2227" s="7" t="s">
        <v>231</v>
      </c>
      <c r="BH2227" s="7" t="s">
        <v>231</v>
      </c>
      <c r="BI2227" s="7"/>
      <c r="BJ2227" s="4"/>
      <c r="BK2227" s="8"/>
      <c r="BL2227" s="2" t="s">
        <v>231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9737</v>
      </c>
      <c r="BV2227" s="2" t="s">
        <v>231</v>
      </c>
      <c r="BW2227" s="2" t="s">
        <v>231</v>
      </c>
      <c r="BX2227" s="2" t="s">
        <v>241</v>
      </c>
      <c r="BY2227" s="2" t="s">
        <v>277</v>
      </c>
      <c r="BZ2227" s="2" t="s">
        <v>243</v>
      </c>
      <c r="CA2227" s="2" t="s">
        <v>9734</v>
      </c>
      <c r="CB2227" s="2" t="s">
        <v>231</v>
      </c>
      <c r="CC2227" s="2" t="s">
        <v>244</v>
      </c>
      <c r="CD2227" s="2" t="s">
        <v>231</v>
      </c>
      <c r="CE2227" s="4"/>
      <c r="CF2227" s="4">
        <v>67</v>
      </c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  <c r="HG2227" s="4"/>
      <c r="HH2227" s="4"/>
      <c r="HI2227" s="4"/>
      <c r="HJ2227" s="4"/>
      <c r="HK2227" s="4"/>
      <c r="HL2227" s="4"/>
    </row>
    <row r="2228">
      <c r="A2228" s="2" t="s">
        <v>9738</v>
      </c>
      <c r="B2228" s="2" t="s">
        <v>1004</v>
      </c>
      <c r="C2228" s="2" t="s">
        <v>815</v>
      </c>
      <c r="D2228" s="2" t="s">
        <v>1689</v>
      </c>
      <c r="E2228" s="2" t="s">
        <v>1690</v>
      </c>
      <c r="F2228" s="2" t="s">
        <v>9730</v>
      </c>
      <c r="G2228" s="2" t="s">
        <v>9730</v>
      </c>
      <c r="H2228" s="2" t="s">
        <v>9730</v>
      </c>
      <c r="I2228" s="2" t="s">
        <v>9611</v>
      </c>
      <c r="J2228" s="2" t="s">
        <v>807</v>
      </c>
      <c r="K2228" s="2" t="s">
        <v>723</v>
      </c>
      <c r="L2228" s="3">
        <v>316.54</v>
      </c>
      <c r="M2228" s="3">
        <v>332.37</v>
      </c>
      <c r="N2228" s="3">
        <v>659</v>
      </c>
      <c r="O2228" s="2" t="s">
        <v>243</v>
      </c>
      <c r="P2228" s="2" t="s">
        <v>1037</v>
      </c>
      <c r="Q2228" s="2" t="s">
        <v>231</v>
      </c>
      <c r="R2228" s="2" t="s">
        <v>231</v>
      </c>
      <c r="S2228" s="2" t="s">
        <v>231</v>
      </c>
      <c r="T2228" s="2" t="s">
        <v>231</v>
      </c>
      <c r="U2228" s="2" t="s">
        <v>791</v>
      </c>
      <c r="V2228" s="2" t="s">
        <v>239</v>
      </c>
      <c r="W2228" s="2" t="s">
        <v>808</v>
      </c>
      <c r="X2228" s="2" t="s">
        <v>691</v>
      </c>
      <c r="Y2228" s="2" t="s">
        <v>6281</v>
      </c>
      <c r="Z2228" s="4">
        <v>122</v>
      </c>
      <c r="AA2228" s="4">
        <f>=ROUNDDOWN({0},0)</f>
      </c>
      <c r="AB2228" s="5"/>
      <c r="AC2228" s="2" t="s">
        <v>701</v>
      </c>
      <c r="AD2228" s="4">
        <v>69</v>
      </c>
      <c r="AE2228" s="4">
        <v>70</v>
      </c>
      <c r="AF2228" s="6"/>
      <c r="AG2228" s="6"/>
      <c r="AH2228" s="7">
        <v>1</v>
      </c>
      <c r="AI2228" s="4"/>
      <c r="AJ2228" s="4">
        <f>=ROUNDDOWN({0},0)</f>
      </c>
      <c r="AK2228" s="5"/>
      <c r="AL2228" s="2" t="s">
        <v>231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231</v>
      </c>
      <c r="BD2228" s="8" t="s">
        <v>231</v>
      </c>
      <c r="BE2228" s="4" t="s">
        <v>231</v>
      </c>
      <c r="BF2228" s="8" t="s">
        <v>231</v>
      </c>
      <c r="BG2228" s="7" t="s">
        <v>231</v>
      </c>
      <c r="BH2228" s="7" t="s">
        <v>231</v>
      </c>
      <c r="BI2228" s="7"/>
      <c r="BJ2228" s="4"/>
      <c r="BK2228" s="8"/>
      <c r="BL2228" s="2" t="s">
        <v>231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9739</v>
      </c>
      <c r="BV2228" s="2" t="s">
        <v>231</v>
      </c>
      <c r="BW2228" s="2" t="s">
        <v>231</v>
      </c>
      <c r="BX2228" s="2" t="s">
        <v>241</v>
      </c>
      <c r="BY2228" s="2" t="s">
        <v>277</v>
      </c>
      <c r="BZ2228" s="2" t="s">
        <v>243</v>
      </c>
      <c r="CA2228" s="2" t="s">
        <v>9734</v>
      </c>
      <c r="CB2228" s="2" t="s">
        <v>231</v>
      </c>
      <c r="CC2228" s="2" t="s">
        <v>244</v>
      </c>
      <c r="CD2228" s="2" t="s">
        <v>231</v>
      </c>
      <c r="CE2228" s="4"/>
      <c r="CF2228" s="4">
        <v>120</v>
      </c>
      <c r="CG2228" s="4"/>
      <c r="CH2228" s="4"/>
      <c r="CI2228" s="4">
        <v>2</v>
      </c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>
        <v>69</v>
      </c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>
        <v>1</v>
      </c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</row>
    <row r="2229">
      <c r="A2229" s="2" t="s">
        <v>9740</v>
      </c>
      <c r="B2229" s="2" t="s">
        <v>287</v>
      </c>
      <c r="C2229" s="2" t="s">
        <v>825</v>
      </c>
      <c r="D2229" s="2" t="s">
        <v>289</v>
      </c>
      <c r="E2229" s="2" t="s">
        <v>290</v>
      </c>
      <c r="F2229" s="2" t="s">
        <v>4046</v>
      </c>
      <c r="G2229" s="2" t="s">
        <v>4046</v>
      </c>
      <c r="H2229" s="2" t="s">
        <v>4046</v>
      </c>
      <c r="I2229" s="2" t="s">
        <v>9741</v>
      </c>
      <c r="J2229" s="2" t="s">
        <v>318</v>
      </c>
      <c r="K2229" s="2" t="s">
        <v>9742</v>
      </c>
      <c r="L2229" s="3">
        <v>12.6</v>
      </c>
      <c r="M2229" s="3">
        <v>13.23</v>
      </c>
      <c r="N2229" s="3">
        <v>27.99</v>
      </c>
      <c r="O2229" s="2" t="s">
        <v>243</v>
      </c>
      <c r="P2229" s="2" t="s">
        <v>270</v>
      </c>
      <c r="Q2229" s="2" t="s">
        <v>237</v>
      </c>
      <c r="R2229" s="2" t="s">
        <v>231</v>
      </c>
      <c r="S2229" s="2" t="s">
        <v>9743</v>
      </c>
      <c r="T2229" s="2" t="s">
        <v>472</v>
      </c>
      <c r="U2229" s="2" t="s">
        <v>231</v>
      </c>
      <c r="V2229" s="2" t="s">
        <v>4046</v>
      </c>
      <c r="W2229" s="2" t="s">
        <v>273</v>
      </c>
      <c r="X2229" s="2" t="s">
        <v>231</v>
      </c>
      <c r="Y2229" s="2" t="s">
        <v>2903</v>
      </c>
      <c r="Z2229" s="4">
        <v>104</v>
      </c>
      <c r="AA2229" s="4">
        <f>=ROUNDDOWN(26,0)</f>
      </c>
      <c r="AB2229" s="5">
        <v>4</v>
      </c>
      <c r="AC2229" s="2" t="s">
        <v>477</v>
      </c>
      <c r="AD2229" s="4">
        <v>30</v>
      </c>
      <c r="AE2229" s="4">
        <v>30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231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 t="s">
        <v>231</v>
      </c>
      <c r="AW2229" s="8" t="s">
        <v>231</v>
      </c>
      <c r="AX2229" s="4" t="s">
        <v>231</v>
      </c>
      <c r="AY2229" s="8" t="s">
        <v>231</v>
      </c>
      <c r="AZ2229" s="7" t="s">
        <v>231</v>
      </c>
      <c r="BA2229" s="7" t="s">
        <v>231</v>
      </c>
      <c r="BB2229" s="7"/>
      <c r="BC2229" s="4" t="s">
        <v>231</v>
      </c>
      <c r="BD2229" s="8" t="s">
        <v>231</v>
      </c>
      <c r="BE2229" s="4" t="s">
        <v>231</v>
      </c>
      <c r="BF2229" s="8" t="s">
        <v>231</v>
      </c>
      <c r="BG2229" s="7" t="s">
        <v>231</v>
      </c>
      <c r="BH2229" s="7" t="s">
        <v>231</v>
      </c>
      <c r="BI2229" s="7"/>
      <c r="BJ2229" s="4">
        <v>20</v>
      </c>
      <c r="BK2229" s="8">
        <v>276.02</v>
      </c>
      <c r="BL2229" s="2" t="s">
        <v>9744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9745</v>
      </c>
      <c r="BV2229" s="2" t="s">
        <v>231</v>
      </c>
      <c r="BW2229" s="2" t="s">
        <v>231</v>
      </c>
      <c r="BX2229" s="2" t="s">
        <v>231</v>
      </c>
      <c r="BY2229" s="2" t="s">
        <v>277</v>
      </c>
      <c r="BZ2229" s="2" t="s">
        <v>243</v>
      </c>
      <c r="CA2229" s="2" t="s">
        <v>9746</v>
      </c>
      <c r="CB2229" s="2" t="s">
        <v>9747</v>
      </c>
      <c r="CC2229" s="2" t="s">
        <v>244</v>
      </c>
      <c r="CD2229" s="2" t="s">
        <v>231</v>
      </c>
      <c r="CE2229" s="4">
        <v>104</v>
      </c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>
        <v>30</v>
      </c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</row>
    <row r="2230">
      <c r="A2230" s="2" t="s">
        <v>9748</v>
      </c>
      <c r="B2230" s="2" t="s">
        <v>287</v>
      </c>
      <c r="C2230" s="2" t="s">
        <v>825</v>
      </c>
      <c r="D2230" s="2" t="s">
        <v>289</v>
      </c>
      <c r="E2230" s="2" t="s">
        <v>290</v>
      </c>
      <c r="F2230" s="2" t="s">
        <v>4046</v>
      </c>
      <c r="G2230" s="2" t="s">
        <v>4046</v>
      </c>
      <c r="H2230" s="2" t="s">
        <v>4046</v>
      </c>
      <c r="I2230" s="2" t="s">
        <v>9741</v>
      </c>
      <c r="J2230" s="2" t="s">
        <v>9749</v>
      </c>
      <c r="K2230" s="2" t="s">
        <v>9742</v>
      </c>
      <c r="L2230" s="3">
        <v>12.6</v>
      </c>
      <c r="M2230" s="3">
        <v>13.23</v>
      </c>
      <c r="N2230" s="3">
        <v>27.99</v>
      </c>
      <c r="O2230" s="2" t="s">
        <v>243</v>
      </c>
      <c r="P2230" s="2" t="s">
        <v>270</v>
      </c>
      <c r="Q2230" s="2" t="s">
        <v>237</v>
      </c>
      <c r="R2230" s="2" t="s">
        <v>231</v>
      </c>
      <c r="S2230" s="2" t="s">
        <v>9743</v>
      </c>
      <c r="T2230" s="2" t="s">
        <v>472</v>
      </c>
      <c r="U2230" s="2" t="s">
        <v>231</v>
      </c>
      <c r="V2230" s="2" t="s">
        <v>4046</v>
      </c>
      <c r="W2230" s="2" t="s">
        <v>273</v>
      </c>
      <c r="X2230" s="2" t="s">
        <v>231</v>
      </c>
      <c r="Y2230" s="2" t="s">
        <v>2903</v>
      </c>
      <c r="Z2230" s="4">
        <v>18</v>
      </c>
      <c r="AA2230" s="4">
        <f>=ROUNDDOWN(3,0)</f>
      </c>
      <c r="AB2230" s="5">
        <v>6</v>
      </c>
      <c r="AC2230" s="2" t="s">
        <v>477</v>
      </c>
      <c r="AD2230" s="4">
        <v>90</v>
      </c>
      <c r="AE2230" s="4">
        <v>140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231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 t="s">
        <v>231</v>
      </c>
      <c r="AW2230" s="8" t="s">
        <v>231</v>
      </c>
      <c r="AX2230" s="4" t="s">
        <v>231</v>
      </c>
      <c r="AY2230" s="8" t="s">
        <v>231</v>
      </c>
      <c r="AZ2230" s="7" t="s">
        <v>231</v>
      </c>
      <c r="BA2230" s="7" t="s">
        <v>231</v>
      </c>
      <c r="BB2230" s="7"/>
      <c r="BC2230" s="4" t="s">
        <v>231</v>
      </c>
      <c r="BD2230" s="8" t="s">
        <v>231</v>
      </c>
      <c r="BE2230" s="4" t="s">
        <v>231</v>
      </c>
      <c r="BF2230" s="8" t="s">
        <v>231</v>
      </c>
      <c r="BG2230" s="7" t="s">
        <v>231</v>
      </c>
      <c r="BH2230" s="7" t="s">
        <v>231</v>
      </c>
      <c r="BI2230" s="7"/>
      <c r="BJ2230" s="4">
        <v>21</v>
      </c>
      <c r="BK2230" s="8">
        <v>301.07</v>
      </c>
      <c r="BL2230" s="2" t="s">
        <v>9750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9751</v>
      </c>
      <c r="BV2230" s="2" t="s">
        <v>231</v>
      </c>
      <c r="BW2230" s="2" t="s">
        <v>231</v>
      </c>
      <c r="BX2230" s="2" t="s">
        <v>231</v>
      </c>
      <c r="BY2230" s="2" t="s">
        <v>277</v>
      </c>
      <c r="BZ2230" s="2" t="s">
        <v>243</v>
      </c>
      <c r="CA2230" s="2" t="s">
        <v>9746</v>
      </c>
      <c r="CB2230" s="2" t="s">
        <v>9086</v>
      </c>
      <c r="CC2230" s="2" t="s">
        <v>244</v>
      </c>
      <c r="CD2230" s="2" t="s">
        <v>231</v>
      </c>
      <c r="CE2230" s="4">
        <v>18</v>
      </c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>
        <v>90</v>
      </c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>
        <v>50</v>
      </c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</row>
    <row r="2231">
      <c r="A2231" s="2" t="s">
        <v>9752</v>
      </c>
      <c r="B2231" s="2" t="s">
        <v>287</v>
      </c>
      <c r="C2231" s="2" t="s">
        <v>825</v>
      </c>
      <c r="D2231" s="2" t="s">
        <v>289</v>
      </c>
      <c r="E2231" s="2" t="s">
        <v>290</v>
      </c>
      <c r="F2231" s="2" t="s">
        <v>4046</v>
      </c>
      <c r="G2231" s="2" t="s">
        <v>4046</v>
      </c>
      <c r="H2231" s="2" t="s">
        <v>4046</v>
      </c>
      <c r="I2231" s="2" t="s">
        <v>9741</v>
      </c>
      <c r="J2231" s="2" t="s">
        <v>281</v>
      </c>
      <c r="K2231" s="2" t="s">
        <v>9742</v>
      </c>
      <c r="L2231" s="3">
        <v>13.95</v>
      </c>
      <c r="M2231" s="3">
        <v>14.65</v>
      </c>
      <c r="N2231" s="3">
        <v>30.99</v>
      </c>
      <c r="O2231" s="2" t="s">
        <v>243</v>
      </c>
      <c r="P2231" s="2" t="s">
        <v>270</v>
      </c>
      <c r="Q2231" s="2" t="s">
        <v>237</v>
      </c>
      <c r="R2231" s="2" t="s">
        <v>231</v>
      </c>
      <c r="S2231" s="2" t="s">
        <v>9743</v>
      </c>
      <c r="T2231" s="2" t="s">
        <v>472</v>
      </c>
      <c r="U2231" s="2" t="s">
        <v>231</v>
      </c>
      <c r="V2231" s="2" t="s">
        <v>4046</v>
      </c>
      <c r="W2231" s="2" t="s">
        <v>273</v>
      </c>
      <c r="X2231" s="2" t="s">
        <v>231</v>
      </c>
      <c r="Y2231" s="2" t="s">
        <v>2903</v>
      </c>
      <c r="Z2231" s="4">
        <v>173</v>
      </c>
      <c r="AA2231" s="4">
        <f>=ROUNDDOWN(34.6,0)</f>
      </c>
      <c r="AB2231" s="5">
        <v>5</v>
      </c>
      <c r="AC2231" s="2" t="s">
        <v>321</v>
      </c>
      <c r="AD2231" s="4">
        <v>155</v>
      </c>
      <c r="AE2231" s="4">
        <v>155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231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231</v>
      </c>
      <c r="AW2231" s="8" t="s">
        <v>231</v>
      </c>
      <c r="AX2231" s="4" t="s">
        <v>231</v>
      </c>
      <c r="AY2231" s="8" t="s">
        <v>231</v>
      </c>
      <c r="AZ2231" s="7" t="s">
        <v>231</v>
      </c>
      <c r="BA2231" s="7" t="s">
        <v>231</v>
      </c>
      <c r="BB2231" s="7"/>
      <c r="BC2231" s="4" t="s">
        <v>231</v>
      </c>
      <c r="BD2231" s="8" t="s">
        <v>231</v>
      </c>
      <c r="BE2231" s="4" t="s">
        <v>231</v>
      </c>
      <c r="BF2231" s="8" t="s">
        <v>231</v>
      </c>
      <c r="BG2231" s="7" t="s">
        <v>231</v>
      </c>
      <c r="BH2231" s="7" t="s">
        <v>231</v>
      </c>
      <c r="BI2231" s="7"/>
      <c r="BJ2231" s="4">
        <v>14</v>
      </c>
      <c r="BK2231" s="8">
        <v>239.89</v>
      </c>
      <c r="BL2231" s="2" t="s">
        <v>9753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9754</v>
      </c>
      <c r="BV2231" s="2" t="s">
        <v>231</v>
      </c>
      <c r="BW2231" s="2" t="s">
        <v>231</v>
      </c>
      <c r="BX2231" s="2" t="s">
        <v>231</v>
      </c>
      <c r="BY2231" s="2" t="s">
        <v>277</v>
      </c>
      <c r="BZ2231" s="2" t="s">
        <v>243</v>
      </c>
      <c r="CA2231" s="2" t="s">
        <v>9746</v>
      </c>
      <c r="CB2231" s="2" t="s">
        <v>9755</v>
      </c>
      <c r="CC2231" s="2" t="s">
        <v>244</v>
      </c>
      <c r="CD2231" s="2" t="s">
        <v>231</v>
      </c>
      <c r="CE2231" s="4">
        <v>173</v>
      </c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>
        <v>155</v>
      </c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  <c r="HG2231" s="4"/>
      <c r="HH2231" s="4"/>
      <c r="HI2231" s="4"/>
      <c r="HJ2231" s="4"/>
      <c r="HK2231" s="4"/>
      <c r="HL2231" s="4"/>
    </row>
    <row r="2232">
      <c r="A2232" s="2" t="s">
        <v>9756</v>
      </c>
      <c r="B2232" s="2" t="s">
        <v>287</v>
      </c>
      <c r="C2232" s="2" t="s">
        <v>825</v>
      </c>
      <c r="D2232" s="2" t="s">
        <v>289</v>
      </c>
      <c r="E2232" s="2" t="s">
        <v>290</v>
      </c>
      <c r="F2232" s="2" t="s">
        <v>4046</v>
      </c>
      <c r="G2232" s="2" t="s">
        <v>4046</v>
      </c>
      <c r="H2232" s="2" t="s">
        <v>4046</v>
      </c>
      <c r="I2232" s="2" t="s">
        <v>9741</v>
      </c>
      <c r="J2232" s="2" t="s">
        <v>9749</v>
      </c>
      <c r="K2232" s="2" t="s">
        <v>9757</v>
      </c>
      <c r="L2232" s="3">
        <v>12.6</v>
      </c>
      <c r="M2232" s="3">
        <v>13.23</v>
      </c>
      <c r="N2232" s="3">
        <v>27.99</v>
      </c>
      <c r="O2232" s="2" t="s">
        <v>243</v>
      </c>
      <c r="P2232" s="2" t="s">
        <v>270</v>
      </c>
      <c r="Q2232" s="2" t="s">
        <v>237</v>
      </c>
      <c r="R2232" s="2" t="s">
        <v>231</v>
      </c>
      <c r="S2232" s="2" t="s">
        <v>9758</v>
      </c>
      <c r="T2232" s="2" t="s">
        <v>472</v>
      </c>
      <c r="U2232" s="2" t="s">
        <v>835</v>
      </c>
      <c r="V2232" s="2" t="s">
        <v>4046</v>
      </c>
      <c r="W2232" s="2" t="s">
        <v>273</v>
      </c>
      <c r="X2232" s="2" t="s">
        <v>231</v>
      </c>
      <c r="Y2232" s="2" t="s">
        <v>2903</v>
      </c>
      <c r="Z2232" s="4">
        <v>167</v>
      </c>
      <c r="AA2232" s="4">
        <f>=ROUNDDOWN(23.8571428571429,0)</f>
      </c>
      <c r="AB2232" s="5">
        <v>7</v>
      </c>
      <c r="AC2232" s="2" t="s">
        <v>321</v>
      </c>
      <c r="AD2232" s="4">
        <v>30</v>
      </c>
      <c r="AE2232" s="4">
        <v>110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231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231</v>
      </c>
      <c r="BD2232" s="8" t="s">
        <v>231</v>
      </c>
      <c r="BE2232" s="4" t="s">
        <v>231</v>
      </c>
      <c r="BF2232" s="8" t="s">
        <v>231</v>
      </c>
      <c r="BG2232" s="7" t="s">
        <v>231</v>
      </c>
      <c r="BH2232" s="7" t="s">
        <v>231</v>
      </c>
      <c r="BI2232" s="7"/>
      <c r="BJ2232" s="4">
        <v>11</v>
      </c>
      <c r="BK2232" s="8">
        <v>158.94</v>
      </c>
      <c r="BL2232" s="2" t="s">
        <v>9759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9760</v>
      </c>
      <c r="BV2232" s="2" t="s">
        <v>231</v>
      </c>
      <c r="BW2232" s="2" t="s">
        <v>231</v>
      </c>
      <c r="BX2232" s="2" t="s">
        <v>231</v>
      </c>
      <c r="BY2232" s="2" t="s">
        <v>277</v>
      </c>
      <c r="BZ2232" s="2" t="s">
        <v>243</v>
      </c>
      <c r="CA2232" s="2" t="s">
        <v>9746</v>
      </c>
      <c r="CB2232" s="2" t="s">
        <v>9761</v>
      </c>
      <c r="CC2232" s="2" t="s">
        <v>244</v>
      </c>
      <c r="CD2232" s="2" t="s">
        <v>231</v>
      </c>
      <c r="CE2232" s="4">
        <v>167</v>
      </c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>
        <v>30</v>
      </c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>
        <v>80</v>
      </c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</row>
    <row r="2233">
      <c r="A2233" s="2" t="s">
        <v>9762</v>
      </c>
      <c r="B2233" s="2" t="s">
        <v>287</v>
      </c>
      <c r="C2233" s="2" t="s">
        <v>825</v>
      </c>
      <c r="D2233" s="2" t="s">
        <v>289</v>
      </c>
      <c r="E2233" s="2" t="s">
        <v>290</v>
      </c>
      <c r="F2233" s="2" t="s">
        <v>4046</v>
      </c>
      <c r="G2233" s="2" t="s">
        <v>4046</v>
      </c>
      <c r="H2233" s="2" t="s">
        <v>4046</v>
      </c>
      <c r="I2233" s="2" t="s">
        <v>9741</v>
      </c>
      <c r="J2233" s="2" t="s">
        <v>281</v>
      </c>
      <c r="K2233" s="2" t="s">
        <v>9763</v>
      </c>
      <c r="L2233" s="3">
        <v>13.95</v>
      </c>
      <c r="M2233" s="3">
        <v>14.65</v>
      </c>
      <c r="N2233" s="3">
        <v>30.99</v>
      </c>
      <c r="O2233" s="2" t="s">
        <v>243</v>
      </c>
      <c r="P2233" s="2" t="s">
        <v>270</v>
      </c>
      <c r="Q2233" s="2" t="s">
        <v>237</v>
      </c>
      <c r="R2233" s="2" t="s">
        <v>231</v>
      </c>
      <c r="S2233" s="2" t="s">
        <v>9764</v>
      </c>
      <c r="T2233" s="2" t="s">
        <v>472</v>
      </c>
      <c r="U2233" s="2" t="s">
        <v>231</v>
      </c>
      <c r="V2233" s="2" t="s">
        <v>4046</v>
      </c>
      <c r="W2233" s="2" t="s">
        <v>273</v>
      </c>
      <c r="X2233" s="2" t="s">
        <v>231</v>
      </c>
      <c r="Y2233" s="2" t="s">
        <v>2903</v>
      </c>
      <c r="Z2233" s="4">
        <v>231</v>
      </c>
      <c r="AA2233" s="4">
        <f>=ROUNDDOWN(28.875,0)</f>
      </c>
      <c r="AB2233" s="5">
        <v>8</v>
      </c>
      <c r="AC2233" s="2" t="s">
        <v>321</v>
      </c>
      <c r="AD2233" s="4">
        <v>20</v>
      </c>
      <c r="AE2233" s="4">
        <v>20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231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231</v>
      </c>
      <c r="AW2233" s="8" t="s">
        <v>231</v>
      </c>
      <c r="AX2233" s="4" t="s">
        <v>231</v>
      </c>
      <c r="AY2233" s="8" t="s">
        <v>231</v>
      </c>
      <c r="AZ2233" s="7" t="s">
        <v>231</v>
      </c>
      <c r="BA2233" s="7" t="s">
        <v>231</v>
      </c>
      <c r="BB2233" s="7"/>
      <c r="BC2233" s="4" t="s">
        <v>231</v>
      </c>
      <c r="BD2233" s="8" t="s">
        <v>231</v>
      </c>
      <c r="BE2233" s="4" t="s">
        <v>231</v>
      </c>
      <c r="BF2233" s="8" t="s">
        <v>231</v>
      </c>
      <c r="BG2233" s="7" t="s">
        <v>231</v>
      </c>
      <c r="BH2233" s="7" t="s">
        <v>231</v>
      </c>
      <c r="BI2233" s="7"/>
      <c r="BJ2233" s="4">
        <v>5</v>
      </c>
      <c r="BK2233" s="8">
        <v>78.75</v>
      </c>
      <c r="BL2233" s="2" t="s">
        <v>9765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9766</v>
      </c>
      <c r="BV2233" s="2" t="s">
        <v>231</v>
      </c>
      <c r="BW2233" s="2" t="s">
        <v>231</v>
      </c>
      <c r="BX2233" s="2" t="s">
        <v>231</v>
      </c>
      <c r="BY2233" s="2" t="s">
        <v>277</v>
      </c>
      <c r="BZ2233" s="2" t="s">
        <v>243</v>
      </c>
      <c r="CA2233" s="2" t="s">
        <v>9746</v>
      </c>
      <c r="CB2233" s="2" t="s">
        <v>3575</v>
      </c>
      <c r="CC2233" s="2" t="s">
        <v>244</v>
      </c>
      <c r="CD2233" s="2" t="s">
        <v>231</v>
      </c>
      <c r="CE2233" s="4">
        <v>231</v>
      </c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>
        <v>20</v>
      </c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  <c r="HF2233" s="4"/>
      <c r="HG2233" s="4"/>
      <c r="HH2233" s="4"/>
      <c r="HI2233" s="4"/>
      <c r="HJ2233" s="4"/>
      <c r="HK2233" s="4"/>
      <c r="HL2233" s="4"/>
    </row>
    <row r="2234">
      <c r="A2234" s="2" t="s">
        <v>9767</v>
      </c>
      <c r="B2234" s="2" t="s">
        <v>287</v>
      </c>
      <c r="C2234" s="2" t="s">
        <v>825</v>
      </c>
      <c r="D2234" s="2" t="s">
        <v>289</v>
      </c>
      <c r="E2234" s="2" t="s">
        <v>290</v>
      </c>
      <c r="F2234" s="2" t="s">
        <v>4046</v>
      </c>
      <c r="G2234" s="2" t="s">
        <v>4046</v>
      </c>
      <c r="H2234" s="2" t="s">
        <v>4046</v>
      </c>
      <c r="I2234" s="2" t="s">
        <v>9741</v>
      </c>
      <c r="J2234" s="2" t="s">
        <v>293</v>
      </c>
      <c r="K2234" s="2" t="s">
        <v>9763</v>
      </c>
      <c r="L2234" s="3">
        <v>14.85</v>
      </c>
      <c r="M2234" s="3">
        <v>15.59</v>
      </c>
      <c r="N2234" s="3">
        <v>32.99</v>
      </c>
      <c r="O2234" s="2" t="s">
        <v>243</v>
      </c>
      <c r="P2234" s="2" t="s">
        <v>270</v>
      </c>
      <c r="Q2234" s="2" t="s">
        <v>237</v>
      </c>
      <c r="R2234" s="2" t="s">
        <v>231</v>
      </c>
      <c r="S2234" s="2" t="s">
        <v>9764</v>
      </c>
      <c r="T2234" s="2" t="s">
        <v>472</v>
      </c>
      <c r="U2234" s="2" t="s">
        <v>231</v>
      </c>
      <c r="V2234" s="2" t="s">
        <v>4046</v>
      </c>
      <c r="W2234" s="2" t="s">
        <v>273</v>
      </c>
      <c r="X2234" s="2" t="s">
        <v>231</v>
      </c>
      <c r="Y2234" s="2" t="s">
        <v>2903</v>
      </c>
      <c r="Z2234" s="4">
        <v>89</v>
      </c>
      <c r="AA2234" s="4">
        <f>=ROUNDDOWN(9.88888888888889,0)</f>
      </c>
      <c r="AB2234" s="5">
        <v>9</v>
      </c>
      <c r="AC2234" s="2" t="s">
        <v>477</v>
      </c>
      <c r="AD2234" s="4">
        <v>150</v>
      </c>
      <c r="AE2234" s="4">
        <v>260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231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231</v>
      </c>
      <c r="AW2234" s="8" t="s">
        <v>231</v>
      </c>
      <c r="AX2234" s="4" t="s">
        <v>231</v>
      </c>
      <c r="AY2234" s="8" t="s">
        <v>231</v>
      </c>
      <c r="AZ2234" s="7" t="s">
        <v>231</v>
      </c>
      <c r="BA2234" s="7" t="s">
        <v>231</v>
      </c>
      <c r="BB2234" s="7"/>
      <c r="BC2234" s="4" t="s">
        <v>231</v>
      </c>
      <c r="BD2234" s="8" t="s">
        <v>231</v>
      </c>
      <c r="BE2234" s="4" t="s">
        <v>231</v>
      </c>
      <c r="BF2234" s="8" t="s">
        <v>231</v>
      </c>
      <c r="BG2234" s="7" t="s">
        <v>231</v>
      </c>
      <c r="BH2234" s="7" t="s">
        <v>231</v>
      </c>
      <c r="BI2234" s="7"/>
      <c r="BJ2234" s="4">
        <v>17</v>
      </c>
      <c r="BK2234" s="8">
        <v>286.27</v>
      </c>
      <c r="BL2234" s="2" t="s">
        <v>9768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9769</v>
      </c>
      <c r="BV2234" s="2" t="s">
        <v>231</v>
      </c>
      <c r="BW2234" s="2" t="s">
        <v>231</v>
      </c>
      <c r="BX2234" s="2" t="s">
        <v>231</v>
      </c>
      <c r="BY2234" s="2" t="s">
        <v>277</v>
      </c>
      <c r="BZ2234" s="2" t="s">
        <v>243</v>
      </c>
      <c r="CA2234" s="2" t="s">
        <v>9746</v>
      </c>
      <c r="CB2234" s="2" t="s">
        <v>2907</v>
      </c>
      <c r="CC2234" s="2" t="s">
        <v>244</v>
      </c>
      <c r="CD2234" s="2" t="s">
        <v>231</v>
      </c>
      <c r="CE2234" s="4">
        <v>89</v>
      </c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>
        <v>150</v>
      </c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>
        <v>110</v>
      </c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4"/>
      <c r="HG2234" s="4"/>
      <c r="HH2234" s="4"/>
      <c r="HI2234" s="4"/>
      <c r="HJ2234" s="4"/>
      <c r="HK2234" s="4"/>
      <c r="HL2234" s="4"/>
    </row>
    <row r="2235">
      <c r="A2235" s="2" t="s">
        <v>9770</v>
      </c>
      <c r="B2235" s="2" t="s">
        <v>784</v>
      </c>
      <c r="C2235" s="2" t="s">
        <v>631</v>
      </c>
      <c r="D2235" s="2" t="s">
        <v>785</v>
      </c>
      <c r="E2235" s="2" t="s">
        <v>786</v>
      </c>
      <c r="F2235" s="2" t="s">
        <v>9771</v>
      </c>
      <c r="G2235" s="2" t="s">
        <v>9771</v>
      </c>
      <c r="H2235" s="2" t="s">
        <v>9771</v>
      </c>
      <c r="I2235" s="2" t="s">
        <v>9772</v>
      </c>
      <c r="J2235" s="2" t="s">
        <v>1070</v>
      </c>
      <c r="K2235" s="2" t="s">
        <v>269</v>
      </c>
      <c r="L2235" s="3">
        <v>36.5</v>
      </c>
      <c r="M2235" s="3">
        <v>38.33</v>
      </c>
      <c r="N2235" s="3">
        <v>79.99</v>
      </c>
      <c r="O2235" s="2" t="s">
        <v>243</v>
      </c>
      <c r="P2235" s="2" t="s">
        <v>1985</v>
      </c>
      <c r="Q2235" s="2" t="s">
        <v>237</v>
      </c>
      <c r="R2235" s="2" t="s">
        <v>231</v>
      </c>
      <c r="S2235" s="2" t="s">
        <v>9773</v>
      </c>
      <c r="T2235" s="2" t="s">
        <v>362</v>
      </c>
      <c r="U2235" s="2" t="s">
        <v>765</v>
      </c>
      <c r="V2235" s="2" t="s">
        <v>239</v>
      </c>
      <c r="W2235" s="2" t="s">
        <v>299</v>
      </c>
      <c r="X2235" s="2" t="s">
        <v>231</v>
      </c>
      <c r="Y2235" s="2" t="s">
        <v>3445</v>
      </c>
      <c r="Z2235" s="4">
        <v>249</v>
      </c>
      <c r="AA2235" s="4">
        <f>=ROUNDDOWN(24.9,0)</f>
      </c>
      <c r="AB2235" s="5">
        <v>10</v>
      </c>
      <c r="AC2235" s="2" t="s">
        <v>392</v>
      </c>
      <c r="AD2235" s="4">
        <v>230</v>
      </c>
      <c r="AE2235" s="4">
        <v>230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231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231</v>
      </c>
      <c r="BD2235" s="8" t="s">
        <v>231</v>
      </c>
      <c r="BE2235" s="4" t="s">
        <v>231</v>
      </c>
      <c r="BF2235" s="8" t="s">
        <v>231</v>
      </c>
      <c r="BG2235" s="7" t="s">
        <v>231</v>
      </c>
      <c r="BH2235" s="7" t="s">
        <v>231</v>
      </c>
      <c r="BI2235" s="7"/>
      <c r="BJ2235" s="4">
        <v>36</v>
      </c>
      <c r="BK2235" s="8">
        <v>1370.16</v>
      </c>
      <c r="BL2235" s="2" t="s">
        <v>9158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9774</v>
      </c>
      <c r="BV2235" s="2" t="s">
        <v>231</v>
      </c>
      <c r="BW2235" s="2" t="s">
        <v>231</v>
      </c>
      <c r="BX2235" s="2" t="s">
        <v>231</v>
      </c>
      <c r="BY2235" s="2" t="s">
        <v>277</v>
      </c>
      <c r="BZ2235" s="2" t="s">
        <v>243</v>
      </c>
      <c r="CA2235" s="2" t="s">
        <v>1640</v>
      </c>
      <c r="CB2235" s="2" t="s">
        <v>1697</v>
      </c>
      <c r="CC2235" s="2" t="s">
        <v>244</v>
      </c>
      <c r="CD2235" s="2" t="s">
        <v>231</v>
      </c>
      <c r="CE2235" s="4">
        <v>249</v>
      </c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>
        <v>230</v>
      </c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  <c r="HF2235" s="4"/>
      <c r="HG2235" s="4"/>
      <c r="HH2235" s="4"/>
      <c r="HI2235" s="4"/>
      <c r="HJ2235" s="4"/>
      <c r="HK2235" s="4"/>
      <c r="HL2235" s="4"/>
    </row>
    <row r="2236">
      <c r="A2236" s="2" t="s">
        <v>9775</v>
      </c>
      <c r="B2236" s="2" t="s">
        <v>784</v>
      </c>
      <c r="C2236" s="2" t="s">
        <v>631</v>
      </c>
      <c r="D2236" s="2" t="s">
        <v>785</v>
      </c>
      <c r="E2236" s="2" t="s">
        <v>786</v>
      </c>
      <c r="F2236" s="2" t="s">
        <v>9771</v>
      </c>
      <c r="G2236" s="2" t="s">
        <v>9771</v>
      </c>
      <c r="H2236" s="2" t="s">
        <v>9771</v>
      </c>
      <c r="I2236" s="2" t="s">
        <v>9772</v>
      </c>
      <c r="J2236" s="2" t="s">
        <v>1070</v>
      </c>
      <c r="K2236" s="2" t="s">
        <v>253</v>
      </c>
      <c r="L2236" s="3">
        <v>36.5</v>
      </c>
      <c r="M2236" s="3">
        <v>38.33</v>
      </c>
      <c r="N2236" s="3">
        <v>79.99</v>
      </c>
      <c r="O2236" s="2" t="s">
        <v>243</v>
      </c>
      <c r="P2236" s="2" t="s">
        <v>1985</v>
      </c>
      <c r="Q2236" s="2" t="s">
        <v>237</v>
      </c>
      <c r="R2236" s="2" t="s">
        <v>231</v>
      </c>
      <c r="S2236" s="2" t="s">
        <v>9776</v>
      </c>
      <c r="T2236" s="2" t="s">
        <v>362</v>
      </c>
      <c r="U2236" s="2" t="s">
        <v>765</v>
      </c>
      <c r="V2236" s="2" t="s">
        <v>239</v>
      </c>
      <c r="W2236" s="2" t="s">
        <v>299</v>
      </c>
      <c r="X2236" s="2" t="s">
        <v>231</v>
      </c>
      <c r="Y2236" s="2" t="s">
        <v>3445</v>
      </c>
      <c r="Z2236" s="4">
        <v>153</v>
      </c>
      <c r="AA2236" s="4">
        <f>=ROUNDDOWN(17,0)</f>
      </c>
      <c r="AB2236" s="5">
        <v>9</v>
      </c>
      <c r="AC2236" s="2" t="s">
        <v>392</v>
      </c>
      <c r="AD2236" s="4">
        <v>420</v>
      </c>
      <c r="AE2236" s="4">
        <v>420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231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 t="s">
        <v>231</v>
      </c>
      <c r="BD2236" s="8" t="s">
        <v>231</v>
      </c>
      <c r="BE2236" s="4" t="s">
        <v>231</v>
      </c>
      <c r="BF2236" s="8" t="s">
        <v>231</v>
      </c>
      <c r="BG2236" s="7" t="s">
        <v>231</v>
      </c>
      <c r="BH2236" s="7" t="s">
        <v>231</v>
      </c>
      <c r="BI2236" s="7"/>
      <c r="BJ2236" s="4">
        <v>21</v>
      </c>
      <c r="BK2236" s="8">
        <v>834.39</v>
      </c>
      <c r="BL2236" s="2" t="s">
        <v>9158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9777</v>
      </c>
      <c r="BV2236" s="2" t="s">
        <v>231</v>
      </c>
      <c r="BW2236" s="2" t="s">
        <v>231</v>
      </c>
      <c r="BX2236" s="2" t="s">
        <v>231</v>
      </c>
      <c r="BY2236" s="2" t="s">
        <v>277</v>
      </c>
      <c r="BZ2236" s="2" t="s">
        <v>243</v>
      </c>
      <c r="CA2236" s="2" t="s">
        <v>1640</v>
      </c>
      <c r="CB2236" s="2" t="s">
        <v>9778</v>
      </c>
      <c r="CC2236" s="2" t="s">
        <v>244</v>
      </c>
      <c r="CD2236" s="2" t="s">
        <v>231</v>
      </c>
      <c r="CE2236" s="4">
        <v>153</v>
      </c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>
        <v>420</v>
      </c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  <c r="HF2236" s="4"/>
      <c r="HG2236" s="4"/>
      <c r="HH2236" s="4"/>
      <c r="HI2236" s="4"/>
      <c r="HJ2236" s="4"/>
      <c r="HK2236" s="4"/>
      <c r="HL2236" s="4"/>
    </row>
    <row r="2237">
      <c r="A2237" s="2" t="s">
        <v>9779</v>
      </c>
      <c r="B2237" s="2" t="s">
        <v>784</v>
      </c>
      <c r="C2237" s="2" t="s">
        <v>631</v>
      </c>
      <c r="D2237" s="2" t="s">
        <v>785</v>
      </c>
      <c r="E2237" s="2" t="s">
        <v>786</v>
      </c>
      <c r="F2237" s="2" t="s">
        <v>9771</v>
      </c>
      <c r="G2237" s="2" t="s">
        <v>9771</v>
      </c>
      <c r="H2237" s="2" t="s">
        <v>9771</v>
      </c>
      <c r="I2237" s="2" t="s">
        <v>9772</v>
      </c>
      <c r="J2237" s="2" t="s">
        <v>1070</v>
      </c>
      <c r="K2237" s="2" t="s">
        <v>306</v>
      </c>
      <c r="L2237" s="3">
        <v>36.5</v>
      </c>
      <c r="M2237" s="3">
        <v>38.33</v>
      </c>
      <c r="N2237" s="3">
        <v>79.99</v>
      </c>
      <c r="O2237" s="2" t="s">
        <v>243</v>
      </c>
      <c r="P2237" s="2" t="s">
        <v>1985</v>
      </c>
      <c r="Q2237" s="2" t="s">
        <v>237</v>
      </c>
      <c r="R2237" s="2" t="s">
        <v>231</v>
      </c>
      <c r="S2237" s="2" t="s">
        <v>9780</v>
      </c>
      <c r="T2237" s="2" t="s">
        <v>362</v>
      </c>
      <c r="U2237" s="2" t="s">
        <v>765</v>
      </c>
      <c r="V2237" s="2" t="s">
        <v>239</v>
      </c>
      <c r="W2237" s="2" t="s">
        <v>299</v>
      </c>
      <c r="X2237" s="2" t="s">
        <v>231</v>
      </c>
      <c r="Y2237" s="2" t="s">
        <v>3445</v>
      </c>
      <c r="Z2237" s="4">
        <v>183</v>
      </c>
      <c r="AA2237" s="4">
        <f>=ROUNDDOWN(18.3,0)</f>
      </c>
      <c r="AB2237" s="5">
        <v>10</v>
      </c>
      <c r="AC2237" s="2" t="s">
        <v>392</v>
      </c>
      <c r="AD2237" s="4">
        <v>350</v>
      </c>
      <c r="AE2237" s="4">
        <v>350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231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 t="s">
        <v>231</v>
      </c>
      <c r="BD2237" s="8" t="s">
        <v>231</v>
      </c>
      <c r="BE2237" s="4" t="s">
        <v>231</v>
      </c>
      <c r="BF2237" s="8" t="s">
        <v>231</v>
      </c>
      <c r="BG2237" s="7" t="s">
        <v>231</v>
      </c>
      <c r="BH2237" s="7" t="s">
        <v>231</v>
      </c>
      <c r="BI2237" s="7"/>
      <c r="BJ2237" s="4">
        <v>43</v>
      </c>
      <c r="BK2237" s="8">
        <v>1723.26</v>
      </c>
      <c r="BL2237" s="2" t="s">
        <v>9781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9782</v>
      </c>
      <c r="BV2237" s="2" t="s">
        <v>231</v>
      </c>
      <c r="BW2237" s="2" t="s">
        <v>231</v>
      </c>
      <c r="BX2237" s="2" t="s">
        <v>231</v>
      </c>
      <c r="BY2237" s="2" t="s">
        <v>277</v>
      </c>
      <c r="BZ2237" s="2" t="s">
        <v>243</v>
      </c>
      <c r="CA2237" s="2" t="s">
        <v>1640</v>
      </c>
      <c r="CB2237" s="2" t="s">
        <v>663</v>
      </c>
      <c r="CC2237" s="2" t="s">
        <v>244</v>
      </c>
      <c r="CD2237" s="2" t="s">
        <v>231</v>
      </c>
      <c r="CE2237" s="4">
        <v>183</v>
      </c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>
        <v>350</v>
      </c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  <c r="HF2237" s="4"/>
      <c r="HG2237" s="4"/>
      <c r="HH2237" s="4"/>
      <c r="HI2237" s="4"/>
      <c r="HJ2237" s="4"/>
      <c r="HK2237" s="4"/>
      <c r="HL2237" s="4"/>
    </row>
    <row r="2238">
      <c r="A2238" s="2" t="s">
        <v>9783</v>
      </c>
      <c r="B2238" s="2" t="s">
        <v>784</v>
      </c>
      <c r="C2238" s="2" t="s">
        <v>631</v>
      </c>
      <c r="D2238" s="2" t="s">
        <v>785</v>
      </c>
      <c r="E2238" s="2" t="s">
        <v>786</v>
      </c>
      <c r="F2238" s="2" t="s">
        <v>9771</v>
      </c>
      <c r="G2238" s="2" t="s">
        <v>9771</v>
      </c>
      <c r="H2238" s="2" t="s">
        <v>9771</v>
      </c>
      <c r="I2238" s="2" t="s">
        <v>9772</v>
      </c>
      <c r="J2238" s="2" t="s">
        <v>1070</v>
      </c>
      <c r="K2238" s="2" t="s">
        <v>556</v>
      </c>
      <c r="L2238" s="3">
        <v>36.5</v>
      </c>
      <c r="M2238" s="3">
        <v>38.33</v>
      </c>
      <c r="N2238" s="3">
        <v>79.99</v>
      </c>
      <c r="O2238" s="2" t="s">
        <v>243</v>
      </c>
      <c r="P2238" s="2" t="s">
        <v>1985</v>
      </c>
      <c r="Q2238" s="2" t="s">
        <v>237</v>
      </c>
      <c r="R2238" s="2" t="s">
        <v>231</v>
      </c>
      <c r="S2238" s="2" t="s">
        <v>9784</v>
      </c>
      <c r="T2238" s="2" t="s">
        <v>362</v>
      </c>
      <c r="U2238" s="2" t="s">
        <v>765</v>
      </c>
      <c r="V2238" s="2" t="s">
        <v>239</v>
      </c>
      <c r="W2238" s="2" t="s">
        <v>299</v>
      </c>
      <c r="X2238" s="2" t="s">
        <v>231</v>
      </c>
      <c r="Y2238" s="2" t="s">
        <v>3445</v>
      </c>
      <c r="Z2238" s="4">
        <v>249</v>
      </c>
      <c r="AA2238" s="4">
        <f>=ROUNDDOWN(31.125,0)</f>
      </c>
      <c r="AB2238" s="5">
        <v>8</v>
      </c>
      <c r="AC2238" s="2" t="s">
        <v>392</v>
      </c>
      <c r="AD2238" s="4">
        <v>260</v>
      </c>
      <c r="AE2238" s="4">
        <v>260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231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231</v>
      </c>
      <c r="BD2238" s="8" t="s">
        <v>231</v>
      </c>
      <c r="BE2238" s="4" t="s">
        <v>231</v>
      </c>
      <c r="BF2238" s="8" t="s">
        <v>231</v>
      </c>
      <c r="BG2238" s="7" t="s">
        <v>231</v>
      </c>
      <c r="BH2238" s="7" t="s">
        <v>231</v>
      </c>
      <c r="BI2238" s="7"/>
      <c r="BJ2238" s="4">
        <v>29</v>
      </c>
      <c r="BK2238" s="8">
        <v>1150.82</v>
      </c>
      <c r="BL2238" s="2" t="s">
        <v>9158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9785</v>
      </c>
      <c r="BV2238" s="2" t="s">
        <v>231</v>
      </c>
      <c r="BW2238" s="2" t="s">
        <v>231</v>
      </c>
      <c r="BX2238" s="2" t="s">
        <v>231</v>
      </c>
      <c r="BY2238" s="2" t="s">
        <v>277</v>
      </c>
      <c r="BZ2238" s="2" t="s">
        <v>243</v>
      </c>
      <c r="CA2238" s="2" t="s">
        <v>1640</v>
      </c>
      <c r="CB2238" s="2" t="s">
        <v>1697</v>
      </c>
      <c r="CC2238" s="2" t="s">
        <v>244</v>
      </c>
      <c r="CD2238" s="2" t="s">
        <v>231</v>
      </c>
      <c r="CE2238" s="4">
        <v>249</v>
      </c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>
        <v>260</v>
      </c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  <c r="HF2238" s="4"/>
      <c r="HG2238" s="4"/>
      <c r="HH2238" s="4"/>
      <c r="HI2238" s="4"/>
      <c r="HJ2238" s="4"/>
      <c r="HK2238" s="4"/>
      <c r="HL2238" s="4"/>
    </row>
    <row r="2239">
      <c r="A2239" s="2" t="s">
        <v>9786</v>
      </c>
      <c r="B2239" s="2" t="s">
        <v>784</v>
      </c>
      <c r="C2239" s="2" t="s">
        <v>631</v>
      </c>
      <c r="D2239" s="2" t="s">
        <v>785</v>
      </c>
      <c r="E2239" s="2" t="s">
        <v>786</v>
      </c>
      <c r="F2239" s="2" t="s">
        <v>9771</v>
      </c>
      <c r="G2239" s="2" t="s">
        <v>9771</v>
      </c>
      <c r="H2239" s="2" t="s">
        <v>9771</v>
      </c>
      <c r="I2239" s="2" t="s">
        <v>9772</v>
      </c>
      <c r="J2239" s="2" t="s">
        <v>1070</v>
      </c>
      <c r="K2239" s="2" t="s">
        <v>319</v>
      </c>
      <c r="L2239" s="3">
        <v>36.5</v>
      </c>
      <c r="M2239" s="3">
        <v>38.33</v>
      </c>
      <c r="N2239" s="3">
        <v>79.99</v>
      </c>
      <c r="O2239" s="2" t="s">
        <v>243</v>
      </c>
      <c r="P2239" s="2" t="s">
        <v>1985</v>
      </c>
      <c r="Q2239" s="2" t="s">
        <v>237</v>
      </c>
      <c r="R2239" s="2" t="s">
        <v>231</v>
      </c>
      <c r="S2239" s="2" t="s">
        <v>9787</v>
      </c>
      <c r="T2239" s="2" t="s">
        <v>362</v>
      </c>
      <c r="U2239" s="2" t="s">
        <v>765</v>
      </c>
      <c r="V2239" s="2" t="s">
        <v>239</v>
      </c>
      <c r="W2239" s="2" t="s">
        <v>299</v>
      </c>
      <c r="X2239" s="2" t="s">
        <v>231</v>
      </c>
      <c r="Y2239" s="2" t="s">
        <v>3445</v>
      </c>
      <c r="Z2239" s="4">
        <v>290</v>
      </c>
      <c r="AA2239" s="4">
        <f>=ROUNDDOWN(36.25,0)</f>
      </c>
      <c r="AB2239" s="5">
        <v>8</v>
      </c>
      <c r="AC2239" s="2" t="s">
        <v>392</v>
      </c>
      <c r="AD2239" s="4">
        <v>220</v>
      </c>
      <c r="AE2239" s="4">
        <v>220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231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231</v>
      </c>
      <c r="BD2239" s="8" t="s">
        <v>231</v>
      </c>
      <c r="BE2239" s="4" t="s">
        <v>231</v>
      </c>
      <c r="BF2239" s="8" t="s">
        <v>231</v>
      </c>
      <c r="BG2239" s="7" t="s">
        <v>231</v>
      </c>
      <c r="BH2239" s="7" t="s">
        <v>231</v>
      </c>
      <c r="BI2239" s="7"/>
      <c r="BJ2239" s="4">
        <v>16</v>
      </c>
      <c r="BK2239" s="8">
        <v>651.65</v>
      </c>
      <c r="BL2239" s="2" t="s">
        <v>7700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9788</v>
      </c>
      <c r="BV2239" s="2" t="s">
        <v>231</v>
      </c>
      <c r="BW2239" s="2" t="s">
        <v>231</v>
      </c>
      <c r="BX2239" s="2" t="s">
        <v>231</v>
      </c>
      <c r="BY2239" s="2" t="s">
        <v>277</v>
      </c>
      <c r="BZ2239" s="2" t="s">
        <v>243</v>
      </c>
      <c r="CA2239" s="2" t="s">
        <v>1640</v>
      </c>
      <c r="CB2239" s="2" t="s">
        <v>9789</v>
      </c>
      <c r="CC2239" s="2" t="s">
        <v>244</v>
      </c>
      <c r="CD2239" s="2" t="s">
        <v>231</v>
      </c>
      <c r="CE2239" s="4">
        <v>290</v>
      </c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>
        <v>220</v>
      </c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</row>
    <row r="2240">
      <c r="A2240" s="2" t="s">
        <v>9790</v>
      </c>
      <c r="B2240" s="2" t="s">
        <v>784</v>
      </c>
      <c r="C2240" s="2" t="s">
        <v>1211</v>
      </c>
      <c r="D2240" s="2" t="s">
        <v>785</v>
      </c>
      <c r="E2240" s="2" t="s">
        <v>786</v>
      </c>
      <c r="F2240" s="2" t="s">
        <v>9791</v>
      </c>
      <c r="G2240" s="2" t="s">
        <v>9791</v>
      </c>
      <c r="H2240" s="2" t="s">
        <v>9791</v>
      </c>
      <c r="I2240" s="2" t="s">
        <v>9792</v>
      </c>
      <c r="J2240" s="2" t="s">
        <v>1070</v>
      </c>
      <c r="K2240" s="2" t="s">
        <v>253</v>
      </c>
      <c r="L2240" s="3">
        <v>23.09</v>
      </c>
      <c r="M2240" s="3">
        <v>24.24</v>
      </c>
      <c r="N2240" s="3">
        <v>54.99</v>
      </c>
      <c r="O2240" s="2" t="s">
        <v>243</v>
      </c>
      <c r="P2240" s="2" t="s">
        <v>270</v>
      </c>
      <c r="Q2240" s="2" t="s">
        <v>237</v>
      </c>
      <c r="R2240" s="2" t="s">
        <v>231</v>
      </c>
      <c r="S2240" s="2" t="s">
        <v>9793</v>
      </c>
      <c r="T2240" s="2" t="s">
        <v>362</v>
      </c>
      <c r="U2240" s="2" t="s">
        <v>765</v>
      </c>
      <c r="V2240" s="2" t="s">
        <v>239</v>
      </c>
      <c r="W2240" s="2" t="s">
        <v>273</v>
      </c>
      <c r="X2240" s="2" t="s">
        <v>691</v>
      </c>
      <c r="Y2240" s="2" t="s">
        <v>3458</v>
      </c>
      <c r="Z2240" s="4">
        <v>650</v>
      </c>
      <c r="AA2240" s="4">
        <f>=ROUNDDOWN(38.2352941176471,0)</f>
      </c>
      <c r="AB2240" s="5">
        <v>17</v>
      </c>
      <c r="AC2240" s="2" t="s">
        <v>231</v>
      </c>
      <c r="AD2240" s="4"/>
      <c r="AE2240" s="4"/>
      <c r="AF2240" s="6">
        <v>69</v>
      </c>
      <c r="AG2240" s="6"/>
      <c r="AH2240" s="7">
        <v>1</v>
      </c>
      <c r="AI2240" s="4"/>
      <c r="AJ2240" s="4">
        <f>=ROUNDDOWN({0},0)</f>
      </c>
      <c r="AK2240" s="5"/>
      <c r="AL2240" s="2" t="s">
        <v>231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/>
      <c r="BD2240" s="8"/>
      <c r="BE2240" s="4"/>
      <c r="BF2240" s="8"/>
      <c r="BG2240" s="7"/>
      <c r="BH2240" s="7"/>
      <c r="BI2240" s="7"/>
      <c r="BJ2240" s="4">
        <v>61</v>
      </c>
      <c r="BK2240" s="8">
        <v>1581.86</v>
      </c>
      <c r="BL2240" s="2" t="s">
        <v>9794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9795</v>
      </c>
      <c r="BV2240" s="2" t="s">
        <v>231</v>
      </c>
      <c r="BW2240" s="2" t="s">
        <v>231</v>
      </c>
      <c r="BX2240" s="2" t="s">
        <v>231</v>
      </c>
      <c r="BY2240" s="2" t="s">
        <v>277</v>
      </c>
      <c r="BZ2240" s="2" t="s">
        <v>243</v>
      </c>
      <c r="CA2240" s="2" t="s">
        <v>9796</v>
      </c>
      <c r="CB2240" s="2" t="s">
        <v>1970</v>
      </c>
      <c r="CC2240" s="2" t="s">
        <v>244</v>
      </c>
      <c r="CD2240" s="2" t="s">
        <v>231</v>
      </c>
      <c r="CE2240" s="4">
        <v>650</v>
      </c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</row>
    <row r="2241">
      <c r="A2241" s="2" t="s">
        <v>9797</v>
      </c>
      <c r="B2241" s="2" t="s">
        <v>1186</v>
      </c>
      <c r="C2241" s="2" t="s">
        <v>1105</v>
      </c>
      <c r="D2241" s="2" t="s">
        <v>1462</v>
      </c>
      <c r="E2241" s="2" t="s">
        <v>1952</v>
      </c>
      <c r="F2241" s="2" t="s">
        <v>9798</v>
      </c>
      <c r="G2241" s="2" t="s">
        <v>9799</v>
      </c>
      <c r="H2241" s="2" t="s">
        <v>9800</v>
      </c>
      <c r="I2241" s="2" t="s">
        <v>9801</v>
      </c>
      <c r="J2241" s="2" t="s">
        <v>658</v>
      </c>
      <c r="K2241" s="2" t="s">
        <v>255</v>
      </c>
      <c r="L2241" s="3">
        <v>32</v>
      </c>
      <c r="M2241" s="3">
        <v>33.6</v>
      </c>
      <c r="N2241" s="3">
        <v>79.99</v>
      </c>
      <c r="O2241" s="2" t="s">
        <v>243</v>
      </c>
      <c r="P2241" s="2" t="s">
        <v>270</v>
      </c>
      <c r="Q2241" s="2" t="s">
        <v>237</v>
      </c>
      <c r="R2241" s="2" t="s">
        <v>231</v>
      </c>
      <c r="S2241" s="2" t="s">
        <v>9802</v>
      </c>
      <c r="T2241" s="2" t="s">
        <v>472</v>
      </c>
      <c r="U2241" s="2" t="s">
        <v>835</v>
      </c>
      <c r="V2241" s="2" t="s">
        <v>239</v>
      </c>
      <c r="W2241" s="2" t="s">
        <v>273</v>
      </c>
      <c r="X2241" s="2" t="s">
        <v>792</v>
      </c>
      <c r="Y2241" s="2" t="s">
        <v>9803</v>
      </c>
      <c r="Z2241" s="4">
        <v>333</v>
      </c>
      <c r="AA2241" s="4">
        <f>=ROUNDDOWN(17.5263157894737,0)</f>
      </c>
      <c r="AB2241" s="5">
        <v>19</v>
      </c>
      <c r="AC2241" s="2" t="s">
        <v>406</v>
      </c>
      <c r="AD2241" s="4">
        <v>230</v>
      </c>
      <c r="AE2241" s="4">
        <v>580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231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231</v>
      </c>
      <c r="AW2241" s="8" t="s">
        <v>231</v>
      </c>
      <c r="AX2241" s="4" t="s">
        <v>231</v>
      </c>
      <c r="AY2241" s="8" t="s">
        <v>231</v>
      </c>
      <c r="AZ2241" s="7" t="s">
        <v>231</v>
      </c>
      <c r="BA2241" s="7" t="s">
        <v>231</v>
      </c>
      <c r="BB2241" s="7"/>
      <c r="BC2241" s="4" t="s">
        <v>231</v>
      </c>
      <c r="BD2241" s="8" t="s">
        <v>231</v>
      </c>
      <c r="BE2241" s="4" t="s">
        <v>231</v>
      </c>
      <c r="BF2241" s="8" t="s">
        <v>231</v>
      </c>
      <c r="BG2241" s="7" t="s">
        <v>231</v>
      </c>
      <c r="BH2241" s="7" t="s">
        <v>231</v>
      </c>
      <c r="BI2241" s="7"/>
      <c r="BJ2241" s="4">
        <v>51</v>
      </c>
      <c r="BK2241" s="8">
        <v>1717.96</v>
      </c>
      <c r="BL2241" s="2" t="s">
        <v>843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9804</v>
      </c>
      <c r="BV2241" s="2" t="s">
        <v>231</v>
      </c>
      <c r="BW2241" s="2" t="s">
        <v>231</v>
      </c>
      <c r="BX2241" s="2" t="s">
        <v>241</v>
      </c>
      <c r="BY2241" s="2" t="s">
        <v>277</v>
      </c>
      <c r="BZ2241" s="2" t="s">
        <v>243</v>
      </c>
      <c r="CA2241" s="2" t="s">
        <v>9805</v>
      </c>
      <c r="CB2241" s="2" t="s">
        <v>2703</v>
      </c>
      <c r="CC2241" s="2" t="s">
        <v>244</v>
      </c>
      <c r="CD2241" s="2" t="s">
        <v>231</v>
      </c>
      <c r="CE2241" s="4">
        <v>333</v>
      </c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>
        <v>230</v>
      </c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>
        <v>350</v>
      </c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  <c r="HG2241" s="4"/>
      <c r="HH2241" s="4"/>
      <c r="HI2241" s="4"/>
      <c r="HJ2241" s="4"/>
      <c r="HK2241" s="4"/>
      <c r="HL2241" s="4"/>
    </row>
    <row r="2242">
      <c r="A2242" s="2" t="s">
        <v>9806</v>
      </c>
      <c r="B2242" s="2" t="s">
        <v>1186</v>
      </c>
      <c r="C2242" s="2" t="s">
        <v>1105</v>
      </c>
      <c r="D2242" s="2" t="s">
        <v>1462</v>
      </c>
      <c r="E2242" s="2" t="s">
        <v>1952</v>
      </c>
      <c r="F2242" s="2" t="s">
        <v>9798</v>
      </c>
      <c r="G2242" s="2" t="s">
        <v>9799</v>
      </c>
      <c r="H2242" s="2" t="s">
        <v>9800</v>
      </c>
      <c r="I2242" s="2" t="s">
        <v>9801</v>
      </c>
      <c r="J2242" s="2" t="s">
        <v>669</v>
      </c>
      <c r="K2242" s="2" t="s">
        <v>255</v>
      </c>
      <c r="L2242" s="3">
        <v>37.8</v>
      </c>
      <c r="M2242" s="3">
        <v>39.69</v>
      </c>
      <c r="N2242" s="3">
        <v>89.99</v>
      </c>
      <c r="O2242" s="2" t="s">
        <v>243</v>
      </c>
      <c r="P2242" s="2" t="s">
        <v>270</v>
      </c>
      <c r="Q2242" s="2" t="s">
        <v>237</v>
      </c>
      <c r="R2242" s="2" t="s">
        <v>231</v>
      </c>
      <c r="S2242" s="2" t="s">
        <v>9802</v>
      </c>
      <c r="T2242" s="2" t="s">
        <v>472</v>
      </c>
      <c r="U2242" s="2" t="s">
        <v>835</v>
      </c>
      <c r="V2242" s="2" t="s">
        <v>239</v>
      </c>
      <c r="W2242" s="2" t="s">
        <v>273</v>
      </c>
      <c r="X2242" s="2" t="s">
        <v>792</v>
      </c>
      <c r="Y2242" s="2" t="s">
        <v>9803</v>
      </c>
      <c r="Z2242" s="4">
        <v>418</v>
      </c>
      <c r="AA2242" s="4">
        <f>=ROUNDDOWN(15.4814814814815,0)</f>
      </c>
      <c r="AB2242" s="5">
        <v>27</v>
      </c>
      <c r="AC2242" s="2" t="s">
        <v>406</v>
      </c>
      <c r="AD2242" s="4">
        <v>370</v>
      </c>
      <c r="AE2242" s="4">
        <v>620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231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 t="s">
        <v>231</v>
      </c>
      <c r="AW2242" s="8" t="s">
        <v>231</v>
      </c>
      <c r="AX2242" s="4" t="s">
        <v>231</v>
      </c>
      <c r="AY2242" s="8" t="s">
        <v>231</v>
      </c>
      <c r="AZ2242" s="7" t="s">
        <v>231</v>
      </c>
      <c r="BA2242" s="7" t="s">
        <v>231</v>
      </c>
      <c r="BB2242" s="7"/>
      <c r="BC2242" s="4" t="s">
        <v>231</v>
      </c>
      <c r="BD2242" s="8" t="s">
        <v>231</v>
      </c>
      <c r="BE2242" s="4" t="s">
        <v>231</v>
      </c>
      <c r="BF2242" s="8" t="s">
        <v>231</v>
      </c>
      <c r="BG2242" s="7" t="s">
        <v>231</v>
      </c>
      <c r="BH2242" s="7" t="s">
        <v>231</v>
      </c>
      <c r="BI2242" s="7"/>
      <c r="BJ2242" s="4">
        <v>88</v>
      </c>
      <c r="BK2242" s="8">
        <v>3524.66</v>
      </c>
      <c r="BL2242" s="2" t="s">
        <v>3369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9807</v>
      </c>
      <c r="BV2242" s="2" t="s">
        <v>231</v>
      </c>
      <c r="BW2242" s="2" t="s">
        <v>231</v>
      </c>
      <c r="BX2242" s="2" t="s">
        <v>241</v>
      </c>
      <c r="BY2242" s="2" t="s">
        <v>277</v>
      </c>
      <c r="BZ2242" s="2" t="s">
        <v>243</v>
      </c>
      <c r="CA2242" s="2" t="s">
        <v>9805</v>
      </c>
      <c r="CB2242" s="2" t="s">
        <v>9808</v>
      </c>
      <c r="CC2242" s="2" t="s">
        <v>244</v>
      </c>
      <c r="CD2242" s="2" t="s">
        <v>231</v>
      </c>
      <c r="CE2242" s="4">
        <v>418</v>
      </c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>
        <v>370</v>
      </c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>
        <v>250</v>
      </c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  <c r="HG2242" s="4"/>
      <c r="HH2242" s="4"/>
      <c r="HI2242" s="4"/>
      <c r="HJ2242" s="4"/>
      <c r="HK2242" s="4"/>
      <c r="HL2242" s="4"/>
    </row>
    <row r="2243">
      <c r="A2243" s="2" t="s">
        <v>9809</v>
      </c>
      <c r="B2243" s="2" t="s">
        <v>1186</v>
      </c>
      <c r="C2243" s="2" t="s">
        <v>1105</v>
      </c>
      <c r="D2243" s="2" t="s">
        <v>1462</v>
      </c>
      <c r="E2243" s="2" t="s">
        <v>1952</v>
      </c>
      <c r="F2243" s="2" t="s">
        <v>9798</v>
      </c>
      <c r="G2243" s="2" t="s">
        <v>9799</v>
      </c>
      <c r="H2243" s="2" t="s">
        <v>9800</v>
      </c>
      <c r="I2243" s="2" t="s">
        <v>9801</v>
      </c>
      <c r="J2243" s="2" t="s">
        <v>658</v>
      </c>
      <c r="K2243" s="2" t="s">
        <v>319</v>
      </c>
      <c r="L2243" s="3">
        <v>32</v>
      </c>
      <c r="M2243" s="3">
        <v>33.6</v>
      </c>
      <c r="N2243" s="3">
        <v>79.99</v>
      </c>
      <c r="O2243" s="2" t="s">
        <v>243</v>
      </c>
      <c r="P2243" s="2" t="s">
        <v>270</v>
      </c>
      <c r="Q2243" s="2" t="s">
        <v>237</v>
      </c>
      <c r="R2243" s="2" t="s">
        <v>231</v>
      </c>
      <c r="S2243" s="2" t="s">
        <v>9810</v>
      </c>
      <c r="T2243" s="2" t="s">
        <v>472</v>
      </c>
      <c r="U2243" s="2" t="s">
        <v>835</v>
      </c>
      <c r="V2243" s="2" t="s">
        <v>239</v>
      </c>
      <c r="W2243" s="2" t="s">
        <v>273</v>
      </c>
      <c r="X2243" s="2" t="s">
        <v>792</v>
      </c>
      <c r="Y2243" s="2" t="s">
        <v>9803</v>
      </c>
      <c r="Z2243" s="4">
        <v>379</v>
      </c>
      <c r="AA2243" s="4">
        <f>=ROUNDDOWN(34.4545454545455,0)</f>
      </c>
      <c r="AB2243" s="5">
        <v>11</v>
      </c>
      <c r="AC2243" s="2" t="s">
        <v>231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231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231</v>
      </c>
      <c r="AW2243" s="8" t="s">
        <v>231</v>
      </c>
      <c r="AX2243" s="4" t="s">
        <v>231</v>
      </c>
      <c r="AY2243" s="8" t="s">
        <v>231</v>
      </c>
      <c r="AZ2243" s="7" t="s">
        <v>231</v>
      </c>
      <c r="BA2243" s="7" t="s">
        <v>231</v>
      </c>
      <c r="BB2243" s="7"/>
      <c r="BC2243" s="4" t="s">
        <v>231</v>
      </c>
      <c r="BD2243" s="8" t="s">
        <v>231</v>
      </c>
      <c r="BE2243" s="4" t="s">
        <v>231</v>
      </c>
      <c r="BF2243" s="8" t="s">
        <v>231</v>
      </c>
      <c r="BG2243" s="7" t="s">
        <v>231</v>
      </c>
      <c r="BH2243" s="7" t="s">
        <v>231</v>
      </c>
      <c r="BI2243" s="7"/>
      <c r="BJ2243" s="4">
        <v>22</v>
      </c>
      <c r="BK2243" s="8">
        <v>767.55</v>
      </c>
      <c r="BL2243" s="2" t="s">
        <v>9811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9812</v>
      </c>
      <c r="BV2243" s="2" t="s">
        <v>231</v>
      </c>
      <c r="BW2243" s="2" t="s">
        <v>231</v>
      </c>
      <c r="BX2243" s="2" t="s">
        <v>241</v>
      </c>
      <c r="BY2243" s="2" t="s">
        <v>277</v>
      </c>
      <c r="BZ2243" s="2" t="s">
        <v>243</v>
      </c>
      <c r="CA2243" s="2" t="s">
        <v>9805</v>
      </c>
      <c r="CB2243" s="2" t="s">
        <v>2635</v>
      </c>
      <c r="CC2243" s="2" t="s">
        <v>244</v>
      </c>
      <c r="CD2243" s="2" t="s">
        <v>231</v>
      </c>
      <c r="CE2243" s="4">
        <v>379</v>
      </c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</row>
    <row r="2244">
      <c r="A2244" s="2" t="s">
        <v>9813</v>
      </c>
      <c r="B2244" s="2" t="s">
        <v>1186</v>
      </c>
      <c r="C2244" s="2" t="s">
        <v>1105</v>
      </c>
      <c r="D2244" s="2" t="s">
        <v>1462</v>
      </c>
      <c r="E2244" s="2" t="s">
        <v>1952</v>
      </c>
      <c r="F2244" s="2" t="s">
        <v>9798</v>
      </c>
      <c r="G2244" s="2" t="s">
        <v>9799</v>
      </c>
      <c r="H2244" s="2" t="s">
        <v>9800</v>
      </c>
      <c r="I2244" s="2" t="s">
        <v>9801</v>
      </c>
      <c r="J2244" s="2" t="s">
        <v>669</v>
      </c>
      <c r="K2244" s="2" t="s">
        <v>319</v>
      </c>
      <c r="L2244" s="3">
        <v>37.8</v>
      </c>
      <c r="M2244" s="3">
        <v>39.69</v>
      </c>
      <c r="N2244" s="3">
        <v>89.99</v>
      </c>
      <c r="O2244" s="2" t="s">
        <v>243</v>
      </c>
      <c r="P2244" s="2" t="s">
        <v>270</v>
      </c>
      <c r="Q2244" s="2" t="s">
        <v>237</v>
      </c>
      <c r="R2244" s="2" t="s">
        <v>231</v>
      </c>
      <c r="S2244" s="2" t="s">
        <v>9810</v>
      </c>
      <c r="T2244" s="2" t="s">
        <v>472</v>
      </c>
      <c r="U2244" s="2" t="s">
        <v>835</v>
      </c>
      <c r="V2244" s="2" t="s">
        <v>239</v>
      </c>
      <c r="W2244" s="2" t="s">
        <v>273</v>
      </c>
      <c r="X2244" s="2" t="s">
        <v>792</v>
      </c>
      <c r="Y2244" s="2" t="s">
        <v>9803</v>
      </c>
      <c r="Z2244" s="4">
        <v>672</v>
      </c>
      <c r="AA2244" s="4">
        <f>=ROUNDDOWN(35.3684210526316,0)</f>
      </c>
      <c r="AB2244" s="5">
        <v>19</v>
      </c>
      <c r="AC2244" s="2" t="s">
        <v>231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231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231</v>
      </c>
      <c r="AW2244" s="8" t="s">
        <v>231</v>
      </c>
      <c r="AX2244" s="4" t="s">
        <v>231</v>
      </c>
      <c r="AY2244" s="8" t="s">
        <v>231</v>
      </c>
      <c r="AZ2244" s="7" t="s">
        <v>231</v>
      </c>
      <c r="BA2244" s="7" t="s">
        <v>231</v>
      </c>
      <c r="BB2244" s="7"/>
      <c r="BC2244" s="4" t="s">
        <v>231</v>
      </c>
      <c r="BD2244" s="8" t="s">
        <v>231</v>
      </c>
      <c r="BE2244" s="4" t="s">
        <v>231</v>
      </c>
      <c r="BF2244" s="8" t="s">
        <v>231</v>
      </c>
      <c r="BG2244" s="7" t="s">
        <v>231</v>
      </c>
      <c r="BH2244" s="7" t="s">
        <v>231</v>
      </c>
      <c r="BI2244" s="7"/>
      <c r="BJ2244" s="4">
        <v>54</v>
      </c>
      <c r="BK2244" s="8">
        <v>2211.43</v>
      </c>
      <c r="BL2244" s="2" t="s">
        <v>9814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9815</v>
      </c>
      <c r="BV2244" s="2" t="s">
        <v>231</v>
      </c>
      <c r="BW2244" s="2" t="s">
        <v>231</v>
      </c>
      <c r="BX2244" s="2" t="s">
        <v>241</v>
      </c>
      <c r="BY2244" s="2" t="s">
        <v>277</v>
      </c>
      <c r="BZ2244" s="2" t="s">
        <v>243</v>
      </c>
      <c r="CA2244" s="2" t="s">
        <v>9805</v>
      </c>
      <c r="CB2244" s="2" t="s">
        <v>3121</v>
      </c>
      <c r="CC2244" s="2" t="s">
        <v>244</v>
      </c>
      <c r="CD2244" s="2" t="s">
        <v>231</v>
      </c>
      <c r="CE2244" s="4">
        <v>672</v>
      </c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  <c r="HG2244" s="4"/>
      <c r="HH2244" s="4"/>
      <c r="HI2244" s="4"/>
      <c r="HJ2244" s="4"/>
      <c r="HK2244" s="4"/>
      <c r="HL2244" s="4"/>
    </row>
    <row r="2245">
      <c r="A2245" s="2" t="s">
        <v>9816</v>
      </c>
      <c r="B2245" s="2" t="s">
        <v>1004</v>
      </c>
      <c r="C2245" s="2" t="s">
        <v>815</v>
      </c>
      <c r="D2245" s="2" t="s">
        <v>1917</v>
      </c>
      <c r="E2245" s="2" t="s">
        <v>2495</v>
      </c>
      <c r="F2245" s="2" t="s">
        <v>9817</v>
      </c>
      <c r="G2245" s="2" t="s">
        <v>9817</v>
      </c>
      <c r="H2245" s="2" t="s">
        <v>9817</v>
      </c>
      <c r="I2245" s="2" t="s">
        <v>9818</v>
      </c>
      <c r="J2245" s="2" t="s">
        <v>807</v>
      </c>
      <c r="K2245" s="2" t="s">
        <v>747</v>
      </c>
      <c r="L2245" s="3">
        <v>85.5</v>
      </c>
      <c r="M2245" s="3">
        <v>89.78</v>
      </c>
      <c r="N2245" s="3">
        <v>179</v>
      </c>
      <c r="O2245" s="2" t="s">
        <v>243</v>
      </c>
      <c r="P2245" s="2" t="s">
        <v>1985</v>
      </c>
      <c r="Q2245" s="2" t="s">
        <v>237</v>
      </c>
      <c r="R2245" s="2" t="s">
        <v>231</v>
      </c>
      <c r="S2245" s="2" t="s">
        <v>9819</v>
      </c>
      <c r="T2245" s="2" t="s">
        <v>231</v>
      </c>
      <c r="U2245" s="2" t="s">
        <v>231</v>
      </c>
      <c r="V2245" s="2" t="s">
        <v>239</v>
      </c>
      <c r="W2245" s="2" t="s">
        <v>2500</v>
      </c>
      <c r="X2245" s="2" t="s">
        <v>231</v>
      </c>
      <c r="Y2245" s="2" t="s">
        <v>9820</v>
      </c>
      <c r="Z2245" s="4">
        <v>109</v>
      </c>
      <c r="AA2245" s="4">
        <f>=ROUNDDOWN(36.3333333333333,0)</f>
      </c>
      <c r="AB2245" s="5">
        <v>3</v>
      </c>
      <c r="AC2245" s="2" t="s">
        <v>9821</v>
      </c>
      <c r="AD2245" s="4">
        <v>150</v>
      </c>
      <c r="AE2245" s="4">
        <v>150</v>
      </c>
      <c r="AF2245" s="6">
        <v>74</v>
      </c>
      <c r="AG2245" s="6"/>
      <c r="AH2245" s="7">
        <v>1</v>
      </c>
      <c r="AI2245" s="4"/>
      <c r="AJ2245" s="4">
        <f>=ROUNDDOWN({0},0)</f>
      </c>
      <c r="AK2245" s="5"/>
      <c r="AL2245" s="2" t="s">
        <v>231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/>
      <c r="BD2245" s="8"/>
      <c r="BE2245" s="4"/>
      <c r="BF2245" s="8"/>
      <c r="BG2245" s="7"/>
      <c r="BH2245" s="7"/>
      <c r="BI2245" s="7"/>
      <c r="BJ2245" s="4">
        <v>17</v>
      </c>
      <c r="BK2245" s="8">
        <v>1525.57</v>
      </c>
      <c r="BL2245" s="2" t="s">
        <v>9822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9823</v>
      </c>
      <c r="BV2245" s="2" t="s">
        <v>231</v>
      </c>
      <c r="BW2245" s="2" t="s">
        <v>231</v>
      </c>
      <c r="BX2245" s="2" t="s">
        <v>241</v>
      </c>
      <c r="BY2245" s="2" t="s">
        <v>277</v>
      </c>
      <c r="BZ2245" s="2" t="s">
        <v>243</v>
      </c>
      <c r="CA2245" s="2" t="s">
        <v>2656</v>
      </c>
      <c r="CB2245" s="2" t="s">
        <v>9747</v>
      </c>
      <c r="CC2245" s="2" t="s">
        <v>244</v>
      </c>
      <c r="CD2245" s="2" t="s">
        <v>231</v>
      </c>
      <c r="CE2245" s="4"/>
      <c r="CF2245" s="4">
        <v>109</v>
      </c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>
        <v>150</v>
      </c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  <c r="HG2245" s="4"/>
      <c r="HH2245" s="4"/>
      <c r="HI2245" s="4"/>
      <c r="HJ2245" s="4"/>
      <c r="HK2245" s="4"/>
      <c r="HL2245" s="4"/>
    </row>
    <row r="2246">
      <c r="A2246" s="2" t="s">
        <v>9824</v>
      </c>
      <c r="B2246" s="2" t="s">
        <v>1186</v>
      </c>
      <c r="C2246" s="2" t="s">
        <v>653</v>
      </c>
      <c r="D2246" s="2" t="s">
        <v>654</v>
      </c>
      <c r="E2246" s="2" t="s">
        <v>655</v>
      </c>
      <c r="F2246" s="2" t="s">
        <v>9825</v>
      </c>
      <c r="G2246" s="2" t="s">
        <v>9825</v>
      </c>
      <c r="H2246" s="2" t="s">
        <v>9825</v>
      </c>
      <c r="I2246" s="2" t="s">
        <v>9826</v>
      </c>
      <c r="J2246" s="2" t="s">
        <v>658</v>
      </c>
      <c r="K2246" s="2" t="s">
        <v>682</v>
      </c>
      <c r="L2246" s="3">
        <v>150</v>
      </c>
      <c r="M2246" s="3">
        <v>157.5</v>
      </c>
      <c r="N2246" s="3">
        <v>299.99</v>
      </c>
      <c r="O2246" s="2" t="s">
        <v>243</v>
      </c>
      <c r="P2246" s="2" t="s">
        <v>236</v>
      </c>
      <c r="Q2246" s="2" t="s">
        <v>237</v>
      </c>
      <c r="R2246" s="2" t="s">
        <v>231</v>
      </c>
      <c r="S2246" s="2" t="s">
        <v>9827</v>
      </c>
      <c r="T2246" s="2" t="s">
        <v>231</v>
      </c>
      <c r="U2246" s="2" t="s">
        <v>5729</v>
      </c>
      <c r="V2246" s="2" t="s">
        <v>391</v>
      </c>
      <c r="W2246" s="2" t="s">
        <v>273</v>
      </c>
      <c r="X2246" s="2" t="s">
        <v>792</v>
      </c>
      <c r="Y2246" s="2" t="s">
        <v>1878</v>
      </c>
      <c r="Z2246" s="4">
        <v>137</v>
      </c>
      <c r="AA2246" s="4">
        <f>=ROUNDDOWN(68.5,0)</f>
      </c>
      <c r="AB2246" s="5">
        <v>2</v>
      </c>
      <c r="AC2246" s="2" t="s">
        <v>231</v>
      </c>
      <c r="AD2246" s="4"/>
      <c r="AE2246" s="4"/>
      <c r="AF2246" s="6">
        <v>67</v>
      </c>
      <c r="AG2246" s="6"/>
      <c r="AH2246" s="7">
        <v>1</v>
      </c>
      <c r="AI2246" s="4"/>
      <c r="AJ2246" s="4">
        <f>=ROUNDDOWN({0},0)</f>
      </c>
      <c r="AK2246" s="5"/>
      <c r="AL2246" s="2" t="s">
        <v>231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 t="s">
        <v>231</v>
      </c>
      <c r="AW2246" s="8" t="s">
        <v>231</v>
      </c>
      <c r="AX2246" s="4" t="s">
        <v>231</v>
      </c>
      <c r="AY2246" s="8" t="s">
        <v>231</v>
      </c>
      <c r="AZ2246" s="7" t="s">
        <v>231</v>
      </c>
      <c r="BA2246" s="7" t="s">
        <v>231</v>
      </c>
      <c r="BB2246" s="7"/>
      <c r="BC2246" s="4" t="s">
        <v>231</v>
      </c>
      <c r="BD2246" s="8" t="s">
        <v>231</v>
      </c>
      <c r="BE2246" s="4" t="s">
        <v>231</v>
      </c>
      <c r="BF2246" s="8" t="s">
        <v>231</v>
      </c>
      <c r="BG2246" s="7" t="s">
        <v>231</v>
      </c>
      <c r="BH2246" s="7" t="s">
        <v>231</v>
      </c>
      <c r="BI2246" s="7"/>
      <c r="BJ2246" s="4">
        <v>9</v>
      </c>
      <c r="BK2246" s="8">
        <v>1354.46</v>
      </c>
      <c r="BL2246" s="2" t="s">
        <v>1306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9828</v>
      </c>
      <c r="BV2246" s="2" t="s">
        <v>231</v>
      </c>
      <c r="BW2246" s="2" t="s">
        <v>231</v>
      </c>
      <c r="BX2246" s="2" t="s">
        <v>241</v>
      </c>
      <c r="BY2246" s="2" t="s">
        <v>277</v>
      </c>
      <c r="BZ2246" s="2" t="s">
        <v>243</v>
      </c>
      <c r="CA2246" s="2" t="s">
        <v>2735</v>
      </c>
      <c r="CB2246" s="2" t="s">
        <v>231</v>
      </c>
      <c r="CC2246" s="2" t="s">
        <v>244</v>
      </c>
      <c r="CD2246" s="2" t="s">
        <v>231</v>
      </c>
      <c r="CE2246" s="4">
        <v>137</v>
      </c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4"/>
      <c r="HH2246" s="4"/>
      <c r="HI2246" s="4"/>
      <c r="HJ2246" s="4"/>
      <c r="HK2246" s="4"/>
      <c r="HL2246" s="4"/>
    </row>
    <row r="2247">
      <c r="A2247" s="2" t="s">
        <v>9829</v>
      </c>
      <c r="B2247" s="2" t="s">
        <v>1186</v>
      </c>
      <c r="C2247" s="2" t="s">
        <v>653</v>
      </c>
      <c r="D2247" s="2" t="s">
        <v>654</v>
      </c>
      <c r="E2247" s="2" t="s">
        <v>655</v>
      </c>
      <c r="F2247" s="2" t="s">
        <v>9825</v>
      </c>
      <c r="G2247" s="2" t="s">
        <v>9825</v>
      </c>
      <c r="H2247" s="2" t="s">
        <v>9825</v>
      </c>
      <c r="I2247" s="2" t="s">
        <v>9826</v>
      </c>
      <c r="J2247" s="2" t="s">
        <v>669</v>
      </c>
      <c r="K2247" s="2" t="s">
        <v>682</v>
      </c>
      <c r="L2247" s="3">
        <v>175</v>
      </c>
      <c r="M2247" s="3">
        <v>183.75</v>
      </c>
      <c r="N2247" s="3">
        <v>349.99</v>
      </c>
      <c r="O2247" s="2" t="s">
        <v>243</v>
      </c>
      <c r="P2247" s="2" t="s">
        <v>236</v>
      </c>
      <c r="Q2247" s="2" t="s">
        <v>237</v>
      </c>
      <c r="R2247" s="2" t="s">
        <v>231</v>
      </c>
      <c r="S2247" s="2" t="s">
        <v>9827</v>
      </c>
      <c r="T2247" s="2" t="s">
        <v>231</v>
      </c>
      <c r="U2247" s="2" t="s">
        <v>1196</v>
      </c>
      <c r="V2247" s="2" t="s">
        <v>391</v>
      </c>
      <c r="W2247" s="2" t="s">
        <v>273</v>
      </c>
      <c r="X2247" s="2" t="s">
        <v>792</v>
      </c>
      <c r="Y2247" s="2" t="s">
        <v>6652</v>
      </c>
      <c r="Z2247" s="4">
        <v>143</v>
      </c>
      <c r="AA2247" s="4">
        <f>=ROUNDDOWN(35.75,0)</f>
      </c>
      <c r="AB2247" s="5">
        <v>4</v>
      </c>
      <c r="AC2247" s="2" t="s">
        <v>231</v>
      </c>
      <c r="AD2247" s="4"/>
      <c r="AE2247" s="4"/>
      <c r="AF2247" s="6">
        <v>67</v>
      </c>
      <c r="AG2247" s="6"/>
      <c r="AH2247" s="7">
        <v>1</v>
      </c>
      <c r="AI2247" s="4"/>
      <c r="AJ2247" s="4">
        <f>=ROUNDDOWN({0},0)</f>
      </c>
      <c r="AK2247" s="5"/>
      <c r="AL2247" s="2" t="s">
        <v>231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 t="s">
        <v>231</v>
      </c>
      <c r="AW2247" s="8" t="s">
        <v>231</v>
      </c>
      <c r="AX2247" s="4" t="s">
        <v>231</v>
      </c>
      <c r="AY2247" s="8" t="s">
        <v>231</v>
      </c>
      <c r="AZ2247" s="7" t="s">
        <v>231</v>
      </c>
      <c r="BA2247" s="7" t="s">
        <v>231</v>
      </c>
      <c r="BB2247" s="7"/>
      <c r="BC2247" s="4" t="s">
        <v>231</v>
      </c>
      <c r="BD2247" s="8" t="s">
        <v>231</v>
      </c>
      <c r="BE2247" s="4" t="s">
        <v>231</v>
      </c>
      <c r="BF2247" s="8" t="s">
        <v>231</v>
      </c>
      <c r="BG2247" s="7" t="s">
        <v>231</v>
      </c>
      <c r="BH2247" s="7" t="s">
        <v>231</v>
      </c>
      <c r="BI2247" s="7"/>
      <c r="BJ2247" s="4">
        <v>11</v>
      </c>
      <c r="BK2247" s="8">
        <v>1929.35</v>
      </c>
      <c r="BL2247" s="2" t="s">
        <v>1306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9830</v>
      </c>
      <c r="BV2247" s="2" t="s">
        <v>231</v>
      </c>
      <c r="BW2247" s="2" t="s">
        <v>231</v>
      </c>
      <c r="BX2247" s="2" t="s">
        <v>241</v>
      </c>
      <c r="BY2247" s="2" t="s">
        <v>277</v>
      </c>
      <c r="BZ2247" s="2" t="s">
        <v>243</v>
      </c>
      <c r="CA2247" s="2" t="s">
        <v>2735</v>
      </c>
      <c r="CB2247" s="2" t="s">
        <v>231</v>
      </c>
      <c r="CC2247" s="2" t="s">
        <v>244</v>
      </c>
      <c r="CD2247" s="2" t="s">
        <v>231</v>
      </c>
      <c r="CE2247" s="4">
        <v>143</v>
      </c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</row>
    <row r="2248">
      <c r="A2248" s="2" t="s">
        <v>9831</v>
      </c>
      <c r="B2248" s="2" t="s">
        <v>847</v>
      </c>
      <c r="C2248" s="2" t="s">
        <v>288</v>
      </c>
      <c r="D2248" s="2" t="s">
        <v>882</v>
      </c>
      <c r="E2248" s="2" t="s">
        <v>849</v>
      </c>
      <c r="F2248" s="2" t="s">
        <v>9832</v>
      </c>
      <c r="G2248" s="2" t="s">
        <v>231</v>
      </c>
      <c r="H2248" s="2" t="s">
        <v>231</v>
      </c>
      <c r="I2248" s="2" t="s">
        <v>9833</v>
      </c>
      <c r="J2248" s="2" t="s">
        <v>807</v>
      </c>
      <c r="K2248" s="2" t="s">
        <v>269</v>
      </c>
      <c r="L2248" s="3">
        <v>24.5</v>
      </c>
      <c r="M2248" s="3">
        <v>25.72</v>
      </c>
      <c r="N2248" s="3">
        <v>50.99</v>
      </c>
      <c r="O2248" s="2" t="s">
        <v>243</v>
      </c>
      <c r="P2248" s="2" t="s">
        <v>270</v>
      </c>
      <c r="Q2248" s="2" t="s">
        <v>237</v>
      </c>
      <c r="R2248" s="2" t="s">
        <v>231</v>
      </c>
      <c r="S2248" s="2" t="s">
        <v>9834</v>
      </c>
      <c r="T2248" s="2" t="s">
        <v>231</v>
      </c>
      <c r="U2248" s="2" t="s">
        <v>298</v>
      </c>
      <c r="V2248" s="2" t="s">
        <v>363</v>
      </c>
      <c r="W2248" s="2" t="s">
        <v>363</v>
      </c>
      <c r="X2248" s="2" t="s">
        <v>231</v>
      </c>
      <c r="Y2248" s="2" t="s">
        <v>2964</v>
      </c>
      <c r="Z2248" s="4">
        <v>18</v>
      </c>
      <c r="AA2248" s="4">
        <f>=ROUNDDOWN(2.30769230769231,0)</f>
      </c>
      <c r="AB2248" s="5">
        <v>7.8</v>
      </c>
      <c r="AC2248" s="2" t="s">
        <v>876</v>
      </c>
      <c r="AD2248" s="4">
        <v>150</v>
      </c>
      <c r="AE2248" s="4">
        <v>150</v>
      </c>
      <c r="AF2248" s="6">
        <v>63</v>
      </c>
      <c r="AG2248" s="6"/>
      <c r="AH2248" s="7">
        <v>1</v>
      </c>
      <c r="AI2248" s="4"/>
      <c r="AJ2248" s="4">
        <f>=ROUNDDOWN({0},0)</f>
      </c>
      <c r="AK2248" s="5"/>
      <c r="AL2248" s="2" t="s">
        <v>231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/>
      <c r="BD2248" s="8"/>
      <c r="BE2248" s="4"/>
      <c r="BF2248" s="8"/>
      <c r="BG2248" s="7"/>
      <c r="BH2248" s="7"/>
      <c r="BI2248" s="7"/>
      <c r="BJ2248" s="4">
        <v>27</v>
      </c>
      <c r="BK2248" s="8">
        <v>783.42</v>
      </c>
      <c r="BL2248" s="2" t="s">
        <v>9835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9836</v>
      </c>
      <c r="BV2248" s="2" t="s">
        <v>231</v>
      </c>
      <c r="BW2248" s="2" t="s">
        <v>231</v>
      </c>
      <c r="BX2248" s="2" t="s">
        <v>231</v>
      </c>
      <c r="BY2248" s="2" t="s">
        <v>277</v>
      </c>
      <c r="BZ2248" s="2" t="s">
        <v>243</v>
      </c>
      <c r="CA2248" s="2" t="s">
        <v>278</v>
      </c>
      <c r="CB2248" s="2" t="s">
        <v>2812</v>
      </c>
      <c r="CC2248" s="2" t="s">
        <v>244</v>
      </c>
      <c r="CD2248" s="2" t="s">
        <v>231</v>
      </c>
      <c r="CE2248" s="4"/>
      <c r="CF2248" s="4">
        <v>18</v>
      </c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>
        <v>150</v>
      </c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</row>
    <row r="2249">
      <c r="A2249" s="2" t="s">
        <v>9837</v>
      </c>
      <c r="B2249" s="2" t="s">
        <v>940</v>
      </c>
      <c r="C2249" s="2" t="s">
        <v>288</v>
      </c>
      <c r="D2249" s="2" t="s">
        <v>1533</v>
      </c>
      <c r="E2249" s="2" t="s">
        <v>1534</v>
      </c>
      <c r="F2249" s="2" t="s">
        <v>9838</v>
      </c>
      <c r="G2249" s="2" t="s">
        <v>9839</v>
      </c>
      <c r="H2249" s="2" t="s">
        <v>9840</v>
      </c>
      <c r="I2249" s="2" t="s">
        <v>9841</v>
      </c>
      <c r="J2249" s="2" t="s">
        <v>1536</v>
      </c>
      <c r="K2249" s="2" t="s">
        <v>8704</v>
      </c>
      <c r="L2249" s="3">
        <v>23</v>
      </c>
      <c r="M2249" s="3">
        <v>24.15</v>
      </c>
      <c r="N2249" s="3">
        <v>49.99</v>
      </c>
      <c r="O2249" s="2" t="s">
        <v>243</v>
      </c>
      <c r="P2249" s="2" t="s">
        <v>270</v>
      </c>
      <c r="Q2249" s="2" t="s">
        <v>237</v>
      </c>
      <c r="R2249" s="2" t="s">
        <v>231</v>
      </c>
      <c r="S2249" s="2" t="s">
        <v>9842</v>
      </c>
      <c r="T2249" s="2" t="s">
        <v>231</v>
      </c>
      <c r="U2249" s="2" t="s">
        <v>327</v>
      </c>
      <c r="V2249" s="2" t="s">
        <v>1444</v>
      </c>
      <c r="W2249" s="2" t="s">
        <v>676</v>
      </c>
      <c r="X2249" s="2" t="s">
        <v>231</v>
      </c>
      <c r="Y2249" s="2" t="s">
        <v>1851</v>
      </c>
      <c r="Z2249" s="4">
        <v>309</v>
      </c>
      <c r="AA2249" s="4">
        <f>=ROUNDDOWN(38.625,0)</f>
      </c>
      <c r="AB2249" s="5">
        <v>8</v>
      </c>
      <c r="AC2249" s="2" t="s">
        <v>231</v>
      </c>
      <c r="AD2249" s="4"/>
      <c r="AE2249" s="4"/>
      <c r="AF2249" s="6">
        <v>64</v>
      </c>
      <c r="AG2249" s="6"/>
      <c r="AH2249" s="7">
        <v>1</v>
      </c>
      <c r="AI2249" s="4"/>
      <c r="AJ2249" s="4">
        <f>=ROUNDDOWN({0},0)</f>
      </c>
      <c r="AK2249" s="5"/>
      <c r="AL2249" s="2" t="s">
        <v>231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/>
      <c r="BD2249" s="8"/>
      <c r="BE2249" s="4"/>
      <c r="BF2249" s="8"/>
      <c r="BG2249" s="7"/>
      <c r="BH2249" s="7"/>
      <c r="BI2249" s="7"/>
      <c r="BJ2249" s="4">
        <v>29</v>
      </c>
      <c r="BK2249" s="8">
        <v>736.74</v>
      </c>
      <c r="BL2249" s="2" t="s">
        <v>4849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9843</v>
      </c>
      <c r="BV2249" s="2" t="s">
        <v>231</v>
      </c>
      <c r="BW2249" s="2" t="s">
        <v>231</v>
      </c>
      <c r="BX2249" s="2" t="s">
        <v>231</v>
      </c>
      <c r="BY2249" s="2" t="s">
        <v>277</v>
      </c>
      <c r="BZ2249" s="2" t="s">
        <v>243</v>
      </c>
      <c r="CA2249" s="2" t="s">
        <v>1851</v>
      </c>
      <c r="CB2249" s="2" t="s">
        <v>4000</v>
      </c>
      <c r="CC2249" s="2" t="s">
        <v>244</v>
      </c>
      <c r="CD2249" s="2" t="s">
        <v>231</v>
      </c>
      <c r="CE2249" s="4">
        <v>309</v>
      </c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</row>
    <row r="2250">
      <c r="A2250" s="2" t="s">
        <v>9844</v>
      </c>
      <c r="B2250" s="2" t="s">
        <v>226</v>
      </c>
      <c r="C2250" s="2" t="s">
        <v>288</v>
      </c>
      <c r="D2250" s="2" t="s">
        <v>1624</v>
      </c>
      <c r="E2250" s="2" t="s">
        <v>2589</v>
      </c>
      <c r="F2250" s="2" t="s">
        <v>9845</v>
      </c>
      <c r="G2250" s="2" t="s">
        <v>9845</v>
      </c>
      <c r="H2250" s="2" t="s">
        <v>9845</v>
      </c>
      <c r="I2250" s="2" t="s">
        <v>9210</v>
      </c>
      <c r="J2250" s="2" t="s">
        <v>2845</v>
      </c>
      <c r="K2250" s="2" t="s">
        <v>985</v>
      </c>
      <c r="L2250" s="3">
        <v>11.64</v>
      </c>
      <c r="M2250" s="3">
        <v>12.22</v>
      </c>
      <c r="N2250" s="3">
        <v>25.99</v>
      </c>
      <c r="O2250" s="2" t="s">
        <v>243</v>
      </c>
      <c r="P2250" s="2" t="s">
        <v>270</v>
      </c>
      <c r="Q2250" s="2" t="s">
        <v>237</v>
      </c>
      <c r="R2250" s="2" t="s">
        <v>231</v>
      </c>
      <c r="S2250" s="2" t="s">
        <v>9846</v>
      </c>
      <c r="T2250" s="2" t="s">
        <v>1630</v>
      </c>
      <c r="U2250" s="2" t="s">
        <v>231</v>
      </c>
      <c r="V2250" s="2" t="s">
        <v>987</v>
      </c>
      <c r="W2250" s="2" t="s">
        <v>273</v>
      </c>
      <c r="X2250" s="2" t="s">
        <v>792</v>
      </c>
      <c r="Y2250" s="2" t="s">
        <v>274</v>
      </c>
      <c r="Z2250" s="4">
        <v>567</v>
      </c>
      <c r="AA2250" s="4">
        <f>=ROUNDDOWN(17.1818181818182,0)</f>
      </c>
      <c r="AB2250" s="5">
        <v>33</v>
      </c>
      <c r="AC2250" s="2" t="s">
        <v>1128</v>
      </c>
      <c r="AD2250" s="4">
        <v>650</v>
      </c>
      <c r="AE2250" s="4">
        <v>1650</v>
      </c>
      <c r="AF2250" s="6">
        <v>64</v>
      </c>
      <c r="AG2250" s="6"/>
      <c r="AH2250" s="7">
        <v>1</v>
      </c>
      <c r="AI2250" s="4"/>
      <c r="AJ2250" s="4">
        <f>=ROUNDDOWN({0},0)</f>
      </c>
      <c r="AK2250" s="5"/>
      <c r="AL2250" s="2" t="s">
        <v>231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231</v>
      </c>
      <c r="BD2250" s="8" t="s">
        <v>231</v>
      </c>
      <c r="BE2250" s="4" t="s">
        <v>231</v>
      </c>
      <c r="BF2250" s="8" t="s">
        <v>231</v>
      </c>
      <c r="BG2250" s="7" t="s">
        <v>231</v>
      </c>
      <c r="BH2250" s="7" t="s">
        <v>231</v>
      </c>
      <c r="BI2250" s="7"/>
      <c r="BJ2250" s="4">
        <v>152</v>
      </c>
      <c r="BK2250" s="8">
        <v>1722.34</v>
      </c>
      <c r="BL2250" s="2" t="s">
        <v>9847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9848</v>
      </c>
      <c r="BV2250" s="2" t="s">
        <v>231</v>
      </c>
      <c r="BW2250" s="2" t="s">
        <v>231</v>
      </c>
      <c r="BX2250" s="2" t="s">
        <v>231</v>
      </c>
      <c r="BY2250" s="2" t="s">
        <v>277</v>
      </c>
      <c r="BZ2250" s="2" t="s">
        <v>243</v>
      </c>
      <c r="CA2250" s="2" t="s">
        <v>284</v>
      </c>
      <c r="CB2250" s="2" t="s">
        <v>6730</v>
      </c>
      <c r="CC2250" s="2" t="s">
        <v>244</v>
      </c>
      <c r="CD2250" s="2" t="s">
        <v>231</v>
      </c>
      <c r="CE2250" s="4">
        <v>567</v>
      </c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>
        <v>650</v>
      </c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>
        <v>1000</v>
      </c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</row>
    <row r="2251">
      <c r="A2251" s="2" t="s">
        <v>9849</v>
      </c>
      <c r="B2251" s="2" t="s">
        <v>226</v>
      </c>
      <c r="C2251" s="2" t="s">
        <v>288</v>
      </c>
      <c r="D2251" s="2" t="s">
        <v>1624</v>
      </c>
      <c r="E2251" s="2" t="s">
        <v>2589</v>
      </c>
      <c r="F2251" s="2" t="s">
        <v>9845</v>
      </c>
      <c r="G2251" s="2" t="s">
        <v>9845</v>
      </c>
      <c r="H2251" s="2" t="s">
        <v>9845</v>
      </c>
      <c r="I2251" s="2" t="s">
        <v>9210</v>
      </c>
      <c r="J2251" s="2" t="s">
        <v>2845</v>
      </c>
      <c r="K2251" s="2" t="s">
        <v>253</v>
      </c>
      <c r="L2251" s="3">
        <v>11.64</v>
      </c>
      <c r="M2251" s="3">
        <v>12.22</v>
      </c>
      <c r="N2251" s="3">
        <v>25.99</v>
      </c>
      <c r="O2251" s="2" t="s">
        <v>243</v>
      </c>
      <c r="P2251" s="2" t="s">
        <v>270</v>
      </c>
      <c r="Q2251" s="2" t="s">
        <v>237</v>
      </c>
      <c r="R2251" s="2" t="s">
        <v>231</v>
      </c>
      <c r="S2251" s="2" t="s">
        <v>9850</v>
      </c>
      <c r="T2251" s="2" t="s">
        <v>1630</v>
      </c>
      <c r="U2251" s="2" t="s">
        <v>231</v>
      </c>
      <c r="V2251" s="2" t="s">
        <v>987</v>
      </c>
      <c r="W2251" s="2" t="s">
        <v>273</v>
      </c>
      <c r="X2251" s="2" t="s">
        <v>792</v>
      </c>
      <c r="Y2251" s="2" t="s">
        <v>274</v>
      </c>
      <c r="Z2251" s="4">
        <v>577</v>
      </c>
      <c r="AA2251" s="4">
        <f>=ROUNDDOWN(16.9705882352941,0)</f>
      </c>
      <c r="AB2251" s="5">
        <v>34</v>
      </c>
      <c r="AC2251" s="2" t="s">
        <v>1128</v>
      </c>
      <c r="AD2251" s="4">
        <v>799</v>
      </c>
      <c r="AE2251" s="4">
        <v>1599</v>
      </c>
      <c r="AF2251" s="6">
        <v>64</v>
      </c>
      <c r="AG2251" s="6"/>
      <c r="AH2251" s="7">
        <v>1</v>
      </c>
      <c r="AI2251" s="4"/>
      <c r="AJ2251" s="4">
        <f>=ROUNDDOWN({0},0)</f>
      </c>
      <c r="AK2251" s="5"/>
      <c r="AL2251" s="2" t="s">
        <v>231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231</v>
      </c>
      <c r="BD2251" s="8" t="s">
        <v>231</v>
      </c>
      <c r="BE2251" s="4" t="s">
        <v>231</v>
      </c>
      <c r="BF2251" s="8" t="s">
        <v>231</v>
      </c>
      <c r="BG2251" s="7" t="s">
        <v>231</v>
      </c>
      <c r="BH2251" s="7" t="s">
        <v>231</v>
      </c>
      <c r="BI2251" s="7"/>
      <c r="BJ2251" s="4">
        <v>114</v>
      </c>
      <c r="BK2251" s="8">
        <v>1339.32</v>
      </c>
      <c r="BL2251" s="2" t="s">
        <v>9851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9852</v>
      </c>
      <c r="BV2251" s="2" t="s">
        <v>231</v>
      </c>
      <c r="BW2251" s="2" t="s">
        <v>231</v>
      </c>
      <c r="BX2251" s="2" t="s">
        <v>231</v>
      </c>
      <c r="BY2251" s="2" t="s">
        <v>277</v>
      </c>
      <c r="BZ2251" s="2" t="s">
        <v>243</v>
      </c>
      <c r="CA2251" s="2" t="s">
        <v>284</v>
      </c>
      <c r="CB2251" s="2" t="s">
        <v>9853</v>
      </c>
      <c r="CC2251" s="2" t="s">
        <v>244</v>
      </c>
      <c r="CD2251" s="2" t="s">
        <v>231</v>
      </c>
      <c r="CE2251" s="4">
        <v>577</v>
      </c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>
        <v>799</v>
      </c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>
        <v>800</v>
      </c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</row>
    <row r="2252">
      <c r="A2252" s="2" t="s">
        <v>9854</v>
      </c>
      <c r="B2252" s="2" t="s">
        <v>847</v>
      </c>
      <c r="C2252" s="2" t="s">
        <v>288</v>
      </c>
      <c r="D2252" s="2" t="s">
        <v>882</v>
      </c>
      <c r="E2252" s="2" t="s">
        <v>2191</v>
      </c>
      <c r="F2252" s="2" t="s">
        <v>9855</v>
      </c>
      <c r="G2252" s="2" t="s">
        <v>9855</v>
      </c>
      <c r="H2252" s="2" t="s">
        <v>9855</v>
      </c>
      <c r="I2252" s="2" t="s">
        <v>9856</v>
      </c>
      <c r="J2252" s="2" t="s">
        <v>807</v>
      </c>
      <c r="K2252" s="2" t="s">
        <v>9857</v>
      </c>
      <c r="L2252" s="3">
        <v>28.33</v>
      </c>
      <c r="M2252" s="3">
        <v>29.75</v>
      </c>
      <c r="N2252" s="3">
        <v>59.49</v>
      </c>
      <c r="O2252" s="2" t="s">
        <v>243</v>
      </c>
      <c r="P2252" s="2" t="s">
        <v>236</v>
      </c>
      <c r="Q2252" s="2" t="s">
        <v>237</v>
      </c>
      <c r="R2252" s="2" t="s">
        <v>231</v>
      </c>
      <c r="S2252" s="2" t="s">
        <v>231</v>
      </c>
      <c r="T2252" s="2" t="s">
        <v>231</v>
      </c>
      <c r="U2252" s="2" t="s">
        <v>327</v>
      </c>
      <c r="V2252" s="2" t="s">
        <v>2195</v>
      </c>
      <c r="W2252" s="2" t="s">
        <v>9858</v>
      </c>
      <c r="X2252" s="2" t="s">
        <v>896</v>
      </c>
      <c r="Y2252" s="2" t="s">
        <v>3955</v>
      </c>
      <c r="Z2252" s="4">
        <v>27</v>
      </c>
      <c r="AA2252" s="4">
        <f>=ROUNDDOWN(13.5,0)</f>
      </c>
      <c r="AB2252" s="5">
        <v>2</v>
      </c>
      <c r="AC2252" s="2" t="s">
        <v>231</v>
      </c>
      <c r="AD2252" s="4"/>
      <c r="AE2252" s="4"/>
      <c r="AF2252" s="6">
        <v>63</v>
      </c>
      <c r="AG2252" s="6"/>
      <c r="AH2252" s="7">
        <v>1</v>
      </c>
      <c r="AI2252" s="4"/>
      <c r="AJ2252" s="4">
        <f>=ROUNDDOWN({0},0)</f>
      </c>
      <c r="AK2252" s="5"/>
      <c r="AL2252" s="2" t="s">
        <v>231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>
        <v>8</v>
      </c>
      <c r="BK2252" s="8">
        <v>275.31</v>
      </c>
      <c r="BL2252" s="2" t="s">
        <v>9859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9860</v>
      </c>
      <c r="BV2252" s="2" t="s">
        <v>231</v>
      </c>
      <c r="BW2252" s="2" t="s">
        <v>231</v>
      </c>
      <c r="BX2252" s="2" t="s">
        <v>231</v>
      </c>
      <c r="BY2252" s="2" t="s">
        <v>277</v>
      </c>
      <c r="BZ2252" s="2" t="s">
        <v>243</v>
      </c>
      <c r="CA2252" s="2" t="s">
        <v>3955</v>
      </c>
      <c r="CB2252" s="2" t="s">
        <v>231</v>
      </c>
      <c r="CC2252" s="2" t="s">
        <v>244</v>
      </c>
      <c r="CD2252" s="2" t="s">
        <v>231</v>
      </c>
      <c r="CE2252" s="4"/>
      <c r="CF2252" s="4">
        <v>27</v>
      </c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</row>
    <row r="2253">
      <c r="A2253" s="2" t="s">
        <v>9861</v>
      </c>
      <c r="B2253" s="2" t="s">
        <v>847</v>
      </c>
      <c r="C2253" s="2" t="s">
        <v>288</v>
      </c>
      <c r="D2253" s="2" t="s">
        <v>882</v>
      </c>
      <c r="E2253" s="2" t="s">
        <v>2191</v>
      </c>
      <c r="F2253" s="2" t="s">
        <v>9862</v>
      </c>
      <c r="G2253" s="2" t="s">
        <v>9862</v>
      </c>
      <c r="H2253" s="2" t="s">
        <v>231</v>
      </c>
      <c r="I2253" s="2" t="s">
        <v>9863</v>
      </c>
      <c r="J2253" s="2" t="s">
        <v>807</v>
      </c>
      <c r="K2253" s="2" t="s">
        <v>870</v>
      </c>
      <c r="L2253" s="3">
        <v>19.62</v>
      </c>
      <c r="M2253" s="3">
        <v>20.6</v>
      </c>
      <c r="N2253" s="3">
        <v>44.99</v>
      </c>
      <c r="O2253" s="2" t="s">
        <v>250</v>
      </c>
      <c r="P2253" s="2" t="s">
        <v>341</v>
      </c>
      <c r="Q2253" s="2" t="s">
        <v>237</v>
      </c>
      <c r="R2253" s="2" t="s">
        <v>231</v>
      </c>
      <c r="S2253" s="2" t="s">
        <v>9864</v>
      </c>
      <c r="T2253" s="2" t="s">
        <v>231</v>
      </c>
      <c r="U2253" s="2" t="s">
        <v>327</v>
      </c>
      <c r="V2253" s="2" t="s">
        <v>9865</v>
      </c>
      <c r="W2253" s="2" t="s">
        <v>676</v>
      </c>
      <c r="X2253" s="2" t="s">
        <v>231</v>
      </c>
      <c r="Y2253" s="2" t="s">
        <v>274</v>
      </c>
      <c r="Z2253" s="4">
        <v>45</v>
      </c>
      <c r="AA2253" s="4">
        <f>=ROUNDDOWN(225,0)</f>
      </c>
      <c r="AB2253" s="5">
        <v>0.2</v>
      </c>
      <c r="AC2253" s="2" t="s">
        <v>231</v>
      </c>
      <c r="AD2253" s="4"/>
      <c r="AE2253" s="4"/>
      <c r="AF2253" s="6">
        <v>63</v>
      </c>
      <c r="AG2253" s="6"/>
      <c r="AH2253" s="7">
        <v>1</v>
      </c>
      <c r="AI2253" s="4"/>
      <c r="AJ2253" s="4">
        <f>=ROUNDDOWN({0},0)</f>
      </c>
      <c r="AK2253" s="5"/>
      <c r="AL2253" s="2" t="s">
        <v>231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/>
      <c r="BD2253" s="8"/>
      <c r="BE2253" s="4"/>
      <c r="BF2253" s="8"/>
      <c r="BG2253" s="7"/>
      <c r="BH2253" s="7"/>
      <c r="BI2253" s="7"/>
      <c r="BJ2253" s="4">
        <v>3</v>
      </c>
      <c r="BK2253" s="8">
        <v>61.9</v>
      </c>
      <c r="BL2253" s="2" t="s">
        <v>2849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9866</v>
      </c>
      <c r="BV2253" s="2" t="s">
        <v>231</v>
      </c>
      <c r="BW2253" s="2" t="s">
        <v>231</v>
      </c>
      <c r="BX2253" s="2" t="s">
        <v>241</v>
      </c>
      <c r="BY2253" s="2" t="s">
        <v>277</v>
      </c>
      <c r="BZ2253" s="2" t="s">
        <v>243</v>
      </c>
      <c r="CA2253" s="2" t="s">
        <v>8485</v>
      </c>
      <c r="CB2253" s="2" t="s">
        <v>3659</v>
      </c>
      <c r="CC2253" s="2" t="s">
        <v>244</v>
      </c>
      <c r="CD2253" s="2" t="s">
        <v>231</v>
      </c>
      <c r="CE2253" s="4"/>
      <c r="CF2253" s="4">
        <v>45</v>
      </c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</row>
    <row r="2254">
      <c r="A2254" s="2" t="s">
        <v>9867</v>
      </c>
      <c r="B2254" s="2" t="s">
        <v>824</v>
      </c>
      <c r="C2254" s="2" t="s">
        <v>825</v>
      </c>
      <c r="D2254" s="2" t="s">
        <v>826</v>
      </c>
      <c r="E2254" s="2" t="s">
        <v>1060</v>
      </c>
      <c r="F2254" s="2" t="s">
        <v>9868</v>
      </c>
      <c r="G2254" s="2" t="s">
        <v>9869</v>
      </c>
      <c r="H2254" s="2" t="s">
        <v>2170</v>
      </c>
      <c r="I2254" s="2" t="s">
        <v>9870</v>
      </c>
      <c r="J2254" s="2" t="s">
        <v>658</v>
      </c>
      <c r="K2254" s="2" t="s">
        <v>2125</v>
      </c>
      <c r="L2254" s="3">
        <v>19.04</v>
      </c>
      <c r="M2254" s="3">
        <v>19.99</v>
      </c>
      <c r="N2254" s="3">
        <v>39.99</v>
      </c>
      <c r="O2254" s="2" t="s">
        <v>243</v>
      </c>
      <c r="P2254" s="2" t="s">
        <v>236</v>
      </c>
      <c r="Q2254" s="2" t="s">
        <v>237</v>
      </c>
      <c r="R2254" s="2" t="s">
        <v>231</v>
      </c>
      <c r="S2254" s="2" t="s">
        <v>9871</v>
      </c>
      <c r="T2254" s="2" t="s">
        <v>472</v>
      </c>
      <c r="U2254" s="2" t="s">
        <v>835</v>
      </c>
      <c r="V2254" s="2" t="s">
        <v>1986</v>
      </c>
      <c r="W2254" s="2" t="s">
        <v>971</v>
      </c>
      <c r="X2254" s="2" t="s">
        <v>231</v>
      </c>
      <c r="Y2254" s="2" t="s">
        <v>3347</v>
      </c>
      <c r="Z2254" s="4">
        <v>114</v>
      </c>
      <c r="AA2254" s="4">
        <f>=ROUNDDOWN({0},0)</f>
      </c>
      <c r="AB2254" s="5"/>
      <c r="AC2254" s="2" t="s">
        <v>231</v>
      </c>
      <c r="AD2254" s="4"/>
      <c r="AE2254" s="4"/>
      <c r="AF2254" s="6">
        <v>64</v>
      </c>
      <c r="AG2254" s="6"/>
      <c r="AH2254" s="7">
        <v>1</v>
      </c>
      <c r="AI2254" s="4"/>
      <c r="AJ2254" s="4">
        <f>=ROUNDDOWN({0},0)</f>
      </c>
      <c r="AK2254" s="5"/>
      <c r="AL2254" s="2" t="s">
        <v>231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/>
      <c r="BD2254" s="8"/>
      <c r="BE2254" s="4"/>
      <c r="BF2254" s="8"/>
      <c r="BG2254" s="7"/>
      <c r="BH2254" s="7"/>
      <c r="BI2254" s="7"/>
      <c r="BJ2254" s="4">
        <v>1</v>
      </c>
      <c r="BK2254" s="8">
        <v>21.9</v>
      </c>
      <c r="BL2254" s="2" t="s">
        <v>1020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9872</v>
      </c>
      <c r="BV2254" s="2" t="s">
        <v>231</v>
      </c>
      <c r="BW2254" s="2" t="s">
        <v>231</v>
      </c>
      <c r="BX2254" s="2" t="s">
        <v>241</v>
      </c>
      <c r="BY2254" s="2" t="s">
        <v>277</v>
      </c>
      <c r="BZ2254" s="2" t="s">
        <v>243</v>
      </c>
      <c r="CA2254" s="2" t="s">
        <v>3349</v>
      </c>
      <c r="CB2254" s="2" t="s">
        <v>231</v>
      </c>
      <c r="CC2254" s="2" t="s">
        <v>244</v>
      </c>
      <c r="CD2254" s="2" t="s">
        <v>231</v>
      </c>
      <c r="CE2254" s="4">
        <v>114</v>
      </c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</row>
    <row r="2255">
      <c r="A2255" s="2" t="s">
        <v>9873</v>
      </c>
      <c r="B2255" s="2" t="s">
        <v>1004</v>
      </c>
      <c r="C2255" s="2" t="s">
        <v>815</v>
      </c>
      <c r="D2255" s="2" t="s">
        <v>1922</v>
      </c>
      <c r="E2255" s="2" t="s">
        <v>1923</v>
      </c>
      <c r="F2255" s="2" t="s">
        <v>9874</v>
      </c>
      <c r="G2255" s="2" t="s">
        <v>9874</v>
      </c>
      <c r="H2255" s="2" t="s">
        <v>9874</v>
      </c>
      <c r="I2255" s="2" t="s">
        <v>9875</v>
      </c>
      <c r="J2255" s="2" t="s">
        <v>807</v>
      </c>
      <c r="K2255" s="2" t="s">
        <v>1848</v>
      </c>
      <c r="L2255" s="3">
        <v>162</v>
      </c>
      <c r="M2255" s="3">
        <v>170.1</v>
      </c>
      <c r="N2255" s="3">
        <v>349</v>
      </c>
      <c r="O2255" s="2" t="s">
        <v>243</v>
      </c>
      <c r="P2255" s="2" t="s">
        <v>270</v>
      </c>
      <c r="Q2255" s="2" t="s">
        <v>237</v>
      </c>
      <c r="R2255" s="2" t="s">
        <v>231</v>
      </c>
      <c r="S2255" s="2" t="s">
        <v>231</v>
      </c>
      <c r="T2255" s="2" t="s">
        <v>231</v>
      </c>
      <c r="U2255" s="2" t="s">
        <v>231</v>
      </c>
      <c r="V2255" s="2" t="s">
        <v>662</v>
      </c>
      <c r="W2255" s="2" t="s">
        <v>2500</v>
      </c>
      <c r="X2255" s="2" t="s">
        <v>792</v>
      </c>
      <c r="Y2255" s="2" t="s">
        <v>9876</v>
      </c>
      <c r="Z2255" s="4">
        <v>312</v>
      </c>
      <c r="AA2255" s="4">
        <f>=ROUNDDOWN(39,0)</f>
      </c>
      <c r="AB2255" s="5">
        <v>8</v>
      </c>
      <c r="AC2255" s="2" t="s">
        <v>231</v>
      </c>
      <c r="AD2255" s="4"/>
      <c r="AE2255" s="4"/>
      <c r="AF2255" s="6">
        <v>74</v>
      </c>
      <c r="AG2255" s="6">
        <v>60</v>
      </c>
      <c r="AH2255" s="7">
        <v>1</v>
      </c>
      <c r="AI2255" s="4"/>
      <c r="AJ2255" s="4">
        <f>=ROUNDDOWN({0},0)</f>
      </c>
      <c r="AK2255" s="5"/>
      <c r="AL2255" s="2" t="s">
        <v>231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231</v>
      </c>
      <c r="BD2255" s="8" t="s">
        <v>231</v>
      </c>
      <c r="BE2255" s="4" t="s">
        <v>231</v>
      </c>
      <c r="BF2255" s="8" t="s">
        <v>231</v>
      </c>
      <c r="BG2255" s="7" t="s">
        <v>231</v>
      </c>
      <c r="BH2255" s="7" t="s">
        <v>231</v>
      </c>
      <c r="BI2255" s="7"/>
      <c r="BJ2255" s="4">
        <v>29</v>
      </c>
      <c r="BK2255" s="8">
        <v>4008.19</v>
      </c>
      <c r="BL2255" s="2" t="s">
        <v>2343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9877</v>
      </c>
      <c r="BV2255" s="2" t="s">
        <v>231</v>
      </c>
      <c r="BW2255" s="2" t="s">
        <v>231</v>
      </c>
      <c r="BX2255" s="2" t="s">
        <v>231</v>
      </c>
      <c r="BY2255" s="2" t="s">
        <v>277</v>
      </c>
      <c r="BZ2255" s="2" t="s">
        <v>243</v>
      </c>
      <c r="CA2255" s="2" t="s">
        <v>9878</v>
      </c>
      <c r="CB2255" s="2" t="s">
        <v>9879</v>
      </c>
      <c r="CC2255" s="2" t="s">
        <v>244</v>
      </c>
      <c r="CD2255" s="2" t="s">
        <v>231</v>
      </c>
      <c r="CE2255" s="4"/>
      <c r="CF2255" s="4">
        <v>311</v>
      </c>
      <c r="CG2255" s="4"/>
      <c r="CH2255" s="4"/>
      <c r="CI2255" s="4">
        <v>1</v>
      </c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  <c r="HG2255" s="4"/>
      <c r="HH2255" s="4"/>
      <c r="HI2255" s="4"/>
      <c r="HJ2255" s="4"/>
      <c r="HK2255" s="4"/>
      <c r="HL2255" s="4"/>
    </row>
    <row r="2256">
      <c r="A2256" s="2" t="s">
        <v>9880</v>
      </c>
      <c r="B2256" s="2" t="s">
        <v>824</v>
      </c>
      <c r="C2256" s="2" t="s">
        <v>825</v>
      </c>
      <c r="D2256" s="2" t="s">
        <v>654</v>
      </c>
      <c r="E2256" s="2" t="s">
        <v>655</v>
      </c>
      <c r="F2256" s="2" t="s">
        <v>9874</v>
      </c>
      <c r="G2256" s="2" t="s">
        <v>9276</v>
      </c>
      <c r="H2256" s="2" t="s">
        <v>1143</v>
      </c>
      <c r="I2256" s="2" t="s">
        <v>9881</v>
      </c>
      <c r="J2256" s="2" t="s">
        <v>832</v>
      </c>
      <c r="K2256" s="2" t="s">
        <v>234</v>
      </c>
      <c r="L2256" s="3">
        <v>23.8</v>
      </c>
      <c r="M2256" s="3">
        <v>24.99</v>
      </c>
      <c r="N2256" s="3">
        <v>49.99</v>
      </c>
      <c r="O2256" s="2" t="s">
        <v>243</v>
      </c>
      <c r="P2256" s="2" t="s">
        <v>236</v>
      </c>
      <c r="Q2256" s="2" t="s">
        <v>237</v>
      </c>
      <c r="R2256" s="2" t="s">
        <v>231</v>
      </c>
      <c r="S2256" s="2" t="s">
        <v>9882</v>
      </c>
      <c r="T2256" s="2" t="s">
        <v>1432</v>
      </c>
      <c r="U2256" s="2" t="s">
        <v>835</v>
      </c>
      <c r="V2256" s="2" t="s">
        <v>239</v>
      </c>
      <c r="W2256" s="2" t="s">
        <v>691</v>
      </c>
      <c r="X2256" s="2" t="s">
        <v>273</v>
      </c>
      <c r="Y2256" s="2" t="s">
        <v>7237</v>
      </c>
      <c r="Z2256" s="4">
        <v>255</v>
      </c>
      <c r="AA2256" s="4">
        <f>=ROUNDDOWN(87.9310344827586,0)</f>
      </c>
      <c r="AB2256" s="5">
        <v>2.9</v>
      </c>
      <c r="AC2256" s="2" t="s">
        <v>231</v>
      </c>
      <c r="AD2256" s="4"/>
      <c r="AE2256" s="4"/>
      <c r="AF2256" s="6">
        <v>64</v>
      </c>
      <c r="AG2256" s="6"/>
      <c r="AH2256" s="7">
        <v>1</v>
      </c>
      <c r="AI2256" s="4"/>
      <c r="AJ2256" s="4">
        <f>=ROUNDDOWN({0},0)</f>
      </c>
      <c r="AK2256" s="5"/>
      <c r="AL2256" s="2" t="s">
        <v>231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231</v>
      </c>
      <c r="AW2256" s="8" t="s">
        <v>231</v>
      </c>
      <c r="AX2256" s="4" t="s">
        <v>231</v>
      </c>
      <c r="AY2256" s="8" t="s">
        <v>231</v>
      </c>
      <c r="AZ2256" s="7" t="s">
        <v>231</v>
      </c>
      <c r="BA2256" s="7" t="s">
        <v>231</v>
      </c>
      <c r="BB2256" s="7"/>
      <c r="BC2256" s="4" t="s">
        <v>231</v>
      </c>
      <c r="BD2256" s="8" t="s">
        <v>231</v>
      </c>
      <c r="BE2256" s="4" t="s">
        <v>231</v>
      </c>
      <c r="BF2256" s="8" t="s">
        <v>231</v>
      </c>
      <c r="BG2256" s="7" t="s">
        <v>231</v>
      </c>
      <c r="BH2256" s="7" t="s">
        <v>231</v>
      </c>
      <c r="BI2256" s="7"/>
      <c r="BJ2256" s="4">
        <v>3</v>
      </c>
      <c r="BK2256" s="8">
        <v>76.97</v>
      </c>
      <c r="BL2256" s="2" t="s">
        <v>9883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9884</v>
      </c>
      <c r="BV2256" s="2" t="s">
        <v>231</v>
      </c>
      <c r="BW2256" s="2" t="s">
        <v>231</v>
      </c>
      <c r="BX2256" s="2" t="s">
        <v>241</v>
      </c>
      <c r="BY2256" s="2" t="s">
        <v>277</v>
      </c>
      <c r="BZ2256" s="2" t="s">
        <v>243</v>
      </c>
      <c r="CA2256" s="2" t="s">
        <v>2447</v>
      </c>
      <c r="CB2256" s="2" t="s">
        <v>231</v>
      </c>
      <c r="CC2256" s="2" t="s">
        <v>244</v>
      </c>
      <c r="CD2256" s="2" t="s">
        <v>231</v>
      </c>
      <c r="CE2256" s="4">
        <v>255</v>
      </c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  <c r="HF2256" s="4"/>
      <c r="HG2256" s="4"/>
      <c r="HH2256" s="4"/>
      <c r="HI2256" s="4"/>
      <c r="HJ2256" s="4"/>
      <c r="HK2256" s="4"/>
      <c r="HL2256" s="4"/>
    </row>
    <row r="2257">
      <c r="A2257" s="2" t="s">
        <v>9885</v>
      </c>
      <c r="B2257" s="2" t="s">
        <v>824</v>
      </c>
      <c r="C2257" s="2" t="s">
        <v>825</v>
      </c>
      <c r="D2257" s="2" t="s">
        <v>654</v>
      </c>
      <c r="E2257" s="2" t="s">
        <v>655</v>
      </c>
      <c r="F2257" s="2" t="s">
        <v>9874</v>
      </c>
      <c r="G2257" s="2" t="s">
        <v>9276</v>
      </c>
      <c r="H2257" s="2" t="s">
        <v>1143</v>
      </c>
      <c r="I2257" s="2" t="s">
        <v>9881</v>
      </c>
      <c r="J2257" s="2" t="s">
        <v>658</v>
      </c>
      <c r="K2257" s="2" t="s">
        <v>234</v>
      </c>
      <c r="L2257" s="3">
        <v>28.57</v>
      </c>
      <c r="M2257" s="3">
        <v>30</v>
      </c>
      <c r="N2257" s="3">
        <v>59.99</v>
      </c>
      <c r="O2257" s="2" t="s">
        <v>243</v>
      </c>
      <c r="P2257" s="2" t="s">
        <v>236</v>
      </c>
      <c r="Q2257" s="2" t="s">
        <v>237</v>
      </c>
      <c r="R2257" s="2" t="s">
        <v>231</v>
      </c>
      <c r="S2257" s="2" t="s">
        <v>9882</v>
      </c>
      <c r="T2257" s="2" t="s">
        <v>1432</v>
      </c>
      <c r="U2257" s="2" t="s">
        <v>298</v>
      </c>
      <c r="V2257" s="2" t="s">
        <v>239</v>
      </c>
      <c r="W2257" s="2" t="s">
        <v>691</v>
      </c>
      <c r="X2257" s="2" t="s">
        <v>273</v>
      </c>
      <c r="Y2257" s="2" t="s">
        <v>7237</v>
      </c>
      <c r="Z2257" s="4">
        <v>379</v>
      </c>
      <c r="AA2257" s="4">
        <f>=ROUNDDOWN(252.666666666667,0)</f>
      </c>
      <c r="AB2257" s="5">
        <v>1.5</v>
      </c>
      <c r="AC2257" s="2" t="s">
        <v>231</v>
      </c>
      <c r="AD2257" s="4"/>
      <c r="AE2257" s="4"/>
      <c r="AF2257" s="6">
        <v>64</v>
      </c>
      <c r="AG2257" s="6"/>
      <c r="AH2257" s="7">
        <v>1</v>
      </c>
      <c r="AI2257" s="4"/>
      <c r="AJ2257" s="4">
        <f>=ROUNDDOWN({0},0)</f>
      </c>
      <c r="AK2257" s="5"/>
      <c r="AL2257" s="2" t="s">
        <v>231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231</v>
      </c>
      <c r="AW2257" s="8" t="s">
        <v>231</v>
      </c>
      <c r="AX2257" s="4" t="s">
        <v>231</v>
      </c>
      <c r="AY2257" s="8" t="s">
        <v>231</v>
      </c>
      <c r="AZ2257" s="7" t="s">
        <v>231</v>
      </c>
      <c r="BA2257" s="7" t="s">
        <v>231</v>
      </c>
      <c r="BB2257" s="7" t="s">
        <v>231</v>
      </c>
      <c r="BC2257" s="4" t="s">
        <v>231</v>
      </c>
      <c r="BD2257" s="8" t="s">
        <v>231</v>
      </c>
      <c r="BE2257" s="4" t="s">
        <v>231</v>
      </c>
      <c r="BF2257" s="8" t="s">
        <v>231</v>
      </c>
      <c r="BG2257" s="7" t="s">
        <v>231</v>
      </c>
      <c r="BH2257" s="7" t="s">
        <v>231</v>
      </c>
      <c r="BI2257" s="7"/>
      <c r="BJ2257" s="4">
        <v>3</v>
      </c>
      <c r="BK2257" s="8">
        <v>94.8</v>
      </c>
      <c r="BL2257" s="2" t="s">
        <v>322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9886</v>
      </c>
      <c r="BV2257" s="2" t="s">
        <v>231</v>
      </c>
      <c r="BW2257" s="2" t="s">
        <v>231</v>
      </c>
      <c r="BX2257" s="2" t="s">
        <v>241</v>
      </c>
      <c r="BY2257" s="2" t="s">
        <v>277</v>
      </c>
      <c r="BZ2257" s="2" t="s">
        <v>243</v>
      </c>
      <c r="CA2257" s="2" t="s">
        <v>2447</v>
      </c>
      <c r="CB2257" s="2" t="s">
        <v>231</v>
      </c>
      <c r="CC2257" s="2" t="s">
        <v>244</v>
      </c>
      <c r="CD2257" s="2" t="s">
        <v>231</v>
      </c>
      <c r="CE2257" s="4">
        <v>379</v>
      </c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  <c r="HG2257" s="4"/>
      <c r="HH2257" s="4"/>
      <c r="HI2257" s="4"/>
      <c r="HJ2257" s="4"/>
      <c r="HK2257" s="4"/>
      <c r="HL2257" s="4"/>
    </row>
    <row r="2258">
      <c r="A2258" s="2" t="s">
        <v>9887</v>
      </c>
      <c r="B2258" s="2" t="s">
        <v>824</v>
      </c>
      <c r="C2258" s="2" t="s">
        <v>825</v>
      </c>
      <c r="D2258" s="2" t="s">
        <v>826</v>
      </c>
      <c r="E2258" s="2" t="s">
        <v>827</v>
      </c>
      <c r="F2258" s="2" t="s">
        <v>9874</v>
      </c>
      <c r="G2258" s="2" t="s">
        <v>9276</v>
      </c>
      <c r="H2258" s="2" t="s">
        <v>1143</v>
      </c>
      <c r="I2258" s="2" t="s">
        <v>9888</v>
      </c>
      <c r="J2258" s="2" t="s">
        <v>658</v>
      </c>
      <c r="K2258" s="2" t="s">
        <v>234</v>
      </c>
      <c r="L2258" s="3">
        <v>23.8</v>
      </c>
      <c r="M2258" s="3">
        <v>24.99</v>
      </c>
      <c r="N2258" s="3">
        <v>49.99</v>
      </c>
      <c r="O2258" s="2" t="s">
        <v>243</v>
      </c>
      <c r="P2258" s="2" t="s">
        <v>236</v>
      </c>
      <c r="Q2258" s="2" t="s">
        <v>237</v>
      </c>
      <c r="R2258" s="2" t="s">
        <v>231</v>
      </c>
      <c r="S2258" s="2" t="s">
        <v>9882</v>
      </c>
      <c r="T2258" s="2" t="s">
        <v>1432</v>
      </c>
      <c r="U2258" s="2" t="s">
        <v>298</v>
      </c>
      <c r="V2258" s="2" t="s">
        <v>239</v>
      </c>
      <c r="W2258" s="2" t="s">
        <v>691</v>
      </c>
      <c r="X2258" s="2" t="s">
        <v>273</v>
      </c>
      <c r="Y2258" s="2" t="s">
        <v>7237</v>
      </c>
      <c r="Z2258" s="4">
        <v>135</v>
      </c>
      <c r="AA2258" s="4">
        <f>=ROUNDDOWN(1350,0)</f>
      </c>
      <c r="AB2258" s="5">
        <v>0.1</v>
      </c>
      <c r="AC2258" s="2" t="s">
        <v>231</v>
      </c>
      <c r="AD2258" s="4"/>
      <c r="AE2258" s="4"/>
      <c r="AF2258" s="6">
        <v>64</v>
      </c>
      <c r="AG2258" s="6"/>
      <c r="AH2258" s="7">
        <v>1</v>
      </c>
      <c r="AI2258" s="4"/>
      <c r="AJ2258" s="4">
        <f>=ROUNDDOWN({0},0)</f>
      </c>
      <c r="AK2258" s="5"/>
      <c r="AL2258" s="2" t="s">
        <v>231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231</v>
      </c>
      <c r="AW2258" s="8" t="s">
        <v>231</v>
      </c>
      <c r="AX2258" s="4" t="s">
        <v>231</v>
      </c>
      <c r="AY2258" s="8" t="s">
        <v>231</v>
      </c>
      <c r="AZ2258" s="7" t="s">
        <v>231</v>
      </c>
      <c r="BA2258" s="7" t="s">
        <v>231</v>
      </c>
      <c r="BB2258" s="7" t="s">
        <v>231</v>
      </c>
      <c r="BC2258" s="4" t="s">
        <v>231</v>
      </c>
      <c r="BD2258" s="8" t="s">
        <v>231</v>
      </c>
      <c r="BE2258" s="4" t="s">
        <v>231</v>
      </c>
      <c r="BF2258" s="8" t="s">
        <v>231</v>
      </c>
      <c r="BG2258" s="7" t="s">
        <v>231</v>
      </c>
      <c r="BH2258" s="7" t="s">
        <v>231</v>
      </c>
      <c r="BI2258" s="7"/>
      <c r="BJ2258" s="4">
        <v>1</v>
      </c>
      <c r="BK2258" s="8">
        <v>24.99</v>
      </c>
      <c r="BL2258" s="2" t="s">
        <v>1306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9889</v>
      </c>
      <c r="BV2258" s="2" t="s">
        <v>231</v>
      </c>
      <c r="BW2258" s="2" t="s">
        <v>231</v>
      </c>
      <c r="BX2258" s="2" t="s">
        <v>241</v>
      </c>
      <c r="BY2258" s="2" t="s">
        <v>277</v>
      </c>
      <c r="BZ2258" s="2" t="s">
        <v>243</v>
      </c>
      <c r="CA2258" s="2" t="s">
        <v>2447</v>
      </c>
      <c r="CB2258" s="2" t="s">
        <v>231</v>
      </c>
      <c r="CC2258" s="2" t="s">
        <v>244</v>
      </c>
      <c r="CD2258" s="2" t="s">
        <v>231</v>
      </c>
      <c r="CE2258" s="4">
        <v>135</v>
      </c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  <c r="HG2258" s="4"/>
      <c r="HH2258" s="4"/>
      <c r="HI2258" s="4"/>
      <c r="HJ2258" s="4"/>
      <c r="HK2258" s="4"/>
      <c r="HL2258" s="4"/>
    </row>
    <row r="2259">
      <c r="A2259" s="2" t="s">
        <v>9890</v>
      </c>
      <c r="B2259" s="2" t="s">
        <v>1004</v>
      </c>
      <c r="C2259" s="2" t="s">
        <v>288</v>
      </c>
      <c r="D2259" s="2" t="s">
        <v>1917</v>
      </c>
      <c r="E2259" s="2" t="s">
        <v>1918</v>
      </c>
      <c r="F2259" s="2" t="s">
        <v>9891</v>
      </c>
      <c r="G2259" s="2" t="s">
        <v>9892</v>
      </c>
      <c r="H2259" s="2" t="s">
        <v>9893</v>
      </c>
      <c r="I2259" s="2" t="s">
        <v>9894</v>
      </c>
      <c r="J2259" s="2" t="s">
        <v>807</v>
      </c>
      <c r="K2259" s="2" t="s">
        <v>269</v>
      </c>
      <c r="L2259" s="3">
        <v>190</v>
      </c>
      <c r="M2259" s="3">
        <v>199.5</v>
      </c>
      <c r="N2259" s="3">
        <v>399</v>
      </c>
      <c r="O2259" s="2" t="s">
        <v>243</v>
      </c>
      <c r="P2259" s="2" t="s">
        <v>270</v>
      </c>
      <c r="Q2259" s="2" t="s">
        <v>237</v>
      </c>
      <c r="R2259" s="2" t="s">
        <v>231</v>
      </c>
      <c r="S2259" s="2" t="s">
        <v>231</v>
      </c>
      <c r="T2259" s="2" t="s">
        <v>231</v>
      </c>
      <c r="U2259" s="2" t="s">
        <v>327</v>
      </c>
      <c r="V2259" s="2" t="s">
        <v>239</v>
      </c>
      <c r="W2259" s="2" t="s">
        <v>792</v>
      </c>
      <c r="X2259" s="2" t="s">
        <v>231</v>
      </c>
      <c r="Y2259" s="2" t="s">
        <v>1987</v>
      </c>
      <c r="Z2259" s="4">
        <v>87</v>
      </c>
      <c r="AA2259" s="4">
        <f>=ROUNDDOWN(45.7894736842105,0)</f>
      </c>
      <c r="AB2259" s="5">
        <v>1.9</v>
      </c>
      <c r="AC2259" s="2" t="s">
        <v>1137</v>
      </c>
      <c r="AD2259" s="4">
        <v>100</v>
      </c>
      <c r="AE2259" s="4">
        <v>100</v>
      </c>
      <c r="AF2259" s="6">
        <v>66</v>
      </c>
      <c r="AG2259" s="6"/>
      <c r="AH2259" s="7">
        <v>1</v>
      </c>
      <c r="AI2259" s="4"/>
      <c r="AJ2259" s="4">
        <f>=ROUNDDOWN({0},0)</f>
      </c>
      <c r="AK2259" s="5"/>
      <c r="AL2259" s="2" t="s">
        <v>231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/>
      <c r="BD2259" s="8"/>
      <c r="BE2259" s="4"/>
      <c r="BF2259" s="8"/>
      <c r="BG2259" s="7"/>
      <c r="BH2259" s="7"/>
      <c r="BI2259" s="7"/>
      <c r="BJ2259" s="4">
        <v>8</v>
      </c>
      <c r="BK2259" s="8">
        <v>1141.81</v>
      </c>
      <c r="BL2259" s="2" t="s">
        <v>628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9895</v>
      </c>
      <c r="BV2259" s="2" t="s">
        <v>231</v>
      </c>
      <c r="BW2259" s="2" t="s">
        <v>231</v>
      </c>
      <c r="BX2259" s="2" t="s">
        <v>1812</v>
      </c>
      <c r="BY2259" s="2" t="s">
        <v>277</v>
      </c>
      <c r="BZ2259" s="2" t="s">
        <v>243</v>
      </c>
      <c r="CA2259" s="2" t="s">
        <v>9896</v>
      </c>
      <c r="CB2259" s="2" t="s">
        <v>1422</v>
      </c>
      <c r="CC2259" s="2" t="s">
        <v>244</v>
      </c>
      <c r="CD2259" s="2" t="s">
        <v>231</v>
      </c>
      <c r="CE2259" s="4"/>
      <c r="CF2259" s="4">
        <v>87</v>
      </c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>
        <v>100</v>
      </c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</row>
    <row r="2260">
      <c r="A2260" s="2" t="s">
        <v>9897</v>
      </c>
      <c r="B2260" s="2" t="s">
        <v>801</v>
      </c>
      <c r="C2260" s="2" t="s">
        <v>802</v>
      </c>
      <c r="D2260" s="2" t="s">
        <v>803</v>
      </c>
      <c r="E2260" s="2" t="s">
        <v>804</v>
      </c>
      <c r="F2260" s="2" t="s">
        <v>9898</v>
      </c>
      <c r="G2260" s="2" t="s">
        <v>9898</v>
      </c>
      <c r="H2260" s="2" t="s">
        <v>9898</v>
      </c>
      <c r="I2260" s="2" t="s">
        <v>9899</v>
      </c>
      <c r="J2260" s="2" t="s">
        <v>807</v>
      </c>
      <c r="K2260" s="2" t="s">
        <v>1118</v>
      </c>
      <c r="L2260" s="3">
        <v>180</v>
      </c>
      <c r="M2260" s="3">
        <v>189</v>
      </c>
      <c r="N2260" s="3">
        <v>379.99</v>
      </c>
      <c r="O2260" s="2" t="s">
        <v>243</v>
      </c>
      <c r="P2260" s="2" t="s">
        <v>1915</v>
      </c>
      <c r="Q2260" s="2" t="s">
        <v>237</v>
      </c>
      <c r="R2260" s="2" t="s">
        <v>231</v>
      </c>
      <c r="S2260" s="2" t="s">
        <v>231</v>
      </c>
      <c r="T2260" s="2" t="s">
        <v>231</v>
      </c>
      <c r="U2260" s="2" t="s">
        <v>327</v>
      </c>
      <c r="V2260" s="2" t="s">
        <v>662</v>
      </c>
      <c r="W2260" s="2" t="s">
        <v>691</v>
      </c>
      <c r="X2260" s="2" t="s">
        <v>792</v>
      </c>
      <c r="Y2260" s="2" t="s">
        <v>231</v>
      </c>
      <c r="Z2260" s="4"/>
      <c r="AA2260" s="4">
        <f>=ROUNDDOWN({0},0)</f>
      </c>
      <c r="AB2260" s="5"/>
      <c r="AC2260" s="2" t="s">
        <v>223</v>
      </c>
      <c r="AD2260" s="4">
        <v>150</v>
      </c>
      <c r="AE2260" s="4">
        <v>150</v>
      </c>
      <c r="AF2260" s="6">
        <v>72</v>
      </c>
      <c r="AG2260" s="6"/>
      <c r="AH2260" s="7">
        <v>0</v>
      </c>
      <c r="AI2260" s="4"/>
      <c r="AJ2260" s="4">
        <f>=ROUNDDOWN({0},0)</f>
      </c>
      <c r="AK2260" s="5"/>
      <c r="AL2260" s="2" t="s">
        <v>231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/>
      <c r="BD2260" s="8"/>
      <c r="BE2260" s="4"/>
      <c r="BF2260" s="8"/>
      <c r="BG2260" s="7"/>
      <c r="BH2260" s="7"/>
      <c r="BI2260" s="7"/>
      <c r="BJ2260" s="4"/>
      <c r="BK2260" s="8"/>
      <c r="BL2260" s="2" t="s">
        <v>231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241</v>
      </c>
      <c r="BV2260" s="2" t="s">
        <v>231</v>
      </c>
      <c r="BW2260" s="2" t="s">
        <v>231</v>
      </c>
      <c r="BX2260" s="2" t="s">
        <v>241</v>
      </c>
      <c r="BY2260" s="2" t="s">
        <v>242</v>
      </c>
      <c r="BZ2260" s="2" t="s">
        <v>243</v>
      </c>
      <c r="CA2260" s="2" t="s">
        <v>231</v>
      </c>
      <c r="CB2260" s="2" t="s">
        <v>231</v>
      </c>
      <c r="CC2260" s="2" t="s">
        <v>244</v>
      </c>
      <c r="CD2260" s="2" t="s">
        <v>231</v>
      </c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>
        <v>150</v>
      </c>
      <c r="HG2260" s="4"/>
      <c r="HH2260" s="4"/>
      <c r="HI2260" s="4"/>
      <c r="HJ2260" s="4"/>
      <c r="HK2260" s="4"/>
      <c r="HL2260" s="4"/>
    </row>
    <row r="2261">
      <c r="A2261" s="2" t="s">
        <v>9900</v>
      </c>
      <c r="B2261" s="2" t="s">
        <v>1186</v>
      </c>
      <c r="C2261" s="2" t="s">
        <v>3461</v>
      </c>
      <c r="D2261" s="2" t="s">
        <v>654</v>
      </c>
      <c r="E2261" s="2" t="s">
        <v>890</v>
      </c>
      <c r="F2261" s="2" t="s">
        <v>9901</v>
      </c>
      <c r="G2261" s="2" t="s">
        <v>9901</v>
      </c>
      <c r="H2261" s="2" t="s">
        <v>9901</v>
      </c>
      <c r="I2261" s="2" t="s">
        <v>9902</v>
      </c>
      <c r="J2261" s="2" t="s">
        <v>658</v>
      </c>
      <c r="K2261" s="2" t="s">
        <v>253</v>
      </c>
      <c r="L2261" s="3">
        <v>72</v>
      </c>
      <c r="M2261" s="3">
        <v>75.6</v>
      </c>
      <c r="N2261" s="3">
        <v>159.99</v>
      </c>
      <c r="O2261" s="2" t="s">
        <v>250</v>
      </c>
      <c r="P2261" s="2" t="s">
        <v>341</v>
      </c>
      <c r="Q2261" s="2" t="s">
        <v>237</v>
      </c>
      <c r="R2261" s="2" t="s">
        <v>231</v>
      </c>
      <c r="S2261" s="2" t="s">
        <v>9903</v>
      </c>
      <c r="T2261" s="2" t="s">
        <v>231</v>
      </c>
      <c r="U2261" s="2" t="s">
        <v>835</v>
      </c>
      <c r="V2261" s="2" t="s">
        <v>239</v>
      </c>
      <c r="W2261" s="2" t="s">
        <v>691</v>
      </c>
      <c r="X2261" s="2" t="s">
        <v>3224</v>
      </c>
      <c r="Y2261" s="2" t="s">
        <v>5926</v>
      </c>
      <c r="Z2261" s="4">
        <v>27</v>
      </c>
      <c r="AA2261" s="4">
        <f>=ROUNDDOWN(19.2857142857143,0)</f>
      </c>
      <c r="AB2261" s="5">
        <v>1.4</v>
      </c>
      <c r="AC2261" s="2" t="s">
        <v>231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231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/>
      <c r="BD2261" s="8"/>
      <c r="BE2261" s="4"/>
      <c r="BF2261" s="8"/>
      <c r="BG2261" s="7"/>
      <c r="BH2261" s="7"/>
      <c r="BI2261" s="7"/>
      <c r="BJ2261" s="4">
        <v>4</v>
      </c>
      <c r="BK2261" s="8">
        <v>206.4</v>
      </c>
      <c r="BL2261" s="2" t="s">
        <v>924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9904</v>
      </c>
      <c r="BV2261" s="2" t="s">
        <v>231</v>
      </c>
      <c r="BW2261" s="2" t="s">
        <v>231</v>
      </c>
      <c r="BX2261" s="2" t="s">
        <v>231</v>
      </c>
      <c r="BY2261" s="2" t="s">
        <v>277</v>
      </c>
      <c r="BZ2261" s="2" t="s">
        <v>243</v>
      </c>
      <c r="CA2261" s="2" t="s">
        <v>8589</v>
      </c>
      <c r="CB2261" s="2" t="s">
        <v>2826</v>
      </c>
      <c r="CC2261" s="2" t="s">
        <v>244</v>
      </c>
      <c r="CD2261" s="2" t="s">
        <v>231</v>
      </c>
      <c r="CE2261" s="4">
        <v>27</v>
      </c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</row>
    <row r="2262">
      <c r="A2262" s="2" t="s">
        <v>9905</v>
      </c>
      <c r="B2262" s="2" t="s">
        <v>801</v>
      </c>
      <c r="C2262" s="2" t="s">
        <v>815</v>
      </c>
      <c r="D2262" s="2" t="s">
        <v>1043</v>
      </c>
      <c r="E2262" s="2" t="s">
        <v>1044</v>
      </c>
      <c r="F2262" s="2" t="s">
        <v>9906</v>
      </c>
      <c r="G2262" s="2" t="s">
        <v>9906</v>
      </c>
      <c r="H2262" s="2" t="s">
        <v>9906</v>
      </c>
      <c r="I2262" s="2" t="s">
        <v>9907</v>
      </c>
      <c r="J2262" s="2" t="s">
        <v>807</v>
      </c>
      <c r="K2262" s="2" t="s">
        <v>8585</v>
      </c>
      <c r="L2262" s="3">
        <v>62</v>
      </c>
      <c r="M2262" s="3">
        <v>65.1</v>
      </c>
      <c r="N2262" s="3">
        <v>129.99</v>
      </c>
      <c r="O2262" s="2" t="s">
        <v>243</v>
      </c>
      <c r="P2262" s="2" t="s">
        <v>341</v>
      </c>
      <c r="Q2262" s="2" t="s">
        <v>237</v>
      </c>
      <c r="R2262" s="2" t="s">
        <v>231</v>
      </c>
      <c r="S2262" s="2" t="s">
        <v>231</v>
      </c>
      <c r="T2262" s="2" t="s">
        <v>231</v>
      </c>
      <c r="U2262" s="2" t="s">
        <v>327</v>
      </c>
      <c r="V2262" s="2" t="s">
        <v>662</v>
      </c>
      <c r="W2262" s="2" t="s">
        <v>691</v>
      </c>
      <c r="X2262" s="2" t="s">
        <v>1794</v>
      </c>
      <c r="Y2262" s="2" t="s">
        <v>1617</v>
      </c>
      <c r="Z2262" s="4">
        <v>85</v>
      </c>
      <c r="AA2262" s="4">
        <f>=ROUNDDOWN({0},0)</f>
      </c>
      <c r="AB2262" s="5"/>
      <c r="AC2262" s="2" t="s">
        <v>231</v>
      </c>
      <c r="AD2262" s="4"/>
      <c r="AE2262" s="4"/>
      <c r="AF2262" s="6">
        <v>63</v>
      </c>
      <c r="AG2262" s="6"/>
      <c r="AH2262" s="7">
        <v>1</v>
      </c>
      <c r="AI2262" s="4"/>
      <c r="AJ2262" s="4">
        <f>=ROUNDDOWN({0},0)</f>
      </c>
      <c r="AK2262" s="5"/>
      <c r="AL2262" s="2" t="s">
        <v>231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/>
      <c r="BD2262" s="8"/>
      <c r="BE2262" s="4"/>
      <c r="BF2262" s="8"/>
      <c r="BG2262" s="7"/>
      <c r="BH2262" s="7"/>
      <c r="BI2262" s="7"/>
      <c r="BJ2262" s="4"/>
      <c r="BK2262" s="8"/>
      <c r="BL2262" s="2" t="s">
        <v>1306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9908</v>
      </c>
      <c r="BV2262" s="2" t="s">
        <v>231</v>
      </c>
      <c r="BW2262" s="2" t="s">
        <v>231</v>
      </c>
      <c r="BX2262" s="2" t="s">
        <v>231</v>
      </c>
      <c r="BY2262" s="2" t="s">
        <v>277</v>
      </c>
      <c r="BZ2262" s="2" t="s">
        <v>243</v>
      </c>
      <c r="CA2262" s="2" t="s">
        <v>1797</v>
      </c>
      <c r="CB2262" s="2" t="s">
        <v>921</v>
      </c>
      <c r="CC2262" s="2" t="s">
        <v>244</v>
      </c>
      <c r="CD2262" s="2" t="s">
        <v>231</v>
      </c>
      <c r="CE2262" s="4"/>
      <c r="CF2262" s="4">
        <v>85</v>
      </c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</row>
    <row r="2263">
      <c r="A2263" s="2" t="s">
        <v>9909</v>
      </c>
      <c r="B2263" s="2" t="s">
        <v>226</v>
      </c>
      <c r="C2263" s="2" t="s">
        <v>1299</v>
      </c>
      <c r="D2263" s="2" t="s">
        <v>654</v>
      </c>
      <c r="E2263" s="2" t="s">
        <v>655</v>
      </c>
      <c r="F2263" s="2" t="s">
        <v>9910</v>
      </c>
      <c r="G2263" s="2" t="s">
        <v>9910</v>
      </c>
      <c r="H2263" s="2" t="s">
        <v>9910</v>
      </c>
      <c r="I2263" s="2" t="s">
        <v>9911</v>
      </c>
      <c r="J2263" s="2" t="s">
        <v>318</v>
      </c>
      <c r="K2263" s="2" t="s">
        <v>255</v>
      </c>
      <c r="L2263" s="3">
        <v>43.9</v>
      </c>
      <c r="M2263" s="3">
        <v>46.1</v>
      </c>
      <c r="N2263" s="3">
        <v>91.99</v>
      </c>
      <c r="O2263" s="2" t="s">
        <v>243</v>
      </c>
      <c r="P2263" s="2" t="s">
        <v>341</v>
      </c>
      <c r="Q2263" s="2" t="s">
        <v>237</v>
      </c>
      <c r="R2263" s="2" t="s">
        <v>231</v>
      </c>
      <c r="S2263" s="2" t="s">
        <v>9912</v>
      </c>
      <c r="T2263" s="2" t="s">
        <v>1630</v>
      </c>
      <c r="U2263" s="2" t="s">
        <v>835</v>
      </c>
      <c r="V2263" s="2" t="s">
        <v>239</v>
      </c>
      <c r="W2263" s="2" t="s">
        <v>971</v>
      </c>
      <c r="X2263" s="2" t="s">
        <v>676</v>
      </c>
      <c r="Y2263" s="2" t="s">
        <v>9913</v>
      </c>
      <c r="Z2263" s="4">
        <v>72</v>
      </c>
      <c r="AA2263" s="4">
        <f>=ROUNDDOWN(36,0)</f>
      </c>
      <c r="AB2263" s="5">
        <v>2</v>
      </c>
      <c r="AC2263" s="2" t="s">
        <v>231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231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231</v>
      </c>
      <c r="AW2263" s="8" t="s">
        <v>231</v>
      </c>
      <c r="AX2263" s="4" t="s">
        <v>231</v>
      </c>
      <c r="AY2263" s="8" t="s">
        <v>231</v>
      </c>
      <c r="AZ2263" s="7" t="s">
        <v>231</v>
      </c>
      <c r="BA2263" s="7" t="s">
        <v>231</v>
      </c>
      <c r="BB2263" s="7"/>
      <c r="BC2263" s="4" t="s">
        <v>231</v>
      </c>
      <c r="BD2263" s="8" t="s">
        <v>231</v>
      </c>
      <c r="BE2263" s="4" t="s">
        <v>231</v>
      </c>
      <c r="BF2263" s="8" t="s">
        <v>231</v>
      </c>
      <c r="BG2263" s="7" t="s">
        <v>231</v>
      </c>
      <c r="BH2263" s="7" t="s">
        <v>231</v>
      </c>
      <c r="BI2263" s="7"/>
      <c r="BJ2263" s="4">
        <v>6</v>
      </c>
      <c r="BK2263" s="8">
        <v>295.92</v>
      </c>
      <c r="BL2263" s="2" t="s">
        <v>4392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9914</v>
      </c>
      <c r="BV2263" s="2" t="s">
        <v>231</v>
      </c>
      <c r="BW2263" s="2" t="s">
        <v>231</v>
      </c>
      <c r="BX2263" s="2" t="s">
        <v>1360</v>
      </c>
      <c r="BY2263" s="2" t="s">
        <v>277</v>
      </c>
      <c r="BZ2263" s="2" t="s">
        <v>243</v>
      </c>
      <c r="CA2263" s="2" t="s">
        <v>1326</v>
      </c>
      <c r="CB2263" s="2" t="s">
        <v>667</v>
      </c>
      <c r="CC2263" s="2" t="s">
        <v>244</v>
      </c>
      <c r="CD2263" s="2" t="s">
        <v>231</v>
      </c>
      <c r="CE2263" s="4">
        <v>72</v>
      </c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</row>
    <row r="2264">
      <c r="A2264" s="2" t="s">
        <v>9915</v>
      </c>
      <c r="B2264" s="2" t="s">
        <v>226</v>
      </c>
      <c r="C2264" s="2" t="s">
        <v>1299</v>
      </c>
      <c r="D2264" s="2" t="s">
        <v>654</v>
      </c>
      <c r="E2264" s="2" t="s">
        <v>655</v>
      </c>
      <c r="F2264" s="2" t="s">
        <v>9910</v>
      </c>
      <c r="G2264" s="2" t="s">
        <v>9910</v>
      </c>
      <c r="H2264" s="2" t="s">
        <v>9910</v>
      </c>
      <c r="I2264" s="2" t="s">
        <v>9911</v>
      </c>
      <c r="J2264" s="2" t="s">
        <v>658</v>
      </c>
      <c r="K2264" s="2" t="s">
        <v>255</v>
      </c>
      <c r="L2264" s="3">
        <v>56.45</v>
      </c>
      <c r="M2264" s="3">
        <v>59.27</v>
      </c>
      <c r="N2264" s="3">
        <v>118.99</v>
      </c>
      <c r="O2264" s="2" t="s">
        <v>243</v>
      </c>
      <c r="P2264" s="2" t="s">
        <v>341</v>
      </c>
      <c r="Q2264" s="2" t="s">
        <v>237</v>
      </c>
      <c r="R2264" s="2" t="s">
        <v>231</v>
      </c>
      <c r="S2264" s="2" t="s">
        <v>9912</v>
      </c>
      <c r="T2264" s="2" t="s">
        <v>1630</v>
      </c>
      <c r="U2264" s="2" t="s">
        <v>298</v>
      </c>
      <c r="V2264" s="2" t="s">
        <v>239</v>
      </c>
      <c r="W2264" s="2" t="s">
        <v>971</v>
      </c>
      <c r="X2264" s="2" t="s">
        <v>676</v>
      </c>
      <c r="Y2264" s="2" t="s">
        <v>9913</v>
      </c>
      <c r="Z2264" s="4">
        <v>138</v>
      </c>
      <c r="AA2264" s="4">
        <f>=ROUNDDOWN(23,0)</f>
      </c>
      <c r="AB2264" s="5">
        <v>6</v>
      </c>
      <c r="AC2264" s="2" t="s">
        <v>231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231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231</v>
      </c>
      <c r="AW2264" s="8" t="s">
        <v>231</v>
      </c>
      <c r="AX2264" s="4" t="s">
        <v>231</v>
      </c>
      <c r="AY2264" s="8" t="s">
        <v>231</v>
      </c>
      <c r="AZ2264" s="7" t="s">
        <v>231</v>
      </c>
      <c r="BA2264" s="7" t="s">
        <v>231</v>
      </c>
      <c r="BB2264" s="7"/>
      <c r="BC2264" s="4" t="s">
        <v>231</v>
      </c>
      <c r="BD2264" s="8" t="s">
        <v>231</v>
      </c>
      <c r="BE2264" s="4" t="s">
        <v>231</v>
      </c>
      <c r="BF2264" s="8" t="s">
        <v>231</v>
      </c>
      <c r="BG2264" s="7" t="s">
        <v>231</v>
      </c>
      <c r="BH2264" s="7" t="s">
        <v>231</v>
      </c>
      <c r="BI2264" s="7"/>
      <c r="BJ2264" s="4">
        <v>11</v>
      </c>
      <c r="BK2264" s="8">
        <v>595.9</v>
      </c>
      <c r="BL2264" s="2" t="s">
        <v>7495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9916</v>
      </c>
      <c r="BV2264" s="2" t="s">
        <v>231</v>
      </c>
      <c r="BW2264" s="2" t="s">
        <v>231</v>
      </c>
      <c r="BX2264" s="2" t="s">
        <v>1360</v>
      </c>
      <c r="BY2264" s="2" t="s">
        <v>277</v>
      </c>
      <c r="BZ2264" s="2" t="s">
        <v>243</v>
      </c>
      <c r="CA2264" s="2" t="s">
        <v>1326</v>
      </c>
      <c r="CB2264" s="2" t="s">
        <v>813</v>
      </c>
      <c r="CC2264" s="2" t="s">
        <v>244</v>
      </c>
      <c r="CD2264" s="2" t="s">
        <v>231</v>
      </c>
      <c r="CE2264" s="4">
        <v>138</v>
      </c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</row>
    <row r="2265">
      <c r="A2265" s="2" t="s">
        <v>9917</v>
      </c>
      <c r="B2265" s="2" t="s">
        <v>1186</v>
      </c>
      <c r="C2265" s="2" t="s">
        <v>288</v>
      </c>
      <c r="D2265" s="2" t="s">
        <v>654</v>
      </c>
      <c r="E2265" s="2" t="s">
        <v>890</v>
      </c>
      <c r="F2265" s="2" t="s">
        <v>9918</v>
      </c>
      <c r="G2265" s="2" t="s">
        <v>9919</v>
      </c>
      <c r="H2265" s="2" t="s">
        <v>9920</v>
      </c>
      <c r="I2265" s="2" t="s">
        <v>9921</v>
      </c>
      <c r="J2265" s="2" t="s">
        <v>658</v>
      </c>
      <c r="K2265" s="2" t="s">
        <v>306</v>
      </c>
      <c r="L2265" s="3">
        <v>47.61</v>
      </c>
      <c r="M2265" s="3">
        <v>49.99</v>
      </c>
      <c r="N2265" s="3">
        <v>99.99</v>
      </c>
      <c r="O2265" s="2" t="s">
        <v>243</v>
      </c>
      <c r="P2265" s="2" t="s">
        <v>236</v>
      </c>
      <c r="Q2265" s="2" t="s">
        <v>237</v>
      </c>
      <c r="R2265" s="2" t="s">
        <v>231</v>
      </c>
      <c r="S2265" s="2" t="s">
        <v>9922</v>
      </c>
      <c r="T2265" s="2" t="s">
        <v>1432</v>
      </c>
      <c r="U2265" s="2" t="s">
        <v>835</v>
      </c>
      <c r="V2265" s="2" t="s">
        <v>1828</v>
      </c>
      <c r="W2265" s="2" t="s">
        <v>971</v>
      </c>
      <c r="X2265" s="2" t="s">
        <v>2897</v>
      </c>
      <c r="Y2265" s="2" t="s">
        <v>9808</v>
      </c>
      <c r="Z2265" s="4">
        <v>416</v>
      </c>
      <c r="AA2265" s="4">
        <f>=ROUNDDOWN(173.333333333333,0)</f>
      </c>
      <c r="AB2265" s="5">
        <v>2.4</v>
      </c>
      <c r="AC2265" s="2" t="s">
        <v>231</v>
      </c>
      <c r="AD2265" s="4"/>
      <c r="AE2265" s="4"/>
      <c r="AF2265" s="6">
        <v>64</v>
      </c>
      <c r="AG2265" s="6"/>
      <c r="AH2265" s="7">
        <v>1</v>
      </c>
      <c r="AI2265" s="4"/>
      <c r="AJ2265" s="4">
        <f>=ROUNDDOWN({0},0)</f>
      </c>
      <c r="AK2265" s="5"/>
      <c r="AL2265" s="2" t="s">
        <v>231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231</v>
      </c>
      <c r="AW2265" s="8" t="s">
        <v>231</v>
      </c>
      <c r="AX2265" s="4" t="s">
        <v>231</v>
      </c>
      <c r="AY2265" s="8" t="s">
        <v>231</v>
      </c>
      <c r="AZ2265" s="7" t="s">
        <v>231</v>
      </c>
      <c r="BA2265" s="7" t="s">
        <v>231</v>
      </c>
      <c r="BB2265" s="7"/>
      <c r="BC2265" s="4" t="s">
        <v>231</v>
      </c>
      <c r="BD2265" s="8" t="s">
        <v>231</v>
      </c>
      <c r="BE2265" s="4" t="s">
        <v>231</v>
      </c>
      <c r="BF2265" s="8" t="s">
        <v>231</v>
      </c>
      <c r="BG2265" s="7" t="s">
        <v>231</v>
      </c>
      <c r="BH2265" s="7" t="s">
        <v>231</v>
      </c>
      <c r="BI2265" s="7"/>
      <c r="BJ2265" s="4">
        <v>8</v>
      </c>
      <c r="BK2265" s="8">
        <v>426.42</v>
      </c>
      <c r="BL2265" s="2" t="s">
        <v>9923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9924</v>
      </c>
      <c r="BV2265" s="2" t="s">
        <v>231</v>
      </c>
      <c r="BW2265" s="2" t="s">
        <v>231</v>
      </c>
      <c r="BX2265" s="2" t="s">
        <v>241</v>
      </c>
      <c r="BY2265" s="2" t="s">
        <v>277</v>
      </c>
      <c r="BZ2265" s="2" t="s">
        <v>243</v>
      </c>
      <c r="CA2265" s="2" t="s">
        <v>2735</v>
      </c>
      <c r="CB2265" s="2" t="s">
        <v>231</v>
      </c>
      <c r="CC2265" s="2" t="s">
        <v>244</v>
      </c>
      <c r="CD2265" s="2" t="s">
        <v>231</v>
      </c>
      <c r="CE2265" s="4">
        <v>416</v>
      </c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</row>
    <row r="2266">
      <c r="A2266" s="2" t="s">
        <v>9925</v>
      </c>
      <c r="B2266" s="2" t="s">
        <v>1186</v>
      </c>
      <c r="C2266" s="2" t="s">
        <v>288</v>
      </c>
      <c r="D2266" s="2" t="s">
        <v>654</v>
      </c>
      <c r="E2266" s="2" t="s">
        <v>890</v>
      </c>
      <c r="F2266" s="2" t="s">
        <v>9918</v>
      </c>
      <c r="G2266" s="2" t="s">
        <v>9919</v>
      </c>
      <c r="H2266" s="2" t="s">
        <v>9920</v>
      </c>
      <c r="I2266" s="2" t="s">
        <v>9921</v>
      </c>
      <c r="J2266" s="2" t="s">
        <v>669</v>
      </c>
      <c r="K2266" s="2" t="s">
        <v>306</v>
      </c>
      <c r="L2266" s="3">
        <v>57.14</v>
      </c>
      <c r="M2266" s="3">
        <v>60</v>
      </c>
      <c r="N2266" s="3">
        <v>119.99</v>
      </c>
      <c r="O2266" s="2" t="s">
        <v>243</v>
      </c>
      <c r="P2266" s="2" t="s">
        <v>236</v>
      </c>
      <c r="Q2266" s="2" t="s">
        <v>237</v>
      </c>
      <c r="R2266" s="2" t="s">
        <v>231</v>
      </c>
      <c r="S2266" s="2" t="s">
        <v>9922</v>
      </c>
      <c r="T2266" s="2" t="s">
        <v>1432</v>
      </c>
      <c r="U2266" s="2" t="s">
        <v>835</v>
      </c>
      <c r="V2266" s="2" t="s">
        <v>1828</v>
      </c>
      <c r="W2266" s="2" t="s">
        <v>971</v>
      </c>
      <c r="X2266" s="2" t="s">
        <v>2897</v>
      </c>
      <c r="Y2266" s="2" t="s">
        <v>9808</v>
      </c>
      <c r="Z2266" s="4">
        <v>535</v>
      </c>
      <c r="AA2266" s="4">
        <f>=ROUNDDOWN(594.444444444444,0)</f>
      </c>
      <c r="AB2266" s="5">
        <v>0.9</v>
      </c>
      <c r="AC2266" s="2" t="s">
        <v>231</v>
      </c>
      <c r="AD2266" s="4"/>
      <c r="AE2266" s="4"/>
      <c r="AF2266" s="6">
        <v>64</v>
      </c>
      <c r="AG2266" s="6"/>
      <c r="AH2266" s="7">
        <v>1</v>
      </c>
      <c r="AI2266" s="4"/>
      <c r="AJ2266" s="4">
        <f>=ROUNDDOWN({0},0)</f>
      </c>
      <c r="AK2266" s="5"/>
      <c r="AL2266" s="2" t="s">
        <v>231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 t="s">
        <v>231</v>
      </c>
      <c r="AW2266" s="8" t="s">
        <v>231</v>
      </c>
      <c r="AX2266" s="4" t="s">
        <v>231</v>
      </c>
      <c r="AY2266" s="8" t="s">
        <v>231</v>
      </c>
      <c r="AZ2266" s="7" t="s">
        <v>231</v>
      </c>
      <c r="BA2266" s="7" t="s">
        <v>231</v>
      </c>
      <c r="BB2266" s="7"/>
      <c r="BC2266" s="4" t="s">
        <v>231</v>
      </c>
      <c r="BD2266" s="8" t="s">
        <v>231</v>
      </c>
      <c r="BE2266" s="4" t="s">
        <v>231</v>
      </c>
      <c r="BF2266" s="8" t="s">
        <v>231</v>
      </c>
      <c r="BG2266" s="7" t="s">
        <v>231</v>
      </c>
      <c r="BH2266" s="7" t="s">
        <v>231</v>
      </c>
      <c r="BI2266" s="7"/>
      <c r="BJ2266" s="4">
        <v>5</v>
      </c>
      <c r="BK2266" s="8">
        <v>317.4</v>
      </c>
      <c r="BL2266" s="2" t="s">
        <v>9926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9927</v>
      </c>
      <c r="BV2266" s="2" t="s">
        <v>231</v>
      </c>
      <c r="BW2266" s="2" t="s">
        <v>231</v>
      </c>
      <c r="BX2266" s="2" t="s">
        <v>241</v>
      </c>
      <c r="BY2266" s="2" t="s">
        <v>277</v>
      </c>
      <c r="BZ2266" s="2" t="s">
        <v>243</v>
      </c>
      <c r="CA2266" s="2" t="s">
        <v>2735</v>
      </c>
      <c r="CB2266" s="2" t="s">
        <v>231</v>
      </c>
      <c r="CC2266" s="2" t="s">
        <v>244</v>
      </c>
      <c r="CD2266" s="2" t="s">
        <v>231</v>
      </c>
      <c r="CE2266" s="4">
        <v>535</v>
      </c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/>
      <c r="HJ2266" s="4"/>
      <c r="HK2266" s="4"/>
      <c r="HL2266" s="4"/>
    </row>
    <row r="2267">
      <c r="A2267" s="2" t="s">
        <v>9928</v>
      </c>
      <c r="B2267" s="2" t="s">
        <v>1004</v>
      </c>
      <c r="C2267" s="2" t="s">
        <v>815</v>
      </c>
      <c r="D2267" s="2" t="s">
        <v>1689</v>
      </c>
      <c r="E2267" s="2" t="s">
        <v>2651</v>
      </c>
      <c r="F2267" s="2" t="s">
        <v>9929</v>
      </c>
      <c r="G2267" s="2" t="s">
        <v>9929</v>
      </c>
      <c r="H2267" s="2" t="s">
        <v>9929</v>
      </c>
      <c r="I2267" s="2" t="s">
        <v>9930</v>
      </c>
      <c r="J2267" s="2" t="s">
        <v>807</v>
      </c>
      <c r="K2267" s="2" t="s">
        <v>901</v>
      </c>
      <c r="L2267" s="3">
        <v>133.24</v>
      </c>
      <c r="M2267" s="3">
        <v>139.9</v>
      </c>
      <c r="N2267" s="3">
        <v>279</v>
      </c>
      <c r="O2267" s="2" t="s">
        <v>243</v>
      </c>
      <c r="P2267" s="2" t="s">
        <v>1985</v>
      </c>
      <c r="Q2267" s="2" t="s">
        <v>237</v>
      </c>
      <c r="R2267" s="2" t="s">
        <v>231</v>
      </c>
      <c r="S2267" s="2" t="s">
        <v>231</v>
      </c>
      <c r="T2267" s="2" t="s">
        <v>231</v>
      </c>
      <c r="U2267" s="2" t="s">
        <v>327</v>
      </c>
      <c r="V2267" s="2" t="s">
        <v>662</v>
      </c>
      <c r="W2267" s="2" t="s">
        <v>273</v>
      </c>
      <c r="X2267" s="2" t="s">
        <v>808</v>
      </c>
      <c r="Y2267" s="2" t="s">
        <v>7364</v>
      </c>
      <c r="Z2267" s="4">
        <v>93</v>
      </c>
      <c r="AA2267" s="4">
        <f>=ROUNDDOWN(93,0)</f>
      </c>
      <c r="AB2267" s="5">
        <v>1</v>
      </c>
      <c r="AC2267" s="2" t="s">
        <v>231</v>
      </c>
      <c r="AD2267" s="4"/>
      <c r="AE2267" s="4"/>
      <c r="AF2267" s="6">
        <v>69</v>
      </c>
      <c r="AG2267" s="6"/>
      <c r="AH2267" s="7">
        <v>1</v>
      </c>
      <c r="AI2267" s="4"/>
      <c r="AJ2267" s="4">
        <f>=ROUNDDOWN({0},0)</f>
      </c>
      <c r="AK2267" s="5"/>
      <c r="AL2267" s="2" t="s">
        <v>231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/>
      <c r="BD2267" s="8"/>
      <c r="BE2267" s="4"/>
      <c r="BF2267" s="8"/>
      <c r="BG2267" s="7"/>
      <c r="BH2267" s="7"/>
      <c r="BI2267" s="7"/>
      <c r="BJ2267" s="4">
        <v>3</v>
      </c>
      <c r="BK2267" s="8">
        <v>370.05</v>
      </c>
      <c r="BL2267" s="2" t="s">
        <v>2343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9931</v>
      </c>
      <c r="BV2267" s="2" t="s">
        <v>231</v>
      </c>
      <c r="BW2267" s="2" t="s">
        <v>231</v>
      </c>
      <c r="BX2267" s="2" t="s">
        <v>241</v>
      </c>
      <c r="BY2267" s="2" t="s">
        <v>277</v>
      </c>
      <c r="BZ2267" s="2" t="s">
        <v>243</v>
      </c>
      <c r="CA2267" s="2" t="s">
        <v>1719</v>
      </c>
      <c r="CB2267" s="2" t="s">
        <v>3115</v>
      </c>
      <c r="CC2267" s="2" t="s">
        <v>244</v>
      </c>
      <c r="CD2267" s="2" t="s">
        <v>231</v>
      </c>
      <c r="CE2267" s="4"/>
      <c r="CF2267" s="4">
        <v>93</v>
      </c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/>
      <c r="HJ2267" s="4"/>
      <c r="HK2267" s="4"/>
      <c r="HL2267" s="4"/>
    </row>
    <row r="2268">
      <c r="A2268" s="2" t="s">
        <v>9932</v>
      </c>
      <c r="B2268" s="2" t="s">
        <v>992</v>
      </c>
      <c r="C2268" s="2" t="s">
        <v>288</v>
      </c>
      <c r="D2268" s="2" t="s">
        <v>993</v>
      </c>
      <c r="E2268" s="2" t="s">
        <v>3795</v>
      </c>
      <c r="F2268" s="2" t="s">
        <v>9933</v>
      </c>
      <c r="G2268" s="2" t="s">
        <v>9934</v>
      </c>
      <c r="H2268" s="2" t="s">
        <v>7347</v>
      </c>
      <c r="I2268" s="2" t="s">
        <v>9935</v>
      </c>
      <c r="J2268" s="2" t="s">
        <v>3797</v>
      </c>
      <c r="K2268" s="2" t="s">
        <v>253</v>
      </c>
      <c r="L2268" s="3">
        <v>35.1</v>
      </c>
      <c r="M2268" s="3">
        <v>36.86</v>
      </c>
      <c r="N2268" s="3">
        <v>76.99</v>
      </c>
      <c r="O2268" s="2" t="s">
        <v>243</v>
      </c>
      <c r="P2268" s="2" t="s">
        <v>341</v>
      </c>
      <c r="Q2268" s="2" t="s">
        <v>237</v>
      </c>
      <c r="R2268" s="2" t="s">
        <v>231</v>
      </c>
      <c r="S2268" s="2" t="s">
        <v>9936</v>
      </c>
      <c r="T2268" s="2" t="s">
        <v>472</v>
      </c>
      <c r="U2268" s="2" t="s">
        <v>327</v>
      </c>
      <c r="V2268" s="2" t="s">
        <v>239</v>
      </c>
      <c r="W2268" s="2" t="s">
        <v>273</v>
      </c>
      <c r="X2268" s="2" t="s">
        <v>691</v>
      </c>
      <c r="Y2268" s="2" t="s">
        <v>8358</v>
      </c>
      <c r="Z2268" s="4">
        <v>27</v>
      </c>
      <c r="AA2268" s="4">
        <f>=ROUNDDOWN(27,0)</f>
      </c>
      <c r="AB2268" s="5">
        <v>1</v>
      </c>
      <c r="AC2268" s="2" t="s">
        <v>231</v>
      </c>
      <c r="AD2268" s="4"/>
      <c r="AE2268" s="4"/>
      <c r="AF2268" s="6">
        <v>75</v>
      </c>
      <c r="AG2268" s="6"/>
      <c r="AH2268" s="7">
        <v>1</v>
      </c>
      <c r="AI2268" s="4"/>
      <c r="AJ2268" s="4">
        <f>=ROUNDDOWN({0},0)</f>
      </c>
      <c r="AK2268" s="5"/>
      <c r="AL2268" s="2" t="s">
        <v>231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231</v>
      </c>
      <c r="AW2268" s="8" t="s">
        <v>231</v>
      </c>
      <c r="AX2268" s="4" t="s">
        <v>231</v>
      </c>
      <c r="AY2268" s="8" t="s">
        <v>231</v>
      </c>
      <c r="AZ2268" s="7" t="s">
        <v>231</v>
      </c>
      <c r="BA2268" s="7" t="s">
        <v>231</v>
      </c>
      <c r="BB2268" s="7"/>
      <c r="BC2268" s="4" t="s">
        <v>231</v>
      </c>
      <c r="BD2268" s="8" t="s">
        <v>231</v>
      </c>
      <c r="BE2268" s="4" t="s">
        <v>231</v>
      </c>
      <c r="BF2268" s="8" t="s">
        <v>231</v>
      </c>
      <c r="BG2268" s="7" t="s">
        <v>231</v>
      </c>
      <c r="BH2268" s="7" t="s">
        <v>231</v>
      </c>
      <c r="BI2268" s="7"/>
      <c r="BJ2268" s="4">
        <v>11</v>
      </c>
      <c r="BK2268" s="8">
        <v>333.8</v>
      </c>
      <c r="BL2268" s="2" t="s">
        <v>4492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9937</v>
      </c>
      <c r="BV2268" s="2" t="s">
        <v>231</v>
      </c>
      <c r="BW2268" s="2" t="s">
        <v>231</v>
      </c>
      <c r="BX2268" s="2" t="s">
        <v>231</v>
      </c>
      <c r="BY2268" s="2" t="s">
        <v>277</v>
      </c>
      <c r="BZ2268" s="2" t="s">
        <v>243</v>
      </c>
      <c r="CA2268" s="2" t="s">
        <v>386</v>
      </c>
      <c r="CB2268" s="2" t="s">
        <v>3859</v>
      </c>
      <c r="CC2268" s="2" t="s">
        <v>244</v>
      </c>
      <c r="CD2268" s="2" t="s">
        <v>231</v>
      </c>
      <c r="CE2268" s="4">
        <v>27</v>
      </c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/>
      <c r="HJ2268" s="4"/>
      <c r="HK2268" s="4"/>
      <c r="HL2268" s="4"/>
    </row>
    <row r="2269">
      <c r="A2269" s="2" t="s">
        <v>9938</v>
      </c>
      <c r="B2269" s="2" t="s">
        <v>992</v>
      </c>
      <c r="C2269" s="2" t="s">
        <v>288</v>
      </c>
      <c r="D2269" s="2" t="s">
        <v>993</v>
      </c>
      <c r="E2269" s="2" t="s">
        <v>3795</v>
      </c>
      <c r="F2269" s="2" t="s">
        <v>9933</v>
      </c>
      <c r="G2269" s="2" t="s">
        <v>9934</v>
      </c>
      <c r="H2269" s="2" t="s">
        <v>7347</v>
      </c>
      <c r="I2269" s="2" t="s">
        <v>9935</v>
      </c>
      <c r="J2269" s="2" t="s">
        <v>3801</v>
      </c>
      <c r="K2269" s="2" t="s">
        <v>253</v>
      </c>
      <c r="L2269" s="3">
        <v>38</v>
      </c>
      <c r="M2269" s="3">
        <v>39.9</v>
      </c>
      <c r="N2269" s="3">
        <v>81.99</v>
      </c>
      <c r="O2269" s="2" t="s">
        <v>243</v>
      </c>
      <c r="P2269" s="2" t="s">
        <v>341</v>
      </c>
      <c r="Q2269" s="2" t="s">
        <v>237</v>
      </c>
      <c r="R2269" s="2" t="s">
        <v>231</v>
      </c>
      <c r="S2269" s="2" t="s">
        <v>9936</v>
      </c>
      <c r="T2269" s="2" t="s">
        <v>472</v>
      </c>
      <c r="U2269" s="2" t="s">
        <v>327</v>
      </c>
      <c r="V2269" s="2" t="s">
        <v>239</v>
      </c>
      <c r="W2269" s="2" t="s">
        <v>273</v>
      </c>
      <c r="X2269" s="2" t="s">
        <v>691</v>
      </c>
      <c r="Y2269" s="2" t="s">
        <v>8358</v>
      </c>
      <c r="Z2269" s="4">
        <v>12</v>
      </c>
      <c r="AA2269" s="4">
        <f>=ROUNDDOWN(24,0)</f>
      </c>
      <c r="AB2269" s="5">
        <v>0.5</v>
      </c>
      <c r="AC2269" s="2" t="s">
        <v>231</v>
      </c>
      <c r="AD2269" s="4"/>
      <c r="AE2269" s="4"/>
      <c r="AF2269" s="6">
        <v>75</v>
      </c>
      <c r="AG2269" s="6"/>
      <c r="AH2269" s="7">
        <v>1</v>
      </c>
      <c r="AI2269" s="4"/>
      <c r="AJ2269" s="4">
        <f>=ROUNDDOWN({0},0)</f>
      </c>
      <c r="AK2269" s="5"/>
      <c r="AL2269" s="2" t="s">
        <v>231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231</v>
      </c>
      <c r="AW2269" s="8" t="s">
        <v>231</v>
      </c>
      <c r="AX2269" s="4" t="s">
        <v>231</v>
      </c>
      <c r="AY2269" s="8" t="s">
        <v>231</v>
      </c>
      <c r="AZ2269" s="7" t="s">
        <v>231</v>
      </c>
      <c r="BA2269" s="7" t="s">
        <v>231</v>
      </c>
      <c r="BB2269" s="7"/>
      <c r="BC2269" s="4" t="s">
        <v>231</v>
      </c>
      <c r="BD2269" s="8" t="s">
        <v>231</v>
      </c>
      <c r="BE2269" s="4" t="s">
        <v>231</v>
      </c>
      <c r="BF2269" s="8" t="s">
        <v>231</v>
      </c>
      <c r="BG2269" s="7" t="s">
        <v>231</v>
      </c>
      <c r="BH2269" s="7" t="s">
        <v>231</v>
      </c>
      <c r="BI2269" s="7"/>
      <c r="BJ2269" s="4">
        <v>2</v>
      </c>
      <c r="BK2269" s="8">
        <v>83.8</v>
      </c>
      <c r="BL2269" s="2" t="s">
        <v>8475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9939</v>
      </c>
      <c r="BV2269" s="2" t="s">
        <v>231</v>
      </c>
      <c r="BW2269" s="2" t="s">
        <v>231</v>
      </c>
      <c r="BX2269" s="2" t="s">
        <v>231</v>
      </c>
      <c r="BY2269" s="2" t="s">
        <v>277</v>
      </c>
      <c r="BZ2269" s="2" t="s">
        <v>243</v>
      </c>
      <c r="CA2269" s="2" t="s">
        <v>386</v>
      </c>
      <c r="CB2269" s="2" t="s">
        <v>1964</v>
      </c>
      <c r="CC2269" s="2" t="s">
        <v>244</v>
      </c>
      <c r="CD2269" s="2" t="s">
        <v>231</v>
      </c>
      <c r="CE2269" s="4">
        <v>12</v>
      </c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</row>
    <row r="2270">
      <c r="A2270" s="2" t="s">
        <v>9940</v>
      </c>
      <c r="B2270" s="2" t="s">
        <v>992</v>
      </c>
      <c r="C2270" s="2" t="s">
        <v>288</v>
      </c>
      <c r="D2270" s="2" t="s">
        <v>993</v>
      </c>
      <c r="E2270" s="2" t="s">
        <v>3795</v>
      </c>
      <c r="F2270" s="2" t="s">
        <v>9933</v>
      </c>
      <c r="G2270" s="2" t="s">
        <v>9934</v>
      </c>
      <c r="H2270" s="2" t="s">
        <v>7347</v>
      </c>
      <c r="I2270" s="2" t="s">
        <v>9935</v>
      </c>
      <c r="J2270" s="2" t="s">
        <v>3805</v>
      </c>
      <c r="K2270" s="2" t="s">
        <v>253</v>
      </c>
      <c r="L2270" s="3">
        <v>43.5</v>
      </c>
      <c r="M2270" s="3">
        <v>45.68</v>
      </c>
      <c r="N2270" s="3">
        <v>91.99</v>
      </c>
      <c r="O2270" s="2" t="s">
        <v>243</v>
      </c>
      <c r="P2270" s="2" t="s">
        <v>341</v>
      </c>
      <c r="Q2270" s="2" t="s">
        <v>237</v>
      </c>
      <c r="R2270" s="2" t="s">
        <v>231</v>
      </c>
      <c r="S2270" s="2" t="s">
        <v>9936</v>
      </c>
      <c r="T2270" s="2" t="s">
        <v>472</v>
      </c>
      <c r="U2270" s="2" t="s">
        <v>327</v>
      </c>
      <c r="V2270" s="2" t="s">
        <v>239</v>
      </c>
      <c r="W2270" s="2" t="s">
        <v>273</v>
      </c>
      <c r="X2270" s="2" t="s">
        <v>691</v>
      </c>
      <c r="Y2270" s="2" t="s">
        <v>8358</v>
      </c>
      <c r="Z2270" s="4">
        <v>64</v>
      </c>
      <c r="AA2270" s="4">
        <f>=ROUNDDOWN(64,0)</f>
      </c>
      <c r="AB2270" s="5">
        <v>1</v>
      </c>
      <c r="AC2270" s="2" t="s">
        <v>231</v>
      </c>
      <c r="AD2270" s="4"/>
      <c r="AE2270" s="4"/>
      <c r="AF2270" s="6">
        <v>75</v>
      </c>
      <c r="AG2270" s="6"/>
      <c r="AH2270" s="7">
        <v>1</v>
      </c>
      <c r="AI2270" s="4"/>
      <c r="AJ2270" s="4">
        <f>=ROUNDDOWN({0},0)</f>
      </c>
      <c r="AK2270" s="5"/>
      <c r="AL2270" s="2" t="s">
        <v>231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231</v>
      </c>
      <c r="AW2270" s="8" t="s">
        <v>231</v>
      </c>
      <c r="AX2270" s="4" t="s">
        <v>231</v>
      </c>
      <c r="AY2270" s="8" t="s">
        <v>231</v>
      </c>
      <c r="AZ2270" s="7" t="s">
        <v>231</v>
      </c>
      <c r="BA2270" s="7" t="s">
        <v>231</v>
      </c>
      <c r="BB2270" s="7"/>
      <c r="BC2270" s="4" t="s">
        <v>231</v>
      </c>
      <c r="BD2270" s="8" t="s">
        <v>231</v>
      </c>
      <c r="BE2270" s="4" t="s">
        <v>231</v>
      </c>
      <c r="BF2270" s="8" t="s">
        <v>231</v>
      </c>
      <c r="BG2270" s="7" t="s">
        <v>231</v>
      </c>
      <c r="BH2270" s="7" t="s">
        <v>231</v>
      </c>
      <c r="BI2270" s="7"/>
      <c r="BJ2270" s="4">
        <v>1</v>
      </c>
      <c r="BK2270" s="8">
        <v>31.17</v>
      </c>
      <c r="BL2270" s="2" t="s">
        <v>5542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9941</v>
      </c>
      <c r="BV2270" s="2" t="s">
        <v>231</v>
      </c>
      <c r="BW2270" s="2" t="s">
        <v>231</v>
      </c>
      <c r="BX2270" s="2" t="s">
        <v>231</v>
      </c>
      <c r="BY2270" s="2" t="s">
        <v>277</v>
      </c>
      <c r="BZ2270" s="2" t="s">
        <v>243</v>
      </c>
      <c r="CA2270" s="2" t="s">
        <v>386</v>
      </c>
      <c r="CB2270" s="2" t="s">
        <v>231</v>
      </c>
      <c r="CC2270" s="2" t="s">
        <v>244</v>
      </c>
      <c r="CD2270" s="2" t="s">
        <v>231</v>
      </c>
      <c r="CE2270" s="4">
        <v>64</v>
      </c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/>
      <c r="HJ2270" s="4"/>
      <c r="HK2270" s="4"/>
      <c r="HL2270" s="4"/>
    </row>
    <row r="2271">
      <c r="A2271" s="2" t="s">
        <v>9942</v>
      </c>
      <c r="B2271" s="2" t="s">
        <v>992</v>
      </c>
      <c r="C2271" s="2" t="s">
        <v>288</v>
      </c>
      <c r="D2271" s="2" t="s">
        <v>993</v>
      </c>
      <c r="E2271" s="2" t="s">
        <v>3795</v>
      </c>
      <c r="F2271" s="2" t="s">
        <v>9933</v>
      </c>
      <c r="G2271" s="2" t="s">
        <v>9934</v>
      </c>
      <c r="H2271" s="2" t="s">
        <v>7347</v>
      </c>
      <c r="I2271" s="2" t="s">
        <v>9935</v>
      </c>
      <c r="J2271" s="2" t="s">
        <v>3810</v>
      </c>
      <c r="K2271" s="2" t="s">
        <v>253</v>
      </c>
      <c r="L2271" s="3">
        <v>44.8</v>
      </c>
      <c r="M2271" s="3">
        <v>47.04</v>
      </c>
      <c r="N2271" s="3">
        <v>93.99</v>
      </c>
      <c r="O2271" s="2" t="s">
        <v>243</v>
      </c>
      <c r="P2271" s="2" t="s">
        <v>341</v>
      </c>
      <c r="Q2271" s="2" t="s">
        <v>237</v>
      </c>
      <c r="R2271" s="2" t="s">
        <v>231</v>
      </c>
      <c r="S2271" s="2" t="s">
        <v>9936</v>
      </c>
      <c r="T2271" s="2" t="s">
        <v>472</v>
      </c>
      <c r="U2271" s="2" t="s">
        <v>327</v>
      </c>
      <c r="V2271" s="2" t="s">
        <v>239</v>
      </c>
      <c r="W2271" s="2" t="s">
        <v>273</v>
      </c>
      <c r="X2271" s="2" t="s">
        <v>691</v>
      </c>
      <c r="Y2271" s="2" t="s">
        <v>8358</v>
      </c>
      <c r="Z2271" s="4">
        <v>37</v>
      </c>
      <c r="AA2271" s="4">
        <f>=ROUNDDOWN(20.5555555555556,0)</f>
      </c>
      <c r="AB2271" s="5">
        <v>1.8</v>
      </c>
      <c r="AC2271" s="2" t="s">
        <v>231</v>
      </c>
      <c r="AD2271" s="4"/>
      <c r="AE2271" s="4"/>
      <c r="AF2271" s="6">
        <v>75</v>
      </c>
      <c r="AG2271" s="6"/>
      <c r="AH2271" s="7">
        <v>1</v>
      </c>
      <c r="AI2271" s="4"/>
      <c r="AJ2271" s="4">
        <f>=ROUNDDOWN({0},0)</f>
      </c>
      <c r="AK2271" s="5"/>
      <c r="AL2271" s="2" t="s">
        <v>231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231</v>
      </c>
      <c r="AW2271" s="8" t="s">
        <v>231</v>
      </c>
      <c r="AX2271" s="4" t="s">
        <v>231</v>
      </c>
      <c r="AY2271" s="8" t="s">
        <v>231</v>
      </c>
      <c r="AZ2271" s="7" t="s">
        <v>231</v>
      </c>
      <c r="BA2271" s="7" t="s">
        <v>231</v>
      </c>
      <c r="BB2271" s="7"/>
      <c r="BC2271" s="4" t="s">
        <v>231</v>
      </c>
      <c r="BD2271" s="8" t="s">
        <v>231</v>
      </c>
      <c r="BE2271" s="4" t="s">
        <v>231</v>
      </c>
      <c r="BF2271" s="8" t="s">
        <v>231</v>
      </c>
      <c r="BG2271" s="7" t="s">
        <v>231</v>
      </c>
      <c r="BH2271" s="7" t="s">
        <v>231</v>
      </c>
      <c r="BI2271" s="7"/>
      <c r="BJ2271" s="4">
        <v>9</v>
      </c>
      <c r="BK2271" s="8">
        <v>293.07</v>
      </c>
      <c r="BL2271" s="2" t="s">
        <v>9943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9944</v>
      </c>
      <c r="BV2271" s="2" t="s">
        <v>231</v>
      </c>
      <c r="BW2271" s="2" t="s">
        <v>231</v>
      </c>
      <c r="BX2271" s="2" t="s">
        <v>231</v>
      </c>
      <c r="BY2271" s="2" t="s">
        <v>277</v>
      </c>
      <c r="BZ2271" s="2" t="s">
        <v>243</v>
      </c>
      <c r="CA2271" s="2" t="s">
        <v>386</v>
      </c>
      <c r="CB2271" s="2" t="s">
        <v>231</v>
      </c>
      <c r="CC2271" s="2" t="s">
        <v>244</v>
      </c>
      <c r="CD2271" s="2" t="s">
        <v>231</v>
      </c>
      <c r="CE2271" s="4">
        <v>37</v>
      </c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</row>
    <row r="2272">
      <c r="A2272" s="2" t="s">
        <v>9945</v>
      </c>
      <c r="B2272" s="2" t="s">
        <v>992</v>
      </c>
      <c r="C2272" s="2" t="s">
        <v>288</v>
      </c>
      <c r="D2272" s="2" t="s">
        <v>993</v>
      </c>
      <c r="E2272" s="2" t="s">
        <v>3795</v>
      </c>
      <c r="F2272" s="2" t="s">
        <v>9933</v>
      </c>
      <c r="G2272" s="2" t="s">
        <v>9934</v>
      </c>
      <c r="H2272" s="2" t="s">
        <v>7347</v>
      </c>
      <c r="I2272" s="2" t="s">
        <v>9935</v>
      </c>
      <c r="J2272" s="2" t="s">
        <v>3805</v>
      </c>
      <c r="K2272" s="2" t="s">
        <v>1496</v>
      </c>
      <c r="L2272" s="3">
        <v>43.5</v>
      </c>
      <c r="M2272" s="3">
        <v>45.68</v>
      </c>
      <c r="N2272" s="3">
        <v>91.99</v>
      </c>
      <c r="O2272" s="2" t="s">
        <v>243</v>
      </c>
      <c r="P2272" s="2" t="s">
        <v>341</v>
      </c>
      <c r="Q2272" s="2" t="s">
        <v>237</v>
      </c>
      <c r="R2272" s="2" t="s">
        <v>231</v>
      </c>
      <c r="S2272" s="2" t="s">
        <v>9946</v>
      </c>
      <c r="T2272" s="2" t="s">
        <v>472</v>
      </c>
      <c r="U2272" s="2" t="s">
        <v>327</v>
      </c>
      <c r="V2272" s="2" t="s">
        <v>239</v>
      </c>
      <c r="W2272" s="2" t="s">
        <v>273</v>
      </c>
      <c r="X2272" s="2" t="s">
        <v>691</v>
      </c>
      <c r="Y2272" s="2" t="s">
        <v>8358</v>
      </c>
      <c r="Z2272" s="4">
        <v>41</v>
      </c>
      <c r="AA2272" s="4">
        <f>=ROUNDDOWN(41,0)</f>
      </c>
      <c r="AB2272" s="5">
        <v>1</v>
      </c>
      <c r="AC2272" s="2" t="s">
        <v>231</v>
      </c>
      <c r="AD2272" s="4"/>
      <c r="AE2272" s="4"/>
      <c r="AF2272" s="6">
        <v>75</v>
      </c>
      <c r="AG2272" s="6"/>
      <c r="AH2272" s="7">
        <v>1</v>
      </c>
      <c r="AI2272" s="4"/>
      <c r="AJ2272" s="4">
        <f>=ROUNDDOWN({0},0)</f>
      </c>
      <c r="AK2272" s="5"/>
      <c r="AL2272" s="2" t="s">
        <v>231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231</v>
      </c>
      <c r="BD2272" s="8" t="s">
        <v>231</v>
      </c>
      <c r="BE2272" s="4" t="s">
        <v>231</v>
      </c>
      <c r="BF2272" s="8" t="s">
        <v>231</v>
      </c>
      <c r="BG2272" s="7" t="s">
        <v>231</v>
      </c>
      <c r="BH2272" s="7" t="s">
        <v>231</v>
      </c>
      <c r="BI2272" s="7"/>
      <c r="BJ2272" s="4">
        <v>2</v>
      </c>
      <c r="BK2272" s="8">
        <v>62.34</v>
      </c>
      <c r="BL2272" s="2" t="s">
        <v>937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9947</v>
      </c>
      <c r="BV2272" s="2" t="s">
        <v>231</v>
      </c>
      <c r="BW2272" s="2" t="s">
        <v>231</v>
      </c>
      <c r="BX2272" s="2" t="s">
        <v>231</v>
      </c>
      <c r="BY2272" s="2" t="s">
        <v>277</v>
      </c>
      <c r="BZ2272" s="2" t="s">
        <v>243</v>
      </c>
      <c r="CA2272" s="2" t="s">
        <v>386</v>
      </c>
      <c r="CB2272" s="2" t="s">
        <v>2346</v>
      </c>
      <c r="CC2272" s="2" t="s">
        <v>244</v>
      </c>
      <c r="CD2272" s="2" t="s">
        <v>231</v>
      </c>
      <c r="CE2272" s="4">
        <v>41</v>
      </c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4"/>
      <c r="HH2272" s="4"/>
      <c r="HI2272" s="4"/>
      <c r="HJ2272" s="4"/>
      <c r="HK2272" s="4"/>
      <c r="HL2272" s="4"/>
    </row>
    <row r="2273">
      <c r="A2273" s="2" t="s">
        <v>9948</v>
      </c>
      <c r="B2273" s="2" t="s">
        <v>1186</v>
      </c>
      <c r="C2273" s="2" t="s">
        <v>1105</v>
      </c>
      <c r="D2273" s="2" t="s">
        <v>1462</v>
      </c>
      <c r="E2273" s="2" t="s">
        <v>1884</v>
      </c>
      <c r="F2273" s="2" t="s">
        <v>9949</v>
      </c>
      <c r="G2273" s="2" t="s">
        <v>9950</v>
      </c>
      <c r="H2273" s="2" t="s">
        <v>9951</v>
      </c>
      <c r="I2273" s="2" t="s">
        <v>9952</v>
      </c>
      <c r="J2273" s="2" t="s">
        <v>658</v>
      </c>
      <c r="K2273" s="2" t="s">
        <v>547</v>
      </c>
      <c r="L2273" s="3">
        <v>21.6</v>
      </c>
      <c r="M2273" s="3">
        <v>22.68</v>
      </c>
      <c r="N2273" s="3">
        <v>59.99</v>
      </c>
      <c r="O2273" s="2" t="s">
        <v>243</v>
      </c>
      <c r="P2273" s="2" t="s">
        <v>270</v>
      </c>
      <c r="Q2273" s="2" t="s">
        <v>237</v>
      </c>
      <c r="R2273" s="2" t="s">
        <v>231</v>
      </c>
      <c r="S2273" s="2" t="s">
        <v>9953</v>
      </c>
      <c r="T2273" s="2" t="s">
        <v>231</v>
      </c>
      <c r="U2273" s="2" t="s">
        <v>835</v>
      </c>
      <c r="V2273" s="2" t="s">
        <v>239</v>
      </c>
      <c r="W2273" s="2" t="s">
        <v>273</v>
      </c>
      <c r="X2273" s="2" t="s">
        <v>1794</v>
      </c>
      <c r="Y2273" s="2" t="s">
        <v>7469</v>
      </c>
      <c r="Z2273" s="4">
        <v>501</v>
      </c>
      <c r="AA2273" s="4">
        <f>=ROUNDDOWN(50.1,0)</f>
      </c>
      <c r="AB2273" s="5">
        <v>10</v>
      </c>
      <c r="AC2273" s="2" t="s">
        <v>231</v>
      </c>
      <c r="AD2273" s="4"/>
      <c r="AE2273" s="4"/>
      <c r="AF2273" s="6">
        <v>65</v>
      </c>
      <c r="AG2273" s="6">
        <v>48</v>
      </c>
      <c r="AH2273" s="7">
        <v>1</v>
      </c>
      <c r="AI2273" s="4"/>
      <c r="AJ2273" s="4">
        <f>=ROUNDDOWN({0},0)</f>
      </c>
      <c r="AK2273" s="5"/>
      <c r="AL2273" s="2" t="s">
        <v>231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231</v>
      </c>
      <c r="AW2273" s="8" t="s">
        <v>231</v>
      </c>
      <c r="AX2273" s="4" t="s">
        <v>231</v>
      </c>
      <c r="AY2273" s="8" t="s">
        <v>231</v>
      </c>
      <c r="AZ2273" s="7" t="s">
        <v>231</v>
      </c>
      <c r="BA2273" s="7" t="s">
        <v>231</v>
      </c>
      <c r="BB2273" s="7"/>
      <c r="BC2273" s="4" t="s">
        <v>231</v>
      </c>
      <c r="BD2273" s="8" t="s">
        <v>231</v>
      </c>
      <c r="BE2273" s="4" t="s">
        <v>231</v>
      </c>
      <c r="BF2273" s="8" t="s">
        <v>231</v>
      </c>
      <c r="BG2273" s="7" t="s">
        <v>231</v>
      </c>
      <c r="BH2273" s="7" t="s">
        <v>231</v>
      </c>
      <c r="BI2273" s="7"/>
      <c r="BJ2273" s="4">
        <v>60</v>
      </c>
      <c r="BK2273" s="8">
        <v>1365.21</v>
      </c>
      <c r="BL2273" s="2" t="s">
        <v>9954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9955</v>
      </c>
      <c r="BV2273" s="2" t="s">
        <v>231</v>
      </c>
      <c r="BW2273" s="2" t="s">
        <v>231</v>
      </c>
      <c r="BX2273" s="2" t="s">
        <v>231</v>
      </c>
      <c r="BY2273" s="2" t="s">
        <v>277</v>
      </c>
      <c r="BZ2273" s="2" t="s">
        <v>243</v>
      </c>
      <c r="CA2273" s="2" t="s">
        <v>3500</v>
      </c>
      <c r="CB2273" s="2" t="s">
        <v>9956</v>
      </c>
      <c r="CC2273" s="2" t="s">
        <v>244</v>
      </c>
      <c r="CD2273" s="2" t="s">
        <v>231</v>
      </c>
      <c r="CE2273" s="4">
        <v>395</v>
      </c>
      <c r="CF2273" s="4"/>
      <c r="CG2273" s="4"/>
      <c r="CH2273" s="4"/>
      <c r="CI2273" s="4">
        <v>106</v>
      </c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  <c r="HG2273" s="4"/>
      <c r="HH2273" s="4"/>
      <c r="HI2273" s="4"/>
      <c r="HJ2273" s="4"/>
      <c r="HK2273" s="4"/>
      <c r="HL2273" s="4"/>
    </row>
    <row r="2274">
      <c r="A2274" s="2" t="s">
        <v>9957</v>
      </c>
      <c r="B2274" s="2" t="s">
        <v>1186</v>
      </c>
      <c r="C2274" s="2" t="s">
        <v>1105</v>
      </c>
      <c r="D2274" s="2" t="s">
        <v>1462</v>
      </c>
      <c r="E2274" s="2" t="s">
        <v>1884</v>
      </c>
      <c r="F2274" s="2" t="s">
        <v>9949</v>
      </c>
      <c r="G2274" s="2" t="s">
        <v>9950</v>
      </c>
      <c r="H2274" s="2" t="s">
        <v>9951</v>
      </c>
      <c r="I2274" s="2" t="s">
        <v>9952</v>
      </c>
      <c r="J2274" s="2" t="s">
        <v>669</v>
      </c>
      <c r="K2274" s="2" t="s">
        <v>547</v>
      </c>
      <c r="L2274" s="3">
        <v>26.6</v>
      </c>
      <c r="M2274" s="3">
        <v>27.93</v>
      </c>
      <c r="N2274" s="3">
        <v>69.99</v>
      </c>
      <c r="O2274" s="2" t="s">
        <v>243</v>
      </c>
      <c r="P2274" s="2" t="s">
        <v>270</v>
      </c>
      <c r="Q2274" s="2" t="s">
        <v>237</v>
      </c>
      <c r="R2274" s="2" t="s">
        <v>231</v>
      </c>
      <c r="S2274" s="2" t="s">
        <v>9953</v>
      </c>
      <c r="T2274" s="2" t="s">
        <v>231</v>
      </c>
      <c r="U2274" s="2" t="s">
        <v>835</v>
      </c>
      <c r="V2274" s="2" t="s">
        <v>239</v>
      </c>
      <c r="W2274" s="2" t="s">
        <v>273</v>
      </c>
      <c r="X2274" s="2" t="s">
        <v>1794</v>
      </c>
      <c r="Y2274" s="2" t="s">
        <v>7469</v>
      </c>
      <c r="Z2274" s="4">
        <v>223</v>
      </c>
      <c r="AA2274" s="4">
        <f>=ROUNDDOWN(27.875,0)</f>
      </c>
      <c r="AB2274" s="5">
        <v>8</v>
      </c>
      <c r="AC2274" s="2" t="s">
        <v>231</v>
      </c>
      <c r="AD2274" s="4"/>
      <c r="AE2274" s="4"/>
      <c r="AF2274" s="6">
        <v>65</v>
      </c>
      <c r="AG2274" s="6">
        <v>48</v>
      </c>
      <c r="AH2274" s="7">
        <v>1</v>
      </c>
      <c r="AI2274" s="4"/>
      <c r="AJ2274" s="4">
        <f>=ROUNDDOWN({0},0)</f>
      </c>
      <c r="AK2274" s="5"/>
      <c r="AL2274" s="2" t="s">
        <v>231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231</v>
      </c>
      <c r="AW2274" s="8" t="s">
        <v>231</v>
      </c>
      <c r="AX2274" s="4" t="s">
        <v>231</v>
      </c>
      <c r="AY2274" s="8" t="s">
        <v>231</v>
      </c>
      <c r="AZ2274" s="7" t="s">
        <v>231</v>
      </c>
      <c r="BA2274" s="7" t="s">
        <v>231</v>
      </c>
      <c r="BB2274" s="7"/>
      <c r="BC2274" s="4" t="s">
        <v>231</v>
      </c>
      <c r="BD2274" s="8" t="s">
        <v>231</v>
      </c>
      <c r="BE2274" s="4" t="s">
        <v>231</v>
      </c>
      <c r="BF2274" s="8" t="s">
        <v>231</v>
      </c>
      <c r="BG2274" s="7" t="s">
        <v>231</v>
      </c>
      <c r="BH2274" s="7" t="s">
        <v>231</v>
      </c>
      <c r="BI2274" s="7"/>
      <c r="BJ2274" s="4">
        <v>44</v>
      </c>
      <c r="BK2274" s="8">
        <v>1200.85</v>
      </c>
      <c r="BL2274" s="2" t="s">
        <v>9958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9959</v>
      </c>
      <c r="BV2274" s="2" t="s">
        <v>231</v>
      </c>
      <c r="BW2274" s="2" t="s">
        <v>231</v>
      </c>
      <c r="BX2274" s="2" t="s">
        <v>231</v>
      </c>
      <c r="BY2274" s="2" t="s">
        <v>277</v>
      </c>
      <c r="BZ2274" s="2" t="s">
        <v>243</v>
      </c>
      <c r="CA2274" s="2" t="s">
        <v>3500</v>
      </c>
      <c r="CB2274" s="2" t="s">
        <v>3698</v>
      </c>
      <c r="CC2274" s="2" t="s">
        <v>244</v>
      </c>
      <c r="CD2274" s="2" t="s">
        <v>231</v>
      </c>
      <c r="CE2274" s="4">
        <v>155</v>
      </c>
      <c r="CF2274" s="4"/>
      <c r="CG2274" s="4"/>
      <c r="CH2274" s="4"/>
      <c r="CI2274" s="4">
        <v>68</v>
      </c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  <c r="HG2274" s="4"/>
      <c r="HH2274" s="4"/>
      <c r="HI2274" s="4"/>
      <c r="HJ2274" s="4"/>
      <c r="HK2274" s="4"/>
      <c r="HL2274" s="4"/>
    </row>
    <row r="2275">
      <c r="A2275" s="2" t="s">
        <v>9960</v>
      </c>
      <c r="B2275" s="2" t="s">
        <v>287</v>
      </c>
      <c r="C2275" s="2" t="s">
        <v>631</v>
      </c>
      <c r="D2275" s="2" t="s">
        <v>289</v>
      </c>
      <c r="E2275" s="2" t="s">
        <v>290</v>
      </c>
      <c r="F2275" s="2" t="s">
        <v>9961</v>
      </c>
      <c r="G2275" s="2" t="s">
        <v>9961</v>
      </c>
      <c r="H2275" s="2" t="s">
        <v>9961</v>
      </c>
      <c r="I2275" s="2" t="s">
        <v>9962</v>
      </c>
      <c r="J2275" s="2" t="s">
        <v>293</v>
      </c>
      <c r="K2275" s="2" t="s">
        <v>9963</v>
      </c>
      <c r="L2275" s="3">
        <v>25.85</v>
      </c>
      <c r="M2275" s="3">
        <v>27.14</v>
      </c>
      <c r="N2275" s="3">
        <v>55.99</v>
      </c>
      <c r="O2275" s="2" t="s">
        <v>243</v>
      </c>
      <c r="P2275" s="2" t="s">
        <v>1332</v>
      </c>
      <c r="Q2275" s="2" t="s">
        <v>237</v>
      </c>
      <c r="R2275" s="2" t="s">
        <v>231</v>
      </c>
      <c r="S2275" s="2" t="s">
        <v>9964</v>
      </c>
      <c r="T2275" s="2" t="s">
        <v>4134</v>
      </c>
      <c r="U2275" s="2" t="s">
        <v>298</v>
      </c>
      <c r="V2275" s="2" t="s">
        <v>1685</v>
      </c>
      <c r="W2275" s="2" t="s">
        <v>273</v>
      </c>
      <c r="X2275" s="2" t="s">
        <v>691</v>
      </c>
      <c r="Y2275" s="2" t="s">
        <v>1351</v>
      </c>
      <c r="Z2275" s="4">
        <v>2</v>
      </c>
      <c r="AA2275" s="4">
        <f>=ROUNDDOWN(0.0512820512820513,0)</f>
      </c>
      <c r="AB2275" s="5">
        <v>39</v>
      </c>
      <c r="AC2275" s="2" t="s">
        <v>4449</v>
      </c>
      <c r="AD2275" s="4">
        <v>326</v>
      </c>
      <c r="AE2275" s="4">
        <v>1261</v>
      </c>
      <c r="AF2275" s="6">
        <v>65</v>
      </c>
      <c r="AG2275" s="6"/>
      <c r="AH2275" s="7">
        <v>0</v>
      </c>
      <c r="AI2275" s="4"/>
      <c r="AJ2275" s="4">
        <f>=ROUNDDOWN({0},0)</f>
      </c>
      <c r="AK2275" s="5"/>
      <c r="AL2275" s="2" t="s">
        <v>231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 t="s">
        <v>231</v>
      </c>
      <c r="AW2275" s="8" t="s">
        <v>231</v>
      </c>
      <c r="AX2275" s="4" t="s">
        <v>231</v>
      </c>
      <c r="AY2275" s="8" t="s">
        <v>231</v>
      </c>
      <c r="AZ2275" s="7" t="s">
        <v>231</v>
      </c>
      <c r="BA2275" s="7" t="s">
        <v>231</v>
      </c>
      <c r="BB2275" s="7"/>
      <c r="BC2275" s="4" t="s">
        <v>231</v>
      </c>
      <c r="BD2275" s="8" t="s">
        <v>231</v>
      </c>
      <c r="BE2275" s="4" t="s">
        <v>231</v>
      </c>
      <c r="BF2275" s="8" t="s">
        <v>231</v>
      </c>
      <c r="BG2275" s="7" t="s">
        <v>231</v>
      </c>
      <c r="BH2275" s="7" t="s">
        <v>231</v>
      </c>
      <c r="BI2275" s="7"/>
      <c r="BJ2275" s="4">
        <v>1</v>
      </c>
      <c r="BK2275" s="8">
        <v>27.99</v>
      </c>
      <c r="BL2275" s="2" t="s">
        <v>1028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9965</v>
      </c>
      <c r="BV2275" s="2" t="s">
        <v>231</v>
      </c>
      <c r="BW2275" s="2" t="s">
        <v>231</v>
      </c>
      <c r="BX2275" s="2" t="s">
        <v>231</v>
      </c>
      <c r="BY2275" s="2" t="s">
        <v>277</v>
      </c>
      <c r="BZ2275" s="2" t="s">
        <v>243</v>
      </c>
      <c r="CA2275" s="2" t="s">
        <v>1351</v>
      </c>
      <c r="CB2275" s="2" t="s">
        <v>6313</v>
      </c>
      <c r="CC2275" s="2" t="s">
        <v>244</v>
      </c>
      <c r="CD2275" s="2" t="s">
        <v>231</v>
      </c>
      <c r="CE2275" s="4">
        <v>2</v>
      </c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>
        <v>326</v>
      </c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>
        <v>598</v>
      </c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>
        <v>337</v>
      </c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</row>
    <row r="2276">
      <c r="A2276" s="2" t="s">
        <v>9966</v>
      </c>
      <c r="B2276" s="2" t="s">
        <v>287</v>
      </c>
      <c r="C2276" s="2" t="s">
        <v>631</v>
      </c>
      <c r="D2276" s="2" t="s">
        <v>289</v>
      </c>
      <c r="E2276" s="2" t="s">
        <v>290</v>
      </c>
      <c r="F2276" s="2" t="s">
        <v>9961</v>
      </c>
      <c r="G2276" s="2" t="s">
        <v>9961</v>
      </c>
      <c r="H2276" s="2" t="s">
        <v>9961</v>
      </c>
      <c r="I2276" s="2" t="s">
        <v>9962</v>
      </c>
      <c r="J2276" s="2" t="s">
        <v>302</v>
      </c>
      <c r="K2276" s="2" t="s">
        <v>9963</v>
      </c>
      <c r="L2276" s="3">
        <v>28.68</v>
      </c>
      <c r="M2276" s="3">
        <v>30.11</v>
      </c>
      <c r="N2276" s="3">
        <v>62.99</v>
      </c>
      <c r="O2276" s="2" t="s">
        <v>243</v>
      </c>
      <c r="P2276" s="2" t="s">
        <v>1281</v>
      </c>
      <c r="Q2276" s="2" t="s">
        <v>237</v>
      </c>
      <c r="R2276" s="2" t="s">
        <v>231</v>
      </c>
      <c r="S2276" s="2" t="s">
        <v>9964</v>
      </c>
      <c r="T2276" s="2" t="s">
        <v>4134</v>
      </c>
      <c r="U2276" s="2" t="s">
        <v>298</v>
      </c>
      <c r="V2276" s="2" t="s">
        <v>1685</v>
      </c>
      <c r="W2276" s="2" t="s">
        <v>273</v>
      </c>
      <c r="X2276" s="2" t="s">
        <v>691</v>
      </c>
      <c r="Y2276" s="2" t="s">
        <v>1351</v>
      </c>
      <c r="Z2276" s="4">
        <v>2</v>
      </c>
      <c r="AA2276" s="4">
        <f>=ROUNDDOWN(0.1,0)</f>
      </c>
      <c r="AB2276" s="5">
        <v>20</v>
      </c>
      <c r="AC2276" s="2" t="s">
        <v>4449</v>
      </c>
      <c r="AD2276" s="4">
        <v>166</v>
      </c>
      <c r="AE2276" s="4">
        <v>642</v>
      </c>
      <c r="AF2276" s="6">
        <v>65</v>
      </c>
      <c r="AG2276" s="6"/>
      <c r="AH2276" s="7">
        <v>0</v>
      </c>
      <c r="AI2276" s="4"/>
      <c r="AJ2276" s="4">
        <f>=ROUNDDOWN({0},0)</f>
      </c>
      <c r="AK2276" s="5"/>
      <c r="AL2276" s="2" t="s">
        <v>231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 t="s">
        <v>231</v>
      </c>
      <c r="AW2276" s="8" t="s">
        <v>231</v>
      </c>
      <c r="AX2276" s="4" t="s">
        <v>231</v>
      </c>
      <c r="AY2276" s="8" t="s">
        <v>231</v>
      </c>
      <c r="AZ2276" s="7" t="s">
        <v>231</v>
      </c>
      <c r="BA2276" s="7" t="s">
        <v>231</v>
      </c>
      <c r="BB2276" s="7"/>
      <c r="BC2276" s="4" t="s">
        <v>231</v>
      </c>
      <c r="BD2276" s="8" t="s">
        <v>231</v>
      </c>
      <c r="BE2276" s="4" t="s">
        <v>231</v>
      </c>
      <c r="BF2276" s="8" t="s">
        <v>231</v>
      </c>
      <c r="BG2276" s="7" t="s">
        <v>231</v>
      </c>
      <c r="BH2276" s="7" t="s">
        <v>231</v>
      </c>
      <c r="BI2276" s="7"/>
      <c r="BJ2276" s="4"/>
      <c r="BK2276" s="8"/>
      <c r="BL2276" s="2" t="s">
        <v>231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9967</v>
      </c>
      <c r="BV2276" s="2" t="s">
        <v>231</v>
      </c>
      <c r="BW2276" s="2" t="s">
        <v>231</v>
      </c>
      <c r="BX2276" s="2" t="s">
        <v>231</v>
      </c>
      <c r="BY2276" s="2" t="s">
        <v>277</v>
      </c>
      <c r="BZ2276" s="2" t="s">
        <v>243</v>
      </c>
      <c r="CA2276" s="2" t="s">
        <v>1351</v>
      </c>
      <c r="CB2276" s="2" t="s">
        <v>8413</v>
      </c>
      <c r="CC2276" s="2" t="s">
        <v>244</v>
      </c>
      <c r="CD2276" s="2" t="s">
        <v>231</v>
      </c>
      <c r="CE2276" s="4">
        <v>2</v>
      </c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>
        <v>166</v>
      </c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>
        <v>297</v>
      </c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>
        <v>8</v>
      </c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>
        <v>171</v>
      </c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</row>
    <row r="2277">
      <c r="A2277" s="2" t="s">
        <v>9968</v>
      </c>
      <c r="B2277" s="2" t="s">
        <v>287</v>
      </c>
      <c r="C2277" s="2" t="s">
        <v>631</v>
      </c>
      <c r="D2277" s="2" t="s">
        <v>289</v>
      </c>
      <c r="E2277" s="2" t="s">
        <v>290</v>
      </c>
      <c r="F2277" s="2" t="s">
        <v>9961</v>
      </c>
      <c r="G2277" s="2" t="s">
        <v>9961</v>
      </c>
      <c r="H2277" s="2" t="s">
        <v>9961</v>
      </c>
      <c r="I2277" s="2" t="s">
        <v>9962</v>
      </c>
      <c r="J2277" s="2" t="s">
        <v>304</v>
      </c>
      <c r="K2277" s="2" t="s">
        <v>9963</v>
      </c>
      <c r="L2277" s="3">
        <v>28.68</v>
      </c>
      <c r="M2277" s="3">
        <v>30.11</v>
      </c>
      <c r="N2277" s="3">
        <v>62.99</v>
      </c>
      <c r="O2277" s="2" t="s">
        <v>243</v>
      </c>
      <c r="P2277" s="2" t="s">
        <v>270</v>
      </c>
      <c r="Q2277" s="2" t="s">
        <v>237</v>
      </c>
      <c r="R2277" s="2" t="s">
        <v>231</v>
      </c>
      <c r="S2277" s="2" t="s">
        <v>9964</v>
      </c>
      <c r="T2277" s="2" t="s">
        <v>4134</v>
      </c>
      <c r="U2277" s="2" t="s">
        <v>298</v>
      </c>
      <c r="V2277" s="2" t="s">
        <v>1685</v>
      </c>
      <c r="W2277" s="2" t="s">
        <v>273</v>
      </c>
      <c r="X2277" s="2" t="s">
        <v>691</v>
      </c>
      <c r="Y2277" s="2" t="s">
        <v>1351</v>
      </c>
      <c r="Z2277" s="4">
        <v>3</v>
      </c>
      <c r="AA2277" s="4">
        <f>=ROUNDDOWN(0.3,0)</f>
      </c>
      <c r="AB2277" s="5">
        <v>10</v>
      </c>
      <c r="AC2277" s="2" t="s">
        <v>4449</v>
      </c>
      <c r="AD2277" s="4">
        <v>90</v>
      </c>
      <c r="AE2277" s="4">
        <v>360</v>
      </c>
      <c r="AF2277" s="6">
        <v>65</v>
      </c>
      <c r="AG2277" s="6"/>
      <c r="AH2277" s="7">
        <v>0</v>
      </c>
      <c r="AI2277" s="4"/>
      <c r="AJ2277" s="4">
        <f>=ROUNDDOWN({0},0)</f>
      </c>
      <c r="AK2277" s="5"/>
      <c r="AL2277" s="2" t="s">
        <v>231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231</v>
      </c>
      <c r="AW2277" s="8" t="s">
        <v>231</v>
      </c>
      <c r="AX2277" s="4" t="s">
        <v>231</v>
      </c>
      <c r="AY2277" s="8" t="s">
        <v>231</v>
      </c>
      <c r="AZ2277" s="7" t="s">
        <v>231</v>
      </c>
      <c r="BA2277" s="7" t="s">
        <v>231</v>
      </c>
      <c r="BB2277" s="7"/>
      <c r="BC2277" s="4" t="s">
        <v>231</v>
      </c>
      <c r="BD2277" s="8" t="s">
        <v>231</v>
      </c>
      <c r="BE2277" s="4" t="s">
        <v>231</v>
      </c>
      <c r="BF2277" s="8" t="s">
        <v>231</v>
      </c>
      <c r="BG2277" s="7" t="s">
        <v>231</v>
      </c>
      <c r="BH2277" s="7" t="s">
        <v>231</v>
      </c>
      <c r="BI2277" s="7"/>
      <c r="BJ2277" s="4"/>
      <c r="BK2277" s="8"/>
      <c r="BL2277" s="2" t="s">
        <v>231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9969</v>
      </c>
      <c r="BV2277" s="2" t="s">
        <v>231</v>
      </c>
      <c r="BW2277" s="2" t="s">
        <v>231</v>
      </c>
      <c r="BX2277" s="2" t="s">
        <v>231</v>
      </c>
      <c r="BY2277" s="2" t="s">
        <v>277</v>
      </c>
      <c r="BZ2277" s="2" t="s">
        <v>243</v>
      </c>
      <c r="CA2277" s="2" t="s">
        <v>1351</v>
      </c>
      <c r="CB2277" s="2" t="s">
        <v>6763</v>
      </c>
      <c r="CC2277" s="2" t="s">
        <v>244</v>
      </c>
      <c r="CD2277" s="2" t="s">
        <v>231</v>
      </c>
      <c r="CE2277" s="4">
        <v>3</v>
      </c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>
        <v>90</v>
      </c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>
        <v>192</v>
      </c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>
        <v>78</v>
      </c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</row>
    <row r="2278">
      <c r="A2278" s="2" t="s">
        <v>9970</v>
      </c>
      <c r="B2278" s="2" t="s">
        <v>287</v>
      </c>
      <c r="C2278" s="2" t="s">
        <v>631</v>
      </c>
      <c r="D2278" s="2" t="s">
        <v>289</v>
      </c>
      <c r="E2278" s="2" t="s">
        <v>290</v>
      </c>
      <c r="F2278" s="2" t="s">
        <v>9961</v>
      </c>
      <c r="G2278" s="2" t="s">
        <v>9961</v>
      </c>
      <c r="H2278" s="2" t="s">
        <v>9961</v>
      </c>
      <c r="I2278" s="2" t="s">
        <v>9962</v>
      </c>
      <c r="J2278" s="2" t="s">
        <v>281</v>
      </c>
      <c r="K2278" s="2" t="s">
        <v>9971</v>
      </c>
      <c r="L2278" s="3">
        <v>22</v>
      </c>
      <c r="M2278" s="3">
        <v>23.1</v>
      </c>
      <c r="N2278" s="3">
        <v>47.99</v>
      </c>
      <c r="O2278" s="2" t="s">
        <v>243</v>
      </c>
      <c r="P2278" s="2" t="s">
        <v>270</v>
      </c>
      <c r="Q2278" s="2" t="s">
        <v>237</v>
      </c>
      <c r="R2278" s="2" t="s">
        <v>231</v>
      </c>
      <c r="S2278" s="2" t="s">
        <v>9972</v>
      </c>
      <c r="T2278" s="2" t="s">
        <v>4134</v>
      </c>
      <c r="U2278" s="2" t="s">
        <v>298</v>
      </c>
      <c r="V2278" s="2" t="s">
        <v>391</v>
      </c>
      <c r="W2278" s="2" t="s">
        <v>273</v>
      </c>
      <c r="X2278" s="2" t="s">
        <v>691</v>
      </c>
      <c r="Y2278" s="2" t="s">
        <v>4533</v>
      </c>
      <c r="Z2278" s="4">
        <v>3</v>
      </c>
      <c r="AA2278" s="4">
        <f>=ROUNDDOWN(0.375,0)</f>
      </c>
      <c r="AB2278" s="5">
        <v>8</v>
      </c>
      <c r="AC2278" s="2" t="s">
        <v>1537</v>
      </c>
      <c r="AD2278" s="4">
        <v>20</v>
      </c>
      <c r="AE2278" s="4">
        <v>50</v>
      </c>
      <c r="AF2278" s="6">
        <v>74</v>
      </c>
      <c r="AG2278" s="6"/>
      <c r="AH2278" s="7">
        <v>0</v>
      </c>
      <c r="AI2278" s="4"/>
      <c r="AJ2278" s="4">
        <f>=ROUNDDOWN({0},0)</f>
      </c>
      <c r="AK2278" s="5"/>
      <c r="AL2278" s="2" t="s">
        <v>231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231</v>
      </c>
      <c r="AW2278" s="8" t="s">
        <v>231</v>
      </c>
      <c r="AX2278" s="4" t="s">
        <v>231</v>
      </c>
      <c r="AY2278" s="8" t="s">
        <v>231</v>
      </c>
      <c r="AZ2278" s="7" t="s">
        <v>231</v>
      </c>
      <c r="BA2278" s="7" t="s">
        <v>231</v>
      </c>
      <c r="BB2278" s="7"/>
      <c r="BC2278" s="4" t="s">
        <v>231</v>
      </c>
      <c r="BD2278" s="8" t="s">
        <v>231</v>
      </c>
      <c r="BE2278" s="4" t="s">
        <v>231</v>
      </c>
      <c r="BF2278" s="8" t="s">
        <v>231</v>
      </c>
      <c r="BG2278" s="7" t="s">
        <v>231</v>
      </c>
      <c r="BH2278" s="7" t="s">
        <v>231</v>
      </c>
      <c r="BI2278" s="7"/>
      <c r="BJ2278" s="4"/>
      <c r="BK2278" s="8"/>
      <c r="BL2278" s="2" t="s">
        <v>231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9973</v>
      </c>
      <c r="BV2278" s="2" t="s">
        <v>231</v>
      </c>
      <c r="BW2278" s="2" t="s">
        <v>231</v>
      </c>
      <c r="BX2278" s="2" t="s">
        <v>241</v>
      </c>
      <c r="BY2278" s="2" t="s">
        <v>277</v>
      </c>
      <c r="BZ2278" s="2" t="s">
        <v>243</v>
      </c>
      <c r="CA2278" s="2" t="s">
        <v>2515</v>
      </c>
      <c r="CB2278" s="2" t="s">
        <v>1579</v>
      </c>
      <c r="CC2278" s="2" t="s">
        <v>244</v>
      </c>
      <c r="CD2278" s="2" t="s">
        <v>231</v>
      </c>
      <c r="CE2278" s="4">
        <v>3</v>
      </c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>
        <v>20</v>
      </c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>
        <v>30</v>
      </c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</row>
    <row r="2279">
      <c r="A2279" s="2" t="s">
        <v>9974</v>
      </c>
      <c r="B2279" s="2" t="s">
        <v>287</v>
      </c>
      <c r="C2279" s="2" t="s">
        <v>631</v>
      </c>
      <c r="D2279" s="2" t="s">
        <v>289</v>
      </c>
      <c r="E2279" s="2" t="s">
        <v>290</v>
      </c>
      <c r="F2279" s="2" t="s">
        <v>9961</v>
      </c>
      <c r="G2279" s="2" t="s">
        <v>9961</v>
      </c>
      <c r="H2279" s="2" t="s">
        <v>9961</v>
      </c>
      <c r="I2279" s="2" t="s">
        <v>9962</v>
      </c>
      <c r="J2279" s="2" t="s">
        <v>293</v>
      </c>
      <c r="K2279" s="2" t="s">
        <v>9971</v>
      </c>
      <c r="L2279" s="3">
        <v>25.85</v>
      </c>
      <c r="M2279" s="3">
        <v>27.14</v>
      </c>
      <c r="N2279" s="3">
        <v>55.99</v>
      </c>
      <c r="O2279" s="2" t="s">
        <v>243</v>
      </c>
      <c r="P2279" s="2" t="s">
        <v>270</v>
      </c>
      <c r="Q2279" s="2" t="s">
        <v>237</v>
      </c>
      <c r="R2279" s="2" t="s">
        <v>231</v>
      </c>
      <c r="S2279" s="2" t="s">
        <v>9972</v>
      </c>
      <c r="T2279" s="2" t="s">
        <v>4134</v>
      </c>
      <c r="U2279" s="2" t="s">
        <v>298</v>
      </c>
      <c r="V2279" s="2" t="s">
        <v>391</v>
      </c>
      <c r="W2279" s="2" t="s">
        <v>273</v>
      </c>
      <c r="X2279" s="2" t="s">
        <v>691</v>
      </c>
      <c r="Y2279" s="2" t="s">
        <v>4533</v>
      </c>
      <c r="Z2279" s="4">
        <v>2</v>
      </c>
      <c r="AA2279" s="4">
        <f>=ROUNDDOWN(0.0540540540540541,0)</f>
      </c>
      <c r="AB2279" s="5">
        <v>37</v>
      </c>
      <c r="AC2279" s="2" t="s">
        <v>1537</v>
      </c>
      <c r="AD2279" s="4">
        <v>50</v>
      </c>
      <c r="AE2279" s="4">
        <v>100</v>
      </c>
      <c r="AF2279" s="6">
        <v>74</v>
      </c>
      <c r="AG2279" s="6"/>
      <c r="AH2279" s="7">
        <v>0</v>
      </c>
      <c r="AI2279" s="4"/>
      <c r="AJ2279" s="4">
        <f>=ROUNDDOWN({0},0)</f>
      </c>
      <c r="AK2279" s="5"/>
      <c r="AL2279" s="2" t="s">
        <v>231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231</v>
      </c>
      <c r="AW2279" s="8" t="s">
        <v>231</v>
      </c>
      <c r="AX2279" s="4" t="s">
        <v>231</v>
      </c>
      <c r="AY2279" s="8" t="s">
        <v>231</v>
      </c>
      <c r="AZ2279" s="7" t="s">
        <v>231</v>
      </c>
      <c r="BA2279" s="7" t="s">
        <v>231</v>
      </c>
      <c r="BB2279" s="7"/>
      <c r="BC2279" s="4" t="s">
        <v>231</v>
      </c>
      <c r="BD2279" s="8" t="s">
        <v>231</v>
      </c>
      <c r="BE2279" s="4" t="s">
        <v>231</v>
      </c>
      <c r="BF2279" s="8" t="s">
        <v>231</v>
      </c>
      <c r="BG2279" s="7" t="s">
        <v>231</v>
      </c>
      <c r="BH2279" s="7" t="s">
        <v>231</v>
      </c>
      <c r="BI2279" s="7"/>
      <c r="BJ2279" s="4"/>
      <c r="BK2279" s="8"/>
      <c r="BL2279" s="2" t="s">
        <v>231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9975</v>
      </c>
      <c r="BV2279" s="2" t="s">
        <v>231</v>
      </c>
      <c r="BW2279" s="2" t="s">
        <v>231</v>
      </c>
      <c r="BX2279" s="2" t="s">
        <v>241</v>
      </c>
      <c r="BY2279" s="2" t="s">
        <v>277</v>
      </c>
      <c r="BZ2279" s="2" t="s">
        <v>243</v>
      </c>
      <c r="CA2279" s="2" t="s">
        <v>2515</v>
      </c>
      <c r="CB2279" s="2" t="s">
        <v>9137</v>
      </c>
      <c r="CC2279" s="2" t="s">
        <v>244</v>
      </c>
      <c r="CD2279" s="2" t="s">
        <v>231</v>
      </c>
      <c r="CE2279" s="4">
        <v>2</v>
      </c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>
        <v>50</v>
      </c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>
        <v>50</v>
      </c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</row>
    <row r="2280">
      <c r="A2280" s="2" t="s">
        <v>9976</v>
      </c>
      <c r="B2280" s="2" t="s">
        <v>287</v>
      </c>
      <c r="C2280" s="2" t="s">
        <v>631</v>
      </c>
      <c r="D2280" s="2" t="s">
        <v>289</v>
      </c>
      <c r="E2280" s="2" t="s">
        <v>290</v>
      </c>
      <c r="F2280" s="2" t="s">
        <v>9961</v>
      </c>
      <c r="G2280" s="2" t="s">
        <v>9961</v>
      </c>
      <c r="H2280" s="2" t="s">
        <v>9961</v>
      </c>
      <c r="I2280" s="2" t="s">
        <v>9962</v>
      </c>
      <c r="J2280" s="2" t="s">
        <v>304</v>
      </c>
      <c r="K2280" s="2" t="s">
        <v>9971</v>
      </c>
      <c r="L2280" s="3">
        <v>28.68</v>
      </c>
      <c r="M2280" s="3">
        <v>30.11</v>
      </c>
      <c r="N2280" s="3">
        <v>62.99</v>
      </c>
      <c r="O2280" s="2" t="s">
        <v>243</v>
      </c>
      <c r="P2280" s="2" t="s">
        <v>270</v>
      </c>
      <c r="Q2280" s="2" t="s">
        <v>237</v>
      </c>
      <c r="R2280" s="2" t="s">
        <v>231</v>
      </c>
      <c r="S2280" s="2" t="s">
        <v>9972</v>
      </c>
      <c r="T2280" s="2" t="s">
        <v>4134</v>
      </c>
      <c r="U2280" s="2" t="s">
        <v>298</v>
      </c>
      <c r="V2280" s="2" t="s">
        <v>391</v>
      </c>
      <c r="W2280" s="2" t="s">
        <v>273</v>
      </c>
      <c r="X2280" s="2" t="s">
        <v>691</v>
      </c>
      <c r="Y2280" s="2" t="s">
        <v>4533</v>
      </c>
      <c r="Z2280" s="4">
        <v>118</v>
      </c>
      <c r="AA2280" s="4">
        <f>=ROUNDDOWN(8.87218045112782,0)</f>
      </c>
      <c r="AB2280" s="5">
        <v>13.3</v>
      </c>
      <c r="AC2280" s="2" t="s">
        <v>1537</v>
      </c>
      <c r="AD2280" s="4">
        <v>20</v>
      </c>
      <c r="AE2280" s="4">
        <v>40</v>
      </c>
      <c r="AF2280" s="6">
        <v>74</v>
      </c>
      <c r="AG2280" s="6"/>
      <c r="AH2280" s="7">
        <v>1</v>
      </c>
      <c r="AI2280" s="4"/>
      <c r="AJ2280" s="4">
        <f>=ROUNDDOWN({0},0)</f>
      </c>
      <c r="AK2280" s="5"/>
      <c r="AL2280" s="2" t="s">
        <v>231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231</v>
      </c>
      <c r="AW2280" s="8" t="s">
        <v>231</v>
      </c>
      <c r="AX2280" s="4" t="s">
        <v>231</v>
      </c>
      <c r="AY2280" s="8" t="s">
        <v>231</v>
      </c>
      <c r="AZ2280" s="7" t="s">
        <v>231</v>
      </c>
      <c r="BA2280" s="7" t="s">
        <v>231</v>
      </c>
      <c r="BB2280" s="7"/>
      <c r="BC2280" s="4" t="s">
        <v>231</v>
      </c>
      <c r="BD2280" s="8" t="s">
        <v>231</v>
      </c>
      <c r="BE2280" s="4" t="s">
        <v>231</v>
      </c>
      <c r="BF2280" s="8" t="s">
        <v>231</v>
      </c>
      <c r="BG2280" s="7" t="s">
        <v>231</v>
      </c>
      <c r="BH2280" s="7" t="s">
        <v>231</v>
      </c>
      <c r="BI2280" s="7"/>
      <c r="BJ2280" s="4">
        <v>11</v>
      </c>
      <c r="BK2280" s="8">
        <v>350.23</v>
      </c>
      <c r="BL2280" s="2" t="s">
        <v>3144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9977</v>
      </c>
      <c r="BV2280" s="2" t="s">
        <v>231</v>
      </c>
      <c r="BW2280" s="2" t="s">
        <v>231</v>
      </c>
      <c r="BX2280" s="2" t="s">
        <v>241</v>
      </c>
      <c r="BY2280" s="2" t="s">
        <v>277</v>
      </c>
      <c r="BZ2280" s="2" t="s">
        <v>243</v>
      </c>
      <c r="CA2280" s="2" t="s">
        <v>2515</v>
      </c>
      <c r="CB2280" s="2" t="s">
        <v>3136</v>
      </c>
      <c r="CC2280" s="2" t="s">
        <v>244</v>
      </c>
      <c r="CD2280" s="2" t="s">
        <v>231</v>
      </c>
      <c r="CE2280" s="4">
        <v>118</v>
      </c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>
        <v>20</v>
      </c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>
        <v>20</v>
      </c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</row>
    <row r="2281">
      <c r="A2281" s="2" t="s">
        <v>9978</v>
      </c>
      <c r="B2281" s="2" t="s">
        <v>287</v>
      </c>
      <c r="C2281" s="2" t="s">
        <v>631</v>
      </c>
      <c r="D2281" s="2" t="s">
        <v>289</v>
      </c>
      <c r="E2281" s="2" t="s">
        <v>290</v>
      </c>
      <c r="F2281" s="2" t="s">
        <v>9961</v>
      </c>
      <c r="G2281" s="2" t="s">
        <v>9961</v>
      </c>
      <c r="H2281" s="2" t="s">
        <v>9961</v>
      </c>
      <c r="I2281" s="2" t="s">
        <v>9962</v>
      </c>
      <c r="J2281" s="2" t="s">
        <v>281</v>
      </c>
      <c r="K2281" s="2" t="s">
        <v>9979</v>
      </c>
      <c r="L2281" s="3">
        <v>22</v>
      </c>
      <c r="M2281" s="3">
        <v>23.1</v>
      </c>
      <c r="N2281" s="3">
        <v>47.99</v>
      </c>
      <c r="O2281" s="2" t="s">
        <v>243</v>
      </c>
      <c r="P2281" s="2" t="s">
        <v>236</v>
      </c>
      <c r="Q2281" s="2" t="s">
        <v>237</v>
      </c>
      <c r="R2281" s="2" t="s">
        <v>231</v>
      </c>
      <c r="S2281" s="2" t="s">
        <v>9980</v>
      </c>
      <c r="T2281" s="2" t="s">
        <v>4134</v>
      </c>
      <c r="U2281" s="2" t="s">
        <v>298</v>
      </c>
      <c r="V2281" s="2" t="s">
        <v>4046</v>
      </c>
      <c r="W2281" s="2" t="s">
        <v>273</v>
      </c>
      <c r="X2281" s="2" t="s">
        <v>691</v>
      </c>
      <c r="Y2281" s="2" t="s">
        <v>231</v>
      </c>
      <c r="Z2281" s="4"/>
      <c r="AA2281" s="4">
        <f>=ROUNDDOWN({0},0)</f>
      </c>
      <c r="AB2281" s="5"/>
      <c r="AC2281" s="2" t="s">
        <v>4195</v>
      </c>
      <c r="AD2281" s="4">
        <v>253</v>
      </c>
      <c r="AE2281" s="4">
        <v>405</v>
      </c>
      <c r="AF2281" s="6">
        <v>69</v>
      </c>
      <c r="AG2281" s="6"/>
      <c r="AH2281" s="7">
        <v>0</v>
      </c>
      <c r="AI2281" s="4"/>
      <c r="AJ2281" s="4">
        <f>=ROUNDDOWN({0},0)</f>
      </c>
      <c r="AK2281" s="5"/>
      <c r="AL2281" s="2" t="s">
        <v>231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231</v>
      </c>
      <c r="AW2281" s="8" t="s">
        <v>231</v>
      </c>
      <c r="AX2281" s="4" t="s">
        <v>231</v>
      </c>
      <c r="AY2281" s="8" t="s">
        <v>231</v>
      </c>
      <c r="AZ2281" s="7" t="s">
        <v>231</v>
      </c>
      <c r="BA2281" s="7" t="s">
        <v>231</v>
      </c>
      <c r="BB2281" s="7"/>
      <c r="BC2281" s="4" t="s">
        <v>231</v>
      </c>
      <c r="BD2281" s="8" t="s">
        <v>231</v>
      </c>
      <c r="BE2281" s="4" t="s">
        <v>231</v>
      </c>
      <c r="BF2281" s="8" t="s">
        <v>231</v>
      </c>
      <c r="BG2281" s="7" t="s">
        <v>231</v>
      </c>
      <c r="BH2281" s="7" t="s">
        <v>231</v>
      </c>
      <c r="BI2281" s="7"/>
      <c r="BJ2281" s="4"/>
      <c r="BK2281" s="8"/>
      <c r="BL2281" s="2" t="s">
        <v>231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241</v>
      </c>
      <c r="BV2281" s="2" t="s">
        <v>231</v>
      </c>
      <c r="BW2281" s="2" t="s">
        <v>231</v>
      </c>
      <c r="BX2281" s="2" t="s">
        <v>241</v>
      </c>
      <c r="BY2281" s="2" t="s">
        <v>242</v>
      </c>
      <c r="BZ2281" s="2" t="s">
        <v>243</v>
      </c>
      <c r="CA2281" s="2" t="s">
        <v>231</v>
      </c>
      <c r="CB2281" s="2" t="s">
        <v>231</v>
      </c>
      <c r="CC2281" s="2" t="s">
        <v>244</v>
      </c>
      <c r="CD2281" s="2" t="s">
        <v>231</v>
      </c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>
        <v>253</v>
      </c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>
        <v>152</v>
      </c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</row>
    <row r="2282">
      <c r="A2282" s="2" t="s">
        <v>9981</v>
      </c>
      <c r="B2282" s="2" t="s">
        <v>287</v>
      </c>
      <c r="C2282" s="2" t="s">
        <v>631</v>
      </c>
      <c r="D2282" s="2" t="s">
        <v>289</v>
      </c>
      <c r="E2282" s="2" t="s">
        <v>290</v>
      </c>
      <c r="F2282" s="2" t="s">
        <v>9961</v>
      </c>
      <c r="G2282" s="2" t="s">
        <v>9961</v>
      </c>
      <c r="H2282" s="2" t="s">
        <v>9961</v>
      </c>
      <c r="I2282" s="2" t="s">
        <v>9962</v>
      </c>
      <c r="J2282" s="2" t="s">
        <v>293</v>
      </c>
      <c r="K2282" s="2" t="s">
        <v>9979</v>
      </c>
      <c r="L2282" s="3">
        <v>25.85</v>
      </c>
      <c r="M2282" s="3">
        <v>27.14</v>
      </c>
      <c r="N2282" s="3">
        <v>55.99</v>
      </c>
      <c r="O2282" s="2" t="s">
        <v>243</v>
      </c>
      <c r="P2282" s="2" t="s">
        <v>236</v>
      </c>
      <c r="Q2282" s="2" t="s">
        <v>237</v>
      </c>
      <c r="R2282" s="2" t="s">
        <v>231</v>
      </c>
      <c r="S2282" s="2" t="s">
        <v>9980</v>
      </c>
      <c r="T2282" s="2" t="s">
        <v>4134</v>
      </c>
      <c r="U2282" s="2" t="s">
        <v>298</v>
      </c>
      <c r="V2282" s="2" t="s">
        <v>4046</v>
      </c>
      <c r="W2282" s="2" t="s">
        <v>273</v>
      </c>
      <c r="X2282" s="2" t="s">
        <v>691</v>
      </c>
      <c r="Y2282" s="2" t="s">
        <v>231</v>
      </c>
      <c r="Z2282" s="4"/>
      <c r="AA2282" s="4">
        <f>=ROUNDDOWN({0},0)</f>
      </c>
      <c r="AB2282" s="5"/>
      <c r="AC2282" s="2" t="s">
        <v>4195</v>
      </c>
      <c r="AD2282" s="4">
        <v>479</v>
      </c>
      <c r="AE2282" s="4">
        <v>766</v>
      </c>
      <c r="AF2282" s="6">
        <v>69</v>
      </c>
      <c r="AG2282" s="6"/>
      <c r="AH2282" s="7">
        <v>0</v>
      </c>
      <c r="AI2282" s="4"/>
      <c r="AJ2282" s="4">
        <f>=ROUNDDOWN({0},0)</f>
      </c>
      <c r="AK2282" s="5"/>
      <c r="AL2282" s="2" t="s">
        <v>231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231</v>
      </c>
      <c r="AW2282" s="8" t="s">
        <v>231</v>
      </c>
      <c r="AX2282" s="4" t="s">
        <v>231</v>
      </c>
      <c r="AY2282" s="8" t="s">
        <v>231</v>
      </c>
      <c r="AZ2282" s="7" t="s">
        <v>231</v>
      </c>
      <c r="BA2282" s="7" t="s">
        <v>231</v>
      </c>
      <c r="BB2282" s="7"/>
      <c r="BC2282" s="4" t="s">
        <v>231</v>
      </c>
      <c r="BD2282" s="8" t="s">
        <v>231</v>
      </c>
      <c r="BE2282" s="4" t="s">
        <v>231</v>
      </c>
      <c r="BF2282" s="8" t="s">
        <v>231</v>
      </c>
      <c r="BG2282" s="7" t="s">
        <v>231</v>
      </c>
      <c r="BH2282" s="7" t="s">
        <v>231</v>
      </c>
      <c r="BI2282" s="7"/>
      <c r="BJ2282" s="4"/>
      <c r="BK2282" s="8"/>
      <c r="BL2282" s="2" t="s">
        <v>231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241</v>
      </c>
      <c r="BV2282" s="2" t="s">
        <v>231</v>
      </c>
      <c r="BW2282" s="2" t="s">
        <v>231</v>
      </c>
      <c r="BX2282" s="2" t="s">
        <v>241</v>
      </c>
      <c r="BY2282" s="2" t="s">
        <v>242</v>
      </c>
      <c r="BZ2282" s="2" t="s">
        <v>243</v>
      </c>
      <c r="CA2282" s="2" t="s">
        <v>231</v>
      </c>
      <c r="CB2282" s="2" t="s">
        <v>231</v>
      </c>
      <c r="CC2282" s="2" t="s">
        <v>244</v>
      </c>
      <c r="CD2282" s="2" t="s">
        <v>231</v>
      </c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>
        <v>479</v>
      </c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>
        <v>287</v>
      </c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</row>
    <row r="2283">
      <c r="A2283" s="2" t="s">
        <v>9982</v>
      </c>
      <c r="B2283" s="2" t="s">
        <v>287</v>
      </c>
      <c r="C2283" s="2" t="s">
        <v>631</v>
      </c>
      <c r="D2283" s="2" t="s">
        <v>289</v>
      </c>
      <c r="E2283" s="2" t="s">
        <v>290</v>
      </c>
      <c r="F2283" s="2" t="s">
        <v>9961</v>
      </c>
      <c r="G2283" s="2" t="s">
        <v>9961</v>
      </c>
      <c r="H2283" s="2" t="s">
        <v>9961</v>
      </c>
      <c r="I2283" s="2" t="s">
        <v>9962</v>
      </c>
      <c r="J2283" s="2" t="s">
        <v>302</v>
      </c>
      <c r="K2283" s="2" t="s">
        <v>9979</v>
      </c>
      <c r="L2283" s="3">
        <v>28.68</v>
      </c>
      <c r="M2283" s="3">
        <v>30.11</v>
      </c>
      <c r="N2283" s="3">
        <v>62.99</v>
      </c>
      <c r="O2283" s="2" t="s">
        <v>243</v>
      </c>
      <c r="P2283" s="2" t="s">
        <v>236</v>
      </c>
      <c r="Q2283" s="2" t="s">
        <v>237</v>
      </c>
      <c r="R2283" s="2" t="s">
        <v>231</v>
      </c>
      <c r="S2283" s="2" t="s">
        <v>9980</v>
      </c>
      <c r="T2283" s="2" t="s">
        <v>4134</v>
      </c>
      <c r="U2283" s="2" t="s">
        <v>298</v>
      </c>
      <c r="V2283" s="2" t="s">
        <v>4046</v>
      </c>
      <c r="W2283" s="2" t="s">
        <v>273</v>
      </c>
      <c r="X2283" s="2" t="s">
        <v>691</v>
      </c>
      <c r="Y2283" s="2" t="s">
        <v>231</v>
      </c>
      <c r="Z2283" s="4"/>
      <c r="AA2283" s="4">
        <f>=ROUNDDOWN({0},0)</f>
      </c>
      <c r="AB2283" s="5"/>
      <c r="AC2283" s="2" t="s">
        <v>4195</v>
      </c>
      <c r="AD2283" s="4">
        <v>247</v>
      </c>
      <c r="AE2283" s="4">
        <v>395</v>
      </c>
      <c r="AF2283" s="6">
        <v>69</v>
      </c>
      <c r="AG2283" s="6"/>
      <c r="AH2283" s="7">
        <v>0</v>
      </c>
      <c r="AI2283" s="4"/>
      <c r="AJ2283" s="4">
        <f>=ROUNDDOWN({0},0)</f>
      </c>
      <c r="AK2283" s="5"/>
      <c r="AL2283" s="2" t="s">
        <v>231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231</v>
      </c>
      <c r="AW2283" s="8" t="s">
        <v>231</v>
      </c>
      <c r="AX2283" s="4" t="s">
        <v>231</v>
      </c>
      <c r="AY2283" s="8" t="s">
        <v>231</v>
      </c>
      <c r="AZ2283" s="7" t="s">
        <v>231</v>
      </c>
      <c r="BA2283" s="7" t="s">
        <v>231</v>
      </c>
      <c r="BB2283" s="7"/>
      <c r="BC2283" s="4" t="s">
        <v>231</v>
      </c>
      <c r="BD2283" s="8" t="s">
        <v>231</v>
      </c>
      <c r="BE2283" s="4" t="s">
        <v>231</v>
      </c>
      <c r="BF2283" s="8" t="s">
        <v>231</v>
      </c>
      <c r="BG2283" s="7" t="s">
        <v>231</v>
      </c>
      <c r="BH2283" s="7" t="s">
        <v>231</v>
      </c>
      <c r="BI2283" s="7"/>
      <c r="BJ2283" s="4"/>
      <c r="BK2283" s="8"/>
      <c r="BL2283" s="2" t="s">
        <v>231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241</v>
      </c>
      <c r="BV2283" s="2" t="s">
        <v>231</v>
      </c>
      <c r="BW2283" s="2" t="s">
        <v>231</v>
      </c>
      <c r="BX2283" s="2" t="s">
        <v>241</v>
      </c>
      <c r="BY2283" s="2" t="s">
        <v>242</v>
      </c>
      <c r="BZ2283" s="2" t="s">
        <v>243</v>
      </c>
      <c r="CA2283" s="2" t="s">
        <v>231</v>
      </c>
      <c r="CB2283" s="2" t="s">
        <v>231</v>
      </c>
      <c r="CC2283" s="2" t="s">
        <v>244</v>
      </c>
      <c r="CD2283" s="2" t="s">
        <v>231</v>
      </c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>
        <v>247</v>
      </c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>
        <v>148</v>
      </c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</row>
    <row r="2284">
      <c r="A2284" s="2" t="s">
        <v>9983</v>
      </c>
      <c r="B2284" s="2" t="s">
        <v>287</v>
      </c>
      <c r="C2284" s="2" t="s">
        <v>631</v>
      </c>
      <c r="D2284" s="2" t="s">
        <v>289</v>
      </c>
      <c r="E2284" s="2" t="s">
        <v>290</v>
      </c>
      <c r="F2284" s="2" t="s">
        <v>9961</v>
      </c>
      <c r="G2284" s="2" t="s">
        <v>9961</v>
      </c>
      <c r="H2284" s="2" t="s">
        <v>9961</v>
      </c>
      <c r="I2284" s="2" t="s">
        <v>9962</v>
      </c>
      <c r="J2284" s="2" t="s">
        <v>304</v>
      </c>
      <c r="K2284" s="2" t="s">
        <v>9979</v>
      </c>
      <c r="L2284" s="3">
        <v>28.68</v>
      </c>
      <c r="M2284" s="3">
        <v>30.11</v>
      </c>
      <c r="N2284" s="3">
        <v>62.99</v>
      </c>
      <c r="O2284" s="2" t="s">
        <v>243</v>
      </c>
      <c r="P2284" s="2" t="s">
        <v>236</v>
      </c>
      <c r="Q2284" s="2" t="s">
        <v>237</v>
      </c>
      <c r="R2284" s="2" t="s">
        <v>231</v>
      </c>
      <c r="S2284" s="2" t="s">
        <v>9980</v>
      </c>
      <c r="T2284" s="2" t="s">
        <v>4134</v>
      </c>
      <c r="U2284" s="2" t="s">
        <v>298</v>
      </c>
      <c r="V2284" s="2" t="s">
        <v>4046</v>
      </c>
      <c r="W2284" s="2" t="s">
        <v>273</v>
      </c>
      <c r="X2284" s="2" t="s">
        <v>691</v>
      </c>
      <c r="Y2284" s="2" t="s">
        <v>231</v>
      </c>
      <c r="Z2284" s="4"/>
      <c r="AA2284" s="4">
        <f>=ROUNDDOWN({0},0)</f>
      </c>
      <c r="AB2284" s="5"/>
      <c r="AC2284" s="2" t="s">
        <v>4195</v>
      </c>
      <c r="AD2284" s="4">
        <v>145</v>
      </c>
      <c r="AE2284" s="4">
        <v>232</v>
      </c>
      <c r="AF2284" s="6">
        <v>69</v>
      </c>
      <c r="AG2284" s="6"/>
      <c r="AH2284" s="7">
        <v>0</v>
      </c>
      <c r="AI2284" s="4"/>
      <c r="AJ2284" s="4">
        <f>=ROUNDDOWN({0},0)</f>
      </c>
      <c r="AK2284" s="5"/>
      <c r="AL2284" s="2" t="s">
        <v>231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231</v>
      </c>
      <c r="AW2284" s="8" t="s">
        <v>231</v>
      </c>
      <c r="AX2284" s="4" t="s">
        <v>231</v>
      </c>
      <c r="AY2284" s="8" t="s">
        <v>231</v>
      </c>
      <c r="AZ2284" s="7" t="s">
        <v>231</v>
      </c>
      <c r="BA2284" s="7" t="s">
        <v>231</v>
      </c>
      <c r="BB2284" s="7"/>
      <c r="BC2284" s="4" t="s">
        <v>231</v>
      </c>
      <c r="BD2284" s="8" t="s">
        <v>231</v>
      </c>
      <c r="BE2284" s="4" t="s">
        <v>231</v>
      </c>
      <c r="BF2284" s="8" t="s">
        <v>231</v>
      </c>
      <c r="BG2284" s="7" t="s">
        <v>231</v>
      </c>
      <c r="BH2284" s="7" t="s">
        <v>231</v>
      </c>
      <c r="BI2284" s="7"/>
      <c r="BJ2284" s="4"/>
      <c r="BK2284" s="8"/>
      <c r="BL2284" s="2" t="s">
        <v>231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241</v>
      </c>
      <c r="BV2284" s="2" t="s">
        <v>231</v>
      </c>
      <c r="BW2284" s="2" t="s">
        <v>231</v>
      </c>
      <c r="BX2284" s="2" t="s">
        <v>241</v>
      </c>
      <c r="BY2284" s="2" t="s">
        <v>242</v>
      </c>
      <c r="BZ2284" s="2" t="s">
        <v>243</v>
      </c>
      <c r="CA2284" s="2" t="s">
        <v>231</v>
      </c>
      <c r="CB2284" s="2" t="s">
        <v>231</v>
      </c>
      <c r="CC2284" s="2" t="s">
        <v>244</v>
      </c>
      <c r="CD2284" s="2" t="s">
        <v>231</v>
      </c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>
        <v>145</v>
      </c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>
        <v>87</v>
      </c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</row>
    <row r="2285">
      <c r="A2285" s="2" t="s">
        <v>9984</v>
      </c>
      <c r="B2285" s="2" t="s">
        <v>287</v>
      </c>
      <c r="C2285" s="2" t="s">
        <v>631</v>
      </c>
      <c r="D2285" s="2" t="s">
        <v>289</v>
      </c>
      <c r="E2285" s="2" t="s">
        <v>290</v>
      </c>
      <c r="F2285" s="2" t="s">
        <v>9961</v>
      </c>
      <c r="G2285" s="2" t="s">
        <v>9961</v>
      </c>
      <c r="H2285" s="2" t="s">
        <v>9961</v>
      </c>
      <c r="I2285" s="2" t="s">
        <v>9962</v>
      </c>
      <c r="J2285" s="2" t="s">
        <v>293</v>
      </c>
      <c r="K2285" s="2" t="s">
        <v>9985</v>
      </c>
      <c r="L2285" s="3">
        <v>25.85</v>
      </c>
      <c r="M2285" s="3">
        <v>27.14</v>
      </c>
      <c r="N2285" s="3">
        <v>55.99</v>
      </c>
      <c r="O2285" s="2" t="s">
        <v>243</v>
      </c>
      <c r="P2285" s="2" t="s">
        <v>1281</v>
      </c>
      <c r="Q2285" s="2" t="s">
        <v>237</v>
      </c>
      <c r="R2285" s="2" t="s">
        <v>231</v>
      </c>
      <c r="S2285" s="2" t="s">
        <v>9986</v>
      </c>
      <c r="T2285" s="2" t="s">
        <v>4134</v>
      </c>
      <c r="U2285" s="2" t="s">
        <v>298</v>
      </c>
      <c r="V2285" s="2" t="s">
        <v>1685</v>
      </c>
      <c r="W2285" s="2" t="s">
        <v>273</v>
      </c>
      <c r="X2285" s="2" t="s">
        <v>691</v>
      </c>
      <c r="Y2285" s="2" t="s">
        <v>1351</v>
      </c>
      <c r="Z2285" s="4">
        <v>1</v>
      </c>
      <c r="AA2285" s="4">
        <f>=ROUNDDOWN(0.0344827586206897,0)</f>
      </c>
      <c r="AB2285" s="5">
        <v>29</v>
      </c>
      <c r="AC2285" s="2" t="s">
        <v>4449</v>
      </c>
      <c r="AD2285" s="4">
        <v>244</v>
      </c>
      <c r="AE2285" s="4">
        <v>944</v>
      </c>
      <c r="AF2285" s="6">
        <v>65</v>
      </c>
      <c r="AG2285" s="6"/>
      <c r="AH2285" s="7">
        <v>0</v>
      </c>
      <c r="AI2285" s="4"/>
      <c r="AJ2285" s="4">
        <f>=ROUNDDOWN({0},0)</f>
      </c>
      <c r="AK2285" s="5"/>
      <c r="AL2285" s="2" t="s">
        <v>231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231</v>
      </c>
      <c r="AW2285" s="8" t="s">
        <v>231</v>
      </c>
      <c r="AX2285" s="4" t="s">
        <v>231</v>
      </c>
      <c r="AY2285" s="8" t="s">
        <v>231</v>
      </c>
      <c r="AZ2285" s="7" t="s">
        <v>231</v>
      </c>
      <c r="BA2285" s="7" t="s">
        <v>231</v>
      </c>
      <c r="BB2285" s="7"/>
      <c r="BC2285" s="4" t="s">
        <v>231</v>
      </c>
      <c r="BD2285" s="8" t="s">
        <v>231</v>
      </c>
      <c r="BE2285" s="4" t="s">
        <v>231</v>
      </c>
      <c r="BF2285" s="8" t="s">
        <v>231</v>
      </c>
      <c r="BG2285" s="7" t="s">
        <v>231</v>
      </c>
      <c r="BH2285" s="7" t="s">
        <v>231</v>
      </c>
      <c r="BI2285" s="7"/>
      <c r="BJ2285" s="4"/>
      <c r="BK2285" s="8"/>
      <c r="BL2285" s="2" t="s">
        <v>231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9987</v>
      </c>
      <c r="BV2285" s="2" t="s">
        <v>231</v>
      </c>
      <c r="BW2285" s="2" t="s">
        <v>231</v>
      </c>
      <c r="BX2285" s="2" t="s">
        <v>231</v>
      </c>
      <c r="BY2285" s="2" t="s">
        <v>277</v>
      </c>
      <c r="BZ2285" s="2" t="s">
        <v>243</v>
      </c>
      <c r="CA2285" s="2" t="s">
        <v>1351</v>
      </c>
      <c r="CB2285" s="2" t="s">
        <v>6796</v>
      </c>
      <c r="CC2285" s="2" t="s">
        <v>244</v>
      </c>
      <c r="CD2285" s="2" t="s">
        <v>231</v>
      </c>
      <c r="CE2285" s="4">
        <v>1</v>
      </c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>
        <v>244</v>
      </c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>
        <v>448</v>
      </c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>
        <v>252</v>
      </c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</row>
    <row r="2286">
      <c r="A2286" s="2" t="s">
        <v>9988</v>
      </c>
      <c r="B2286" s="2" t="s">
        <v>287</v>
      </c>
      <c r="C2286" s="2" t="s">
        <v>631</v>
      </c>
      <c r="D2286" s="2" t="s">
        <v>289</v>
      </c>
      <c r="E2286" s="2" t="s">
        <v>290</v>
      </c>
      <c r="F2286" s="2" t="s">
        <v>9961</v>
      </c>
      <c r="G2286" s="2" t="s">
        <v>9961</v>
      </c>
      <c r="H2286" s="2" t="s">
        <v>9961</v>
      </c>
      <c r="I2286" s="2" t="s">
        <v>9962</v>
      </c>
      <c r="J2286" s="2" t="s">
        <v>302</v>
      </c>
      <c r="K2286" s="2" t="s">
        <v>9985</v>
      </c>
      <c r="L2286" s="3">
        <v>28.68</v>
      </c>
      <c r="M2286" s="3">
        <v>30.11</v>
      </c>
      <c r="N2286" s="3">
        <v>62.99</v>
      </c>
      <c r="O2286" s="2" t="s">
        <v>243</v>
      </c>
      <c r="P2286" s="2" t="s">
        <v>270</v>
      </c>
      <c r="Q2286" s="2" t="s">
        <v>237</v>
      </c>
      <c r="R2286" s="2" t="s">
        <v>231</v>
      </c>
      <c r="S2286" s="2" t="s">
        <v>9986</v>
      </c>
      <c r="T2286" s="2" t="s">
        <v>4134</v>
      </c>
      <c r="U2286" s="2" t="s">
        <v>298</v>
      </c>
      <c r="V2286" s="2" t="s">
        <v>1685</v>
      </c>
      <c r="W2286" s="2" t="s">
        <v>273</v>
      </c>
      <c r="X2286" s="2" t="s">
        <v>691</v>
      </c>
      <c r="Y2286" s="2" t="s">
        <v>1351</v>
      </c>
      <c r="Z2286" s="4">
        <v>1</v>
      </c>
      <c r="AA2286" s="4">
        <f>=ROUNDDOWN(0.0714285714285714,0)</f>
      </c>
      <c r="AB2286" s="5">
        <v>14</v>
      </c>
      <c r="AC2286" s="2" t="s">
        <v>4449</v>
      </c>
      <c r="AD2286" s="4">
        <v>123</v>
      </c>
      <c r="AE2286" s="4">
        <v>481</v>
      </c>
      <c r="AF2286" s="6">
        <v>65</v>
      </c>
      <c r="AG2286" s="6"/>
      <c r="AH2286" s="7">
        <v>0</v>
      </c>
      <c r="AI2286" s="4"/>
      <c r="AJ2286" s="4">
        <f>=ROUNDDOWN({0},0)</f>
      </c>
      <c r="AK2286" s="5"/>
      <c r="AL2286" s="2" t="s">
        <v>231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231</v>
      </c>
      <c r="AW2286" s="8" t="s">
        <v>231</v>
      </c>
      <c r="AX2286" s="4" t="s">
        <v>231</v>
      </c>
      <c r="AY2286" s="8" t="s">
        <v>231</v>
      </c>
      <c r="AZ2286" s="7" t="s">
        <v>231</v>
      </c>
      <c r="BA2286" s="7" t="s">
        <v>231</v>
      </c>
      <c r="BB2286" s="7"/>
      <c r="BC2286" s="4" t="s">
        <v>231</v>
      </c>
      <c r="BD2286" s="8" t="s">
        <v>231</v>
      </c>
      <c r="BE2286" s="4" t="s">
        <v>231</v>
      </c>
      <c r="BF2286" s="8" t="s">
        <v>231</v>
      </c>
      <c r="BG2286" s="7" t="s">
        <v>231</v>
      </c>
      <c r="BH2286" s="7" t="s">
        <v>231</v>
      </c>
      <c r="BI2286" s="7"/>
      <c r="BJ2286" s="4"/>
      <c r="BK2286" s="8"/>
      <c r="BL2286" s="2" t="s">
        <v>231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9989</v>
      </c>
      <c r="BV2286" s="2" t="s">
        <v>231</v>
      </c>
      <c r="BW2286" s="2" t="s">
        <v>231</v>
      </c>
      <c r="BX2286" s="2" t="s">
        <v>231</v>
      </c>
      <c r="BY2286" s="2" t="s">
        <v>277</v>
      </c>
      <c r="BZ2286" s="2" t="s">
        <v>243</v>
      </c>
      <c r="CA2286" s="2" t="s">
        <v>1351</v>
      </c>
      <c r="CB2286" s="2" t="s">
        <v>9990</v>
      </c>
      <c r="CC2286" s="2" t="s">
        <v>244</v>
      </c>
      <c r="CD2286" s="2" t="s">
        <v>231</v>
      </c>
      <c r="CE2286" s="4">
        <v>1</v>
      </c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>
        <v>123</v>
      </c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>
        <v>234</v>
      </c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>
        <v>124</v>
      </c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</row>
    <row r="2287">
      <c r="A2287" s="2" t="s">
        <v>9991</v>
      </c>
      <c r="B2287" s="2" t="s">
        <v>287</v>
      </c>
      <c r="C2287" s="2" t="s">
        <v>631</v>
      </c>
      <c r="D2287" s="2" t="s">
        <v>289</v>
      </c>
      <c r="E2287" s="2" t="s">
        <v>290</v>
      </c>
      <c r="F2287" s="2" t="s">
        <v>9961</v>
      </c>
      <c r="G2287" s="2" t="s">
        <v>9961</v>
      </c>
      <c r="H2287" s="2" t="s">
        <v>9961</v>
      </c>
      <c r="I2287" s="2" t="s">
        <v>9962</v>
      </c>
      <c r="J2287" s="2" t="s">
        <v>304</v>
      </c>
      <c r="K2287" s="2" t="s">
        <v>9985</v>
      </c>
      <c r="L2287" s="3">
        <v>28.68</v>
      </c>
      <c r="M2287" s="3">
        <v>30.11</v>
      </c>
      <c r="N2287" s="3">
        <v>62.99</v>
      </c>
      <c r="O2287" s="2" t="s">
        <v>243</v>
      </c>
      <c r="P2287" s="2" t="s">
        <v>270</v>
      </c>
      <c r="Q2287" s="2" t="s">
        <v>237</v>
      </c>
      <c r="R2287" s="2" t="s">
        <v>231</v>
      </c>
      <c r="S2287" s="2" t="s">
        <v>9986</v>
      </c>
      <c r="T2287" s="2" t="s">
        <v>4134</v>
      </c>
      <c r="U2287" s="2" t="s">
        <v>298</v>
      </c>
      <c r="V2287" s="2" t="s">
        <v>1685</v>
      </c>
      <c r="W2287" s="2" t="s">
        <v>273</v>
      </c>
      <c r="X2287" s="2" t="s">
        <v>691</v>
      </c>
      <c r="Y2287" s="2" t="s">
        <v>1351</v>
      </c>
      <c r="Z2287" s="4">
        <v>2</v>
      </c>
      <c r="AA2287" s="4">
        <f>=ROUNDDOWN(0.285714285714286,0)</f>
      </c>
      <c r="AB2287" s="5">
        <v>7</v>
      </c>
      <c r="AC2287" s="2" t="s">
        <v>4449</v>
      </c>
      <c r="AD2287" s="4">
        <v>67</v>
      </c>
      <c r="AE2287" s="4">
        <v>268</v>
      </c>
      <c r="AF2287" s="6">
        <v>65</v>
      </c>
      <c r="AG2287" s="6"/>
      <c r="AH2287" s="7">
        <v>0</v>
      </c>
      <c r="AI2287" s="4"/>
      <c r="AJ2287" s="4">
        <f>=ROUNDDOWN({0},0)</f>
      </c>
      <c r="AK2287" s="5"/>
      <c r="AL2287" s="2" t="s">
        <v>231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231</v>
      </c>
      <c r="AW2287" s="8" t="s">
        <v>231</v>
      </c>
      <c r="AX2287" s="4" t="s">
        <v>231</v>
      </c>
      <c r="AY2287" s="8" t="s">
        <v>231</v>
      </c>
      <c r="AZ2287" s="7" t="s">
        <v>231</v>
      </c>
      <c r="BA2287" s="7" t="s">
        <v>231</v>
      </c>
      <c r="BB2287" s="7"/>
      <c r="BC2287" s="4" t="s">
        <v>231</v>
      </c>
      <c r="BD2287" s="8" t="s">
        <v>231</v>
      </c>
      <c r="BE2287" s="4" t="s">
        <v>231</v>
      </c>
      <c r="BF2287" s="8" t="s">
        <v>231</v>
      </c>
      <c r="BG2287" s="7" t="s">
        <v>231</v>
      </c>
      <c r="BH2287" s="7" t="s">
        <v>231</v>
      </c>
      <c r="BI2287" s="7"/>
      <c r="BJ2287" s="4"/>
      <c r="BK2287" s="8"/>
      <c r="BL2287" s="2" t="s">
        <v>6349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9992</v>
      </c>
      <c r="BV2287" s="2" t="s">
        <v>231</v>
      </c>
      <c r="BW2287" s="2" t="s">
        <v>231</v>
      </c>
      <c r="BX2287" s="2" t="s">
        <v>231</v>
      </c>
      <c r="BY2287" s="2" t="s">
        <v>277</v>
      </c>
      <c r="BZ2287" s="2" t="s">
        <v>243</v>
      </c>
      <c r="CA2287" s="2" t="s">
        <v>1351</v>
      </c>
      <c r="CB2287" s="2" t="s">
        <v>9993</v>
      </c>
      <c r="CC2287" s="2" t="s">
        <v>244</v>
      </c>
      <c r="CD2287" s="2" t="s">
        <v>231</v>
      </c>
      <c r="CE2287" s="4">
        <v>2</v>
      </c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>
        <v>67</v>
      </c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>
        <v>143</v>
      </c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>
        <v>58</v>
      </c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</row>
    <row r="2288">
      <c r="A2288" s="2" t="s">
        <v>9994</v>
      </c>
      <c r="B2288" s="2" t="s">
        <v>287</v>
      </c>
      <c r="C2288" s="2" t="s">
        <v>631</v>
      </c>
      <c r="D2288" s="2" t="s">
        <v>289</v>
      </c>
      <c r="E2288" s="2" t="s">
        <v>290</v>
      </c>
      <c r="F2288" s="2" t="s">
        <v>9961</v>
      </c>
      <c r="G2288" s="2" t="s">
        <v>9961</v>
      </c>
      <c r="H2288" s="2" t="s">
        <v>9961</v>
      </c>
      <c r="I2288" s="2" t="s">
        <v>9962</v>
      </c>
      <c r="J2288" s="2" t="s">
        <v>293</v>
      </c>
      <c r="K2288" s="2" t="s">
        <v>9995</v>
      </c>
      <c r="L2288" s="3">
        <v>25.85</v>
      </c>
      <c r="M2288" s="3">
        <v>27.14</v>
      </c>
      <c r="N2288" s="3">
        <v>55.99</v>
      </c>
      <c r="O2288" s="2" t="s">
        <v>243</v>
      </c>
      <c r="P2288" s="2" t="s">
        <v>1281</v>
      </c>
      <c r="Q2288" s="2" t="s">
        <v>237</v>
      </c>
      <c r="R2288" s="2" t="s">
        <v>231</v>
      </c>
      <c r="S2288" s="2" t="s">
        <v>9996</v>
      </c>
      <c r="T2288" s="2" t="s">
        <v>4134</v>
      </c>
      <c r="U2288" s="2" t="s">
        <v>298</v>
      </c>
      <c r="V2288" s="2" t="s">
        <v>1685</v>
      </c>
      <c r="W2288" s="2" t="s">
        <v>273</v>
      </c>
      <c r="X2288" s="2" t="s">
        <v>691</v>
      </c>
      <c r="Y2288" s="2" t="s">
        <v>1351</v>
      </c>
      <c r="Z2288" s="4"/>
      <c r="AA2288" s="4">
        <f>=ROUNDDOWN({0},0)</f>
      </c>
      <c r="AB2288" s="5">
        <v>29</v>
      </c>
      <c r="AC2288" s="2" t="s">
        <v>4449</v>
      </c>
      <c r="AD2288" s="4">
        <v>241</v>
      </c>
      <c r="AE2288" s="4">
        <v>927</v>
      </c>
      <c r="AF2288" s="6">
        <v>65</v>
      </c>
      <c r="AG2288" s="6"/>
      <c r="AH2288" s="7">
        <v>0</v>
      </c>
      <c r="AI2288" s="4"/>
      <c r="AJ2288" s="4">
        <f>=ROUNDDOWN({0},0)</f>
      </c>
      <c r="AK2288" s="5"/>
      <c r="AL2288" s="2" t="s">
        <v>231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231</v>
      </c>
      <c r="AW2288" s="8" t="s">
        <v>231</v>
      </c>
      <c r="AX2288" s="4" t="s">
        <v>231</v>
      </c>
      <c r="AY2288" s="8" t="s">
        <v>231</v>
      </c>
      <c r="AZ2288" s="7" t="s">
        <v>231</v>
      </c>
      <c r="BA2288" s="7" t="s">
        <v>231</v>
      </c>
      <c r="BB2288" s="7"/>
      <c r="BC2288" s="4" t="s">
        <v>231</v>
      </c>
      <c r="BD2288" s="8" t="s">
        <v>231</v>
      </c>
      <c r="BE2288" s="4" t="s">
        <v>231</v>
      </c>
      <c r="BF2288" s="8" t="s">
        <v>231</v>
      </c>
      <c r="BG2288" s="7" t="s">
        <v>231</v>
      </c>
      <c r="BH2288" s="7" t="s">
        <v>231</v>
      </c>
      <c r="BI2288" s="7"/>
      <c r="BJ2288" s="4"/>
      <c r="BK2288" s="8"/>
      <c r="BL2288" s="2" t="s">
        <v>231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9997</v>
      </c>
      <c r="BV2288" s="2" t="s">
        <v>231</v>
      </c>
      <c r="BW2288" s="2" t="s">
        <v>231</v>
      </c>
      <c r="BX2288" s="2" t="s">
        <v>231</v>
      </c>
      <c r="BY2288" s="2" t="s">
        <v>277</v>
      </c>
      <c r="BZ2288" s="2" t="s">
        <v>243</v>
      </c>
      <c r="CA2288" s="2" t="s">
        <v>1351</v>
      </c>
      <c r="CB2288" s="2" t="s">
        <v>4824</v>
      </c>
      <c r="CC2288" s="2" t="s">
        <v>244</v>
      </c>
      <c r="CD2288" s="2" t="s">
        <v>231</v>
      </c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>
        <v>241</v>
      </c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>
        <v>424</v>
      </c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>
        <v>9</v>
      </c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>
        <v>253</v>
      </c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</row>
    <row r="2289">
      <c r="A2289" s="2" t="s">
        <v>9998</v>
      </c>
      <c r="B2289" s="2" t="s">
        <v>287</v>
      </c>
      <c r="C2289" s="2" t="s">
        <v>631</v>
      </c>
      <c r="D2289" s="2" t="s">
        <v>289</v>
      </c>
      <c r="E2289" s="2" t="s">
        <v>290</v>
      </c>
      <c r="F2289" s="2" t="s">
        <v>9961</v>
      </c>
      <c r="G2289" s="2" t="s">
        <v>9961</v>
      </c>
      <c r="H2289" s="2" t="s">
        <v>9961</v>
      </c>
      <c r="I2289" s="2" t="s">
        <v>9962</v>
      </c>
      <c r="J2289" s="2" t="s">
        <v>302</v>
      </c>
      <c r="K2289" s="2" t="s">
        <v>9995</v>
      </c>
      <c r="L2289" s="3">
        <v>28.68</v>
      </c>
      <c r="M2289" s="3">
        <v>30.11</v>
      </c>
      <c r="N2289" s="3">
        <v>62.99</v>
      </c>
      <c r="O2289" s="2" t="s">
        <v>243</v>
      </c>
      <c r="P2289" s="2" t="s">
        <v>270</v>
      </c>
      <c r="Q2289" s="2" t="s">
        <v>237</v>
      </c>
      <c r="R2289" s="2" t="s">
        <v>231</v>
      </c>
      <c r="S2289" s="2" t="s">
        <v>9996</v>
      </c>
      <c r="T2289" s="2" t="s">
        <v>4134</v>
      </c>
      <c r="U2289" s="2" t="s">
        <v>298</v>
      </c>
      <c r="V2289" s="2" t="s">
        <v>1685</v>
      </c>
      <c r="W2289" s="2" t="s">
        <v>273</v>
      </c>
      <c r="X2289" s="2" t="s">
        <v>691</v>
      </c>
      <c r="Y2289" s="2" t="s">
        <v>1351</v>
      </c>
      <c r="Z2289" s="4">
        <v>3</v>
      </c>
      <c r="AA2289" s="4">
        <f>=ROUNDDOWN(0.1875,0)</f>
      </c>
      <c r="AB2289" s="5">
        <v>16</v>
      </c>
      <c r="AC2289" s="2" t="s">
        <v>4449</v>
      </c>
      <c r="AD2289" s="4">
        <v>136</v>
      </c>
      <c r="AE2289" s="4">
        <v>526</v>
      </c>
      <c r="AF2289" s="6">
        <v>65</v>
      </c>
      <c r="AG2289" s="6"/>
      <c r="AH2289" s="7">
        <v>0</v>
      </c>
      <c r="AI2289" s="4"/>
      <c r="AJ2289" s="4">
        <f>=ROUNDDOWN({0},0)</f>
      </c>
      <c r="AK2289" s="5"/>
      <c r="AL2289" s="2" t="s">
        <v>231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231</v>
      </c>
      <c r="AW2289" s="8" t="s">
        <v>231</v>
      </c>
      <c r="AX2289" s="4" t="s">
        <v>231</v>
      </c>
      <c r="AY2289" s="8" t="s">
        <v>231</v>
      </c>
      <c r="AZ2289" s="7" t="s">
        <v>231</v>
      </c>
      <c r="BA2289" s="7" t="s">
        <v>231</v>
      </c>
      <c r="BB2289" s="7"/>
      <c r="BC2289" s="4" t="s">
        <v>231</v>
      </c>
      <c r="BD2289" s="8" t="s">
        <v>231</v>
      </c>
      <c r="BE2289" s="4" t="s">
        <v>231</v>
      </c>
      <c r="BF2289" s="8" t="s">
        <v>231</v>
      </c>
      <c r="BG2289" s="7" t="s">
        <v>231</v>
      </c>
      <c r="BH2289" s="7" t="s">
        <v>231</v>
      </c>
      <c r="BI2289" s="7"/>
      <c r="BJ2289" s="4"/>
      <c r="BK2289" s="8"/>
      <c r="BL2289" s="2" t="s">
        <v>937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9999</v>
      </c>
      <c r="BV2289" s="2" t="s">
        <v>231</v>
      </c>
      <c r="BW2289" s="2" t="s">
        <v>231</v>
      </c>
      <c r="BX2289" s="2" t="s">
        <v>231</v>
      </c>
      <c r="BY2289" s="2" t="s">
        <v>277</v>
      </c>
      <c r="BZ2289" s="2" t="s">
        <v>243</v>
      </c>
      <c r="CA2289" s="2" t="s">
        <v>1351</v>
      </c>
      <c r="CB2289" s="2" t="s">
        <v>10000</v>
      </c>
      <c r="CC2289" s="2" t="s">
        <v>244</v>
      </c>
      <c r="CD2289" s="2" t="s">
        <v>231</v>
      </c>
      <c r="CE2289" s="4">
        <v>3</v>
      </c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>
        <v>136</v>
      </c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>
        <v>248</v>
      </c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>
        <v>142</v>
      </c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</row>
    <row r="2290">
      <c r="A2290" s="2" t="s">
        <v>10001</v>
      </c>
      <c r="B2290" s="2" t="s">
        <v>287</v>
      </c>
      <c r="C2290" s="2" t="s">
        <v>631</v>
      </c>
      <c r="D2290" s="2" t="s">
        <v>289</v>
      </c>
      <c r="E2290" s="2" t="s">
        <v>290</v>
      </c>
      <c r="F2290" s="2" t="s">
        <v>9961</v>
      </c>
      <c r="G2290" s="2" t="s">
        <v>9961</v>
      </c>
      <c r="H2290" s="2" t="s">
        <v>9961</v>
      </c>
      <c r="I2290" s="2" t="s">
        <v>9962</v>
      </c>
      <c r="J2290" s="2" t="s">
        <v>304</v>
      </c>
      <c r="K2290" s="2" t="s">
        <v>9995</v>
      </c>
      <c r="L2290" s="3">
        <v>28.68</v>
      </c>
      <c r="M2290" s="3">
        <v>30.11</v>
      </c>
      <c r="N2290" s="3">
        <v>62.99</v>
      </c>
      <c r="O2290" s="2" t="s">
        <v>243</v>
      </c>
      <c r="P2290" s="2" t="s">
        <v>270</v>
      </c>
      <c r="Q2290" s="2" t="s">
        <v>237</v>
      </c>
      <c r="R2290" s="2" t="s">
        <v>231</v>
      </c>
      <c r="S2290" s="2" t="s">
        <v>9996</v>
      </c>
      <c r="T2290" s="2" t="s">
        <v>4134</v>
      </c>
      <c r="U2290" s="2" t="s">
        <v>298</v>
      </c>
      <c r="V2290" s="2" t="s">
        <v>1685</v>
      </c>
      <c r="W2290" s="2" t="s">
        <v>273</v>
      </c>
      <c r="X2290" s="2" t="s">
        <v>691</v>
      </c>
      <c r="Y2290" s="2" t="s">
        <v>1351</v>
      </c>
      <c r="Z2290" s="4"/>
      <c r="AA2290" s="4">
        <f>=ROUNDDOWN({0},0)</f>
      </c>
      <c r="AB2290" s="5">
        <v>9</v>
      </c>
      <c r="AC2290" s="2" t="s">
        <v>4449</v>
      </c>
      <c r="AD2290" s="4">
        <v>78</v>
      </c>
      <c r="AE2290" s="4">
        <v>312</v>
      </c>
      <c r="AF2290" s="6">
        <v>65</v>
      </c>
      <c r="AG2290" s="6"/>
      <c r="AH2290" s="7">
        <v>0</v>
      </c>
      <c r="AI2290" s="4"/>
      <c r="AJ2290" s="4">
        <f>=ROUNDDOWN({0},0)</f>
      </c>
      <c r="AK2290" s="5"/>
      <c r="AL2290" s="2" t="s">
        <v>231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231</v>
      </c>
      <c r="AW2290" s="8" t="s">
        <v>231</v>
      </c>
      <c r="AX2290" s="4" t="s">
        <v>231</v>
      </c>
      <c r="AY2290" s="8" t="s">
        <v>231</v>
      </c>
      <c r="AZ2290" s="7" t="s">
        <v>231</v>
      </c>
      <c r="BA2290" s="7" t="s">
        <v>231</v>
      </c>
      <c r="BB2290" s="7"/>
      <c r="BC2290" s="4" t="s">
        <v>231</v>
      </c>
      <c r="BD2290" s="8" t="s">
        <v>231</v>
      </c>
      <c r="BE2290" s="4" t="s">
        <v>231</v>
      </c>
      <c r="BF2290" s="8" t="s">
        <v>231</v>
      </c>
      <c r="BG2290" s="7" t="s">
        <v>231</v>
      </c>
      <c r="BH2290" s="7" t="s">
        <v>231</v>
      </c>
      <c r="BI2290" s="7"/>
      <c r="BJ2290" s="4"/>
      <c r="BK2290" s="8"/>
      <c r="BL2290" s="2" t="s">
        <v>231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10002</v>
      </c>
      <c r="BV2290" s="2" t="s">
        <v>231</v>
      </c>
      <c r="BW2290" s="2" t="s">
        <v>231</v>
      </c>
      <c r="BX2290" s="2" t="s">
        <v>231</v>
      </c>
      <c r="BY2290" s="2" t="s">
        <v>277</v>
      </c>
      <c r="BZ2290" s="2" t="s">
        <v>243</v>
      </c>
      <c r="CA2290" s="2" t="s">
        <v>1351</v>
      </c>
      <c r="CB2290" s="2" t="s">
        <v>10003</v>
      </c>
      <c r="CC2290" s="2" t="s">
        <v>244</v>
      </c>
      <c r="CD2290" s="2" t="s">
        <v>231</v>
      </c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>
        <v>78</v>
      </c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>
        <v>167</v>
      </c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>
        <v>67</v>
      </c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</row>
    <row r="2291">
      <c r="A2291" s="2" t="s">
        <v>10004</v>
      </c>
      <c r="B2291" s="2" t="s">
        <v>287</v>
      </c>
      <c r="C2291" s="2" t="s">
        <v>631</v>
      </c>
      <c r="D2291" s="2" t="s">
        <v>289</v>
      </c>
      <c r="E2291" s="2" t="s">
        <v>290</v>
      </c>
      <c r="F2291" s="2" t="s">
        <v>9961</v>
      </c>
      <c r="G2291" s="2" t="s">
        <v>9961</v>
      </c>
      <c r="H2291" s="2" t="s">
        <v>9961</v>
      </c>
      <c r="I2291" s="2" t="s">
        <v>9962</v>
      </c>
      <c r="J2291" s="2" t="s">
        <v>293</v>
      </c>
      <c r="K2291" s="2" t="s">
        <v>4625</v>
      </c>
      <c r="L2291" s="3">
        <v>25.85</v>
      </c>
      <c r="M2291" s="3">
        <v>27.14</v>
      </c>
      <c r="N2291" s="3">
        <v>55.99</v>
      </c>
      <c r="O2291" s="2" t="s">
        <v>243</v>
      </c>
      <c r="P2291" s="2" t="s">
        <v>871</v>
      </c>
      <c r="Q2291" s="2" t="s">
        <v>237</v>
      </c>
      <c r="R2291" s="2" t="s">
        <v>231</v>
      </c>
      <c r="S2291" s="2" t="s">
        <v>10005</v>
      </c>
      <c r="T2291" s="2" t="s">
        <v>4134</v>
      </c>
      <c r="U2291" s="2" t="s">
        <v>298</v>
      </c>
      <c r="V2291" s="2" t="s">
        <v>239</v>
      </c>
      <c r="W2291" s="2" t="s">
        <v>273</v>
      </c>
      <c r="X2291" s="2" t="s">
        <v>691</v>
      </c>
      <c r="Y2291" s="2" t="s">
        <v>1351</v>
      </c>
      <c r="Z2291" s="4">
        <v>1</v>
      </c>
      <c r="AA2291" s="4">
        <f>=ROUNDDOWN(0.0285714285714286,0)</f>
      </c>
      <c r="AB2291" s="5">
        <v>35</v>
      </c>
      <c r="AC2291" s="2" t="s">
        <v>4449</v>
      </c>
      <c r="AD2291" s="4">
        <v>295</v>
      </c>
      <c r="AE2291" s="4">
        <v>1141</v>
      </c>
      <c r="AF2291" s="6">
        <v>65</v>
      </c>
      <c r="AG2291" s="6"/>
      <c r="AH2291" s="7">
        <v>0</v>
      </c>
      <c r="AI2291" s="4"/>
      <c r="AJ2291" s="4">
        <f>=ROUNDDOWN({0},0)</f>
      </c>
      <c r="AK2291" s="5"/>
      <c r="AL2291" s="2" t="s">
        <v>231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231</v>
      </c>
      <c r="AW2291" s="8" t="s">
        <v>231</v>
      </c>
      <c r="AX2291" s="4" t="s">
        <v>231</v>
      </c>
      <c r="AY2291" s="8" t="s">
        <v>231</v>
      </c>
      <c r="AZ2291" s="7" t="s">
        <v>231</v>
      </c>
      <c r="BA2291" s="7" t="s">
        <v>231</v>
      </c>
      <c r="BB2291" s="7"/>
      <c r="BC2291" s="4" t="s">
        <v>231</v>
      </c>
      <c r="BD2291" s="8" t="s">
        <v>231</v>
      </c>
      <c r="BE2291" s="4" t="s">
        <v>231</v>
      </c>
      <c r="BF2291" s="8" t="s">
        <v>231</v>
      </c>
      <c r="BG2291" s="7" t="s">
        <v>231</v>
      </c>
      <c r="BH2291" s="7" t="s">
        <v>231</v>
      </c>
      <c r="BI2291" s="7"/>
      <c r="BJ2291" s="4"/>
      <c r="BK2291" s="8"/>
      <c r="BL2291" s="2" t="s">
        <v>231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10006</v>
      </c>
      <c r="BV2291" s="2" t="s">
        <v>231</v>
      </c>
      <c r="BW2291" s="2" t="s">
        <v>231</v>
      </c>
      <c r="BX2291" s="2" t="s">
        <v>231</v>
      </c>
      <c r="BY2291" s="2" t="s">
        <v>277</v>
      </c>
      <c r="BZ2291" s="2" t="s">
        <v>243</v>
      </c>
      <c r="CA2291" s="2" t="s">
        <v>1351</v>
      </c>
      <c r="CB2291" s="2" t="s">
        <v>10007</v>
      </c>
      <c r="CC2291" s="2" t="s">
        <v>244</v>
      </c>
      <c r="CD2291" s="2" t="s">
        <v>231</v>
      </c>
      <c r="CE2291" s="4">
        <v>1</v>
      </c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>
        <v>295</v>
      </c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>
        <v>538</v>
      </c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>
        <v>308</v>
      </c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</row>
    <row r="2292">
      <c r="A2292" s="2" t="s">
        <v>10008</v>
      </c>
      <c r="B2292" s="2" t="s">
        <v>287</v>
      </c>
      <c r="C2292" s="2" t="s">
        <v>631</v>
      </c>
      <c r="D2292" s="2" t="s">
        <v>289</v>
      </c>
      <c r="E2292" s="2" t="s">
        <v>290</v>
      </c>
      <c r="F2292" s="2" t="s">
        <v>9961</v>
      </c>
      <c r="G2292" s="2" t="s">
        <v>9961</v>
      </c>
      <c r="H2292" s="2" t="s">
        <v>9961</v>
      </c>
      <c r="I2292" s="2" t="s">
        <v>9962</v>
      </c>
      <c r="J2292" s="2" t="s">
        <v>302</v>
      </c>
      <c r="K2292" s="2" t="s">
        <v>4625</v>
      </c>
      <c r="L2292" s="3">
        <v>28.68</v>
      </c>
      <c r="M2292" s="3">
        <v>30.11</v>
      </c>
      <c r="N2292" s="3">
        <v>62.99</v>
      </c>
      <c r="O2292" s="2" t="s">
        <v>243</v>
      </c>
      <c r="P2292" s="2" t="s">
        <v>270</v>
      </c>
      <c r="Q2292" s="2" t="s">
        <v>237</v>
      </c>
      <c r="R2292" s="2" t="s">
        <v>231</v>
      </c>
      <c r="S2292" s="2" t="s">
        <v>10005</v>
      </c>
      <c r="T2292" s="2" t="s">
        <v>4134</v>
      </c>
      <c r="U2292" s="2" t="s">
        <v>298</v>
      </c>
      <c r="V2292" s="2" t="s">
        <v>239</v>
      </c>
      <c r="W2292" s="2" t="s">
        <v>273</v>
      </c>
      <c r="X2292" s="2" t="s">
        <v>691</v>
      </c>
      <c r="Y2292" s="2" t="s">
        <v>1351</v>
      </c>
      <c r="Z2292" s="4">
        <v>1</v>
      </c>
      <c r="AA2292" s="4">
        <f>=ROUNDDOWN(0.0714285714285714,0)</f>
      </c>
      <c r="AB2292" s="5">
        <v>14</v>
      </c>
      <c r="AC2292" s="2" t="s">
        <v>4449</v>
      </c>
      <c r="AD2292" s="4">
        <v>117</v>
      </c>
      <c r="AE2292" s="4">
        <v>454</v>
      </c>
      <c r="AF2292" s="6">
        <v>65</v>
      </c>
      <c r="AG2292" s="6"/>
      <c r="AH2292" s="7">
        <v>0</v>
      </c>
      <c r="AI2292" s="4"/>
      <c r="AJ2292" s="4">
        <f>=ROUNDDOWN({0},0)</f>
      </c>
      <c r="AK2292" s="5"/>
      <c r="AL2292" s="2" t="s">
        <v>231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231</v>
      </c>
      <c r="AW2292" s="8" t="s">
        <v>231</v>
      </c>
      <c r="AX2292" s="4" t="s">
        <v>231</v>
      </c>
      <c r="AY2292" s="8" t="s">
        <v>231</v>
      </c>
      <c r="AZ2292" s="7" t="s">
        <v>231</v>
      </c>
      <c r="BA2292" s="7" t="s">
        <v>231</v>
      </c>
      <c r="BB2292" s="7"/>
      <c r="BC2292" s="4" t="s">
        <v>231</v>
      </c>
      <c r="BD2292" s="8" t="s">
        <v>231</v>
      </c>
      <c r="BE2292" s="4" t="s">
        <v>231</v>
      </c>
      <c r="BF2292" s="8" t="s">
        <v>231</v>
      </c>
      <c r="BG2292" s="7" t="s">
        <v>231</v>
      </c>
      <c r="BH2292" s="7" t="s">
        <v>231</v>
      </c>
      <c r="BI2292" s="7"/>
      <c r="BJ2292" s="4"/>
      <c r="BK2292" s="8"/>
      <c r="BL2292" s="2" t="s">
        <v>231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10009</v>
      </c>
      <c r="BV2292" s="2" t="s">
        <v>231</v>
      </c>
      <c r="BW2292" s="2" t="s">
        <v>231</v>
      </c>
      <c r="BX2292" s="2" t="s">
        <v>231</v>
      </c>
      <c r="BY2292" s="2" t="s">
        <v>277</v>
      </c>
      <c r="BZ2292" s="2" t="s">
        <v>243</v>
      </c>
      <c r="CA2292" s="2" t="s">
        <v>1351</v>
      </c>
      <c r="CB2292" s="2" t="s">
        <v>733</v>
      </c>
      <c r="CC2292" s="2" t="s">
        <v>244</v>
      </c>
      <c r="CD2292" s="2" t="s">
        <v>231</v>
      </c>
      <c r="CE2292" s="4">
        <v>1</v>
      </c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>
        <v>117</v>
      </c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>
        <v>216</v>
      </c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>
        <v>121</v>
      </c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</row>
    <row r="2293">
      <c r="A2293" s="2" t="s">
        <v>10010</v>
      </c>
      <c r="B2293" s="2" t="s">
        <v>287</v>
      </c>
      <c r="C2293" s="2" t="s">
        <v>631</v>
      </c>
      <c r="D2293" s="2" t="s">
        <v>289</v>
      </c>
      <c r="E2293" s="2" t="s">
        <v>290</v>
      </c>
      <c r="F2293" s="2" t="s">
        <v>9961</v>
      </c>
      <c r="G2293" s="2" t="s">
        <v>9961</v>
      </c>
      <c r="H2293" s="2" t="s">
        <v>9961</v>
      </c>
      <c r="I2293" s="2" t="s">
        <v>9962</v>
      </c>
      <c r="J2293" s="2" t="s">
        <v>304</v>
      </c>
      <c r="K2293" s="2" t="s">
        <v>4625</v>
      </c>
      <c r="L2293" s="3">
        <v>28.68</v>
      </c>
      <c r="M2293" s="3">
        <v>30.11</v>
      </c>
      <c r="N2293" s="3">
        <v>62.99</v>
      </c>
      <c r="O2293" s="2" t="s">
        <v>243</v>
      </c>
      <c r="P2293" s="2" t="s">
        <v>270</v>
      </c>
      <c r="Q2293" s="2" t="s">
        <v>237</v>
      </c>
      <c r="R2293" s="2" t="s">
        <v>231</v>
      </c>
      <c r="S2293" s="2" t="s">
        <v>10005</v>
      </c>
      <c r="T2293" s="2" t="s">
        <v>4134</v>
      </c>
      <c r="U2293" s="2" t="s">
        <v>298</v>
      </c>
      <c r="V2293" s="2" t="s">
        <v>239</v>
      </c>
      <c r="W2293" s="2" t="s">
        <v>273</v>
      </c>
      <c r="X2293" s="2" t="s">
        <v>691</v>
      </c>
      <c r="Y2293" s="2" t="s">
        <v>1351</v>
      </c>
      <c r="Z2293" s="4"/>
      <c r="AA2293" s="4">
        <f>=ROUNDDOWN({0},0)</f>
      </c>
      <c r="AB2293" s="5">
        <v>7</v>
      </c>
      <c r="AC2293" s="2" t="s">
        <v>4449</v>
      </c>
      <c r="AD2293" s="4">
        <v>51</v>
      </c>
      <c r="AE2293" s="4">
        <v>204</v>
      </c>
      <c r="AF2293" s="6">
        <v>65</v>
      </c>
      <c r="AG2293" s="6"/>
      <c r="AH2293" s="7">
        <v>0</v>
      </c>
      <c r="AI2293" s="4"/>
      <c r="AJ2293" s="4">
        <f>=ROUNDDOWN({0},0)</f>
      </c>
      <c r="AK2293" s="5"/>
      <c r="AL2293" s="2" t="s">
        <v>231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231</v>
      </c>
      <c r="AW2293" s="8" t="s">
        <v>231</v>
      </c>
      <c r="AX2293" s="4" t="s">
        <v>231</v>
      </c>
      <c r="AY2293" s="8" t="s">
        <v>231</v>
      </c>
      <c r="AZ2293" s="7" t="s">
        <v>231</v>
      </c>
      <c r="BA2293" s="7" t="s">
        <v>231</v>
      </c>
      <c r="BB2293" s="7"/>
      <c r="BC2293" s="4" t="s">
        <v>231</v>
      </c>
      <c r="BD2293" s="8" t="s">
        <v>231</v>
      </c>
      <c r="BE2293" s="4" t="s">
        <v>231</v>
      </c>
      <c r="BF2293" s="8" t="s">
        <v>231</v>
      </c>
      <c r="BG2293" s="7" t="s">
        <v>231</v>
      </c>
      <c r="BH2293" s="7" t="s">
        <v>231</v>
      </c>
      <c r="BI2293" s="7"/>
      <c r="BJ2293" s="4"/>
      <c r="BK2293" s="8"/>
      <c r="BL2293" s="2" t="s">
        <v>231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10011</v>
      </c>
      <c r="BV2293" s="2" t="s">
        <v>231</v>
      </c>
      <c r="BW2293" s="2" t="s">
        <v>231</v>
      </c>
      <c r="BX2293" s="2" t="s">
        <v>231</v>
      </c>
      <c r="BY2293" s="2" t="s">
        <v>277</v>
      </c>
      <c r="BZ2293" s="2" t="s">
        <v>243</v>
      </c>
      <c r="CA2293" s="2" t="s">
        <v>1351</v>
      </c>
      <c r="CB2293" s="2" t="s">
        <v>10012</v>
      </c>
      <c r="CC2293" s="2" t="s">
        <v>244</v>
      </c>
      <c r="CD2293" s="2" t="s">
        <v>231</v>
      </c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>
        <v>51</v>
      </c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>
        <v>109</v>
      </c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>
        <v>44</v>
      </c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</row>
    <row r="2294">
      <c r="A2294" s="2" t="s">
        <v>10013</v>
      </c>
      <c r="B2294" s="2" t="s">
        <v>287</v>
      </c>
      <c r="C2294" s="2" t="s">
        <v>631</v>
      </c>
      <c r="D2294" s="2" t="s">
        <v>289</v>
      </c>
      <c r="E2294" s="2" t="s">
        <v>290</v>
      </c>
      <c r="F2294" s="2" t="s">
        <v>9961</v>
      </c>
      <c r="G2294" s="2" t="s">
        <v>9961</v>
      </c>
      <c r="H2294" s="2" t="s">
        <v>9961</v>
      </c>
      <c r="I2294" s="2" t="s">
        <v>9962</v>
      </c>
      <c r="J2294" s="2" t="s">
        <v>281</v>
      </c>
      <c r="K2294" s="2" t="s">
        <v>10014</v>
      </c>
      <c r="L2294" s="3">
        <v>22</v>
      </c>
      <c r="M2294" s="3">
        <v>23.1</v>
      </c>
      <c r="N2294" s="3">
        <v>47.99</v>
      </c>
      <c r="O2294" s="2" t="s">
        <v>243</v>
      </c>
      <c r="P2294" s="2" t="s">
        <v>236</v>
      </c>
      <c r="Q2294" s="2" t="s">
        <v>237</v>
      </c>
      <c r="R2294" s="2" t="s">
        <v>231</v>
      </c>
      <c r="S2294" s="2" t="s">
        <v>10015</v>
      </c>
      <c r="T2294" s="2" t="s">
        <v>4134</v>
      </c>
      <c r="U2294" s="2" t="s">
        <v>298</v>
      </c>
      <c r="V2294" s="2" t="s">
        <v>1192</v>
      </c>
      <c r="W2294" s="2" t="s">
        <v>273</v>
      </c>
      <c r="X2294" s="2" t="s">
        <v>691</v>
      </c>
      <c r="Y2294" s="2" t="s">
        <v>231</v>
      </c>
      <c r="Z2294" s="4"/>
      <c r="AA2294" s="4">
        <f>=ROUNDDOWN({0},0)</f>
      </c>
      <c r="AB2294" s="5"/>
      <c r="AC2294" s="2" t="s">
        <v>4195</v>
      </c>
      <c r="AD2294" s="4">
        <v>253</v>
      </c>
      <c r="AE2294" s="4">
        <v>405</v>
      </c>
      <c r="AF2294" s="6">
        <v>69</v>
      </c>
      <c r="AG2294" s="6"/>
      <c r="AH2294" s="7">
        <v>0</v>
      </c>
      <c r="AI2294" s="4"/>
      <c r="AJ2294" s="4">
        <f>=ROUNDDOWN({0},0)</f>
      </c>
      <c r="AK2294" s="5"/>
      <c r="AL2294" s="2" t="s">
        <v>231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231</v>
      </c>
      <c r="AW2294" s="8" t="s">
        <v>231</v>
      </c>
      <c r="AX2294" s="4" t="s">
        <v>231</v>
      </c>
      <c r="AY2294" s="8" t="s">
        <v>231</v>
      </c>
      <c r="AZ2294" s="7" t="s">
        <v>231</v>
      </c>
      <c r="BA2294" s="7" t="s">
        <v>231</v>
      </c>
      <c r="BB2294" s="7"/>
      <c r="BC2294" s="4" t="s">
        <v>231</v>
      </c>
      <c r="BD2294" s="8" t="s">
        <v>231</v>
      </c>
      <c r="BE2294" s="4" t="s">
        <v>231</v>
      </c>
      <c r="BF2294" s="8" t="s">
        <v>231</v>
      </c>
      <c r="BG2294" s="7" t="s">
        <v>231</v>
      </c>
      <c r="BH2294" s="7" t="s">
        <v>231</v>
      </c>
      <c r="BI2294" s="7"/>
      <c r="BJ2294" s="4"/>
      <c r="BK2294" s="8"/>
      <c r="BL2294" s="2" t="s">
        <v>231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241</v>
      </c>
      <c r="BV2294" s="2" t="s">
        <v>231</v>
      </c>
      <c r="BW2294" s="2" t="s">
        <v>231</v>
      </c>
      <c r="BX2294" s="2" t="s">
        <v>241</v>
      </c>
      <c r="BY2294" s="2" t="s">
        <v>242</v>
      </c>
      <c r="BZ2294" s="2" t="s">
        <v>243</v>
      </c>
      <c r="CA2294" s="2" t="s">
        <v>231</v>
      </c>
      <c r="CB2294" s="2" t="s">
        <v>231</v>
      </c>
      <c r="CC2294" s="2" t="s">
        <v>244</v>
      </c>
      <c r="CD2294" s="2" t="s">
        <v>231</v>
      </c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>
        <v>253</v>
      </c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>
        <v>152</v>
      </c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</row>
    <row r="2295">
      <c r="A2295" s="2" t="s">
        <v>10016</v>
      </c>
      <c r="B2295" s="2" t="s">
        <v>287</v>
      </c>
      <c r="C2295" s="2" t="s">
        <v>631</v>
      </c>
      <c r="D2295" s="2" t="s">
        <v>289</v>
      </c>
      <c r="E2295" s="2" t="s">
        <v>290</v>
      </c>
      <c r="F2295" s="2" t="s">
        <v>9961</v>
      </c>
      <c r="G2295" s="2" t="s">
        <v>9961</v>
      </c>
      <c r="H2295" s="2" t="s">
        <v>9961</v>
      </c>
      <c r="I2295" s="2" t="s">
        <v>9962</v>
      </c>
      <c r="J2295" s="2" t="s">
        <v>293</v>
      </c>
      <c r="K2295" s="2" t="s">
        <v>10014</v>
      </c>
      <c r="L2295" s="3">
        <v>25.85</v>
      </c>
      <c r="M2295" s="3">
        <v>27.14</v>
      </c>
      <c r="N2295" s="3">
        <v>55.99</v>
      </c>
      <c r="O2295" s="2" t="s">
        <v>243</v>
      </c>
      <c r="P2295" s="2" t="s">
        <v>236</v>
      </c>
      <c r="Q2295" s="2" t="s">
        <v>237</v>
      </c>
      <c r="R2295" s="2" t="s">
        <v>231</v>
      </c>
      <c r="S2295" s="2" t="s">
        <v>10015</v>
      </c>
      <c r="T2295" s="2" t="s">
        <v>4134</v>
      </c>
      <c r="U2295" s="2" t="s">
        <v>298</v>
      </c>
      <c r="V2295" s="2" t="s">
        <v>1192</v>
      </c>
      <c r="W2295" s="2" t="s">
        <v>273</v>
      </c>
      <c r="X2295" s="2" t="s">
        <v>691</v>
      </c>
      <c r="Y2295" s="2" t="s">
        <v>231</v>
      </c>
      <c r="Z2295" s="4"/>
      <c r="AA2295" s="4">
        <f>=ROUNDDOWN({0},0)</f>
      </c>
      <c r="AB2295" s="5"/>
      <c r="AC2295" s="2" t="s">
        <v>4195</v>
      </c>
      <c r="AD2295" s="4">
        <v>479</v>
      </c>
      <c r="AE2295" s="4">
        <v>766</v>
      </c>
      <c r="AF2295" s="6">
        <v>69</v>
      </c>
      <c r="AG2295" s="6"/>
      <c r="AH2295" s="7">
        <v>0</v>
      </c>
      <c r="AI2295" s="4"/>
      <c r="AJ2295" s="4">
        <f>=ROUNDDOWN({0},0)</f>
      </c>
      <c r="AK2295" s="5"/>
      <c r="AL2295" s="2" t="s">
        <v>231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231</v>
      </c>
      <c r="AW2295" s="8" t="s">
        <v>231</v>
      </c>
      <c r="AX2295" s="4" t="s">
        <v>231</v>
      </c>
      <c r="AY2295" s="8" t="s">
        <v>231</v>
      </c>
      <c r="AZ2295" s="7" t="s">
        <v>231</v>
      </c>
      <c r="BA2295" s="7" t="s">
        <v>231</v>
      </c>
      <c r="BB2295" s="7"/>
      <c r="BC2295" s="4" t="s">
        <v>231</v>
      </c>
      <c r="BD2295" s="8" t="s">
        <v>231</v>
      </c>
      <c r="BE2295" s="4" t="s">
        <v>231</v>
      </c>
      <c r="BF2295" s="8" t="s">
        <v>231</v>
      </c>
      <c r="BG2295" s="7" t="s">
        <v>231</v>
      </c>
      <c r="BH2295" s="7" t="s">
        <v>231</v>
      </c>
      <c r="BI2295" s="7"/>
      <c r="BJ2295" s="4"/>
      <c r="BK2295" s="8"/>
      <c r="BL2295" s="2" t="s">
        <v>231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241</v>
      </c>
      <c r="BV2295" s="2" t="s">
        <v>231</v>
      </c>
      <c r="BW2295" s="2" t="s">
        <v>231</v>
      </c>
      <c r="BX2295" s="2" t="s">
        <v>241</v>
      </c>
      <c r="BY2295" s="2" t="s">
        <v>242</v>
      </c>
      <c r="BZ2295" s="2" t="s">
        <v>243</v>
      </c>
      <c r="CA2295" s="2" t="s">
        <v>231</v>
      </c>
      <c r="CB2295" s="2" t="s">
        <v>231</v>
      </c>
      <c r="CC2295" s="2" t="s">
        <v>244</v>
      </c>
      <c r="CD2295" s="2" t="s">
        <v>231</v>
      </c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>
        <v>479</v>
      </c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>
        <v>287</v>
      </c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/>
      <c r="HJ2295" s="4"/>
      <c r="HK2295" s="4"/>
      <c r="HL2295" s="4"/>
    </row>
    <row r="2296">
      <c r="A2296" s="2" t="s">
        <v>10017</v>
      </c>
      <c r="B2296" s="2" t="s">
        <v>287</v>
      </c>
      <c r="C2296" s="2" t="s">
        <v>631</v>
      </c>
      <c r="D2296" s="2" t="s">
        <v>289</v>
      </c>
      <c r="E2296" s="2" t="s">
        <v>290</v>
      </c>
      <c r="F2296" s="2" t="s">
        <v>9961</v>
      </c>
      <c r="G2296" s="2" t="s">
        <v>9961</v>
      </c>
      <c r="H2296" s="2" t="s">
        <v>9961</v>
      </c>
      <c r="I2296" s="2" t="s">
        <v>9962</v>
      </c>
      <c r="J2296" s="2" t="s">
        <v>302</v>
      </c>
      <c r="K2296" s="2" t="s">
        <v>10014</v>
      </c>
      <c r="L2296" s="3">
        <v>28.68</v>
      </c>
      <c r="M2296" s="3">
        <v>30.11</v>
      </c>
      <c r="N2296" s="3">
        <v>62.99</v>
      </c>
      <c r="O2296" s="2" t="s">
        <v>243</v>
      </c>
      <c r="P2296" s="2" t="s">
        <v>236</v>
      </c>
      <c r="Q2296" s="2" t="s">
        <v>237</v>
      </c>
      <c r="R2296" s="2" t="s">
        <v>231</v>
      </c>
      <c r="S2296" s="2" t="s">
        <v>10015</v>
      </c>
      <c r="T2296" s="2" t="s">
        <v>4134</v>
      </c>
      <c r="U2296" s="2" t="s">
        <v>298</v>
      </c>
      <c r="V2296" s="2" t="s">
        <v>1192</v>
      </c>
      <c r="W2296" s="2" t="s">
        <v>273</v>
      </c>
      <c r="X2296" s="2" t="s">
        <v>691</v>
      </c>
      <c r="Y2296" s="2" t="s">
        <v>231</v>
      </c>
      <c r="Z2296" s="4"/>
      <c r="AA2296" s="4">
        <f>=ROUNDDOWN({0},0)</f>
      </c>
      <c r="AB2296" s="5"/>
      <c r="AC2296" s="2" t="s">
        <v>4195</v>
      </c>
      <c r="AD2296" s="4">
        <v>247</v>
      </c>
      <c r="AE2296" s="4">
        <v>395</v>
      </c>
      <c r="AF2296" s="6">
        <v>69</v>
      </c>
      <c r="AG2296" s="6"/>
      <c r="AH2296" s="7">
        <v>0</v>
      </c>
      <c r="AI2296" s="4"/>
      <c r="AJ2296" s="4">
        <f>=ROUNDDOWN({0},0)</f>
      </c>
      <c r="AK2296" s="5"/>
      <c r="AL2296" s="2" t="s">
        <v>231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231</v>
      </c>
      <c r="AW2296" s="8" t="s">
        <v>231</v>
      </c>
      <c r="AX2296" s="4" t="s">
        <v>231</v>
      </c>
      <c r="AY2296" s="8" t="s">
        <v>231</v>
      </c>
      <c r="AZ2296" s="7" t="s">
        <v>231</v>
      </c>
      <c r="BA2296" s="7" t="s">
        <v>231</v>
      </c>
      <c r="BB2296" s="7"/>
      <c r="BC2296" s="4" t="s">
        <v>231</v>
      </c>
      <c r="BD2296" s="8" t="s">
        <v>231</v>
      </c>
      <c r="BE2296" s="4" t="s">
        <v>231</v>
      </c>
      <c r="BF2296" s="8" t="s">
        <v>231</v>
      </c>
      <c r="BG2296" s="7" t="s">
        <v>231</v>
      </c>
      <c r="BH2296" s="7" t="s">
        <v>231</v>
      </c>
      <c r="BI2296" s="7"/>
      <c r="BJ2296" s="4"/>
      <c r="BK2296" s="8"/>
      <c r="BL2296" s="2" t="s">
        <v>231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241</v>
      </c>
      <c r="BV2296" s="2" t="s">
        <v>231</v>
      </c>
      <c r="BW2296" s="2" t="s">
        <v>231</v>
      </c>
      <c r="BX2296" s="2" t="s">
        <v>241</v>
      </c>
      <c r="BY2296" s="2" t="s">
        <v>242</v>
      </c>
      <c r="BZ2296" s="2" t="s">
        <v>243</v>
      </c>
      <c r="CA2296" s="2" t="s">
        <v>231</v>
      </c>
      <c r="CB2296" s="2" t="s">
        <v>231</v>
      </c>
      <c r="CC2296" s="2" t="s">
        <v>244</v>
      </c>
      <c r="CD2296" s="2" t="s">
        <v>231</v>
      </c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>
        <v>247</v>
      </c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>
        <v>148</v>
      </c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/>
      <c r="HJ2296" s="4"/>
      <c r="HK2296" s="4"/>
      <c r="HL2296" s="4"/>
    </row>
    <row r="2297">
      <c r="A2297" s="2" t="s">
        <v>10018</v>
      </c>
      <c r="B2297" s="2" t="s">
        <v>287</v>
      </c>
      <c r="C2297" s="2" t="s">
        <v>631</v>
      </c>
      <c r="D2297" s="2" t="s">
        <v>289</v>
      </c>
      <c r="E2297" s="2" t="s">
        <v>290</v>
      </c>
      <c r="F2297" s="2" t="s">
        <v>9961</v>
      </c>
      <c r="G2297" s="2" t="s">
        <v>9961</v>
      </c>
      <c r="H2297" s="2" t="s">
        <v>9961</v>
      </c>
      <c r="I2297" s="2" t="s">
        <v>9962</v>
      </c>
      <c r="J2297" s="2" t="s">
        <v>304</v>
      </c>
      <c r="K2297" s="2" t="s">
        <v>10014</v>
      </c>
      <c r="L2297" s="3">
        <v>28.68</v>
      </c>
      <c r="M2297" s="3">
        <v>30.11</v>
      </c>
      <c r="N2297" s="3">
        <v>62.99</v>
      </c>
      <c r="O2297" s="2" t="s">
        <v>243</v>
      </c>
      <c r="P2297" s="2" t="s">
        <v>236</v>
      </c>
      <c r="Q2297" s="2" t="s">
        <v>237</v>
      </c>
      <c r="R2297" s="2" t="s">
        <v>231</v>
      </c>
      <c r="S2297" s="2" t="s">
        <v>10015</v>
      </c>
      <c r="T2297" s="2" t="s">
        <v>4134</v>
      </c>
      <c r="U2297" s="2" t="s">
        <v>298</v>
      </c>
      <c r="V2297" s="2" t="s">
        <v>1192</v>
      </c>
      <c r="W2297" s="2" t="s">
        <v>273</v>
      </c>
      <c r="X2297" s="2" t="s">
        <v>691</v>
      </c>
      <c r="Y2297" s="2" t="s">
        <v>231</v>
      </c>
      <c r="Z2297" s="4"/>
      <c r="AA2297" s="4">
        <f>=ROUNDDOWN({0},0)</f>
      </c>
      <c r="AB2297" s="5"/>
      <c r="AC2297" s="2" t="s">
        <v>4195</v>
      </c>
      <c r="AD2297" s="4">
        <v>145</v>
      </c>
      <c r="AE2297" s="4">
        <v>232</v>
      </c>
      <c r="AF2297" s="6">
        <v>69</v>
      </c>
      <c r="AG2297" s="6"/>
      <c r="AH2297" s="7">
        <v>0</v>
      </c>
      <c r="AI2297" s="4"/>
      <c r="AJ2297" s="4">
        <f>=ROUNDDOWN({0},0)</f>
      </c>
      <c r="AK2297" s="5"/>
      <c r="AL2297" s="2" t="s">
        <v>231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231</v>
      </c>
      <c r="AW2297" s="8" t="s">
        <v>231</v>
      </c>
      <c r="AX2297" s="4" t="s">
        <v>231</v>
      </c>
      <c r="AY2297" s="8" t="s">
        <v>231</v>
      </c>
      <c r="AZ2297" s="7" t="s">
        <v>231</v>
      </c>
      <c r="BA2297" s="7" t="s">
        <v>231</v>
      </c>
      <c r="BB2297" s="7"/>
      <c r="BC2297" s="4" t="s">
        <v>231</v>
      </c>
      <c r="BD2297" s="8" t="s">
        <v>231</v>
      </c>
      <c r="BE2297" s="4" t="s">
        <v>231</v>
      </c>
      <c r="BF2297" s="8" t="s">
        <v>231</v>
      </c>
      <c r="BG2297" s="7" t="s">
        <v>231</v>
      </c>
      <c r="BH2297" s="7" t="s">
        <v>231</v>
      </c>
      <c r="BI2297" s="7"/>
      <c r="BJ2297" s="4"/>
      <c r="BK2297" s="8"/>
      <c r="BL2297" s="2" t="s">
        <v>231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241</v>
      </c>
      <c r="BV2297" s="2" t="s">
        <v>231</v>
      </c>
      <c r="BW2297" s="2" t="s">
        <v>231</v>
      </c>
      <c r="BX2297" s="2" t="s">
        <v>241</v>
      </c>
      <c r="BY2297" s="2" t="s">
        <v>242</v>
      </c>
      <c r="BZ2297" s="2" t="s">
        <v>243</v>
      </c>
      <c r="CA2297" s="2" t="s">
        <v>231</v>
      </c>
      <c r="CB2297" s="2" t="s">
        <v>231</v>
      </c>
      <c r="CC2297" s="2" t="s">
        <v>244</v>
      </c>
      <c r="CD2297" s="2" t="s">
        <v>231</v>
      </c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>
        <v>145</v>
      </c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>
        <v>87</v>
      </c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</row>
    <row r="2298">
      <c r="A2298" s="2" t="s">
        <v>10019</v>
      </c>
      <c r="B2298" s="2" t="s">
        <v>287</v>
      </c>
      <c r="C2298" s="2" t="s">
        <v>631</v>
      </c>
      <c r="D2298" s="2" t="s">
        <v>289</v>
      </c>
      <c r="E2298" s="2" t="s">
        <v>290</v>
      </c>
      <c r="F2298" s="2" t="s">
        <v>9961</v>
      </c>
      <c r="G2298" s="2" t="s">
        <v>9961</v>
      </c>
      <c r="H2298" s="2" t="s">
        <v>9961</v>
      </c>
      <c r="I2298" s="2" t="s">
        <v>9962</v>
      </c>
      <c r="J2298" s="2" t="s">
        <v>281</v>
      </c>
      <c r="K2298" s="2" t="s">
        <v>10020</v>
      </c>
      <c r="L2298" s="3">
        <v>22</v>
      </c>
      <c r="M2298" s="3">
        <v>23.1</v>
      </c>
      <c r="N2298" s="3">
        <v>47.99</v>
      </c>
      <c r="O2298" s="2" t="s">
        <v>243</v>
      </c>
      <c r="P2298" s="2" t="s">
        <v>236</v>
      </c>
      <c r="Q2298" s="2" t="s">
        <v>237</v>
      </c>
      <c r="R2298" s="2" t="s">
        <v>231</v>
      </c>
      <c r="S2298" s="2" t="s">
        <v>10021</v>
      </c>
      <c r="T2298" s="2" t="s">
        <v>4134</v>
      </c>
      <c r="U2298" s="2" t="s">
        <v>298</v>
      </c>
      <c r="V2298" s="2" t="s">
        <v>2195</v>
      </c>
      <c r="W2298" s="2" t="s">
        <v>273</v>
      </c>
      <c r="X2298" s="2" t="s">
        <v>691</v>
      </c>
      <c r="Y2298" s="2" t="s">
        <v>231</v>
      </c>
      <c r="Z2298" s="4"/>
      <c r="AA2298" s="4">
        <f>=ROUNDDOWN({0},0)</f>
      </c>
      <c r="AB2298" s="5"/>
      <c r="AC2298" s="2" t="s">
        <v>4195</v>
      </c>
      <c r="AD2298" s="4">
        <v>253</v>
      </c>
      <c r="AE2298" s="4">
        <v>405</v>
      </c>
      <c r="AF2298" s="6">
        <v>69</v>
      </c>
      <c r="AG2298" s="6"/>
      <c r="AH2298" s="7">
        <v>0</v>
      </c>
      <c r="AI2298" s="4"/>
      <c r="AJ2298" s="4">
        <f>=ROUNDDOWN({0},0)</f>
      </c>
      <c r="AK2298" s="5"/>
      <c r="AL2298" s="2" t="s">
        <v>231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231</v>
      </c>
      <c r="AW2298" s="8" t="s">
        <v>231</v>
      </c>
      <c r="AX2298" s="4" t="s">
        <v>231</v>
      </c>
      <c r="AY2298" s="8" t="s">
        <v>231</v>
      </c>
      <c r="AZ2298" s="7" t="s">
        <v>231</v>
      </c>
      <c r="BA2298" s="7" t="s">
        <v>231</v>
      </c>
      <c r="BB2298" s="7"/>
      <c r="BC2298" s="4" t="s">
        <v>231</v>
      </c>
      <c r="BD2298" s="8" t="s">
        <v>231</v>
      </c>
      <c r="BE2298" s="4" t="s">
        <v>231</v>
      </c>
      <c r="BF2298" s="8" t="s">
        <v>231</v>
      </c>
      <c r="BG2298" s="7" t="s">
        <v>231</v>
      </c>
      <c r="BH2298" s="7" t="s">
        <v>231</v>
      </c>
      <c r="BI2298" s="7"/>
      <c r="BJ2298" s="4"/>
      <c r="BK2298" s="8"/>
      <c r="BL2298" s="2" t="s">
        <v>231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241</v>
      </c>
      <c r="BV2298" s="2" t="s">
        <v>231</v>
      </c>
      <c r="BW2298" s="2" t="s">
        <v>231</v>
      </c>
      <c r="BX2298" s="2" t="s">
        <v>241</v>
      </c>
      <c r="BY2298" s="2" t="s">
        <v>242</v>
      </c>
      <c r="BZ2298" s="2" t="s">
        <v>243</v>
      </c>
      <c r="CA2298" s="2" t="s">
        <v>231</v>
      </c>
      <c r="CB2298" s="2" t="s">
        <v>231</v>
      </c>
      <c r="CC2298" s="2" t="s">
        <v>244</v>
      </c>
      <c r="CD2298" s="2" t="s">
        <v>231</v>
      </c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>
        <v>253</v>
      </c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>
        <v>152</v>
      </c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  <c r="HG2298" s="4"/>
      <c r="HH2298" s="4"/>
      <c r="HI2298" s="4"/>
      <c r="HJ2298" s="4"/>
      <c r="HK2298" s="4"/>
      <c r="HL2298" s="4"/>
    </row>
    <row r="2299">
      <c r="A2299" s="2" t="s">
        <v>10022</v>
      </c>
      <c r="B2299" s="2" t="s">
        <v>287</v>
      </c>
      <c r="C2299" s="2" t="s">
        <v>631</v>
      </c>
      <c r="D2299" s="2" t="s">
        <v>289</v>
      </c>
      <c r="E2299" s="2" t="s">
        <v>290</v>
      </c>
      <c r="F2299" s="2" t="s">
        <v>9961</v>
      </c>
      <c r="G2299" s="2" t="s">
        <v>9961</v>
      </c>
      <c r="H2299" s="2" t="s">
        <v>9961</v>
      </c>
      <c r="I2299" s="2" t="s">
        <v>9962</v>
      </c>
      <c r="J2299" s="2" t="s">
        <v>293</v>
      </c>
      <c r="K2299" s="2" t="s">
        <v>10020</v>
      </c>
      <c r="L2299" s="3">
        <v>25.85</v>
      </c>
      <c r="M2299" s="3">
        <v>27.14</v>
      </c>
      <c r="N2299" s="3">
        <v>55.99</v>
      </c>
      <c r="O2299" s="2" t="s">
        <v>243</v>
      </c>
      <c r="P2299" s="2" t="s">
        <v>236</v>
      </c>
      <c r="Q2299" s="2" t="s">
        <v>237</v>
      </c>
      <c r="R2299" s="2" t="s">
        <v>231</v>
      </c>
      <c r="S2299" s="2" t="s">
        <v>10021</v>
      </c>
      <c r="T2299" s="2" t="s">
        <v>4134</v>
      </c>
      <c r="U2299" s="2" t="s">
        <v>298</v>
      </c>
      <c r="V2299" s="2" t="s">
        <v>2195</v>
      </c>
      <c r="W2299" s="2" t="s">
        <v>273</v>
      </c>
      <c r="X2299" s="2" t="s">
        <v>691</v>
      </c>
      <c r="Y2299" s="2" t="s">
        <v>231</v>
      </c>
      <c r="Z2299" s="4"/>
      <c r="AA2299" s="4">
        <f>=ROUNDDOWN({0},0)</f>
      </c>
      <c r="AB2299" s="5"/>
      <c r="AC2299" s="2" t="s">
        <v>4195</v>
      </c>
      <c r="AD2299" s="4">
        <v>479</v>
      </c>
      <c r="AE2299" s="4">
        <v>766</v>
      </c>
      <c r="AF2299" s="6">
        <v>69</v>
      </c>
      <c r="AG2299" s="6"/>
      <c r="AH2299" s="7">
        <v>0</v>
      </c>
      <c r="AI2299" s="4"/>
      <c r="AJ2299" s="4">
        <f>=ROUNDDOWN({0},0)</f>
      </c>
      <c r="AK2299" s="5"/>
      <c r="AL2299" s="2" t="s">
        <v>231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231</v>
      </c>
      <c r="AW2299" s="8" t="s">
        <v>231</v>
      </c>
      <c r="AX2299" s="4" t="s">
        <v>231</v>
      </c>
      <c r="AY2299" s="8" t="s">
        <v>231</v>
      </c>
      <c r="AZ2299" s="7" t="s">
        <v>231</v>
      </c>
      <c r="BA2299" s="7" t="s">
        <v>231</v>
      </c>
      <c r="BB2299" s="7"/>
      <c r="BC2299" s="4" t="s">
        <v>231</v>
      </c>
      <c r="BD2299" s="8" t="s">
        <v>231</v>
      </c>
      <c r="BE2299" s="4" t="s">
        <v>231</v>
      </c>
      <c r="BF2299" s="8" t="s">
        <v>231</v>
      </c>
      <c r="BG2299" s="7" t="s">
        <v>231</v>
      </c>
      <c r="BH2299" s="7" t="s">
        <v>231</v>
      </c>
      <c r="BI2299" s="7"/>
      <c r="BJ2299" s="4"/>
      <c r="BK2299" s="8"/>
      <c r="BL2299" s="2" t="s">
        <v>231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241</v>
      </c>
      <c r="BV2299" s="2" t="s">
        <v>231</v>
      </c>
      <c r="BW2299" s="2" t="s">
        <v>231</v>
      </c>
      <c r="BX2299" s="2" t="s">
        <v>241</v>
      </c>
      <c r="BY2299" s="2" t="s">
        <v>242</v>
      </c>
      <c r="BZ2299" s="2" t="s">
        <v>243</v>
      </c>
      <c r="CA2299" s="2" t="s">
        <v>231</v>
      </c>
      <c r="CB2299" s="2" t="s">
        <v>231</v>
      </c>
      <c r="CC2299" s="2" t="s">
        <v>244</v>
      </c>
      <c r="CD2299" s="2" t="s">
        <v>231</v>
      </c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>
        <v>479</v>
      </c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>
        <v>287</v>
      </c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/>
      <c r="HJ2299" s="4"/>
      <c r="HK2299" s="4"/>
      <c r="HL2299" s="4"/>
    </row>
    <row r="2300">
      <c r="A2300" s="2" t="s">
        <v>10023</v>
      </c>
      <c r="B2300" s="2" t="s">
        <v>287</v>
      </c>
      <c r="C2300" s="2" t="s">
        <v>631</v>
      </c>
      <c r="D2300" s="2" t="s">
        <v>289</v>
      </c>
      <c r="E2300" s="2" t="s">
        <v>290</v>
      </c>
      <c r="F2300" s="2" t="s">
        <v>9961</v>
      </c>
      <c r="G2300" s="2" t="s">
        <v>9961</v>
      </c>
      <c r="H2300" s="2" t="s">
        <v>9961</v>
      </c>
      <c r="I2300" s="2" t="s">
        <v>9962</v>
      </c>
      <c r="J2300" s="2" t="s">
        <v>302</v>
      </c>
      <c r="K2300" s="2" t="s">
        <v>10020</v>
      </c>
      <c r="L2300" s="3">
        <v>28.68</v>
      </c>
      <c r="M2300" s="3">
        <v>30.11</v>
      </c>
      <c r="N2300" s="3">
        <v>62.99</v>
      </c>
      <c r="O2300" s="2" t="s">
        <v>243</v>
      </c>
      <c r="P2300" s="2" t="s">
        <v>236</v>
      </c>
      <c r="Q2300" s="2" t="s">
        <v>237</v>
      </c>
      <c r="R2300" s="2" t="s">
        <v>231</v>
      </c>
      <c r="S2300" s="2" t="s">
        <v>10021</v>
      </c>
      <c r="T2300" s="2" t="s">
        <v>4134</v>
      </c>
      <c r="U2300" s="2" t="s">
        <v>298</v>
      </c>
      <c r="V2300" s="2" t="s">
        <v>2195</v>
      </c>
      <c r="W2300" s="2" t="s">
        <v>273</v>
      </c>
      <c r="X2300" s="2" t="s">
        <v>691</v>
      </c>
      <c r="Y2300" s="2" t="s">
        <v>231</v>
      </c>
      <c r="Z2300" s="4"/>
      <c r="AA2300" s="4">
        <f>=ROUNDDOWN({0},0)</f>
      </c>
      <c r="AB2300" s="5"/>
      <c r="AC2300" s="2" t="s">
        <v>4195</v>
      </c>
      <c r="AD2300" s="4">
        <v>247</v>
      </c>
      <c r="AE2300" s="4">
        <v>395</v>
      </c>
      <c r="AF2300" s="6">
        <v>69</v>
      </c>
      <c r="AG2300" s="6"/>
      <c r="AH2300" s="7">
        <v>0</v>
      </c>
      <c r="AI2300" s="4"/>
      <c r="AJ2300" s="4">
        <f>=ROUNDDOWN({0},0)</f>
      </c>
      <c r="AK2300" s="5"/>
      <c r="AL2300" s="2" t="s">
        <v>231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231</v>
      </c>
      <c r="AW2300" s="8" t="s">
        <v>231</v>
      </c>
      <c r="AX2300" s="4" t="s">
        <v>231</v>
      </c>
      <c r="AY2300" s="8" t="s">
        <v>231</v>
      </c>
      <c r="AZ2300" s="7" t="s">
        <v>231</v>
      </c>
      <c r="BA2300" s="7" t="s">
        <v>231</v>
      </c>
      <c r="BB2300" s="7"/>
      <c r="BC2300" s="4" t="s">
        <v>231</v>
      </c>
      <c r="BD2300" s="8" t="s">
        <v>231</v>
      </c>
      <c r="BE2300" s="4" t="s">
        <v>231</v>
      </c>
      <c r="BF2300" s="8" t="s">
        <v>231</v>
      </c>
      <c r="BG2300" s="7" t="s">
        <v>231</v>
      </c>
      <c r="BH2300" s="7" t="s">
        <v>231</v>
      </c>
      <c r="BI2300" s="7"/>
      <c r="BJ2300" s="4"/>
      <c r="BK2300" s="8"/>
      <c r="BL2300" s="2" t="s">
        <v>231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241</v>
      </c>
      <c r="BV2300" s="2" t="s">
        <v>231</v>
      </c>
      <c r="BW2300" s="2" t="s">
        <v>231</v>
      </c>
      <c r="BX2300" s="2" t="s">
        <v>241</v>
      </c>
      <c r="BY2300" s="2" t="s">
        <v>242</v>
      </c>
      <c r="BZ2300" s="2" t="s">
        <v>243</v>
      </c>
      <c r="CA2300" s="2" t="s">
        <v>231</v>
      </c>
      <c r="CB2300" s="2" t="s">
        <v>231</v>
      </c>
      <c r="CC2300" s="2" t="s">
        <v>244</v>
      </c>
      <c r="CD2300" s="2" t="s">
        <v>231</v>
      </c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>
        <v>247</v>
      </c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>
        <v>148</v>
      </c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/>
      <c r="HJ2300" s="4"/>
      <c r="HK2300" s="4"/>
      <c r="HL2300" s="4"/>
    </row>
    <row r="2301">
      <c r="A2301" s="2" t="s">
        <v>10024</v>
      </c>
      <c r="B2301" s="2" t="s">
        <v>287</v>
      </c>
      <c r="C2301" s="2" t="s">
        <v>631</v>
      </c>
      <c r="D2301" s="2" t="s">
        <v>289</v>
      </c>
      <c r="E2301" s="2" t="s">
        <v>290</v>
      </c>
      <c r="F2301" s="2" t="s">
        <v>9961</v>
      </c>
      <c r="G2301" s="2" t="s">
        <v>9961</v>
      </c>
      <c r="H2301" s="2" t="s">
        <v>9961</v>
      </c>
      <c r="I2301" s="2" t="s">
        <v>9962</v>
      </c>
      <c r="J2301" s="2" t="s">
        <v>304</v>
      </c>
      <c r="K2301" s="2" t="s">
        <v>10020</v>
      </c>
      <c r="L2301" s="3">
        <v>28.68</v>
      </c>
      <c r="M2301" s="3">
        <v>30.11</v>
      </c>
      <c r="N2301" s="3">
        <v>62.99</v>
      </c>
      <c r="O2301" s="2" t="s">
        <v>243</v>
      </c>
      <c r="P2301" s="2" t="s">
        <v>236</v>
      </c>
      <c r="Q2301" s="2" t="s">
        <v>237</v>
      </c>
      <c r="R2301" s="2" t="s">
        <v>231</v>
      </c>
      <c r="S2301" s="2" t="s">
        <v>10021</v>
      </c>
      <c r="T2301" s="2" t="s">
        <v>4134</v>
      </c>
      <c r="U2301" s="2" t="s">
        <v>298</v>
      </c>
      <c r="V2301" s="2" t="s">
        <v>2195</v>
      </c>
      <c r="W2301" s="2" t="s">
        <v>273</v>
      </c>
      <c r="X2301" s="2" t="s">
        <v>691</v>
      </c>
      <c r="Y2301" s="2" t="s">
        <v>231</v>
      </c>
      <c r="Z2301" s="4"/>
      <c r="AA2301" s="4">
        <f>=ROUNDDOWN({0},0)</f>
      </c>
      <c r="AB2301" s="5"/>
      <c r="AC2301" s="2" t="s">
        <v>4195</v>
      </c>
      <c r="AD2301" s="4">
        <v>145</v>
      </c>
      <c r="AE2301" s="4">
        <v>232</v>
      </c>
      <c r="AF2301" s="6">
        <v>69</v>
      </c>
      <c r="AG2301" s="6"/>
      <c r="AH2301" s="7">
        <v>0</v>
      </c>
      <c r="AI2301" s="4"/>
      <c r="AJ2301" s="4">
        <f>=ROUNDDOWN({0},0)</f>
      </c>
      <c r="AK2301" s="5"/>
      <c r="AL2301" s="2" t="s">
        <v>231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231</v>
      </c>
      <c r="AW2301" s="8" t="s">
        <v>231</v>
      </c>
      <c r="AX2301" s="4" t="s">
        <v>231</v>
      </c>
      <c r="AY2301" s="8" t="s">
        <v>231</v>
      </c>
      <c r="AZ2301" s="7" t="s">
        <v>231</v>
      </c>
      <c r="BA2301" s="7" t="s">
        <v>231</v>
      </c>
      <c r="BB2301" s="7"/>
      <c r="BC2301" s="4" t="s">
        <v>231</v>
      </c>
      <c r="BD2301" s="8" t="s">
        <v>231</v>
      </c>
      <c r="BE2301" s="4" t="s">
        <v>231</v>
      </c>
      <c r="BF2301" s="8" t="s">
        <v>231</v>
      </c>
      <c r="BG2301" s="7" t="s">
        <v>231</v>
      </c>
      <c r="BH2301" s="7" t="s">
        <v>231</v>
      </c>
      <c r="BI2301" s="7"/>
      <c r="BJ2301" s="4"/>
      <c r="BK2301" s="8"/>
      <c r="BL2301" s="2" t="s">
        <v>231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241</v>
      </c>
      <c r="BV2301" s="2" t="s">
        <v>231</v>
      </c>
      <c r="BW2301" s="2" t="s">
        <v>231</v>
      </c>
      <c r="BX2301" s="2" t="s">
        <v>241</v>
      </c>
      <c r="BY2301" s="2" t="s">
        <v>242</v>
      </c>
      <c r="BZ2301" s="2" t="s">
        <v>243</v>
      </c>
      <c r="CA2301" s="2" t="s">
        <v>231</v>
      </c>
      <c r="CB2301" s="2" t="s">
        <v>231</v>
      </c>
      <c r="CC2301" s="2" t="s">
        <v>244</v>
      </c>
      <c r="CD2301" s="2" t="s">
        <v>231</v>
      </c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>
        <v>145</v>
      </c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>
        <v>87</v>
      </c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</row>
    <row r="2302">
      <c r="A2302" s="2" t="s">
        <v>10025</v>
      </c>
      <c r="B2302" s="2" t="s">
        <v>287</v>
      </c>
      <c r="C2302" s="2" t="s">
        <v>631</v>
      </c>
      <c r="D2302" s="2" t="s">
        <v>289</v>
      </c>
      <c r="E2302" s="2" t="s">
        <v>290</v>
      </c>
      <c r="F2302" s="2" t="s">
        <v>9961</v>
      </c>
      <c r="G2302" s="2" t="s">
        <v>9961</v>
      </c>
      <c r="H2302" s="2" t="s">
        <v>9961</v>
      </c>
      <c r="I2302" s="2" t="s">
        <v>9962</v>
      </c>
      <c r="J2302" s="2" t="s">
        <v>293</v>
      </c>
      <c r="K2302" s="2" t="s">
        <v>10026</v>
      </c>
      <c r="L2302" s="3">
        <v>25.85</v>
      </c>
      <c r="M2302" s="3">
        <v>27.14</v>
      </c>
      <c r="N2302" s="3">
        <v>55.99</v>
      </c>
      <c r="O2302" s="2" t="s">
        <v>243</v>
      </c>
      <c r="P2302" s="2" t="s">
        <v>871</v>
      </c>
      <c r="Q2302" s="2" t="s">
        <v>237</v>
      </c>
      <c r="R2302" s="2" t="s">
        <v>231</v>
      </c>
      <c r="S2302" s="2" t="s">
        <v>10027</v>
      </c>
      <c r="T2302" s="2" t="s">
        <v>4134</v>
      </c>
      <c r="U2302" s="2" t="s">
        <v>298</v>
      </c>
      <c r="V2302" s="2" t="s">
        <v>239</v>
      </c>
      <c r="W2302" s="2" t="s">
        <v>273</v>
      </c>
      <c r="X2302" s="2" t="s">
        <v>691</v>
      </c>
      <c r="Y2302" s="2" t="s">
        <v>1351</v>
      </c>
      <c r="Z2302" s="4">
        <v>1</v>
      </c>
      <c r="AA2302" s="4">
        <f>=ROUNDDOWN(0.0238095238095238,0)</f>
      </c>
      <c r="AB2302" s="5">
        <v>42</v>
      </c>
      <c r="AC2302" s="2" t="s">
        <v>4449</v>
      </c>
      <c r="AD2302" s="4">
        <v>350</v>
      </c>
      <c r="AE2302" s="4">
        <v>1353</v>
      </c>
      <c r="AF2302" s="6">
        <v>65</v>
      </c>
      <c r="AG2302" s="6"/>
      <c r="AH2302" s="7">
        <v>0</v>
      </c>
      <c r="AI2302" s="4"/>
      <c r="AJ2302" s="4">
        <f>=ROUNDDOWN({0},0)</f>
      </c>
      <c r="AK2302" s="5"/>
      <c r="AL2302" s="2" t="s">
        <v>231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231</v>
      </c>
      <c r="AW2302" s="8" t="s">
        <v>231</v>
      </c>
      <c r="AX2302" s="4" t="s">
        <v>231</v>
      </c>
      <c r="AY2302" s="8" t="s">
        <v>231</v>
      </c>
      <c r="AZ2302" s="7" t="s">
        <v>231</v>
      </c>
      <c r="BA2302" s="7" t="s">
        <v>231</v>
      </c>
      <c r="BB2302" s="7"/>
      <c r="BC2302" s="4" t="s">
        <v>231</v>
      </c>
      <c r="BD2302" s="8" t="s">
        <v>231</v>
      </c>
      <c r="BE2302" s="4" t="s">
        <v>231</v>
      </c>
      <c r="BF2302" s="8" t="s">
        <v>231</v>
      </c>
      <c r="BG2302" s="7" t="s">
        <v>231</v>
      </c>
      <c r="BH2302" s="7" t="s">
        <v>231</v>
      </c>
      <c r="BI2302" s="7"/>
      <c r="BJ2302" s="4"/>
      <c r="BK2302" s="8"/>
      <c r="BL2302" s="2" t="s">
        <v>231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10028</v>
      </c>
      <c r="BV2302" s="2" t="s">
        <v>231</v>
      </c>
      <c r="BW2302" s="2" t="s">
        <v>231</v>
      </c>
      <c r="BX2302" s="2" t="s">
        <v>231</v>
      </c>
      <c r="BY2302" s="2" t="s">
        <v>277</v>
      </c>
      <c r="BZ2302" s="2" t="s">
        <v>243</v>
      </c>
      <c r="CA2302" s="2" t="s">
        <v>1351</v>
      </c>
      <c r="CB2302" s="2" t="s">
        <v>10029</v>
      </c>
      <c r="CC2302" s="2" t="s">
        <v>244</v>
      </c>
      <c r="CD2302" s="2" t="s">
        <v>231</v>
      </c>
      <c r="CE2302" s="4">
        <v>1</v>
      </c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>
        <v>350</v>
      </c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>
        <v>564</v>
      </c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>
        <v>75</v>
      </c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>
        <v>364</v>
      </c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</row>
    <row r="2303">
      <c r="A2303" s="2" t="s">
        <v>10030</v>
      </c>
      <c r="B2303" s="2" t="s">
        <v>287</v>
      </c>
      <c r="C2303" s="2" t="s">
        <v>631</v>
      </c>
      <c r="D2303" s="2" t="s">
        <v>289</v>
      </c>
      <c r="E2303" s="2" t="s">
        <v>290</v>
      </c>
      <c r="F2303" s="2" t="s">
        <v>9961</v>
      </c>
      <c r="G2303" s="2" t="s">
        <v>9961</v>
      </c>
      <c r="H2303" s="2" t="s">
        <v>9961</v>
      </c>
      <c r="I2303" s="2" t="s">
        <v>9962</v>
      </c>
      <c r="J2303" s="2" t="s">
        <v>302</v>
      </c>
      <c r="K2303" s="2" t="s">
        <v>10026</v>
      </c>
      <c r="L2303" s="3">
        <v>28.68</v>
      </c>
      <c r="M2303" s="3">
        <v>30.11</v>
      </c>
      <c r="N2303" s="3">
        <v>62.99</v>
      </c>
      <c r="O2303" s="2" t="s">
        <v>243</v>
      </c>
      <c r="P2303" s="2" t="s">
        <v>270</v>
      </c>
      <c r="Q2303" s="2" t="s">
        <v>237</v>
      </c>
      <c r="R2303" s="2" t="s">
        <v>231</v>
      </c>
      <c r="S2303" s="2" t="s">
        <v>10027</v>
      </c>
      <c r="T2303" s="2" t="s">
        <v>4134</v>
      </c>
      <c r="U2303" s="2" t="s">
        <v>298</v>
      </c>
      <c r="V2303" s="2" t="s">
        <v>239</v>
      </c>
      <c r="W2303" s="2" t="s">
        <v>273</v>
      </c>
      <c r="X2303" s="2" t="s">
        <v>691</v>
      </c>
      <c r="Y2303" s="2" t="s">
        <v>1351</v>
      </c>
      <c r="Z2303" s="4">
        <v>1</v>
      </c>
      <c r="AA2303" s="4">
        <f>=ROUNDDOWN(0.0909090909090909,0)</f>
      </c>
      <c r="AB2303" s="5">
        <v>11</v>
      </c>
      <c r="AC2303" s="2" t="s">
        <v>4449</v>
      </c>
      <c r="AD2303" s="4">
        <v>100</v>
      </c>
      <c r="AE2303" s="4">
        <v>387</v>
      </c>
      <c r="AF2303" s="6">
        <v>65</v>
      </c>
      <c r="AG2303" s="6"/>
      <c r="AH2303" s="7">
        <v>0</v>
      </c>
      <c r="AI2303" s="4"/>
      <c r="AJ2303" s="4">
        <f>=ROUNDDOWN({0},0)</f>
      </c>
      <c r="AK2303" s="5"/>
      <c r="AL2303" s="2" t="s">
        <v>231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231</v>
      </c>
      <c r="AW2303" s="8" t="s">
        <v>231</v>
      </c>
      <c r="AX2303" s="4" t="s">
        <v>231</v>
      </c>
      <c r="AY2303" s="8" t="s">
        <v>231</v>
      </c>
      <c r="AZ2303" s="7" t="s">
        <v>231</v>
      </c>
      <c r="BA2303" s="7" t="s">
        <v>231</v>
      </c>
      <c r="BB2303" s="7"/>
      <c r="BC2303" s="4" t="s">
        <v>231</v>
      </c>
      <c r="BD2303" s="8" t="s">
        <v>231</v>
      </c>
      <c r="BE2303" s="4" t="s">
        <v>231</v>
      </c>
      <c r="BF2303" s="8" t="s">
        <v>231</v>
      </c>
      <c r="BG2303" s="7" t="s">
        <v>231</v>
      </c>
      <c r="BH2303" s="7" t="s">
        <v>231</v>
      </c>
      <c r="BI2303" s="7"/>
      <c r="BJ2303" s="4"/>
      <c r="BK2303" s="8"/>
      <c r="BL2303" s="2" t="s">
        <v>231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10031</v>
      </c>
      <c r="BV2303" s="2" t="s">
        <v>231</v>
      </c>
      <c r="BW2303" s="2" t="s">
        <v>231</v>
      </c>
      <c r="BX2303" s="2" t="s">
        <v>231</v>
      </c>
      <c r="BY2303" s="2" t="s">
        <v>277</v>
      </c>
      <c r="BZ2303" s="2" t="s">
        <v>243</v>
      </c>
      <c r="CA2303" s="2" t="s">
        <v>1351</v>
      </c>
      <c r="CB2303" s="2" t="s">
        <v>6760</v>
      </c>
      <c r="CC2303" s="2" t="s">
        <v>244</v>
      </c>
      <c r="CD2303" s="2" t="s">
        <v>231</v>
      </c>
      <c r="CE2303" s="4">
        <v>1</v>
      </c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>
        <v>100</v>
      </c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>
        <v>184</v>
      </c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>
        <v>103</v>
      </c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</row>
    <row r="2304">
      <c r="A2304" s="2" t="s">
        <v>10032</v>
      </c>
      <c r="B2304" s="2" t="s">
        <v>287</v>
      </c>
      <c r="C2304" s="2" t="s">
        <v>631</v>
      </c>
      <c r="D2304" s="2" t="s">
        <v>289</v>
      </c>
      <c r="E2304" s="2" t="s">
        <v>290</v>
      </c>
      <c r="F2304" s="2" t="s">
        <v>9961</v>
      </c>
      <c r="G2304" s="2" t="s">
        <v>9961</v>
      </c>
      <c r="H2304" s="2" t="s">
        <v>9961</v>
      </c>
      <c r="I2304" s="2" t="s">
        <v>9962</v>
      </c>
      <c r="J2304" s="2" t="s">
        <v>304</v>
      </c>
      <c r="K2304" s="2" t="s">
        <v>10026</v>
      </c>
      <c r="L2304" s="3">
        <v>28.68</v>
      </c>
      <c r="M2304" s="3">
        <v>30.11</v>
      </c>
      <c r="N2304" s="3">
        <v>62.99</v>
      </c>
      <c r="O2304" s="2" t="s">
        <v>243</v>
      </c>
      <c r="P2304" s="2" t="s">
        <v>270</v>
      </c>
      <c r="Q2304" s="2" t="s">
        <v>237</v>
      </c>
      <c r="R2304" s="2" t="s">
        <v>231</v>
      </c>
      <c r="S2304" s="2" t="s">
        <v>10027</v>
      </c>
      <c r="T2304" s="2" t="s">
        <v>4134</v>
      </c>
      <c r="U2304" s="2" t="s">
        <v>298</v>
      </c>
      <c r="V2304" s="2" t="s">
        <v>239</v>
      </c>
      <c r="W2304" s="2" t="s">
        <v>273</v>
      </c>
      <c r="X2304" s="2" t="s">
        <v>691</v>
      </c>
      <c r="Y2304" s="2" t="s">
        <v>1351</v>
      </c>
      <c r="Z2304" s="4">
        <v>1</v>
      </c>
      <c r="AA2304" s="4">
        <f>=ROUNDDOWN(0.142857142857143,0)</f>
      </c>
      <c r="AB2304" s="5">
        <v>7</v>
      </c>
      <c r="AC2304" s="2" t="s">
        <v>4449</v>
      </c>
      <c r="AD2304" s="4">
        <v>39</v>
      </c>
      <c r="AE2304" s="4">
        <v>156</v>
      </c>
      <c r="AF2304" s="6">
        <v>65</v>
      </c>
      <c r="AG2304" s="6"/>
      <c r="AH2304" s="7">
        <v>0</v>
      </c>
      <c r="AI2304" s="4"/>
      <c r="AJ2304" s="4">
        <f>=ROUNDDOWN({0},0)</f>
      </c>
      <c r="AK2304" s="5"/>
      <c r="AL2304" s="2" t="s">
        <v>231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231</v>
      </c>
      <c r="AW2304" s="8" t="s">
        <v>231</v>
      </c>
      <c r="AX2304" s="4" t="s">
        <v>231</v>
      </c>
      <c r="AY2304" s="8" t="s">
        <v>231</v>
      </c>
      <c r="AZ2304" s="7" t="s">
        <v>231</v>
      </c>
      <c r="BA2304" s="7" t="s">
        <v>231</v>
      </c>
      <c r="BB2304" s="7"/>
      <c r="BC2304" s="4" t="s">
        <v>231</v>
      </c>
      <c r="BD2304" s="8" t="s">
        <v>231</v>
      </c>
      <c r="BE2304" s="4" t="s">
        <v>231</v>
      </c>
      <c r="BF2304" s="8" t="s">
        <v>231</v>
      </c>
      <c r="BG2304" s="7" t="s">
        <v>231</v>
      </c>
      <c r="BH2304" s="7" t="s">
        <v>231</v>
      </c>
      <c r="BI2304" s="7"/>
      <c r="BJ2304" s="4"/>
      <c r="BK2304" s="8"/>
      <c r="BL2304" s="2" t="s">
        <v>231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10033</v>
      </c>
      <c r="BV2304" s="2" t="s">
        <v>231</v>
      </c>
      <c r="BW2304" s="2" t="s">
        <v>231</v>
      </c>
      <c r="BX2304" s="2" t="s">
        <v>231</v>
      </c>
      <c r="BY2304" s="2" t="s">
        <v>277</v>
      </c>
      <c r="BZ2304" s="2" t="s">
        <v>243</v>
      </c>
      <c r="CA2304" s="2" t="s">
        <v>1351</v>
      </c>
      <c r="CB2304" s="2" t="s">
        <v>10034</v>
      </c>
      <c r="CC2304" s="2" t="s">
        <v>244</v>
      </c>
      <c r="CD2304" s="2" t="s">
        <v>231</v>
      </c>
      <c r="CE2304" s="4">
        <v>1</v>
      </c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>
        <v>39</v>
      </c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>
        <v>83</v>
      </c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>
        <v>34</v>
      </c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</row>
    <row r="2305">
      <c r="A2305" s="2" t="s">
        <v>10035</v>
      </c>
      <c r="B2305" s="2" t="s">
        <v>287</v>
      </c>
      <c r="C2305" s="2" t="s">
        <v>631</v>
      </c>
      <c r="D2305" s="2" t="s">
        <v>289</v>
      </c>
      <c r="E2305" s="2" t="s">
        <v>290</v>
      </c>
      <c r="F2305" s="2" t="s">
        <v>9961</v>
      </c>
      <c r="G2305" s="2" t="s">
        <v>9961</v>
      </c>
      <c r="H2305" s="2" t="s">
        <v>9961</v>
      </c>
      <c r="I2305" s="2" t="s">
        <v>9962</v>
      </c>
      <c r="J2305" s="2" t="s">
        <v>281</v>
      </c>
      <c r="K2305" s="2" t="s">
        <v>10036</v>
      </c>
      <c r="L2305" s="3">
        <v>22</v>
      </c>
      <c r="M2305" s="3">
        <v>23.1</v>
      </c>
      <c r="N2305" s="3">
        <v>47.99</v>
      </c>
      <c r="O2305" s="2" t="s">
        <v>243</v>
      </c>
      <c r="P2305" s="2" t="s">
        <v>270</v>
      </c>
      <c r="Q2305" s="2" t="s">
        <v>237</v>
      </c>
      <c r="R2305" s="2" t="s">
        <v>231</v>
      </c>
      <c r="S2305" s="2" t="s">
        <v>10037</v>
      </c>
      <c r="T2305" s="2" t="s">
        <v>4134</v>
      </c>
      <c r="U2305" s="2" t="s">
        <v>298</v>
      </c>
      <c r="V2305" s="2" t="s">
        <v>381</v>
      </c>
      <c r="W2305" s="2" t="s">
        <v>273</v>
      </c>
      <c r="X2305" s="2" t="s">
        <v>691</v>
      </c>
      <c r="Y2305" s="2" t="s">
        <v>4547</v>
      </c>
      <c r="Z2305" s="4">
        <v>3</v>
      </c>
      <c r="AA2305" s="4">
        <f>=ROUNDDOWN(1.5,0)</f>
      </c>
      <c r="AB2305" s="5">
        <v>2</v>
      </c>
      <c r="AC2305" s="2" t="s">
        <v>4449</v>
      </c>
      <c r="AD2305" s="4">
        <v>20</v>
      </c>
      <c r="AE2305" s="4">
        <v>130</v>
      </c>
      <c r="AF2305" s="6">
        <v>74</v>
      </c>
      <c r="AG2305" s="6"/>
      <c r="AH2305" s="7">
        <v>0</v>
      </c>
      <c r="AI2305" s="4"/>
      <c r="AJ2305" s="4">
        <f>=ROUNDDOWN({0},0)</f>
      </c>
      <c r="AK2305" s="5"/>
      <c r="AL2305" s="2" t="s">
        <v>231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231</v>
      </c>
      <c r="AW2305" s="8" t="s">
        <v>231</v>
      </c>
      <c r="AX2305" s="4" t="s">
        <v>231</v>
      </c>
      <c r="AY2305" s="8" t="s">
        <v>231</v>
      </c>
      <c r="AZ2305" s="7" t="s">
        <v>231</v>
      </c>
      <c r="BA2305" s="7" t="s">
        <v>231</v>
      </c>
      <c r="BB2305" s="7"/>
      <c r="BC2305" s="4" t="s">
        <v>231</v>
      </c>
      <c r="BD2305" s="8" t="s">
        <v>231</v>
      </c>
      <c r="BE2305" s="4" t="s">
        <v>231</v>
      </c>
      <c r="BF2305" s="8" t="s">
        <v>231</v>
      </c>
      <c r="BG2305" s="7" t="s">
        <v>231</v>
      </c>
      <c r="BH2305" s="7" t="s">
        <v>231</v>
      </c>
      <c r="BI2305" s="7"/>
      <c r="BJ2305" s="4"/>
      <c r="BK2305" s="8"/>
      <c r="BL2305" s="2" t="s">
        <v>231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10038</v>
      </c>
      <c r="BV2305" s="2" t="s">
        <v>231</v>
      </c>
      <c r="BW2305" s="2" t="s">
        <v>231</v>
      </c>
      <c r="BX2305" s="2" t="s">
        <v>241</v>
      </c>
      <c r="BY2305" s="2" t="s">
        <v>277</v>
      </c>
      <c r="BZ2305" s="2" t="s">
        <v>243</v>
      </c>
      <c r="CA2305" s="2" t="s">
        <v>2515</v>
      </c>
      <c r="CB2305" s="2" t="s">
        <v>1990</v>
      </c>
      <c r="CC2305" s="2" t="s">
        <v>244</v>
      </c>
      <c r="CD2305" s="2" t="s">
        <v>231</v>
      </c>
      <c r="CE2305" s="4">
        <v>3</v>
      </c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>
        <v>20</v>
      </c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>
        <v>70</v>
      </c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>
        <v>40</v>
      </c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</row>
    <row r="2306">
      <c r="A2306" s="2" t="s">
        <v>10039</v>
      </c>
      <c r="B2306" s="2" t="s">
        <v>287</v>
      </c>
      <c r="C2306" s="2" t="s">
        <v>631</v>
      </c>
      <c r="D2306" s="2" t="s">
        <v>289</v>
      </c>
      <c r="E2306" s="2" t="s">
        <v>290</v>
      </c>
      <c r="F2306" s="2" t="s">
        <v>9961</v>
      </c>
      <c r="G2306" s="2" t="s">
        <v>9961</v>
      </c>
      <c r="H2306" s="2" t="s">
        <v>9961</v>
      </c>
      <c r="I2306" s="2" t="s">
        <v>9962</v>
      </c>
      <c r="J2306" s="2" t="s">
        <v>293</v>
      </c>
      <c r="K2306" s="2" t="s">
        <v>10036</v>
      </c>
      <c r="L2306" s="3">
        <v>25.85</v>
      </c>
      <c r="M2306" s="3">
        <v>27.14</v>
      </c>
      <c r="N2306" s="3">
        <v>55.99</v>
      </c>
      <c r="O2306" s="2" t="s">
        <v>243</v>
      </c>
      <c r="P2306" s="2" t="s">
        <v>270</v>
      </c>
      <c r="Q2306" s="2" t="s">
        <v>237</v>
      </c>
      <c r="R2306" s="2" t="s">
        <v>231</v>
      </c>
      <c r="S2306" s="2" t="s">
        <v>10037</v>
      </c>
      <c r="T2306" s="2" t="s">
        <v>4134</v>
      </c>
      <c r="U2306" s="2" t="s">
        <v>298</v>
      </c>
      <c r="V2306" s="2" t="s">
        <v>381</v>
      </c>
      <c r="W2306" s="2" t="s">
        <v>273</v>
      </c>
      <c r="X2306" s="2" t="s">
        <v>691</v>
      </c>
      <c r="Y2306" s="2" t="s">
        <v>4547</v>
      </c>
      <c r="Z2306" s="4"/>
      <c r="AA2306" s="4">
        <f>=ROUNDDOWN({0},0)</f>
      </c>
      <c r="AB2306" s="5">
        <v>9</v>
      </c>
      <c r="AC2306" s="2" t="s">
        <v>4449</v>
      </c>
      <c r="AD2306" s="4">
        <v>20</v>
      </c>
      <c r="AE2306" s="4">
        <v>100</v>
      </c>
      <c r="AF2306" s="6">
        <v>74</v>
      </c>
      <c r="AG2306" s="6"/>
      <c r="AH2306" s="7">
        <v>0</v>
      </c>
      <c r="AI2306" s="4"/>
      <c r="AJ2306" s="4">
        <f>=ROUNDDOWN({0},0)</f>
      </c>
      <c r="AK2306" s="5"/>
      <c r="AL2306" s="2" t="s">
        <v>231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231</v>
      </c>
      <c r="AW2306" s="8" t="s">
        <v>231</v>
      </c>
      <c r="AX2306" s="4" t="s">
        <v>231</v>
      </c>
      <c r="AY2306" s="8" t="s">
        <v>231</v>
      </c>
      <c r="AZ2306" s="7" t="s">
        <v>231</v>
      </c>
      <c r="BA2306" s="7" t="s">
        <v>231</v>
      </c>
      <c r="BB2306" s="7"/>
      <c r="BC2306" s="4" t="s">
        <v>231</v>
      </c>
      <c r="BD2306" s="8" t="s">
        <v>231</v>
      </c>
      <c r="BE2306" s="4" t="s">
        <v>231</v>
      </c>
      <c r="BF2306" s="8" t="s">
        <v>231</v>
      </c>
      <c r="BG2306" s="7" t="s">
        <v>231</v>
      </c>
      <c r="BH2306" s="7" t="s">
        <v>231</v>
      </c>
      <c r="BI2306" s="7"/>
      <c r="BJ2306" s="4"/>
      <c r="BK2306" s="8"/>
      <c r="BL2306" s="2" t="s">
        <v>231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10040</v>
      </c>
      <c r="BV2306" s="2" t="s">
        <v>231</v>
      </c>
      <c r="BW2306" s="2" t="s">
        <v>231</v>
      </c>
      <c r="BX2306" s="2" t="s">
        <v>241</v>
      </c>
      <c r="BY2306" s="2" t="s">
        <v>277</v>
      </c>
      <c r="BZ2306" s="2" t="s">
        <v>243</v>
      </c>
      <c r="CA2306" s="2" t="s">
        <v>2515</v>
      </c>
      <c r="CB2306" s="2" t="s">
        <v>6652</v>
      </c>
      <c r="CC2306" s="2" t="s">
        <v>244</v>
      </c>
      <c r="CD2306" s="2" t="s">
        <v>231</v>
      </c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>
        <v>20</v>
      </c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>
        <v>20</v>
      </c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>
        <v>60</v>
      </c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</row>
    <row r="2307">
      <c r="A2307" s="2" t="s">
        <v>10041</v>
      </c>
      <c r="B2307" s="2" t="s">
        <v>287</v>
      </c>
      <c r="C2307" s="2" t="s">
        <v>631</v>
      </c>
      <c r="D2307" s="2" t="s">
        <v>289</v>
      </c>
      <c r="E2307" s="2" t="s">
        <v>290</v>
      </c>
      <c r="F2307" s="2" t="s">
        <v>9961</v>
      </c>
      <c r="G2307" s="2" t="s">
        <v>9961</v>
      </c>
      <c r="H2307" s="2" t="s">
        <v>9961</v>
      </c>
      <c r="I2307" s="2" t="s">
        <v>9962</v>
      </c>
      <c r="J2307" s="2" t="s">
        <v>302</v>
      </c>
      <c r="K2307" s="2" t="s">
        <v>10036</v>
      </c>
      <c r="L2307" s="3">
        <v>28.68</v>
      </c>
      <c r="M2307" s="3">
        <v>30.11</v>
      </c>
      <c r="N2307" s="3">
        <v>62.99</v>
      </c>
      <c r="O2307" s="2" t="s">
        <v>243</v>
      </c>
      <c r="P2307" s="2" t="s">
        <v>270</v>
      </c>
      <c r="Q2307" s="2" t="s">
        <v>237</v>
      </c>
      <c r="R2307" s="2" t="s">
        <v>231</v>
      </c>
      <c r="S2307" s="2" t="s">
        <v>10037</v>
      </c>
      <c r="T2307" s="2" t="s">
        <v>4134</v>
      </c>
      <c r="U2307" s="2" t="s">
        <v>298</v>
      </c>
      <c r="V2307" s="2" t="s">
        <v>381</v>
      </c>
      <c r="W2307" s="2" t="s">
        <v>273</v>
      </c>
      <c r="X2307" s="2" t="s">
        <v>691</v>
      </c>
      <c r="Y2307" s="2" t="s">
        <v>4547</v>
      </c>
      <c r="Z2307" s="4">
        <v>126</v>
      </c>
      <c r="AA2307" s="4">
        <f>=ROUNDDOWN(42,0)</f>
      </c>
      <c r="AB2307" s="5">
        <v>3</v>
      </c>
      <c r="AC2307" s="2" t="s">
        <v>1537</v>
      </c>
      <c r="AD2307" s="4">
        <v>20</v>
      </c>
      <c r="AE2307" s="4">
        <v>40</v>
      </c>
      <c r="AF2307" s="6">
        <v>74</v>
      </c>
      <c r="AG2307" s="6"/>
      <c r="AH2307" s="7">
        <v>1</v>
      </c>
      <c r="AI2307" s="4"/>
      <c r="AJ2307" s="4">
        <f>=ROUNDDOWN({0},0)</f>
      </c>
      <c r="AK2307" s="5"/>
      <c r="AL2307" s="2" t="s">
        <v>231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231</v>
      </c>
      <c r="AW2307" s="8" t="s">
        <v>231</v>
      </c>
      <c r="AX2307" s="4" t="s">
        <v>231</v>
      </c>
      <c r="AY2307" s="8" t="s">
        <v>231</v>
      </c>
      <c r="AZ2307" s="7" t="s">
        <v>231</v>
      </c>
      <c r="BA2307" s="7" t="s">
        <v>231</v>
      </c>
      <c r="BB2307" s="7"/>
      <c r="BC2307" s="4" t="s">
        <v>231</v>
      </c>
      <c r="BD2307" s="8" t="s">
        <v>231</v>
      </c>
      <c r="BE2307" s="4" t="s">
        <v>231</v>
      </c>
      <c r="BF2307" s="8" t="s">
        <v>231</v>
      </c>
      <c r="BG2307" s="7" t="s">
        <v>231</v>
      </c>
      <c r="BH2307" s="7" t="s">
        <v>231</v>
      </c>
      <c r="BI2307" s="7"/>
      <c r="BJ2307" s="4">
        <v>26</v>
      </c>
      <c r="BK2307" s="8">
        <v>873.82</v>
      </c>
      <c r="BL2307" s="2" t="s">
        <v>643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10042</v>
      </c>
      <c r="BV2307" s="2" t="s">
        <v>231</v>
      </c>
      <c r="BW2307" s="2" t="s">
        <v>231</v>
      </c>
      <c r="BX2307" s="2" t="s">
        <v>241</v>
      </c>
      <c r="BY2307" s="2" t="s">
        <v>277</v>
      </c>
      <c r="BZ2307" s="2" t="s">
        <v>243</v>
      </c>
      <c r="CA2307" s="2" t="s">
        <v>2515</v>
      </c>
      <c r="CB2307" s="2" t="s">
        <v>3083</v>
      </c>
      <c r="CC2307" s="2" t="s">
        <v>244</v>
      </c>
      <c r="CD2307" s="2" t="s">
        <v>231</v>
      </c>
      <c r="CE2307" s="4">
        <v>126</v>
      </c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>
        <v>20</v>
      </c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>
        <v>20</v>
      </c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  <c r="HF2307" s="4"/>
      <c r="HG2307" s="4"/>
      <c r="HH2307" s="4"/>
      <c r="HI2307" s="4"/>
      <c r="HJ2307" s="4"/>
      <c r="HK2307" s="4"/>
      <c r="HL2307" s="4"/>
    </row>
    <row r="2308">
      <c r="A2308" s="2" t="s">
        <v>10043</v>
      </c>
      <c r="B2308" s="2" t="s">
        <v>226</v>
      </c>
      <c r="C2308" s="2" t="s">
        <v>631</v>
      </c>
      <c r="D2308" s="2" t="s">
        <v>1549</v>
      </c>
      <c r="E2308" s="2" t="s">
        <v>1550</v>
      </c>
      <c r="F2308" s="2" t="s">
        <v>10044</v>
      </c>
      <c r="G2308" s="2" t="s">
        <v>10044</v>
      </c>
      <c r="H2308" s="2" t="s">
        <v>10044</v>
      </c>
      <c r="I2308" s="2" t="s">
        <v>10045</v>
      </c>
      <c r="J2308" s="2" t="s">
        <v>2845</v>
      </c>
      <c r="K2308" s="2" t="s">
        <v>4809</v>
      </c>
      <c r="L2308" s="3">
        <v>40</v>
      </c>
      <c r="M2308" s="3">
        <v>42</v>
      </c>
      <c r="N2308" s="3">
        <v>79.99</v>
      </c>
      <c r="O2308" s="2" t="s">
        <v>235</v>
      </c>
      <c r="P2308" s="2" t="s">
        <v>917</v>
      </c>
      <c r="Q2308" s="2" t="s">
        <v>237</v>
      </c>
      <c r="R2308" s="2" t="s">
        <v>231</v>
      </c>
      <c r="S2308" s="2" t="s">
        <v>10046</v>
      </c>
      <c r="T2308" s="2" t="s">
        <v>1630</v>
      </c>
      <c r="U2308" s="2" t="s">
        <v>327</v>
      </c>
      <c r="V2308" s="2" t="s">
        <v>4046</v>
      </c>
      <c r="W2308" s="2" t="s">
        <v>273</v>
      </c>
      <c r="X2308" s="2" t="s">
        <v>231</v>
      </c>
      <c r="Y2308" s="2" t="s">
        <v>4407</v>
      </c>
      <c r="Z2308" s="4">
        <v>549</v>
      </c>
      <c r="AA2308" s="4">
        <f>=ROUNDDOWN(61,0)</f>
      </c>
      <c r="AB2308" s="5">
        <v>9</v>
      </c>
      <c r="AC2308" s="2" t="s">
        <v>231</v>
      </c>
      <c r="AD2308" s="4"/>
      <c r="AE2308" s="4"/>
      <c r="AF2308" s="6">
        <v>61</v>
      </c>
      <c r="AG2308" s="6"/>
      <c r="AH2308" s="7">
        <v>1</v>
      </c>
      <c r="AI2308" s="4"/>
      <c r="AJ2308" s="4">
        <f>=ROUNDDOWN({0},0)</f>
      </c>
      <c r="AK2308" s="5"/>
      <c r="AL2308" s="2" t="s">
        <v>231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>
        <v>5</v>
      </c>
      <c r="BK2308" s="8">
        <v>193.58</v>
      </c>
      <c r="BL2308" s="2" t="s">
        <v>10047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10048</v>
      </c>
      <c r="BV2308" s="2" t="s">
        <v>231</v>
      </c>
      <c r="BW2308" s="2" t="s">
        <v>231</v>
      </c>
      <c r="BX2308" s="2" t="s">
        <v>231</v>
      </c>
      <c r="BY2308" s="2" t="s">
        <v>277</v>
      </c>
      <c r="BZ2308" s="2" t="s">
        <v>243</v>
      </c>
      <c r="CA2308" s="2" t="s">
        <v>4515</v>
      </c>
      <c r="CB2308" s="2" t="s">
        <v>5903</v>
      </c>
      <c r="CC2308" s="2" t="s">
        <v>244</v>
      </c>
      <c r="CD2308" s="2" t="s">
        <v>231</v>
      </c>
      <c r="CE2308" s="4">
        <v>549</v>
      </c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  <c r="HG2308" s="4"/>
      <c r="HH2308" s="4"/>
      <c r="HI2308" s="4"/>
      <c r="HJ2308" s="4"/>
      <c r="HK2308" s="4"/>
      <c r="HL2308" s="4"/>
    </row>
    <row r="2309">
      <c r="A2309" s="2" t="s">
        <v>10049</v>
      </c>
      <c r="B2309" s="2" t="s">
        <v>1004</v>
      </c>
      <c r="C2309" s="2" t="s">
        <v>288</v>
      </c>
      <c r="D2309" s="2" t="s">
        <v>1689</v>
      </c>
      <c r="E2309" s="2" t="s">
        <v>1690</v>
      </c>
      <c r="F2309" s="2" t="s">
        <v>10050</v>
      </c>
      <c r="G2309" s="2" t="s">
        <v>2546</v>
      </c>
      <c r="H2309" s="2" t="s">
        <v>9584</v>
      </c>
      <c r="I2309" s="2" t="s">
        <v>10051</v>
      </c>
      <c r="J2309" s="2" t="s">
        <v>807</v>
      </c>
      <c r="K2309" s="2" t="s">
        <v>10052</v>
      </c>
      <c r="L2309" s="3">
        <v>199.5</v>
      </c>
      <c r="M2309" s="3">
        <v>209.48</v>
      </c>
      <c r="N2309" s="3">
        <v>419</v>
      </c>
      <c r="O2309" s="2" t="s">
        <v>243</v>
      </c>
      <c r="P2309" s="2" t="s">
        <v>270</v>
      </c>
      <c r="Q2309" s="2" t="s">
        <v>237</v>
      </c>
      <c r="R2309" s="2" t="s">
        <v>231</v>
      </c>
      <c r="S2309" s="2" t="s">
        <v>10053</v>
      </c>
      <c r="T2309" s="2" t="s">
        <v>231</v>
      </c>
      <c r="U2309" s="2" t="s">
        <v>231</v>
      </c>
      <c r="V2309" s="2" t="s">
        <v>239</v>
      </c>
      <c r="W2309" s="2" t="s">
        <v>808</v>
      </c>
      <c r="X2309" s="2" t="s">
        <v>231</v>
      </c>
      <c r="Y2309" s="2" t="s">
        <v>274</v>
      </c>
      <c r="Z2309" s="4">
        <v>283</v>
      </c>
      <c r="AA2309" s="4">
        <f>=ROUNDDOWN(48.7931034482759,0)</f>
      </c>
      <c r="AB2309" s="5">
        <v>5.8</v>
      </c>
      <c r="AC2309" s="2" t="s">
        <v>231</v>
      </c>
      <c r="AD2309" s="4"/>
      <c r="AE2309" s="4"/>
      <c r="AF2309" s="6">
        <v>66</v>
      </c>
      <c r="AG2309" s="6"/>
      <c r="AH2309" s="7">
        <v>1</v>
      </c>
      <c r="AI2309" s="4"/>
      <c r="AJ2309" s="4">
        <f>=ROUNDDOWN({0},0)</f>
      </c>
      <c r="AK2309" s="5"/>
      <c r="AL2309" s="2" t="s">
        <v>231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 t="s">
        <v>231</v>
      </c>
      <c r="BD2309" s="8" t="s">
        <v>231</v>
      </c>
      <c r="BE2309" s="4" t="s">
        <v>231</v>
      </c>
      <c r="BF2309" s="8" t="s">
        <v>231</v>
      </c>
      <c r="BG2309" s="7" t="s">
        <v>231</v>
      </c>
      <c r="BH2309" s="7" t="s">
        <v>231</v>
      </c>
      <c r="BI2309" s="7"/>
      <c r="BJ2309" s="4">
        <v>24</v>
      </c>
      <c r="BK2309" s="8">
        <v>3965.24</v>
      </c>
      <c r="BL2309" s="2" t="s">
        <v>10054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10055</v>
      </c>
      <c r="BV2309" s="2" t="s">
        <v>231</v>
      </c>
      <c r="BW2309" s="2" t="s">
        <v>231</v>
      </c>
      <c r="BX2309" s="2" t="s">
        <v>1812</v>
      </c>
      <c r="BY2309" s="2" t="s">
        <v>277</v>
      </c>
      <c r="BZ2309" s="2" t="s">
        <v>243</v>
      </c>
      <c r="CA2309" s="2" t="s">
        <v>284</v>
      </c>
      <c r="CB2309" s="2" t="s">
        <v>10056</v>
      </c>
      <c r="CC2309" s="2" t="s">
        <v>244</v>
      </c>
      <c r="CD2309" s="2" t="s">
        <v>231</v>
      </c>
      <c r="CE2309" s="4"/>
      <c r="CF2309" s="4">
        <v>283</v>
      </c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  <c r="HG2309" s="4"/>
      <c r="HH2309" s="4"/>
      <c r="HI2309" s="4"/>
      <c r="HJ2309" s="4"/>
      <c r="HK2309" s="4"/>
      <c r="HL2309" s="4"/>
    </row>
    <row r="2310">
      <c r="A2310" s="2" t="s">
        <v>10057</v>
      </c>
      <c r="B2310" s="2" t="s">
        <v>1004</v>
      </c>
      <c r="C2310" s="2" t="s">
        <v>288</v>
      </c>
      <c r="D2310" s="2" t="s">
        <v>1689</v>
      </c>
      <c r="E2310" s="2" t="s">
        <v>1690</v>
      </c>
      <c r="F2310" s="2" t="s">
        <v>10050</v>
      </c>
      <c r="G2310" s="2" t="s">
        <v>2546</v>
      </c>
      <c r="H2310" s="2" t="s">
        <v>9584</v>
      </c>
      <c r="I2310" s="2" t="s">
        <v>10051</v>
      </c>
      <c r="J2310" s="2" t="s">
        <v>807</v>
      </c>
      <c r="K2310" s="2" t="s">
        <v>1491</v>
      </c>
      <c r="L2310" s="3">
        <v>199.5</v>
      </c>
      <c r="M2310" s="3">
        <v>209.48</v>
      </c>
      <c r="N2310" s="3">
        <v>419</v>
      </c>
      <c r="O2310" s="2" t="s">
        <v>243</v>
      </c>
      <c r="P2310" s="2" t="s">
        <v>1985</v>
      </c>
      <c r="Q2310" s="2" t="s">
        <v>237</v>
      </c>
      <c r="R2310" s="2" t="s">
        <v>231</v>
      </c>
      <c r="S2310" s="2" t="s">
        <v>10058</v>
      </c>
      <c r="T2310" s="2" t="s">
        <v>231</v>
      </c>
      <c r="U2310" s="2" t="s">
        <v>231</v>
      </c>
      <c r="V2310" s="2" t="s">
        <v>239</v>
      </c>
      <c r="W2310" s="2" t="s">
        <v>808</v>
      </c>
      <c r="X2310" s="2" t="s">
        <v>231</v>
      </c>
      <c r="Y2310" s="2" t="s">
        <v>274</v>
      </c>
      <c r="Z2310" s="4">
        <v>124</v>
      </c>
      <c r="AA2310" s="4">
        <f>=ROUNDDOWN(62,0)</f>
      </c>
      <c r="AB2310" s="5">
        <v>2</v>
      </c>
      <c r="AC2310" s="2" t="s">
        <v>231</v>
      </c>
      <c r="AD2310" s="4"/>
      <c r="AE2310" s="4"/>
      <c r="AF2310" s="6">
        <v>66</v>
      </c>
      <c r="AG2310" s="6">
        <v>49</v>
      </c>
      <c r="AH2310" s="7">
        <v>1</v>
      </c>
      <c r="AI2310" s="4"/>
      <c r="AJ2310" s="4">
        <f>=ROUNDDOWN({0},0)</f>
      </c>
      <c r="AK2310" s="5"/>
      <c r="AL2310" s="2" t="s">
        <v>231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231</v>
      </c>
      <c r="BD2310" s="8" t="s">
        <v>231</v>
      </c>
      <c r="BE2310" s="4" t="s">
        <v>231</v>
      </c>
      <c r="BF2310" s="8" t="s">
        <v>231</v>
      </c>
      <c r="BG2310" s="7" t="s">
        <v>231</v>
      </c>
      <c r="BH2310" s="7" t="s">
        <v>231</v>
      </c>
      <c r="BI2310" s="7"/>
      <c r="BJ2310" s="4">
        <v>16</v>
      </c>
      <c r="BK2310" s="8">
        <v>2039.97</v>
      </c>
      <c r="BL2310" s="2" t="s">
        <v>10059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10060</v>
      </c>
      <c r="BV2310" s="2" t="s">
        <v>231</v>
      </c>
      <c r="BW2310" s="2" t="s">
        <v>231</v>
      </c>
      <c r="BX2310" s="2" t="s">
        <v>1812</v>
      </c>
      <c r="BY2310" s="2" t="s">
        <v>277</v>
      </c>
      <c r="BZ2310" s="2" t="s">
        <v>243</v>
      </c>
      <c r="CA2310" s="2" t="s">
        <v>284</v>
      </c>
      <c r="CB2310" s="2" t="s">
        <v>9078</v>
      </c>
      <c r="CC2310" s="2" t="s">
        <v>244</v>
      </c>
      <c r="CD2310" s="2" t="s">
        <v>231</v>
      </c>
      <c r="CE2310" s="4"/>
      <c r="CF2310" s="4">
        <v>124</v>
      </c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  <c r="HF2310" s="4"/>
      <c r="HG2310" s="4"/>
      <c r="HH2310" s="4"/>
      <c r="HI2310" s="4"/>
      <c r="HJ2310" s="4"/>
      <c r="HK2310" s="4"/>
      <c r="HL2310" s="4"/>
    </row>
    <row r="2311">
      <c r="A2311" s="2" t="s">
        <v>10061</v>
      </c>
      <c r="B2311" s="2" t="s">
        <v>801</v>
      </c>
      <c r="C2311" s="2" t="s">
        <v>815</v>
      </c>
      <c r="D2311" s="2" t="s">
        <v>2228</v>
      </c>
      <c r="E2311" s="2" t="s">
        <v>2229</v>
      </c>
      <c r="F2311" s="2" t="s">
        <v>10062</v>
      </c>
      <c r="G2311" s="2" t="s">
        <v>10062</v>
      </c>
      <c r="H2311" s="2" t="s">
        <v>10062</v>
      </c>
      <c r="I2311" s="2" t="s">
        <v>10063</v>
      </c>
      <c r="J2311" s="2" t="s">
        <v>807</v>
      </c>
      <c r="K2311" s="2" t="s">
        <v>698</v>
      </c>
      <c r="L2311" s="3">
        <v>89.35</v>
      </c>
      <c r="M2311" s="3">
        <v>93.82</v>
      </c>
      <c r="N2311" s="3">
        <v>199.99</v>
      </c>
      <c r="O2311" s="2" t="s">
        <v>243</v>
      </c>
      <c r="P2311" s="2" t="s">
        <v>270</v>
      </c>
      <c r="Q2311" s="2" t="s">
        <v>237</v>
      </c>
      <c r="R2311" s="2" t="s">
        <v>231</v>
      </c>
      <c r="S2311" s="2" t="s">
        <v>10064</v>
      </c>
      <c r="T2311" s="2" t="s">
        <v>231</v>
      </c>
      <c r="U2311" s="2" t="s">
        <v>231</v>
      </c>
      <c r="V2311" s="2" t="s">
        <v>239</v>
      </c>
      <c r="W2311" s="2" t="s">
        <v>691</v>
      </c>
      <c r="X2311" s="2" t="s">
        <v>231</v>
      </c>
      <c r="Y2311" s="2" t="s">
        <v>274</v>
      </c>
      <c r="Z2311" s="4">
        <v>186</v>
      </c>
      <c r="AA2311" s="4">
        <f>=ROUNDDOWN(62,0)</f>
      </c>
      <c r="AB2311" s="5">
        <v>3</v>
      </c>
      <c r="AC2311" s="2" t="s">
        <v>231</v>
      </c>
      <c r="AD2311" s="4"/>
      <c r="AE2311" s="4"/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231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231</v>
      </c>
      <c r="BD2311" s="8" t="s">
        <v>231</v>
      </c>
      <c r="BE2311" s="4" t="s">
        <v>231</v>
      </c>
      <c r="BF2311" s="8" t="s">
        <v>231</v>
      </c>
      <c r="BG2311" s="7" t="s">
        <v>231</v>
      </c>
      <c r="BH2311" s="7" t="s">
        <v>231</v>
      </c>
      <c r="BI2311" s="7"/>
      <c r="BJ2311" s="4">
        <v>4</v>
      </c>
      <c r="BK2311" s="8">
        <v>396.76</v>
      </c>
      <c r="BL2311" s="2" t="s">
        <v>10065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10066</v>
      </c>
      <c r="BV2311" s="2" t="s">
        <v>231</v>
      </c>
      <c r="BW2311" s="2" t="s">
        <v>231</v>
      </c>
      <c r="BX2311" s="2" t="s">
        <v>241</v>
      </c>
      <c r="BY2311" s="2" t="s">
        <v>277</v>
      </c>
      <c r="BZ2311" s="2" t="s">
        <v>243</v>
      </c>
      <c r="CA2311" s="2" t="s">
        <v>284</v>
      </c>
      <c r="CB2311" s="2" t="s">
        <v>6840</v>
      </c>
      <c r="CC2311" s="2" t="s">
        <v>244</v>
      </c>
      <c r="CD2311" s="2" t="s">
        <v>231</v>
      </c>
      <c r="CE2311" s="4">
        <v>1</v>
      </c>
      <c r="CF2311" s="4">
        <v>185</v>
      </c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  <c r="HF2311" s="4"/>
      <c r="HG2311" s="4"/>
      <c r="HH2311" s="4"/>
      <c r="HI2311" s="4"/>
      <c r="HJ2311" s="4"/>
      <c r="HK2311" s="4"/>
      <c r="HL2311" s="4"/>
    </row>
    <row r="2312">
      <c r="A2312" s="2" t="s">
        <v>10067</v>
      </c>
      <c r="B2312" s="2" t="s">
        <v>801</v>
      </c>
      <c r="C2312" s="2" t="s">
        <v>815</v>
      </c>
      <c r="D2312" s="2" t="s">
        <v>1043</v>
      </c>
      <c r="E2312" s="2" t="s">
        <v>1044</v>
      </c>
      <c r="F2312" s="2" t="s">
        <v>10062</v>
      </c>
      <c r="G2312" s="2" t="s">
        <v>10062</v>
      </c>
      <c r="H2312" s="2" t="s">
        <v>10062</v>
      </c>
      <c r="I2312" s="2" t="s">
        <v>10068</v>
      </c>
      <c r="J2312" s="2" t="s">
        <v>807</v>
      </c>
      <c r="K2312" s="2" t="s">
        <v>10069</v>
      </c>
      <c r="L2312" s="3">
        <v>85.81</v>
      </c>
      <c r="M2312" s="3">
        <v>90.1</v>
      </c>
      <c r="N2312" s="3">
        <v>179.99</v>
      </c>
      <c r="O2312" s="2" t="s">
        <v>243</v>
      </c>
      <c r="P2312" s="2" t="s">
        <v>341</v>
      </c>
      <c r="Q2312" s="2" t="s">
        <v>237</v>
      </c>
      <c r="R2312" s="2" t="s">
        <v>231</v>
      </c>
      <c r="S2312" s="2" t="s">
        <v>231</v>
      </c>
      <c r="T2312" s="2" t="s">
        <v>231</v>
      </c>
      <c r="U2312" s="2" t="s">
        <v>327</v>
      </c>
      <c r="V2312" s="2" t="s">
        <v>662</v>
      </c>
      <c r="W2312" s="2" t="s">
        <v>691</v>
      </c>
      <c r="X2312" s="2" t="s">
        <v>231</v>
      </c>
      <c r="Y2312" s="2" t="s">
        <v>728</v>
      </c>
      <c r="Z2312" s="4">
        <v>180</v>
      </c>
      <c r="AA2312" s="4">
        <f>=ROUNDDOWN(900,0)</f>
      </c>
      <c r="AB2312" s="5">
        <v>0.2</v>
      </c>
      <c r="AC2312" s="2" t="s">
        <v>231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231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231</v>
      </c>
      <c r="BD2312" s="8" t="s">
        <v>231</v>
      </c>
      <c r="BE2312" s="4" t="s">
        <v>231</v>
      </c>
      <c r="BF2312" s="8" t="s">
        <v>231</v>
      </c>
      <c r="BG2312" s="7" t="s">
        <v>231</v>
      </c>
      <c r="BH2312" s="7" t="s">
        <v>231</v>
      </c>
      <c r="BI2312" s="7"/>
      <c r="BJ2312" s="4">
        <v>1</v>
      </c>
      <c r="BK2312" s="8">
        <v>38.71</v>
      </c>
      <c r="BL2312" s="2" t="s">
        <v>628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10070</v>
      </c>
      <c r="BV2312" s="2" t="s">
        <v>231</v>
      </c>
      <c r="BW2312" s="2" t="s">
        <v>231</v>
      </c>
      <c r="BX2312" s="2" t="s">
        <v>231</v>
      </c>
      <c r="BY2312" s="2" t="s">
        <v>277</v>
      </c>
      <c r="BZ2312" s="2" t="s">
        <v>243</v>
      </c>
      <c r="CA2312" s="2" t="s">
        <v>728</v>
      </c>
      <c r="CB2312" s="2" t="s">
        <v>2544</v>
      </c>
      <c r="CC2312" s="2" t="s">
        <v>244</v>
      </c>
      <c r="CD2312" s="2" t="s">
        <v>231</v>
      </c>
      <c r="CE2312" s="4"/>
      <c r="CF2312" s="4">
        <v>180</v>
      </c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  <c r="HF2312" s="4"/>
      <c r="HG2312" s="4"/>
      <c r="HH2312" s="4"/>
      <c r="HI2312" s="4"/>
      <c r="HJ2312" s="4"/>
      <c r="HK2312" s="4"/>
      <c r="HL2312" s="4"/>
    </row>
    <row r="2313">
      <c r="A2313" s="2" t="s">
        <v>10071</v>
      </c>
      <c r="B2313" s="2" t="s">
        <v>801</v>
      </c>
      <c r="C2313" s="2" t="s">
        <v>815</v>
      </c>
      <c r="D2313" s="2" t="s">
        <v>2228</v>
      </c>
      <c r="E2313" s="2" t="s">
        <v>2229</v>
      </c>
      <c r="F2313" s="2" t="s">
        <v>10062</v>
      </c>
      <c r="G2313" s="2" t="s">
        <v>10062</v>
      </c>
      <c r="H2313" s="2" t="s">
        <v>10062</v>
      </c>
      <c r="I2313" s="2" t="s">
        <v>10063</v>
      </c>
      <c r="J2313" s="2" t="s">
        <v>807</v>
      </c>
      <c r="K2313" s="2" t="s">
        <v>463</v>
      </c>
      <c r="L2313" s="3">
        <v>89.35</v>
      </c>
      <c r="M2313" s="3">
        <v>93.82</v>
      </c>
      <c r="N2313" s="3">
        <v>199.99</v>
      </c>
      <c r="O2313" s="2" t="s">
        <v>243</v>
      </c>
      <c r="P2313" s="2" t="s">
        <v>270</v>
      </c>
      <c r="Q2313" s="2" t="s">
        <v>237</v>
      </c>
      <c r="R2313" s="2" t="s">
        <v>231</v>
      </c>
      <c r="S2313" s="2" t="s">
        <v>231</v>
      </c>
      <c r="T2313" s="2" t="s">
        <v>231</v>
      </c>
      <c r="U2313" s="2" t="s">
        <v>231</v>
      </c>
      <c r="V2313" s="2" t="s">
        <v>239</v>
      </c>
      <c r="W2313" s="2" t="s">
        <v>2500</v>
      </c>
      <c r="X2313" s="2" t="s">
        <v>231</v>
      </c>
      <c r="Y2313" s="2" t="s">
        <v>4306</v>
      </c>
      <c r="Z2313" s="4">
        <v>46</v>
      </c>
      <c r="AA2313" s="4">
        <f>=ROUNDDOWN(23,0)</f>
      </c>
      <c r="AB2313" s="5">
        <v>2</v>
      </c>
      <c r="AC2313" s="2" t="s">
        <v>1137</v>
      </c>
      <c r="AD2313" s="4">
        <v>100</v>
      </c>
      <c r="AE2313" s="4">
        <v>100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231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 t="s">
        <v>231</v>
      </c>
      <c r="BD2313" s="8" t="s">
        <v>231</v>
      </c>
      <c r="BE2313" s="4" t="s">
        <v>231</v>
      </c>
      <c r="BF2313" s="8" t="s">
        <v>231</v>
      </c>
      <c r="BG2313" s="7" t="s">
        <v>231</v>
      </c>
      <c r="BH2313" s="7" t="s">
        <v>231</v>
      </c>
      <c r="BI2313" s="7"/>
      <c r="BJ2313" s="4">
        <v>2</v>
      </c>
      <c r="BK2313" s="8">
        <v>219.08</v>
      </c>
      <c r="BL2313" s="2" t="s">
        <v>10072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10073</v>
      </c>
      <c r="BV2313" s="2" t="s">
        <v>231</v>
      </c>
      <c r="BW2313" s="2" t="s">
        <v>231</v>
      </c>
      <c r="BX2313" s="2" t="s">
        <v>241</v>
      </c>
      <c r="BY2313" s="2" t="s">
        <v>277</v>
      </c>
      <c r="BZ2313" s="2" t="s">
        <v>243</v>
      </c>
      <c r="CA2313" s="2" t="s">
        <v>10074</v>
      </c>
      <c r="CB2313" s="2" t="s">
        <v>3707</v>
      </c>
      <c r="CC2313" s="2" t="s">
        <v>244</v>
      </c>
      <c r="CD2313" s="2" t="s">
        <v>231</v>
      </c>
      <c r="CE2313" s="4">
        <v>2</v>
      </c>
      <c r="CF2313" s="4">
        <v>44</v>
      </c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>
        <v>100</v>
      </c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  <c r="HG2313" s="4"/>
      <c r="HH2313" s="4"/>
      <c r="HI2313" s="4"/>
      <c r="HJ2313" s="4"/>
      <c r="HK2313" s="4"/>
      <c r="HL2313" s="4"/>
    </row>
    <row r="2314">
      <c r="A2314" s="2" t="s">
        <v>10075</v>
      </c>
      <c r="B2314" s="2" t="s">
        <v>1186</v>
      </c>
      <c r="C2314" s="2" t="s">
        <v>288</v>
      </c>
      <c r="D2314" s="2" t="s">
        <v>654</v>
      </c>
      <c r="E2314" s="2" t="s">
        <v>655</v>
      </c>
      <c r="F2314" s="2" t="s">
        <v>10076</v>
      </c>
      <c r="G2314" s="2" t="s">
        <v>10077</v>
      </c>
      <c r="H2314" s="2" t="s">
        <v>10078</v>
      </c>
      <c r="I2314" s="2" t="s">
        <v>10079</v>
      </c>
      <c r="J2314" s="2" t="s">
        <v>304</v>
      </c>
      <c r="K2314" s="2" t="s">
        <v>778</v>
      </c>
      <c r="L2314" s="3">
        <v>81.21</v>
      </c>
      <c r="M2314" s="3">
        <v>85.27</v>
      </c>
      <c r="N2314" s="3">
        <v>169.99</v>
      </c>
      <c r="O2314" s="2" t="s">
        <v>243</v>
      </c>
      <c r="P2314" s="2" t="s">
        <v>270</v>
      </c>
      <c r="Q2314" s="2" t="s">
        <v>237</v>
      </c>
      <c r="R2314" s="2" t="s">
        <v>231</v>
      </c>
      <c r="S2314" s="2" t="s">
        <v>10080</v>
      </c>
      <c r="T2314" s="2" t="s">
        <v>231</v>
      </c>
      <c r="U2314" s="2" t="s">
        <v>700</v>
      </c>
      <c r="V2314" s="2" t="s">
        <v>1433</v>
      </c>
      <c r="W2314" s="2" t="s">
        <v>792</v>
      </c>
      <c r="X2314" s="2" t="s">
        <v>10081</v>
      </c>
      <c r="Y2314" s="2" t="s">
        <v>10082</v>
      </c>
      <c r="Z2314" s="4">
        <v>170</v>
      </c>
      <c r="AA2314" s="4">
        <f>=ROUNDDOWN(42.5,0)</f>
      </c>
      <c r="AB2314" s="5">
        <v>4</v>
      </c>
      <c r="AC2314" s="2" t="s">
        <v>231</v>
      </c>
      <c r="AD2314" s="4"/>
      <c r="AE2314" s="4"/>
      <c r="AF2314" s="6">
        <v>65</v>
      </c>
      <c r="AG2314" s="6">
        <v>48</v>
      </c>
      <c r="AH2314" s="7">
        <v>1</v>
      </c>
      <c r="AI2314" s="4"/>
      <c r="AJ2314" s="4">
        <f>=ROUNDDOWN({0},0)</f>
      </c>
      <c r="AK2314" s="5"/>
      <c r="AL2314" s="2" t="s">
        <v>231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/>
      <c r="BD2314" s="8"/>
      <c r="BE2314" s="4"/>
      <c r="BF2314" s="8"/>
      <c r="BG2314" s="7"/>
      <c r="BH2314" s="7"/>
      <c r="BI2314" s="7"/>
      <c r="BJ2314" s="4">
        <v>8</v>
      </c>
      <c r="BK2314" s="8">
        <v>675.99</v>
      </c>
      <c r="BL2314" s="2" t="s">
        <v>10083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10084</v>
      </c>
      <c r="BV2314" s="2" t="s">
        <v>231</v>
      </c>
      <c r="BW2314" s="2" t="s">
        <v>231</v>
      </c>
      <c r="BX2314" s="2" t="s">
        <v>312</v>
      </c>
      <c r="BY2314" s="2" t="s">
        <v>277</v>
      </c>
      <c r="BZ2314" s="2" t="s">
        <v>243</v>
      </c>
      <c r="CA2314" s="2" t="s">
        <v>10085</v>
      </c>
      <c r="CB2314" s="2" t="s">
        <v>10086</v>
      </c>
      <c r="CC2314" s="2" t="s">
        <v>244</v>
      </c>
      <c r="CD2314" s="2" t="s">
        <v>231</v>
      </c>
      <c r="CE2314" s="4">
        <v>46</v>
      </c>
      <c r="CF2314" s="4">
        <v>59</v>
      </c>
      <c r="CG2314" s="4"/>
      <c r="CH2314" s="4"/>
      <c r="CI2314" s="4">
        <v>65</v>
      </c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  <c r="HG2314" s="4"/>
      <c r="HH2314" s="4"/>
      <c r="HI2314" s="4"/>
      <c r="HJ2314" s="4"/>
      <c r="HK2314" s="4"/>
      <c r="HL2314" s="4"/>
    </row>
    <row r="2315">
      <c r="A2315" s="2" t="s">
        <v>10087</v>
      </c>
      <c r="B2315" s="2" t="s">
        <v>1004</v>
      </c>
      <c r="C2315" s="2" t="s">
        <v>288</v>
      </c>
      <c r="D2315" s="2" t="s">
        <v>1689</v>
      </c>
      <c r="E2315" s="2" t="s">
        <v>1690</v>
      </c>
      <c r="F2315" s="2" t="s">
        <v>1758</v>
      </c>
      <c r="G2315" s="2" t="s">
        <v>10088</v>
      </c>
      <c r="H2315" s="2" t="s">
        <v>6049</v>
      </c>
      <c r="I2315" s="2" t="s">
        <v>2651</v>
      </c>
      <c r="J2315" s="2" t="s">
        <v>807</v>
      </c>
      <c r="K2315" s="2" t="s">
        <v>1136</v>
      </c>
      <c r="L2315" s="3">
        <v>171</v>
      </c>
      <c r="M2315" s="3">
        <v>179.55</v>
      </c>
      <c r="N2315" s="3">
        <v>359</v>
      </c>
      <c r="O2315" s="2" t="s">
        <v>243</v>
      </c>
      <c r="P2315" s="2" t="s">
        <v>270</v>
      </c>
      <c r="Q2315" s="2" t="s">
        <v>237</v>
      </c>
      <c r="R2315" s="2" t="s">
        <v>231</v>
      </c>
      <c r="S2315" s="2" t="s">
        <v>10089</v>
      </c>
      <c r="T2315" s="2" t="s">
        <v>231</v>
      </c>
      <c r="U2315" s="2" t="s">
        <v>231</v>
      </c>
      <c r="V2315" s="2" t="s">
        <v>239</v>
      </c>
      <c r="W2315" s="2" t="s">
        <v>792</v>
      </c>
      <c r="X2315" s="2" t="s">
        <v>231</v>
      </c>
      <c r="Y2315" s="2" t="s">
        <v>10090</v>
      </c>
      <c r="Z2315" s="4">
        <v>133</v>
      </c>
      <c r="AA2315" s="4">
        <f>=ROUNDDOWN(26.6,0)</f>
      </c>
      <c r="AB2315" s="5">
        <v>5</v>
      </c>
      <c r="AC2315" s="2" t="s">
        <v>10091</v>
      </c>
      <c r="AD2315" s="4">
        <v>100</v>
      </c>
      <c r="AE2315" s="4">
        <v>100</v>
      </c>
      <c r="AF2315" s="6">
        <v>74</v>
      </c>
      <c r="AG2315" s="6"/>
      <c r="AH2315" s="7">
        <v>1</v>
      </c>
      <c r="AI2315" s="4"/>
      <c r="AJ2315" s="4">
        <f>=ROUNDDOWN({0},0)</f>
      </c>
      <c r="AK2315" s="5"/>
      <c r="AL2315" s="2" t="s">
        <v>231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/>
      <c r="BD2315" s="8"/>
      <c r="BE2315" s="4"/>
      <c r="BF2315" s="8"/>
      <c r="BG2315" s="7"/>
      <c r="BH2315" s="7"/>
      <c r="BI2315" s="7"/>
      <c r="BJ2315" s="4">
        <v>29</v>
      </c>
      <c r="BK2315" s="8">
        <v>4848.81</v>
      </c>
      <c r="BL2315" s="2" t="s">
        <v>10092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10093</v>
      </c>
      <c r="BV2315" s="2" t="s">
        <v>231</v>
      </c>
      <c r="BW2315" s="2" t="s">
        <v>231</v>
      </c>
      <c r="BX2315" s="2" t="s">
        <v>231</v>
      </c>
      <c r="BY2315" s="2" t="s">
        <v>277</v>
      </c>
      <c r="BZ2315" s="2" t="s">
        <v>243</v>
      </c>
      <c r="CA2315" s="2" t="s">
        <v>2024</v>
      </c>
      <c r="CB2315" s="2" t="s">
        <v>4327</v>
      </c>
      <c r="CC2315" s="2" t="s">
        <v>244</v>
      </c>
      <c r="CD2315" s="2" t="s">
        <v>231</v>
      </c>
      <c r="CE2315" s="4"/>
      <c r="CF2315" s="4">
        <v>133</v>
      </c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>
        <v>100</v>
      </c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  <c r="HG2315" s="4"/>
      <c r="HH2315" s="4"/>
      <c r="HI2315" s="4"/>
      <c r="HJ2315" s="4"/>
      <c r="HK2315" s="4"/>
      <c r="HL2315" s="4"/>
    </row>
    <row r="2316">
      <c r="A2316" s="2" t="s">
        <v>10094</v>
      </c>
      <c r="B2316" s="2" t="s">
        <v>1186</v>
      </c>
      <c r="C2316" s="2" t="s">
        <v>288</v>
      </c>
      <c r="D2316" s="2" t="s">
        <v>654</v>
      </c>
      <c r="E2316" s="2" t="s">
        <v>655</v>
      </c>
      <c r="F2316" s="2" t="s">
        <v>10095</v>
      </c>
      <c r="G2316" s="2" t="s">
        <v>3392</v>
      </c>
      <c r="H2316" s="2" t="s">
        <v>9302</v>
      </c>
      <c r="I2316" s="2" t="s">
        <v>10096</v>
      </c>
      <c r="J2316" s="2" t="s">
        <v>302</v>
      </c>
      <c r="K2316" s="2" t="s">
        <v>1146</v>
      </c>
      <c r="L2316" s="3">
        <v>61.9</v>
      </c>
      <c r="M2316" s="3">
        <v>65</v>
      </c>
      <c r="N2316" s="3">
        <v>129.99</v>
      </c>
      <c r="O2316" s="2" t="s">
        <v>243</v>
      </c>
      <c r="P2316" s="2" t="s">
        <v>341</v>
      </c>
      <c r="Q2316" s="2" t="s">
        <v>237</v>
      </c>
      <c r="R2316" s="2" t="s">
        <v>231</v>
      </c>
      <c r="S2316" s="2" t="s">
        <v>10097</v>
      </c>
      <c r="T2316" s="2" t="s">
        <v>231</v>
      </c>
      <c r="U2316" s="2" t="s">
        <v>5729</v>
      </c>
      <c r="V2316" s="2" t="s">
        <v>1485</v>
      </c>
      <c r="W2316" s="2" t="s">
        <v>792</v>
      </c>
      <c r="X2316" s="2" t="s">
        <v>299</v>
      </c>
      <c r="Y2316" s="2" t="s">
        <v>10098</v>
      </c>
      <c r="Z2316" s="4"/>
      <c r="AA2316" s="4">
        <f>=ROUNDDOWN({0},0)</f>
      </c>
      <c r="AB2316" s="5">
        <v>8</v>
      </c>
      <c r="AC2316" s="2" t="s">
        <v>231</v>
      </c>
      <c r="AD2316" s="4"/>
      <c r="AE2316" s="4"/>
      <c r="AF2316" s="6">
        <v>64</v>
      </c>
      <c r="AG2316" s="6"/>
      <c r="AH2316" s="7">
        <v>1</v>
      </c>
      <c r="AI2316" s="4"/>
      <c r="AJ2316" s="4">
        <f>=ROUNDDOWN({0},0)</f>
      </c>
      <c r="AK2316" s="5"/>
      <c r="AL2316" s="2" t="s">
        <v>231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/>
      <c r="BD2316" s="8"/>
      <c r="BE2316" s="4"/>
      <c r="BF2316" s="8"/>
      <c r="BG2316" s="7"/>
      <c r="BH2316" s="7"/>
      <c r="BI2316" s="7"/>
      <c r="BJ2316" s="4">
        <v>26</v>
      </c>
      <c r="BK2316" s="8">
        <v>1072.69</v>
      </c>
      <c r="BL2316" s="2" t="s">
        <v>10099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10100</v>
      </c>
      <c r="BV2316" s="2" t="s">
        <v>231</v>
      </c>
      <c r="BW2316" s="2" t="s">
        <v>231</v>
      </c>
      <c r="BX2316" s="2" t="s">
        <v>231</v>
      </c>
      <c r="BY2316" s="2" t="s">
        <v>277</v>
      </c>
      <c r="BZ2316" s="2" t="s">
        <v>243</v>
      </c>
      <c r="CA2316" s="2" t="s">
        <v>3857</v>
      </c>
      <c r="CB2316" s="2" t="s">
        <v>9162</v>
      </c>
      <c r="CC2316" s="2" t="s">
        <v>244</v>
      </c>
      <c r="CD2316" s="2" t="s">
        <v>231</v>
      </c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4"/>
      <c r="HG2316" s="4"/>
      <c r="HH2316" s="4"/>
      <c r="HI2316" s="4"/>
      <c r="HJ2316" s="4"/>
      <c r="HK2316" s="4"/>
      <c r="HL2316" s="4"/>
    </row>
    <row r="2317">
      <c r="A2317" s="2" t="s">
        <v>10101</v>
      </c>
      <c r="B2317" s="2" t="s">
        <v>226</v>
      </c>
      <c r="C2317" s="2" t="s">
        <v>288</v>
      </c>
      <c r="D2317" s="2" t="s">
        <v>654</v>
      </c>
      <c r="E2317" s="2" t="s">
        <v>890</v>
      </c>
      <c r="F2317" s="2" t="s">
        <v>10102</v>
      </c>
      <c r="G2317" s="2" t="s">
        <v>10103</v>
      </c>
      <c r="H2317" s="2" t="s">
        <v>10103</v>
      </c>
      <c r="I2317" s="2" t="s">
        <v>10104</v>
      </c>
      <c r="J2317" s="2" t="s">
        <v>658</v>
      </c>
      <c r="K2317" s="2" t="s">
        <v>901</v>
      </c>
      <c r="L2317" s="3">
        <v>50.6</v>
      </c>
      <c r="M2317" s="3">
        <v>53.13</v>
      </c>
      <c r="N2317" s="3">
        <v>109.99</v>
      </c>
      <c r="O2317" s="2" t="s">
        <v>243</v>
      </c>
      <c r="P2317" s="2" t="s">
        <v>270</v>
      </c>
      <c r="Q2317" s="2" t="s">
        <v>237</v>
      </c>
      <c r="R2317" s="2" t="s">
        <v>231</v>
      </c>
      <c r="S2317" s="2" t="s">
        <v>10105</v>
      </c>
      <c r="T2317" s="2" t="s">
        <v>1630</v>
      </c>
      <c r="U2317" s="2" t="s">
        <v>231</v>
      </c>
      <c r="V2317" s="2" t="s">
        <v>239</v>
      </c>
      <c r="W2317" s="2" t="s">
        <v>273</v>
      </c>
      <c r="X2317" s="2" t="s">
        <v>6619</v>
      </c>
      <c r="Y2317" s="2" t="s">
        <v>274</v>
      </c>
      <c r="Z2317" s="4"/>
      <c r="AA2317" s="4">
        <f>=ROUNDDOWN({0},0)</f>
      </c>
      <c r="AB2317" s="5">
        <v>15</v>
      </c>
      <c r="AC2317" s="2" t="s">
        <v>911</v>
      </c>
      <c r="AD2317" s="4">
        <v>130</v>
      </c>
      <c r="AE2317" s="4">
        <v>550</v>
      </c>
      <c r="AF2317" s="6">
        <v>65</v>
      </c>
      <c r="AG2317" s="6"/>
      <c r="AH2317" s="7">
        <v>0</v>
      </c>
      <c r="AI2317" s="4"/>
      <c r="AJ2317" s="4">
        <f>=ROUNDDOWN({0},0)</f>
      </c>
      <c r="AK2317" s="5"/>
      <c r="AL2317" s="2" t="s">
        <v>231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231</v>
      </c>
      <c r="AW2317" s="8" t="s">
        <v>231</v>
      </c>
      <c r="AX2317" s="4" t="s">
        <v>231</v>
      </c>
      <c r="AY2317" s="8" t="s">
        <v>231</v>
      </c>
      <c r="AZ2317" s="7" t="s">
        <v>231</v>
      </c>
      <c r="BA2317" s="7" t="s">
        <v>231</v>
      </c>
      <c r="BB2317" s="7"/>
      <c r="BC2317" s="4" t="s">
        <v>231</v>
      </c>
      <c r="BD2317" s="8" t="s">
        <v>231</v>
      </c>
      <c r="BE2317" s="4" t="s">
        <v>231</v>
      </c>
      <c r="BF2317" s="8" t="s">
        <v>231</v>
      </c>
      <c r="BG2317" s="7" t="s">
        <v>231</v>
      </c>
      <c r="BH2317" s="7" t="s">
        <v>231</v>
      </c>
      <c r="BI2317" s="7"/>
      <c r="BJ2317" s="4"/>
      <c r="BK2317" s="8"/>
      <c r="BL2317" s="2" t="s">
        <v>1306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10106</v>
      </c>
      <c r="BV2317" s="2" t="s">
        <v>231</v>
      </c>
      <c r="BW2317" s="2" t="s">
        <v>231</v>
      </c>
      <c r="BX2317" s="2" t="s">
        <v>231</v>
      </c>
      <c r="BY2317" s="2" t="s">
        <v>277</v>
      </c>
      <c r="BZ2317" s="2" t="s">
        <v>243</v>
      </c>
      <c r="CA2317" s="2" t="s">
        <v>278</v>
      </c>
      <c r="CB2317" s="2" t="s">
        <v>6751</v>
      </c>
      <c r="CC2317" s="2" t="s">
        <v>244</v>
      </c>
      <c r="CD2317" s="2" t="s">
        <v>231</v>
      </c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>
        <v>130</v>
      </c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>
        <v>200</v>
      </c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>
        <v>220</v>
      </c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  <c r="HG2317" s="4"/>
      <c r="HH2317" s="4"/>
      <c r="HI2317" s="4"/>
      <c r="HJ2317" s="4"/>
      <c r="HK2317" s="4"/>
      <c r="HL2317" s="4"/>
    </row>
    <row r="2318">
      <c r="A2318" s="2" t="s">
        <v>10107</v>
      </c>
      <c r="B2318" s="2" t="s">
        <v>226</v>
      </c>
      <c r="C2318" s="2" t="s">
        <v>288</v>
      </c>
      <c r="D2318" s="2" t="s">
        <v>1624</v>
      </c>
      <c r="E2318" s="2" t="s">
        <v>1625</v>
      </c>
      <c r="F2318" s="2" t="s">
        <v>10102</v>
      </c>
      <c r="G2318" s="2" t="s">
        <v>10103</v>
      </c>
      <c r="H2318" s="2" t="s">
        <v>10103</v>
      </c>
      <c r="I2318" s="2" t="s">
        <v>10108</v>
      </c>
      <c r="J2318" s="2" t="s">
        <v>2845</v>
      </c>
      <c r="K2318" s="2" t="s">
        <v>901</v>
      </c>
      <c r="L2318" s="3">
        <v>15.18</v>
      </c>
      <c r="M2318" s="3">
        <v>15.94</v>
      </c>
      <c r="N2318" s="3">
        <v>32.99</v>
      </c>
      <c r="O2318" s="2" t="s">
        <v>243</v>
      </c>
      <c r="P2318" s="2" t="s">
        <v>270</v>
      </c>
      <c r="Q2318" s="2" t="s">
        <v>237</v>
      </c>
      <c r="R2318" s="2" t="s">
        <v>231</v>
      </c>
      <c r="S2318" s="2" t="s">
        <v>10105</v>
      </c>
      <c r="T2318" s="2" t="s">
        <v>1630</v>
      </c>
      <c r="U2318" s="2" t="s">
        <v>231</v>
      </c>
      <c r="V2318" s="2" t="s">
        <v>239</v>
      </c>
      <c r="W2318" s="2" t="s">
        <v>273</v>
      </c>
      <c r="X2318" s="2" t="s">
        <v>231</v>
      </c>
      <c r="Y2318" s="2" t="s">
        <v>274</v>
      </c>
      <c r="Z2318" s="4"/>
      <c r="AA2318" s="4">
        <f>=ROUNDDOWN({0},0)</f>
      </c>
      <c r="AB2318" s="5">
        <v>40</v>
      </c>
      <c r="AC2318" s="2" t="s">
        <v>911</v>
      </c>
      <c r="AD2318" s="4">
        <v>490</v>
      </c>
      <c r="AE2318" s="4">
        <v>3120</v>
      </c>
      <c r="AF2318" s="6">
        <v>65</v>
      </c>
      <c r="AG2318" s="6"/>
      <c r="AH2318" s="7">
        <v>0</v>
      </c>
      <c r="AI2318" s="4"/>
      <c r="AJ2318" s="4">
        <f>=ROUNDDOWN({0},0)</f>
      </c>
      <c r="AK2318" s="5"/>
      <c r="AL2318" s="2" t="s">
        <v>231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231</v>
      </c>
      <c r="AW2318" s="8" t="s">
        <v>231</v>
      </c>
      <c r="AX2318" s="4" t="s">
        <v>231</v>
      </c>
      <c r="AY2318" s="8" t="s">
        <v>231</v>
      </c>
      <c r="AZ2318" s="7" t="s">
        <v>231</v>
      </c>
      <c r="BA2318" s="7" t="s">
        <v>231</v>
      </c>
      <c r="BB2318" s="7"/>
      <c r="BC2318" s="4" t="s">
        <v>231</v>
      </c>
      <c r="BD2318" s="8" t="s">
        <v>231</v>
      </c>
      <c r="BE2318" s="4" t="s">
        <v>231</v>
      </c>
      <c r="BF2318" s="8" t="s">
        <v>231</v>
      </c>
      <c r="BG2318" s="7" t="s">
        <v>231</v>
      </c>
      <c r="BH2318" s="7" t="s">
        <v>231</v>
      </c>
      <c r="BI2318" s="7"/>
      <c r="BJ2318" s="4"/>
      <c r="BK2318" s="8"/>
      <c r="BL2318" s="2" t="s">
        <v>10109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10110</v>
      </c>
      <c r="BV2318" s="2" t="s">
        <v>231</v>
      </c>
      <c r="BW2318" s="2" t="s">
        <v>231</v>
      </c>
      <c r="BX2318" s="2" t="s">
        <v>241</v>
      </c>
      <c r="BY2318" s="2" t="s">
        <v>277</v>
      </c>
      <c r="BZ2318" s="2" t="s">
        <v>243</v>
      </c>
      <c r="CA2318" s="2" t="s">
        <v>10111</v>
      </c>
      <c r="CB2318" s="2" t="s">
        <v>1780</v>
      </c>
      <c r="CC2318" s="2" t="s">
        <v>244</v>
      </c>
      <c r="CD2318" s="2" t="s">
        <v>231</v>
      </c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>
        <v>490</v>
      </c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>
        <v>1050</v>
      </c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>
        <v>1580</v>
      </c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4"/>
      <c r="HG2318" s="4"/>
      <c r="HH2318" s="4"/>
      <c r="HI2318" s="4"/>
      <c r="HJ2318" s="4"/>
      <c r="HK2318" s="4"/>
      <c r="HL2318" s="4"/>
    </row>
    <row r="2319">
      <c r="A2319" s="2" t="s">
        <v>10112</v>
      </c>
      <c r="B2319" s="2" t="s">
        <v>226</v>
      </c>
      <c r="C2319" s="2" t="s">
        <v>288</v>
      </c>
      <c r="D2319" s="2" t="s">
        <v>654</v>
      </c>
      <c r="E2319" s="2" t="s">
        <v>890</v>
      </c>
      <c r="F2319" s="2" t="s">
        <v>10102</v>
      </c>
      <c r="G2319" s="2" t="s">
        <v>10103</v>
      </c>
      <c r="H2319" s="2" t="s">
        <v>10103</v>
      </c>
      <c r="I2319" s="2" t="s">
        <v>10104</v>
      </c>
      <c r="J2319" s="2" t="s">
        <v>658</v>
      </c>
      <c r="K2319" s="2" t="s">
        <v>253</v>
      </c>
      <c r="L2319" s="3">
        <v>50.6</v>
      </c>
      <c r="M2319" s="3">
        <v>53.13</v>
      </c>
      <c r="N2319" s="3">
        <v>109.99</v>
      </c>
      <c r="O2319" s="2" t="s">
        <v>243</v>
      </c>
      <c r="P2319" s="2" t="s">
        <v>270</v>
      </c>
      <c r="Q2319" s="2" t="s">
        <v>237</v>
      </c>
      <c r="R2319" s="2" t="s">
        <v>231</v>
      </c>
      <c r="S2319" s="2" t="s">
        <v>10113</v>
      </c>
      <c r="T2319" s="2" t="s">
        <v>1630</v>
      </c>
      <c r="U2319" s="2" t="s">
        <v>231</v>
      </c>
      <c r="V2319" s="2" t="s">
        <v>239</v>
      </c>
      <c r="W2319" s="2" t="s">
        <v>273</v>
      </c>
      <c r="X2319" s="2" t="s">
        <v>6619</v>
      </c>
      <c r="Y2319" s="2" t="s">
        <v>274</v>
      </c>
      <c r="Z2319" s="4">
        <v>1</v>
      </c>
      <c r="AA2319" s="4">
        <f>=ROUNDDOWN(0.0588235294117647,0)</f>
      </c>
      <c r="AB2319" s="5">
        <v>17</v>
      </c>
      <c r="AC2319" s="2" t="s">
        <v>911</v>
      </c>
      <c r="AD2319" s="4">
        <v>210</v>
      </c>
      <c r="AE2319" s="4">
        <v>880</v>
      </c>
      <c r="AF2319" s="6">
        <v>65</v>
      </c>
      <c r="AG2319" s="6"/>
      <c r="AH2319" s="7">
        <v>0</v>
      </c>
      <c r="AI2319" s="4"/>
      <c r="AJ2319" s="4">
        <f>=ROUNDDOWN({0},0)</f>
      </c>
      <c r="AK2319" s="5"/>
      <c r="AL2319" s="2" t="s">
        <v>231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231</v>
      </c>
      <c r="AW2319" s="8" t="s">
        <v>231</v>
      </c>
      <c r="AX2319" s="4" t="s">
        <v>231</v>
      </c>
      <c r="AY2319" s="8" t="s">
        <v>231</v>
      </c>
      <c r="AZ2319" s="7" t="s">
        <v>231</v>
      </c>
      <c r="BA2319" s="7" t="s">
        <v>231</v>
      </c>
      <c r="BB2319" s="7"/>
      <c r="BC2319" s="4" t="s">
        <v>231</v>
      </c>
      <c r="BD2319" s="8" t="s">
        <v>231</v>
      </c>
      <c r="BE2319" s="4" t="s">
        <v>231</v>
      </c>
      <c r="BF2319" s="8" t="s">
        <v>231</v>
      </c>
      <c r="BG2319" s="7" t="s">
        <v>231</v>
      </c>
      <c r="BH2319" s="7" t="s">
        <v>231</v>
      </c>
      <c r="BI2319" s="7"/>
      <c r="BJ2319" s="4">
        <v>1</v>
      </c>
      <c r="BK2319" s="8">
        <v>53.12</v>
      </c>
      <c r="BL2319" s="2" t="s">
        <v>1306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10114</v>
      </c>
      <c r="BV2319" s="2" t="s">
        <v>231</v>
      </c>
      <c r="BW2319" s="2" t="s">
        <v>231</v>
      </c>
      <c r="BX2319" s="2" t="s">
        <v>231</v>
      </c>
      <c r="BY2319" s="2" t="s">
        <v>277</v>
      </c>
      <c r="BZ2319" s="2" t="s">
        <v>243</v>
      </c>
      <c r="CA2319" s="2" t="s">
        <v>278</v>
      </c>
      <c r="CB2319" s="2" t="s">
        <v>6751</v>
      </c>
      <c r="CC2319" s="2" t="s">
        <v>244</v>
      </c>
      <c r="CD2319" s="2" t="s">
        <v>231</v>
      </c>
      <c r="CE2319" s="4">
        <v>1</v>
      </c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>
        <v>210</v>
      </c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>
        <v>310</v>
      </c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/>
      <c r="GO2319" s="4"/>
      <c r="GP2319" s="4"/>
      <c r="GQ2319" s="4"/>
      <c r="GR2319" s="4"/>
      <c r="GS2319" s="4"/>
      <c r="GT2319" s="4"/>
      <c r="GU2319" s="4">
        <v>360</v>
      </c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/>
      <c r="HG2319" s="4"/>
      <c r="HH2319" s="4"/>
      <c r="HI2319" s="4"/>
      <c r="HJ2319" s="4"/>
      <c r="HK2319" s="4"/>
      <c r="HL2319" s="4"/>
    </row>
    <row r="2320">
      <c r="A2320" s="2" t="s">
        <v>10115</v>
      </c>
      <c r="B2320" s="2" t="s">
        <v>226</v>
      </c>
      <c r="C2320" s="2" t="s">
        <v>288</v>
      </c>
      <c r="D2320" s="2" t="s">
        <v>654</v>
      </c>
      <c r="E2320" s="2" t="s">
        <v>890</v>
      </c>
      <c r="F2320" s="2" t="s">
        <v>10102</v>
      </c>
      <c r="G2320" s="2" t="s">
        <v>10103</v>
      </c>
      <c r="H2320" s="2" t="s">
        <v>10103</v>
      </c>
      <c r="I2320" s="2" t="s">
        <v>10104</v>
      </c>
      <c r="J2320" s="2" t="s">
        <v>669</v>
      </c>
      <c r="K2320" s="2" t="s">
        <v>253</v>
      </c>
      <c r="L2320" s="3">
        <v>55.2</v>
      </c>
      <c r="M2320" s="3">
        <v>57.96</v>
      </c>
      <c r="N2320" s="3">
        <v>119.99</v>
      </c>
      <c r="O2320" s="2" t="s">
        <v>243</v>
      </c>
      <c r="P2320" s="2" t="s">
        <v>270</v>
      </c>
      <c r="Q2320" s="2" t="s">
        <v>237</v>
      </c>
      <c r="R2320" s="2" t="s">
        <v>231</v>
      </c>
      <c r="S2320" s="2" t="s">
        <v>10113</v>
      </c>
      <c r="T2320" s="2" t="s">
        <v>1630</v>
      </c>
      <c r="U2320" s="2" t="s">
        <v>231</v>
      </c>
      <c r="V2320" s="2" t="s">
        <v>239</v>
      </c>
      <c r="W2320" s="2" t="s">
        <v>273</v>
      </c>
      <c r="X2320" s="2" t="s">
        <v>6619</v>
      </c>
      <c r="Y2320" s="2" t="s">
        <v>274</v>
      </c>
      <c r="Z2320" s="4"/>
      <c r="AA2320" s="4">
        <f>=ROUNDDOWN({0},0)</f>
      </c>
      <c r="AB2320" s="5">
        <v>22</v>
      </c>
      <c r="AC2320" s="2" t="s">
        <v>911</v>
      </c>
      <c r="AD2320" s="4">
        <v>270</v>
      </c>
      <c r="AE2320" s="4">
        <v>1090</v>
      </c>
      <c r="AF2320" s="6">
        <v>65</v>
      </c>
      <c r="AG2320" s="6"/>
      <c r="AH2320" s="7">
        <v>0</v>
      </c>
      <c r="AI2320" s="4"/>
      <c r="AJ2320" s="4">
        <f>=ROUNDDOWN({0},0)</f>
      </c>
      <c r="AK2320" s="5"/>
      <c r="AL2320" s="2" t="s">
        <v>231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231</v>
      </c>
      <c r="AW2320" s="8" t="s">
        <v>231</v>
      </c>
      <c r="AX2320" s="4" t="s">
        <v>231</v>
      </c>
      <c r="AY2320" s="8" t="s">
        <v>231</v>
      </c>
      <c r="AZ2320" s="7" t="s">
        <v>231</v>
      </c>
      <c r="BA2320" s="7" t="s">
        <v>231</v>
      </c>
      <c r="BB2320" s="7"/>
      <c r="BC2320" s="4" t="s">
        <v>231</v>
      </c>
      <c r="BD2320" s="8" t="s">
        <v>231</v>
      </c>
      <c r="BE2320" s="4" t="s">
        <v>231</v>
      </c>
      <c r="BF2320" s="8" t="s">
        <v>231</v>
      </c>
      <c r="BG2320" s="7" t="s">
        <v>231</v>
      </c>
      <c r="BH2320" s="7" t="s">
        <v>231</v>
      </c>
      <c r="BI2320" s="7"/>
      <c r="BJ2320" s="4"/>
      <c r="BK2320" s="8"/>
      <c r="BL2320" s="2" t="s">
        <v>5098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10116</v>
      </c>
      <c r="BV2320" s="2" t="s">
        <v>231</v>
      </c>
      <c r="BW2320" s="2" t="s">
        <v>231</v>
      </c>
      <c r="BX2320" s="2" t="s">
        <v>231</v>
      </c>
      <c r="BY2320" s="2" t="s">
        <v>277</v>
      </c>
      <c r="BZ2320" s="2" t="s">
        <v>243</v>
      </c>
      <c r="CA2320" s="2" t="s">
        <v>278</v>
      </c>
      <c r="CB2320" s="2" t="s">
        <v>6751</v>
      </c>
      <c r="CC2320" s="2" t="s">
        <v>244</v>
      </c>
      <c r="CD2320" s="2" t="s">
        <v>231</v>
      </c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>
        <v>270</v>
      </c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>
        <v>430</v>
      </c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>
        <v>390</v>
      </c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  <c r="HG2320" s="4"/>
      <c r="HH2320" s="4"/>
      <c r="HI2320" s="4"/>
      <c r="HJ2320" s="4"/>
      <c r="HK2320" s="4"/>
      <c r="HL2320" s="4"/>
    </row>
    <row r="2321">
      <c r="A2321" s="2" t="s">
        <v>10117</v>
      </c>
      <c r="B2321" s="2" t="s">
        <v>226</v>
      </c>
      <c r="C2321" s="2" t="s">
        <v>288</v>
      </c>
      <c r="D2321" s="2" t="s">
        <v>1624</v>
      </c>
      <c r="E2321" s="2" t="s">
        <v>1625</v>
      </c>
      <c r="F2321" s="2" t="s">
        <v>10102</v>
      </c>
      <c r="G2321" s="2" t="s">
        <v>10103</v>
      </c>
      <c r="H2321" s="2" t="s">
        <v>10103</v>
      </c>
      <c r="I2321" s="2" t="s">
        <v>10108</v>
      </c>
      <c r="J2321" s="2" t="s">
        <v>2845</v>
      </c>
      <c r="K2321" s="2" t="s">
        <v>253</v>
      </c>
      <c r="L2321" s="3">
        <v>15.18</v>
      </c>
      <c r="M2321" s="3">
        <v>15.94</v>
      </c>
      <c r="N2321" s="3">
        <v>32.99</v>
      </c>
      <c r="O2321" s="2" t="s">
        <v>243</v>
      </c>
      <c r="P2321" s="2" t="s">
        <v>270</v>
      </c>
      <c r="Q2321" s="2" t="s">
        <v>237</v>
      </c>
      <c r="R2321" s="2" t="s">
        <v>231</v>
      </c>
      <c r="S2321" s="2" t="s">
        <v>10113</v>
      </c>
      <c r="T2321" s="2" t="s">
        <v>1630</v>
      </c>
      <c r="U2321" s="2" t="s">
        <v>231</v>
      </c>
      <c r="V2321" s="2" t="s">
        <v>239</v>
      </c>
      <c r="W2321" s="2" t="s">
        <v>273</v>
      </c>
      <c r="X2321" s="2" t="s">
        <v>231</v>
      </c>
      <c r="Y2321" s="2" t="s">
        <v>274</v>
      </c>
      <c r="Z2321" s="4"/>
      <c r="AA2321" s="4">
        <f>=ROUNDDOWN({0},0)</f>
      </c>
      <c r="AB2321" s="5">
        <v>88</v>
      </c>
      <c r="AC2321" s="2" t="s">
        <v>911</v>
      </c>
      <c r="AD2321" s="4">
        <v>1090</v>
      </c>
      <c r="AE2321" s="4">
        <v>6900</v>
      </c>
      <c r="AF2321" s="6">
        <v>65</v>
      </c>
      <c r="AG2321" s="6"/>
      <c r="AH2321" s="7">
        <v>0</v>
      </c>
      <c r="AI2321" s="4"/>
      <c r="AJ2321" s="4">
        <f>=ROUNDDOWN({0},0)</f>
      </c>
      <c r="AK2321" s="5"/>
      <c r="AL2321" s="2" t="s">
        <v>231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231</v>
      </c>
      <c r="AW2321" s="8" t="s">
        <v>231</v>
      </c>
      <c r="AX2321" s="4" t="s">
        <v>231</v>
      </c>
      <c r="AY2321" s="8" t="s">
        <v>231</v>
      </c>
      <c r="AZ2321" s="7" t="s">
        <v>231</v>
      </c>
      <c r="BA2321" s="7" t="s">
        <v>231</v>
      </c>
      <c r="BB2321" s="7"/>
      <c r="BC2321" s="4" t="s">
        <v>231</v>
      </c>
      <c r="BD2321" s="8" t="s">
        <v>231</v>
      </c>
      <c r="BE2321" s="4" t="s">
        <v>231</v>
      </c>
      <c r="BF2321" s="8" t="s">
        <v>231</v>
      </c>
      <c r="BG2321" s="7" t="s">
        <v>231</v>
      </c>
      <c r="BH2321" s="7" t="s">
        <v>231</v>
      </c>
      <c r="BI2321" s="7"/>
      <c r="BJ2321" s="4"/>
      <c r="BK2321" s="8"/>
      <c r="BL2321" s="2" t="s">
        <v>2849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10118</v>
      </c>
      <c r="BV2321" s="2" t="s">
        <v>231</v>
      </c>
      <c r="BW2321" s="2" t="s">
        <v>231</v>
      </c>
      <c r="BX2321" s="2" t="s">
        <v>241</v>
      </c>
      <c r="BY2321" s="2" t="s">
        <v>277</v>
      </c>
      <c r="BZ2321" s="2" t="s">
        <v>243</v>
      </c>
      <c r="CA2321" s="2" t="s">
        <v>10111</v>
      </c>
      <c r="CB2321" s="2" t="s">
        <v>1002</v>
      </c>
      <c r="CC2321" s="2" t="s">
        <v>244</v>
      </c>
      <c r="CD2321" s="2" t="s">
        <v>231</v>
      </c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>
        <v>1090</v>
      </c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>
        <v>2310</v>
      </c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>
        <v>3500</v>
      </c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  <c r="HG2321" s="4"/>
      <c r="HH2321" s="4"/>
      <c r="HI2321" s="4"/>
      <c r="HJ2321" s="4"/>
      <c r="HK2321" s="4"/>
      <c r="HL2321" s="4"/>
    </row>
    <row r="2322">
      <c r="A2322" s="2" t="s">
        <v>10119</v>
      </c>
      <c r="B2322" s="2" t="s">
        <v>226</v>
      </c>
      <c r="C2322" s="2" t="s">
        <v>288</v>
      </c>
      <c r="D2322" s="2" t="s">
        <v>1624</v>
      </c>
      <c r="E2322" s="2" t="s">
        <v>1625</v>
      </c>
      <c r="F2322" s="2" t="s">
        <v>10102</v>
      </c>
      <c r="G2322" s="2" t="s">
        <v>10103</v>
      </c>
      <c r="H2322" s="2" t="s">
        <v>10103</v>
      </c>
      <c r="I2322" s="2" t="s">
        <v>10108</v>
      </c>
      <c r="J2322" s="2" t="s">
        <v>2845</v>
      </c>
      <c r="K2322" s="2" t="s">
        <v>306</v>
      </c>
      <c r="L2322" s="3">
        <v>15.18</v>
      </c>
      <c r="M2322" s="3">
        <v>15.94</v>
      </c>
      <c r="N2322" s="3">
        <v>32.99</v>
      </c>
      <c r="O2322" s="2" t="s">
        <v>243</v>
      </c>
      <c r="P2322" s="2" t="s">
        <v>270</v>
      </c>
      <c r="Q2322" s="2" t="s">
        <v>237</v>
      </c>
      <c r="R2322" s="2" t="s">
        <v>231</v>
      </c>
      <c r="S2322" s="2" t="s">
        <v>10120</v>
      </c>
      <c r="T2322" s="2" t="s">
        <v>1630</v>
      </c>
      <c r="U2322" s="2" t="s">
        <v>231</v>
      </c>
      <c r="V2322" s="2" t="s">
        <v>239</v>
      </c>
      <c r="W2322" s="2" t="s">
        <v>273</v>
      </c>
      <c r="X2322" s="2" t="s">
        <v>231</v>
      </c>
      <c r="Y2322" s="2" t="s">
        <v>274</v>
      </c>
      <c r="Z2322" s="4"/>
      <c r="AA2322" s="4">
        <f>=ROUNDDOWN({0},0)</f>
      </c>
      <c r="AB2322" s="5">
        <v>68.1</v>
      </c>
      <c r="AC2322" s="2" t="s">
        <v>911</v>
      </c>
      <c r="AD2322" s="4">
        <v>680</v>
      </c>
      <c r="AE2322" s="4">
        <v>4300</v>
      </c>
      <c r="AF2322" s="6">
        <v>65</v>
      </c>
      <c r="AG2322" s="6"/>
      <c r="AH2322" s="7">
        <v>0</v>
      </c>
      <c r="AI2322" s="4"/>
      <c r="AJ2322" s="4">
        <f>=ROUNDDOWN({0},0)</f>
      </c>
      <c r="AK2322" s="5"/>
      <c r="AL2322" s="2" t="s">
        <v>231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231</v>
      </c>
      <c r="BD2322" s="8" t="s">
        <v>231</v>
      </c>
      <c r="BE2322" s="4" t="s">
        <v>231</v>
      </c>
      <c r="BF2322" s="8" t="s">
        <v>231</v>
      </c>
      <c r="BG2322" s="7" t="s">
        <v>231</v>
      </c>
      <c r="BH2322" s="7" t="s">
        <v>231</v>
      </c>
      <c r="BI2322" s="7"/>
      <c r="BJ2322" s="4"/>
      <c r="BK2322" s="8"/>
      <c r="BL2322" s="2" t="s">
        <v>231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10121</v>
      </c>
      <c r="BV2322" s="2" t="s">
        <v>231</v>
      </c>
      <c r="BW2322" s="2" t="s">
        <v>231</v>
      </c>
      <c r="BX2322" s="2" t="s">
        <v>241</v>
      </c>
      <c r="BY2322" s="2" t="s">
        <v>277</v>
      </c>
      <c r="BZ2322" s="2" t="s">
        <v>243</v>
      </c>
      <c r="CA2322" s="2" t="s">
        <v>10111</v>
      </c>
      <c r="CB2322" s="2" t="s">
        <v>6893</v>
      </c>
      <c r="CC2322" s="2" t="s">
        <v>244</v>
      </c>
      <c r="CD2322" s="2" t="s">
        <v>231</v>
      </c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>
        <v>680</v>
      </c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>
        <v>1440</v>
      </c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>
        <v>2180</v>
      </c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  <c r="HG2322" s="4"/>
      <c r="HH2322" s="4"/>
      <c r="HI2322" s="4"/>
      <c r="HJ2322" s="4"/>
      <c r="HK2322" s="4"/>
      <c r="HL2322" s="4"/>
    </row>
    <row r="2323">
      <c r="A2323" s="2" t="s">
        <v>10122</v>
      </c>
      <c r="B2323" s="2" t="s">
        <v>226</v>
      </c>
      <c r="C2323" s="2" t="s">
        <v>288</v>
      </c>
      <c r="D2323" s="2" t="s">
        <v>654</v>
      </c>
      <c r="E2323" s="2" t="s">
        <v>890</v>
      </c>
      <c r="F2323" s="2" t="s">
        <v>10102</v>
      </c>
      <c r="G2323" s="2" t="s">
        <v>10103</v>
      </c>
      <c r="H2323" s="2" t="s">
        <v>10103</v>
      </c>
      <c r="I2323" s="2" t="s">
        <v>10104</v>
      </c>
      <c r="J2323" s="2" t="s">
        <v>318</v>
      </c>
      <c r="K2323" s="2" t="s">
        <v>255</v>
      </c>
      <c r="L2323" s="3">
        <v>36.8</v>
      </c>
      <c r="M2323" s="3">
        <v>38.64</v>
      </c>
      <c r="N2323" s="3">
        <v>79.99</v>
      </c>
      <c r="O2323" s="2" t="s">
        <v>243</v>
      </c>
      <c r="P2323" s="2" t="s">
        <v>341</v>
      </c>
      <c r="Q2323" s="2" t="s">
        <v>237</v>
      </c>
      <c r="R2323" s="2" t="s">
        <v>231</v>
      </c>
      <c r="S2323" s="2" t="s">
        <v>10123</v>
      </c>
      <c r="T2323" s="2" t="s">
        <v>1630</v>
      </c>
      <c r="U2323" s="2" t="s">
        <v>231</v>
      </c>
      <c r="V2323" s="2" t="s">
        <v>239</v>
      </c>
      <c r="W2323" s="2" t="s">
        <v>273</v>
      </c>
      <c r="X2323" s="2" t="s">
        <v>6619</v>
      </c>
      <c r="Y2323" s="2" t="s">
        <v>274</v>
      </c>
      <c r="Z2323" s="4">
        <v>11</v>
      </c>
      <c r="AA2323" s="4">
        <f>=ROUNDDOWN(2.75,0)</f>
      </c>
      <c r="AB2323" s="5">
        <v>4</v>
      </c>
      <c r="AC2323" s="2" t="s">
        <v>231</v>
      </c>
      <c r="AD2323" s="4"/>
      <c r="AE2323" s="4"/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231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231</v>
      </c>
      <c r="AW2323" s="8" t="s">
        <v>231</v>
      </c>
      <c r="AX2323" s="4" t="s">
        <v>231</v>
      </c>
      <c r="AY2323" s="8" t="s">
        <v>231</v>
      </c>
      <c r="AZ2323" s="7" t="s">
        <v>231</v>
      </c>
      <c r="BA2323" s="7" t="s">
        <v>231</v>
      </c>
      <c r="BB2323" s="7"/>
      <c r="BC2323" s="4" t="s">
        <v>231</v>
      </c>
      <c r="BD2323" s="8" t="s">
        <v>231</v>
      </c>
      <c r="BE2323" s="4" t="s">
        <v>231</v>
      </c>
      <c r="BF2323" s="8" t="s">
        <v>231</v>
      </c>
      <c r="BG2323" s="7" t="s">
        <v>231</v>
      </c>
      <c r="BH2323" s="7" t="s">
        <v>231</v>
      </c>
      <c r="BI2323" s="7"/>
      <c r="BJ2323" s="4">
        <v>8</v>
      </c>
      <c r="BK2323" s="8">
        <v>306.76</v>
      </c>
      <c r="BL2323" s="2" t="s">
        <v>344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10124</v>
      </c>
      <c r="BV2323" s="2" t="s">
        <v>231</v>
      </c>
      <c r="BW2323" s="2" t="s">
        <v>231</v>
      </c>
      <c r="BX2323" s="2" t="s">
        <v>1360</v>
      </c>
      <c r="BY2323" s="2" t="s">
        <v>277</v>
      </c>
      <c r="BZ2323" s="2" t="s">
        <v>243</v>
      </c>
      <c r="CA2323" s="2" t="s">
        <v>278</v>
      </c>
      <c r="CB2323" s="2" t="s">
        <v>1002</v>
      </c>
      <c r="CC2323" s="2" t="s">
        <v>244</v>
      </c>
      <c r="CD2323" s="2" t="s">
        <v>231</v>
      </c>
      <c r="CE2323" s="4">
        <v>11</v>
      </c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4"/>
      <c r="HG2323" s="4"/>
      <c r="HH2323" s="4"/>
      <c r="HI2323" s="4"/>
      <c r="HJ2323" s="4"/>
      <c r="HK2323" s="4"/>
      <c r="HL2323" s="4"/>
    </row>
    <row r="2324">
      <c r="A2324" s="2" t="s">
        <v>10125</v>
      </c>
      <c r="B2324" s="2" t="s">
        <v>226</v>
      </c>
      <c r="C2324" s="2" t="s">
        <v>288</v>
      </c>
      <c r="D2324" s="2" t="s">
        <v>654</v>
      </c>
      <c r="E2324" s="2" t="s">
        <v>890</v>
      </c>
      <c r="F2324" s="2" t="s">
        <v>10102</v>
      </c>
      <c r="G2324" s="2" t="s">
        <v>10103</v>
      </c>
      <c r="H2324" s="2" t="s">
        <v>10103</v>
      </c>
      <c r="I2324" s="2" t="s">
        <v>10104</v>
      </c>
      <c r="J2324" s="2" t="s">
        <v>658</v>
      </c>
      <c r="K2324" s="2" t="s">
        <v>255</v>
      </c>
      <c r="L2324" s="3">
        <v>50.6</v>
      </c>
      <c r="M2324" s="3">
        <v>53.13</v>
      </c>
      <c r="N2324" s="3">
        <v>109.99</v>
      </c>
      <c r="O2324" s="2" t="s">
        <v>243</v>
      </c>
      <c r="P2324" s="2" t="s">
        <v>270</v>
      </c>
      <c r="Q2324" s="2" t="s">
        <v>237</v>
      </c>
      <c r="R2324" s="2" t="s">
        <v>231</v>
      </c>
      <c r="S2324" s="2" t="s">
        <v>10123</v>
      </c>
      <c r="T2324" s="2" t="s">
        <v>1630</v>
      </c>
      <c r="U2324" s="2" t="s">
        <v>231</v>
      </c>
      <c r="V2324" s="2" t="s">
        <v>239</v>
      </c>
      <c r="W2324" s="2" t="s">
        <v>273</v>
      </c>
      <c r="X2324" s="2" t="s">
        <v>6619</v>
      </c>
      <c r="Y2324" s="2" t="s">
        <v>274</v>
      </c>
      <c r="Z2324" s="4"/>
      <c r="AA2324" s="4">
        <f>=ROUNDDOWN({0},0)</f>
      </c>
      <c r="AB2324" s="5"/>
      <c r="AC2324" s="2" t="s">
        <v>911</v>
      </c>
      <c r="AD2324" s="4">
        <v>160</v>
      </c>
      <c r="AE2324" s="4">
        <v>660</v>
      </c>
      <c r="AF2324" s="6">
        <v>65</v>
      </c>
      <c r="AG2324" s="6"/>
      <c r="AH2324" s="7">
        <v>0</v>
      </c>
      <c r="AI2324" s="4"/>
      <c r="AJ2324" s="4">
        <f>=ROUNDDOWN({0},0)</f>
      </c>
      <c r="AK2324" s="5"/>
      <c r="AL2324" s="2" t="s">
        <v>231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231</v>
      </c>
      <c r="AW2324" s="8" t="s">
        <v>231</v>
      </c>
      <c r="AX2324" s="4" t="s">
        <v>231</v>
      </c>
      <c r="AY2324" s="8" t="s">
        <v>231</v>
      </c>
      <c r="AZ2324" s="7" t="s">
        <v>231</v>
      </c>
      <c r="BA2324" s="7" t="s">
        <v>231</v>
      </c>
      <c r="BB2324" s="7"/>
      <c r="BC2324" s="4" t="s">
        <v>231</v>
      </c>
      <c r="BD2324" s="8" t="s">
        <v>231</v>
      </c>
      <c r="BE2324" s="4" t="s">
        <v>231</v>
      </c>
      <c r="BF2324" s="8" t="s">
        <v>231</v>
      </c>
      <c r="BG2324" s="7" t="s">
        <v>231</v>
      </c>
      <c r="BH2324" s="7" t="s">
        <v>231</v>
      </c>
      <c r="BI2324" s="7"/>
      <c r="BJ2324" s="4"/>
      <c r="BK2324" s="8"/>
      <c r="BL2324" s="2" t="s">
        <v>231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10126</v>
      </c>
      <c r="BV2324" s="2" t="s">
        <v>231</v>
      </c>
      <c r="BW2324" s="2" t="s">
        <v>231</v>
      </c>
      <c r="BX2324" s="2" t="s">
        <v>231</v>
      </c>
      <c r="BY2324" s="2" t="s">
        <v>277</v>
      </c>
      <c r="BZ2324" s="2" t="s">
        <v>243</v>
      </c>
      <c r="CA2324" s="2" t="s">
        <v>278</v>
      </c>
      <c r="CB2324" s="2" t="s">
        <v>4963</v>
      </c>
      <c r="CC2324" s="2" t="s">
        <v>244</v>
      </c>
      <c r="CD2324" s="2" t="s">
        <v>231</v>
      </c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>
        <v>160</v>
      </c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>
        <v>240</v>
      </c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>
        <v>260</v>
      </c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  <c r="HG2324" s="4"/>
      <c r="HH2324" s="4"/>
      <c r="HI2324" s="4"/>
      <c r="HJ2324" s="4"/>
      <c r="HK2324" s="4"/>
      <c r="HL2324" s="4"/>
    </row>
    <row r="2325">
      <c r="A2325" s="2" t="s">
        <v>10127</v>
      </c>
      <c r="B2325" s="2" t="s">
        <v>226</v>
      </c>
      <c r="C2325" s="2" t="s">
        <v>288</v>
      </c>
      <c r="D2325" s="2" t="s">
        <v>654</v>
      </c>
      <c r="E2325" s="2" t="s">
        <v>890</v>
      </c>
      <c r="F2325" s="2" t="s">
        <v>10102</v>
      </c>
      <c r="G2325" s="2" t="s">
        <v>10103</v>
      </c>
      <c r="H2325" s="2" t="s">
        <v>10103</v>
      </c>
      <c r="I2325" s="2" t="s">
        <v>10104</v>
      </c>
      <c r="J2325" s="2" t="s">
        <v>669</v>
      </c>
      <c r="K2325" s="2" t="s">
        <v>255</v>
      </c>
      <c r="L2325" s="3">
        <v>55.2</v>
      </c>
      <c r="M2325" s="3">
        <v>57.96</v>
      </c>
      <c r="N2325" s="3">
        <v>119.99</v>
      </c>
      <c r="O2325" s="2" t="s">
        <v>243</v>
      </c>
      <c r="P2325" s="2" t="s">
        <v>270</v>
      </c>
      <c r="Q2325" s="2" t="s">
        <v>237</v>
      </c>
      <c r="R2325" s="2" t="s">
        <v>231</v>
      </c>
      <c r="S2325" s="2" t="s">
        <v>10123</v>
      </c>
      <c r="T2325" s="2" t="s">
        <v>1630</v>
      </c>
      <c r="U2325" s="2" t="s">
        <v>231</v>
      </c>
      <c r="V2325" s="2" t="s">
        <v>239</v>
      </c>
      <c r="W2325" s="2" t="s">
        <v>273</v>
      </c>
      <c r="X2325" s="2" t="s">
        <v>6619</v>
      </c>
      <c r="Y2325" s="2" t="s">
        <v>274</v>
      </c>
      <c r="Z2325" s="4"/>
      <c r="AA2325" s="4">
        <f>=ROUNDDOWN({0},0)</f>
      </c>
      <c r="AB2325" s="5">
        <v>12.7</v>
      </c>
      <c r="AC2325" s="2" t="s">
        <v>911</v>
      </c>
      <c r="AD2325" s="4">
        <v>160</v>
      </c>
      <c r="AE2325" s="4">
        <v>630</v>
      </c>
      <c r="AF2325" s="6">
        <v>65</v>
      </c>
      <c r="AG2325" s="6"/>
      <c r="AH2325" s="7">
        <v>0</v>
      </c>
      <c r="AI2325" s="4"/>
      <c r="AJ2325" s="4">
        <f>=ROUNDDOWN({0},0)</f>
      </c>
      <c r="AK2325" s="5"/>
      <c r="AL2325" s="2" t="s">
        <v>231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231</v>
      </c>
      <c r="AW2325" s="8" t="s">
        <v>231</v>
      </c>
      <c r="AX2325" s="4" t="s">
        <v>231</v>
      </c>
      <c r="AY2325" s="8" t="s">
        <v>231</v>
      </c>
      <c r="AZ2325" s="7" t="s">
        <v>231</v>
      </c>
      <c r="BA2325" s="7" t="s">
        <v>231</v>
      </c>
      <c r="BB2325" s="7"/>
      <c r="BC2325" s="4" t="s">
        <v>231</v>
      </c>
      <c r="BD2325" s="8" t="s">
        <v>231</v>
      </c>
      <c r="BE2325" s="4" t="s">
        <v>231</v>
      </c>
      <c r="BF2325" s="8" t="s">
        <v>231</v>
      </c>
      <c r="BG2325" s="7" t="s">
        <v>231</v>
      </c>
      <c r="BH2325" s="7" t="s">
        <v>231</v>
      </c>
      <c r="BI2325" s="7"/>
      <c r="BJ2325" s="4">
        <v>1</v>
      </c>
      <c r="BK2325" s="8">
        <v>57.95</v>
      </c>
      <c r="BL2325" s="2" t="s">
        <v>1306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10128</v>
      </c>
      <c r="BV2325" s="2" t="s">
        <v>231</v>
      </c>
      <c r="BW2325" s="2" t="s">
        <v>231</v>
      </c>
      <c r="BX2325" s="2" t="s">
        <v>231</v>
      </c>
      <c r="BY2325" s="2" t="s">
        <v>277</v>
      </c>
      <c r="BZ2325" s="2" t="s">
        <v>243</v>
      </c>
      <c r="CA2325" s="2" t="s">
        <v>278</v>
      </c>
      <c r="CB2325" s="2" t="s">
        <v>6751</v>
      </c>
      <c r="CC2325" s="2" t="s">
        <v>244</v>
      </c>
      <c r="CD2325" s="2" t="s">
        <v>231</v>
      </c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>
        <v>160</v>
      </c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>
        <v>250</v>
      </c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>
        <v>220</v>
      </c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4"/>
      <c r="HG2325" s="4"/>
      <c r="HH2325" s="4"/>
      <c r="HI2325" s="4"/>
      <c r="HJ2325" s="4"/>
      <c r="HK2325" s="4"/>
      <c r="HL2325" s="4"/>
    </row>
    <row r="2326">
      <c r="A2326" s="2" t="s">
        <v>10129</v>
      </c>
      <c r="B2326" s="2" t="s">
        <v>226</v>
      </c>
      <c r="C2326" s="2" t="s">
        <v>288</v>
      </c>
      <c r="D2326" s="2" t="s">
        <v>1624</v>
      </c>
      <c r="E2326" s="2" t="s">
        <v>1625</v>
      </c>
      <c r="F2326" s="2" t="s">
        <v>10102</v>
      </c>
      <c r="G2326" s="2" t="s">
        <v>10103</v>
      </c>
      <c r="H2326" s="2" t="s">
        <v>10103</v>
      </c>
      <c r="I2326" s="2" t="s">
        <v>10108</v>
      </c>
      <c r="J2326" s="2" t="s">
        <v>2845</v>
      </c>
      <c r="K2326" s="2" t="s">
        <v>255</v>
      </c>
      <c r="L2326" s="3">
        <v>15.18</v>
      </c>
      <c r="M2326" s="3">
        <v>15.94</v>
      </c>
      <c r="N2326" s="3">
        <v>32.99</v>
      </c>
      <c r="O2326" s="2" t="s">
        <v>243</v>
      </c>
      <c r="P2326" s="2" t="s">
        <v>270</v>
      </c>
      <c r="Q2326" s="2" t="s">
        <v>237</v>
      </c>
      <c r="R2326" s="2" t="s">
        <v>231</v>
      </c>
      <c r="S2326" s="2" t="s">
        <v>10123</v>
      </c>
      <c r="T2326" s="2" t="s">
        <v>1630</v>
      </c>
      <c r="U2326" s="2" t="s">
        <v>231</v>
      </c>
      <c r="V2326" s="2" t="s">
        <v>239</v>
      </c>
      <c r="W2326" s="2" t="s">
        <v>273</v>
      </c>
      <c r="X2326" s="2" t="s">
        <v>231</v>
      </c>
      <c r="Y2326" s="2" t="s">
        <v>274</v>
      </c>
      <c r="Z2326" s="4"/>
      <c r="AA2326" s="4">
        <f>=ROUNDDOWN({0},0)</f>
      </c>
      <c r="AB2326" s="5">
        <v>51.1</v>
      </c>
      <c r="AC2326" s="2" t="s">
        <v>911</v>
      </c>
      <c r="AD2326" s="4">
        <v>610</v>
      </c>
      <c r="AE2326" s="4">
        <v>3900</v>
      </c>
      <c r="AF2326" s="6">
        <v>65</v>
      </c>
      <c r="AG2326" s="6"/>
      <c r="AH2326" s="7">
        <v>0</v>
      </c>
      <c r="AI2326" s="4"/>
      <c r="AJ2326" s="4">
        <f>=ROUNDDOWN({0},0)</f>
      </c>
      <c r="AK2326" s="5"/>
      <c r="AL2326" s="2" t="s">
        <v>231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231</v>
      </c>
      <c r="AW2326" s="8" t="s">
        <v>231</v>
      </c>
      <c r="AX2326" s="4" t="s">
        <v>231</v>
      </c>
      <c r="AY2326" s="8" t="s">
        <v>231</v>
      </c>
      <c r="AZ2326" s="7" t="s">
        <v>231</v>
      </c>
      <c r="BA2326" s="7" t="s">
        <v>231</v>
      </c>
      <c r="BB2326" s="7"/>
      <c r="BC2326" s="4" t="s">
        <v>231</v>
      </c>
      <c r="BD2326" s="8" t="s">
        <v>231</v>
      </c>
      <c r="BE2326" s="4" t="s">
        <v>231</v>
      </c>
      <c r="BF2326" s="8" t="s">
        <v>231</v>
      </c>
      <c r="BG2326" s="7" t="s">
        <v>231</v>
      </c>
      <c r="BH2326" s="7" t="s">
        <v>231</v>
      </c>
      <c r="BI2326" s="7"/>
      <c r="BJ2326" s="4"/>
      <c r="BK2326" s="8"/>
      <c r="BL2326" s="2" t="s">
        <v>2849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10130</v>
      </c>
      <c r="BV2326" s="2" t="s">
        <v>231</v>
      </c>
      <c r="BW2326" s="2" t="s">
        <v>231</v>
      </c>
      <c r="BX2326" s="2" t="s">
        <v>241</v>
      </c>
      <c r="BY2326" s="2" t="s">
        <v>277</v>
      </c>
      <c r="BZ2326" s="2" t="s">
        <v>243</v>
      </c>
      <c r="CA2326" s="2" t="s">
        <v>10111</v>
      </c>
      <c r="CB2326" s="2" t="s">
        <v>8876</v>
      </c>
      <c r="CC2326" s="2" t="s">
        <v>244</v>
      </c>
      <c r="CD2326" s="2" t="s">
        <v>231</v>
      </c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>
        <v>610</v>
      </c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>
        <v>1310</v>
      </c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>
        <v>1980</v>
      </c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  <c r="HF2326" s="4"/>
      <c r="HG2326" s="4"/>
      <c r="HH2326" s="4"/>
      <c r="HI2326" s="4"/>
      <c r="HJ2326" s="4"/>
      <c r="HK2326" s="4"/>
      <c r="HL2326" s="4"/>
    </row>
    <row r="2327">
      <c r="A2327" s="2" t="s">
        <v>10131</v>
      </c>
      <c r="B2327" s="2" t="s">
        <v>226</v>
      </c>
      <c r="C2327" s="2" t="s">
        <v>357</v>
      </c>
      <c r="D2327" s="2" t="s">
        <v>654</v>
      </c>
      <c r="E2327" s="2" t="s">
        <v>890</v>
      </c>
      <c r="F2327" s="2" t="s">
        <v>10132</v>
      </c>
      <c r="G2327" s="2" t="s">
        <v>10133</v>
      </c>
      <c r="H2327" s="2" t="s">
        <v>10133</v>
      </c>
      <c r="I2327" s="2" t="s">
        <v>10134</v>
      </c>
      <c r="J2327" s="2" t="s">
        <v>832</v>
      </c>
      <c r="K2327" s="2" t="s">
        <v>901</v>
      </c>
      <c r="L2327" s="3">
        <v>19.6</v>
      </c>
      <c r="M2327" s="3">
        <v>20.58</v>
      </c>
      <c r="N2327" s="3">
        <v>39.99</v>
      </c>
      <c r="O2327" s="2" t="s">
        <v>243</v>
      </c>
      <c r="P2327" s="2" t="s">
        <v>270</v>
      </c>
      <c r="Q2327" s="2" t="s">
        <v>237</v>
      </c>
      <c r="R2327" s="2" t="s">
        <v>231</v>
      </c>
      <c r="S2327" s="2" t="s">
        <v>10135</v>
      </c>
      <c r="T2327" s="2" t="s">
        <v>472</v>
      </c>
      <c r="U2327" s="2" t="s">
        <v>791</v>
      </c>
      <c r="V2327" s="2" t="s">
        <v>1304</v>
      </c>
      <c r="W2327" s="2" t="s">
        <v>897</v>
      </c>
      <c r="X2327" s="2" t="s">
        <v>231</v>
      </c>
      <c r="Y2327" s="2" t="s">
        <v>1395</v>
      </c>
      <c r="Z2327" s="4">
        <v>244</v>
      </c>
      <c r="AA2327" s="4">
        <f>=ROUNDDOWN(24.4,0)</f>
      </c>
      <c r="AB2327" s="5">
        <v>10</v>
      </c>
      <c r="AC2327" s="2" t="s">
        <v>1305</v>
      </c>
      <c r="AD2327" s="4">
        <v>170</v>
      </c>
      <c r="AE2327" s="4">
        <v>220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231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231</v>
      </c>
      <c r="AW2327" s="8" t="s">
        <v>231</v>
      </c>
      <c r="AX2327" s="4" t="s">
        <v>231</v>
      </c>
      <c r="AY2327" s="8" t="s">
        <v>231</v>
      </c>
      <c r="AZ2327" s="7" t="s">
        <v>231</v>
      </c>
      <c r="BA2327" s="7" t="s">
        <v>231</v>
      </c>
      <c r="BB2327" s="7"/>
      <c r="BC2327" s="4" t="s">
        <v>231</v>
      </c>
      <c r="BD2327" s="8" t="s">
        <v>231</v>
      </c>
      <c r="BE2327" s="4" t="s">
        <v>231</v>
      </c>
      <c r="BF2327" s="8" t="s">
        <v>231</v>
      </c>
      <c r="BG2327" s="7" t="s">
        <v>231</v>
      </c>
      <c r="BH2327" s="7" t="s">
        <v>231</v>
      </c>
      <c r="BI2327" s="7"/>
      <c r="BJ2327" s="4">
        <v>20</v>
      </c>
      <c r="BK2327" s="8">
        <v>368.5</v>
      </c>
      <c r="BL2327" s="2" t="s">
        <v>10136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10137</v>
      </c>
      <c r="BV2327" s="2" t="s">
        <v>231</v>
      </c>
      <c r="BW2327" s="2" t="s">
        <v>231</v>
      </c>
      <c r="BX2327" s="2" t="s">
        <v>231</v>
      </c>
      <c r="BY2327" s="2" t="s">
        <v>277</v>
      </c>
      <c r="BZ2327" s="2" t="s">
        <v>243</v>
      </c>
      <c r="CA2327" s="2" t="s">
        <v>8445</v>
      </c>
      <c r="CB2327" s="2" t="s">
        <v>8402</v>
      </c>
      <c r="CC2327" s="2" t="s">
        <v>244</v>
      </c>
      <c r="CD2327" s="2" t="s">
        <v>231</v>
      </c>
      <c r="CE2327" s="4">
        <v>244</v>
      </c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>
        <v>170</v>
      </c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>
        <v>50</v>
      </c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  <c r="HF2327" s="4"/>
      <c r="HG2327" s="4"/>
      <c r="HH2327" s="4"/>
      <c r="HI2327" s="4"/>
      <c r="HJ2327" s="4"/>
      <c r="HK2327" s="4"/>
      <c r="HL2327" s="4"/>
    </row>
    <row r="2328">
      <c r="A2328" s="2" t="s">
        <v>10138</v>
      </c>
      <c r="B2328" s="2" t="s">
        <v>226</v>
      </c>
      <c r="C2328" s="2" t="s">
        <v>357</v>
      </c>
      <c r="D2328" s="2" t="s">
        <v>654</v>
      </c>
      <c r="E2328" s="2" t="s">
        <v>890</v>
      </c>
      <c r="F2328" s="2" t="s">
        <v>10132</v>
      </c>
      <c r="G2328" s="2" t="s">
        <v>10133</v>
      </c>
      <c r="H2328" s="2" t="s">
        <v>10133</v>
      </c>
      <c r="I2328" s="2" t="s">
        <v>10134</v>
      </c>
      <c r="J2328" s="2" t="s">
        <v>669</v>
      </c>
      <c r="K2328" s="2" t="s">
        <v>901</v>
      </c>
      <c r="L2328" s="3">
        <v>30</v>
      </c>
      <c r="M2328" s="3">
        <v>31.5</v>
      </c>
      <c r="N2328" s="3">
        <v>59.99</v>
      </c>
      <c r="O2328" s="2" t="s">
        <v>243</v>
      </c>
      <c r="P2328" s="2" t="s">
        <v>270</v>
      </c>
      <c r="Q2328" s="2" t="s">
        <v>237</v>
      </c>
      <c r="R2328" s="2" t="s">
        <v>231</v>
      </c>
      <c r="S2328" s="2" t="s">
        <v>10135</v>
      </c>
      <c r="T2328" s="2" t="s">
        <v>472</v>
      </c>
      <c r="U2328" s="2" t="s">
        <v>835</v>
      </c>
      <c r="V2328" s="2" t="s">
        <v>1304</v>
      </c>
      <c r="W2328" s="2" t="s">
        <v>897</v>
      </c>
      <c r="X2328" s="2" t="s">
        <v>231</v>
      </c>
      <c r="Y2328" s="2" t="s">
        <v>1395</v>
      </c>
      <c r="Z2328" s="4">
        <v>167</v>
      </c>
      <c r="AA2328" s="4">
        <f>=ROUNDDOWN(27.8333333333333,0)</f>
      </c>
      <c r="AB2328" s="5">
        <v>6</v>
      </c>
      <c r="AC2328" s="2" t="s">
        <v>1305</v>
      </c>
      <c r="AD2328" s="4">
        <v>40</v>
      </c>
      <c r="AE2328" s="4">
        <v>150</v>
      </c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231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231</v>
      </c>
      <c r="AW2328" s="8" t="s">
        <v>231</v>
      </c>
      <c r="AX2328" s="4" t="s">
        <v>231</v>
      </c>
      <c r="AY2328" s="8" t="s">
        <v>231</v>
      </c>
      <c r="AZ2328" s="7" t="s">
        <v>231</v>
      </c>
      <c r="BA2328" s="7" t="s">
        <v>231</v>
      </c>
      <c r="BB2328" s="7"/>
      <c r="BC2328" s="4" t="s">
        <v>231</v>
      </c>
      <c r="BD2328" s="8" t="s">
        <v>231</v>
      </c>
      <c r="BE2328" s="4" t="s">
        <v>231</v>
      </c>
      <c r="BF2328" s="8" t="s">
        <v>231</v>
      </c>
      <c r="BG2328" s="7" t="s">
        <v>231</v>
      </c>
      <c r="BH2328" s="7" t="s">
        <v>231</v>
      </c>
      <c r="BI2328" s="7"/>
      <c r="BJ2328" s="4">
        <v>23</v>
      </c>
      <c r="BK2328" s="8">
        <v>699.31</v>
      </c>
      <c r="BL2328" s="2" t="s">
        <v>8947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10139</v>
      </c>
      <c r="BV2328" s="2" t="s">
        <v>231</v>
      </c>
      <c r="BW2328" s="2" t="s">
        <v>231</v>
      </c>
      <c r="BX2328" s="2" t="s">
        <v>231</v>
      </c>
      <c r="BY2328" s="2" t="s">
        <v>277</v>
      </c>
      <c r="BZ2328" s="2" t="s">
        <v>243</v>
      </c>
      <c r="CA2328" s="2" t="s">
        <v>8445</v>
      </c>
      <c r="CB2328" s="2" t="s">
        <v>10140</v>
      </c>
      <c r="CC2328" s="2" t="s">
        <v>244</v>
      </c>
      <c r="CD2328" s="2" t="s">
        <v>231</v>
      </c>
      <c r="CE2328" s="4">
        <v>167</v>
      </c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>
        <v>40</v>
      </c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>
        <v>110</v>
      </c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  <c r="HF2328" s="4"/>
      <c r="HG2328" s="4"/>
      <c r="HH2328" s="4"/>
      <c r="HI2328" s="4"/>
      <c r="HJ2328" s="4"/>
      <c r="HK2328" s="4"/>
      <c r="HL2328" s="4"/>
    </row>
    <row r="2329">
      <c r="A2329" s="2" t="s">
        <v>10141</v>
      </c>
      <c r="B2329" s="2" t="s">
        <v>226</v>
      </c>
      <c r="C2329" s="2" t="s">
        <v>357</v>
      </c>
      <c r="D2329" s="2" t="s">
        <v>654</v>
      </c>
      <c r="E2329" s="2" t="s">
        <v>890</v>
      </c>
      <c r="F2329" s="2" t="s">
        <v>10132</v>
      </c>
      <c r="G2329" s="2" t="s">
        <v>10133</v>
      </c>
      <c r="H2329" s="2" t="s">
        <v>10133</v>
      </c>
      <c r="I2329" s="2" t="s">
        <v>10134</v>
      </c>
      <c r="J2329" s="2" t="s">
        <v>832</v>
      </c>
      <c r="K2329" s="2" t="s">
        <v>253</v>
      </c>
      <c r="L2329" s="3">
        <v>19.6</v>
      </c>
      <c r="M2329" s="3">
        <v>20.58</v>
      </c>
      <c r="N2329" s="3">
        <v>39.99</v>
      </c>
      <c r="O2329" s="2" t="s">
        <v>243</v>
      </c>
      <c r="P2329" s="2" t="s">
        <v>270</v>
      </c>
      <c r="Q2329" s="2" t="s">
        <v>237</v>
      </c>
      <c r="R2329" s="2" t="s">
        <v>231</v>
      </c>
      <c r="S2329" s="2" t="s">
        <v>10142</v>
      </c>
      <c r="T2329" s="2" t="s">
        <v>472</v>
      </c>
      <c r="U2329" s="2" t="s">
        <v>791</v>
      </c>
      <c r="V2329" s="2" t="s">
        <v>1304</v>
      </c>
      <c r="W2329" s="2" t="s">
        <v>897</v>
      </c>
      <c r="X2329" s="2" t="s">
        <v>231</v>
      </c>
      <c r="Y2329" s="2" t="s">
        <v>10143</v>
      </c>
      <c r="Z2329" s="4">
        <v>723</v>
      </c>
      <c r="AA2329" s="4">
        <f>=ROUNDDOWN(24.9310344827586,0)</f>
      </c>
      <c r="AB2329" s="5">
        <v>29</v>
      </c>
      <c r="AC2329" s="2" t="s">
        <v>5150</v>
      </c>
      <c r="AD2329" s="4">
        <v>230</v>
      </c>
      <c r="AE2329" s="4">
        <v>850</v>
      </c>
      <c r="AF2329" s="6">
        <v>65</v>
      </c>
      <c r="AG2329" s="6">
        <v>48</v>
      </c>
      <c r="AH2329" s="7">
        <v>1</v>
      </c>
      <c r="AI2329" s="4"/>
      <c r="AJ2329" s="4">
        <f>=ROUNDDOWN({0},0)</f>
      </c>
      <c r="AK2329" s="5"/>
      <c r="AL2329" s="2" t="s">
        <v>231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231</v>
      </c>
      <c r="AW2329" s="8" t="s">
        <v>231</v>
      </c>
      <c r="AX2329" s="4" t="s">
        <v>231</v>
      </c>
      <c r="AY2329" s="8" t="s">
        <v>231</v>
      </c>
      <c r="AZ2329" s="7" t="s">
        <v>231</v>
      </c>
      <c r="BA2329" s="7" t="s">
        <v>231</v>
      </c>
      <c r="BB2329" s="7"/>
      <c r="BC2329" s="4" t="s">
        <v>231</v>
      </c>
      <c r="BD2329" s="8" t="s">
        <v>231</v>
      </c>
      <c r="BE2329" s="4" t="s">
        <v>231</v>
      </c>
      <c r="BF2329" s="8" t="s">
        <v>231</v>
      </c>
      <c r="BG2329" s="7" t="s">
        <v>231</v>
      </c>
      <c r="BH2329" s="7" t="s">
        <v>231</v>
      </c>
      <c r="BI2329" s="7"/>
      <c r="BJ2329" s="4">
        <v>149</v>
      </c>
      <c r="BK2329" s="8">
        <v>2762.44</v>
      </c>
      <c r="BL2329" s="2" t="s">
        <v>10144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10145</v>
      </c>
      <c r="BV2329" s="2" t="s">
        <v>231</v>
      </c>
      <c r="BW2329" s="2" t="s">
        <v>231</v>
      </c>
      <c r="BX2329" s="2" t="s">
        <v>231</v>
      </c>
      <c r="BY2329" s="2" t="s">
        <v>277</v>
      </c>
      <c r="BZ2329" s="2" t="s">
        <v>243</v>
      </c>
      <c r="CA2329" s="2" t="s">
        <v>9254</v>
      </c>
      <c r="CB2329" s="2" t="s">
        <v>10146</v>
      </c>
      <c r="CC2329" s="2" t="s">
        <v>244</v>
      </c>
      <c r="CD2329" s="2" t="s">
        <v>231</v>
      </c>
      <c r="CE2329" s="4">
        <v>475</v>
      </c>
      <c r="CF2329" s="4"/>
      <c r="CG2329" s="4"/>
      <c r="CH2329" s="4"/>
      <c r="CI2329" s="4">
        <v>188</v>
      </c>
      <c r="CJ2329" s="4"/>
      <c r="CK2329" s="4"/>
      <c r="CL2329" s="4">
        <v>60</v>
      </c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>
        <v>230</v>
      </c>
      <c r="CZ2329" s="4"/>
      <c r="DA2329" s="4"/>
      <c r="DB2329" s="4"/>
      <c r="DC2329" s="4"/>
      <c r="DD2329" s="4"/>
      <c r="DE2329" s="4"/>
      <c r="DF2329" s="4">
        <v>50</v>
      </c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>
        <v>100</v>
      </c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>
        <v>120</v>
      </c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>
        <v>200</v>
      </c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>
        <v>150</v>
      </c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  <c r="HG2329" s="4"/>
      <c r="HH2329" s="4"/>
      <c r="HI2329" s="4"/>
      <c r="HJ2329" s="4"/>
      <c r="HK2329" s="4"/>
      <c r="HL2329" s="4"/>
    </row>
    <row r="2330">
      <c r="A2330" s="2" t="s">
        <v>10147</v>
      </c>
      <c r="B2330" s="2" t="s">
        <v>226</v>
      </c>
      <c r="C2330" s="2" t="s">
        <v>357</v>
      </c>
      <c r="D2330" s="2" t="s">
        <v>654</v>
      </c>
      <c r="E2330" s="2" t="s">
        <v>890</v>
      </c>
      <c r="F2330" s="2" t="s">
        <v>10132</v>
      </c>
      <c r="G2330" s="2" t="s">
        <v>10133</v>
      </c>
      <c r="H2330" s="2" t="s">
        <v>10133</v>
      </c>
      <c r="I2330" s="2" t="s">
        <v>10134</v>
      </c>
      <c r="J2330" s="2" t="s">
        <v>669</v>
      </c>
      <c r="K2330" s="2" t="s">
        <v>253</v>
      </c>
      <c r="L2330" s="3">
        <v>30</v>
      </c>
      <c r="M2330" s="3">
        <v>31.5</v>
      </c>
      <c r="N2330" s="3">
        <v>59.99</v>
      </c>
      <c r="O2330" s="2" t="s">
        <v>243</v>
      </c>
      <c r="P2330" s="2" t="s">
        <v>270</v>
      </c>
      <c r="Q2330" s="2" t="s">
        <v>237</v>
      </c>
      <c r="R2330" s="2" t="s">
        <v>231</v>
      </c>
      <c r="S2330" s="2" t="s">
        <v>10142</v>
      </c>
      <c r="T2330" s="2" t="s">
        <v>472</v>
      </c>
      <c r="U2330" s="2" t="s">
        <v>835</v>
      </c>
      <c r="V2330" s="2" t="s">
        <v>1304</v>
      </c>
      <c r="W2330" s="2" t="s">
        <v>897</v>
      </c>
      <c r="X2330" s="2" t="s">
        <v>231</v>
      </c>
      <c r="Y2330" s="2" t="s">
        <v>9254</v>
      </c>
      <c r="Z2330" s="4">
        <v>155</v>
      </c>
      <c r="AA2330" s="4">
        <f>=ROUNDDOWN(12.9166666666667,0)</f>
      </c>
      <c r="AB2330" s="5">
        <v>12</v>
      </c>
      <c r="AC2330" s="2" t="s">
        <v>5150</v>
      </c>
      <c r="AD2330" s="4">
        <v>90</v>
      </c>
      <c r="AE2330" s="4">
        <v>440</v>
      </c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231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231</v>
      </c>
      <c r="AW2330" s="8" t="s">
        <v>231</v>
      </c>
      <c r="AX2330" s="4" t="s">
        <v>231</v>
      </c>
      <c r="AY2330" s="8" t="s">
        <v>231</v>
      </c>
      <c r="AZ2330" s="7" t="s">
        <v>231</v>
      </c>
      <c r="BA2330" s="7" t="s">
        <v>231</v>
      </c>
      <c r="BB2330" s="7"/>
      <c r="BC2330" s="4" t="s">
        <v>231</v>
      </c>
      <c r="BD2330" s="8" t="s">
        <v>231</v>
      </c>
      <c r="BE2330" s="4" t="s">
        <v>231</v>
      </c>
      <c r="BF2330" s="8" t="s">
        <v>231</v>
      </c>
      <c r="BG2330" s="7" t="s">
        <v>231</v>
      </c>
      <c r="BH2330" s="7" t="s">
        <v>231</v>
      </c>
      <c r="BI2330" s="7"/>
      <c r="BJ2330" s="4">
        <v>27</v>
      </c>
      <c r="BK2330" s="8">
        <v>763.53</v>
      </c>
      <c r="BL2330" s="2" t="s">
        <v>10148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10149</v>
      </c>
      <c r="BV2330" s="2" t="s">
        <v>231</v>
      </c>
      <c r="BW2330" s="2" t="s">
        <v>231</v>
      </c>
      <c r="BX2330" s="2" t="s">
        <v>231</v>
      </c>
      <c r="BY2330" s="2" t="s">
        <v>277</v>
      </c>
      <c r="BZ2330" s="2" t="s">
        <v>243</v>
      </c>
      <c r="CA2330" s="2" t="s">
        <v>9254</v>
      </c>
      <c r="CB2330" s="2" t="s">
        <v>4170</v>
      </c>
      <c r="CC2330" s="2" t="s">
        <v>244</v>
      </c>
      <c r="CD2330" s="2" t="s">
        <v>231</v>
      </c>
      <c r="CE2330" s="4">
        <v>155</v>
      </c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>
        <v>90</v>
      </c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>
        <v>150</v>
      </c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>
        <v>50</v>
      </c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>
        <v>150</v>
      </c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4"/>
      <c r="HH2330" s="4"/>
      <c r="HI2330" s="4"/>
      <c r="HJ2330" s="4"/>
      <c r="HK2330" s="4"/>
      <c r="HL2330" s="4"/>
    </row>
    <row r="2331">
      <c r="A2331" s="2" t="s">
        <v>10150</v>
      </c>
      <c r="B2331" s="2" t="s">
        <v>226</v>
      </c>
      <c r="C2331" s="2" t="s">
        <v>357</v>
      </c>
      <c r="D2331" s="2" t="s">
        <v>654</v>
      </c>
      <c r="E2331" s="2" t="s">
        <v>890</v>
      </c>
      <c r="F2331" s="2" t="s">
        <v>10132</v>
      </c>
      <c r="G2331" s="2" t="s">
        <v>10133</v>
      </c>
      <c r="H2331" s="2" t="s">
        <v>10133</v>
      </c>
      <c r="I2331" s="2" t="s">
        <v>10134</v>
      </c>
      <c r="J2331" s="2" t="s">
        <v>832</v>
      </c>
      <c r="K2331" s="2" t="s">
        <v>255</v>
      </c>
      <c r="L2331" s="3">
        <v>19.6</v>
      </c>
      <c r="M2331" s="3">
        <v>20.58</v>
      </c>
      <c r="N2331" s="3">
        <v>39.99</v>
      </c>
      <c r="O2331" s="2" t="s">
        <v>243</v>
      </c>
      <c r="P2331" s="2" t="s">
        <v>871</v>
      </c>
      <c r="Q2331" s="2" t="s">
        <v>237</v>
      </c>
      <c r="R2331" s="2" t="s">
        <v>231</v>
      </c>
      <c r="S2331" s="2" t="s">
        <v>10151</v>
      </c>
      <c r="T2331" s="2" t="s">
        <v>472</v>
      </c>
      <c r="U2331" s="2" t="s">
        <v>791</v>
      </c>
      <c r="V2331" s="2" t="s">
        <v>1304</v>
      </c>
      <c r="W2331" s="2" t="s">
        <v>897</v>
      </c>
      <c r="X2331" s="2" t="s">
        <v>231</v>
      </c>
      <c r="Y2331" s="2" t="s">
        <v>274</v>
      </c>
      <c r="Z2331" s="4">
        <v>938</v>
      </c>
      <c r="AA2331" s="4">
        <f>=ROUNDDOWN(15.8983050847458,0)</f>
      </c>
      <c r="AB2331" s="5">
        <v>59</v>
      </c>
      <c r="AC2331" s="2" t="s">
        <v>5150</v>
      </c>
      <c r="AD2331" s="4">
        <v>70</v>
      </c>
      <c r="AE2331" s="4">
        <v>1290</v>
      </c>
      <c r="AF2331" s="6">
        <v>65</v>
      </c>
      <c r="AG2331" s="6">
        <v>48</v>
      </c>
      <c r="AH2331" s="7">
        <v>1</v>
      </c>
      <c r="AI2331" s="4"/>
      <c r="AJ2331" s="4">
        <f>=ROUNDDOWN({0},0)</f>
      </c>
      <c r="AK2331" s="5"/>
      <c r="AL2331" s="2" t="s">
        <v>231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 t="s">
        <v>231</v>
      </c>
      <c r="BD2331" s="8" t="s">
        <v>231</v>
      </c>
      <c r="BE2331" s="4" t="s">
        <v>231</v>
      </c>
      <c r="BF2331" s="8" t="s">
        <v>231</v>
      </c>
      <c r="BG2331" s="7" t="s">
        <v>231</v>
      </c>
      <c r="BH2331" s="7" t="s">
        <v>231</v>
      </c>
      <c r="BI2331" s="7"/>
      <c r="BJ2331" s="4">
        <v>258</v>
      </c>
      <c r="BK2331" s="8">
        <v>5412.7</v>
      </c>
      <c r="BL2331" s="2" t="s">
        <v>10152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10153</v>
      </c>
      <c r="BV2331" s="2" t="s">
        <v>231</v>
      </c>
      <c r="BW2331" s="2" t="s">
        <v>231</v>
      </c>
      <c r="BX2331" s="2" t="s">
        <v>231</v>
      </c>
      <c r="BY2331" s="2" t="s">
        <v>277</v>
      </c>
      <c r="BZ2331" s="2" t="s">
        <v>243</v>
      </c>
      <c r="CA2331" s="2" t="s">
        <v>284</v>
      </c>
      <c r="CB2331" s="2" t="s">
        <v>467</v>
      </c>
      <c r="CC2331" s="2" t="s">
        <v>244</v>
      </c>
      <c r="CD2331" s="2" t="s">
        <v>231</v>
      </c>
      <c r="CE2331" s="4">
        <v>710</v>
      </c>
      <c r="CF2331" s="4"/>
      <c r="CG2331" s="4"/>
      <c r="CH2331" s="4"/>
      <c r="CI2331" s="4">
        <v>228</v>
      </c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>
        <v>70</v>
      </c>
      <c r="CZ2331" s="4"/>
      <c r="DA2331" s="4"/>
      <c r="DB2331" s="4"/>
      <c r="DC2331" s="4"/>
      <c r="DD2331" s="4"/>
      <c r="DE2331" s="4"/>
      <c r="DF2331" s="4">
        <v>150</v>
      </c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>
        <v>450</v>
      </c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>
        <v>150</v>
      </c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>
        <v>70</v>
      </c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>
        <v>400</v>
      </c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  <c r="HF2331" s="4"/>
      <c r="HG2331" s="4"/>
      <c r="HH2331" s="4"/>
      <c r="HI2331" s="4"/>
      <c r="HJ2331" s="4"/>
      <c r="HK2331" s="4"/>
      <c r="HL2331" s="4"/>
    </row>
    <row r="2332">
      <c r="A2332" s="2" t="s">
        <v>10154</v>
      </c>
      <c r="B2332" s="2" t="s">
        <v>226</v>
      </c>
      <c r="C2332" s="2" t="s">
        <v>357</v>
      </c>
      <c r="D2332" s="2" t="s">
        <v>654</v>
      </c>
      <c r="E2332" s="2" t="s">
        <v>890</v>
      </c>
      <c r="F2332" s="2" t="s">
        <v>10132</v>
      </c>
      <c r="G2332" s="2" t="s">
        <v>10133</v>
      </c>
      <c r="H2332" s="2" t="s">
        <v>10133</v>
      </c>
      <c r="I2332" s="2" t="s">
        <v>10134</v>
      </c>
      <c r="J2332" s="2" t="s">
        <v>832</v>
      </c>
      <c r="K2332" s="2" t="s">
        <v>1513</v>
      </c>
      <c r="L2332" s="3">
        <v>19.6</v>
      </c>
      <c r="M2332" s="3">
        <v>20.58</v>
      </c>
      <c r="N2332" s="3">
        <v>39.99</v>
      </c>
      <c r="O2332" s="2" t="s">
        <v>243</v>
      </c>
      <c r="P2332" s="2" t="s">
        <v>270</v>
      </c>
      <c r="Q2332" s="2" t="s">
        <v>237</v>
      </c>
      <c r="R2332" s="2" t="s">
        <v>231</v>
      </c>
      <c r="S2332" s="2" t="s">
        <v>10155</v>
      </c>
      <c r="T2332" s="2" t="s">
        <v>472</v>
      </c>
      <c r="U2332" s="2" t="s">
        <v>791</v>
      </c>
      <c r="V2332" s="2" t="s">
        <v>1304</v>
      </c>
      <c r="W2332" s="2" t="s">
        <v>897</v>
      </c>
      <c r="X2332" s="2" t="s">
        <v>231</v>
      </c>
      <c r="Y2332" s="2" t="s">
        <v>1395</v>
      </c>
      <c r="Z2332" s="4">
        <v>199</v>
      </c>
      <c r="AA2332" s="4">
        <f>=ROUNDDOWN(11.0555555555556,0)</f>
      </c>
      <c r="AB2332" s="5">
        <v>18</v>
      </c>
      <c r="AC2332" s="2" t="s">
        <v>5150</v>
      </c>
      <c r="AD2332" s="4">
        <v>280</v>
      </c>
      <c r="AE2332" s="4">
        <v>600</v>
      </c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231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231</v>
      </c>
      <c r="AW2332" s="8" t="s">
        <v>231</v>
      </c>
      <c r="AX2332" s="4" t="s">
        <v>231</v>
      </c>
      <c r="AY2332" s="8" t="s">
        <v>231</v>
      </c>
      <c r="AZ2332" s="7" t="s">
        <v>231</v>
      </c>
      <c r="BA2332" s="7" t="s">
        <v>231</v>
      </c>
      <c r="BB2332" s="7"/>
      <c r="BC2332" s="4" t="s">
        <v>231</v>
      </c>
      <c r="BD2332" s="8" t="s">
        <v>231</v>
      </c>
      <c r="BE2332" s="4" t="s">
        <v>231</v>
      </c>
      <c r="BF2332" s="8" t="s">
        <v>231</v>
      </c>
      <c r="BG2332" s="7" t="s">
        <v>231</v>
      </c>
      <c r="BH2332" s="7" t="s">
        <v>231</v>
      </c>
      <c r="BI2332" s="7"/>
      <c r="BJ2332" s="4">
        <v>63</v>
      </c>
      <c r="BK2332" s="8">
        <v>1170.25</v>
      </c>
      <c r="BL2332" s="2" t="s">
        <v>4084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10156</v>
      </c>
      <c r="BV2332" s="2" t="s">
        <v>231</v>
      </c>
      <c r="BW2332" s="2" t="s">
        <v>231</v>
      </c>
      <c r="BX2332" s="2" t="s">
        <v>231</v>
      </c>
      <c r="BY2332" s="2" t="s">
        <v>277</v>
      </c>
      <c r="BZ2332" s="2" t="s">
        <v>243</v>
      </c>
      <c r="CA2332" s="2" t="s">
        <v>8445</v>
      </c>
      <c r="CB2332" s="2" t="s">
        <v>10157</v>
      </c>
      <c r="CC2332" s="2" t="s">
        <v>244</v>
      </c>
      <c r="CD2332" s="2" t="s">
        <v>231</v>
      </c>
      <c r="CE2332" s="4">
        <v>199</v>
      </c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>
        <v>280</v>
      </c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>
        <v>260</v>
      </c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>
        <v>60</v>
      </c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4"/>
      <c r="HG2332" s="4"/>
      <c r="HH2332" s="4"/>
      <c r="HI2332" s="4"/>
      <c r="HJ2332" s="4"/>
      <c r="HK2332" s="4"/>
      <c r="HL2332" s="4"/>
    </row>
    <row r="2333">
      <c r="A2333" s="2" t="s">
        <v>10158</v>
      </c>
      <c r="B2333" s="2" t="s">
        <v>226</v>
      </c>
      <c r="C2333" s="2" t="s">
        <v>357</v>
      </c>
      <c r="D2333" s="2" t="s">
        <v>654</v>
      </c>
      <c r="E2333" s="2" t="s">
        <v>890</v>
      </c>
      <c r="F2333" s="2" t="s">
        <v>10132</v>
      </c>
      <c r="G2333" s="2" t="s">
        <v>10133</v>
      </c>
      <c r="H2333" s="2" t="s">
        <v>10133</v>
      </c>
      <c r="I2333" s="2" t="s">
        <v>10134</v>
      </c>
      <c r="J2333" s="2" t="s">
        <v>669</v>
      </c>
      <c r="K2333" s="2" t="s">
        <v>1513</v>
      </c>
      <c r="L2333" s="3">
        <v>30</v>
      </c>
      <c r="M2333" s="3">
        <v>31.5</v>
      </c>
      <c r="N2333" s="3">
        <v>59.99</v>
      </c>
      <c r="O2333" s="2" t="s">
        <v>243</v>
      </c>
      <c r="P2333" s="2" t="s">
        <v>270</v>
      </c>
      <c r="Q2333" s="2" t="s">
        <v>237</v>
      </c>
      <c r="R2333" s="2" t="s">
        <v>231</v>
      </c>
      <c r="S2333" s="2" t="s">
        <v>10155</v>
      </c>
      <c r="T2333" s="2" t="s">
        <v>472</v>
      </c>
      <c r="U2333" s="2" t="s">
        <v>835</v>
      </c>
      <c r="V2333" s="2" t="s">
        <v>1304</v>
      </c>
      <c r="W2333" s="2" t="s">
        <v>897</v>
      </c>
      <c r="X2333" s="2" t="s">
        <v>231</v>
      </c>
      <c r="Y2333" s="2" t="s">
        <v>1395</v>
      </c>
      <c r="Z2333" s="4">
        <v>148</v>
      </c>
      <c r="AA2333" s="4">
        <f>=ROUNDDOWN(24.6666666666667,0)</f>
      </c>
      <c r="AB2333" s="5">
        <v>6</v>
      </c>
      <c r="AC2333" s="2" t="s">
        <v>1580</v>
      </c>
      <c r="AD2333" s="4">
        <v>120</v>
      </c>
      <c r="AE2333" s="4">
        <v>120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231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231</v>
      </c>
      <c r="AW2333" s="8" t="s">
        <v>231</v>
      </c>
      <c r="AX2333" s="4" t="s">
        <v>231</v>
      </c>
      <c r="AY2333" s="8" t="s">
        <v>231</v>
      </c>
      <c r="AZ2333" s="7" t="s">
        <v>231</v>
      </c>
      <c r="BA2333" s="7" t="s">
        <v>231</v>
      </c>
      <c r="BB2333" s="7"/>
      <c r="BC2333" s="4" t="s">
        <v>231</v>
      </c>
      <c r="BD2333" s="8" t="s">
        <v>231</v>
      </c>
      <c r="BE2333" s="4" t="s">
        <v>231</v>
      </c>
      <c r="BF2333" s="8" t="s">
        <v>231</v>
      </c>
      <c r="BG2333" s="7" t="s">
        <v>231</v>
      </c>
      <c r="BH2333" s="7" t="s">
        <v>231</v>
      </c>
      <c r="BI2333" s="7"/>
      <c r="BJ2333" s="4">
        <v>8</v>
      </c>
      <c r="BK2333" s="8">
        <v>223</v>
      </c>
      <c r="BL2333" s="2" t="s">
        <v>2900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10159</v>
      </c>
      <c r="BV2333" s="2" t="s">
        <v>231</v>
      </c>
      <c r="BW2333" s="2" t="s">
        <v>231</v>
      </c>
      <c r="BX2333" s="2" t="s">
        <v>231</v>
      </c>
      <c r="BY2333" s="2" t="s">
        <v>277</v>
      </c>
      <c r="BZ2333" s="2" t="s">
        <v>243</v>
      </c>
      <c r="CA2333" s="2" t="s">
        <v>8445</v>
      </c>
      <c r="CB2333" s="2" t="s">
        <v>5280</v>
      </c>
      <c r="CC2333" s="2" t="s">
        <v>244</v>
      </c>
      <c r="CD2333" s="2" t="s">
        <v>231</v>
      </c>
      <c r="CE2333" s="4">
        <v>148</v>
      </c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>
        <v>120</v>
      </c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4"/>
      <c r="HH2333" s="4"/>
      <c r="HI2333" s="4"/>
      <c r="HJ2333" s="4"/>
      <c r="HK2333" s="4"/>
      <c r="HL2333" s="4"/>
    </row>
    <row r="2334">
      <c r="A2334" s="2" t="s">
        <v>10160</v>
      </c>
      <c r="B2334" s="2" t="s">
        <v>847</v>
      </c>
      <c r="C2334" s="2" t="s">
        <v>815</v>
      </c>
      <c r="D2334" s="2" t="s">
        <v>2003</v>
      </c>
      <c r="E2334" s="2" t="s">
        <v>2623</v>
      </c>
      <c r="F2334" s="2" t="s">
        <v>10161</v>
      </c>
      <c r="G2334" s="2" t="s">
        <v>10161</v>
      </c>
      <c r="H2334" s="2" t="s">
        <v>10161</v>
      </c>
      <c r="I2334" s="2" t="s">
        <v>10162</v>
      </c>
      <c r="J2334" s="2" t="s">
        <v>807</v>
      </c>
      <c r="K2334" s="2" t="s">
        <v>2312</v>
      </c>
      <c r="L2334" s="3">
        <v>52.38</v>
      </c>
      <c r="M2334" s="3">
        <v>55</v>
      </c>
      <c r="N2334" s="3">
        <v>109.99</v>
      </c>
      <c r="O2334" s="2" t="s">
        <v>243</v>
      </c>
      <c r="P2334" s="2" t="s">
        <v>236</v>
      </c>
      <c r="Q2334" s="2" t="s">
        <v>237</v>
      </c>
      <c r="R2334" s="2" t="s">
        <v>231</v>
      </c>
      <c r="S2334" s="2" t="s">
        <v>231</v>
      </c>
      <c r="T2334" s="2" t="s">
        <v>231</v>
      </c>
      <c r="U2334" s="2" t="s">
        <v>327</v>
      </c>
      <c r="V2334" s="2" t="s">
        <v>836</v>
      </c>
      <c r="W2334" s="2" t="s">
        <v>691</v>
      </c>
      <c r="X2334" s="2" t="s">
        <v>808</v>
      </c>
      <c r="Y2334" s="2" t="s">
        <v>5872</v>
      </c>
      <c r="Z2334" s="4">
        <v>36</v>
      </c>
      <c r="AA2334" s="4">
        <f>=ROUNDDOWN(18,0)</f>
      </c>
      <c r="AB2334" s="5">
        <v>2</v>
      </c>
      <c r="AC2334" s="2" t="s">
        <v>392</v>
      </c>
      <c r="AD2334" s="4">
        <v>50</v>
      </c>
      <c r="AE2334" s="4">
        <v>50</v>
      </c>
      <c r="AF2334" s="6">
        <v>63</v>
      </c>
      <c r="AG2334" s="6"/>
      <c r="AH2334" s="7">
        <v>1</v>
      </c>
      <c r="AI2334" s="4"/>
      <c r="AJ2334" s="4">
        <f>=ROUNDDOWN({0},0)</f>
      </c>
      <c r="AK2334" s="5"/>
      <c r="AL2334" s="2" t="s">
        <v>231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/>
      <c r="BD2334" s="8"/>
      <c r="BE2334" s="4"/>
      <c r="BF2334" s="8"/>
      <c r="BG2334" s="7"/>
      <c r="BH2334" s="7"/>
      <c r="BI2334" s="7"/>
      <c r="BJ2334" s="4">
        <v>14</v>
      </c>
      <c r="BK2334" s="8">
        <v>775.5</v>
      </c>
      <c r="BL2334" s="2" t="s">
        <v>1618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10163</v>
      </c>
      <c r="BV2334" s="2" t="s">
        <v>231</v>
      </c>
      <c r="BW2334" s="2" t="s">
        <v>231</v>
      </c>
      <c r="BX2334" s="2" t="s">
        <v>241</v>
      </c>
      <c r="BY2334" s="2" t="s">
        <v>277</v>
      </c>
      <c r="BZ2334" s="2" t="s">
        <v>243</v>
      </c>
      <c r="CA2334" s="2" t="s">
        <v>1955</v>
      </c>
      <c r="CB2334" s="2" t="s">
        <v>231</v>
      </c>
      <c r="CC2334" s="2" t="s">
        <v>244</v>
      </c>
      <c r="CD2334" s="2" t="s">
        <v>231</v>
      </c>
      <c r="CE2334" s="4"/>
      <c r="CF2334" s="4">
        <v>36</v>
      </c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>
        <v>50</v>
      </c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4"/>
      <c r="HH2334" s="4"/>
      <c r="HI2334" s="4"/>
      <c r="HJ2334" s="4"/>
      <c r="HK2334" s="4"/>
      <c r="HL2334" s="4"/>
    </row>
    <row r="2335">
      <c r="A2335" s="2" t="s">
        <v>10164</v>
      </c>
      <c r="B2335" s="2" t="s">
        <v>1186</v>
      </c>
      <c r="C2335" s="2" t="s">
        <v>357</v>
      </c>
      <c r="D2335" s="2" t="s">
        <v>654</v>
      </c>
      <c r="E2335" s="2" t="s">
        <v>1187</v>
      </c>
      <c r="F2335" s="2" t="s">
        <v>10165</v>
      </c>
      <c r="G2335" s="2" t="s">
        <v>10166</v>
      </c>
      <c r="H2335" s="2" t="s">
        <v>10167</v>
      </c>
      <c r="I2335" s="2" t="s">
        <v>10168</v>
      </c>
      <c r="J2335" s="2" t="s">
        <v>318</v>
      </c>
      <c r="K2335" s="2" t="s">
        <v>255</v>
      </c>
      <c r="L2335" s="3">
        <v>38.4</v>
      </c>
      <c r="M2335" s="3">
        <v>40.31</v>
      </c>
      <c r="N2335" s="3">
        <v>79.99</v>
      </c>
      <c r="O2335" s="2" t="s">
        <v>243</v>
      </c>
      <c r="P2335" s="2" t="s">
        <v>270</v>
      </c>
      <c r="Q2335" s="2" t="s">
        <v>237</v>
      </c>
      <c r="R2335" s="2" t="s">
        <v>231</v>
      </c>
      <c r="S2335" s="2" t="s">
        <v>10169</v>
      </c>
      <c r="T2335" s="2" t="s">
        <v>231</v>
      </c>
      <c r="U2335" s="2" t="s">
        <v>765</v>
      </c>
      <c r="V2335" s="2" t="s">
        <v>1304</v>
      </c>
      <c r="W2335" s="2" t="s">
        <v>273</v>
      </c>
      <c r="X2335" s="2" t="s">
        <v>2286</v>
      </c>
      <c r="Y2335" s="2" t="s">
        <v>10170</v>
      </c>
      <c r="Z2335" s="4">
        <v>248</v>
      </c>
      <c r="AA2335" s="4">
        <f>=ROUNDDOWN(31,0)</f>
      </c>
      <c r="AB2335" s="5">
        <v>8</v>
      </c>
      <c r="AC2335" s="2" t="s">
        <v>2082</v>
      </c>
      <c r="AD2335" s="4">
        <v>30</v>
      </c>
      <c r="AE2335" s="4">
        <v>110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231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/>
      <c r="BD2335" s="8"/>
      <c r="BE2335" s="4"/>
      <c r="BF2335" s="8"/>
      <c r="BG2335" s="7"/>
      <c r="BH2335" s="7"/>
      <c r="BI2335" s="7"/>
      <c r="BJ2335" s="4">
        <v>10</v>
      </c>
      <c r="BK2335" s="8">
        <v>410.7</v>
      </c>
      <c r="BL2335" s="2" t="s">
        <v>6744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10171</v>
      </c>
      <c r="BV2335" s="2" t="s">
        <v>231</v>
      </c>
      <c r="BW2335" s="2" t="s">
        <v>231</v>
      </c>
      <c r="BX2335" s="2" t="s">
        <v>231</v>
      </c>
      <c r="BY2335" s="2" t="s">
        <v>277</v>
      </c>
      <c r="BZ2335" s="2" t="s">
        <v>243</v>
      </c>
      <c r="CA2335" s="2" t="s">
        <v>10172</v>
      </c>
      <c r="CB2335" s="2" t="s">
        <v>4995</v>
      </c>
      <c r="CC2335" s="2" t="s">
        <v>244</v>
      </c>
      <c r="CD2335" s="2" t="s">
        <v>231</v>
      </c>
      <c r="CE2335" s="4">
        <v>223</v>
      </c>
      <c r="CF2335" s="4"/>
      <c r="CG2335" s="4"/>
      <c r="CH2335" s="4"/>
      <c r="CI2335" s="4"/>
      <c r="CJ2335" s="4"/>
      <c r="CK2335" s="4"/>
      <c r="CL2335" s="4">
        <v>25</v>
      </c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>
        <v>30</v>
      </c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>
        <v>80</v>
      </c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  <c r="HG2335" s="4"/>
      <c r="HH2335" s="4"/>
      <c r="HI2335" s="4"/>
      <c r="HJ2335" s="4"/>
      <c r="HK2335" s="4"/>
      <c r="HL2335" s="4"/>
    </row>
    <row r="2336">
      <c r="A2336" s="2" t="s">
        <v>10173</v>
      </c>
      <c r="B2336" s="2" t="s">
        <v>847</v>
      </c>
      <c r="C2336" s="2" t="s">
        <v>288</v>
      </c>
      <c r="D2336" s="2" t="s">
        <v>2003</v>
      </c>
      <c r="E2336" s="2" t="s">
        <v>849</v>
      </c>
      <c r="F2336" s="2" t="s">
        <v>10174</v>
      </c>
      <c r="G2336" s="2" t="s">
        <v>10174</v>
      </c>
      <c r="H2336" s="2" t="s">
        <v>10174</v>
      </c>
      <c r="I2336" s="2" t="s">
        <v>10175</v>
      </c>
      <c r="J2336" s="2" t="s">
        <v>807</v>
      </c>
      <c r="K2336" s="2" t="s">
        <v>255</v>
      </c>
      <c r="L2336" s="3">
        <v>18.83</v>
      </c>
      <c r="M2336" s="3">
        <v>19.77</v>
      </c>
      <c r="N2336" s="3">
        <v>38.24</v>
      </c>
      <c r="O2336" s="2" t="s">
        <v>243</v>
      </c>
      <c r="P2336" s="2" t="s">
        <v>1985</v>
      </c>
      <c r="Q2336" s="2" t="s">
        <v>237</v>
      </c>
      <c r="R2336" s="2" t="s">
        <v>231</v>
      </c>
      <c r="S2336" s="2" t="s">
        <v>10176</v>
      </c>
      <c r="T2336" s="2" t="s">
        <v>231</v>
      </c>
      <c r="U2336" s="2" t="s">
        <v>835</v>
      </c>
      <c r="V2336" s="2" t="s">
        <v>1828</v>
      </c>
      <c r="W2336" s="2" t="s">
        <v>2541</v>
      </c>
      <c r="X2336" s="2" t="s">
        <v>273</v>
      </c>
      <c r="Y2336" s="2" t="s">
        <v>1131</v>
      </c>
      <c r="Z2336" s="4">
        <v>26</v>
      </c>
      <c r="AA2336" s="4">
        <f>=ROUNDDOWN(3.25,0)</f>
      </c>
      <c r="AB2336" s="5">
        <v>8</v>
      </c>
      <c r="AC2336" s="2" t="s">
        <v>392</v>
      </c>
      <c r="AD2336" s="4">
        <v>100</v>
      </c>
      <c r="AE2336" s="4">
        <v>100</v>
      </c>
      <c r="AF2336" s="6">
        <v>63</v>
      </c>
      <c r="AG2336" s="6"/>
      <c r="AH2336" s="7">
        <v>1</v>
      </c>
      <c r="AI2336" s="4"/>
      <c r="AJ2336" s="4">
        <f>=ROUNDDOWN({0},0)</f>
      </c>
      <c r="AK2336" s="5"/>
      <c r="AL2336" s="2" t="s">
        <v>231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/>
      <c r="BD2336" s="8"/>
      <c r="BE2336" s="4"/>
      <c r="BF2336" s="8"/>
      <c r="BG2336" s="7"/>
      <c r="BH2336" s="7"/>
      <c r="BI2336" s="7"/>
      <c r="BJ2336" s="4">
        <v>43</v>
      </c>
      <c r="BK2336" s="8">
        <v>1083.52</v>
      </c>
      <c r="BL2336" s="2" t="s">
        <v>10177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10178</v>
      </c>
      <c r="BV2336" s="2" t="s">
        <v>231</v>
      </c>
      <c r="BW2336" s="2" t="s">
        <v>231</v>
      </c>
      <c r="BX2336" s="2" t="s">
        <v>231</v>
      </c>
      <c r="BY2336" s="2" t="s">
        <v>277</v>
      </c>
      <c r="BZ2336" s="2" t="s">
        <v>243</v>
      </c>
      <c r="CA2336" s="2" t="s">
        <v>8225</v>
      </c>
      <c r="CB2336" s="2" t="s">
        <v>5507</v>
      </c>
      <c r="CC2336" s="2" t="s">
        <v>244</v>
      </c>
      <c r="CD2336" s="2" t="s">
        <v>231</v>
      </c>
      <c r="CE2336" s="4"/>
      <c r="CF2336" s="4">
        <v>26</v>
      </c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>
        <v>100</v>
      </c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4"/>
      <c r="HH2336" s="4"/>
      <c r="HI2336" s="4"/>
      <c r="HJ2336" s="4"/>
      <c r="HK2336" s="4"/>
      <c r="HL2336" s="4"/>
    </row>
    <row r="2337">
      <c r="A2337" s="2" t="s">
        <v>10179</v>
      </c>
      <c r="B2337" s="2" t="s">
        <v>1004</v>
      </c>
      <c r="C2337" s="2" t="s">
        <v>1105</v>
      </c>
      <c r="D2337" s="2" t="s">
        <v>1689</v>
      </c>
      <c r="E2337" s="2" t="s">
        <v>2538</v>
      </c>
      <c r="F2337" s="2" t="s">
        <v>10180</v>
      </c>
      <c r="G2337" s="2" t="s">
        <v>10180</v>
      </c>
      <c r="H2337" s="2" t="s">
        <v>10180</v>
      </c>
      <c r="I2337" s="2" t="s">
        <v>10181</v>
      </c>
      <c r="J2337" s="2" t="s">
        <v>807</v>
      </c>
      <c r="K2337" s="2" t="s">
        <v>1939</v>
      </c>
      <c r="L2337" s="3">
        <v>118.75</v>
      </c>
      <c r="M2337" s="3">
        <v>124.69</v>
      </c>
      <c r="N2337" s="3">
        <v>249</v>
      </c>
      <c r="O2337" s="2" t="s">
        <v>243</v>
      </c>
      <c r="P2337" s="2" t="s">
        <v>236</v>
      </c>
      <c r="Q2337" s="2" t="s">
        <v>237</v>
      </c>
      <c r="R2337" s="2" t="s">
        <v>231</v>
      </c>
      <c r="S2337" s="2" t="s">
        <v>231</v>
      </c>
      <c r="T2337" s="2" t="s">
        <v>231</v>
      </c>
      <c r="U2337" s="2" t="s">
        <v>327</v>
      </c>
      <c r="V2337" s="2" t="s">
        <v>662</v>
      </c>
      <c r="W2337" s="2" t="s">
        <v>792</v>
      </c>
      <c r="X2337" s="2" t="s">
        <v>273</v>
      </c>
      <c r="Y2337" s="2" t="s">
        <v>5803</v>
      </c>
      <c r="Z2337" s="4">
        <v>119</v>
      </c>
      <c r="AA2337" s="4">
        <f>=ROUNDDOWN(39.6666666666667,0)</f>
      </c>
      <c r="AB2337" s="5">
        <v>3</v>
      </c>
      <c r="AC2337" s="2" t="s">
        <v>231</v>
      </c>
      <c r="AD2337" s="4"/>
      <c r="AE2337" s="4"/>
      <c r="AF2337" s="6">
        <v>74</v>
      </c>
      <c r="AG2337" s="6"/>
      <c r="AH2337" s="7">
        <v>1</v>
      </c>
      <c r="AI2337" s="4"/>
      <c r="AJ2337" s="4">
        <f>=ROUNDDOWN({0},0)</f>
      </c>
      <c r="AK2337" s="5"/>
      <c r="AL2337" s="2" t="s">
        <v>231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 t="s">
        <v>231</v>
      </c>
      <c r="BD2337" s="8" t="s">
        <v>231</v>
      </c>
      <c r="BE2337" s="4" t="s">
        <v>231</v>
      </c>
      <c r="BF2337" s="8" t="s">
        <v>231</v>
      </c>
      <c r="BG2337" s="7" t="s">
        <v>231</v>
      </c>
      <c r="BH2337" s="7" t="s">
        <v>231</v>
      </c>
      <c r="BI2337" s="7"/>
      <c r="BJ2337" s="4">
        <v>16</v>
      </c>
      <c r="BK2337" s="8">
        <v>2352</v>
      </c>
      <c r="BL2337" s="2" t="s">
        <v>1120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241</v>
      </c>
      <c r="BV2337" s="2" t="s">
        <v>231</v>
      </c>
      <c r="BW2337" s="2" t="s">
        <v>231</v>
      </c>
      <c r="BX2337" s="2" t="s">
        <v>1812</v>
      </c>
      <c r="BY2337" s="2" t="s">
        <v>2527</v>
      </c>
      <c r="BZ2337" s="2" t="s">
        <v>243</v>
      </c>
      <c r="CA2337" s="2" t="s">
        <v>231</v>
      </c>
      <c r="CB2337" s="2" t="s">
        <v>231</v>
      </c>
      <c r="CC2337" s="2" t="s">
        <v>244</v>
      </c>
      <c r="CD2337" s="2" t="s">
        <v>231</v>
      </c>
      <c r="CE2337" s="4"/>
      <c r="CF2337" s="4">
        <v>119</v>
      </c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4"/>
      <c r="HH2337" s="4"/>
      <c r="HI2337" s="4"/>
      <c r="HJ2337" s="4"/>
      <c r="HK2337" s="4"/>
      <c r="HL2337" s="4"/>
    </row>
    <row r="2338">
      <c r="A2338" s="2" t="s">
        <v>10182</v>
      </c>
      <c r="B2338" s="2" t="s">
        <v>1004</v>
      </c>
      <c r="C2338" s="2" t="s">
        <v>1105</v>
      </c>
      <c r="D2338" s="2" t="s">
        <v>1689</v>
      </c>
      <c r="E2338" s="2" t="s">
        <v>2538</v>
      </c>
      <c r="F2338" s="2" t="s">
        <v>10180</v>
      </c>
      <c r="G2338" s="2" t="s">
        <v>10180</v>
      </c>
      <c r="H2338" s="2" t="s">
        <v>10180</v>
      </c>
      <c r="I2338" s="2" t="s">
        <v>10181</v>
      </c>
      <c r="J2338" s="2" t="s">
        <v>807</v>
      </c>
      <c r="K2338" s="2" t="s">
        <v>747</v>
      </c>
      <c r="L2338" s="3">
        <v>118.75</v>
      </c>
      <c r="M2338" s="3">
        <v>124.69</v>
      </c>
      <c r="N2338" s="3">
        <v>249</v>
      </c>
      <c r="O2338" s="2" t="s">
        <v>243</v>
      </c>
      <c r="P2338" s="2" t="s">
        <v>341</v>
      </c>
      <c r="Q2338" s="2" t="s">
        <v>237</v>
      </c>
      <c r="R2338" s="2" t="s">
        <v>231</v>
      </c>
      <c r="S2338" s="2" t="s">
        <v>231</v>
      </c>
      <c r="T2338" s="2" t="s">
        <v>231</v>
      </c>
      <c r="U2338" s="2" t="s">
        <v>327</v>
      </c>
      <c r="V2338" s="2" t="s">
        <v>662</v>
      </c>
      <c r="W2338" s="2" t="s">
        <v>792</v>
      </c>
      <c r="X2338" s="2" t="s">
        <v>273</v>
      </c>
      <c r="Y2338" s="2" t="s">
        <v>10183</v>
      </c>
      <c r="Z2338" s="4">
        <v>10</v>
      </c>
      <c r="AA2338" s="4">
        <f>=ROUNDDOWN(5,0)</f>
      </c>
      <c r="AB2338" s="5">
        <v>2</v>
      </c>
      <c r="AC2338" s="2" t="s">
        <v>231</v>
      </c>
      <c r="AD2338" s="4"/>
      <c r="AE2338" s="4"/>
      <c r="AF2338" s="6">
        <v>74</v>
      </c>
      <c r="AG2338" s="6"/>
      <c r="AH2338" s="7">
        <v>1</v>
      </c>
      <c r="AI2338" s="4"/>
      <c r="AJ2338" s="4">
        <f>=ROUNDDOWN({0},0)</f>
      </c>
      <c r="AK2338" s="5"/>
      <c r="AL2338" s="2" t="s">
        <v>231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 t="s">
        <v>231</v>
      </c>
      <c r="BD2338" s="8" t="s">
        <v>231</v>
      </c>
      <c r="BE2338" s="4" t="s">
        <v>231</v>
      </c>
      <c r="BF2338" s="8" t="s">
        <v>231</v>
      </c>
      <c r="BG2338" s="7" t="s">
        <v>231</v>
      </c>
      <c r="BH2338" s="7" t="s">
        <v>231</v>
      </c>
      <c r="BI2338" s="7"/>
      <c r="BJ2338" s="4">
        <v>4</v>
      </c>
      <c r="BK2338" s="8">
        <v>549.93</v>
      </c>
      <c r="BL2338" s="2" t="s">
        <v>10184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241</v>
      </c>
      <c r="BV2338" s="2" t="s">
        <v>231</v>
      </c>
      <c r="BW2338" s="2" t="s">
        <v>231</v>
      </c>
      <c r="BX2338" s="2" t="s">
        <v>241</v>
      </c>
      <c r="BY2338" s="2" t="s">
        <v>2527</v>
      </c>
      <c r="BZ2338" s="2" t="s">
        <v>243</v>
      </c>
      <c r="CA2338" s="2" t="s">
        <v>231</v>
      </c>
      <c r="CB2338" s="2" t="s">
        <v>231</v>
      </c>
      <c r="CC2338" s="2" t="s">
        <v>244</v>
      </c>
      <c r="CD2338" s="2" t="s">
        <v>231</v>
      </c>
      <c r="CE2338" s="4"/>
      <c r="CF2338" s="4">
        <v>10</v>
      </c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4"/>
      <c r="HH2338" s="4"/>
      <c r="HI2338" s="4"/>
      <c r="HJ2338" s="4"/>
      <c r="HK2338" s="4"/>
      <c r="HL2338" s="4"/>
    </row>
    <row r="2339">
      <c r="A2339" s="2" t="s">
        <v>10185</v>
      </c>
      <c r="B2339" s="2" t="s">
        <v>1004</v>
      </c>
      <c r="C2339" s="2" t="s">
        <v>1105</v>
      </c>
      <c r="D2339" s="2" t="s">
        <v>1689</v>
      </c>
      <c r="E2339" s="2" t="s">
        <v>2538</v>
      </c>
      <c r="F2339" s="2" t="s">
        <v>10180</v>
      </c>
      <c r="G2339" s="2" t="s">
        <v>10180</v>
      </c>
      <c r="H2339" s="2" t="s">
        <v>10180</v>
      </c>
      <c r="I2339" s="2" t="s">
        <v>10181</v>
      </c>
      <c r="J2339" s="2" t="s">
        <v>807</v>
      </c>
      <c r="K2339" s="2" t="s">
        <v>2532</v>
      </c>
      <c r="L2339" s="3">
        <v>118.75</v>
      </c>
      <c r="M2339" s="3">
        <v>124.69</v>
      </c>
      <c r="N2339" s="3">
        <v>249</v>
      </c>
      <c r="O2339" s="2" t="s">
        <v>243</v>
      </c>
      <c r="P2339" s="2" t="s">
        <v>1915</v>
      </c>
      <c r="Q2339" s="2" t="s">
        <v>237</v>
      </c>
      <c r="R2339" s="2" t="s">
        <v>231</v>
      </c>
      <c r="S2339" s="2" t="s">
        <v>231</v>
      </c>
      <c r="T2339" s="2" t="s">
        <v>231</v>
      </c>
      <c r="U2339" s="2" t="s">
        <v>327</v>
      </c>
      <c r="V2339" s="2" t="s">
        <v>662</v>
      </c>
      <c r="W2339" s="2" t="s">
        <v>792</v>
      </c>
      <c r="X2339" s="2" t="s">
        <v>273</v>
      </c>
      <c r="Y2339" s="2" t="s">
        <v>231</v>
      </c>
      <c r="Z2339" s="4"/>
      <c r="AA2339" s="4">
        <f>=ROUNDDOWN({0},0)</f>
      </c>
      <c r="AB2339" s="5"/>
      <c r="AC2339" s="2" t="s">
        <v>1920</v>
      </c>
      <c r="AD2339" s="4">
        <v>75</v>
      </c>
      <c r="AE2339" s="4">
        <v>100</v>
      </c>
      <c r="AF2339" s="6">
        <v>74</v>
      </c>
      <c r="AG2339" s="6"/>
      <c r="AH2339" s="7">
        <v>0</v>
      </c>
      <c r="AI2339" s="4"/>
      <c r="AJ2339" s="4">
        <f>=ROUNDDOWN({0},0)</f>
      </c>
      <c r="AK2339" s="5"/>
      <c r="AL2339" s="2" t="s">
        <v>231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231</v>
      </c>
      <c r="BD2339" s="8" t="s">
        <v>231</v>
      </c>
      <c r="BE2339" s="4" t="s">
        <v>231</v>
      </c>
      <c r="BF2339" s="8" t="s">
        <v>231</v>
      </c>
      <c r="BG2339" s="7" t="s">
        <v>231</v>
      </c>
      <c r="BH2339" s="7" t="s">
        <v>231</v>
      </c>
      <c r="BI2339" s="7"/>
      <c r="BJ2339" s="4"/>
      <c r="BK2339" s="8"/>
      <c r="BL2339" s="2" t="s">
        <v>231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241</v>
      </c>
      <c r="BV2339" s="2" t="s">
        <v>231</v>
      </c>
      <c r="BW2339" s="2" t="s">
        <v>231</v>
      </c>
      <c r="BX2339" s="2" t="s">
        <v>1812</v>
      </c>
      <c r="BY2339" s="2" t="s">
        <v>242</v>
      </c>
      <c r="BZ2339" s="2" t="s">
        <v>243</v>
      </c>
      <c r="CA2339" s="2" t="s">
        <v>231</v>
      </c>
      <c r="CB2339" s="2" t="s">
        <v>231</v>
      </c>
      <c r="CC2339" s="2" t="s">
        <v>244</v>
      </c>
      <c r="CD2339" s="2" t="s">
        <v>231</v>
      </c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>
        <v>75</v>
      </c>
      <c r="EW2339" s="4"/>
      <c r="EX2339" s="4"/>
      <c r="EY2339" s="4"/>
      <c r="EZ2339" s="4"/>
      <c r="FA2339" s="4"/>
      <c r="FB2339" s="4">
        <v>23</v>
      </c>
      <c r="FC2339" s="4"/>
      <c r="FD2339" s="4"/>
      <c r="FE2339" s="4"/>
      <c r="FF2339" s="4"/>
      <c r="FG2339" s="4"/>
      <c r="FH2339" s="4">
        <v>2</v>
      </c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4"/>
      <c r="HH2339" s="4"/>
      <c r="HI2339" s="4"/>
      <c r="HJ2339" s="4"/>
      <c r="HK2339" s="4"/>
      <c r="HL2339" s="4"/>
    </row>
    <row r="2340">
      <c r="A2340" s="2" t="s">
        <v>10186</v>
      </c>
      <c r="B2340" s="2" t="s">
        <v>847</v>
      </c>
      <c r="C2340" s="2" t="s">
        <v>288</v>
      </c>
      <c r="D2340" s="2" t="s">
        <v>882</v>
      </c>
      <c r="E2340" s="2" t="s">
        <v>2191</v>
      </c>
      <c r="F2340" s="2" t="s">
        <v>10187</v>
      </c>
      <c r="G2340" s="2" t="s">
        <v>10187</v>
      </c>
      <c r="H2340" s="2" t="s">
        <v>10187</v>
      </c>
      <c r="I2340" s="2" t="s">
        <v>10188</v>
      </c>
      <c r="J2340" s="2" t="s">
        <v>807</v>
      </c>
      <c r="K2340" s="2" t="s">
        <v>10189</v>
      </c>
      <c r="L2340" s="3">
        <v>40.47</v>
      </c>
      <c r="M2340" s="3">
        <v>42.49</v>
      </c>
      <c r="N2340" s="3">
        <v>84.99</v>
      </c>
      <c r="O2340" s="2" t="s">
        <v>243</v>
      </c>
      <c r="P2340" s="2" t="s">
        <v>236</v>
      </c>
      <c r="Q2340" s="2" t="s">
        <v>237</v>
      </c>
      <c r="R2340" s="2" t="s">
        <v>231</v>
      </c>
      <c r="S2340" s="2" t="s">
        <v>231</v>
      </c>
      <c r="T2340" s="2" t="s">
        <v>231</v>
      </c>
      <c r="U2340" s="2" t="s">
        <v>327</v>
      </c>
      <c r="V2340" s="2" t="s">
        <v>873</v>
      </c>
      <c r="W2340" s="2" t="s">
        <v>676</v>
      </c>
      <c r="X2340" s="2" t="s">
        <v>971</v>
      </c>
      <c r="Y2340" s="2" t="s">
        <v>2100</v>
      </c>
      <c r="Z2340" s="4">
        <v>3</v>
      </c>
      <c r="AA2340" s="4">
        <f>=ROUNDDOWN(0.75,0)</f>
      </c>
      <c r="AB2340" s="5">
        <v>4</v>
      </c>
      <c r="AC2340" s="2" t="s">
        <v>392</v>
      </c>
      <c r="AD2340" s="4">
        <v>60</v>
      </c>
      <c r="AE2340" s="4">
        <v>60</v>
      </c>
      <c r="AF2340" s="6">
        <v>63</v>
      </c>
      <c r="AG2340" s="6"/>
      <c r="AH2340" s="7">
        <v>0.3548</v>
      </c>
      <c r="AI2340" s="4"/>
      <c r="AJ2340" s="4">
        <f>=ROUNDDOWN({0},0)</f>
      </c>
      <c r="AK2340" s="5"/>
      <c r="AL2340" s="2" t="s">
        <v>231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/>
      <c r="BD2340" s="8"/>
      <c r="BE2340" s="4"/>
      <c r="BF2340" s="8"/>
      <c r="BG2340" s="7"/>
      <c r="BH2340" s="7"/>
      <c r="BI2340" s="7"/>
      <c r="BJ2340" s="4">
        <v>23</v>
      </c>
      <c r="BK2340" s="8">
        <v>1283.29</v>
      </c>
      <c r="BL2340" s="2" t="s">
        <v>10190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10191</v>
      </c>
      <c r="BV2340" s="2" t="s">
        <v>231</v>
      </c>
      <c r="BW2340" s="2" t="s">
        <v>231</v>
      </c>
      <c r="BX2340" s="2" t="s">
        <v>241</v>
      </c>
      <c r="BY2340" s="2" t="s">
        <v>277</v>
      </c>
      <c r="BZ2340" s="2" t="s">
        <v>243</v>
      </c>
      <c r="CA2340" s="2" t="s">
        <v>3955</v>
      </c>
      <c r="CB2340" s="2" t="s">
        <v>1789</v>
      </c>
      <c r="CC2340" s="2" t="s">
        <v>244</v>
      </c>
      <c r="CD2340" s="2" t="s">
        <v>231</v>
      </c>
      <c r="CE2340" s="4"/>
      <c r="CF2340" s="4">
        <v>3</v>
      </c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>
        <v>60</v>
      </c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4"/>
      <c r="HH2340" s="4"/>
      <c r="HI2340" s="4"/>
      <c r="HJ2340" s="4"/>
      <c r="HK2340" s="4"/>
      <c r="HL2340" s="4"/>
    </row>
    <row r="2341">
      <c r="A2341" s="2" t="s">
        <v>10192</v>
      </c>
      <c r="B2341" s="2" t="s">
        <v>287</v>
      </c>
      <c r="C2341" s="2" t="s">
        <v>288</v>
      </c>
      <c r="D2341" s="2" t="s">
        <v>289</v>
      </c>
      <c r="E2341" s="2" t="s">
        <v>290</v>
      </c>
      <c r="F2341" s="2" t="s">
        <v>10193</v>
      </c>
      <c r="G2341" s="2" t="s">
        <v>10193</v>
      </c>
      <c r="H2341" s="2" t="s">
        <v>10193</v>
      </c>
      <c r="I2341" s="2" t="s">
        <v>10194</v>
      </c>
      <c r="J2341" s="2" t="s">
        <v>281</v>
      </c>
      <c r="K2341" s="2" t="s">
        <v>985</v>
      </c>
      <c r="L2341" s="3">
        <v>27</v>
      </c>
      <c r="M2341" s="3">
        <v>28.35</v>
      </c>
      <c r="N2341" s="3">
        <v>59.99</v>
      </c>
      <c r="O2341" s="2" t="s">
        <v>243</v>
      </c>
      <c r="P2341" s="2" t="s">
        <v>270</v>
      </c>
      <c r="Q2341" s="2" t="s">
        <v>237</v>
      </c>
      <c r="R2341" s="2" t="s">
        <v>231</v>
      </c>
      <c r="S2341" s="2" t="s">
        <v>10195</v>
      </c>
      <c r="T2341" s="2" t="s">
        <v>362</v>
      </c>
      <c r="U2341" s="2" t="s">
        <v>298</v>
      </c>
      <c r="V2341" s="2" t="s">
        <v>239</v>
      </c>
      <c r="W2341" s="2" t="s">
        <v>273</v>
      </c>
      <c r="X2341" s="2" t="s">
        <v>231</v>
      </c>
      <c r="Y2341" s="2" t="s">
        <v>1763</v>
      </c>
      <c r="Z2341" s="4">
        <v>67</v>
      </c>
      <c r="AA2341" s="4">
        <f>=ROUNDDOWN(22.3333333333333,0)</f>
      </c>
      <c r="AB2341" s="5">
        <v>3</v>
      </c>
      <c r="AC2341" s="2" t="s">
        <v>730</v>
      </c>
      <c r="AD2341" s="4">
        <v>50</v>
      </c>
      <c r="AE2341" s="4">
        <v>50</v>
      </c>
      <c r="AF2341" s="6">
        <v>69</v>
      </c>
      <c r="AG2341" s="6"/>
      <c r="AH2341" s="7">
        <v>1</v>
      </c>
      <c r="AI2341" s="4"/>
      <c r="AJ2341" s="4">
        <f>=ROUNDDOWN({0},0)</f>
      </c>
      <c r="AK2341" s="5"/>
      <c r="AL2341" s="2" t="s">
        <v>231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231</v>
      </c>
      <c r="AW2341" s="8" t="s">
        <v>231</v>
      </c>
      <c r="AX2341" s="4" t="s">
        <v>231</v>
      </c>
      <c r="AY2341" s="8" t="s">
        <v>231</v>
      </c>
      <c r="AZ2341" s="7" t="s">
        <v>231</v>
      </c>
      <c r="BA2341" s="7" t="s">
        <v>231</v>
      </c>
      <c r="BB2341" s="7"/>
      <c r="BC2341" s="4" t="s">
        <v>231</v>
      </c>
      <c r="BD2341" s="8" t="s">
        <v>231</v>
      </c>
      <c r="BE2341" s="4" t="s">
        <v>231</v>
      </c>
      <c r="BF2341" s="8" t="s">
        <v>231</v>
      </c>
      <c r="BG2341" s="7" t="s">
        <v>231</v>
      </c>
      <c r="BH2341" s="7" t="s">
        <v>231</v>
      </c>
      <c r="BI2341" s="7"/>
      <c r="BJ2341" s="4">
        <v>8</v>
      </c>
      <c r="BK2341" s="8">
        <v>234.36</v>
      </c>
      <c r="BL2341" s="2" t="s">
        <v>10196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10197</v>
      </c>
      <c r="BV2341" s="2" t="s">
        <v>231</v>
      </c>
      <c r="BW2341" s="2" t="s">
        <v>231</v>
      </c>
      <c r="BX2341" s="2" t="s">
        <v>231</v>
      </c>
      <c r="BY2341" s="2" t="s">
        <v>277</v>
      </c>
      <c r="BZ2341" s="2" t="s">
        <v>243</v>
      </c>
      <c r="CA2341" s="2" t="s">
        <v>2727</v>
      </c>
      <c r="CB2341" s="2" t="s">
        <v>10198</v>
      </c>
      <c r="CC2341" s="2" t="s">
        <v>244</v>
      </c>
      <c r="CD2341" s="2" t="s">
        <v>231</v>
      </c>
      <c r="CE2341" s="4">
        <v>67</v>
      </c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>
        <v>50</v>
      </c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4"/>
      <c r="HH2341" s="4"/>
      <c r="HI2341" s="4"/>
      <c r="HJ2341" s="4"/>
      <c r="HK2341" s="4"/>
      <c r="HL2341" s="4"/>
    </row>
    <row r="2342">
      <c r="A2342" s="2" t="s">
        <v>10199</v>
      </c>
      <c r="B2342" s="2" t="s">
        <v>287</v>
      </c>
      <c r="C2342" s="2" t="s">
        <v>288</v>
      </c>
      <c r="D2342" s="2" t="s">
        <v>289</v>
      </c>
      <c r="E2342" s="2" t="s">
        <v>290</v>
      </c>
      <c r="F2342" s="2" t="s">
        <v>10193</v>
      </c>
      <c r="G2342" s="2" t="s">
        <v>10193</v>
      </c>
      <c r="H2342" s="2" t="s">
        <v>10193</v>
      </c>
      <c r="I2342" s="2" t="s">
        <v>10194</v>
      </c>
      <c r="J2342" s="2" t="s">
        <v>293</v>
      </c>
      <c r="K2342" s="2" t="s">
        <v>985</v>
      </c>
      <c r="L2342" s="3">
        <v>29.9</v>
      </c>
      <c r="M2342" s="3">
        <v>31.4</v>
      </c>
      <c r="N2342" s="3">
        <v>64.99</v>
      </c>
      <c r="O2342" s="2" t="s">
        <v>243</v>
      </c>
      <c r="P2342" s="2" t="s">
        <v>270</v>
      </c>
      <c r="Q2342" s="2" t="s">
        <v>237</v>
      </c>
      <c r="R2342" s="2" t="s">
        <v>231</v>
      </c>
      <c r="S2342" s="2" t="s">
        <v>10195</v>
      </c>
      <c r="T2342" s="2" t="s">
        <v>362</v>
      </c>
      <c r="U2342" s="2" t="s">
        <v>298</v>
      </c>
      <c r="V2342" s="2" t="s">
        <v>239</v>
      </c>
      <c r="W2342" s="2" t="s">
        <v>273</v>
      </c>
      <c r="X2342" s="2" t="s">
        <v>231</v>
      </c>
      <c r="Y2342" s="2" t="s">
        <v>1763</v>
      </c>
      <c r="Z2342" s="4">
        <v>194</v>
      </c>
      <c r="AA2342" s="4">
        <f>=ROUNDDOWN(21.5555555555556,0)</f>
      </c>
      <c r="AB2342" s="5">
        <v>9</v>
      </c>
      <c r="AC2342" s="2" t="s">
        <v>730</v>
      </c>
      <c r="AD2342" s="4">
        <v>90</v>
      </c>
      <c r="AE2342" s="4">
        <v>90</v>
      </c>
      <c r="AF2342" s="6">
        <v>69</v>
      </c>
      <c r="AG2342" s="6"/>
      <c r="AH2342" s="7">
        <v>1</v>
      </c>
      <c r="AI2342" s="4"/>
      <c r="AJ2342" s="4">
        <f>=ROUNDDOWN({0},0)</f>
      </c>
      <c r="AK2342" s="5"/>
      <c r="AL2342" s="2" t="s">
        <v>231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231</v>
      </c>
      <c r="AW2342" s="8" t="s">
        <v>231</v>
      </c>
      <c r="AX2342" s="4" t="s">
        <v>231</v>
      </c>
      <c r="AY2342" s="8" t="s">
        <v>231</v>
      </c>
      <c r="AZ2342" s="7" t="s">
        <v>231</v>
      </c>
      <c r="BA2342" s="7" t="s">
        <v>231</v>
      </c>
      <c r="BB2342" s="7"/>
      <c r="BC2342" s="4" t="s">
        <v>231</v>
      </c>
      <c r="BD2342" s="8" t="s">
        <v>231</v>
      </c>
      <c r="BE2342" s="4" t="s">
        <v>231</v>
      </c>
      <c r="BF2342" s="8" t="s">
        <v>231</v>
      </c>
      <c r="BG2342" s="7" t="s">
        <v>231</v>
      </c>
      <c r="BH2342" s="7" t="s">
        <v>231</v>
      </c>
      <c r="BI2342" s="7"/>
      <c r="BJ2342" s="4">
        <v>32</v>
      </c>
      <c r="BK2342" s="8">
        <v>1012.49</v>
      </c>
      <c r="BL2342" s="2" t="s">
        <v>583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10200</v>
      </c>
      <c r="BV2342" s="2" t="s">
        <v>231</v>
      </c>
      <c r="BW2342" s="2" t="s">
        <v>231</v>
      </c>
      <c r="BX2342" s="2" t="s">
        <v>231</v>
      </c>
      <c r="BY2342" s="2" t="s">
        <v>277</v>
      </c>
      <c r="BZ2342" s="2" t="s">
        <v>243</v>
      </c>
      <c r="CA2342" s="2" t="s">
        <v>2727</v>
      </c>
      <c r="CB2342" s="2" t="s">
        <v>8110</v>
      </c>
      <c r="CC2342" s="2" t="s">
        <v>244</v>
      </c>
      <c r="CD2342" s="2" t="s">
        <v>231</v>
      </c>
      <c r="CE2342" s="4">
        <v>194</v>
      </c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>
        <v>90</v>
      </c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4"/>
      <c r="HH2342" s="4"/>
      <c r="HI2342" s="4"/>
      <c r="HJ2342" s="4"/>
      <c r="HK2342" s="4"/>
      <c r="HL2342" s="4"/>
    </row>
    <row r="2343">
      <c r="A2343" s="2" t="s">
        <v>10201</v>
      </c>
      <c r="B2343" s="2" t="s">
        <v>287</v>
      </c>
      <c r="C2343" s="2" t="s">
        <v>288</v>
      </c>
      <c r="D2343" s="2" t="s">
        <v>289</v>
      </c>
      <c r="E2343" s="2" t="s">
        <v>290</v>
      </c>
      <c r="F2343" s="2" t="s">
        <v>10193</v>
      </c>
      <c r="G2343" s="2" t="s">
        <v>10193</v>
      </c>
      <c r="H2343" s="2" t="s">
        <v>10193</v>
      </c>
      <c r="I2343" s="2" t="s">
        <v>10194</v>
      </c>
      <c r="J2343" s="2" t="s">
        <v>304</v>
      </c>
      <c r="K2343" s="2" t="s">
        <v>985</v>
      </c>
      <c r="L2343" s="3">
        <v>32.2</v>
      </c>
      <c r="M2343" s="3">
        <v>33.81</v>
      </c>
      <c r="N2343" s="3">
        <v>69.99</v>
      </c>
      <c r="O2343" s="2" t="s">
        <v>243</v>
      </c>
      <c r="P2343" s="2" t="s">
        <v>270</v>
      </c>
      <c r="Q2343" s="2" t="s">
        <v>237</v>
      </c>
      <c r="R2343" s="2" t="s">
        <v>231</v>
      </c>
      <c r="S2343" s="2" t="s">
        <v>10195</v>
      </c>
      <c r="T2343" s="2" t="s">
        <v>362</v>
      </c>
      <c r="U2343" s="2" t="s">
        <v>298</v>
      </c>
      <c r="V2343" s="2" t="s">
        <v>239</v>
      </c>
      <c r="W2343" s="2" t="s">
        <v>273</v>
      </c>
      <c r="X2343" s="2" t="s">
        <v>231</v>
      </c>
      <c r="Y2343" s="2" t="s">
        <v>1763</v>
      </c>
      <c r="Z2343" s="4">
        <v>32</v>
      </c>
      <c r="AA2343" s="4">
        <f>=ROUNDDOWN(16,0)</f>
      </c>
      <c r="AB2343" s="5">
        <v>2</v>
      </c>
      <c r="AC2343" s="2" t="s">
        <v>730</v>
      </c>
      <c r="AD2343" s="4">
        <v>20</v>
      </c>
      <c r="AE2343" s="4">
        <v>20</v>
      </c>
      <c r="AF2343" s="6">
        <v>69</v>
      </c>
      <c r="AG2343" s="6"/>
      <c r="AH2343" s="7">
        <v>1</v>
      </c>
      <c r="AI2343" s="4"/>
      <c r="AJ2343" s="4">
        <f>=ROUNDDOWN({0},0)</f>
      </c>
      <c r="AK2343" s="5"/>
      <c r="AL2343" s="2" t="s">
        <v>231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231</v>
      </c>
      <c r="AW2343" s="8" t="s">
        <v>231</v>
      </c>
      <c r="AX2343" s="4" t="s">
        <v>231</v>
      </c>
      <c r="AY2343" s="8" t="s">
        <v>231</v>
      </c>
      <c r="AZ2343" s="7" t="s">
        <v>231</v>
      </c>
      <c r="BA2343" s="7" t="s">
        <v>231</v>
      </c>
      <c r="BB2343" s="7"/>
      <c r="BC2343" s="4" t="s">
        <v>231</v>
      </c>
      <c r="BD2343" s="8" t="s">
        <v>231</v>
      </c>
      <c r="BE2343" s="4" t="s">
        <v>231</v>
      </c>
      <c r="BF2343" s="8" t="s">
        <v>231</v>
      </c>
      <c r="BG2343" s="7" t="s">
        <v>231</v>
      </c>
      <c r="BH2343" s="7" t="s">
        <v>231</v>
      </c>
      <c r="BI2343" s="7"/>
      <c r="BJ2343" s="4">
        <v>9</v>
      </c>
      <c r="BK2343" s="8">
        <v>315.26</v>
      </c>
      <c r="BL2343" s="2" t="s">
        <v>578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10202</v>
      </c>
      <c r="BV2343" s="2" t="s">
        <v>231</v>
      </c>
      <c r="BW2343" s="2" t="s">
        <v>231</v>
      </c>
      <c r="BX2343" s="2" t="s">
        <v>231</v>
      </c>
      <c r="BY2343" s="2" t="s">
        <v>277</v>
      </c>
      <c r="BZ2343" s="2" t="s">
        <v>243</v>
      </c>
      <c r="CA2343" s="2" t="s">
        <v>2727</v>
      </c>
      <c r="CB2343" s="2" t="s">
        <v>10203</v>
      </c>
      <c r="CC2343" s="2" t="s">
        <v>244</v>
      </c>
      <c r="CD2343" s="2" t="s">
        <v>231</v>
      </c>
      <c r="CE2343" s="4">
        <v>32</v>
      </c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>
        <v>20</v>
      </c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4"/>
      <c r="HH2343" s="4"/>
      <c r="HI2343" s="4"/>
      <c r="HJ2343" s="4"/>
      <c r="HK2343" s="4"/>
      <c r="HL2343" s="4"/>
    </row>
    <row r="2344">
      <c r="A2344" s="2" t="s">
        <v>10204</v>
      </c>
      <c r="B2344" s="2" t="s">
        <v>287</v>
      </c>
      <c r="C2344" s="2" t="s">
        <v>288</v>
      </c>
      <c r="D2344" s="2" t="s">
        <v>289</v>
      </c>
      <c r="E2344" s="2" t="s">
        <v>290</v>
      </c>
      <c r="F2344" s="2" t="s">
        <v>10193</v>
      </c>
      <c r="G2344" s="2" t="s">
        <v>10193</v>
      </c>
      <c r="H2344" s="2" t="s">
        <v>10193</v>
      </c>
      <c r="I2344" s="2" t="s">
        <v>10194</v>
      </c>
      <c r="J2344" s="2" t="s">
        <v>281</v>
      </c>
      <c r="K2344" s="2" t="s">
        <v>253</v>
      </c>
      <c r="L2344" s="3">
        <v>27</v>
      </c>
      <c r="M2344" s="3">
        <v>28.35</v>
      </c>
      <c r="N2344" s="3">
        <v>59.99</v>
      </c>
      <c r="O2344" s="2" t="s">
        <v>243</v>
      </c>
      <c r="P2344" s="2" t="s">
        <v>270</v>
      </c>
      <c r="Q2344" s="2" t="s">
        <v>237</v>
      </c>
      <c r="R2344" s="2" t="s">
        <v>231</v>
      </c>
      <c r="S2344" s="2" t="s">
        <v>10205</v>
      </c>
      <c r="T2344" s="2" t="s">
        <v>362</v>
      </c>
      <c r="U2344" s="2" t="s">
        <v>298</v>
      </c>
      <c r="V2344" s="2" t="s">
        <v>239</v>
      </c>
      <c r="W2344" s="2" t="s">
        <v>273</v>
      </c>
      <c r="X2344" s="2" t="s">
        <v>231</v>
      </c>
      <c r="Y2344" s="2" t="s">
        <v>1763</v>
      </c>
      <c r="Z2344" s="4">
        <v>104</v>
      </c>
      <c r="AA2344" s="4">
        <f>=ROUNDDOWN(26,0)</f>
      </c>
      <c r="AB2344" s="5">
        <v>4</v>
      </c>
      <c r="AC2344" s="2" t="s">
        <v>2049</v>
      </c>
      <c r="AD2344" s="4">
        <v>50</v>
      </c>
      <c r="AE2344" s="4">
        <v>110</v>
      </c>
      <c r="AF2344" s="6">
        <v>69</v>
      </c>
      <c r="AG2344" s="6"/>
      <c r="AH2344" s="7">
        <v>1</v>
      </c>
      <c r="AI2344" s="4"/>
      <c r="AJ2344" s="4">
        <f>=ROUNDDOWN({0},0)</f>
      </c>
      <c r="AK2344" s="5"/>
      <c r="AL2344" s="2" t="s">
        <v>231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231</v>
      </c>
      <c r="AW2344" s="8" t="s">
        <v>231</v>
      </c>
      <c r="AX2344" s="4" t="s">
        <v>231</v>
      </c>
      <c r="AY2344" s="8" t="s">
        <v>231</v>
      </c>
      <c r="AZ2344" s="7" t="s">
        <v>231</v>
      </c>
      <c r="BA2344" s="7" t="s">
        <v>231</v>
      </c>
      <c r="BB2344" s="7"/>
      <c r="BC2344" s="4" t="s">
        <v>231</v>
      </c>
      <c r="BD2344" s="8" t="s">
        <v>231</v>
      </c>
      <c r="BE2344" s="4" t="s">
        <v>231</v>
      </c>
      <c r="BF2344" s="8" t="s">
        <v>231</v>
      </c>
      <c r="BG2344" s="7" t="s">
        <v>231</v>
      </c>
      <c r="BH2344" s="7" t="s">
        <v>231</v>
      </c>
      <c r="BI2344" s="7"/>
      <c r="BJ2344" s="4">
        <v>9</v>
      </c>
      <c r="BK2344" s="8">
        <v>269.87</v>
      </c>
      <c r="BL2344" s="2" t="s">
        <v>10206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10207</v>
      </c>
      <c r="BV2344" s="2" t="s">
        <v>231</v>
      </c>
      <c r="BW2344" s="2" t="s">
        <v>231</v>
      </c>
      <c r="BX2344" s="2" t="s">
        <v>231</v>
      </c>
      <c r="BY2344" s="2" t="s">
        <v>277</v>
      </c>
      <c r="BZ2344" s="2" t="s">
        <v>243</v>
      </c>
      <c r="CA2344" s="2" t="s">
        <v>2727</v>
      </c>
      <c r="CB2344" s="2" t="s">
        <v>2907</v>
      </c>
      <c r="CC2344" s="2" t="s">
        <v>244</v>
      </c>
      <c r="CD2344" s="2" t="s">
        <v>231</v>
      </c>
      <c r="CE2344" s="4">
        <v>104</v>
      </c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>
        <v>50</v>
      </c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>
        <v>60</v>
      </c>
      <c r="HA2344" s="4"/>
      <c r="HB2344" s="4"/>
      <c r="HC2344" s="4"/>
      <c r="HD2344" s="4"/>
      <c r="HE2344" s="4"/>
      <c r="HF2344" s="4"/>
      <c r="HG2344" s="4"/>
      <c r="HH2344" s="4"/>
      <c r="HI2344" s="4"/>
      <c r="HJ2344" s="4"/>
      <c r="HK2344" s="4"/>
      <c r="HL2344" s="4"/>
    </row>
    <row r="2345">
      <c r="A2345" s="2" t="s">
        <v>10208</v>
      </c>
      <c r="B2345" s="2" t="s">
        <v>287</v>
      </c>
      <c r="C2345" s="2" t="s">
        <v>288</v>
      </c>
      <c r="D2345" s="2" t="s">
        <v>289</v>
      </c>
      <c r="E2345" s="2" t="s">
        <v>290</v>
      </c>
      <c r="F2345" s="2" t="s">
        <v>10193</v>
      </c>
      <c r="G2345" s="2" t="s">
        <v>10193</v>
      </c>
      <c r="H2345" s="2" t="s">
        <v>10193</v>
      </c>
      <c r="I2345" s="2" t="s">
        <v>10194</v>
      </c>
      <c r="J2345" s="2" t="s">
        <v>304</v>
      </c>
      <c r="K2345" s="2" t="s">
        <v>253</v>
      </c>
      <c r="L2345" s="3">
        <v>32.2</v>
      </c>
      <c r="M2345" s="3">
        <v>33.81</v>
      </c>
      <c r="N2345" s="3">
        <v>69.99</v>
      </c>
      <c r="O2345" s="2" t="s">
        <v>243</v>
      </c>
      <c r="P2345" s="2" t="s">
        <v>270</v>
      </c>
      <c r="Q2345" s="2" t="s">
        <v>237</v>
      </c>
      <c r="R2345" s="2" t="s">
        <v>231</v>
      </c>
      <c r="S2345" s="2" t="s">
        <v>10205</v>
      </c>
      <c r="T2345" s="2" t="s">
        <v>362</v>
      </c>
      <c r="U2345" s="2" t="s">
        <v>298</v>
      </c>
      <c r="V2345" s="2" t="s">
        <v>239</v>
      </c>
      <c r="W2345" s="2" t="s">
        <v>273</v>
      </c>
      <c r="X2345" s="2" t="s">
        <v>231</v>
      </c>
      <c r="Y2345" s="2" t="s">
        <v>1763</v>
      </c>
      <c r="Z2345" s="4">
        <v>157</v>
      </c>
      <c r="AA2345" s="4">
        <f>=ROUNDDOWN(52.3333333333333,0)</f>
      </c>
      <c r="AB2345" s="5">
        <v>3</v>
      </c>
      <c r="AC2345" s="2" t="s">
        <v>231</v>
      </c>
      <c r="AD2345" s="4"/>
      <c r="AE2345" s="4"/>
      <c r="AF2345" s="6">
        <v>69</v>
      </c>
      <c r="AG2345" s="6"/>
      <c r="AH2345" s="7">
        <v>1</v>
      </c>
      <c r="AI2345" s="4"/>
      <c r="AJ2345" s="4">
        <f>=ROUNDDOWN({0},0)</f>
      </c>
      <c r="AK2345" s="5"/>
      <c r="AL2345" s="2" t="s">
        <v>231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231</v>
      </c>
      <c r="AW2345" s="8" t="s">
        <v>231</v>
      </c>
      <c r="AX2345" s="4" t="s">
        <v>231</v>
      </c>
      <c r="AY2345" s="8" t="s">
        <v>231</v>
      </c>
      <c r="AZ2345" s="7" t="s">
        <v>231</v>
      </c>
      <c r="BA2345" s="7" t="s">
        <v>231</v>
      </c>
      <c r="BB2345" s="7"/>
      <c r="BC2345" s="4" t="s">
        <v>231</v>
      </c>
      <c r="BD2345" s="8" t="s">
        <v>231</v>
      </c>
      <c r="BE2345" s="4" t="s">
        <v>231</v>
      </c>
      <c r="BF2345" s="8" t="s">
        <v>231</v>
      </c>
      <c r="BG2345" s="7" t="s">
        <v>231</v>
      </c>
      <c r="BH2345" s="7" t="s">
        <v>231</v>
      </c>
      <c r="BI2345" s="7"/>
      <c r="BJ2345" s="4">
        <v>7</v>
      </c>
      <c r="BK2345" s="8">
        <v>244.05</v>
      </c>
      <c r="BL2345" s="2" t="s">
        <v>10209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10210</v>
      </c>
      <c r="BV2345" s="2" t="s">
        <v>231</v>
      </c>
      <c r="BW2345" s="2" t="s">
        <v>231</v>
      </c>
      <c r="BX2345" s="2" t="s">
        <v>231</v>
      </c>
      <c r="BY2345" s="2" t="s">
        <v>277</v>
      </c>
      <c r="BZ2345" s="2" t="s">
        <v>243</v>
      </c>
      <c r="CA2345" s="2" t="s">
        <v>2727</v>
      </c>
      <c r="CB2345" s="2" t="s">
        <v>10211</v>
      </c>
      <c r="CC2345" s="2" t="s">
        <v>244</v>
      </c>
      <c r="CD2345" s="2" t="s">
        <v>231</v>
      </c>
      <c r="CE2345" s="4">
        <v>157</v>
      </c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4"/>
      <c r="HH2345" s="4"/>
      <c r="HI2345" s="4"/>
      <c r="HJ2345" s="4"/>
      <c r="HK2345" s="4"/>
      <c r="HL2345" s="4"/>
    </row>
    <row r="2346">
      <c r="A2346" s="2" t="s">
        <v>10212</v>
      </c>
      <c r="B2346" s="2" t="s">
        <v>287</v>
      </c>
      <c r="C2346" s="2" t="s">
        <v>288</v>
      </c>
      <c r="D2346" s="2" t="s">
        <v>289</v>
      </c>
      <c r="E2346" s="2" t="s">
        <v>290</v>
      </c>
      <c r="F2346" s="2" t="s">
        <v>10193</v>
      </c>
      <c r="G2346" s="2" t="s">
        <v>10193</v>
      </c>
      <c r="H2346" s="2" t="s">
        <v>10193</v>
      </c>
      <c r="I2346" s="2" t="s">
        <v>10194</v>
      </c>
      <c r="J2346" s="2" t="s">
        <v>318</v>
      </c>
      <c r="K2346" s="2" t="s">
        <v>306</v>
      </c>
      <c r="L2346" s="3">
        <v>21.6</v>
      </c>
      <c r="M2346" s="3">
        <v>22.68</v>
      </c>
      <c r="N2346" s="3">
        <v>47.99</v>
      </c>
      <c r="O2346" s="2" t="s">
        <v>243</v>
      </c>
      <c r="P2346" s="2" t="s">
        <v>270</v>
      </c>
      <c r="Q2346" s="2" t="s">
        <v>237</v>
      </c>
      <c r="R2346" s="2" t="s">
        <v>231</v>
      </c>
      <c r="S2346" s="2" t="s">
        <v>10213</v>
      </c>
      <c r="T2346" s="2" t="s">
        <v>362</v>
      </c>
      <c r="U2346" s="2" t="s">
        <v>835</v>
      </c>
      <c r="V2346" s="2" t="s">
        <v>239</v>
      </c>
      <c r="W2346" s="2" t="s">
        <v>273</v>
      </c>
      <c r="X2346" s="2" t="s">
        <v>231</v>
      </c>
      <c r="Y2346" s="2" t="s">
        <v>1763</v>
      </c>
      <c r="Z2346" s="4">
        <v>77</v>
      </c>
      <c r="AA2346" s="4">
        <f>=ROUNDDOWN(29.6153846153846,0)</f>
      </c>
      <c r="AB2346" s="5">
        <v>2.6</v>
      </c>
      <c r="AC2346" s="2" t="s">
        <v>2049</v>
      </c>
      <c r="AD2346" s="4">
        <v>60</v>
      </c>
      <c r="AE2346" s="4">
        <v>140</v>
      </c>
      <c r="AF2346" s="6">
        <v>69</v>
      </c>
      <c r="AG2346" s="6"/>
      <c r="AH2346" s="7">
        <v>1</v>
      </c>
      <c r="AI2346" s="4"/>
      <c r="AJ2346" s="4">
        <f>=ROUNDDOWN({0},0)</f>
      </c>
      <c r="AK2346" s="5"/>
      <c r="AL2346" s="2" t="s">
        <v>231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 t="s">
        <v>231</v>
      </c>
      <c r="BD2346" s="8" t="s">
        <v>231</v>
      </c>
      <c r="BE2346" s="4" t="s">
        <v>231</v>
      </c>
      <c r="BF2346" s="8" t="s">
        <v>231</v>
      </c>
      <c r="BG2346" s="7" t="s">
        <v>231</v>
      </c>
      <c r="BH2346" s="7" t="s">
        <v>231</v>
      </c>
      <c r="BI2346" s="7"/>
      <c r="BJ2346" s="4">
        <v>10</v>
      </c>
      <c r="BK2346" s="8">
        <v>236.09</v>
      </c>
      <c r="BL2346" s="2" t="s">
        <v>10214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10215</v>
      </c>
      <c r="BV2346" s="2" t="s">
        <v>231</v>
      </c>
      <c r="BW2346" s="2" t="s">
        <v>231</v>
      </c>
      <c r="BX2346" s="2" t="s">
        <v>231</v>
      </c>
      <c r="BY2346" s="2" t="s">
        <v>277</v>
      </c>
      <c r="BZ2346" s="2" t="s">
        <v>243</v>
      </c>
      <c r="CA2346" s="2" t="s">
        <v>2727</v>
      </c>
      <c r="CB2346" s="2" t="s">
        <v>10216</v>
      </c>
      <c r="CC2346" s="2" t="s">
        <v>244</v>
      </c>
      <c r="CD2346" s="2" t="s">
        <v>231</v>
      </c>
      <c r="CE2346" s="4">
        <v>77</v>
      </c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>
        <v>60</v>
      </c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>
        <v>80</v>
      </c>
      <c r="HA2346" s="4"/>
      <c r="HB2346" s="4"/>
      <c r="HC2346" s="4"/>
      <c r="HD2346" s="4"/>
      <c r="HE2346" s="4"/>
      <c r="HF2346" s="4"/>
      <c r="HG2346" s="4"/>
      <c r="HH2346" s="4"/>
      <c r="HI2346" s="4"/>
      <c r="HJ2346" s="4"/>
      <c r="HK2346" s="4"/>
      <c r="HL2346" s="4"/>
    </row>
    <row r="2347">
      <c r="A2347" s="2" t="s">
        <v>10217</v>
      </c>
      <c r="B2347" s="2" t="s">
        <v>287</v>
      </c>
      <c r="C2347" s="2" t="s">
        <v>288</v>
      </c>
      <c r="D2347" s="2" t="s">
        <v>289</v>
      </c>
      <c r="E2347" s="2" t="s">
        <v>290</v>
      </c>
      <c r="F2347" s="2" t="s">
        <v>10193</v>
      </c>
      <c r="G2347" s="2" t="s">
        <v>10193</v>
      </c>
      <c r="H2347" s="2" t="s">
        <v>10193</v>
      </c>
      <c r="I2347" s="2" t="s">
        <v>10194</v>
      </c>
      <c r="J2347" s="2" t="s">
        <v>281</v>
      </c>
      <c r="K2347" s="2" t="s">
        <v>547</v>
      </c>
      <c r="L2347" s="3">
        <v>27</v>
      </c>
      <c r="M2347" s="3">
        <v>28.35</v>
      </c>
      <c r="N2347" s="3">
        <v>59.99</v>
      </c>
      <c r="O2347" s="2" t="s">
        <v>243</v>
      </c>
      <c r="P2347" s="2" t="s">
        <v>341</v>
      </c>
      <c r="Q2347" s="2" t="s">
        <v>237</v>
      </c>
      <c r="R2347" s="2" t="s">
        <v>231</v>
      </c>
      <c r="S2347" s="2" t="s">
        <v>10218</v>
      </c>
      <c r="T2347" s="2" t="s">
        <v>362</v>
      </c>
      <c r="U2347" s="2" t="s">
        <v>298</v>
      </c>
      <c r="V2347" s="2" t="s">
        <v>239</v>
      </c>
      <c r="W2347" s="2" t="s">
        <v>273</v>
      </c>
      <c r="X2347" s="2" t="s">
        <v>231</v>
      </c>
      <c r="Y2347" s="2" t="s">
        <v>1763</v>
      </c>
      <c r="Z2347" s="4">
        <v>129</v>
      </c>
      <c r="AA2347" s="4">
        <f>=ROUNDDOWN(32.25,0)</f>
      </c>
      <c r="AB2347" s="5">
        <v>4</v>
      </c>
      <c r="AC2347" s="2" t="s">
        <v>231</v>
      </c>
      <c r="AD2347" s="4"/>
      <c r="AE2347" s="4"/>
      <c r="AF2347" s="6">
        <v>70</v>
      </c>
      <c r="AG2347" s="6"/>
      <c r="AH2347" s="7">
        <v>1</v>
      </c>
      <c r="AI2347" s="4"/>
      <c r="AJ2347" s="4">
        <f>=ROUNDDOWN({0},0)</f>
      </c>
      <c r="AK2347" s="5"/>
      <c r="AL2347" s="2" t="s">
        <v>231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231</v>
      </c>
      <c r="AW2347" s="8" t="s">
        <v>231</v>
      </c>
      <c r="AX2347" s="4" t="s">
        <v>231</v>
      </c>
      <c r="AY2347" s="8" t="s">
        <v>231</v>
      </c>
      <c r="AZ2347" s="7" t="s">
        <v>231</v>
      </c>
      <c r="BA2347" s="7" t="s">
        <v>231</v>
      </c>
      <c r="BB2347" s="7"/>
      <c r="BC2347" s="4" t="s">
        <v>231</v>
      </c>
      <c r="BD2347" s="8" t="s">
        <v>231</v>
      </c>
      <c r="BE2347" s="4" t="s">
        <v>231</v>
      </c>
      <c r="BF2347" s="8" t="s">
        <v>231</v>
      </c>
      <c r="BG2347" s="7" t="s">
        <v>231</v>
      </c>
      <c r="BH2347" s="7" t="s">
        <v>231</v>
      </c>
      <c r="BI2347" s="7"/>
      <c r="BJ2347" s="4">
        <v>10</v>
      </c>
      <c r="BK2347" s="8">
        <v>296.08</v>
      </c>
      <c r="BL2347" s="2" t="s">
        <v>10219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10220</v>
      </c>
      <c r="BV2347" s="2" t="s">
        <v>231</v>
      </c>
      <c r="BW2347" s="2" t="s">
        <v>231</v>
      </c>
      <c r="BX2347" s="2" t="s">
        <v>231</v>
      </c>
      <c r="BY2347" s="2" t="s">
        <v>277</v>
      </c>
      <c r="BZ2347" s="2" t="s">
        <v>243</v>
      </c>
      <c r="CA2347" s="2" t="s">
        <v>2727</v>
      </c>
      <c r="CB2347" s="2" t="s">
        <v>10221</v>
      </c>
      <c r="CC2347" s="2" t="s">
        <v>244</v>
      </c>
      <c r="CD2347" s="2" t="s">
        <v>231</v>
      </c>
      <c r="CE2347" s="4">
        <v>129</v>
      </c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4"/>
      <c r="HH2347" s="4"/>
      <c r="HI2347" s="4"/>
      <c r="HJ2347" s="4"/>
      <c r="HK2347" s="4"/>
      <c r="HL2347" s="4"/>
    </row>
    <row r="2348">
      <c r="A2348" s="2" t="s">
        <v>10222</v>
      </c>
      <c r="B2348" s="2" t="s">
        <v>287</v>
      </c>
      <c r="C2348" s="2" t="s">
        <v>288</v>
      </c>
      <c r="D2348" s="2" t="s">
        <v>289</v>
      </c>
      <c r="E2348" s="2" t="s">
        <v>290</v>
      </c>
      <c r="F2348" s="2" t="s">
        <v>10193</v>
      </c>
      <c r="G2348" s="2" t="s">
        <v>10193</v>
      </c>
      <c r="H2348" s="2" t="s">
        <v>10193</v>
      </c>
      <c r="I2348" s="2" t="s">
        <v>10194</v>
      </c>
      <c r="J2348" s="2" t="s">
        <v>302</v>
      </c>
      <c r="K2348" s="2" t="s">
        <v>547</v>
      </c>
      <c r="L2348" s="3">
        <v>32.2</v>
      </c>
      <c r="M2348" s="3">
        <v>33.81</v>
      </c>
      <c r="N2348" s="3">
        <v>69.99</v>
      </c>
      <c r="O2348" s="2" t="s">
        <v>243</v>
      </c>
      <c r="P2348" s="2" t="s">
        <v>341</v>
      </c>
      <c r="Q2348" s="2" t="s">
        <v>237</v>
      </c>
      <c r="R2348" s="2" t="s">
        <v>231</v>
      </c>
      <c r="S2348" s="2" t="s">
        <v>10218</v>
      </c>
      <c r="T2348" s="2" t="s">
        <v>362</v>
      </c>
      <c r="U2348" s="2" t="s">
        <v>298</v>
      </c>
      <c r="V2348" s="2" t="s">
        <v>239</v>
      </c>
      <c r="W2348" s="2" t="s">
        <v>273</v>
      </c>
      <c r="X2348" s="2" t="s">
        <v>231</v>
      </c>
      <c r="Y2348" s="2" t="s">
        <v>1763</v>
      </c>
      <c r="Z2348" s="4">
        <v>124</v>
      </c>
      <c r="AA2348" s="4">
        <f>=ROUNDDOWN(20.6666666666667,0)</f>
      </c>
      <c r="AB2348" s="5">
        <v>6</v>
      </c>
      <c r="AC2348" s="2" t="s">
        <v>231</v>
      </c>
      <c r="AD2348" s="4"/>
      <c r="AE2348" s="4"/>
      <c r="AF2348" s="6">
        <v>70</v>
      </c>
      <c r="AG2348" s="6"/>
      <c r="AH2348" s="7">
        <v>1</v>
      </c>
      <c r="AI2348" s="4"/>
      <c r="AJ2348" s="4">
        <f>=ROUNDDOWN({0},0)</f>
      </c>
      <c r="AK2348" s="5"/>
      <c r="AL2348" s="2" t="s">
        <v>231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 t="s">
        <v>231</v>
      </c>
      <c r="AW2348" s="8" t="s">
        <v>231</v>
      </c>
      <c r="AX2348" s="4" t="s">
        <v>231</v>
      </c>
      <c r="AY2348" s="8" t="s">
        <v>231</v>
      </c>
      <c r="AZ2348" s="7" t="s">
        <v>231</v>
      </c>
      <c r="BA2348" s="7" t="s">
        <v>231</v>
      </c>
      <c r="BB2348" s="7"/>
      <c r="BC2348" s="4" t="s">
        <v>231</v>
      </c>
      <c r="BD2348" s="8" t="s">
        <v>231</v>
      </c>
      <c r="BE2348" s="4" t="s">
        <v>231</v>
      </c>
      <c r="BF2348" s="8" t="s">
        <v>231</v>
      </c>
      <c r="BG2348" s="7" t="s">
        <v>231</v>
      </c>
      <c r="BH2348" s="7" t="s">
        <v>231</v>
      </c>
      <c r="BI2348" s="7"/>
      <c r="BJ2348" s="4">
        <v>18</v>
      </c>
      <c r="BK2348" s="8">
        <v>637.85</v>
      </c>
      <c r="BL2348" s="2" t="s">
        <v>10223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10224</v>
      </c>
      <c r="BV2348" s="2" t="s">
        <v>231</v>
      </c>
      <c r="BW2348" s="2" t="s">
        <v>231</v>
      </c>
      <c r="BX2348" s="2" t="s">
        <v>231</v>
      </c>
      <c r="BY2348" s="2" t="s">
        <v>277</v>
      </c>
      <c r="BZ2348" s="2" t="s">
        <v>243</v>
      </c>
      <c r="CA2348" s="2" t="s">
        <v>2727</v>
      </c>
      <c r="CB2348" s="2" t="s">
        <v>3698</v>
      </c>
      <c r="CC2348" s="2" t="s">
        <v>244</v>
      </c>
      <c r="CD2348" s="2" t="s">
        <v>231</v>
      </c>
      <c r="CE2348" s="4">
        <v>124</v>
      </c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4"/>
      <c r="HH2348" s="4"/>
      <c r="HI2348" s="4"/>
      <c r="HJ2348" s="4"/>
      <c r="HK2348" s="4"/>
      <c r="HL2348" s="4"/>
    </row>
    <row r="2349">
      <c r="A2349" s="2" t="s">
        <v>10225</v>
      </c>
      <c r="B2349" s="2" t="s">
        <v>287</v>
      </c>
      <c r="C2349" s="2" t="s">
        <v>288</v>
      </c>
      <c r="D2349" s="2" t="s">
        <v>289</v>
      </c>
      <c r="E2349" s="2" t="s">
        <v>290</v>
      </c>
      <c r="F2349" s="2" t="s">
        <v>10193</v>
      </c>
      <c r="G2349" s="2" t="s">
        <v>10193</v>
      </c>
      <c r="H2349" s="2" t="s">
        <v>10193</v>
      </c>
      <c r="I2349" s="2" t="s">
        <v>10194</v>
      </c>
      <c r="J2349" s="2" t="s">
        <v>318</v>
      </c>
      <c r="K2349" s="2" t="s">
        <v>255</v>
      </c>
      <c r="L2349" s="3">
        <v>21.6</v>
      </c>
      <c r="M2349" s="3">
        <v>22.68</v>
      </c>
      <c r="N2349" s="3">
        <v>47.99</v>
      </c>
      <c r="O2349" s="2" t="s">
        <v>243</v>
      </c>
      <c r="P2349" s="2" t="s">
        <v>341</v>
      </c>
      <c r="Q2349" s="2" t="s">
        <v>237</v>
      </c>
      <c r="R2349" s="2" t="s">
        <v>231</v>
      </c>
      <c r="S2349" s="2" t="s">
        <v>10226</v>
      </c>
      <c r="T2349" s="2" t="s">
        <v>362</v>
      </c>
      <c r="U2349" s="2" t="s">
        <v>835</v>
      </c>
      <c r="V2349" s="2" t="s">
        <v>239</v>
      </c>
      <c r="W2349" s="2" t="s">
        <v>273</v>
      </c>
      <c r="X2349" s="2" t="s">
        <v>971</v>
      </c>
      <c r="Y2349" s="2" t="s">
        <v>5590</v>
      </c>
      <c r="Z2349" s="4">
        <v>54</v>
      </c>
      <c r="AA2349" s="4">
        <f>=ROUNDDOWN(18,0)</f>
      </c>
      <c r="AB2349" s="5">
        <v>3</v>
      </c>
      <c r="AC2349" s="2" t="s">
        <v>730</v>
      </c>
      <c r="AD2349" s="4">
        <v>80</v>
      </c>
      <c r="AE2349" s="4">
        <v>80</v>
      </c>
      <c r="AF2349" s="6">
        <v>70</v>
      </c>
      <c r="AG2349" s="6"/>
      <c r="AH2349" s="7">
        <v>1</v>
      </c>
      <c r="AI2349" s="4"/>
      <c r="AJ2349" s="4">
        <f>=ROUNDDOWN({0},0)</f>
      </c>
      <c r="AK2349" s="5"/>
      <c r="AL2349" s="2" t="s">
        <v>231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231</v>
      </c>
      <c r="AW2349" s="8" t="s">
        <v>231</v>
      </c>
      <c r="AX2349" s="4" t="s">
        <v>231</v>
      </c>
      <c r="AY2349" s="8" t="s">
        <v>231</v>
      </c>
      <c r="AZ2349" s="7" t="s">
        <v>231</v>
      </c>
      <c r="BA2349" s="7" t="s">
        <v>231</v>
      </c>
      <c r="BB2349" s="7"/>
      <c r="BC2349" s="4" t="s">
        <v>231</v>
      </c>
      <c r="BD2349" s="8" t="s">
        <v>231</v>
      </c>
      <c r="BE2349" s="4" t="s">
        <v>231</v>
      </c>
      <c r="BF2349" s="8" t="s">
        <v>231</v>
      </c>
      <c r="BG2349" s="7" t="s">
        <v>231</v>
      </c>
      <c r="BH2349" s="7" t="s">
        <v>231</v>
      </c>
      <c r="BI2349" s="7"/>
      <c r="BJ2349" s="4">
        <v>14</v>
      </c>
      <c r="BK2349" s="8">
        <v>332.14</v>
      </c>
      <c r="BL2349" s="2" t="s">
        <v>578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10227</v>
      </c>
      <c r="BV2349" s="2" t="s">
        <v>231</v>
      </c>
      <c r="BW2349" s="2" t="s">
        <v>231</v>
      </c>
      <c r="BX2349" s="2" t="s">
        <v>231</v>
      </c>
      <c r="BY2349" s="2" t="s">
        <v>277</v>
      </c>
      <c r="BZ2349" s="2" t="s">
        <v>243</v>
      </c>
      <c r="CA2349" s="2" t="s">
        <v>5002</v>
      </c>
      <c r="CB2349" s="2" t="s">
        <v>9274</v>
      </c>
      <c r="CC2349" s="2" t="s">
        <v>244</v>
      </c>
      <c r="CD2349" s="2" t="s">
        <v>231</v>
      </c>
      <c r="CE2349" s="4">
        <v>54</v>
      </c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>
        <v>80</v>
      </c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</row>
    <row r="2350">
      <c r="A2350" s="2" t="s">
        <v>10228</v>
      </c>
      <c r="B2350" s="2" t="s">
        <v>287</v>
      </c>
      <c r="C2350" s="2" t="s">
        <v>288</v>
      </c>
      <c r="D2350" s="2" t="s">
        <v>289</v>
      </c>
      <c r="E2350" s="2" t="s">
        <v>290</v>
      </c>
      <c r="F2350" s="2" t="s">
        <v>10193</v>
      </c>
      <c r="G2350" s="2" t="s">
        <v>10193</v>
      </c>
      <c r="H2350" s="2" t="s">
        <v>10193</v>
      </c>
      <c r="I2350" s="2" t="s">
        <v>10194</v>
      </c>
      <c r="J2350" s="2" t="s">
        <v>281</v>
      </c>
      <c r="K2350" s="2" t="s">
        <v>255</v>
      </c>
      <c r="L2350" s="3">
        <v>27</v>
      </c>
      <c r="M2350" s="3">
        <v>28.35</v>
      </c>
      <c r="N2350" s="3">
        <v>59.99</v>
      </c>
      <c r="O2350" s="2" t="s">
        <v>243</v>
      </c>
      <c r="P2350" s="2" t="s">
        <v>341</v>
      </c>
      <c r="Q2350" s="2" t="s">
        <v>237</v>
      </c>
      <c r="R2350" s="2" t="s">
        <v>231</v>
      </c>
      <c r="S2350" s="2" t="s">
        <v>10226</v>
      </c>
      <c r="T2350" s="2" t="s">
        <v>362</v>
      </c>
      <c r="U2350" s="2" t="s">
        <v>298</v>
      </c>
      <c r="V2350" s="2" t="s">
        <v>239</v>
      </c>
      <c r="W2350" s="2" t="s">
        <v>273</v>
      </c>
      <c r="X2350" s="2" t="s">
        <v>971</v>
      </c>
      <c r="Y2350" s="2" t="s">
        <v>5590</v>
      </c>
      <c r="Z2350" s="4">
        <v>93</v>
      </c>
      <c r="AA2350" s="4">
        <f>=ROUNDDOWN(31,0)</f>
      </c>
      <c r="AB2350" s="5">
        <v>3</v>
      </c>
      <c r="AC2350" s="2" t="s">
        <v>730</v>
      </c>
      <c r="AD2350" s="4">
        <v>50</v>
      </c>
      <c r="AE2350" s="4">
        <v>50</v>
      </c>
      <c r="AF2350" s="6">
        <v>70</v>
      </c>
      <c r="AG2350" s="6"/>
      <c r="AH2350" s="7">
        <v>1</v>
      </c>
      <c r="AI2350" s="4"/>
      <c r="AJ2350" s="4">
        <f>=ROUNDDOWN({0},0)</f>
      </c>
      <c r="AK2350" s="5"/>
      <c r="AL2350" s="2" t="s">
        <v>231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 t="s">
        <v>231</v>
      </c>
      <c r="AW2350" s="8" t="s">
        <v>231</v>
      </c>
      <c r="AX2350" s="4" t="s">
        <v>231</v>
      </c>
      <c r="AY2350" s="8" t="s">
        <v>231</v>
      </c>
      <c r="AZ2350" s="7" t="s">
        <v>231</v>
      </c>
      <c r="BA2350" s="7" t="s">
        <v>231</v>
      </c>
      <c r="BB2350" s="7"/>
      <c r="BC2350" s="4" t="s">
        <v>231</v>
      </c>
      <c r="BD2350" s="8" t="s">
        <v>231</v>
      </c>
      <c r="BE2350" s="4" t="s">
        <v>231</v>
      </c>
      <c r="BF2350" s="8" t="s">
        <v>231</v>
      </c>
      <c r="BG2350" s="7" t="s">
        <v>231</v>
      </c>
      <c r="BH2350" s="7" t="s">
        <v>231</v>
      </c>
      <c r="BI2350" s="7"/>
      <c r="BJ2350" s="4">
        <v>6</v>
      </c>
      <c r="BK2350" s="8">
        <v>178.22</v>
      </c>
      <c r="BL2350" s="2" t="s">
        <v>10229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10230</v>
      </c>
      <c r="BV2350" s="2" t="s">
        <v>231</v>
      </c>
      <c r="BW2350" s="2" t="s">
        <v>231</v>
      </c>
      <c r="BX2350" s="2" t="s">
        <v>231</v>
      </c>
      <c r="BY2350" s="2" t="s">
        <v>277</v>
      </c>
      <c r="BZ2350" s="2" t="s">
        <v>243</v>
      </c>
      <c r="CA2350" s="2" t="s">
        <v>5002</v>
      </c>
      <c r="CB2350" s="2" t="s">
        <v>10231</v>
      </c>
      <c r="CC2350" s="2" t="s">
        <v>244</v>
      </c>
      <c r="CD2350" s="2" t="s">
        <v>231</v>
      </c>
      <c r="CE2350" s="4">
        <v>93</v>
      </c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>
        <v>50</v>
      </c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4"/>
      <c r="HH2350" s="4"/>
      <c r="HI2350" s="4"/>
      <c r="HJ2350" s="4"/>
      <c r="HK2350" s="4"/>
      <c r="HL2350" s="4"/>
    </row>
    <row r="2351">
      <c r="A2351" s="2" t="s">
        <v>10232</v>
      </c>
      <c r="B2351" s="2" t="s">
        <v>287</v>
      </c>
      <c r="C2351" s="2" t="s">
        <v>288</v>
      </c>
      <c r="D2351" s="2" t="s">
        <v>289</v>
      </c>
      <c r="E2351" s="2" t="s">
        <v>290</v>
      </c>
      <c r="F2351" s="2" t="s">
        <v>10193</v>
      </c>
      <c r="G2351" s="2" t="s">
        <v>10193</v>
      </c>
      <c r="H2351" s="2" t="s">
        <v>10193</v>
      </c>
      <c r="I2351" s="2" t="s">
        <v>10194</v>
      </c>
      <c r="J2351" s="2" t="s">
        <v>304</v>
      </c>
      <c r="K2351" s="2" t="s">
        <v>255</v>
      </c>
      <c r="L2351" s="3">
        <v>32.2</v>
      </c>
      <c r="M2351" s="3">
        <v>33.81</v>
      </c>
      <c r="N2351" s="3">
        <v>69.99</v>
      </c>
      <c r="O2351" s="2" t="s">
        <v>243</v>
      </c>
      <c r="P2351" s="2" t="s">
        <v>341</v>
      </c>
      <c r="Q2351" s="2" t="s">
        <v>237</v>
      </c>
      <c r="R2351" s="2" t="s">
        <v>231</v>
      </c>
      <c r="S2351" s="2" t="s">
        <v>10226</v>
      </c>
      <c r="T2351" s="2" t="s">
        <v>362</v>
      </c>
      <c r="U2351" s="2" t="s">
        <v>298</v>
      </c>
      <c r="V2351" s="2" t="s">
        <v>239</v>
      </c>
      <c r="W2351" s="2" t="s">
        <v>273</v>
      </c>
      <c r="X2351" s="2" t="s">
        <v>971</v>
      </c>
      <c r="Y2351" s="2" t="s">
        <v>5590</v>
      </c>
      <c r="Z2351" s="4">
        <v>30</v>
      </c>
      <c r="AA2351" s="4">
        <f>=ROUNDDOWN(15,0)</f>
      </c>
      <c r="AB2351" s="5">
        <v>2</v>
      </c>
      <c r="AC2351" s="2" t="s">
        <v>730</v>
      </c>
      <c r="AD2351" s="4">
        <v>50</v>
      </c>
      <c r="AE2351" s="4">
        <v>50</v>
      </c>
      <c r="AF2351" s="6">
        <v>70</v>
      </c>
      <c r="AG2351" s="6"/>
      <c r="AH2351" s="7">
        <v>1</v>
      </c>
      <c r="AI2351" s="4"/>
      <c r="AJ2351" s="4">
        <f>=ROUNDDOWN({0},0)</f>
      </c>
      <c r="AK2351" s="5"/>
      <c r="AL2351" s="2" t="s">
        <v>231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231</v>
      </c>
      <c r="AW2351" s="8" t="s">
        <v>231</v>
      </c>
      <c r="AX2351" s="4" t="s">
        <v>231</v>
      </c>
      <c r="AY2351" s="8" t="s">
        <v>231</v>
      </c>
      <c r="AZ2351" s="7" t="s">
        <v>231</v>
      </c>
      <c r="BA2351" s="7" t="s">
        <v>231</v>
      </c>
      <c r="BB2351" s="7"/>
      <c r="BC2351" s="4" t="s">
        <v>231</v>
      </c>
      <c r="BD2351" s="8" t="s">
        <v>231</v>
      </c>
      <c r="BE2351" s="4" t="s">
        <v>231</v>
      </c>
      <c r="BF2351" s="8" t="s">
        <v>231</v>
      </c>
      <c r="BG2351" s="7" t="s">
        <v>231</v>
      </c>
      <c r="BH2351" s="7" t="s">
        <v>231</v>
      </c>
      <c r="BI2351" s="7"/>
      <c r="BJ2351" s="4">
        <v>7</v>
      </c>
      <c r="BK2351" s="8">
        <v>247.71</v>
      </c>
      <c r="BL2351" s="2" t="s">
        <v>2466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10233</v>
      </c>
      <c r="BV2351" s="2" t="s">
        <v>231</v>
      </c>
      <c r="BW2351" s="2" t="s">
        <v>231</v>
      </c>
      <c r="BX2351" s="2" t="s">
        <v>231</v>
      </c>
      <c r="BY2351" s="2" t="s">
        <v>277</v>
      </c>
      <c r="BZ2351" s="2" t="s">
        <v>243</v>
      </c>
      <c r="CA2351" s="2" t="s">
        <v>5002</v>
      </c>
      <c r="CB2351" s="2" t="s">
        <v>8681</v>
      </c>
      <c r="CC2351" s="2" t="s">
        <v>244</v>
      </c>
      <c r="CD2351" s="2" t="s">
        <v>231</v>
      </c>
      <c r="CE2351" s="4">
        <v>30</v>
      </c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>
        <v>50</v>
      </c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4"/>
      <c r="HH2351" s="4"/>
      <c r="HI2351" s="4"/>
      <c r="HJ2351" s="4"/>
      <c r="HK2351" s="4"/>
      <c r="HL2351" s="4"/>
    </row>
    <row r="2352">
      <c r="A2352" s="2" t="s">
        <v>10234</v>
      </c>
      <c r="B2352" s="2" t="s">
        <v>287</v>
      </c>
      <c r="C2352" s="2" t="s">
        <v>288</v>
      </c>
      <c r="D2352" s="2" t="s">
        <v>289</v>
      </c>
      <c r="E2352" s="2" t="s">
        <v>290</v>
      </c>
      <c r="F2352" s="2" t="s">
        <v>10193</v>
      </c>
      <c r="G2352" s="2" t="s">
        <v>10193</v>
      </c>
      <c r="H2352" s="2" t="s">
        <v>10193</v>
      </c>
      <c r="I2352" s="2" t="s">
        <v>10194</v>
      </c>
      <c r="J2352" s="2" t="s">
        <v>302</v>
      </c>
      <c r="K2352" s="2" t="s">
        <v>778</v>
      </c>
      <c r="L2352" s="3">
        <v>32.2</v>
      </c>
      <c r="M2352" s="3">
        <v>33.81</v>
      </c>
      <c r="N2352" s="3">
        <v>69.99</v>
      </c>
      <c r="O2352" s="2" t="s">
        <v>243</v>
      </c>
      <c r="P2352" s="2" t="s">
        <v>270</v>
      </c>
      <c r="Q2352" s="2" t="s">
        <v>237</v>
      </c>
      <c r="R2352" s="2" t="s">
        <v>231</v>
      </c>
      <c r="S2352" s="2" t="s">
        <v>10235</v>
      </c>
      <c r="T2352" s="2" t="s">
        <v>362</v>
      </c>
      <c r="U2352" s="2" t="s">
        <v>298</v>
      </c>
      <c r="V2352" s="2" t="s">
        <v>239</v>
      </c>
      <c r="W2352" s="2" t="s">
        <v>273</v>
      </c>
      <c r="X2352" s="2" t="s">
        <v>231</v>
      </c>
      <c r="Y2352" s="2" t="s">
        <v>1763</v>
      </c>
      <c r="Z2352" s="4">
        <v>141</v>
      </c>
      <c r="AA2352" s="4">
        <f>=ROUNDDOWN(23.5,0)</f>
      </c>
      <c r="AB2352" s="5">
        <v>6</v>
      </c>
      <c r="AC2352" s="2" t="s">
        <v>2049</v>
      </c>
      <c r="AD2352" s="4">
        <v>40</v>
      </c>
      <c r="AE2352" s="4">
        <v>110</v>
      </c>
      <c r="AF2352" s="6">
        <v>69</v>
      </c>
      <c r="AG2352" s="6"/>
      <c r="AH2352" s="7">
        <v>1</v>
      </c>
      <c r="AI2352" s="4"/>
      <c r="AJ2352" s="4">
        <f>=ROUNDDOWN({0},0)</f>
      </c>
      <c r="AK2352" s="5"/>
      <c r="AL2352" s="2" t="s">
        <v>231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231</v>
      </c>
      <c r="BD2352" s="8" t="s">
        <v>231</v>
      </c>
      <c r="BE2352" s="4" t="s">
        <v>231</v>
      </c>
      <c r="BF2352" s="8" t="s">
        <v>231</v>
      </c>
      <c r="BG2352" s="7" t="s">
        <v>231</v>
      </c>
      <c r="BH2352" s="7" t="s">
        <v>231</v>
      </c>
      <c r="BI2352" s="7"/>
      <c r="BJ2352" s="4">
        <v>16</v>
      </c>
      <c r="BK2352" s="8">
        <v>566.86</v>
      </c>
      <c r="BL2352" s="2" t="s">
        <v>10236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10237</v>
      </c>
      <c r="BV2352" s="2" t="s">
        <v>231</v>
      </c>
      <c r="BW2352" s="2" t="s">
        <v>231</v>
      </c>
      <c r="BX2352" s="2" t="s">
        <v>231</v>
      </c>
      <c r="BY2352" s="2" t="s">
        <v>277</v>
      </c>
      <c r="BZ2352" s="2" t="s">
        <v>243</v>
      </c>
      <c r="CA2352" s="2" t="s">
        <v>2727</v>
      </c>
      <c r="CB2352" s="2" t="s">
        <v>2907</v>
      </c>
      <c r="CC2352" s="2" t="s">
        <v>244</v>
      </c>
      <c r="CD2352" s="2" t="s">
        <v>231</v>
      </c>
      <c r="CE2352" s="4">
        <v>141</v>
      </c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>
        <v>40</v>
      </c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>
        <v>70</v>
      </c>
      <c r="HA2352" s="4"/>
      <c r="HB2352" s="4"/>
      <c r="HC2352" s="4"/>
      <c r="HD2352" s="4"/>
      <c r="HE2352" s="4"/>
      <c r="HF2352" s="4"/>
      <c r="HG2352" s="4"/>
      <c r="HH2352" s="4"/>
      <c r="HI2352" s="4"/>
      <c r="HJ2352" s="4"/>
      <c r="HK2352" s="4"/>
      <c r="HL2352" s="4"/>
    </row>
    <row r="2353">
      <c r="A2353" s="2" t="s">
        <v>10238</v>
      </c>
      <c r="B2353" s="2" t="s">
        <v>287</v>
      </c>
      <c r="C2353" s="2" t="s">
        <v>288</v>
      </c>
      <c r="D2353" s="2" t="s">
        <v>289</v>
      </c>
      <c r="E2353" s="2" t="s">
        <v>290</v>
      </c>
      <c r="F2353" s="2" t="s">
        <v>10193</v>
      </c>
      <c r="G2353" s="2" t="s">
        <v>10193</v>
      </c>
      <c r="H2353" s="2" t="s">
        <v>10193</v>
      </c>
      <c r="I2353" s="2" t="s">
        <v>10194</v>
      </c>
      <c r="J2353" s="2" t="s">
        <v>318</v>
      </c>
      <c r="K2353" s="2" t="s">
        <v>723</v>
      </c>
      <c r="L2353" s="3">
        <v>21.6</v>
      </c>
      <c r="M2353" s="3">
        <v>22.68</v>
      </c>
      <c r="N2353" s="3">
        <v>47.99</v>
      </c>
      <c r="O2353" s="2" t="s">
        <v>243</v>
      </c>
      <c r="P2353" s="2" t="s">
        <v>270</v>
      </c>
      <c r="Q2353" s="2" t="s">
        <v>237</v>
      </c>
      <c r="R2353" s="2" t="s">
        <v>231</v>
      </c>
      <c r="S2353" s="2" t="s">
        <v>10239</v>
      </c>
      <c r="T2353" s="2" t="s">
        <v>362</v>
      </c>
      <c r="U2353" s="2" t="s">
        <v>835</v>
      </c>
      <c r="V2353" s="2" t="s">
        <v>239</v>
      </c>
      <c r="W2353" s="2" t="s">
        <v>273</v>
      </c>
      <c r="X2353" s="2" t="s">
        <v>231</v>
      </c>
      <c r="Y2353" s="2" t="s">
        <v>1763</v>
      </c>
      <c r="Z2353" s="4">
        <v>49</v>
      </c>
      <c r="AA2353" s="4">
        <f>=ROUNDDOWN(16.3333333333333,0)</f>
      </c>
      <c r="AB2353" s="5">
        <v>3</v>
      </c>
      <c r="AC2353" s="2" t="s">
        <v>2049</v>
      </c>
      <c r="AD2353" s="4">
        <v>40</v>
      </c>
      <c r="AE2353" s="4">
        <v>120</v>
      </c>
      <c r="AF2353" s="6">
        <v>69</v>
      </c>
      <c r="AG2353" s="6"/>
      <c r="AH2353" s="7">
        <v>1</v>
      </c>
      <c r="AI2353" s="4"/>
      <c r="AJ2353" s="4">
        <f>=ROUNDDOWN({0},0)</f>
      </c>
      <c r="AK2353" s="5"/>
      <c r="AL2353" s="2" t="s">
        <v>231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231</v>
      </c>
      <c r="AW2353" s="8" t="s">
        <v>231</v>
      </c>
      <c r="AX2353" s="4" t="s">
        <v>231</v>
      </c>
      <c r="AY2353" s="8" t="s">
        <v>231</v>
      </c>
      <c r="AZ2353" s="7" t="s">
        <v>231</v>
      </c>
      <c r="BA2353" s="7" t="s">
        <v>231</v>
      </c>
      <c r="BB2353" s="7"/>
      <c r="BC2353" s="4" t="s">
        <v>231</v>
      </c>
      <c r="BD2353" s="8" t="s">
        <v>231</v>
      </c>
      <c r="BE2353" s="4" t="s">
        <v>231</v>
      </c>
      <c r="BF2353" s="8" t="s">
        <v>231</v>
      </c>
      <c r="BG2353" s="7" t="s">
        <v>231</v>
      </c>
      <c r="BH2353" s="7" t="s">
        <v>231</v>
      </c>
      <c r="BI2353" s="7"/>
      <c r="BJ2353" s="4">
        <v>10</v>
      </c>
      <c r="BK2353" s="8">
        <v>236.75</v>
      </c>
      <c r="BL2353" s="2" t="s">
        <v>678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10240</v>
      </c>
      <c r="BV2353" s="2" t="s">
        <v>231</v>
      </c>
      <c r="BW2353" s="2" t="s">
        <v>231</v>
      </c>
      <c r="BX2353" s="2" t="s">
        <v>231</v>
      </c>
      <c r="BY2353" s="2" t="s">
        <v>277</v>
      </c>
      <c r="BZ2353" s="2" t="s">
        <v>243</v>
      </c>
      <c r="CA2353" s="2" t="s">
        <v>2727</v>
      </c>
      <c r="CB2353" s="2" t="s">
        <v>4380</v>
      </c>
      <c r="CC2353" s="2" t="s">
        <v>244</v>
      </c>
      <c r="CD2353" s="2" t="s">
        <v>231</v>
      </c>
      <c r="CE2353" s="4">
        <v>49</v>
      </c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>
        <v>40</v>
      </c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>
        <v>80</v>
      </c>
      <c r="HA2353" s="4"/>
      <c r="HB2353" s="4"/>
      <c r="HC2353" s="4"/>
      <c r="HD2353" s="4"/>
      <c r="HE2353" s="4"/>
      <c r="HF2353" s="4"/>
      <c r="HG2353" s="4"/>
      <c r="HH2353" s="4"/>
      <c r="HI2353" s="4"/>
      <c r="HJ2353" s="4"/>
      <c r="HK2353" s="4"/>
      <c r="HL2353" s="4"/>
    </row>
    <row r="2354">
      <c r="A2354" s="2" t="s">
        <v>10241</v>
      </c>
      <c r="B2354" s="2" t="s">
        <v>287</v>
      </c>
      <c r="C2354" s="2" t="s">
        <v>288</v>
      </c>
      <c r="D2354" s="2" t="s">
        <v>289</v>
      </c>
      <c r="E2354" s="2" t="s">
        <v>290</v>
      </c>
      <c r="F2354" s="2" t="s">
        <v>10193</v>
      </c>
      <c r="G2354" s="2" t="s">
        <v>10193</v>
      </c>
      <c r="H2354" s="2" t="s">
        <v>10193</v>
      </c>
      <c r="I2354" s="2" t="s">
        <v>10194</v>
      </c>
      <c r="J2354" s="2" t="s">
        <v>281</v>
      </c>
      <c r="K2354" s="2" t="s">
        <v>723</v>
      </c>
      <c r="L2354" s="3">
        <v>27</v>
      </c>
      <c r="M2354" s="3">
        <v>28.35</v>
      </c>
      <c r="N2354" s="3">
        <v>59.99</v>
      </c>
      <c r="O2354" s="2" t="s">
        <v>243</v>
      </c>
      <c r="P2354" s="2" t="s">
        <v>270</v>
      </c>
      <c r="Q2354" s="2" t="s">
        <v>237</v>
      </c>
      <c r="R2354" s="2" t="s">
        <v>231</v>
      </c>
      <c r="S2354" s="2" t="s">
        <v>10239</v>
      </c>
      <c r="T2354" s="2" t="s">
        <v>362</v>
      </c>
      <c r="U2354" s="2" t="s">
        <v>298</v>
      </c>
      <c r="V2354" s="2" t="s">
        <v>239</v>
      </c>
      <c r="W2354" s="2" t="s">
        <v>273</v>
      </c>
      <c r="X2354" s="2" t="s">
        <v>231</v>
      </c>
      <c r="Y2354" s="2" t="s">
        <v>1763</v>
      </c>
      <c r="Z2354" s="4">
        <v>155</v>
      </c>
      <c r="AA2354" s="4">
        <f>=ROUNDDOWN(51.6666666666667,0)</f>
      </c>
      <c r="AB2354" s="5">
        <v>3</v>
      </c>
      <c r="AC2354" s="2" t="s">
        <v>383</v>
      </c>
      <c r="AD2354" s="4">
        <v>80</v>
      </c>
      <c r="AE2354" s="4">
        <v>80</v>
      </c>
      <c r="AF2354" s="6">
        <v>69</v>
      </c>
      <c r="AG2354" s="6"/>
      <c r="AH2354" s="7">
        <v>1</v>
      </c>
      <c r="AI2354" s="4"/>
      <c r="AJ2354" s="4">
        <f>=ROUNDDOWN({0},0)</f>
      </c>
      <c r="AK2354" s="5"/>
      <c r="AL2354" s="2" t="s">
        <v>231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231</v>
      </c>
      <c r="AW2354" s="8" t="s">
        <v>231</v>
      </c>
      <c r="AX2354" s="4" t="s">
        <v>231</v>
      </c>
      <c r="AY2354" s="8" t="s">
        <v>231</v>
      </c>
      <c r="AZ2354" s="7" t="s">
        <v>231</v>
      </c>
      <c r="BA2354" s="7" t="s">
        <v>231</v>
      </c>
      <c r="BB2354" s="7"/>
      <c r="BC2354" s="4" t="s">
        <v>231</v>
      </c>
      <c r="BD2354" s="8" t="s">
        <v>231</v>
      </c>
      <c r="BE2354" s="4" t="s">
        <v>231</v>
      </c>
      <c r="BF2354" s="8" t="s">
        <v>231</v>
      </c>
      <c r="BG2354" s="7" t="s">
        <v>231</v>
      </c>
      <c r="BH2354" s="7" t="s">
        <v>231</v>
      </c>
      <c r="BI2354" s="7"/>
      <c r="BJ2354" s="4">
        <v>8</v>
      </c>
      <c r="BK2354" s="8">
        <v>223.26</v>
      </c>
      <c r="BL2354" s="2" t="s">
        <v>10242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10243</v>
      </c>
      <c r="BV2354" s="2" t="s">
        <v>231</v>
      </c>
      <c r="BW2354" s="2" t="s">
        <v>231</v>
      </c>
      <c r="BX2354" s="2" t="s">
        <v>231</v>
      </c>
      <c r="BY2354" s="2" t="s">
        <v>277</v>
      </c>
      <c r="BZ2354" s="2" t="s">
        <v>243</v>
      </c>
      <c r="CA2354" s="2" t="s">
        <v>2727</v>
      </c>
      <c r="CB2354" s="2" t="s">
        <v>10244</v>
      </c>
      <c r="CC2354" s="2" t="s">
        <v>244</v>
      </c>
      <c r="CD2354" s="2" t="s">
        <v>231</v>
      </c>
      <c r="CE2354" s="4">
        <v>155</v>
      </c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>
        <v>80</v>
      </c>
      <c r="HA2354" s="4"/>
      <c r="HB2354" s="4"/>
      <c r="HC2354" s="4"/>
      <c r="HD2354" s="4"/>
      <c r="HE2354" s="4"/>
      <c r="HF2354" s="4"/>
      <c r="HG2354" s="4"/>
      <c r="HH2354" s="4"/>
      <c r="HI2354" s="4"/>
      <c r="HJ2354" s="4"/>
      <c r="HK2354" s="4"/>
      <c r="HL2354" s="4"/>
    </row>
    <row r="2355">
      <c r="A2355" s="2" t="s">
        <v>10245</v>
      </c>
      <c r="B2355" s="2" t="s">
        <v>287</v>
      </c>
      <c r="C2355" s="2" t="s">
        <v>288</v>
      </c>
      <c r="D2355" s="2" t="s">
        <v>289</v>
      </c>
      <c r="E2355" s="2" t="s">
        <v>290</v>
      </c>
      <c r="F2355" s="2" t="s">
        <v>10193</v>
      </c>
      <c r="G2355" s="2" t="s">
        <v>10193</v>
      </c>
      <c r="H2355" s="2" t="s">
        <v>10193</v>
      </c>
      <c r="I2355" s="2" t="s">
        <v>10194</v>
      </c>
      <c r="J2355" s="2" t="s">
        <v>302</v>
      </c>
      <c r="K2355" s="2" t="s">
        <v>723</v>
      </c>
      <c r="L2355" s="3">
        <v>32.2</v>
      </c>
      <c r="M2355" s="3">
        <v>33.81</v>
      </c>
      <c r="N2355" s="3">
        <v>69.99</v>
      </c>
      <c r="O2355" s="2" t="s">
        <v>243</v>
      </c>
      <c r="P2355" s="2" t="s">
        <v>270</v>
      </c>
      <c r="Q2355" s="2" t="s">
        <v>237</v>
      </c>
      <c r="R2355" s="2" t="s">
        <v>231</v>
      </c>
      <c r="S2355" s="2" t="s">
        <v>10239</v>
      </c>
      <c r="T2355" s="2" t="s">
        <v>362</v>
      </c>
      <c r="U2355" s="2" t="s">
        <v>298</v>
      </c>
      <c r="V2355" s="2" t="s">
        <v>239</v>
      </c>
      <c r="W2355" s="2" t="s">
        <v>273</v>
      </c>
      <c r="X2355" s="2" t="s">
        <v>231</v>
      </c>
      <c r="Y2355" s="2" t="s">
        <v>1763</v>
      </c>
      <c r="Z2355" s="4">
        <v>202</v>
      </c>
      <c r="AA2355" s="4">
        <f>=ROUNDDOWN(33.6666666666667,0)</f>
      </c>
      <c r="AB2355" s="5">
        <v>6</v>
      </c>
      <c r="AC2355" s="2" t="s">
        <v>383</v>
      </c>
      <c r="AD2355" s="4">
        <v>130</v>
      </c>
      <c r="AE2355" s="4">
        <v>130</v>
      </c>
      <c r="AF2355" s="6">
        <v>69</v>
      </c>
      <c r="AG2355" s="6"/>
      <c r="AH2355" s="7">
        <v>1</v>
      </c>
      <c r="AI2355" s="4"/>
      <c r="AJ2355" s="4">
        <f>=ROUNDDOWN({0},0)</f>
      </c>
      <c r="AK2355" s="5"/>
      <c r="AL2355" s="2" t="s">
        <v>231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231</v>
      </c>
      <c r="AW2355" s="8" t="s">
        <v>231</v>
      </c>
      <c r="AX2355" s="4" t="s">
        <v>231</v>
      </c>
      <c r="AY2355" s="8" t="s">
        <v>231</v>
      </c>
      <c r="AZ2355" s="7" t="s">
        <v>231</v>
      </c>
      <c r="BA2355" s="7" t="s">
        <v>231</v>
      </c>
      <c r="BB2355" s="7"/>
      <c r="BC2355" s="4" t="s">
        <v>231</v>
      </c>
      <c r="BD2355" s="8" t="s">
        <v>231</v>
      </c>
      <c r="BE2355" s="4" t="s">
        <v>231</v>
      </c>
      <c r="BF2355" s="8" t="s">
        <v>231</v>
      </c>
      <c r="BG2355" s="7" t="s">
        <v>231</v>
      </c>
      <c r="BH2355" s="7" t="s">
        <v>231</v>
      </c>
      <c r="BI2355" s="7"/>
      <c r="BJ2355" s="4">
        <v>23</v>
      </c>
      <c r="BK2355" s="8">
        <v>800.43</v>
      </c>
      <c r="BL2355" s="2" t="s">
        <v>10246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10247</v>
      </c>
      <c r="BV2355" s="2" t="s">
        <v>231</v>
      </c>
      <c r="BW2355" s="2" t="s">
        <v>231</v>
      </c>
      <c r="BX2355" s="2" t="s">
        <v>231</v>
      </c>
      <c r="BY2355" s="2" t="s">
        <v>277</v>
      </c>
      <c r="BZ2355" s="2" t="s">
        <v>243</v>
      </c>
      <c r="CA2355" s="2" t="s">
        <v>2727</v>
      </c>
      <c r="CB2355" s="2" t="s">
        <v>10216</v>
      </c>
      <c r="CC2355" s="2" t="s">
        <v>244</v>
      </c>
      <c r="CD2355" s="2" t="s">
        <v>231</v>
      </c>
      <c r="CE2355" s="4">
        <v>202</v>
      </c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>
        <v>130</v>
      </c>
      <c r="HA2355" s="4"/>
      <c r="HB2355" s="4"/>
      <c r="HC2355" s="4"/>
      <c r="HD2355" s="4"/>
      <c r="HE2355" s="4"/>
      <c r="HF2355" s="4"/>
      <c r="HG2355" s="4"/>
      <c r="HH2355" s="4"/>
      <c r="HI2355" s="4"/>
      <c r="HJ2355" s="4"/>
      <c r="HK2355" s="4"/>
      <c r="HL2355" s="4"/>
    </row>
    <row r="2356">
      <c r="A2356" s="2" t="s">
        <v>10248</v>
      </c>
      <c r="B2356" s="2" t="s">
        <v>287</v>
      </c>
      <c r="C2356" s="2" t="s">
        <v>288</v>
      </c>
      <c r="D2356" s="2" t="s">
        <v>289</v>
      </c>
      <c r="E2356" s="2" t="s">
        <v>290</v>
      </c>
      <c r="F2356" s="2" t="s">
        <v>10193</v>
      </c>
      <c r="G2356" s="2" t="s">
        <v>10193</v>
      </c>
      <c r="H2356" s="2" t="s">
        <v>10193</v>
      </c>
      <c r="I2356" s="2" t="s">
        <v>10194</v>
      </c>
      <c r="J2356" s="2" t="s">
        <v>302</v>
      </c>
      <c r="K2356" s="2" t="s">
        <v>319</v>
      </c>
      <c r="L2356" s="3">
        <v>32.2</v>
      </c>
      <c r="M2356" s="3">
        <v>33.81</v>
      </c>
      <c r="N2356" s="3">
        <v>69.99</v>
      </c>
      <c r="O2356" s="2" t="s">
        <v>243</v>
      </c>
      <c r="P2356" s="2" t="s">
        <v>270</v>
      </c>
      <c r="Q2356" s="2" t="s">
        <v>237</v>
      </c>
      <c r="R2356" s="2" t="s">
        <v>231</v>
      </c>
      <c r="S2356" s="2" t="s">
        <v>10249</v>
      </c>
      <c r="T2356" s="2" t="s">
        <v>362</v>
      </c>
      <c r="U2356" s="2" t="s">
        <v>298</v>
      </c>
      <c r="V2356" s="2" t="s">
        <v>239</v>
      </c>
      <c r="W2356" s="2" t="s">
        <v>273</v>
      </c>
      <c r="X2356" s="2" t="s">
        <v>231</v>
      </c>
      <c r="Y2356" s="2" t="s">
        <v>1763</v>
      </c>
      <c r="Z2356" s="4">
        <v>342</v>
      </c>
      <c r="AA2356" s="4">
        <f>=ROUNDDOWN(26.3076923076923,0)</f>
      </c>
      <c r="AB2356" s="5">
        <v>13</v>
      </c>
      <c r="AC2356" s="2" t="s">
        <v>730</v>
      </c>
      <c r="AD2356" s="4">
        <v>70</v>
      </c>
      <c r="AE2356" s="4">
        <v>140</v>
      </c>
      <c r="AF2356" s="6">
        <v>69</v>
      </c>
      <c r="AG2356" s="6"/>
      <c r="AH2356" s="7">
        <v>1</v>
      </c>
      <c r="AI2356" s="4"/>
      <c r="AJ2356" s="4">
        <f>=ROUNDDOWN({0},0)</f>
      </c>
      <c r="AK2356" s="5"/>
      <c r="AL2356" s="2" t="s">
        <v>231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231</v>
      </c>
      <c r="AW2356" s="8" t="s">
        <v>231</v>
      </c>
      <c r="AX2356" s="4" t="s">
        <v>231</v>
      </c>
      <c r="AY2356" s="8" t="s">
        <v>231</v>
      </c>
      <c r="AZ2356" s="7" t="s">
        <v>231</v>
      </c>
      <c r="BA2356" s="7" t="s">
        <v>231</v>
      </c>
      <c r="BB2356" s="7"/>
      <c r="BC2356" s="4" t="s">
        <v>231</v>
      </c>
      <c r="BD2356" s="8" t="s">
        <v>231</v>
      </c>
      <c r="BE2356" s="4" t="s">
        <v>231</v>
      </c>
      <c r="BF2356" s="8" t="s">
        <v>231</v>
      </c>
      <c r="BG2356" s="7" t="s">
        <v>231</v>
      </c>
      <c r="BH2356" s="7" t="s">
        <v>231</v>
      </c>
      <c r="BI2356" s="7"/>
      <c r="BJ2356" s="4">
        <v>29</v>
      </c>
      <c r="BK2356" s="8">
        <v>1073.92</v>
      </c>
      <c r="BL2356" s="2" t="s">
        <v>10250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10251</v>
      </c>
      <c r="BV2356" s="2" t="s">
        <v>231</v>
      </c>
      <c r="BW2356" s="2" t="s">
        <v>231</v>
      </c>
      <c r="BX2356" s="2" t="s">
        <v>231</v>
      </c>
      <c r="BY2356" s="2" t="s">
        <v>277</v>
      </c>
      <c r="BZ2356" s="2" t="s">
        <v>243</v>
      </c>
      <c r="CA2356" s="2" t="s">
        <v>2727</v>
      </c>
      <c r="CB2356" s="2" t="s">
        <v>10252</v>
      </c>
      <c r="CC2356" s="2" t="s">
        <v>244</v>
      </c>
      <c r="CD2356" s="2" t="s">
        <v>231</v>
      </c>
      <c r="CE2356" s="4">
        <v>342</v>
      </c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>
        <v>70</v>
      </c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>
        <v>70</v>
      </c>
      <c r="HA2356" s="4"/>
      <c r="HB2356" s="4"/>
      <c r="HC2356" s="4"/>
      <c r="HD2356" s="4"/>
      <c r="HE2356" s="4"/>
      <c r="HF2356" s="4"/>
      <c r="HG2356" s="4"/>
      <c r="HH2356" s="4"/>
      <c r="HI2356" s="4"/>
      <c r="HJ2356" s="4"/>
      <c r="HK2356" s="4"/>
      <c r="HL2356" s="4"/>
    </row>
    <row r="2357">
      <c r="A2357" s="2" t="s">
        <v>10253</v>
      </c>
      <c r="B2357" s="2" t="s">
        <v>287</v>
      </c>
      <c r="C2357" s="2" t="s">
        <v>288</v>
      </c>
      <c r="D2357" s="2" t="s">
        <v>289</v>
      </c>
      <c r="E2357" s="2" t="s">
        <v>290</v>
      </c>
      <c r="F2357" s="2" t="s">
        <v>10193</v>
      </c>
      <c r="G2357" s="2" t="s">
        <v>10193</v>
      </c>
      <c r="H2357" s="2" t="s">
        <v>10193</v>
      </c>
      <c r="I2357" s="2" t="s">
        <v>10194</v>
      </c>
      <c r="J2357" s="2" t="s">
        <v>304</v>
      </c>
      <c r="K2357" s="2" t="s">
        <v>319</v>
      </c>
      <c r="L2357" s="3">
        <v>32.2</v>
      </c>
      <c r="M2357" s="3">
        <v>33.81</v>
      </c>
      <c r="N2357" s="3">
        <v>69.99</v>
      </c>
      <c r="O2357" s="2" t="s">
        <v>243</v>
      </c>
      <c r="P2357" s="2" t="s">
        <v>270</v>
      </c>
      <c r="Q2357" s="2" t="s">
        <v>237</v>
      </c>
      <c r="R2357" s="2" t="s">
        <v>231</v>
      </c>
      <c r="S2357" s="2" t="s">
        <v>10249</v>
      </c>
      <c r="T2357" s="2" t="s">
        <v>362</v>
      </c>
      <c r="U2357" s="2" t="s">
        <v>298</v>
      </c>
      <c r="V2357" s="2" t="s">
        <v>239</v>
      </c>
      <c r="W2357" s="2" t="s">
        <v>273</v>
      </c>
      <c r="X2357" s="2" t="s">
        <v>231</v>
      </c>
      <c r="Y2357" s="2" t="s">
        <v>1763</v>
      </c>
      <c r="Z2357" s="4">
        <v>69</v>
      </c>
      <c r="AA2357" s="4">
        <f>=ROUNDDOWN(13.8,0)</f>
      </c>
      <c r="AB2357" s="5">
        <v>5</v>
      </c>
      <c r="AC2357" s="2" t="s">
        <v>730</v>
      </c>
      <c r="AD2357" s="4">
        <v>70</v>
      </c>
      <c r="AE2357" s="4">
        <v>140</v>
      </c>
      <c r="AF2357" s="6">
        <v>69</v>
      </c>
      <c r="AG2357" s="6"/>
      <c r="AH2357" s="7">
        <v>1</v>
      </c>
      <c r="AI2357" s="4"/>
      <c r="AJ2357" s="4">
        <f>=ROUNDDOWN({0},0)</f>
      </c>
      <c r="AK2357" s="5"/>
      <c r="AL2357" s="2" t="s">
        <v>231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 t="s">
        <v>231</v>
      </c>
      <c r="AW2357" s="8" t="s">
        <v>231</v>
      </c>
      <c r="AX2357" s="4" t="s">
        <v>231</v>
      </c>
      <c r="AY2357" s="8" t="s">
        <v>231</v>
      </c>
      <c r="AZ2357" s="7" t="s">
        <v>231</v>
      </c>
      <c r="BA2357" s="7" t="s">
        <v>231</v>
      </c>
      <c r="BB2357" s="7"/>
      <c r="BC2357" s="4" t="s">
        <v>231</v>
      </c>
      <c r="BD2357" s="8" t="s">
        <v>231</v>
      </c>
      <c r="BE2357" s="4" t="s">
        <v>231</v>
      </c>
      <c r="BF2357" s="8" t="s">
        <v>231</v>
      </c>
      <c r="BG2357" s="7" t="s">
        <v>231</v>
      </c>
      <c r="BH2357" s="7" t="s">
        <v>231</v>
      </c>
      <c r="BI2357" s="7"/>
      <c r="BJ2357" s="4">
        <v>14</v>
      </c>
      <c r="BK2357" s="8">
        <v>485.47</v>
      </c>
      <c r="BL2357" s="2" t="s">
        <v>10254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10255</v>
      </c>
      <c r="BV2357" s="2" t="s">
        <v>231</v>
      </c>
      <c r="BW2357" s="2" t="s">
        <v>231</v>
      </c>
      <c r="BX2357" s="2" t="s">
        <v>231</v>
      </c>
      <c r="BY2357" s="2" t="s">
        <v>277</v>
      </c>
      <c r="BZ2357" s="2" t="s">
        <v>243</v>
      </c>
      <c r="CA2357" s="2" t="s">
        <v>2727</v>
      </c>
      <c r="CB2357" s="2" t="s">
        <v>7892</v>
      </c>
      <c r="CC2357" s="2" t="s">
        <v>244</v>
      </c>
      <c r="CD2357" s="2" t="s">
        <v>231</v>
      </c>
      <c r="CE2357" s="4">
        <v>69</v>
      </c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>
        <v>70</v>
      </c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>
        <v>40</v>
      </c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>
        <v>30</v>
      </c>
      <c r="HA2357" s="4"/>
      <c r="HB2357" s="4"/>
      <c r="HC2357" s="4"/>
      <c r="HD2357" s="4"/>
      <c r="HE2357" s="4"/>
      <c r="HF2357" s="4"/>
      <c r="HG2357" s="4"/>
      <c r="HH2357" s="4"/>
      <c r="HI2357" s="4"/>
      <c r="HJ2357" s="4"/>
      <c r="HK2357" s="4"/>
      <c r="HL2357" s="4"/>
    </row>
    <row r="2358">
      <c r="A2358" s="2" t="s">
        <v>10256</v>
      </c>
      <c r="B2358" s="2" t="s">
        <v>1004</v>
      </c>
      <c r="C2358" s="2" t="s">
        <v>288</v>
      </c>
      <c r="D2358" s="2" t="s">
        <v>1917</v>
      </c>
      <c r="E2358" s="2" t="s">
        <v>2495</v>
      </c>
      <c r="F2358" s="2" t="s">
        <v>10257</v>
      </c>
      <c r="G2358" s="2" t="s">
        <v>10258</v>
      </c>
      <c r="H2358" s="2" t="s">
        <v>10259</v>
      </c>
      <c r="I2358" s="2" t="s">
        <v>10260</v>
      </c>
      <c r="J2358" s="2" t="s">
        <v>807</v>
      </c>
      <c r="K2358" s="2" t="s">
        <v>269</v>
      </c>
      <c r="L2358" s="3">
        <v>171</v>
      </c>
      <c r="M2358" s="3">
        <v>179.55</v>
      </c>
      <c r="N2358" s="3">
        <v>369</v>
      </c>
      <c r="O2358" s="2" t="s">
        <v>243</v>
      </c>
      <c r="P2358" s="2" t="s">
        <v>1985</v>
      </c>
      <c r="Q2358" s="2" t="s">
        <v>237</v>
      </c>
      <c r="R2358" s="2" t="s">
        <v>231</v>
      </c>
      <c r="S2358" s="2" t="s">
        <v>231</v>
      </c>
      <c r="T2358" s="2" t="s">
        <v>231</v>
      </c>
      <c r="U2358" s="2" t="s">
        <v>327</v>
      </c>
      <c r="V2358" s="2" t="s">
        <v>662</v>
      </c>
      <c r="W2358" s="2" t="s">
        <v>792</v>
      </c>
      <c r="X2358" s="2" t="s">
        <v>231</v>
      </c>
      <c r="Y2358" s="2" t="s">
        <v>3113</v>
      </c>
      <c r="Z2358" s="4">
        <v>142</v>
      </c>
      <c r="AA2358" s="4">
        <f>=ROUNDDOWN(47.3333333333333,0)</f>
      </c>
      <c r="AB2358" s="5">
        <v>3</v>
      </c>
      <c r="AC2358" s="2" t="s">
        <v>231</v>
      </c>
      <c r="AD2358" s="4"/>
      <c r="AE2358" s="4"/>
      <c r="AF2358" s="6">
        <v>66</v>
      </c>
      <c r="AG2358" s="6"/>
      <c r="AH2358" s="7">
        <v>1</v>
      </c>
      <c r="AI2358" s="4"/>
      <c r="AJ2358" s="4">
        <f>=ROUNDDOWN({0},0)</f>
      </c>
      <c r="AK2358" s="5"/>
      <c r="AL2358" s="2" t="s">
        <v>231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 t="s">
        <v>231</v>
      </c>
      <c r="AW2358" s="8" t="s">
        <v>231</v>
      </c>
      <c r="AX2358" s="4" t="s">
        <v>231</v>
      </c>
      <c r="AY2358" s="8" t="s">
        <v>231</v>
      </c>
      <c r="AZ2358" s="7" t="s">
        <v>231</v>
      </c>
      <c r="BA2358" s="7" t="s">
        <v>231</v>
      </c>
      <c r="BB2358" s="7" t="s">
        <v>231</v>
      </c>
      <c r="BC2358" s="4" t="s">
        <v>231</v>
      </c>
      <c r="BD2358" s="8" t="s">
        <v>231</v>
      </c>
      <c r="BE2358" s="4" t="s">
        <v>231</v>
      </c>
      <c r="BF2358" s="8" t="s">
        <v>231</v>
      </c>
      <c r="BG2358" s="7" t="s">
        <v>231</v>
      </c>
      <c r="BH2358" s="7" t="s">
        <v>231</v>
      </c>
      <c r="BI2358" s="7"/>
      <c r="BJ2358" s="4">
        <v>3</v>
      </c>
      <c r="BK2358" s="8">
        <v>485.91</v>
      </c>
      <c r="BL2358" s="2" t="s">
        <v>10261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10262</v>
      </c>
      <c r="BV2358" s="2" t="s">
        <v>231</v>
      </c>
      <c r="BW2358" s="2" t="s">
        <v>231</v>
      </c>
      <c r="BX2358" s="2" t="s">
        <v>312</v>
      </c>
      <c r="BY2358" s="2" t="s">
        <v>277</v>
      </c>
      <c r="BZ2358" s="2" t="s">
        <v>243</v>
      </c>
      <c r="CA2358" s="2" t="s">
        <v>7268</v>
      </c>
      <c r="CB2358" s="2" t="s">
        <v>5029</v>
      </c>
      <c r="CC2358" s="2" t="s">
        <v>244</v>
      </c>
      <c r="CD2358" s="2" t="s">
        <v>231</v>
      </c>
      <c r="CE2358" s="4"/>
      <c r="CF2358" s="4">
        <v>142</v>
      </c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4"/>
      <c r="HH2358" s="4"/>
      <c r="HI2358" s="4"/>
      <c r="HJ2358" s="4"/>
      <c r="HK2358" s="4"/>
      <c r="HL2358" s="4"/>
    </row>
    <row r="2359">
      <c r="A2359" s="2" t="s">
        <v>10263</v>
      </c>
      <c r="B2359" s="2" t="s">
        <v>1004</v>
      </c>
      <c r="C2359" s="2" t="s">
        <v>288</v>
      </c>
      <c r="D2359" s="2" t="s">
        <v>1917</v>
      </c>
      <c r="E2359" s="2" t="s">
        <v>1918</v>
      </c>
      <c r="F2359" s="2" t="s">
        <v>10257</v>
      </c>
      <c r="G2359" s="2" t="s">
        <v>10258</v>
      </c>
      <c r="H2359" s="2" t="s">
        <v>10259</v>
      </c>
      <c r="I2359" s="2" t="s">
        <v>3274</v>
      </c>
      <c r="J2359" s="2" t="s">
        <v>807</v>
      </c>
      <c r="K2359" s="2" t="s">
        <v>269</v>
      </c>
      <c r="L2359" s="3">
        <v>317.52</v>
      </c>
      <c r="M2359" s="3">
        <v>333.4</v>
      </c>
      <c r="N2359" s="3">
        <v>669</v>
      </c>
      <c r="O2359" s="2" t="s">
        <v>243</v>
      </c>
      <c r="P2359" s="2" t="s">
        <v>1037</v>
      </c>
      <c r="Q2359" s="2" t="s">
        <v>237</v>
      </c>
      <c r="R2359" s="2" t="s">
        <v>231</v>
      </c>
      <c r="S2359" s="2" t="s">
        <v>231</v>
      </c>
      <c r="T2359" s="2" t="s">
        <v>231</v>
      </c>
      <c r="U2359" s="2" t="s">
        <v>791</v>
      </c>
      <c r="V2359" s="2" t="s">
        <v>662</v>
      </c>
      <c r="W2359" s="2" t="s">
        <v>792</v>
      </c>
      <c r="X2359" s="2" t="s">
        <v>231</v>
      </c>
      <c r="Y2359" s="2" t="s">
        <v>1379</v>
      </c>
      <c r="Z2359" s="4">
        <v>316</v>
      </c>
      <c r="AA2359" s="4">
        <f>=ROUNDDOWN(158,0)</f>
      </c>
      <c r="AB2359" s="5">
        <v>2</v>
      </c>
      <c r="AC2359" s="2" t="s">
        <v>3277</v>
      </c>
      <c r="AD2359" s="4">
        <v>31</v>
      </c>
      <c r="AE2359" s="4">
        <v>31</v>
      </c>
      <c r="AF2359" s="6"/>
      <c r="AG2359" s="6"/>
      <c r="AH2359" s="7">
        <v>1</v>
      </c>
      <c r="AI2359" s="4"/>
      <c r="AJ2359" s="4">
        <f>=ROUNDDOWN({0},0)</f>
      </c>
      <c r="AK2359" s="5"/>
      <c r="AL2359" s="2" t="s">
        <v>231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231</v>
      </c>
      <c r="AW2359" s="8" t="s">
        <v>231</v>
      </c>
      <c r="AX2359" s="4" t="s">
        <v>231</v>
      </c>
      <c r="AY2359" s="8" t="s">
        <v>231</v>
      </c>
      <c r="AZ2359" s="7" t="s">
        <v>231</v>
      </c>
      <c r="BA2359" s="7" t="s">
        <v>231</v>
      </c>
      <c r="BB2359" s="7" t="s">
        <v>231</v>
      </c>
      <c r="BC2359" s="4" t="s">
        <v>231</v>
      </c>
      <c r="BD2359" s="8" t="s">
        <v>231</v>
      </c>
      <c r="BE2359" s="4" t="s">
        <v>231</v>
      </c>
      <c r="BF2359" s="8" t="s">
        <v>231</v>
      </c>
      <c r="BG2359" s="7" t="s">
        <v>231</v>
      </c>
      <c r="BH2359" s="7" t="s">
        <v>231</v>
      </c>
      <c r="BI2359" s="7"/>
      <c r="BJ2359" s="4">
        <v>12</v>
      </c>
      <c r="BK2359" s="8">
        <v>3434</v>
      </c>
      <c r="BL2359" s="2" t="s">
        <v>628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10264</v>
      </c>
      <c r="BV2359" s="2" t="s">
        <v>231</v>
      </c>
      <c r="BW2359" s="2" t="s">
        <v>231</v>
      </c>
      <c r="BX2359" s="2" t="s">
        <v>312</v>
      </c>
      <c r="BY2359" s="2" t="s">
        <v>277</v>
      </c>
      <c r="BZ2359" s="2" t="s">
        <v>243</v>
      </c>
      <c r="CA2359" s="2" t="s">
        <v>3284</v>
      </c>
      <c r="CB2359" s="2" t="s">
        <v>231</v>
      </c>
      <c r="CC2359" s="2" t="s">
        <v>244</v>
      </c>
      <c r="CD2359" s="2" t="s">
        <v>231</v>
      </c>
      <c r="CE2359" s="4"/>
      <c r="CF2359" s="4">
        <v>316</v>
      </c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>
        <v>31</v>
      </c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4"/>
      <c r="HH2359" s="4"/>
      <c r="HI2359" s="4"/>
      <c r="HJ2359" s="4"/>
      <c r="HK2359" s="4"/>
      <c r="HL2359" s="4"/>
    </row>
    <row r="2360">
      <c r="A2360" s="2" t="s">
        <v>10265</v>
      </c>
      <c r="B2360" s="2" t="s">
        <v>1004</v>
      </c>
      <c r="C2360" s="2" t="s">
        <v>288</v>
      </c>
      <c r="D2360" s="2" t="s">
        <v>1917</v>
      </c>
      <c r="E2360" s="2" t="s">
        <v>2495</v>
      </c>
      <c r="F2360" s="2" t="s">
        <v>10257</v>
      </c>
      <c r="G2360" s="2" t="s">
        <v>10258</v>
      </c>
      <c r="H2360" s="2" t="s">
        <v>10259</v>
      </c>
      <c r="I2360" s="2" t="s">
        <v>10260</v>
      </c>
      <c r="J2360" s="2" t="s">
        <v>807</v>
      </c>
      <c r="K2360" s="2" t="s">
        <v>253</v>
      </c>
      <c r="L2360" s="3">
        <v>171</v>
      </c>
      <c r="M2360" s="3">
        <v>179.55</v>
      </c>
      <c r="N2360" s="3">
        <v>369</v>
      </c>
      <c r="O2360" s="2" t="s">
        <v>243</v>
      </c>
      <c r="P2360" s="2" t="s">
        <v>270</v>
      </c>
      <c r="Q2360" s="2" t="s">
        <v>237</v>
      </c>
      <c r="R2360" s="2" t="s">
        <v>231</v>
      </c>
      <c r="S2360" s="2" t="s">
        <v>231</v>
      </c>
      <c r="T2360" s="2" t="s">
        <v>231</v>
      </c>
      <c r="U2360" s="2" t="s">
        <v>327</v>
      </c>
      <c r="V2360" s="2" t="s">
        <v>239</v>
      </c>
      <c r="W2360" s="2" t="s">
        <v>792</v>
      </c>
      <c r="X2360" s="2" t="s">
        <v>691</v>
      </c>
      <c r="Y2360" s="2" t="s">
        <v>3155</v>
      </c>
      <c r="Z2360" s="4">
        <v>191</v>
      </c>
      <c r="AA2360" s="4">
        <f>=ROUNDDOWN(17.3636363636364,0)</f>
      </c>
      <c r="AB2360" s="5">
        <v>11</v>
      </c>
      <c r="AC2360" s="2" t="s">
        <v>1137</v>
      </c>
      <c r="AD2360" s="4">
        <v>150</v>
      </c>
      <c r="AE2360" s="4">
        <v>250</v>
      </c>
      <c r="AF2360" s="6">
        <v>66</v>
      </c>
      <c r="AG2360" s="6">
        <v>49</v>
      </c>
      <c r="AH2360" s="7">
        <v>1</v>
      </c>
      <c r="AI2360" s="4"/>
      <c r="AJ2360" s="4">
        <f>=ROUNDDOWN({0},0)</f>
      </c>
      <c r="AK2360" s="5"/>
      <c r="AL2360" s="2" t="s">
        <v>231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 t="s">
        <v>231</v>
      </c>
      <c r="AW2360" s="8" t="s">
        <v>231</v>
      </c>
      <c r="AX2360" s="4" t="s">
        <v>231</v>
      </c>
      <c r="AY2360" s="8" t="s">
        <v>231</v>
      </c>
      <c r="AZ2360" s="7" t="s">
        <v>231</v>
      </c>
      <c r="BA2360" s="7" t="s">
        <v>231</v>
      </c>
      <c r="BB2360" s="7" t="s">
        <v>231</v>
      </c>
      <c r="BC2360" s="4" t="s">
        <v>231</v>
      </c>
      <c r="BD2360" s="8" t="s">
        <v>231</v>
      </c>
      <c r="BE2360" s="4" t="s">
        <v>231</v>
      </c>
      <c r="BF2360" s="8" t="s">
        <v>231</v>
      </c>
      <c r="BG2360" s="7" t="s">
        <v>231</v>
      </c>
      <c r="BH2360" s="7" t="s">
        <v>231</v>
      </c>
      <c r="BI2360" s="7"/>
      <c r="BJ2360" s="4">
        <v>25</v>
      </c>
      <c r="BK2360" s="8">
        <v>4414.16</v>
      </c>
      <c r="BL2360" s="2" t="s">
        <v>9418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10266</v>
      </c>
      <c r="BV2360" s="2" t="s">
        <v>231</v>
      </c>
      <c r="BW2360" s="2" t="s">
        <v>231</v>
      </c>
      <c r="BX2360" s="2" t="s">
        <v>312</v>
      </c>
      <c r="BY2360" s="2" t="s">
        <v>277</v>
      </c>
      <c r="BZ2360" s="2" t="s">
        <v>243</v>
      </c>
      <c r="CA2360" s="2" t="s">
        <v>3155</v>
      </c>
      <c r="CB2360" s="2" t="s">
        <v>10267</v>
      </c>
      <c r="CC2360" s="2" t="s">
        <v>244</v>
      </c>
      <c r="CD2360" s="2" t="s">
        <v>231</v>
      </c>
      <c r="CE2360" s="4"/>
      <c r="CF2360" s="4">
        <v>190</v>
      </c>
      <c r="CG2360" s="4"/>
      <c r="CH2360" s="4"/>
      <c r="CI2360" s="4">
        <v>1</v>
      </c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>
        <v>150</v>
      </c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>
        <v>100</v>
      </c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4"/>
      <c r="HH2360" s="4"/>
      <c r="HI2360" s="4"/>
      <c r="HJ2360" s="4"/>
      <c r="HK2360" s="4"/>
      <c r="HL2360" s="4"/>
    </row>
    <row r="2361">
      <c r="A2361" s="2" t="s">
        <v>10268</v>
      </c>
      <c r="B2361" s="2" t="s">
        <v>1004</v>
      </c>
      <c r="C2361" s="2" t="s">
        <v>288</v>
      </c>
      <c r="D2361" s="2" t="s">
        <v>1917</v>
      </c>
      <c r="E2361" s="2" t="s">
        <v>1918</v>
      </c>
      <c r="F2361" s="2" t="s">
        <v>10257</v>
      </c>
      <c r="G2361" s="2" t="s">
        <v>10258</v>
      </c>
      <c r="H2361" s="2" t="s">
        <v>10259</v>
      </c>
      <c r="I2361" s="2" t="s">
        <v>3274</v>
      </c>
      <c r="J2361" s="2" t="s">
        <v>807</v>
      </c>
      <c r="K2361" s="2" t="s">
        <v>253</v>
      </c>
      <c r="L2361" s="3">
        <v>317.52</v>
      </c>
      <c r="M2361" s="3">
        <v>333.4</v>
      </c>
      <c r="N2361" s="3">
        <v>669</v>
      </c>
      <c r="O2361" s="2" t="s">
        <v>243</v>
      </c>
      <c r="P2361" s="2" t="s">
        <v>1037</v>
      </c>
      <c r="Q2361" s="2" t="s">
        <v>237</v>
      </c>
      <c r="R2361" s="2" t="s">
        <v>231</v>
      </c>
      <c r="S2361" s="2" t="s">
        <v>10269</v>
      </c>
      <c r="T2361" s="2" t="s">
        <v>231</v>
      </c>
      <c r="U2361" s="2" t="s">
        <v>791</v>
      </c>
      <c r="V2361" s="2" t="s">
        <v>239</v>
      </c>
      <c r="W2361" s="2" t="s">
        <v>792</v>
      </c>
      <c r="X2361" s="2" t="s">
        <v>231</v>
      </c>
      <c r="Y2361" s="2" t="s">
        <v>9820</v>
      </c>
      <c r="Z2361" s="4">
        <v>119</v>
      </c>
      <c r="AA2361" s="4">
        <f>=ROUNDDOWN(20.8771929824561,0)</f>
      </c>
      <c r="AB2361" s="5">
        <v>5.7</v>
      </c>
      <c r="AC2361" s="2" t="s">
        <v>4449</v>
      </c>
      <c r="AD2361" s="4">
        <v>50</v>
      </c>
      <c r="AE2361" s="4">
        <v>50</v>
      </c>
      <c r="AF2361" s="6"/>
      <c r="AG2361" s="6"/>
      <c r="AH2361" s="7">
        <v>1</v>
      </c>
      <c r="AI2361" s="4"/>
      <c r="AJ2361" s="4">
        <f>=ROUNDDOWN({0},0)</f>
      </c>
      <c r="AK2361" s="5"/>
      <c r="AL2361" s="2" t="s">
        <v>231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 t="s">
        <v>231</v>
      </c>
      <c r="AW2361" s="8" t="s">
        <v>231</v>
      </c>
      <c r="AX2361" s="4" t="s">
        <v>231</v>
      </c>
      <c r="AY2361" s="8" t="s">
        <v>231</v>
      </c>
      <c r="AZ2361" s="7" t="s">
        <v>231</v>
      </c>
      <c r="BA2361" s="7" t="s">
        <v>231</v>
      </c>
      <c r="BB2361" s="7" t="s">
        <v>231</v>
      </c>
      <c r="BC2361" s="4" t="s">
        <v>231</v>
      </c>
      <c r="BD2361" s="8" t="s">
        <v>231</v>
      </c>
      <c r="BE2361" s="4" t="s">
        <v>231</v>
      </c>
      <c r="BF2361" s="8" t="s">
        <v>231</v>
      </c>
      <c r="BG2361" s="7" t="s">
        <v>231</v>
      </c>
      <c r="BH2361" s="7" t="s">
        <v>231</v>
      </c>
      <c r="BI2361" s="7"/>
      <c r="BJ2361" s="4">
        <v>26</v>
      </c>
      <c r="BK2361" s="8">
        <v>7760.8</v>
      </c>
      <c r="BL2361" s="2" t="s">
        <v>628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10270</v>
      </c>
      <c r="BV2361" s="2" t="s">
        <v>231</v>
      </c>
      <c r="BW2361" s="2" t="s">
        <v>231</v>
      </c>
      <c r="BX2361" s="2" t="s">
        <v>312</v>
      </c>
      <c r="BY2361" s="2" t="s">
        <v>277</v>
      </c>
      <c r="BZ2361" s="2" t="s">
        <v>243</v>
      </c>
      <c r="CA2361" s="2" t="s">
        <v>3284</v>
      </c>
      <c r="CB2361" s="2" t="s">
        <v>231</v>
      </c>
      <c r="CC2361" s="2" t="s">
        <v>244</v>
      </c>
      <c r="CD2361" s="2" t="s">
        <v>231</v>
      </c>
      <c r="CE2361" s="4"/>
      <c r="CF2361" s="4">
        <v>96</v>
      </c>
      <c r="CG2361" s="4"/>
      <c r="CH2361" s="4"/>
      <c r="CI2361" s="4">
        <v>23</v>
      </c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>
        <v>50</v>
      </c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  <c r="HG2361" s="4"/>
      <c r="HH2361" s="4"/>
      <c r="HI2361" s="4"/>
      <c r="HJ2361" s="4"/>
      <c r="HK2361" s="4"/>
      <c r="HL2361" s="4"/>
    </row>
    <row r="2362">
      <c r="A2362" s="2" t="s">
        <v>10271</v>
      </c>
      <c r="B2362" s="2" t="s">
        <v>1004</v>
      </c>
      <c r="C2362" s="2" t="s">
        <v>288</v>
      </c>
      <c r="D2362" s="2" t="s">
        <v>1917</v>
      </c>
      <c r="E2362" s="2" t="s">
        <v>2495</v>
      </c>
      <c r="F2362" s="2" t="s">
        <v>10257</v>
      </c>
      <c r="G2362" s="2" t="s">
        <v>10258</v>
      </c>
      <c r="H2362" s="2" t="s">
        <v>10259</v>
      </c>
      <c r="I2362" s="2" t="s">
        <v>10260</v>
      </c>
      <c r="J2362" s="2" t="s">
        <v>807</v>
      </c>
      <c r="K2362" s="2" t="s">
        <v>2125</v>
      </c>
      <c r="L2362" s="3">
        <v>171</v>
      </c>
      <c r="M2362" s="3">
        <v>179.55</v>
      </c>
      <c r="N2362" s="3">
        <v>369</v>
      </c>
      <c r="O2362" s="2" t="s">
        <v>235</v>
      </c>
      <c r="P2362" s="2" t="s">
        <v>341</v>
      </c>
      <c r="Q2362" s="2" t="s">
        <v>237</v>
      </c>
      <c r="R2362" s="2" t="s">
        <v>231</v>
      </c>
      <c r="S2362" s="2" t="s">
        <v>231</v>
      </c>
      <c r="T2362" s="2" t="s">
        <v>231</v>
      </c>
      <c r="U2362" s="2" t="s">
        <v>327</v>
      </c>
      <c r="V2362" s="2" t="s">
        <v>662</v>
      </c>
      <c r="W2362" s="2" t="s">
        <v>792</v>
      </c>
      <c r="X2362" s="2" t="s">
        <v>231</v>
      </c>
      <c r="Y2362" s="2" t="s">
        <v>3113</v>
      </c>
      <c r="Z2362" s="4">
        <v>23</v>
      </c>
      <c r="AA2362" s="4">
        <f>=ROUNDDOWN(7.66666666666667,0)</f>
      </c>
      <c r="AB2362" s="5">
        <v>3</v>
      </c>
      <c r="AC2362" s="2" t="s">
        <v>231</v>
      </c>
      <c r="AD2362" s="4"/>
      <c r="AE2362" s="4"/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231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 t="s">
        <v>231</v>
      </c>
      <c r="AW2362" s="8" t="s">
        <v>231</v>
      </c>
      <c r="AX2362" s="4" t="s">
        <v>231</v>
      </c>
      <c r="AY2362" s="8" t="s">
        <v>231</v>
      </c>
      <c r="AZ2362" s="7" t="s">
        <v>231</v>
      </c>
      <c r="BA2362" s="7" t="s">
        <v>231</v>
      </c>
      <c r="BB2362" s="7" t="s">
        <v>231</v>
      </c>
      <c r="BC2362" s="4" t="s">
        <v>231</v>
      </c>
      <c r="BD2362" s="8" t="s">
        <v>231</v>
      </c>
      <c r="BE2362" s="4" t="s">
        <v>231</v>
      </c>
      <c r="BF2362" s="8" t="s">
        <v>231</v>
      </c>
      <c r="BG2362" s="7" t="s">
        <v>231</v>
      </c>
      <c r="BH2362" s="7" t="s">
        <v>231</v>
      </c>
      <c r="BI2362" s="7"/>
      <c r="BJ2362" s="4">
        <v>4</v>
      </c>
      <c r="BK2362" s="8">
        <v>702.88</v>
      </c>
      <c r="BL2362" s="2" t="s">
        <v>10272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10273</v>
      </c>
      <c r="BV2362" s="2" t="s">
        <v>231</v>
      </c>
      <c r="BW2362" s="2" t="s">
        <v>231</v>
      </c>
      <c r="BX2362" s="2" t="s">
        <v>312</v>
      </c>
      <c r="BY2362" s="2" t="s">
        <v>277</v>
      </c>
      <c r="BZ2362" s="2" t="s">
        <v>243</v>
      </c>
      <c r="CA2362" s="2" t="s">
        <v>10274</v>
      </c>
      <c r="CB2362" s="2" t="s">
        <v>3799</v>
      </c>
      <c r="CC2362" s="2" t="s">
        <v>244</v>
      </c>
      <c r="CD2362" s="2" t="s">
        <v>231</v>
      </c>
      <c r="CE2362" s="4"/>
      <c r="CF2362" s="4">
        <v>23</v>
      </c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  <c r="HG2362" s="4"/>
      <c r="HH2362" s="4"/>
      <c r="HI2362" s="4"/>
      <c r="HJ2362" s="4"/>
      <c r="HK2362" s="4"/>
      <c r="HL2362" s="4"/>
    </row>
    <row r="2363">
      <c r="A2363" s="2" t="s">
        <v>10275</v>
      </c>
      <c r="B2363" s="2" t="s">
        <v>1004</v>
      </c>
      <c r="C2363" s="2" t="s">
        <v>288</v>
      </c>
      <c r="D2363" s="2" t="s">
        <v>1917</v>
      </c>
      <c r="E2363" s="2" t="s">
        <v>1918</v>
      </c>
      <c r="F2363" s="2" t="s">
        <v>10257</v>
      </c>
      <c r="G2363" s="2" t="s">
        <v>10258</v>
      </c>
      <c r="H2363" s="2" t="s">
        <v>10259</v>
      </c>
      <c r="I2363" s="2" t="s">
        <v>3286</v>
      </c>
      <c r="J2363" s="2" t="s">
        <v>807</v>
      </c>
      <c r="K2363" s="2" t="s">
        <v>2125</v>
      </c>
      <c r="L2363" s="3">
        <v>162</v>
      </c>
      <c r="M2363" s="3">
        <v>170.1</v>
      </c>
      <c r="N2363" s="3">
        <v>349</v>
      </c>
      <c r="O2363" s="2" t="s">
        <v>243</v>
      </c>
      <c r="P2363" s="2" t="s">
        <v>270</v>
      </c>
      <c r="Q2363" s="2" t="s">
        <v>237</v>
      </c>
      <c r="R2363" s="2" t="s">
        <v>231</v>
      </c>
      <c r="S2363" s="2" t="s">
        <v>231</v>
      </c>
      <c r="T2363" s="2" t="s">
        <v>231</v>
      </c>
      <c r="U2363" s="2" t="s">
        <v>327</v>
      </c>
      <c r="V2363" s="2" t="s">
        <v>662</v>
      </c>
      <c r="W2363" s="2" t="s">
        <v>792</v>
      </c>
      <c r="X2363" s="2" t="s">
        <v>231</v>
      </c>
      <c r="Y2363" s="2" t="s">
        <v>3113</v>
      </c>
      <c r="Z2363" s="4">
        <v>240</v>
      </c>
      <c r="AA2363" s="4">
        <f>=ROUNDDOWN(40,0)</f>
      </c>
      <c r="AB2363" s="5">
        <v>6</v>
      </c>
      <c r="AC2363" s="2" t="s">
        <v>231</v>
      </c>
      <c r="AD2363" s="4"/>
      <c r="AE2363" s="4"/>
      <c r="AF2363" s="6">
        <v>66</v>
      </c>
      <c r="AG2363" s="6"/>
      <c r="AH2363" s="7">
        <v>1</v>
      </c>
      <c r="AI2363" s="4"/>
      <c r="AJ2363" s="4">
        <f>=ROUNDDOWN({0},0)</f>
      </c>
      <c r="AK2363" s="5"/>
      <c r="AL2363" s="2" t="s">
        <v>231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 t="s">
        <v>231</v>
      </c>
      <c r="AW2363" s="8" t="s">
        <v>231</v>
      </c>
      <c r="AX2363" s="4" t="s">
        <v>231</v>
      </c>
      <c r="AY2363" s="8" t="s">
        <v>231</v>
      </c>
      <c r="AZ2363" s="7" t="s">
        <v>231</v>
      </c>
      <c r="BA2363" s="7" t="s">
        <v>231</v>
      </c>
      <c r="BB2363" s="7" t="s">
        <v>231</v>
      </c>
      <c r="BC2363" s="4" t="s">
        <v>231</v>
      </c>
      <c r="BD2363" s="8" t="s">
        <v>231</v>
      </c>
      <c r="BE2363" s="4" t="s">
        <v>231</v>
      </c>
      <c r="BF2363" s="8" t="s">
        <v>231</v>
      </c>
      <c r="BG2363" s="7" t="s">
        <v>231</v>
      </c>
      <c r="BH2363" s="7" t="s">
        <v>231</v>
      </c>
      <c r="BI2363" s="7"/>
      <c r="BJ2363" s="4">
        <v>20</v>
      </c>
      <c r="BK2363" s="8">
        <v>2922.59</v>
      </c>
      <c r="BL2363" s="2" t="s">
        <v>10276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10277</v>
      </c>
      <c r="BV2363" s="2" t="s">
        <v>231</v>
      </c>
      <c r="BW2363" s="2" t="s">
        <v>231</v>
      </c>
      <c r="BX2363" s="2" t="s">
        <v>312</v>
      </c>
      <c r="BY2363" s="2" t="s">
        <v>277</v>
      </c>
      <c r="BZ2363" s="2" t="s">
        <v>243</v>
      </c>
      <c r="CA2363" s="2" t="s">
        <v>6483</v>
      </c>
      <c r="CB2363" s="2" t="s">
        <v>5029</v>
      </c>
      <c r="CC2363" s="2" t="s">
        <v>244</v>
      </c>
      <c r="CD2363" s="2" t="s">
        <v>231</v>
      </c>
      <c r="CE2363" s="4"/>
      <c r="CF2363" s="4">
        <v>240</v>
      </c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  <c r="HG2363" s="4"/>
      <c r="HH2363" s="4"/>
      <c r="HI2363" s="4"/>
      <c r="HJ2363" s="4"/>
      <c r="HK2363" s="4"/>
      <c r="HL2363" s="4"/>
    </row>
    <row r="2364">
      <c r="A2364" s="2" t="s">
        <v>10278</v>
      </c>
      <c r="B2364" s="2" t="s">
        <v>1004</v>
      </c>
      <c r="C2364" s="2" t="s">
        <v>288</v>
      </c>
      <c r="D2364" s="2" t="s">
        <v>1917</v>
      </c>
      <c r="E2364" s="2" t="s">
        <v>2495</v>
      </c>
      <c r="F2364" s="2" t="s">
        <v>10257</v>
      </c>
      <c r="G2364" s="2" t="s">
        <v>10258</v>
      </c>
      <c r="H2364" s="2" t="s">
        <v>10259</v>
      </c>
      <c r="I2364" s="2" t="s">
        <v>10279</v>
      </c>
      <c r="J2364" s="2" t="s">
        <v>807</v>
      </c>
      <c r="K2364" s="2" t="s">
        <v>3732</v>
      </c>
      <c r="L2364" s="3">
        <v>335.16</v>
      </c>
      <c r="M2364" s="3">
        <v>351.92</v>
      </c>
      <c r="N2364" s="3">
        <v>709</v>
      </c>
      <c r="O2364" s="2" t="s">
        <v>243</v>
      </c>
      <c r="P2364" s="2" t="s">
        <v>1037</v>
      </c>
      <c r="Q2364" s="2" t="s">
        <v>237</v>
      </c>
      <c r="R2364" s="2" t="s">
        <v>231</v>
      </c>
      <c r="S2364" s="2" t="s">
        <v>231</v>
      </c>
      <c r="T2364" s="2" t="s">
        <v>231</v>
      </c>
      <c r="U2364" s="2" t="s">
        <v>791</v>
      </c>
      <c r="V2364" s="2" t="s">
        <v>239</v>
      </c>
      <c r="W2364" s="2" t="s">
        <v>792</v>
      </c>
      <c r="X2364" s="2" t="s">
        <v>691</v>
      </c>
      <c r="Y2364" s="2" t="s">
        <v>888</v>
      </c>
      <c r="Z2364" s="4">
        <v>75</v>
      </c>
      <c r="AA2364" s="4">
        <f>=ROUNDDOWN(25,0)</f>
      </c>
      <c r="AB2364" s="5">
        <v>3</v>
      </c>
      <c r="AC2364" s="2" t="s">
        <v>3277</v>
      </c>
      <c r="AD2364" s="4">
        <v>75</v>
      </c>
      <c r="AE2364" s="4">
        <v>200</v>
      </c>
      <c r="AF2364" s="6"/>
      <c r="AG2364" s="6"/>
      <c r="AH2364" s="7">
        <v>1</v>
      </c>
      <c r="AI2364" s="4"/>
      <c r="AJ2364" s="4">
        <f>=ROUNDDOWN({0},0)</f>
      </c>
      <c r="AK2364" s="5"/>
      <c r="AL2364" s="2" t="s">
        <v>231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 t="s">
        <v>231</v>
      </c>
      <c r="AW2364" s="8" t="s">
        <v>231</v>
      </c>
      <c r="AX2364" s="4" t="s">
        <v>231</v>
      </c>
      <c r="AY2364" s="8" t="s">
        <v>231</v>
      </c>
      <c r="AZ2364" s="7" t="s">
        <v>231</v>
      </c>
      <c r="BA2364" s="7" t="s">
        <v>231</v>
      </c>
      <c r="BB2364" s="7" t="s">
        <v>231</v>
      </c>
      <c r="BC2364" s="4" t="s">
        <v>231</v>
      </c>
      <c r="BD2364" s="8" t="s">
        <v>231</v>
      </c>
      <c r="BE2364" s="4" t="s">
        <v>231</v>
      </c>
      <c r="BF2364" s="8" t="s">
        <v>231</v>
      </c>
      <c r="BG2364" s="7" t="s">
        <v>231</v>
      </c>
      <c r="BH2364" s="7" t="s">
        <v>231</v>
      </c>
      <c r="BI2364" s="7"/>
      <c r="BJ2364" s="4">
        <v>6</v>
      </c>
      <c r="BK2364" s="8">
        <v>2174.88</v>
      </c>
      <c r="BL2364" s="2" t="s">
        <v>628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10280</v>
      </c>
      <c r="BV2364" s="2" t="s">
        <v>231</v>
      </c>
      <c r="BW2364" s="2" t="s">
        <v>231</v>
      </c>
      <c r="BX2364" s="2" t="s">
        <v>312</v>
      </c>
      <c r="BY2364" s="2" t="s">
        <v>277</v>
      </c>
      <c r="BZ2364" s="2" t="s">
        <v>243</v>
      </c>
      <c r="CA2364" s="2" t="s">
        <v>3284</v>
      </c>
      <c r="CB2364" s="2" t="s">
        <v>231</v>
      </c>
      <c r="CC2364" s="2" t="s">
        <v>244</v>
      </c>
      <c r="CD2364" s="2" t="s">
        <v>231</v>
      </c>
      <c r="CE2364" s="4"/>
      <c r="CF2364" s="4">
        <v>75</v>
      </c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>
        <v>75</v>
      </c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>
        <v>125</v>
      </c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  <c r="HG2364" s="4"/>
      <c r="HH2364" s="4"/>
      <c r="HI2364" s="4"/>
      <c r="HJ2364" s="4"/>
      <c r="HK2364" s="4"/>
      <c r="HL2364" s="4"/>
    </row>
    <row r="2365">
      <c r="A2365" s="2" t="s">
        <v>10281</v>
      </c>
      <c r="B2365" s="2" t="s">
        <v>1004</v>
      </c>
      <c r="C2365" s="2" t="s">
        <v>288</v>
      </c>
      <c r="D2365" s="2" t="s">
        <v>1917</v>
      </c>
      <c r="E2365" s="2" t="s">
        <v>1918</v>
      </c>
      <c r="F2365" s="2" t="s">
        <v>10257</v>
      </c>
      <c r="G2365" s="2" t="s">
        <v>10258</v>
      </c>
      <c r="H2365" s="2" t="s">
        <v>10259</v>
      </c>
      <c r="I2365" s="2" t="s">
        <v>3274</v>
      </c>
      <c r="J2365" s="2" t="s">
        <v>807</v>
      </c>
      <c r="K2365" s="2" t="s">
        <v>3732</v>
      </c>
      <c r="L2365" s="3">
        <v>317.52</v>
      </c>
      <c r="M2365" s="3">
        <v>333.4</v>
      </c>
      <c r="N2365" s="3">
        <v>669</v>
      </c>
      <c r="O2365" s="2" t="s">
        <v>243</v>
      </c>
      <c r="P2365" s="2" t="s">
        <v>1037</v>
      </c>
      <c r="Q2365" s="2" t="s">
        <v>237</v>
      </c>
      <c r="R2365" s="2" t="s">
        <v>231</v>
      </c>
      <c r="S2365" s="2" t="s">
        <v>231</v>
      </c>
      <c r="T2365" s="2" t="s">
        <v>231</v>
      </c>
      <c r="U2365" s="2" t="s">
        <v>791</v>
      </c>
      <c r="V2365" s="2" t="s">
        <v>239</v>
      </c>
      <c r="W2365" s="2" t="s">
        <v>792</v>
      </c>
      <c r="X2365" s="2" t="s">
        <v>231</v>
      </c>
      <c r="Y2365" s="2" t="s">
        <v>3294</v>
      </c>
      <c r="Z2365" s="4">
        <v>215</v>
      </c>
      <c r="AA2365" s="4">
        <f>=ROUNDDOWN(43,0)</f>
      </c>
      <c r="AB2365" s="5">
        <v>5</v>
      </c>
      <c r="AC2365" s="2" t="s">
        <v>4449</v>
      </c>
      <c r="AD2365" s="4">
        <v>50</v>
      </c>
      <c r="AE2365" s="4">
        <v>50</v>
      </c>
      <c r="AF2365" s="6"/>
      <c r="AG2365" s="6"/>
      <c r="AH2365" s="7">
        <v>1</v>
      </c>
      <c r="AI2365" s="4"/>
      <c r="AJ2365" s="4">
        <f>=ROUNDDOWN({0},0)</f>
      </c>
      <c r="AK2365" s="5"/>
      <c r="AL2365" s="2" t="s">
        <v>231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231</v>
      </c>
      <c r="AW2365" s="8" t="s">
        <v>231</v>
      </c>
      <c r="AX2365" s="4" t="s">
        <v>231</v>
      </c>
      <c r="AY2365" s="8" t="s">
        <v>231</v>
      </c>
      <c r="AZ2365" s="7" t="s">
        <v>231</v>
      </c>
      <c r="BA2365" s="7" t="s">
        <v>231</v>
      </c>
      <c r="BB2365" s="7" t="s">
        <v>231</v>
      </c>
      <c r="BC2365" s="4" t="s">
        <v>231</v>
      </c>
      <c r="BD2365" s="8" t="s">
        <v>231</v>
      </c>
      <c r="BE2365" s="4" t="s">
        <v>231</v>
      </c>
      <c r="BF2365" s="8" t="s">
        <v>231</v>
      </c>
      <c r="BG2365" s="7" t="s">
        <v>231</v>
      </c>
      <c r="BH2365" s="7" t="s">
        <v>231</v>
      </c>
      <c r="BI2365" s="7"/>
      <c r="BJ2365" s="4">
        <v>10</v>
      </c>
      <c r="BK2365" s="8">
        <v>3083.72</v>
      </c>
      <c r="BL2365" s="2" t="s">
        <v>628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10282</v>
      </c>
      <c r="BV2365" s="2" t="s">
        <v>231</v>
      </c>
      <c r="BW2365" s="2" t="s">
        <v>231</v>
      </c>
      <c r="BX2365" s="2" t="s">
        <v>312</v>
      </c>
      <c r="BY2365" s="2" t="s">
        <v>277</v>
      </c>
      <c r="BZ2365" s="2" t="s">
        <v>243</v>
      </c>
      <c r="CA2365" s="2" t="s">
        <v>3284</v>
      </c>
      <c r="CB2365" s="2" t="s">
        <v>231</v>
      </c>
      <c r="CC2365" s="2" t="s">
        <v>244</v>
      </c>
      <c r="CD2365" s="2" t="s">
        <v>231</v>
      </c>
      <c r="CE2365" s="4"/>
      <c r="CF2365" s="4">
        <v>173</v>
      </c>
      <c r="CG2365" s="4"/>
      <c r="CH2365" s="4"/>
      <c r="CI2365" s="4">
        <v>42</v>
      </c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>
        <v>50</v>
      </c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  <c r="HG2365" s="4"/>
      <c r="HH2365" s="4"/>
      <c r="HI2365" s="4"/>
      <c r="HJ2365" s="4"/>
      <c r="HK2365" s="4"/>
      <c r="HL2365" s="4"/>
    </row>
    <row r="2366">
      <c r="A2366" s="2" t="s">
        <v>10283</v>
      </c>
      <c r="B2366" s="2" t="s">
        <v>824</v>
      </c>
      <c r="C2366" s="2" t="s">
        <v>1221</v>
      </c>
      <c r="D2366" s="2" t="s">
        <v>826</v>
      </c>
      <c r="E2366" s="2" t="s">
        <v>827</v>
      </c>
      <c r="F2366" s="2" t="s">
        <v>10284</v>
      </c>
      <c r="G2366" s="2" t="s">
        <v>10285</v>
      </c>
      <c r="H2366" s="2" t="s">
        <v>10286</v>
      </c>
      <c r="I2366" s="2" t="s">
        <v>10287</v>
      </c>
      <c r="J2366" s="2" t="s">
        <v>658</v>
      </c>
      <c r="K2366" s="2" t="s">
        <v>10288</v>
      </c>
      <c r="L2366" s="3">
        <v>32.9</v>
      </c>
      <c r="M2366" s="3">
        <v>34.54</v>
      </c>
      <c r="N2366" s="3">
        <v>69.99</v>
      </c>
      <c r="O2366" s="2" t="s">
        <v>250</v>
      </c>
      <c r="P2366" s="2" t="s">
        <v>341</v>
      </c>
      <c r="Q2366" s="2" t="s">
        <v>237</v>
      </c>
      <c r="R2366" s="2" t="s">
        <v>231</v>
      </c>
      <c r="S2366" s="2" t="s">
        <v>10289</v>
      </c>
      <c r="T2366" s="2" t="s">
        <v>472</v>
      </c>
      <c r="U2366" s="2" t="s">
        <v>298</v>
      </c>
      <c r="V2366" s="2" t="s">
        <v>987</v>
      </c>
      <c r="W2366" s="2" t="s">
        <v>691</v>
      </c>
      <c r="X2366" s="2" t="s">
        <v>273</v>
      </c>
      <c r="Y2366" s="2" t="s">
        <v>4927</v>
      </c>
      <c r="Z2366" s="4">
        <v>33</v>
      </c>
      <c r="AA2366" s="4">
        <f>=ROUNDDOWN(23.5714285714286,0)</f>
      </c>
      <c r="AB2366" s="5">
        <v>1.4</v>
      </c>
      <c r="AC2366" s="2" t="s">
        <v>231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231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/>
      <c r="BD2366" s="8"/>
      <c r="BE2366" s="4"/>
      <c r="BF2366" s="8"/>
      <c r="BG2366" s="7"/>
      <c r="BH2366" s="7"/>
      <c r="BI2366" s="7"/>
      <c r="BJ2366" s="4">
        <v>9</v>
      </c>
      <c r="BK2366" s="8">
        <v>260.92</v>
      </c>
      <c r="BL2366" s="2" t="s">
        <v>10290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10291</v>
      </c>
      <c r="BV2366" s="2" t="s">
        <v>231</v>
      </c>
      <c r="BW2366" s="2" t="s">
        <v>231</v>
      </c>
      <c r="BX2366" s="2" t="s">
        <v>231</v>
      </c>
      <c r="BY2366" s="2" t="s">
        <v>277</v>
      </c>
      <c r="BZ2366" s="2" t="s">
        <v>243</v>
      </c>
      <c r="CA2366" s="2" t="s">
        <v>7811</v>
      </c>
      <c r="CB2366" s="2" t="s">
        <v>5002</v>
      </c>
      <c r="CC2366" s="2" t="s">
        <v>244</v>
      </c>
      <c r="CD2366" s="2" t="s">
        <v>231</v>
      </c>
      <c r="CE2366" s="4">
        <v>23</v>
      </c>
      <c r="CF2366" s="4">
        <v>10</v>
      </c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  <c r="HG2366" s="4"/>
      <c r="HH2366" s="4"/>
      <c r="HI2366" s="4"/>
      <c r="HJ2366" s="4"/>
      <c r="HK2366" s="4"/>
      <c r="HL2366" s="4"/>
    </row>
    <row r="2367">
      <c r="A2367" s="2" t="s">
        <v>10292</v>
      </c>
      <c r="B2367" s="2" t="s">
        <v>1186</v>
      </c>
      <c r="C2367" s="2" t="s">
        <v>288</v>
      </c>
      <c r="D2367" s="2" t="s">
        <v>1624</v>
      </c>
      <c r="E2367" s="2" t="s">
        <v>1625</v>
      </c>
      <c r="F2367" s="2" t="s">
        <v>10293</v>
      </c>
      <c r="G2367" s="2" t="s">
        <v>10294</v>
      </c>
      <c r="H2367" s="2" t="s">
        <v>10295</v>
      </c>
      <c r="I2367" s="2" t="s">
        <v>10296</v>
      </c>
      <c r="J2367" s="2" t="s">
        <v>1628</v>
      </c>
      <c r="K2367" s="2" t="s">
        <v>1077</v>
      </c>
      <c r="L2367" s="3">
        <v>19.2</v>
      </c>
      <c r="M2367" s="3">
        <v>20.15</v>
      </c>
      <c r="N2367" s="3">
        <v>39.99</v>
      </c>
      <c r="O2367" s="2" t="s">
        <v>243</v>
      </c>
      <c r="P2367" s="2" t="s">
        <v>270</v>
      </c>
      <c r="Q2367" s="2" t="s">
        <v>237</v>
      </c>
      <c r="R2367" s="2" t="s">
        <v>231</v>
      </c>
      <c r="S2367" s="2" t="s">
        <v>10297</v>
      </c>
      <c r="T2367" s="2" t="s">
        <v>231</v>
      </c>
      <c r="U2367" s="2" t="s">
        <v>231</v>
      </c>
      <c r="V2367" s="2" t="s">
        <v>363</v>
      </c>
      <c r="W2367" s="2" t="s">
        <v>363</v>
      </c>
      <c r="X2367" s="2" t="s">
        <v>231</v>
      </c>
      <c r="Y2367" s="2" t="s">
        <v>274</v>
      </c>
      <c r="Z2367" s="4">
        <v>955</v>
      </c>
      <c r="AA2367" s="4">
        <f>=ROUNDDOWN(27.2857142857143,0)</f>
      </c>
      <c r="AB2367" s="5">
        <v>35</v>
      </c>
      <c r="AC2367" s="2" t="s">
        <v>231</v>
      </c>
      <c r="AD2367" s="4"/>
      <c r="AE2367" s="4"/>
      <c r="AF2367" s="6">
        <v>64</v>
      </c>
      <c r="AG2367" s="6"/>
      <c r="AH2367" s="7">
        <v>1</v>
      </c>
      <c r="AI2367" s="4"/>
      <c r="AJ2367" s="4">
        <f>=ROUNDDOWN({0},0)</f>
      </c>
      <c r="AK2367" s="5"/>
      <c r="AL2367" s="2" t="s">
        <v>231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/>
      <c r="BD2367" s="8"/>
      <c r="BE2367" s="4"/>
      <c r="BF2367" s="8"/>
      <c r="BG2367" s="7"/>
      <c r="BH2367" s="7"/>
      <c r="BI2367" s="7"/>
      <c r="BJ2367" s="4">
        <v>175</v>
      </c>
      <c r="BK2367" s="8">
        <v>3495.76</v>
      </c>
      <c r="BL2367" s="2" t="s">
        <v>10298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10299</v>
      </c>
      <c r="BV2367" s="2" t="s">
        <v>231</v>
      </c>
      <c r="BW2367" s="2" t="s">
        <v>231</v>
      </c>
      <c r="BX2367" s="2" t="s">
        <v>231</v>
      </c>
      <c r="BY2367" s="2" t="s">
        <v>277</v>
      </c>
      <c r="BZ2367" s="2" t="s">
        <v>243</v>
      </c>
      <c r="CA2367" s="2" t="s">
        <v>10300</v>
      </c>
      <c r="CB2367" s="2" t="s">
        <v>346</v>
      </c>
      <c r="CC2367" s="2" t="s">
        <v>244</v>
      </c>
      <c r="CD2367" s="2" t="s">
        <v>231</v>
      </c>
      <c r="CE2367" s="4">
        <v>955</v>
      </c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  <c r="HG2367" s="4"/>
      <c r="HH2367" s="4"/>
      <c r="HI2367" s="4"/>
      <c r="HJ2367" s="4"/>
      <c r="HK2367" s="4"/>
      <c r="HL2367" s="4"/>
    </row>
    <row r="2368">
      <c r="A2368" s="2" t="s">
        <v>10301</v>
      </c>
      <c r="B2368" s="2" t="s">
        <v>1186</v>
      </c>
      <c r="C2368" s="2" t="s">
        <v>653</v>
      </c>
      <c r="D2368" s="2" t="s">
        <v>654</v>
      </c>
      <c r="E2368" s="2" t="s">
        <v>655</v>
      </c>
      <c r="F2368" s="2" t="s">
        <v>10302</v>
      </c>
      <c r="G2368" s="2" t="s">
        <v>10302</v>
      </c>
      <c r="H2368" s="2" t="s">
        <v>10302</v>
      </c>
      <c r="I2368" s="2" t="s">
        <v>10303</v>
      </c>
      <c r="J2368" s="2" t="s">
        <v>658</v>
      </c>
      <c r="K2368" s="2" t="s">
        <v>2321</v>
      </c>
      <c r="L2368" s="3">
        <v>150</v>
      </c>
      <c r="M2368" s="3">
        <v>157.5</v>
      </c>
      <c r="N2368" s="3">
        <v>299.99</v>
      </c>
      <c r="O2368" s="2" t="s">
        <v>243</v>
      </c>
      <c r="P2368" s="2" t="s">
        <v>236</v>
      </c>
      <c r="Q2368" s="2" t="s">
        <v>237</v>
      </c>
      <c r="R2368" s="2" t="s">
        <v>231</v>
      </c>
      <c r="S2368" s="2" t="s">
        <v>10304</v>
      </c>
      <c r="T2368" s="2" t="s">
        <v>1432</v>
      </c>
      <c r="U2368" s="2" t="s">
        <v>5729</v>
      </c>
      <c r="V2368" s="2" t="s">
        <v>836</v>
      </c>
      <c r="W2368" s="2" t="s">
        <v>792</v>
      </c>
      <c r="X2368" s="2" t="s">
        <v>299</v>
      </c>
      <c r="Y2368" s="2" t="s">
        <v>231</v>
      </c>
      <c r="Z2368" s="4"/>
      <c r="AA2368" s="4">
        <f>=ROUNDDOWN({0},0)</f>
      </c>
      <c r="AB2368" s="5"/>
      <c r="AC2368" s="2" t="s">
        <v>1705</v>
      </c>
      <c r="AD2368" s="4">
        <v>70</v>
      </c>
      <c r="AE2368" s="4">
        <v>140</v>
      </c>
      <c r="AF2368" s="6">
        <v>67</v>
      </c>
      <c r="AG2368" s="6"/>
      <c r="AH2368" s="7">
        <v>0</v>
      </c>
      <c r="AI2368" s="4"/>
      <c r="AJ2368" s="4">
        <f>=ROUNDDOWN({0},0)</f>
      </c>
      <c r="AK2368" s="5"/>
      <c r="AL2368" s="2" t="s">
        <v>231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231</v>
      </c>
      <c r="AW2368" s="8" t="s">
        <v>231</v>
      </c>
      <c r="AX2368" s="4" t="s">
        <v>231</v>
      </c>
      <c r="AY2368" s="8" t="s">
        <v>231</v>
      </c>
      <c r="AZ2368" s="7" t="s">
        <v>231</v>
      </c>
      <c r="BA2368" s="7" t="s">
        <v>231</v>
      </c>
      <c r="BB2368" s="7"/>
      <c r="BC2368" s="4" t="s">
        <v>231</v>
      </c>
      <c r="BD2368" s="8" t="s">
        <v>231</v>
      </c>
      <c r="BE2368" s="4" t="s">
        <v>231</v>
      </c>
      <c r="BF2368" s="8" t="s">
        <v>231</v>
      </c>
      <c r="BG2368" s="7" t="s">
        <v>231</v>
      </c>
      <c r="BH2368" s="7" t="s">
        <v>231</v>
      </c>
      <c r="BI2368" s="7"/>
      <c r="BJ2368" s="4"/>
      <c r="BK2368" s="8"/>
      <c r="BL2368" s="2" t="s">
        <v>231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241</v>
      </c>
      <c r="BV2368" s="2" t="s">
        <v>231</v>
      </c>
      <c r="BW2368" s="2" t="s">
        <v>231</v>
      </c>
      <c r="BX2368" s="2" t="s">
        <v>241</v>
      </c>
      <c r="BY2368" s="2" t="s">
        <v>242</v>
      </c>
      <c r="BZ2368" s="2" t="s">
        <v>243</v>
      </c>
      <c r="CA2368" s="2" t="s">
        <v>231</v>
      </c>
      <c r="CB2368" s="2" t="s">
        <v>231</v>
      </c>
      <c r="CC2368" s="2" t="s">
        <v>2256</v>
      </c>
      <c r="CD2368" s="2" t="s">
        <v>231</v>
      </c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>
        <v>70</v>
      </c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>
        <v>70</v>
      </c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  <c r="HF2368" s="4"/>
      <c r="HG2368" s="4"/>
      <c r="HH2368" s="4"/>
      <c r="HI2368" s="4"/>
      <c r="HJ2368" s="4"/>
      <c r="HK2368" s="4"/>
      <c r="HL2368" s="4"/>
    </row>
    <row r="2369">
      <c r="A2369" s="2" t="s">
        <v>10305</v>
      </c>
      <c r="B2369" s="2" t="s">
        <v>1186</v>
      </c>
      <c r="C2369" s="2" t="s">
        <v>653</v>
      </c>
      <c r="D2369" s="2" t="s">
        <v>654</v>
      </c>
      <c r="E2369" s="2" t="s">
        <v>655</v>
      </c>
      <c r="F2369" s="2" t="s">
        <v>10302</v>
      </c>
      <c r="G2369" s="2" t="s">
        <v>10302</v>
      </c>
      <c r="H2369" s="2" t="s">
        <v>10302</v>
      </c>
      <c r="I2369" s="2" t="s">
        <v>10303</v>
      </c>
      <c r="J2369" s="2" t="s">
        <v>669</v>
      </c>
      <c r="K2369" s="2" t="s">
        <v>2321</v>
      </c>
      <c r="L2369" s="3">
        <v>175</v>
      </c>
      <c r="M2369" s="3">
        <v>183.75</v>
      </c>
      <c r="N2369" s="3">
        <v>349.99</v>
      </c>
      <c r="O2369" s="2" t="s">
        <v>243</v>
      </c>
      <c r="P2369" s="2" t="s">
        <v>236</v>
      </c>
      <c r="Q2369" s="2" t="s">
        <v>237</v>
      </c>
      <c r="R2369" s="2" t="s">
        <v>231</v>
      </c>
      <c r="S2369" s="2" t="s">
        <v>10304</v>
      </c>
      <c r="T2369" s="2" t="s">
        <v>1432</v>
      </c>
      <c r="U2369" s="2" t="s">
        <v>1196</v>
      </c>
      <c r="V2369" s="2" t="s">
        <v>836</v>
      </c>
      <c r="W2369" s="2" t="s">
        <v>792</v>
      </c>
      <c r="X2369" s="2" t="s">
        <v>299</v>
      </c>
      <c r="Y2369" s="2" t="s">
        <v>231</v>
      </c>
      <c r="Z2369" s="4"/>
      <c r="AA2369" s="4">
        <f>=ROUNDDOWN({0},0)</f>
      </c>
      <c r="AB2369" s="5"/>
      <c r="AC2369" s="2" t="s">
        <v>1705</v>
      </c>
      <c r="AD2369" s="4">
        <v>130</v>
      </c>
      <c r="AE2369" s="4">
        <v>260</v>
      </c>
      <c r="AF2369" s="6">
        <v>67</v>
      </c>
      <c r="AG2369" s="6"/>
      <c r="AH2369" s="7">
        <v>0</v>
      </c>
      <c r="AI2369" s="4"/>
      <c r="AJ2369" s="4">
        <f>=ROUNDDOWN({0},0)</f>
      </c>
      <c r="AK2369" s="5"/>
      <c r="AL2369" s="2" t="s">
        <v>231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 t="s">
        <v>231</v>
      </c>
      <c r="AW2369" s="8" t="s">
        <v>231</v>
      </c>
      <c r="AX2369" s="4" t="s">
        <v>231</v>
      </c>
      <c r="AY2369" s="8" t="s">
        <v>231</v>
      </c>
      <c r="AZ2369" s="7" t="s">
        <v>231</v>
      </c>
      <c r="BA2369" s="7" t="s">
        <v>231</v>
      </c>
      <c r="BB2369" s="7"/>
      <c r="BC2369" s="4" t="s">
        <v>231</v>
      </c>
      <c r="BD2369" s="8" t="s">
        <v>231</v>
      </c>
      <c r="BE2369" s="4" t="s">
        <v>231</v>
      </c>
      <c r="BF2369" s="8" t="s">
        <v>231</v>
      </c>
      <c r="BG2369" s="7" t="s">
        <v>231</v>
      </c>
      <c r="BH2369" s="7" t="s">
        <v>231</v>
      </c>
      <c r="BI2369" s="7"/>
      <c r="BJ2369" s="4"/>
      <c r="BK2369" s="8"/>
      <c r="BL2369" s="2" t="s">
        <v>231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241</v>
      </c>
      <c r="BV2369" s="2" t="s">
        <v>231</v>
      </c>
      <c r="BW2369" s="2" t="s">
        <v>231</v>
      </c>
      <c r="BX2369" s="2" t="s">
        <v>241</v>
      </c>
      <c r="BY2369" s="2" t="s">
        <v>242</v>
      </c>
      <c r="BZ2369" s="2" t="s">
        <v>243</v>
      </c>
      <c r="CA2369" s="2" t="s">
        <v>231</v>
      </c>
      <c r="CB2369" s="2" t="s">
        <v>231</v>
      </c>
      <c r="CC2369" s="2" t="s">
        <v>2256</v>
      </c>
      <c r="CD2369" s="2" t="s">
        <v>231</v>
      </c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>
        <v>130</v>
      </c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>
        <v>130</v>
      </c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  <c r="HG2369" s="4"/>
      <c r="HH2369" s="4"/>
      <c r="HI2369" s="4"/>
      <c r="HJ2369" s="4"/>
      <c r="HK2369" s="4"/>
      <c r="HL2369" s="4"/>
    </row>
    <row r="2370">
      <c r="A2370" s="2" t="s">
        <v>10306</v>
      </c>
      <c r="B2370" s="2" t="s">
        <v>847</v>
      </c>
      <c r="C2370" s="2" t="s">
        <v>288</v>
      </c>
      <c r="D2370" s="2" t="s">
        <v>882</v>
      </c>
      <c r="E2370" s="2" t="s">
        <v>849</v>
      </c>
      <c r="F2370" s="2" t="s">
        <v>10307</v>
      </c>
      <c r="G2370" s="2" t="s">
        <v>10307</v>
      </c>
      <c r="H2370" s="2" t="s">
        <v>10307</v>
      </c>
      <c r="I2370" s="2" t="s">
        <v>10308</v>
      </c>
      <c r="J2370" s="2" t="s">
        <v>807</v>
      </c>
      <c r="K2370" s="2" t="s">
        <v>10309</v>
      </c>
      <c r="L2370" s="3">
        <v>14</v>
      </c>
      <c r="M2370" s="3">
        <v>14.7</v>
      </c>
      <c r="N2370" s="3">
        <v>34.99</v>
      </c>
      <c r="O2370" s="2" t="s">
        <v>243</v>
      </c>
      <c r="P2370" s="2" t="s">
        <v>236</v>
      </c>
      <c r="Q2370" s="2" t="s">
        <v>237</v>
      </c>
      <c r="R2370" s="2" t="s">
        <v>231</v>
      </c>
      <c r="S2370" s="2" t="s">
        <v>231</v>
      </c>
      <c r="T2370" s="2" t="s">
        <v>231</v>
      </c>
      <c r="U2370" s="2" t="s">
        <v>327</v>
      </c>
      <c r="V2370" s="2" t="s">
        <v>2195</v>
      </c>
      <c r="W2370" s="2" t="s">
        <v>10310</v>
      </c>
      <c r="X2370" s="2" t="s">
        <v>971</v>
      </c>
      <c r="Y2370" s="2" t="s">
        <v>2203</v>
      </c>
      <c r="Z2370" s="4">
        <v>228</v>
      </c>
      <c r="AA2370" s="4">
        <f>=ROUNDDOWN(253.333333333333,0)</f>
      </c>
      <c r="AB2370" s="5">
        <v>0.9</v>
      </c>
      <c r="AC2370" s="2" t="s">
        <v>231</v>
      </c>
      <c r="AD2370" s="4"/>
      <c r="AE2370" s="4"/>
      <c r="AF2370" s="6">
        <v>63</v>
      </c>
      <c r="AG2370" s="6"/>
      <c r="AH2370" s="7">
        <v>1</v>
      </c>
      <c r="AI2370" s="4"/>
      <c r="AJ2370" s="4">
        <f>=ROUNDDOWN({0},0)</f>
      </c>
      <c r="AK2370" s="5"/>
      <c r="AL2370" s="2" t="s">
        <v>231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231</v>
      </c>
      <c r="BD2370" s="8" t="s">
        <v>231</v>
      </c>
      <c r="BE2370" s="4" t="s">
        <v>231</v>
      </c>
      <c r="BF2370" s="8" t="s">
        <v>231</v>
      </c>
      <c r="BG2370" s="7" t="s">
        <v>231</v>
      </c>
      <c r="BH2370" s="7" t="s">
        <v>231</v>
      </c>
      <c r="BI2370" s="7"/>
      <c r="BJ2370" s="4">
        <v>3</v>
      </c>
      <c r="BK2370" s="8">
        <v>67.33</v>
      </c>
      <c r="BL2370" s="2" t="s">
        <v>10311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10312</v>
      </c>
      <c r="BV2370" s="2" t="s">
        <v>231</v>
      </c>
      <c r="BW2370" s="2" t="s">
        <v>231</v>
      </c>
      <c r="BX2370" s="2" t="s">
        <v>1812</v>
      </c>
      <c r="BY2370" s="2" t="s">
        <v>277</v>
      </c>
      <c r="BZ2370" s="2" t="s">
        <v>243</v>
      </c>
      <c r="CA2370" s="2" t="s">
        <v>2199</v>
      </c>
      <c r="CB2370" s="2" t="s">
        <v>231</v>
      </c>
      <c r="CC2370" s="2" t="s">
        <v>244</v>
      </c>
      <c r="CD2370" s="2" t="s">
        <v>231</v>
      </c>
      <c r="CE2370" s="4"/>
      <c r="CF2370" s="4">
        <v>228</v>
      </c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  <c r="HF2370" s="4"/>
      <c r="HG2370" s="4"/>
      <c r="HH2370" s="4"/>
      <c r="HI2370" s="4"/>
      <c r="HJ2370" s="4"/>
      <c r="HK2370" s="4"/>
      <c r="HL2370" s="4"/>
    </row>
    <row r="2371">
      <c r="A2371" s="2" t="s">
        <v>10313</v>
      </c>
      <c r="B2371" s="2" t="s">
        <v>847</v>
      </c>
      <c r="C2371" s="2" t="s">
        <v>288</v>
      </c>
      <c r="D2371" s="2" t="s">
        <v>882</v>
      </c>
      <c r="E2371" s="2" t="s">
        <v>849</v>
      </c>
      <c r="F2371" s="2" t="s">
        <v>10307</v>
      </c>
      <c r="G2371" s="2" t="s">
        <v>10307</v>
      </c>
      <c r="H2371" s="2" t="s">
        <v>10307</v>
      </c>
      <c r="I2371" s="2" t="s">
        <v>10314</v>
      </c>
      <c r="J2371" s="2" t="s">
        <v>807</v>
      </c>
      <c r="K2371" s="2" t="s">
        <v>10315</v>
      </c>
      <c r="L2371" s="3">
        <v>14</v>
      </c>
      <c r="M2371" s="3">
        <v>14.7</v>
      </c>
      <c r="N2371" s="3">
        <v>34.99</v>
      </c>
      <c r="O2371" s="2" t="s">
        <v>243</v>
      </c>
      <c r="P2371" s="2" t="s">
        <v>236</v>
      </c>
      <c r="Q2371" s="2" t="s">
        <v>237</v>
      </c>
      <c r="R2371" s="2" t="s">
        <v>231</v>
      </c>
      <c r="S2371" s="2" t="s">
        <v>231</v>
      </c>
      <c r="T2371" s="2" t="s">
        <v>231</v>
      </c>
      <c r="U2371" s="2" t="s">
        <v>327</v>
      </c>
      <c r="V2371" s="2" t="s">
        <v>2195</v>
      </c>
      <c r="W2371" s="2" t="s">
        <v>10316</v>
      </c>
      <c r="X2371" s="2" t="s">
        <v>691</v>
      </c>
      <c r="Y2371" s="2" t="s">
        <v>2203</v>
      </c>
      <c r="Z2371" s="4">
        <v>134</v>
      </c>
      <c r="AA2371" s="4">
        <f>=ROUNDDOWN(268,0)</f>
      </c>
      <c r="AB2371" s="5">
        <v>0.5</v>
      </c>
      <c r="AC2371" s="2" t="s">
        <v>231</v>
      </c>
      <c r="AD2371" s="4"/>
      <c r="AE2371" s="4"/>
      <c r="AF2371" s="6">
        <v>63</v>
      </c>
      <c r="AG2371" s="6"/>
      <c r="AH2371" s="7">
        <v>1</v>
      </c>
      <c r="AI2371" s="4"/>
      <c r="AJ2371" s="4">
        <f>=ROUNDDOWN({0},0)</f>
      </c>
      <c r="AK2371" s="5"/>
      <c r="AL2371" s="2" t="s">
        <v>231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231</v>
      </c>
      <c r="BD2371" s="8" t="s">
        <v>231</v>
      </c>
      <c r="BE2371" s="4" t="s">
        <v>231</v>
      </c>
      <c r="BF2371" s="8" t="s">
        <v>231</v>
      </c>
      <c r="BG2371" s="7" t="s">
        <v>231</v>
      </c>
      <c r="BH2371" s="7" t="s">
        <v>231</v>
      </c>
      <c r="BI2371" s="7"/>
      <c r="BJ2371" s="4">
        <v>8</v>
      </c>
      <c r="BK2371" s="8">
        <v>128.8</v>
      </c>
      <c r="BL2371" s="2" t="s">
        <v>1020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10317</v>
      </c>
      <c r="BV2371" s="2" t="s">
        <v>231</v>
      </c>
      <c r="BW2371" s="2" t="s">
        <v>231</v>
      </c>
      <c r="BX2371" s="2" t="s">
        <v>1812</v>
      </c>
      <c r="BY2371" s="2" t="s">
        <v>277</v>
      </c>
      <c r="BZ2371" s="2" t="s">
        <v>243</v>
      </c>
      <c r="CA2371" s="2" t="s">
        <v>2199</v>
      </c>
      <c r="CB2371" s="2" t="s">
        <v>231</v>
      </c>
      <c r="CC2371" s="2" t="s">
        <v>244</v>
      </c>
      <c r="CD2371" s="2" t="s">
        <v>231</v>
      </c>
      <c r="CE2371" s="4"/>
      <c r="CF2371" s="4">
        <v>134</v>
      </c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  <c r="HF2371" s="4"/>
      <c r="HG2371" s="4"/>
      <c r="HH2371" s="4"/>
      <c r="HI2371" s="4"/>
      <c r="HJ2371" s="4"/>
      <c r="HK2371" s="4"/>
      <c r="HL2371" s="4"/>
    </row>
    <row r="2372">
      <c r="A2372" s="2" t="s">
        <v>10318</v>
      </c>
      <c r="B2372" s="2" t="s">
        <v>847</v>
      </c>
      <c r="C2372" s="2" t="s">
        <v>288</v>
      </c>
      <c r="D2372" s="2" t="s">
        <v>882</v>
      </c>
      <c r="E2372" s="2" t="s">
        <v>849</v>
      </c>
      <c r="F2372" s="2" t="s">
        <v>10307</v>
      </c>
      <c r="G2372" s="2" t="s">
        <v>10307</v>
      </c>
      <c r="H2372" s="2" t="s">
        <v>10307</v>
      </c>
      <c r="I2372" s="2" t="s">
        <v>10319</v>
      </c>
      <c r="J2372" s="2" t="s">
        <v>807</v>
      </c>
      <c r="K2372" s="2" t="s">
        <v>10320</v>
      </c>
      <c r="L2372" s="3">
        <v>14</v>
      </c>
      <c r="M2372" s="3">
        <v>14.7</v>
      </c>
      <c r="N2372" s="3">
        <v>34.99</v>
      </c>
      <c r="O2372" s="2" t="s">
        <v>243</v>
      </c>
      <c r="P2372" s="2" t="s">
        <v>236</v>
      </c>
      <c r="Q2372" s="2" t="s">
        <v>237</v>
      </c>
      <c r="R2372" s="2" t="s">
        <v>231</v>
      </c>
      <c r="S2372" s="2" t="s">
        <v>231</v>
      </c>
      <c r="T2372" s="2" t="s">
        <v>231</v>
      </c>
      <c r="U2372" s="2" t="s">
        <v>327</v>
      </c>
      <c r="V2372" s="2" t="s">
        <v>2195</v>
      </c>
      <c r="W2372" s="2" t="s">
        <v>10321</v>
      </c>
      <c r="X2372" s="2" t="s">
        <v>792</v>
      </c>
      <c r="Y2372" s="2" t="s">
        <v>2203</v>
      </c>
      <c r="Z2372" s="4">
        <v>95</v>
      </c>
      <c r="AA2372" s="4">
        <f>=ROUNDDOWN(45.2380952380952,0)</f>
      </c>
      <c r="AB2372" s="5">
        <v>2.1</v>
      </c>
      <c r="AC2372" s="2" t="s">
        <v>231</v>
      </c>
      <c r="AD2372" s="4"/>
      <c r="AE2372" s="4"/>
      <c r="AF2372" s="6">
        <v>63</v>
      </c>
      <c r="AG2372" s="6"/>
      <c r="AH2372" s="7">
        <v>1</v>
      </c>
      <c r="AI2372" s="4"/>
      <c r="AJ2372" s="4">
        <f>=ROUNDDOWN({0},0)</f>
      </c>
      <c r="AK2372" s="5"/>
      <c r="AL2372" s="2" t="s">
        <v>231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 t="s">
        <v>231</v>
      </c>
      <c r="BD2372" s="8" t="s">
        <v>231</v>
      </c>
      <c r="BE2372" s="4" t="s">
        <v>231</v>
      </c>
      <c r="BF2372" s="8" t="s">
        <v>231</v>
      </c>
      <c r="BG2372" s="7" t="s">
        <v>231</v>
      </c>
      <c r="BH2372" s="7" t="s">
        <v>231</v>
      </c>
      <c r="BI2372" s="7"/>
      <c r="BJ2372" s="4">
        <v>23</v>
      </c>
      <c r="BK2372" s="8">
        <v>366.7</v>
      </c>
      <c r="BL2372" s="2" t="s">
        <v>1976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10322</v>
      </c>
      <c r="BV2372" s="2" t="s">
        <v>231</v>
      </c>
      <c r="BW2372" s="2" t="s">
        <v>231</v>
      </c>
      <c r="BX2372" s="2" t="s">
        <v>1812</v>
      </c>
      <c r="BY2372" s="2" t="s">
        <v>277</v>
      </c>
      <c r="BZ2372" s="2" t="s">
        <v>243</v>
      </c>
      <c r="CA2372" s="2" t="s">
        <v>2199</v>
      </c>
      <c r="CB2372" s="2" t="s">
        <v>231</v>
      </c>
      <c r="CC2372" s="2" t="s">
        <v>244</v>
      </c>
      <c r="CD2372" s="2" t="s">
        <v>231</v>
      </c>
      <c r="CE2372" s="4"/>
      <c r="CF2372" s="4">
        <v>95</v>
      </c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  <c r="HG2372" s="4"/>
      <c r="HH2372" s="4"/>
      <c r="HI2372" s="4"/>
      <c r="HJ2372" s="4"/>
      <c r="HK2372" s="4"/>
      <c r="HL2372" s="4"/>
    </row>
    <row r="2373">
      <c r="A2373" s="2" t="s">
        <v>10323</v>
      </c>
      <c r="B2373" s="2" t="s">
        <v>847</v>
      </c>
      <c r="C2373" s="2" t="s">
        <v>288</v>
      </c>
      <c r="D2373" s="2" t="s">
        <v>882</v>
      </c>
      <c r="E2373" s="2" t="s">
        <v>849</v>
      </c>
      <c r="F2373" s="2" t="s">
        <v>10307</v>
      </c>
      <c r="G2373" s="2" t="s">
        <v>10307</v>
      </c>
      <c r="H2373" s="2" t="s">
        <v>10307</v>
      </c>
      <c r="I2373" s="2" t="s">
        <v>10324</v>
      </c>
      <c r="J2373" s="2" t="s">
        <v>807</v>
      </c>
      <c r="K2373" s="2" t="s">
        <v>10325</v>
      </c>
      <c r="L2373" s="3">
        <v>14</v>
      </c>
      <c r="M2373" s="3">
        <v>14.7</v>
      </c>
      <c r="N2373" s="3">
        <v>34.99</v>
      </c>
      <c r="O2373" s="2" t="s">
        <v>243</v>
      </c>
      <c r="P2373" s="2" t="s">
        <v>236</v>
      </c>
      <c r="Q2373" s="2" t="s">
        <v>237</v>
      </c>
      <c r="R2373" s="2" t="s">
        <v>231</v>
      </c>
      <c r="S2373" s="2" t="s">
        <v>231</v>
      </c>
      <c r="T2373" s="2" t="s">
        <v>231</v>
      </c>
      <c r="U2373" s="2" t="s">
        <v>327</v>
      </c>
      <c r="V2373" s="2" t="s">
        <v>2195</v>
      </c>
      <c r="W2373" s="2" t="s">
        <v>10321</v>
      </c>
      <c r="X2373" s="2" t="s">
        <v>792</v>
      </c>
      <c r="Y2373" s="2" t="s">
        <v>2203</v>
      </c>
      <c r="Z2373" s="4">
        <v>93</v>
      </c>
      <c r="AA2373" s="4">
        <f>=ROUNDDOWN(31,0)</f>
      </c>
      <c r="AB2373" s="5">
        <v>3</v>
      </c>
      <c r="AC2373" s="2" t="s">
        <v>231</v>
      </c>
      <c r="AD2373" s="4"/>
      <c r="AE2373" s="4"/>
      <c r="AF2373" s="6">
        <v>63</v>
      </c>
      <c r="AG2373" s="6"/>
      <c r="AH2373" s="7">
        <v>1</v>
      </c>
      <c r="AI2373" s="4"/>
      <c r="AJ2373" s="4">
        <f>=ROUNDDOWN({0},0)</f>
      </c>
      <c r="AK2373" s="5"/>
      <c r="AL2373" s="2" t="s">
        <v>231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231</v>
      </c>
      <c r="BD2373" s="8" t="s">
        <v>231</v>
      </c>
      <c r="BE2373" s="4" t="s">
        <v>231</v>
      </c>
      <c r="BF2373" s="8" t="s">
        <v>231</v>
      </c>
      <c r="BG2373" s="7" t="s">
        <v>231</v>
      </c>
      <c r="BH2373" s="7" t="s">
        <v>231</v>
      </c>
      <c r="BI2373" s="7"/>
      <c r="BJ2373" s="4">
        <v>28</v>
      </c>
      <c r="BK2373" s="8">
        <v>469.39</v>
      </c>
      <c r="BL2373" s="2" t="s">
        <v>10326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10327</v>
      </c>
      <c r="BV2373" s="2" t="s">
        <v>231</v>
      </c>
      <c r="BW2373" s="2" t="s">
        <v>231</v>
      </c>
      <c r="BX2373" s="2" t="s">
        <v>1812</v>
      </c>
      <c r="BY2373" s="2" t="s">
        <v>277</v>
      </c>
      <c r="BZ2373" s="2" t="s">
        <v>243</v>
      </c>
      <c r="CA2373" s="2" t="s">
        <v>2199</v>
      </c>
      <c r="CB2373" s="2" t="s">
        <v>231</v>
      </c>
      <c r="CC2373" s="2" t="s">
        <v>244</v>
      </c>
      <c r="CD2373" s="2" t="s">
        <v>231</v>
      </c>
      <c r="CE2373" s="4"/>
      <c r="CF2373" s="4">
        <v>93</v>
      </c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  <c r="HG2373" s="4"/>
      <c r="HH2373" s="4"/>
      <c r="HI2373" s="4"/>
      <c r="HJ2373" s="4"/>
      <c r="HK2373" s="4"/>
      <c r="HL2373" s="4"/>
    </row>
    <row r="2374">
      <c r="A2374" s="2" t="s">
        <v>10328</v>
      </c>
      <c r="B2374" s="2" t="s">
        <v>847</v>
      </c>
      <c r="C2374" s="2" t="s">
        <v>288</v>
      </c>
      <c r="D2374" s="2" t="s">
        <v>882</v>
      </c>
      <c r="E2374" s="2" t="s">
        <v>849</v>
      </c>
      <c r="F2374" s="2" t="s">
        <v>10307</v>
      </c>
      <c r="G2374" s="2" t="s">
        <v>10307</v>
      </c>
      <c r="H2374" s="2" t="s">
        <v>10307</v>
      </c>
      <c r="I2374" s="2" t="s">
        <v>10329</v>
      </c>
      <c r="J2374" s="2" t="s">
        <v>807</v>
      </c>
      <c r="K2374" s="2" t="s">
        <v>10330</v>
      </c>
      <c r="L2374" s="3">
        <v>14</v>
      </c>
      <c r="M2374" s="3">
        <v>14.7</v>
      </c>
      <c r="N2374" s="3">
        <v>34.99</v>
      </c>
      <c r="O2374" s="2" t="s">
        <v>243</v>
      </c>
      <c r="P2374" s="2" t="s">
        <v>236</v>
      </c>
      <c r="Q2374" s="2" t="s">
        <v>237</v>
      </c>
      <c r="R2374" s="2" t="s">
        <v>231</v>
      </c>
      <c r="S2374" s="2" t="s">
        <v>231</v>
      </c>
      <c r="T2374" s="2" t="s">
        <v>231</v>
      </c>
      <c r="U2374" s="2" t="s">
        <v>327</v>
      </c>
      <c r="V2374" s="2" t="s">
        <v>2195</v>
      </c>
      <c r="W2374" s="2" t="s">
        <v>10321</v>
      </c>
      <c r="X2374" s="2" t="s">
        <v>792</v>
      </c>
      <c r="Y2374" s="2" t="s">
        <v>2203</v>
      </c>
      <c r="Z2374" s="4">
        <v>89</v>
      </c>
      <c r="AA2374" s="4">
        <f>=ROUNDDOWN(49.4444444444444,0)</f>
      </c>
      <c r="AB2374" s="5">
        <v>1.8</v>
      </c>
      <c r="AC2374" s="2" t="s">
        <v>231</v>
      </c>
      <c r="AD2374" s="4"/>
      <c r="AE2374" s="4"/>
      <c r="AF2374" s="6">
        <v>63</v>
      </c>
      <c r="AG2374" s="6"/>
      <c r="AH2374" s="7">
        <v>1</v>
      </c>
      <c r="AI2374" s="4"/>
      <c r="AJ2374" s="4">
        <f>=ROUNDDOWN({0},0)</f>
      </c>
      <c r="AK2374" s="5"/>
      <c r="AL2374" s="2" t="s">
        <v>231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231</v>
      </c>
      <c r="BD2374" s="8" t="s">
        <v>231</v>
      </c>
      <c r="BE2374" s="4" t="s">
        <v>231</v>
      </c>
      <c r="BF2374" s="8" t="s">
        <v>231</v>
      </c>
      <c r="BG2374" s="7" t="s">
        <v>231</v>
      </c>
      <c r="BH2374" s="7" t="s">
        <v>231</v>
      </c>
      <c r="BI2374" s="7"/>
      <c r="BJ2374" s="4">
        <v>18</v>
      </c>
      <c r="BK2374" s="8">
        <v>306.63</v>
      </c>
      <c r="BL2374" s="2" t="s">
        <v>10331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10332</v>
      </c>
      <c r="BV2374" s="2" t="s">
        <v>231</v>
      </c>
      <c r="BW2374" s="2" t="s">
        <v>231</v>
      </c>
      <c r="BX2374" s="2" t="s">
        <v>1812</v>
      </c>
      <c r="BY2374" s="2" t="s">
        <v>277</v>
      </c>
      <c r="BZ2374" s="2" t="s">
        <v>243</v>
      </c>
      <c r="CA2374" s="2" t="s">
        <v>2199</v>
      </c>
      <c r="CB2374" s="2" t="s">
        <v>231</v>
      </c>
      <c r="CC2374" s="2" t="s">
        <v>244</v>
      </c>
      <c r="CD2374" s="2" t="s">
        <v>231</v>
      </c>
      <c r="CE2374" s="4"/>
      <c r="CF2374" s="4">
        <v>89</v>
      </c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/>
      <c r="HB2374" s="4"/>
      <c r="HC2374" s="4"/>
      <c r="HD2374" s="4"/>
      <c r="HE2374" s="4"/>
      <c r="HF2374" s="4"/>
      <c r="HG2374" s="4"/>
      <c r="HH2374" s="4"/>
      <c r="HI2374" s="4"/>
      <c r="HJ2374" s="4"/>
      <c r="HK2374" s="4"/>
      <c r="HL2374" s="4"/>
    </row>
    <row r="2375">
      <c r="A2375" s="2" t="s">
        <v>10333</v>
      </c>
      <c r="B2375" s="2" t="s">
        <v>847</v>
      </c>
      <c r="C2375" s="2" t="s">
        <v>288</v>
      </c>
      <c r="D2375" s="2" t="s">
        <v>882</v>
      </c>
      <c r="E2375" s="2" t="s">
        <v>849</v>
      </c>
      <c r="F2375" s="2" t="s">
        <v>10307</v>
      </c>
      <c r="G2375" s="2" t="s">
        <v>10307</v>
      </c>
      <c r="H2375" s="2" t="s">
        <v>10307</v>
      </c>
      <c r="I2375" s="2" t="s">
        <v>10334</v>
      </c>
      <c r="J2375" s="2" t="s">
        <v>807</v>
      </c>
      <c r="K2375" s="2" t="s">
        <v>10335</v>
      </c>
      <c r="L2375" s="3">
        <v>14</v>
      </c>
      <c r="M2375" s="3">
        <v>14.7</v>
      </c>
      <c r="N2375" s="3">
        <v>34.99</v>
      </c>
      <c r="O2375" s="2" t="s">
        <v>243</v>
      </c>
      <c r="P2375" s="2" t="s">
        <v>236</v>
      </c>
      <c r="Q2375" s="2" t="s">
        <v>237</v>
      </c>
      <c r="R2375" s="2" t="s">
        <v>231</v>
      </c>
      <c r="S2375" s="2" t="s">
        <v>231</v>
      </c>
      <c r="T2375" s="2" t="s">
        <v>231</v>
      </c>
      <c r="U2375" s="2" t="s">
        <v>327</v>
      </c>
      <c r="V2375" s="2" t="s">
        <v>2195</v>
      </c>
      <c r="W2375" s="2" t="s">
        <v>10321</v>
      </c>
      <c r="X2375" s="2" t="s">
        <v>792</v>
      </c>
      <c r="Y2375" s="2" t="s">
        <v>2203</v>
      </c>
      <c r="Z2375" s="4">
        <v>109</v>
      </c>
      <c r="AA2375" s="4">
        <f>=ROUNDDOWN(68.125,0)</f>
      </c>
      <c r="AB2375" s="5">
        <v>1.6</v>
      </c>
      <c r="AC2375" s="2" t="s">
        <v>231</v>
      </c>
      <c r="AD2375" s="4"/>
      <c r="AE2375" s="4"/>
      <c r="AF2375" s="6">
        <v>63</v>
      </c>
      <c r="AG2375" s="6"/>
      <c r="AH2375" s="7">
        <v>1</v>
      </c>
      <c r="AI2375" s="4"/>
      <c r="AJ2375" s="4">
        <f>=ROUNDDOWN({0},0)</f>
      </c>
      <c r="AK2375" s="5"/>
      <c r="AL2375" s="2" t="s">
        <v>231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231</v>
      </c>
      <c r="BD2375" s="8" t="s">
        <v>231</v>
      </c>
      <c r="BE2375" s="4" t="s">
        <v>231</v>
      </c>
      <c r="BF2375" s="8" t="s">
        <v>231</v>
      </c>
      <c r="BG2375" s="7" t="s">
        <v>231</v>
      </c>
      <c r="BH2375" s="7" t="s">
        <v>231</v>
      </c>
      <c r="BI2375" s="7"/>
      <c r="BJ2375" s="4">
        <v>20</v>
      </c>
      <c r="BK2375" s="8">
        <v>378.67</v>
      </c>
      <c r="BL2375" s="2" t="s">
        <v>9573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10336</v>
      </c>
      <c r="BV2375" s="2" t="s">
        <v>231</v>
      </c>
      <c r="BW2375" s="2" t="s">
        <v>231</v>
      </c>
      <c r="BX2375" s="2" t="s">
        <v>1812</v>
      </c>
      <c r="BY2375" s="2" t="s">
        <v>277</v>
      </c>
      <c r="BZ2375" s="2" t="s">
        <v>243</v>
      </c>
      <c r="CA2375" s="2" t="s">
        <v>2199</v>
      </c>
      <c r="CB2375" s="2" t="s">
        <v>231</v>
      </c>
      <c r="CC2375" s="2" t="s">
        <v>244</v>
      </c>
      <c r="CD2375" s="2" t="s">
        <v>231</v>
      </c>
      <c r="CE2375" s="4"/>
      <c r="CF2375" s="4">
        <v>109</v>
      </c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  <c r="HG2375" s="4"/>
      <c r="HH2375" s="4"/>
      <c r="HI2375" s="4"/>
      <c r="HJ2375" s="4"/>
      <c r="HK2375" s="4"/>
      <c r="HL2375" s="4"/>
    </row>
    <row r="2376">
      <c r="A2376" s="2" t="s">
        <v>10337</v>
      </c>
      <c r="B2376" s="2" t="s">
        <v>847</v>
      </c>
      <c r="C2376" s="2" t="s">
        <v>288</v>
      </c>
      <c r="D2376" s="2" t="s">
        <v>882</v>
      </c>
      <c r="E2376" s="2" t="s">
        <v>849</v>
      </c>
      <c r="F2376" s="2" t="s">
        <v>10307</v>
      </c>
      <c r="G2376" s="2" t="s">
        <v>10307</v>
      </c>
      <c r="H2376" s="2" t="s">
        <v>10307</v>
      </c>
      <c r="I2376" s="2" t="s">
        <v>10338</v>
      </c>
      <c r="J2376" s="2" t="s">
        <v>807</v>
      </c>
      <c r="K2376" s="2" t="s">
        <v>10339</v>
      </c>
      <c r="L2376" s="3">
        <v>14</v>
      </c>
      <c r="M2376" s="3">
        <v>14.7</v>
      </c>
      <c r="N2376" s="3">
        <v>34.99</v>
      </c>
      <c r="O2376" s="2" t="s">
        <v>243</v>
      </c>
      <c r="P2376" s="2" t="s">
        <v>270</v>
      </c>
      <c r="Q2376" s="2" t="s">
        <v>237</v>
      </c>
      <c r="R2376" s="2" t="s">
        <v>231</v>
      </c>
      <c r="S2376" s="2" t="s">
        <v>231</v>
      </c>
      <c r="T2376" s="2" t="s">
        <v>231</v>
      </c>
      <c r="U2376" s="2" t="s">
        <v>327</v>
      </c>
      <c r="V2376" s="2" t="s">
        <v>2195</v>
      </c>
      <c r="W2376" s="2" t="s">
        <v>1268</v>
      </c>
      <c r="X2376" s="2" t="s">
        <v>896</v>
      </c>
      <c r="Y2376" s="2" t="s">
        <v>2203</v>
      </c>
      <c r="Z2376" s="4">
        <v>175</v>
      </c>
      <c r="AA2376" s="4">
        <f>=ROUNDDOWN(35,0)</f>
      </c>
      <c r="AB2376" s="5">
        <v>5</v>
      </c>
      <c r="AC2376" s="2" t="s">
        <v>231</v>
      </c>
      <c r="AD2376" s="4"/>
      <c r="AE2376" s="4"/>
      <c r="AF2376" s="6">
        <v>63</v>
      </c>
      <c r="AG2376" s="6"/>
      <c r="AH2376" s="7">
        <v>1</v>
      </c>
      <c r="AI2376" s="4"/>
      <c r="AJ2376" s="4">
        <f>=ROUNDDOWN({0},0)</f>
      </c>
      <c r="AK2376" s="5"/>
      <c r="AL2376" s="2" t="s">
        <v>231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231</v>
      </c>
      <c r="BD2376" s="8" t="s">
        <v>231</v>
      </c>
      <c r="BE2376" s="4" t="s">
        <v>231</v>
      </c>
      <c r="BF2376" s="8" t="s">
        <v>231</v>
      </c>
      <c r="BG2376" s="7" t="s">
        <v>231</v>
      </c>
      <c r="BH2376" s="7" t="s">
        <v>231</v>
      </c>
      <c r="BI2376" s="7"/>
      <c r="BJ2376" s="4">
        <v>32</v>
      </c>
      <c r="BK2376" s="8">
        <v>552.95</v>
      </c>
      <c r="BL2376" s="2" t="s">
        <v>10340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10341</v>
      </c>
      <c r="BV2376" s="2" t="s">
        <v>231</v>
      </c>
      <c r="BW2376" s="2" t="s">
        <v>231</v>
      </c>
      <c r="BX2376" s="2" t="s">
        <v>1812</v>
      </c>
      <c r="BY2376" s="2" t="s">
        <v>277</v>
      </c>
      <c r="BZ2376" s="2" t="s">
        <v>243</v>
      </c>
      <c r="CA2376" s="2" t="s">
        <v>2199</v>
      </c>
      <c r="CB2376" s="2" t="s">
        <v>3201</v>
      </c>
      <c r="CC2376" s="2" t="s">
        <v>244</v>
      </c>
      <c r="CD2376" s="2" t="s">
        <v>231</v>
      </c>
      <c r="CE2376" s="4"/>
      <c r="CF2376" s="4">
        <v>175</v>
      </c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  <c r="HG2376" s="4"/>
      <c r="HH2376" s="4"/>
      <c r="HI2376" s="4"/>
      <c r="HJ2376" s="4"/>
      <c r="HK2376" s="4"/>
      <c r="HL2376" s="4"/>
    </row>
    <row r="2377">
      <c r="A2377" s="2" t="s">
        <v>10342</v>
      </c>
      <c r="B2377" s="2" t="s">
        <v>1004</v>
      </c>
      <c r="C2377" s="2" t="s">
        <v>867</v>
      </c>
      <c r="D2377" s="2" t="s">
        <v>1837</v>
      </c>
      <c r="E2377" s="2" t="s">
        <v>6476</v>
      </c>
      <c r="F2377" s="2" t="s">
        <v>10343</v>
      </c>
      <c r="G2377" s="2" t="s">
        <v>10343</v>
      </c>
      <c r="H2377" s="2" t="s">
        <v>10343</v>
      </c>
      <c r="I2377" s="2" t="s">
        <v>10344</v>
      </c>
      <c r="J2377" s="2" t="s">
        <v>807</v>
      </c>
      <c r="K2377" s="2" t="s">
        <v>901</v>
      </c>
      <c r="L2377" s="3">
        <v>212</v>
      </c>
      <c r="M2377" s="3">
        <v>222.6</v>
      </c>
      <c r="N2377" s="3">
        <v>449</v>
      </c>
      <c r="O2377" s="2" t="s">
        <v>243</v>
      </c>
      <c r="P2377" s="2" t="s">
        <v>236</v>
      </c>
      <c r="Q2377" s="2" t="s">
        <v>237</v>
      </c>
      <c r="R2377" s="2" t="s">
        <v>231</v>
      </c>
      <c r="S2377" s="2" t="s">
        <v>231</v>
      </c>
      <c r="T2377" s="2" t="s">
        <v>231</v>
      </c>
      <c r="U2377" s="2" t="s">
        <v>327</v>
      </c>
      <c r="V2377" s="2" t="s">
        <v>662</v>
      </c>
      <c r="W2377" s="2" t="s">
        <v>10345</v>
      </c>
      <c r="X2377" s="2" t="s">
        <v>5476</v>
      </c>
      <c r="Y2377" s="2" t="s">
        <v>2735</v>
      </c>
      <c r="Z2377" s="4">
        <v>95</v>
      </c>
      <c r="AA2377" s="4">
        <f>=ROUNDDOWN({0},0)</f>
      </c>
      <c r="AB2377" s="5"/>
      <c r="AC2377" s="2" t="s">
        <v>231</v>
      </c>
      <c r="AD2377" s="4"/>
      <c r="AE2377" s="4"/>
      <c r="AF2377" s="6">
        <v>76</v>
      </c>
      <c r="AG2377" s="6"/>
      <c r="AH2377" s="7">
        <v>1</v>
      </c>
      <c r="AI2377" s="4"/>
      <c r="AJ2377" s="4">
        <f>=ROUNDDOWN({0},0)</f>
      </c>
      <c r="AK2377" s="5"/>
      <c r="AL2377" s="2" t="s">
        <v>231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 t="s">
        <v>231</v>
      </c>
      <c r="BD2377" s="8" t="s">
        <v>231</v>
      </c>
      <c r="BE2377" s="4" t="s">
        <v>231</v>
      </c>
      <c r="BF2377" s="8" t="s">
        <v>231</v>
      </c>
      <c r="BG2377" s="7" t="s">
        <v>231</v>
      </c>
      <c r="BH2377" s="7" t="s">
        <v>231</v>
      </c>
      <c r="BI2377" s="7"/>
      <c r="BJ2377" s="4">
        <v>1</v>
      </c>
      <c r="BK2377" s="8">
        <v>229.28</v>
      </c>
      <c r="BL2377" s="2" t="s">
        <v>628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10346</v>
      </c>
      <c r="BV2377" s="2" t="s">
        <v>231</v>
      </c>
      <c r="BW2377" s="2" t="s">
        <v>231</v>
      </c>
      <c r="BX2377" s="2" t="s">
        <v>241</v>
      </c>
      <c r="BY2377" s="2" t="s">
        <v>277</v>
      </c>
      <c r="BZ2377" s="2" t="s">
        <v>243</v>
      </c>
      <c r="CA2377" s="2" t="s">
        <v>2637</v>
      </c>
      <c r="CB2377" s="2" t="s">
        <v>231</v>
      </c>
      <c r="CC2377" s="2" t="s">
        <v>244</v>
      </c>
      <c r="CD2377" s="2" t="s">
        <v>231</v>
      </c>
      <c r="CE2377" s="4"/>
      <c r="CF2377" s="4">
        <v>95</v>
      </c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  <c r="HG2377" s="4"/>
      <c r="HH2377" s="4"/>
      <c r="HI2377" s="4"/>
      <c r="HJ2377" s="4"/>
      <c r="HK2377" s="4"/>
      <c r="HL2377" s="4"/>
    </row>
    <row r="2378">
      <c r="A2378" s="2" t="s">
        <v>10347</v>
      </c>
      <c r="B2378" s="2" t="s">
        <v>1004</v>
      </c>
      <c r="C2378" s="2" t="s">
        <v>867</v>
      </c>
      <c r="D2378" s="2" t="s">
        <v>1689</v>
      </c>
      <c r="E2378" s="2" t="s">
        <v>2538</v>
      </c>
      <c r="F2378" s="2" t="s">
        <v>10343</v>
      </c>
      <c r="G2378" s="2" t="s">
        <v>10343</v>
      </c>
      <c r="H2378" s="2" t="s">
        <v>10343</v>
      </c>
      <c r="I2378" s="2" t="s">
        <v>10348</v>
      </c>
      <c r="J2378" s="2" t="s">
        <v>807</v>
      </c>
      <c r="K2378" s="2" t="s">
        <v>10349</v>
      </c>
      <c r="L2378" s="3">
        <v>215</v>
      </c>
      <c r="M2378" s="3">
        <v>225.75</v>
      </c>
      <c r="N2378" s="3">
        <v>449</v>
      </c>
      <c r="O2378" s="2" t="s">
        <v>243</v>
      </c>
      <c r="P2378" s="2" t="s">
        <v>236</v>
      </c>
      <c r="Q2378" s="2" t="s">
        <v>237</v>
      </c>
      <c r="R2378" s="2" t="s">
        <v>231</v>
      </c>
      <c r="S2378" s="2" t="s">
        <v>231</v>
      </c>
      <c r="T2378" s="2" t="s">
        <v>231</v>
      </c>
      <c r="U2378" s="2" t="s">
        <v>327</v>
      </c>
      <c r="V2378" s="2" t="s">
        <v>662</v>
      </c>
      <c r="W2378" s="2" t="s">
        <v>676</v>
      </c>
      <c r="X2378" s="2" t="s">
        <v>5476</v>
      </c>
      <c r="Y2378" s="2" t="s">
        <v>1859</v>
      </c>
      <c r="Z2378" s="4">
        <v>100</v>
      </c>
      <c r="AA2378" s="4">
        <f>=ROUNDDOWN(500,0)</f>
      </c>
      <c r="AB2378" s="5">
        <v>0.2</v>
      </c>
      <c r="AC2378" s="2" t="s">
        <v>231</v>
      </c>
      <c r="AD2378" s="4"/>
      <c r="AE2378" s="4"/>
      <c r="AF2378" s="6">
        <v>74</v>
      </c>
      <c r="AG2378" s="6"/>
      <c r="AH2378" s="7">
        <v>1</v>
      </c>
      <c r="AI2378" s="4"/>
      <c r="AJ2378" s="4">
        <f>=ROUNDDOWN({0},0)</f>
      </c>
      <c r="AK2378" s="5"/>
      <c r="AL2378" s="2" t="s">
        <v>231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231</v>
      </c>
      <c r="AW2378" s="8" t="s">
        <v>231</v>
      </c>
      <c r="AX2378" s="4" t="s">
        <v>231</v>
      </c>
      <c r="AY2378" s="8" t="s">
        <v>231</v>
      </c>
      <c r="AZ2378" s="7" t="s">
        <v>231</v>
      </c>
      <c r="BA2378" s="7" t="s">
        <v>231</v>
      </c>
      <c r="BB2378" s="7" t="s">
        <v>231</v>
      </c>
      <c r="BC2378" s="4" t="s">
        <v>231</v>
      </c>
      <c r="BD2378" s="8" t="s">
        <v>231</v>
      </c>
      <c r="BE2378" s="4" t="s">
        <v>231</v>
      </c>
      <c r="BF2378" s="8" t="s">
        <v>231</v>
      </c>
      <c r="BG2378" s="7" t="s">
        <v>231</v>
      </c>
      <c r="BH2378" s="7" t="s">
        <v>231</v>
      </c>
      <c r="BI2378" s="7"/>
      <c r="BJ2378" s="4">
        <v>2</v>
      </c>
      <c r="BK2378" s="8">
        <v>451.5</v>
      </c>
      <c r="BL2378" s="2" t="s">
        <v>1306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241</v>
      </c>
      <c r="BV2378" s="2" t="s">
        <v>231</v>
      </c>
      <c r="BW2378" s="2" t="s">
        <v>231</v>
      </c>
      <c r="BX2378" s="2" t="s">
        <v>241</v>
      </c>
      <c r="BY2378" s="2" t="s">
        <v>1121</v>
      </c>
      <c r="BZ2378" s="2" t="s">
        <v>243</v>
      </c>
      <c r="CA2378" s="2" t="s">
        <v>231</v>
      </c>
      <c r="CB2378" s="2" t="s">
        <v>231</v>
      </c>
      <c r="CC2378" s="2" t="s">
        <v>244</v>
      </c>
      <c r="CD2378" s="2" t="s">
        <v>231</v>
      </c>
      <c r="CE2378" s="4"/>
      <c r="CF2378" s="4">
        <v>100</v>
      </c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  <c r="HG2378" s="4"/>
      <c r="HH2378" s="4"/>
      <c r="HI2378" s="4"/>
      <c r="HJ2378" s="4"/>
      <c r="HK2378" s="4"/>
      <c r="HL2378" s="4"/>
    </row>
    <row r="2379">
      <c r="A2379" s="2" t="s">
        <v>10350</v>
      </c>
      <c r="B2379" s="2" t="s">
        <v>1004</v>
      </c>
      <c r="C2379" s="2" t="s">
        <v>867</v>
      </c>
      <c r="D2379" s="2" t="s">
        <v>2014</v>
      </c>
      <c r="E2379" s="2" t="s">
        <v>2015</v>
      </c>
      <c r="F2379" s="2" t="s">
        <v>10343</v>
      </c>
      <c r="G2379" s="2" t="s">
        <v>10343</v>
      </c>
      <c r="H2379" s="2" t="s">
        <v>10343</v>
      </c>
      <c r="I2379" s="2" t="s">
        <v>10351</v>
      </c>
      <c r="J2379" s="2" t="s">
        <v>807</v>
      </c>
      <c r="K2379" s="2" t="s">
        <v>10349</v>
      </c>
      <c r="L2379" s="3">
        <v>278</v>
      </c>
      <c r="M2379" s="3">
        <v>291.9</v>
      </c>
      <c r="N2379" s="3">
        <v>599</v>
      </c>
      <c r="O2379" s="2" t="s">
        <v>243</v>
      </c>
      <c r="P2379" s="2" t="s">
        <v>236</v>
      </c>
      <c r="Q2379" s="2" t="s">
        <v>237</v>
      </c>
      <c r="R2379" s="2" t="s">
        <v>231</v>
      </c>
      <c r="S2379" s="2" t="s">
        <v>231</v>
      </c>
      <c r="T2379" s="2" t="s">
        <v>231</v>
      </c>
      <c r="U2379" s="2" t="s">
        <v>327</v>
      </c>
      <c r="V2379" s="2" t="s">
        <v>662</v>
      </c>
      <c r="W2379" s="2" t="s">
        <v>676</v>
      </c>
      <c r="X2379" s="2" t="s">
        <v>5476</v>
      </c>
      <c r="Y2379" s="2" t="s">
        <v>1859</v>
      </c>
      <c r="Z2379" s="4">
        <v>95</v>
      </c>
      <c r="AA2379" s="4">
        <f>=ROUNDDOWN({0},0)</f>
      </c>
      <c r="AB2379" s="5"/>
      <c r="AC2379" s="2" t="s">
        <v>794</v>
      </c>
      <c r="AD2379" s="4">
        <v>4</v>
      </c>
      <c r="AE2379" s="4">
        <v>4</v>
      </c>
      <c r="AF2379" s="6">
        <v>74</v>
      </c>
      <c r="AG2379" s="6"/>
      <c r="AH2379" s="7">
        <v>1</v>
      </c>
      <c r="AI2379" s="4"/>
      <c r="AJ2379" s="4">
        <f>=ROUNDDOWN({0},0)</f>
      </c>
      <c r="AK2379" s="5"/>
      <c r="AL2379" s="2" t="s">
        <v>231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231</v>
      </c>
      <c r="AW2379" s="8" t="s">
        <v>231</v>
      </c>
      <c r="AX2379" s="4" t="s">
        <v>231</v>
      </c>
      <c r="AY2379" s="8" t="s">
        <v>231</v>
      </c>
      <c r="AZ2379" s="7" t="s">
        <v>231</v>
      </c>
      <c r="BA2379" s="7" t="s">
        <v>231</v>
      </c>
      <c r="BB2379" s="7" t="s">
        <v>231</v>
      </c>
      <c r="BC2379" s="4" t="s">
        <v>231</v>
      </c>
      <c r="BD2379" s="8" t="s">
        <v>231</v>
      </c>
      <c r="BE2379" s="4" t="s">
        <v>231</v>
      </c>
      <c r="BF2379" s="8" t="s">
        <v>231</v>
      </c>
      <c r="BG2379" s="7" t="s">
        <v>231</v>
      </c>
      <c r="BH2379" s="7" t="s">
        <v>231</v>
      </c>
      <c r="BI2379" s="7"/>
      <c r="BJ2379" s="4"/>
      <c r="BK2379" s="8"/>
      <c r="BL2379" s="2" t="s">
        <v>231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241</v>
      </c>
      <c r="BV2379" s="2" t="s">
        <v>231</v>
      </c>
      <c r="BW2379" s="2" t="s">
        <v>231</v>
      </c>
      <c r="BX2379" s="2" t="s">
        <v>241</v>
      </c>
      <c r="BY2379" s="2" t="s">
        <v>1121</v>
      </c>
      <c r="BZ2379" s="2" t="s">
        <v>243</v>
      </c>
      <c r="CA2379" s="2" t="s">
        <v>231</v>
      </c>
      <c r="CB2379" s="2" t="s">
        <v>231</v>
      </c>
      <c r="CC2379" s="2" t="s">
        <v>244</v>
      </c>
      <c r="CD2379" s="2" t="s">
        <v>231</v>
      </c>
      <c r="CE2379" s="4"/>
      <c r="CF2379" s="4">
        <v>95</v>
      </c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>
        <v>4</v>
      </c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  <c r="HG2379" s="4"/>
      <c r="HH2379" s="4"/>
      <c r="HI2379" s="4"/>
      <c r="HJ2379" s="4"/>
      <c r="HK2379" s="4"/>
      <c r="HL2379" s="4"/>
    </row>
    <row r="2380">
      <c r="A2380" s="2" t="s">
        <v>10352</v>
      </c>
      <c r="B2380" s="2" t="s">
        <v>1186</v>
      </c>
      <c r="C2380" s="2" t="s">
        <v>241</v>
      </c>
      <c r="D2380" s="2" t="s">
        <v>654</v>
      </c>
      <c r="E2380" s="2" t="s">
        <v>890</v>
      </c>
      <c r="F2380" s="2" t="s">
        <v>10285</v>
      </c>
      <c r="G2380" s="2" t="s">
        <v>10353</v>
      </c>
      <c r="H2380" s="2" t="s">
        <v>6561</v>
      </c>
      <c r="I2380" s="2" t="s">
        <v>10354</v>
      </c>
      <c r="J2380" s="2" t="s">
        <v>832</v>
      </c>
      <c r="K2380" s="2" t="s">
        <v>486</v>
      </c>
      <c r="L2380" s="3">
        <v>22.85</v>
      </c>
      <c r="M2380" s="3">
        <v>23.99</v>
      </c>
      <c r="N2380" s="3">
        <v>47.99</v>
      </c>
      <c r="O2380" s="2" t="s">
        <v>243</v>
      </c>
      <c r="P2380" s="2" t="s">
        <v>236</v>
      </c>
      <c r="Q2380" s="2" t="s">
        <v>237</v>
      </c>
      <c r="R2380" s="2" t="s">
        <v>231</v>
      </c>
      <c r="S2380" s="2" t="s">
        <v>10355</v>
      </c>
      <c r="T2380" s="2" t="s">
        <v>472</v>
      </c>
      <c r="U2380" s="2" t="s">
        <v>791</v>
      </c>
      <c r="V2380" s="2" t="s">
        <v>987</v>
      </c>
      <c r="W2380" s="2" t="s">
        <v>2897</v>
      </c>
      <c r="X2380" s="2" t="s">
        <v>273</v>
      </c>
      <c r="Y2380" s="2" t="s">
        <v>10356</v>
      </c>
      <c r="Z2380" s="4">
        <v>387</v>
      </c>
      <c r="AA2380" s="4">
        <f>=ROUNDDOWN(55.2857142857143,0)</f>
      </c>
      <c r="AB2380" s="5">
        <v>7</v>
      </c>
      <c r="AC2380" s="2" t="s">
        <v>876</v>
      </c>
      <c r="AD2380" s="4">
        <v>135</v>
      </c>
      <c r="AE2380" s="4">
        <v>318</v>
      </c>
      <c r="AF2380" s="6">
        <v>63</v>
      </c>
      <c r="AG2380" s="6">
        <v>46</v>
      </c>
      <c r="AH2380" s="7">
        <v>0</v>
      </c>
      <c r="AI2380" s="4"/>
      <c r="AJ2380" s="4">
        <f>=ROUNDDOWN({0},0)</f>
      </c>
      <c r="AK2380" s="5"/>
      <c r="AL2380" s="2" t="s">
        <v>231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231</v>
      </c>
      <c r="AW2380" s="8" t="s">
        <v>231</v>
      </c>
      <c r="AX2380" s="4" t="s">
        <v>231</v>
      </c>
      <c r="AY2380" s="8" t="s">
        <v>231</v>
      </c>
      <c r="AZ2380" s="7" t="s">
        <v>231</v>
      </c>
      <c r="BA2380" s="7" t="s">
        <v>231</v>
      </c>
      <c r="BB2380" s="7"/>
      <c r="BC2380" s="4" t="s">
        <v>231</v>
      </c>
      <c r="BD2380" s="8" t="s">
        <v>231</v>
      </c>
      <c r="BE2380" s="4" t="s">
        <v>231</v>
      </c>
      <c r="BF2380" s="8" t="s">
        <v>231</v>
      </c>
      <c r="BG2380" s="7" t="s">
        <v>231</v>
      </c>
      <c r="BH2380" s="7" t="s">
        <v>231</v>
      </c>
      <c r="BI2380" s="7"/>
      <c r="BJ2380" s="4"/>
      <c r="BK2380" s="8"/>
      <c r="BL2380" s="2" t="s">
        <v>231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10357</v>
      </c>
      <c r="BV2380" s="2" t="s">
        <v>231</v>
      </c>
      <c r="BW2380" s="2" t="s">
        <v>231</v>
      </c>
      <c r="BX2380" s="2" t="s">
        <v>2109</v>
      </c>
      <c r="BY2380" s="2" t="s">
        <v>277</v>
      </c>
      <c r="BZ2380" s="2" t="s">
        <v>243</v>
      </c>
      <c r="CA2380" s="2" t="s">
        <v>231</v>
      </c>
      <c r="CB2380" s="2" t="s">
        <v>231</v>
      </c>
      <c r="CC2380" s="2" t="s">
        <v>244</v>
      </c>
      <c r="CD2380" s="2" t="s">
        <v>231</v>
      </c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>
        <v>387</v>
      </c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>
        <v>135</v>
      </c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>
        <v>99</v>
      </c>
      <c r="EL2380" s="4"/>
      <c r="EM2380" s="4"/>
      <c r="EN2380" s="4"/>
      <c r="EO2380" s="4"/>
      <c r="EP2380" s="4"/>
      <c r="EQ2380" s="4"/>
      <c r="ER2380" s="4"/>
      <c r="ES2380" s="4">
        <v>84</v>
      </c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  <c r="HF2380" s="4"/>
      <c r="HG2380" s="4"/>
      <c r="HH2380" s="4"/>
      <c r="HI2380" s="4"/>
      <c r="HJ2380" s="4"/>
      <c r="HK2380" s="4"/>
      <c r="HL2380" s="4"/>
    </row>
    <row r="2381">
      <c r="A2381" s="2" t="s">
        <v>10358</v>
      </c>
      <c r="B2381" s="2" t="s">
        <v>1186</v>
      </c>
      <c r="C2381" s="2" t="s">
        <v>241</v>
      </c>
      <c r="D2381" s="2" t="s">
        <v>654</v>
      </c>
      <c r="E2381" s="2" t="s">
        <v>890</v>
      </c>
      <c r="F2381" s="2" t="s">
        <v>10285</v>
      </c>
      <c r="G2381" s="2" t="s">
        <v>10353</v>
      </c>
      <c r="H2381" s="2" t="s">
        <v>6561</v>
      </c>
      <c r="I2381" s="2" t="s">
        <v>10354</v>
      </c>
      <c r="J2381" s="2" t="s">
        <v>658</v>
      </c>
      <c r="K2381" s="2" t="s">
        <v>486</v>
      </c>
      <c r="L2381" s="3">
        <v>27.61</v>
      </c>
      <c r="M2381" s="3">
        <v>28.99</v>
      </c>
      <c r="N2381" s="3">
        <v>57.99</v>
      </c>
      <c r="O2381" s="2" t="s">
        <v>243</v>
      </c>
      <c r="P2381" s="2" t="s">
        <v>236</v>
      </c>
      <c r="Q2381" s="2" t="s">
        <v>237</v>
      </c>
      <c r="R2381" s="2" t="s">
        <v>231</v>
      </c>
      <c r="S2381" s="2" t="s">
        <v>10355</v>
      </c>
      <c r="T2381" s="2" t="s">
        <v>472</v>
      </c>
      <c r="U2381" s="2" t="s">
        <v>835</v>
      </c>
      <c r="V2381" s="2" t="s">
        <v>987</v>
      </c>
      <c r="W2381" s="2" t="s">
        <v>2897</v>
      </c>
      <c r="X2381" s="2" t="s">
        <v>273</v>
      </c>
      <c r="Y2381" s="2" t="s">
        <v>10356</v>
      </c>
      <c r="Z2381" s="4"/>
      <c r="AA2381" s="4">
        <f>=ROUNDDOWN({0},0)</f>
      </c>
      <c r="AB2381" s="5">
        <v>3.5</v>
      </c>
      <c r="AC2381" s="2" t="s">
        <v>3693</v>
      </c>
      <c r="AD2381" s="4">
        <v>711</v>
      </c>
      <c r="AE2381" s="4">
        <v>1848</v>
      </c>
      <c r="AF2381" s="6">
        <v>63</v>
      </c>
      <c r="AG2381" s="6">
        <v>46</v>
      </c>
      <c r="AH2381" s="7">
        <v>0</v>
      </c>
      <c r="AI2381" s="4"/>
      <c r="AJ2381" s="4">
        <f>=ROUNDDOWN({0},0)</f>
      </c>
      <c r="AK2381" s="5"/>
      <c r="AL2381" s="2" t="s">
        <v>231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231</v>
      </c>
      <c r="AW2381" s="8" t="s">
        <v>231</v>
      </c>
      <c r="AX2381" s="4" t="s">
        <v>231</v>
      </c>
      <c r="AY2381" s="8" t="s">
        <v>231</v>
      </c>
      <c r="AZ2381" s="7" t="s">
        <v>231</v>
      </c>
      <c r="BA2381" s="7" t="s">
        <v>231</v>
      </c>
      <c r="BB2381" s="7"/>
      <c r="BC2381" s="4" t="s">
        <v>231</v>
      </c>
      <c r="BD2381" s="8" t="s">
        <v>231</v>
      </c>
      <c r="BE2381" s="4" t="s">
        <v>231</v>
      </c>
      <c r="BF2381" s="8" t="s">
        <v>231</v>
      </c>
      <c r="BG2381" s="7" t="s">
        <v>231</v>
      </c>
      <c r="BH2381" s="7" t="s">
        <v>231</v>
      </c>
      <c r="BI2381" s="7"/>
      <c r="BJ2381" s="4"/>
      <c r="BK2381" s="8"/>
      <c r="BL2381" s="2" t="s">
        <v>231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10359</v>
      </c>
      <c r="BV2381" s="2" t="s">
        <v>231</v>
      </c>
      <c r="BW2381" s="2" t="s">
        <v>231</v>
      </c>
      <c r="BX2381" s="2" t="s">
        <v>2109</v>
      </c>
      <c r="BY2381" s="2" t="s">
        <v>277</v>
      </c>
      <c r="BZ2381" s="2" t="s">
        <v>243</v>
      </c>
      <c r="CA2381" s="2" t="s">
        <v>231</v>
      </c>
      <c r="CB2381" s="2" t="s">
        <v>231</v>
      </c>
      <c r="CC2381" s="2" t="s">
        <v>244</v>
      </c>
      <c r="CD2381" s="2" t="s">
        <v>231</v>
      </c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>
        <v>711</v>
      </c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>
        <v>537</v>
      </c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>
        <v>246</v>
      </c>
      <c r="EL2381" s="4"/>
      <c r="EM2381" s="4"/>
      <c r="EN2381" s="4"/>
      <c r="EO2381" s="4"/>
      <c r="EP2381" s="4"/>
      <c r="EQ2381" s="4"/>
      <c r="ER2381" s="4"/>
      <c r="ES2381" s="4">
        <v>354</v>
      </c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</row>
    <row r="2382">
      <c r="A2382" s="2" t="s">
        <v>10360</v>
      </c>
      <c r="B2382" s="2" t="s">
        <v>1186</v>
      </c>
      <c r="C2382" s="2" t="s">
        <v>241</v>
      </c>
      <c r="D2382" s="2" t="s">
        <v>654</v>
      </c>
      <c r="E2382" s="2" t="s">
        <v>890</v>
      </c>
      <c r="F2382" s="2" t="s">
        <v>10285</v>
      </c>
      <c r="G2382" s="2" t="s">
        <v>10353</v>
      </c>
      <c r="H2382" s="2" t="s">
        <v>6561</v>
      </c>
      <c r="I2382" s="2" t="s">
        <v>10354</v>
      </c>
      <c r="J2382" s="2" t="s">
        <v>669</v>
      </c>
      <c r="K2382" s="2" t="s">
        <v>486</v>
      </c>
      <c r="L2382" s="3">
        <v>30.95</v>
      </c>
      <c r="M2382" s="3">
        <v>32.5</v>
      </c>
      <c r="N2382" s="3">
        <v>64.99</v>
      </c>
      <c r="O2382" s="2" t="s">
        <v>243</v>
      </c>
      <c r="P2382" s="2" t="s">
        <v>236</v>
      </c>
      <c r="Q2382" s="2" t="s">
        <v>237</v>
      </c>
      <c r="R2382" s="2" t="s">
        <v>231</v>
      </c>
      <c r="S2382" s="2" t="s">
        <v>10355</v>
      </c>
      <c r="T2382" s="2" t="s">
        <v>472</v>
      </c>
      <c r="U2382" s="2" t="s">
        <v>835</v>
      </c>
      <c r="V2382" s="2" t="s">
        <v>987</v>
      </c>
      <c r="W2382" s="2" t="s">
        <v>2897</v>
      </c>
      <c r="X2382" s="2" t="s">
        <v>273</v>
      </c>
      <c r="Y2382" s="2" t="s">
        <v>2279</v>
      </c>
      <c r="Z2382" s="4">
        <v>574</v>
      </c>
      <c r="AA2382" s="4">
        <f>=ROUNDDOWN({0},0)</f>
      </c>
      <c r="AB2382" s="5"/>
      <c r="AC2382" s="2" t="s">
        <v>876</v>
      </c>
      <c r="AD2382" s="4">
        <v>430</v>
      </c>
      <c r="AE2382" s="4">
        <v>930</v>
      </c>
      <c r="AF2382" s="6">
        <v>63</v>
      </c>
      <c r="AG2382" s="6">
        <v>46</v>
      </c>
      <c r="AH2382" s="7">
        <v>0</v>
      </c>
      <c r="AI2382" s="4"/>
      <c r="AJ2382" s="4">
        <f>=ROUNDDOWN({0},0)</f>
      </c>
      <c r="AK2382" s="5"/>
      <c r="AL2382" s="2" t="s">
        <v>231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231</v>
      </c>
      <c r="AW2382" s="8" t="s">
        <v>231</v>
      </c>
      <c r="AX2382" s="4" t="s">
        <v>231</v>
      </c>
      <c r="AY2382" s="8" t="s">
        <v>231</v>
      </c>
      <c r="AZ2382" s="7" t="s">
        <v>231</v>
      </c>
      <c r="BA2382" s="7" t="s">
        <v>231</v>
      </c>
      <c r="BB2382" s="7"/>
      <c r="BC2382" s="4" t="s">
        <v>231</v>
      </c>
      <c r="BD2382" s="8" t="s">
        <v>231</v>
      </c>
      <c r="BE2382" s="4" t="s">
        <v>231</v>
      </c>
      <c r="BF2382" s="8" t="s">
        <v>231</v>
      </c>
      <c r="BG2382" s="7" t="s">
        <v>231</v>
      </c>
      <c r="BH2382" s="7" t="s">
        <v>231</v>
      </c>
      <c r="BI2382" s="7"/>
      <c r="BJ2382" s="4"/>
      <c r="BK2382" s="8"/>
      <c r="BL2382" s="2" t="s">
        <v>231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10361</v>
      </c>
      <c r="BV2382" s="2" t="s">
        <v>231</v>
      </c>
      <c r="BW2382" s="2" t="s">
        <v>231</v>
      </c>
      <c r="BX2382" s="2" t="s">
        <v>2109</v>
      </c>
      <c r="BY2382" s="2" t="s">
        <v>277</v>
      </c>
      <c r="BZ2382" s="2" t="s">
        <v>243</v>
      </c>
      <c r="CA2382" s="2" t="s">
        <v>231</v>
      </c>
      <c r="CB2382" s="2" t="s">
        <v>231</v>
      </c>
      <c r="CC2382" s="2" t="s">
        <v>244</v>
      </c>
      <c r="CD2382" s="2" t="s">
        <v>231</v>
      </c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>
        <v>574</v>
      </c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>
        <v>430</v>
      </c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>
        <v>232</v>
      </c>
      <c r="EL2382" s="4"/>
      <c r="EM2382" s="4"/>
      <c r="EN2382" s="4"/>
      <c r="EO2382" s="4"/>
      <c r="EP2382" s="4"/>
      <c r="EQ2382" s="4"/>
      <c r="ER2382" s="4"/>
      <c r="ES2382" s="4">
        <v>268</v>
      </c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  <c r="HG2382" s="4"/>
      <c r="HH2382" s="4"/>
      <c r="HI2382" s="4"/>
      <c r="HJ2382" s="4"/>
      <c r="HK2382" s="4"/>
      <c r="HL2382" s="4"/>
    </row>
    <row r="2383">
      <c r="A2383" s="2" t="s">
        <v>10362</v>
      </c>
      <c r="B2383" s="2" t="s">
        <v>1186</v>
      </c>
      <c r="C2383" s="2" t="s">
        <v>241</v>
      </c>
      <c r="D2383" s="2" t="s">
        <v>654</v>
      </c>
      <c r="E2383" s="2" t="s">
        <v>890</v>
      </c>
      <c r="F2383" s="2" t="s">
        <v>10285</v>
      </c>
      <c r="G2383" s="2" t="s">
        <v>10353</v>
      </c>
      <c r="H2383" s="2" t="s">
        <v>6561</v>
      </c>
      <c r="I2383" s="2" t="s">
        <v>10354</v>
      </c>
      <c r="J2383" s="2" t="s">
        <v>832</v>
      </c>
      <c r="K2383" s="2" t="s">
        <v>253</v>
      </c>
      <c r="L2383" s="3">
        <v>22.85</v>
      </c>
      <c r="M2383" s="3">
        <v>23.99</v>
      </c>
      <c r="N2383" s="3">
        <v>47.99</v>
      </c>
      <c r="O2383" s="2" t="s">
        <v>243</v>
      </c>
      <c r="P2383" s="2" t="s">
        <v>236</v>
      </c>
      <c r="Q2383" s="2" t="s">
        <v>237</v>
      </c>
      <c r="R2383" s="2" t="s">
        <v>231</v>
      </c>
      <c r="S2383" s="2" t="s">
        <v>10363</v>
      </c>
      <c r="T2383" s="2" t="s">
        <v>472</v>
      </c>
      <c r="U2383" s="2" t="s">
        <v>791</v>
      </c>
      <c r="V2383" s="2" t="s">
        <v>987</v>
      </c>
      <c r="W2383" s="2" t="s">
        <v>2897</v>
      </c>
      <c r="X2383" s="2" t="s">
        <v>273</v>
      </c>
      <c r="Y2383" s="2" t="s">
        <v>10356</v>
      </c>
      <c r="Z2383" s="4"/>
      <c r="AA2383" s="4">
        <f>=ROUNDDOWN({0},0)</f>
      </c>
      <c r="AB2383" s="5">
        <v>7</v>
      </c>
      <c r="AC2383" s="2" t="s">
        <v>3693</v>
      </c>
      <c r="AD2383" s="4">
        <v>255</v>
      </c>
      <c r="AE2383" s="4">
        <v>654</v>
      </c>
      <c r="AF2383" s="6">
        <v>63</v>
      </c>
      <c r="AG2383" s="6">
        <v>46</v>
      </c>
      <c r="AH2383" s="7">
        <v>0</v>
      </c>
      <c r="AI2383" s="4"/>
      <c r="AJ2383" s="4">
        <f>=ROUNDDOWN({0},0)</f>
      </c>
      <c r="AK2383" s="5"/>
      <c r="AL2383" s="2" t="s">
        <v>231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231</v>
      </c>
      <c r="AW2383" s="8" t="s">
        <v>231</v>
      </c>
      <c r="AX2383" s="4" t="s">
        <v>231</v>
      </c>
      <c r="AY2383" s="8" t="s">
        <v>231</v>
      </c>
      <c r="AZ2383" s="7" t="s">
        <v>231</v>
      </c>
      <c r="BA2383" s="7" t="s">
        <v>231</v>
      </c>
      <c r="BB2383" s="7"/>
      <c r="BC2383" s="4" t="s">
        <v>231</v>
      </c>
      <c r="BD2383" s="8" t="s">
        <v>231</v>
      </c>
      <c r="BE2383" s="4" t="s">
        <v>231</v>
      </c>
      <c r="BF2383" s="8" t="s">
        <v>231</v>
      </c>
      <c r="BG2383" s="7" t="s">
        <v>231</v>
      </c>
      <c r="BH2383" s="7" t="s">
        <v>231</v>
      </c>
      <c r="BI2383" s="7"/>
      <c r="BJ2383" s="4"/>
      <c r="BK2383" s="8"/>
      <c r="BL2383" s="2" t="s">
        <v>231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10364</v>
      </c>
      <c r="BV2383" s="2" t="s">
        <v>231</v>
      </c>
      <c r="BW2383" s="2" t="s">
        <v>231</v>
      </c>
      <c r="BX2383" s="2" t="s">
        <v>2109</v>
      </c>
      <c r="BY2383" s="2" t="s">
        <v>277</v>
      </c>
      <c r="BZ2383" s="2" t="s">
        <v>243</v>
      </c>
      <c r="CA2383" s="2" t="s">
        <v>231</v>
      </c>
      <c r="CB2383" s="2" t="s">
        <v>231</v>
      </c>
      <c r="CC2383" s="2" t="s">
        <v>244</v>
      </c>
      <c r="CD2383" s="2" t="s">
        <v>231</v>
      </c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>
        <v>255</v>
      </c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>
        <v>150</v>
      </c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>
        <v>159</v>
      </c>
      <c r="EL2383" s="4"/>
      <c r="EM2383" s="4"/>
      <c r="EN2383" s="4"/>
      <c r="EO2383" s="4"/>
      <c r="EP2383" s="4"/>
      <c r="EQ2383" s="4"/>
      <c r="ER2383" s="4"/>
      <c r="ES2383" s="4">
        <v>90</v>
      </c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4"/>
      <c r="HG2383" s="4"/>
      <c r="HH2383" s="4"/>
      <c r="HI2383" s="4"/>
      <c r="HJ2383" s="4"/>
      <c r="HK2383" s="4"/>
      <c r="HL2383" s="4"/>
    </row>
    <row r="2384">
      <c r="A2384" s="2" t="s">
        <v>10365</v>
      </c>
      <c r="B2384" s="2" t="s">
        <v>1186</v>
      </c>
      <c r="C2384" s="2" t="s">
        <v>241</v>
      </c>
      <c r="D2384" s="2" t="s">
        <v>654</v>
      </c>
      <c r="E2384" s="2" t="s">
        <v>890</v>
      </c>
      <c r="F2384" s="2" t="s">
        <v>10285</v>
      </c>
      <c r="G2384" s="2" t="s">
        <v>10353</v>
      </c>
      <c r="H2384" s="2" t="s">
        <v>6561</v>
      </c>
      <c r="I2384" s="2" t="s">
        <v>10354</v>
      </c>
      <c r="J2384" s="2" t="s">
        <v>658</v>
      </c>
      <c r="K2384" s="2" t="s">
        <v>253</v>
      </c>
      <c r="L2384" s="3">
        <v>27.61</v>
      </c>
      <c r="M2384" s="3">
        <v>28.99</v>
      </c>
      <c r="N2384" s="3">
        <v>57.99</v>
      </c>
      <c r="O2384" s="2" t="s">
        <v>243</v>
      </c>
      <c r="P2384" s="2" t="s">
        <v>236</v>
      </c>
      <c r="Q2384" s="2" t="s">
        <v>237</v>
      </c>
      <c r="R2384" s="2" t="s">
        <v>231</v>
      </c>
      <c r="S2384" s="2" t="s">
        <v>10363</v>
      </c>
      <c r="T2384" s="2" t="s">
        <v>472</v>
      </c>
      <c r="U2384" s="2" t="s">
        <v>835</v>
      </c>
      <c r="V2384" s="2" t="s">
        <v>987</v>
      </c>
      <c r="W2384" s="2" t="s">
        <v>2897</v>
      </c>
      <c r="X2384" s="2" t="s">
        <v>273</v>
      </c>
      <c r="Y2384" s="2" t="s">
        <v>10356</v>
      </c>
      <c r="Z2384" s="4"/>
      <c r="AA2384" s="4">
        <f>=ROUNDDOWN({0},0)</f>
      </c>
      <c r="AB2384" s="5">
        <v>3.5</v>
      </c>
      <c r="AC2384" s="2" t="s">
        <v>3693</v>
      </c>
      <c r="AD2384" s="4">
        <v>762</v>
      </c>
      <c r="AE2384" s="4">
        <v>1884</v>
      </c>
      <c r="AF2384" s="6">
        <v>63</v>
      </c>
      <c r="AG2384" s="6">
        <v>46</v>
      </c>
      <c r="AH2384" s="7">
        <v>0</v>
      </c>
      <c r="AI2384" s="4"/>
      <c r="AJ2384" s="4">
        <f>=ROUNDDOWN({0},0)</f>
      </c>
      <c r="AK2384" s="5"/>
      <c r="AL2384" s="2" t="s">
        <v>231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231</v>
      </c>
      <c r="AW2384" s="8" t="s">
        <v>231</v>
      </c>
      <c r="AX2384" s="4" t="s">
        <v>231</v>
      </c>
      <c r="AY2384" s="8" t="s">
        <v>231</v>
      </c>
      <c r="AZ2384" s="7" t="s">
        <v>231</v>
      </c>
      <c r="BA2384" s="7" t="s">
        <v>231</v>
      </c>
      <c r="BB2384" s="7"/>
      <c r="BC2384" s="4" t="s">
        <v>231</v>
      </c>
      <c r="BD2384" s="8" t="s">
        <v>231</v>
      </c>
      <c r="BE2384" s="4" t="s">
        <v>231</v>
      </c>
      <c r="BF2384" s="8" t="s">
        <v>231</v>
      </c>
      <c r="BG2384" s="7" t="s">
        <v>231</v>
      </c>
      <c r="BH2384" s="7" t="s">
        <v>231</v>
      </c>
      <c r="BI2384" s="7"/>
      <c r="BJ2384" s="4"/>
      <c r="BK2384" s="8"/>
      <c r="BL2384" s="2" t="s">
        <v>231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10366</v>
      </c>
      <c r="BV2384" s="2" t="s">
        <v>231</v>
      </c>
      <c r="BW2384" s="2" t="s">
        <v>231</v>
      </c>
      <c r="BX2384" s="2" t="s">
        <v>2109</v>
      </c>
      <c r="BY2384" s="2" t="s">
        <v>277</v>
      </c>
      <c r="BZ2384" s="2" t="s">
        <v>243</v>
      </c>
      <c r="CA2384" s="2" t="s">
        <v>231</v>
      </c>
      <c r="CB2384" s="2" t="s">
        <v>231</v>
      </c>
      <c r="CC2384" s="2" t="s">
        <v>244</v>
      </c>
      <c r="CD2384" s="2" t="s">
        <v>231</v>
      </c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>
        <v>762</v>
      </c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>
        <v>573</v>
      </c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>
        <v>195</v>
      </c>
      <c r="EL2384" s="4"/>
      <c r="EM2384" s="4"/>
      <c r="EN2384" s="4"/>
      <c r="EO2384" s="4"/>
      <c r="EP2384" s="4"/>
      <c r="EQ2384" s="4"/>
      <c r="ER2384" s="4"/>
      <c r="ES2384" s="4">
        <v>354</v>
      </c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  <c r="HG2384" s="4"/>
      <c r="HH2384" s="4"/>
      <c r="HI2384" s="4"/>
      <c r="HJ2384" s="4"/>
      <c r="HK2384" s="4"/>
      <c r="HL2384" s="4"/>
    </row>
    <row r="2385">
      <c r="A2385" s="2" t="s">
        <v>10367</v>
      </c>
      <c r="B2385" s="2" t="s">
        <v>1186</v>
      </c>
      <c r="C2385" s="2" t="s">
        <v>241</v>
      </c>
      <c r="D2385" s="2" t="s">
        <v>654</v>
      </c>
      <c r="E2385" s="2" t="s">
        <v>890</v>
      </c>
      <c r="F2385" s="2" t="s">
        <v>10285</v>
      </c>
      <c r="G2385" s="2" t="s">
        <v>10353</v>
      </c>
      <c r="H2385" s="2" t="s">
        <v>6561</v>
      </c>
      <c r="I2385" s="2" t="s">
        <v>10354</v>
      </c>
      <c r="J2385" s="2" t="s">
        <v>669</v>
      </c>
      <c r="K2385" s="2" t="s">
        <v>253</v>
      </c>
      <c r="L2385" s="3">
        <v>30.95</v>
      </c>
      <c r="M2385" s="3">
        <v>32.5</v>
      </c>
      <c r="N2385" s="3">
        <v>64.99</v>
      </c>
      <c r="O2385" s="2" t="s">
        <v>243</v>
      </c>
      <c r="P2385" s="2" t="s">
        <v>236</v>
      </c>
      <c r="Q2385" s="2" t="s">
        <v>237</v>
      </c>
      <c r="R2385" s="2" t="s">
        <v>231</v>
      </c>
      <c r="S2385" s="2" t="s">
        <v>10363</v>
      </c>
      <c r="T2385" s="2" t="s">
        <v>472</v>
      </c>
      <c r="U2385" s="2" t="s">
        <v>835</v>
      </c>
      <c r="V2385" s="2" t="s">
        <v>987</v>
      </c>
      <c r="W2385" s="2" t="s">
        <v>2897</v>
      </c>
      <c r="X2385" s="2" t="s">
        <v>273</v>
      </c>
      <c r="Y2385" s="2" t="s">
        <v>772</v>
      </c>
      <c r="Z2385" s="4"/>
      <c r="AA2385" s="4">
        <f>=ROUNDDOWN({0},0)</f>
      </c>
      <c r="AB2385" s="5"/>
      <c r="AC2385" s="2" t="s">
        <v>3693</v>
      </c>
      <c r="AD2385" s="4">
        <v>602</v>
      </c>
      <c r="AE2385" s="4">
        <v>1490</v>
      </c>
      <c r="AF2385" s="6">
        <v>63</v>
      </c>
      <c r="AG2385" s="6">
        <v>46</v>
      </c>
      <c r="AH2385" s="7">
        <v>0</v>
      </c>
      <c r="AI2385" s="4"/>
      <c r="AJ2385" s="4">
        <f>=ROUNDDOWN({0},0)</f>
      </c>
      <c r="AK2385" s="5"/>
      <c r="AL2385" s="2" t="s">
        <v>231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231</v>
      </c>
      <c r="AW2385" s="8" t="s">
        <v>231</v>
      </c>
      <c r="AX2385" s="4" t="s">
        <v>231</v>
      </c>
      <c r="AY2385" s="8" t="s">
        <v>231</v>
      </c>
      <c r="AZ2385" s="7" t="s">
        <v>231</v>
      </c>
      <c r="BA2385" s="7" t="s">
        <v>231</v>
      </c>
      <c r="BB2385" s="7"/>
      <c r="BC2385" s="4" t="s">
        <v>231</v>
      </c>
      <c r="BD2385" s="8" t="s">
        <v>231</v>
      </c>
      <c r="BE2385" s="4" t="s">
        <v>231</v>
      </c>
      <c r="BF2385" s="8" t="s">
        <v>231</v>
      </c>
      <c r="BG2385" s="7" t="s">
        <v>231</v>
      </c>
      <c r="BH2385" s="7" t="s">
        <v>231</v>
      </c>
      <c r="BI2385" s="7"/>
      <c r="BJ2385" s="4"/>
      <c r="BK2385" s="8"/>
      <c r="BL2385" s="2" t="s">
        <v>231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10368</v>
      </c>
      <c r="BV2385" s="2" t="s">
        <v>231</v>
      </c>
      <c r="BW2385" s="2" t="s">
        <v>231</v>
      </c>
      <c r="BX2385" s="2" t="s">
        <v>2109</v>
      </c>
      <c r="BY2385" s="2" t="s">
        <v>277</v>
      </c>
      <c r="BZ2385" s="2" t="s">
        <v>243</v>
      </c>
      <c r="CA2385" s="2" t="s">
        <v>231</v>
      </c>
      <c r="CB2385" s="2" t="s">
        <v>231</v>
      </c>
      <c r="CC2385" s="2" t="s">
        <v>244</v>
      </c>
      <c r="CD2385" s="2" t="s">
        <v>231</v>
      </c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>
        <v>602</v>
      </c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>
        <v>444</v>
      </c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>
        <v>172</v>
      </c>
      <c r="EL2385" s="4"/>
      <c r="EM2385" s="4"/>
      <c r="EN2385" s="4"/>
      <c r="EO2385" s="4"/>
      <c r="EP2385" s="4"/>
      <c r="EQ2385" s="4"/>
      <c r="ER2385" s="4"/>
      <c r="ES2385" s="4">
        <v>272</v>
      </c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  <c r="HG2385" s="4"/>
      <c r="HH2385" s="4"/>
      <c r="HI2385" s="4"/>
      <c r="HJ2385" s="4"/>
      <c r="HK2385" s="4"/>
      <c r="HL2385" s="4"/>
    </row>
    <row r="2386">
      <c r="A2386" s="2" t="s">
        <v>10369</v>
      </c>
      <c r="B2386" s="2" t="s">
        <v>1186</v>
      </c>
      <c r="C2386" s="2" t="s">
        <v>241</v>
      </c>
      <c r="D2386" s="2" t="s">
        <v>654</v>
      </c>
      <c r="E2386" s="2" t="s">
        <v>890</v>
      </c>
      <c r="F2386" s="2" t="s">
        <v>10285</v>
      </c>
      <c r="G2386" s="2" t="s">
        <v>10353</v>
      </c>
      <c r="H2386" s="2" t="s">
        <v>6561</v>
      </c>
      <c r="I2386" s="2" t="s">
        <v>10354</v>
      </c>
      <c r="J2386" s="2" t="s">
        <v>832</v>
      </c>
      <c r="K2386" s="2" t="s">
        <v>306</v>
      </c>
      <c r="L2386" s="3">
        <v>22.85</v>
      </c>
      <c r="M2386" s="3">
        <v>23.99</v>
      </c>
      <c r="N2386" s="3">
        <v>47.99</v>
      </c>
      <c r="O2386" s="2" t="s">
        <v>243</v>
      </c>
      <c r="P2386" s="2" t="s">
        <v>236</v>
      </c>
      <c r="Q2386" s="2" t="s">
        <v>237</v>
      </c>
      <c r="R2386" s="2" t="s">
        <v>231</v>
      </c>
      <c r="S2386" s="2" t="s">
        <v>10370</v>
      </c>
      <c r="T2386" s="2" t="s">
        <v>472</v>
      </c>
      <c r="U2386" s="2" t="s">
        <v>791</v>
      </c>
      <c r="V2386" s="2" t="s">
        <v>987</v>
      </c>
      <c r="W2386" s="2" t="s">
        <v>2897</v>
      </c>
      <c r="X2386" s="2" t="s">
        <v>273</v>
      </c>
      <c r="Y2386" s="2" t="s">
        <v>3693</v>
      </c>
      <c r="Z2386" s="4">
        <v>447</v>
      </c>
      <c r="AA2386" s="4">
        <f>=ROUNDDOWN({0},0)</f>
      </c>
      <c r="AB2386" s="5"/>
      <c r="AC2386" s="2" t="s">
        <v>876</v>
      </c>
      <c r="AD2386" s="4">
        <v>180</v>
      </c>
      <c r="AE2386" s="4">
        <v>402</v>
      </c>
      <c r="AF2386" s="6">
        <v>63</v>
      </c>
      <c r="AG2386" s="6">
        <v>46</v>
      </c>
      <c r="AH2386" s="7">
        <v>1</v>
      </c>
      <c r="AI2386" s="4"/>
      <c r="AJ2386" s="4">
        <f>=ROUNDDOWN({0},0)</f>
      </c>
      <c r="AK2386" s="5"/>
      <c r="AL2386" s="2" t="s">
        <v>231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231</v>
      </c>
      <c r="AW2386" s="8" t="s">
        <v>231</v>
      </c>
      <c r="AX2386" s="4" t="s">
        <v>231</v>
      </c>
      <c r="AY2386" s="8" t="s">
        <v>231</v>
      </c>
      <c r="AZ2386" s="7" t="s">
        <v>231</v>
      </c>
      <c r="BA2386" s="7" t="s">
        <v>231</v>
      </c>
      <c r="BB2386" s="7"/>
      <c r="BC2386" s="4" t="s">
        <v>231</v>
      </c>
      <c r="BD2386" s="8" t="s">
        <v>231</v>
      </c>
      <c r="BE2386" s="4" t="s">
        <v>231</v>
      </c>
      <c r="BF2386" s="8" t="s">
        <v>231</v>
      </c>
      <c r="BG2386" s="7" t="s">
        <v>231</v>
      </c>
      <c r="BH2386" s="7" t="s">
        <v>231</v>
      </c>
      <c r="BI2386" s="7"/>
      <c r="BJ2386" s="4"/>
      <c r="BK2386" s="8"/>
      <c r="BL2386" s="2" t="s">
        <v>231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10371</v>
      </c>
      <c r="BV2386" s="2" t="s">
        <v>231</v>
      </c>
      <c r="BW2386" s="2" t="s">
        <v>231</v>
      </c>
      <c r="BX2386" s="2" t="s">
        <v>2109</v>
      </c>
      <c r="BY2386" s="2" t="s">
        <v>277</v>
      </c>
      <c r="BZ2386" s="2" t="s">
        <v>243</v>
      </c>
      <c r="CA2386" s="2" t="s">
        <v>636</v>
      </c>
      <c r="CB2386" s="2" t="s">
        <v>231</v>
      </c>
      <c r="CC2386" s="2" t="s">
        <v>244</v>
      </c>
      <c r="CD2386" s="2" t="s">
        <v>231</v>
      </c>
      <c r="CE2386" s="4"/>
      <c r="CF2386" s="4"/>
      <c r="CG2386" s="4"/>
      <c r="CH2386" s="4"/>
      <c r="CI2386" s="4">
        <v>48</v>
      </c>
      <c r="CJ2386" s="4"/>
      <c r="CK2386" s="4"/>
      <c r="CL2386" s="4"/>
      <c r="CM2386" s="4"/>
      <c r="CN2386" s="4"/>
      <c r="CO2386" s="4"/>
      <c r="CP2386" s="4">
        <v>399</v>
      </c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>
        <v>180</v>
      </c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>
        <v>129</v>
      </c>
      <c r="EL2386" s="4"/>
      <c r="EM2386" s="4"/>
      <c r="EN2386" s="4"/>
      <c r="EO2386" s="4"/>
      <c r="EP2386" s="4"/>
      <c r="EQ2386" s="4"/>
      <c r="ER2386" s="4"/>
      <c r="ES2386" s="4">
        <v>93</v>
      </c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  <c r="HF2386" s="4"/>
      <c r="HG2386" s="4"/>
      <c r="HH2386" s="4"/>
      <c r="HI2386" s="4"/>
      <c r="HJ2386" s="4"/>
      <c r="HK2386" s="4"/>
      <c r="HL2386" s="4"/>
    </row>
    <row r="2387">
      <c r="A2387" s="2" t="s">
        <v>10372</v>
      </c>
      <c r="B2387" s="2" t="s">
        <v>1186</v>
      </c>
      <c r="C2387" s="2" t="s">
        <v>241</v>
      </c>
      <c r="D2387" s="2" t="s">
        <v>654</v>
      </c>
      <c r="E2387" s="2" t="s">
        <v>890</v>
      </c>
      <c r="F2387" s="2" t="s">
        <v>10285</v>
      </c>
      <c r="G2387" s="2" t="s">
        <v>10353</v>
      </c>
      <c r="H2387" s="2" t="s">
        <v>6561</v>
      </c>
      <c r="I2387" s="2" t="s">
        <v>10354</v>
      </c>
      <c r="J2387" s="2" t="s">
        <v>658</v>
      </c>
      <c r="K2387" s="2" t="s">
        <v>306</v>
      </c>
      <c r="L2387" s="3">
        <v>27.61</v>
      </c>
      <c r="M2387" s="3">
        <v>28.99</v>
      </c>
      <c r="N2387" s="3">
        <v>57.99</v>
      </c>
      <c r="O2387" s="2" t="s">
        <v>243</v>
      </c>
      <c r="P2387" s="2" t="s">
        <v>236</v>
      </c>
      <c r="Q2387" s="2" t="s">
        <v>237</v>
      </c>
      <c r="R2387" s="2" t="s">
        <v>231</v>
      </c>
      <c r="S2387" s="2" t="s">
        <v>10370</v>
      </c>
      <c r="T2387" s="2" t="s">
        <v>472</v>
      </c>
      <c r="U2387" s="2" t="s">
        <v>835</v>
      </c>
      <c r="V2387" s="2" t="s">
        <v>987</v>
      </c>
      <c r="W2387" s="2" t="s">
        <v>2897</v>
      </c>
      <c r="X2387" s="2" t="s">
        <v>273</v>
      </c>
      <c r="Y2387" s="2" t="s">
        <v>3693</v>
      </c>
      <c r="Z2387" s="4">
        <v>828</v>
      </c>
      <c r="AA2387" s="4">
        <f>=ROUNDDOWN({0},0)</f>
      </c>
      <c r="AB2387" s="5"/>
      <c r="AC2387" s="2" t="s">
        <v>876</v>
      </c>
      <c r="AD2387" s="4">
        <v>684</v>
      </c>
      <c r="AE2387" s="4">
        <v>1593</v>
      </c>
      <c r="AF2387" s="6">
        <v>63</v>
      </c>
      <c r="AG2387" s="6">
        <v>46</v>
      </c>
      <c r="AH2387" s="7">
        <v>1</v>
      </c>
      <c r="AI2387" s="4"/>
      <c r="AJ2387" s="4">
        <f>=ROUNDDOWN({0},0)</f>
      </c>
      <c r="AK2387" s="5"/>
      <c r="AL2387" s="2" t="s">
        <v>231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231</v>
      </c>
      <c r="AW2387" s="8" t="s">
        <v>231</v>
      </c>
      <c r="AX2387" s="4" t="s">
        <v>231</v>
      </c>
      <c r="AY2387" s="8" t="s">
        <v>231</v>
      </c>
      <c r="AZ2387" s="7" t="s">
        <v>231</v>
      </c>
      <c r="BA2387" s="7" t="s">
        <v>231</v>
      </c>
      <c r="BB2387" s="7"/>
      <c r="BC2387" s="4" t="s">
        <v>231</v>
      </c>
      <c r="BD2387" s="8" t="s">
        <v>231</v>
      </c>
      <c r="BE2387" s="4" t="s">
        <v>231</v>
      </c>
      <c r="BF2387" s="8" t="s">
        <v>231</v>
      </c>
      <c r="BG2387" s="7" t="s">
        <v>231</v>
      </c>
      <c r="BH2387" s="7" t="s">
        <v>231</v>
      </c>
      <c r="BI2387" s="7"/>
      <c r="BJ2387" s="4"/>
      <c r="BK2387" s="8"/>
      <c r="BL2387" s="2" t="s">
        <v>231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10373</v>
      </c>
      <c r="BV2387" s="2" t="s">
        <v>231</v>
      </c>
      <c r="BW2387" s="2" t="s">
        <v>231</v>
      </c>
      <c r="BX2387" s="2" t="s">
        <v>2109</v>
      </c>
      <c r="BY2387" s="2" t="s">
        <v>277</v>
      </c>
      <c r="BZ2387" s="2" t="s">
        <v>243</v>
      </c>
      <c r="CA2387" s="2" t="s">
        <v>636</v>
      </c>
      <c r="CB2387" s="2" t="s">
        <v>231</v>
      </c>
      <c r="CC2387" s="2" t="s">
        <v>244</v>
      </c>
      <c r="CD2387" s="2" t="s">
        <v>231</v>
      </c>
      <c r="CE2387" s="4"/>
      <c r="CF2387" s="4"/>
      <c r="CG2387" s="4"/>
      <c r="CH2387" s="4"/>
      <c r="CI2387" s="4">
        <v>588</v>
      </c>
      <c r="CJ2387" s="4"/>
      <c r="CK2387" s="4"/>
      <c r="CL2387" s="4"/>
      <c r="CM2387" s="4"/>
      <c r="CN2387" s="4"/>
      <c r="CO2387" s="4"/>
      <c r="CP2387" s="4">
        <v>240</v>
      </c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>
        <v>684</v>
      </c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>
        <v>447</v>
      </c>
      <c r="EL2387" s="4"/>
      <c r="EM2387" s="4"/>
      <c r="EN2387" s="4"/>
      <c r="EO2387" s="4"/>
      <c r="EP2387" s="4"/>
      <c r="EQ2387" s="4"/>
      <c r="ER2387" s="4"/>
      <c r="ES2387" s="4">
        <v>462</v>
      </c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  <c r="HG2387" s="4"/>
      <c r="HH2387" s="4"/>
      <c r="HI2387" s="4"/>
      <c r="HJ2387" s="4"/>
      <c r="HK2387" s="4"/>
      <c r="HL2387" s="4"/>
    </row>
    <row r="2388">
      <c r="A2388" s="2" t="s">
        <v>10374</v>
      </c>
      <c r="B2388" s="2" t="s">
        <v>1186</v>
      </c>
      <c r="C2388" s="2" t="s">
        <v>241</v>
      </c>
      <c r="D2388" s="2" t="s">
        <v>654</v>
      </c>
      <c r="E2388" s="2" t="s">
        <v>890</v>
      </c>
      <c r="F2388" s="2" t="s">
        <v>10285</v>
      </c>
      <c r="G2388" s="2" t="s">
        <v>10353</v>
      </c>
      <c r="H2388" s="2" t="s">
        <v>6561</v>
      </c>
      <c r="I2388" s="2" t="s">
        <v>10354</v>
      </c>
      <c r="J2388" s="2" t="s">
        <v>669</v>
      </c>
      <c r="K2388" s="2" t="s">
        <v>306</v>
      </c>
      <c r="L2388" s="3">
        <v>30.95</v>
      </c>
      <c r="M2388" s="3">
        <v>32.5</v>
      </c>
      <c r="N2388" s="3">
        <v>64.99</v>
      </c>
      <c r="O2388" s="2" t="s">
        <v>243</v>
      </c>
      <c r="P2388" s="2" t="s">
        <v>236</v>
      </c>
      <c r="Q2388" s="2" t="s">
        <v>237</v>
      </c>
      <c r="R2388" s="2" t="s">
        <v>231</v>
      </c>
      <c r="S2388" s="2" t="s">
        <v>10370</v>
      </c>
      <c r="T2388" s="2" t="s">
        <v>472</v>
      </c>
      <c r="U2388" s="2" t="s">
        <v>835</v>
      </c>
      <c r="V2388" s="2" t="s">
        <v>987</v>
      </c>
      <c r="W2388" s="2" t="s">
        <v>2897</v>
      </c>
      <c r="X2388" s="2" t="s">
        <v>273</v>
      </c>
      <c r="Y2388" s="2" t="s">
        <v>2279</v>
      </c>
      <c r="Z2388" s="4">
        <v>630</v>
      </c>
      <c r="AA2388" s="4">
        <f>=ROUNDDOWN({0},0)</f>
      </c>
      <c r="AB2388" s="5"/>
      <c r="AC2388" s="2" t="s">
        <v>876</v>
      </c>
      <c r="AD2388" s="4">
        <v>520</v>
      </c>
      <c r="AE2388" s="4">
        <v>1268</v>
      </c>
      <c r="AF2388" s="6">
        <v>63</v>
      </c>
      <c r="AG2388" s="6">
        <v>46</v>
      </c>
      <c r="AH2388" s="7">
        <v>0</v>
      </c>
      <c r="AI2388" s="4"/>
      <c r="AJ2388" s="4">
        <f>=ROUNDDOWN({0},0)</f>
      </c>
      <c r="AK2388" s="5"/>
      <c r="AL2388" s="2" t="s">
        <v>231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231</v>
      </c>
      <c r="AW2388" s="8" t="s">
        <v>231</v>
      </c>
      <c r="AX2388" s="4" t="s">
        <v>231</v>
      </c>
      <c r="AY2388" s="8" t="s">
        <v>231</v>
      </c>
      <c r="AZ2388" s="7" t="s">
        <v>231</v>
      </c>
      <c r="BA2388" s="7" t="s">
        <v>231</v>
      </c>
      <c r="BB2388" s="7"/>
      <c r="BC2388" s="4" t="s">
        <v>231</v>
      </c>
      <c r="BD2388" s="8" t="s">
        <v>231</v>
      </c>
      <c r="BE2388" s="4" t="s">
        <v>231</v>
      </c>
      <c r="BF2388" s="8" t="s">
        <v>231</v>
      </c>
      <c r="BG2388" s="7" t="s">
        <v>231</v>
      </c>
      <c r="BH2388" s="7" t="s">
        <v>231</v>
      </c>
      <c r="BI2388" s="7"/>
      <c r="BJ2388" s="4"/>
      <c r="BK2388" s="8"/>
      <c r="BL2388" s="2" t="s">
        <v>231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10375</v>
      </c>
      <c r="BV2388" s="2" t="s">
        <v>231</v>
      </c>
      <c r="BW2388" s="2" t="s">
        <v>231</v>
      </c>
      <c r="BX2388" s="2" t="s">
        <v>2109</v>
      </c>
      <c r="BY2388" s="2" t="s">
        <v>277</v>
      </c>
      <c r="BZ2388" s="2" t="s">
        <v>243</v>
      </c>
      <c r="CA2388" s="2" t="s">
        <v>231</v>
      </c>
      <c r="CB2388" s="2" t="s">
        <v>231</v>
      </c>
      <c r="CC2388" s="2" t="s">
        <v>244</v>
      </c>
      <c r="CD2388" s="2" t="s">
        <v>231</v>
      </c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>
        <v>630</v>
      </c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>
        <v>520</v>
      </c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>
        <v>396</v>
      </c>
      <c r="EL2388" s="4"/>
      <c r="EM2388" s="4"/>
      <c r="EN2388" s="4"/>
      <c r="EO2388" s="4"/>
      <c r="EP2388" s="4"/>
      <c r="EQ2388" s="4"/>
      <c r="ER2388" s="4"/>
      <c r="ES2388" s="4">
        <v>352</v>
      </c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  <c r="HF2388" s="4"/>
      <c r="HG2388" s="4"/>
      <c r="HH2388" s="4"/>
      <c r="HI2388" s="4"/>
      <c r="HJ2388" s="4"/>
      <c r="HK2388" s="4"/>
      <c r="HL2388" s="4"/>
    </row>
    <row r="2389">
      <c r="A2389" s="2" t="s">
        <v>10376</v>
      </c>
      <c r="B2389" s="2" t="s">
        <v>1186</v>
      </c>
      <c r="C2389" s="2" t="s">
        <v>241</v>
      </c>
      <c r="D2389" s="2" t="s">
        <v>654</v>
      </c>
      <c r="E2389" s="2" t="s">
        <v>890</v>
      </c>
      <c r="F2389" s="2" t="s">
        <v>10285</v>
      </c>
      <c r="G2389" s="2" t="s">
        <v>10353</v>
      </c>
      <c r="H2389" s="2" t="s">
        <v>6561</v>
      </c>
      <c r="I2389" s="2" t="s">
        <v>10354</v>
      </c>
      <c r="J2389" s="2" t="s">
        <v>832</v>
      </c>
      <c r="K2389" s="2" t="s">
        <v>852</v>
      </c>
      <c r="L2389" s="3">
        <v>22.85</v>
      </c>
      <c r="M2389" s="3">
        <v>23.99</v>
      </c>
      <c r="N2389" s="3">
        <v>47.99</v>
      </c>
      <c r="O2389" s="2" t="s">
        <v>243</v>
      </c>
      <c r="P2389" s="2" t="s">
        <v>236</v>
      </c>
      <c r="Q2389" s="2" t="s">
        <v>237</v>
      </c>
      <c r="R2389" s="2" t="s">
        <v>231</v>
      </c>
      <c r="S2389" s="2" t="s">
        <v>10377</v>
      </c>
      <c r="T2389" s="2" t="s">
        <v>472</v>
      </c>
      <c r="U2389" s="2" t="s">
        <v>791</v>
      </c>
      <c r="V2389" s="2" t="s">
        <v>987</v>
      </c>
      <c r="W2389" s="2" t="s">
        <v>2897</v>
      </c>
      <c r="X2389" s="2" t="s">
        <v>273</v>
      </c>
      <c r="Y2389" s="2" t="s">
        <v>10356</v>
      </c>
      <c r="Z2389" s="4">
        <v>108</v>
      </c>
      <c r="AA2389" s="4">
        <f>=ROUNDDOWN(15.4285714285714,0)</f>
      </c>
      <c r="AB2389" s="5">
        <v>7</v>
      </c>
      <c r="AC2389" s="2" t="s">
        <v>3693</v>
      </c>
      <c r="AD2389" s="4">
        <v>24</v>
      </c>
      <c r="AE2389" s="4">
        <v>84</v>
      </c>
      <c r="AF2389" s="6">
        <v>63</v>
      </c>
      <c r="AG2389" s="6">
        <v>46</v>
      </c>
      <c r="AH2389" s="7">
        <v>0</v>
      </c>
      <c r="AI2389" s="4"/>
      <c r="AJ2389" s="4">
        <f>=ROUNDDOWN({0},0)</f>
      </c>
      <c r="AK2389" s="5"/>
      <c r="AL2389" s="2" t="s">
        <v>231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231</v>
      </c>
      <c r="AW2389" s="8" t="s">
        <v>231</v>
      </c>
      <c r="AX2389" s="4" t="s">
        <v>231</v>
      </c>
      <c r="AY2389" s="8" t="s">
        <v>231</v>
      </c>
      <c r="AZ2389" s="7" t="s">
        <v>231</v>
      </c>
      <c r="BA2389" s="7" t="s">
        <v>231</v>
      </c>
      <c r="BB2389" s="7"/>
      <c r="BC2389" s="4" t="s">
        <v>231</v>
      </c>
      <c r="BD2389" s="8" t="s">
        <v>231</v>
      </c>
      <c r="BE2389" s="4" t="s">
        <v>231</v>
      </c>
      <c r="BF2389" s="8" t="s">
        <v>231</v>
      </c>
      <c r="BG2389" s="7" t="s">
        <v>231</v>
      </c>
      <c r="BH2389" s="7" t="s">
        <v>231</v>
      </c>
      <c r="BI2389" s="7"/>
      <c r="BJ2389" s="4"/>
      <c r="BK2389" s="8"/>
      <c r="BL2389" s="2" t="s">
        <v>231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10378</v>
      </c>
      <c r="BV2389" s="2" t="s">
        <v>231</v>
      </c>
      <c r="BW2389" s="2" t="s">
        <v>231</v>
      </c>
      <c r="BX2389" s="2" t="s">
        <v>2109</v>
      </c>
      <c r="BY2389" s="2" t="s">
        <v>277</v>
      </c>
      <c r="BZ2389" s="2" t="s">
        <v>243</v>
      </c>
      <c r="CA2389" s="2" t="s">
        <v>231</v>
      </c>
      <c r="CB2389" s="2" t="s">
        <v>231</v>
      </c>
      <c r="CC2389" s="2" t="s">
        <v>244</v>
      </c>
      <c r="CD2389" s="2" t="s">
        <v>231</v>
      </c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>
        <v>108</v>
      </c>
      <c r="CQ2389" s="4"/>
      <c r="CR2389" s="4"/>
      <c r="CS2389" s="4"/>
      <c r="CT2389" s="4"/>
      <c r="CU2389" s="4"/>
      <c r="CV2389" s="4"/>
      <c r="CW2389" s="4"/>
      <c r="CX2389" s="4"/>
      <c r="CY2389" s="4"/>
      <c r="CZ2389" s="4">
        <v>24</v>
      </c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>
        <v>21</v>
      </c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>
        <v>12</v>
      </c>
      <c r="EL2389" s="4"/>
      <c r="EM2389" s="4"/>
      <c r="EN2389" s="4"/>
      <c r="EO2389" s="4"/>
      <c r="EP2389" s="4"/>
      <c r="EQ2389" s="4"/>
      <c r="ER2389" s="4"/>
      <c r="ES2389" s="4">
        <v>27</v>
      </c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  <c r="HG2389" s="4"/>
      <c r="HH2389" s="4"/>
      <c r="HI2389" s="4"/>
      <c r="HJ2389" s="4"/>
      <c r="HK2389" s="4"/>
      <c r="HL2389" s="4"/>
    </row>
    <row r="2390">
      <c r="A2390" s="2" t="s">
        <v>10379</v>
      </c>
      <c r="B2390" s="2" t="s">
        <v>1186</v>
      </c>
      <c r="C2390" s="2" t="s">
        <v>241</v>
      </c>
      <c r="D2390" s="2" t="s">
        <v>654</v>
      </c>
      <c r="E2390" s="2" t="s">
        <v>890</v>
      </c>
      <c r="F2390" s="2" t="s">
        <v>10285</v>
      </c>
      <c r="G2390" s="2" t="s">
        <v>10353</v>
      </c>
      <c r="H2390" s="2" t="s">
        <v>6561</v>
      </c>
      <c r="I2390" s="2" t="s">
        <v>10354</v>
      </c>
      <c r="J2390" s="2" t="s">
        <v>658</v>
      </c>
      <c r="K2390" s="2" t="s">
        <v>852</v>
      </c>
      <c r="L2390" s="3">
        <v>27.61</v>
      </c>
      <c r="M2390" s="3">
        <v>28.99</v>
      </c>
      <c r="N2390" s="3">
        <v>57.99</v>
      </c>
      <c r="O2390" s="2" t="s">
        <v>243</v>
      </c>
      <c r="P2390" s="2" t="s">
        <v>236</v>
      </c>
      <c r="Q2390" s="2" t="s">
        <v>237</v>
      </c>
      <c r="R2390" s="2" t="s">
        <v>231</v>
      </c>
      <c r="S2390" s="2" t="s">
        <v>10377</v>
      </c>
      <c r="T2390" s="2" t="s">
        <v>472</v>
      </c>
      <c r="U2390" s="2" t="s">
        <v>835</v>
      </c>
      <c r="V2390" s="2" t="s">
        <v>987</v>
      </c>
      <c r="W2390" s="2" t="s">
        <v>2897</v>
      </c>
      <c r="X2390" s="2" t="s">
        <v>273</v>
      </c>
      <c r="Y2390" s="2" t="s">
        <v>10356</v>
      </c>
      <c r="Z2390" s="4">
        <v>87</v>
      </c>
      <c r="AA2390" s="4">
        <f>=ROUNDDOWN(24.8571428571429,0)</f>
      </c>
      <c r="AB2390" s="5">
        <v>3.5</v>
      </c>
      <c r="AC2390" s="2" t="s">
        <v>3693</v>
      </c>
      <c r="AD2390" s="4">
        <v>117</v>
      </c>
      <c r="AE2390" s="4">
        <v>384</v>
      </c>
      <c r="AF2390" s="6">
        <v>63</v>
      </c>
      <c r="AG2390" s="6">
        <v>46</v>
      </c>
      <c r="AH2390" s="7">
        <v>0</v>
      </c>
      <c r="AI2390" s="4"/>
      <c r="AJ2390" s="4">
        <f>=ROUNDDOWN({0},0)</f>
      </c>
      <c r="AK2390" s="5"/>
      <c r="AL2390" s="2" t="s">
        <v>231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231</v>
      </c>
      <c r="AW2390" s="8" t="s">
        <v>231</v>
      </c>
      <c r="AX2390" s="4" t="s">
        <v>231</v>
      </c>
      <c r="AY2390" s="8" t="s">
        <v>231</v>
      </c>
      <c r="AZ2390" s="7" t="s">
        <v>231</v>
      </c>
      <c r="BA2390" s="7" t="s">
        <v>231</v>
      </c>
      <c r="BB2390" s="7"/>
      <c r="BC2390" s="4" t="s">
        <v>231</v>
      </c>
      <c r="BD2390" s="8" t="s">
        <v>231</v>
      </c>
      <c r="BE2390" s="4" t="s">
        <v>231</v>
      </c>
      <c r="BF2390" s="8" t="s">
        <v>231</v>
      </c>
      <c r="BG2390" s="7" t="s">
        <v>231</v>
      </c>
      <c r="BH2390" s="7" t="s">
        <v>231</v>
      </c>
      <c r="BI2390" s="7"/>
      <c r="BJ2390" s="4"/>
      <c r="BK2390" s="8"/>
      <c r="BL2390" s="2" t="s">
        <v>231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10380</v>
      </c>
      <c r="BV2390" s="2" t="s">
        <v>231</v>
      </c>
      <c r="BW2390" s="2" t="s">
        <v>231</v>
      </c>
      <c r="BX2390" s="2" t="s">
        <v>2109</v>
      </c>
      <c r="BY2390" s="2" t="s">
        <v>277</v>
      </c>
      <c r="BZ2390" s="2" t="s">
        <v>243</v>
      </c>
      <c r="CA2390" s="2" t="s">
        <v>231</v>
      </c>
      <c r="CB2390" s="2" t="s">
        <v>231</v>
      </c>
      <c r="CC2390" s="2" t="s">
        <v>244</v>
      </c>
      <c r="CD2390" s="2" t="s">
        <v>231</v>
      </c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>
        <v>87</v>
      </c>
      <c r="CQ2390" s="4"/>
      <c r="CR2390" s="4"/>
      <c r="CS2390" s="4"/>
      <c r="CT2390" s="4"/>
      <c r="CU2390" s="4"/>
      <c r="CV2390" s="4"/>
      <c r="CW2390" s="4"/>
      <c r="CX2390" s="4"/>
      <c r="CY2390" s="4"/>
      <c r="CZ2390" s="4">
        <v>117</v>
      </c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>
        <v>102</v>
      </c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>
        <v>90</v>
      </c>
      <c r="EL2390" s="4"/>
      <c r="EM2390" s="4"/>
      <c r="EN2390" s="4"/>
      <c r="EO2390" s="4"/>
      <c r="EP2390" s="4"/>
      <c r="EQ2390" s="4"/>
      <c r="ER2390" s="4"/>
      <c r="ES2390" s="4">
        <v>75</v>
      </c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  <c r="HF2390" s="4"/>
      <c r="HG2390" s="4"/>
      <c r="HH2390" s="4"/>
      <c r="HI2390" s="4"/>
      <c r="HJ2390" s="4"/>
      <c r="HK2390" s="4"/>
      <c r="HL2390" s="4"/>
    </row>
    <row r="2391">
      <c r="A2391" s="2" t="s">
        <v>10381</v>
      </c>
      <c r="B2391" s="2" t="s">
        <v>1186</v>
      </c>
      <c r="C2391" s="2" t="s">
        <v>241</v>
      </c>
      <c r="D2391" s="2" t="s">
        <v>654</v>
      </c>
      <c r="E2391" s="2" t="s">
        <v>890</v>
      </c>
      <c r="F2391" s="2" t="s">
        <v>10285</v>
      </c>
      <c r="G2391" s="2" t="s">
        <v>10353</v>
      </c>
      <c r="H2391" s="2" t="s">
        <v>6561</v>
      </c>
      <c r="I2391" s="2" t="s">
        <v>10354</v>
      </c>
      <c r="J2391" s="2" t="s">
        <v>669</v>
      </c>
      <c r="K2391" s="2" t="s">
        <v>852</v>
      </c>
      <c r="L2391" s="3">
        <v>30.95</v>
      </c>
      <c r="M2391" s="3">
        <v>32.5</v>
      </c>
      <c r="N2391" s="3">
        <v>64.99</v>
      </c>
      <c r="O2391" s="2" t="s">
        <v>243</v>
      </c>
      <c r="P2391" s="2" t="s">
        <v>236</v>
      </c>
      <c r="Q2391" s="2" t="s">
        <v>237</v>
      </c>
      <c r="R2391" s="2" t="s">
        <v>231</v>
      </c>
      <c r="S2391" s="2" t="s">
        <v>10377</v>
      </c>
      <c r="T2391" s="2" t="s">
        <v>472</v>
      </c>
      <c r="U2391" s="2" t="s">
        <v>835</v>
      </c>
      <c r="V2391" s="2" t="s">
        <v>987</v>
      </c>
      <c r="W2391" s="2" t="s">
        <v>2897</v>
      </c>
      <c r="X2391" s="2" t="s">
        <v>273</v>
      </c>
      <c r="Y2391" s="2" t="s">
        <v>2279</v>
      </c>
      <c r="Z2391" s="4">
        <v>158</v>
      </c>
      <c r="AA2391" s="4">
        <f>=ROUNDDOWN({0},0)</f>
      </c>
      <c r="AB2391" s="5"/>
      <c r="AC2391" s="2" t="s">
        <v>876</v>
      </c>
      <c r="AD2391" s="4">
        <v>76</v>
      </c>
      <c r="AE2391" s="4">
        <v>212</v>
      </c>
      <c r="AF2391" s="6">
        <v>63</v>
      </c>
      <c r="AG2391" s="6">
        <v>46</v>
      </c>
      <c r="AH2391" s="7">
        <v>0</v>
      </c>
      <c r="AI2391" s="4"/>
      <c r="AJ2391" s="4">
        <f>=ROUNDDOWN({0},0)</f>
      </c>
      <c r="AK2391" s="5"/>
      <c r="AL2391" s="2" t="s">
        <v>231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231</v>
      </c>
      <c r="AW2391" s="8" t="s">
        <v>231</v>
      </c>
      <c r="AX2391" s="4" t="s">
        <v>231</v>
      </c>
      <c r="AY2391" s="8" t="s">
        <v>231</v>
      </c>
      <c r="AZ2391" s="7" t="s">
        <v>231</v>
      </c>
      <c r="BA2391" s="7" t="s">
        <v>231</v>
      </c>
      <c r="BB2391" s="7"/>
      <c r="BC2391" s="4" t="s">
        <v>231</v>
      </c>
      <c r="BD2391" s="8" t="s">
        <v>231</v>
      </c>
      <c r="BE2391" s="4" t="s">
        <v>231</v>
      </c>
      <c r="BF2391" s="8" t="s">
        <v>231</v>
      </c>
      <c r="BG2391" s="7" t="s">
        <v>231</v>
      </c>
      <c r="BH2391" s="7" t="s">
        <v>231</v>
      </c>
      <c r="BI2391" s="7"/>
      <c r="BJ2391" s="4"/>
      <c r="BK2391" s="8"/>
      <c r="BL2391" s="2" t="s">
        <v>231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10382</v>
      </c>
      <c r="BV2391" s="2" t="s">
        <v>231</v>
      </c>
      <c r="BW2391" s="2" t="s">
        <v>231</v>
      </c>
      <c r="BX2391" s="2" t="s">
        <v>2109</v>
      </c>
      <c r="BY2391" s="2" t="s">
        <v>277</v>
      </c>
      <c r="BZ2391" s="2" t="s">
        <v>243</v>
      </c>
      <c r="CA2391" s="2" t="s">
        <v>231</v>
      </c>
      <c r="CB2391" s="2" t="s">
        <v>231</v>
      </c>
      <c r="CC2391" s="2" t="s">
        <v>244</v>
      </c>
      <c r="CD2391" s="2" t="s">
        <v>231</v>
      </c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>
        <v>158</v>
      </c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>
        <v>76</v>
      </c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>
        <v>76</v>
      </c>
      <c r="EL2391" s="4"/>
      <c r="EM2391" s="4"/>
      <c r="EN2391" s="4"/>
      <c r="EO2391" s="4"/>
      <c r="EP2391" s="4"/>
      <c r="EQ2391" s="4"/>
      <c r="ER2391" s="4"/>
      <c r="ES2391" s="4">
        <v>60</v>
      </c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  <c r="HF2391" s="4"/>
      <c r="HG2391" s="4"/>
      <c r="HH2391" s="4"/>
      <c r="HI2391" s="4"/>
      <c r="HJ2391" s="4"/>
      <c r="HK2391" s="4"/>
      <c r="HL2391" s="4"/>
    </row>
    <row r="2392">
      <c r="A2392" s="2" t="s">
        <v>10383</v>
      </c>
      <c r="B2392" s="2" t="s">
        <v>1186</v>
      </c>
      <c r="C2392" s="2" t="s">
        <v>241</v>
      </c>
      <c r="D2392" s="2" t="s">
        <v>654</v>
      </c>
      <c r="E2392" s="2" t="s">
        <v>890</v>
      </c>
      <c r="F2392" s="2" t="s">
        <v>10285</v>
      </c>
      <c r="G2392" s="2" t="s">
        <v>10353</v>
      </c>
      <c r="H2392" s="2" t="s">
        <v>6561</v>
      </c>
      <c r="I2392" s="2" t="s">
        <v>10354</v>
      </c>
      <c r="J2392" s="2" t="s">
        <v>832</v>
      </c>
      <c r="K2392" s="2" t="s">
        <v>1800</v>
      </c>
      <c r="L2392" s="3">
        <v>22.85</v>
      </c>
      <c r="M2392" s="3">
        <v>23.99</v>
      </c>
      <c r="N2392" s="3">
        <v>47.99</v>
      </c>
      <c r="O2392" s="2" t="s">
        <v>243</v>
      </c>
      <c r="P2392" s="2" t="s">
        <v>236</v>
      </c>
      <c r="Q2392" s="2" t="s">
        <v>237</v>
      </c>
      <c r="R2392" s="2" t="s">
        <v>231</v>
      </c>
      <c r="S2392" s="2" t="s">
        <v>10384</v>
      </c>
      <c r="T2392" s="2" t="s">
        <v>472</v>
      </c>
      <c r="U2392" s="2" t="s">
        <v>791</v>
      </c>
      <c r="V2392" s="2" t="s">
        <v>987</v>
      </c>
      <c r="W2392" s="2" t="s">
        <v>2897</v>
      </c>
      <c r="X2392" s="2" t="s">
        <v>273</v>
      </c>
      <c r="Y2392" s="2" t="s">
        <v>10356</v>
      </c>
      <c r="Z2392" s="4">
        <v>213</v>
      </c>
      <c r="AA2392" s="4">
        <f>=ROUNDDOWN(30.4285714285714,0)</f>
      </c>
      <c r="AB2392" s="5">
        <v>7</v>
      </c>
      <c r="AC2392" s="2" t="s">
        <v>876</v>
      </c>
      <c r="AD2392" s="4">
        <v>75</v>
      </c>
      <c r="AE2392" s="4">
        <v>135</v>
      </c>
      <c r="AF2392" s="6">
        <v>63</v>
      </c>
      <c r="AG2392" s="6">
        <v>46</v>
      </c>
      <c r="AH2392" s="7">
        <v>0</v>
      </c>
      <c r="AI2392" s="4"/>
      <c r="AJ2392" s="4">
        <f>=ROUNDDOWN({0},0)</f>
      </c>
      <c r="AK2392" s="5"/>
      <c r="AL2392" s="2" t="s">
        <v>231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231</v>
      </c>
      <c r="AW2392" s="8" t="s">
        <v>231</v>
      </c>
      <c r="AX2392" s="4" t="s">
        <v>231</v>
      </c>
      <c r="AY2392" s="8" t="s">
        <v>231</v>
      </c>
      <c r="AZ2392" s="7" t="s">
        <v>231</v>
      </c>
      <c r="BA2392" s="7" t="s">
        <v>231</v>
      </c>
      <c r="BB2392" s="7"/>
      <c r="BC2392" s="4" t="s">
        <v>231</v>
      </c>
      <c r="BD2392" s="8" t="s">
        <v>231</v>
      </c>
      <c r="BE2392" s="4" t="s">
        <v>231</v>
      </c>
      <c r="BF2392" s="8" t="s">
        <v>231</v>
      </c>
      <c r="BG2392" s="7" t="s">
        <v>231</v>
      </c>
      <c r="BH2392" s="7" t="s">
        <v>231</v>
      </c>
      <c r="BI2392" s="7"/>
      <c r="BJ2392" s="4"/>
      <c r="BK2392" s="8"/>
      <c r="BL2392" s="2" t="s">
        <v>231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10385</v>
      </c>
      <c r="BV2392" s="2" t="s">
        <v>231</v>
      </c>
      <c r="BW2392" s="2" t="s">
        <v>231</v>
      </c>
      <c r="BX2392" s="2" t="s">
        <v>2109</v>
      </c>
      <c r="BY2392" s="2" t="s">
        <v>277</v>
      </c>
      <c r="BZ2392" s="2" t="s">
        <v>243</v>
      </c>
      <c r="CA2392" s="2" t="s">
        <v>231</v>
      </c>
      <c r="CB2392" s="2" t="s">
        <v>231</v>
      </c>
      <c r="CC2392" s="2" t="s">
        <v>244</v>
      </c>
      <c r="CD2392" s="2" t="s">
        <v>231</v>
      </c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>
        <v>213</v>
      </c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>
        <v>75</v>
      </c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>
        <v>18</v>
      </c>
      <c r="EL2392" s="4"/>
      <c r="EM2392" s="4"/>
      <c r="EN2392" s="4"/>
      <c r="EO2392" s="4"/>
      <c r="EP2392" s="4"/>
      <c r="EQ2392" s="4"/>
      <c r="ER2392" s="4"/>
      <c r="ES2392" s="4">
        <v>42</v>
      </c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  <c r="HF2392" s="4"/>
      <c r="HG2392" s="4"/>
      <c r="HH2392" s="4"/>
      <c r="HI2392" s="4"/>
      <c r="HJ2392" s="4"/>
      <c r="HK2392" s="4"/>
      <c r="HL2392" s="4"/>
    </row>
    <row r="2393">
      <c r="A2393" s="2" t="s">
        <v>10386</v>
      </c>
      <c r="B2393" s="2" t="s">
        <v>1186</v>
      </c>
      <c r="C2393" s="2" t="s">
        <v>241</v>
      </c>
      <c r="D2393" s="2" t="s">
        <v>654</v>
      </c>
      <c r="E2393" s="2" t="s">
        <v>890</v>
      </c>
      <c r="F2393" s="2" t="s">
        <v>10285</v>
      </c>
      <c r="G2393" s="2" t="s">
        <v>10353</v>
      </c>
      <c r="H2393" s="2" t="s">
        <v>6561</v>
      </c>
      <c r="I2393" s="2" t="s">
        <v>10354</v>
      </c>
      <c r="J2393" s="2" t="s">
        <v>658</v>
      </c>
      <c r="K2393" s="2" t="s">
        <v>1800</v>
      </c>
      <c r="L2393" s="3">
        <v>27.61</v>
      </c>
      <c r="M2393" s="3">
        <v>28.99</v>
      </c>
      <c r="N2393" s="3">
        <v>57.99</v>
      </c>
      <c r="O2393" s="2" t="s">
        <v>243</v>
      </c>
      <c r="P2393" s="2" t="s">
        <v>236</v>
      </c>
      <c r="Q2393" s="2" t="s">
        <v>237</v>
      </c>
      <c r="R2393" s="2" t="s">
        <v>231</v>
      </c>
      <c r="S2393" s="2" t="s">
        <v>10384</v>
      </c>
      <c r="T2393" s="2" t="s">
        <v>472</v>
      </c>
      <c r="U2393" s="2" t="s">
        <v>835</v>
      </c>
      <c r="V2393" s="2" t="s">
        <v>987</v>
      </c>
      <c r="W2393" s="2" t="s">
        <v>2897</v>
      </c>
      <c r="X2393" s="2" t="s">
        <v>273</v>
      </c>
      <c r="Y2393" s="2" t="s">
        <v>10356</v>
      </c>
      <c r="Z2393" s="4">
        <v>117</v>
      </c>
      <c r="AA2393" s="4">
        <f>=ROUNDDOWN(33.4285714285714,0)</f>
      </c>
      <c r="AB2393" s="5">
        <v>3.5</v>
      </c>
      <c r="AC2393" s="2" t="s">
        <v>3693</v>
      </c>
      <c r="AD2393" s="4">
        <v>255</v>
      </c>
      <c r="AE2393" s="4">
        <v>774</v>
      </c>
      <c r="AF2393" s="6">
        <v>63</v>
      </c>
      <c r="AG2393" s="6">
        <v>46</v>
      </c>
      <c r="AH2393" s="7">
        <v>0</v>
      </c>
      <c r="AI2393" s="4"/>
      <c r="AJ2393" s="4">
        <f>=ROUNDDOWN({0},0)</f>
      </c>
      <c r="AK2393" s="5"/>
      <c r="AL2393" s="2" t="s">
        <v>231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231</v>
      </c>
      <c r="AW2393" s="8" t="s">
        <v>231</v>
      </c>
      <c r="AX2393" s="4" t="s">
        <v>231</v>
      </c>
      <c r="AY2393" s="8" t="s">
        <v>231</v>
      </c>
      <c r="AZ2393" s="7" t="s">
        <v>231</v>
      </c>
      <c r="BA2393" s="7" t="s">
        <v>231</v>
      </c>
      <c r="BB2393" s="7"/>
      <c r="BC2393" s="4" t="s">
        <v>231</v>
      </c>
      <c r="BD2393" s="8" t="s">
        <v>231</v>
      </c>
      <c r="BE2393" s="4" t="s">
        <v>231</v>
      </c>
      <c r="BF2393" s="8" t="s">
        <v>231</v>
      </c>
      <c r="BG2393" s="7" t="s">
        <v>231</v>
      </c>
      <c r="BH2393" s="7" t="s">
        <v>231</v>
      </c>
      <c r="BI2393" s="7"/>
      <c r="BJ2393" s="4"/>
      <c r="BK2393" s="8"/>
      <c r="BL2393" s="2" t="s">
        <v>231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10387</v>
      </c>
      <c r="BV2393" s="2" t="s">
        <v>231</v>
      </c>
      <c r="BW2393" s="2" t="s">
        <v>231</v>
      </c>
      <c r="BX2393" s="2" t="s">
        <v>2109</v>
      </c>
      <c r="BY2393" s="2" t="s">
        <v>277</v>
      </c>
      <c r="BZ2393" s="2" t="s">
        <v>243</v>
      </c>
      <c r="CA2393" s="2" t="s">
        <v>231</v>
      </c>
      <c r="CB2393" s="2" t="s">
        <v>231</v>
      </c>
      <c r="CC2393" s="2" t="s">
        <v>244</v>
      </c>
      <c r="CD2393" s="2" t="s">
        <v>231</v>
      </c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>
        <v>117</v>
      </c>
      <c r="CQ2393" s="4"/>
      <c r="CR2393" s="4"/>
      <c r="CS2393" s="4"/>
      <c r="CT2393" s="4"/>
      <c r="CU2393" s="4"/>
      <c r="CV2393" s="4"/>
      <c r="CW2393" s="4"/>
      <c r="CX2393" s="4"/>
      <c r="CY2393" s="4"/>
      <c r="CZ2393" s="4">
        <v>255</v>
      </c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>
        <v>222</v>
      </c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>
        <v>144</v>
      </c>
      <c r="EL2393" s="4"/>
      <c r="EM2393" s="4"/>
      <c r="EN2393" s="4"/>
      <c r="EO2393" s="4"/>
      <c r="EP2393" s="4"/>
      <c r="EQ2393" s="4"/>
      <c r="ER2393" s="4"/>
      <c r="ES2393" s="4">
        <v>153</v>
      </c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/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  <c r="HG2393" s="4"/>
      <c r="HH2393" s="4"/>
      <c r="HI2393" s="4"/>
      <c r="HJ2393" s="4"/>
      <c r="HK2393" s="4"/>
      <c r="HL2393" s="4"/>
    </row>
    <row r="2394">
      <c r="A2394" s="2" t="s">
        <v>10388</v>
      </c>
      <c r="B2394" s="2" t="s">
        <v>1186</v>
      </c>
      <c r="C2394" s="2" t="s">
        <v>241</v>
      </c>
      <c r="D2394" s="2" t="s">
        <v>654</v>
      </c>
      <c r="E2394" s="2" t="s">
        <v>890</v>
      </c>
      <c r="F2394" s="2" t="s">
        <v>10285</v>
      </c>
      <c r="G2394" s="2" t="s">
        <v>10353</v>
      </c>
      <c r="H2394" s="2" t="s">
        <v>6561</v>
      </c>
      <c r="I2394" s="2" t="s">
        <v>10354</v>
      </c>
      <c r="J2394" s="2" t="s">
        <v>669</v>
      </c>
      <c r="K2394" s="2" t="s">
        <v>1800</v>
      </c>
      <c r="L2394" s="3">
        <v>30.95</v>
      </c>
      <c r="M2394" s="3">
        <v>32.5</v>
      </c>
      <c r="N2394" s="3">
        <v>64.99</v>
      </c>
      <c r="O2394" s="2" t="s">
        <v>243</v>
      </c>
      <c r="P2394" s="2" t="s">
        <v>236</v>
      </c>
      <c r="Q2394" s="2" t="s">
        <v>237</v>
      </c>
      <c r="R2394" s="2" t="s">
        <v>231</v>
      </c>
      <c r="S2394" s="2" t="s">
        <v>10384</v>
      </c>
      <c r="T2394" s="2" t="s">
        <v>472</v>
      </c>
      <c r="U2394" s="2" t="s">
        <v>835</v>
      </c>
      <c r="V2394" s="2" t="s">
        <v>987</v>
      </c>
      <c r="W2394" s="2" t="s">
        <v>2897</v>
      </c>
      <c r="X2394" s="2" t="s">
        <v>273</v>
      </c>
      <c r="Y2394" s="2" t="s">
        <v>2279</v>
      </c>
      <c r="Z2394" s="4">
        <v>214</v>
      </c>
      <c r="AA2394" s="4">
        <f>=ROUNDDOWN({0},0)</f>
      </c>
      <c r="AB2394" s="5"/>
      <c r="AC2394" s="2" t="s">
        <v>3693</v>
      </c>
      <c r="AD2394" s="4">
        <v>94</v>
      </c>
      <c r="AE2394" s="4">
        <v>520</v>
      </c>
      <c r="AF2394" s="6">
        <v>63</v>
      </c>
      <c r="AG2394" s="6">
        <v>46</v>
      </c>
      <c r="AH2394" s="7">
        <v>0</v>
      </c>
      <c r="AI2394" s="4"/>
      <c r="AJ2394" s="4">
        <f>=ROUNDDOWN({0},0)</f>
      </c>
      <c r="AK2394" s="5"/>
      <c r="AL2394" s="2" t="s">
        <v>231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231</v>
      </c>
      <c r="AW2394" s="8" t="s">
        <v>231</v>
      </c>
      <c r="AX2394" s="4" t="s">
        <v>231</v>
      </c>
      <c r="AY2394" s="8" t="s">
        <v>231</v>
      </c>
      <c r="AZ2394" s="7" t="s">
        <v>231</v>
      </c>
      <c r="BA2394" s="7" t="s">
        <v>231</v>
      </c>
      <c r="BB2394" s="7"/>
      <c r="BC2394" s="4" t="s">
        <v>231</v>
      </c>
      <c r="BD2394" s="8" t="s">
        <v>231</v>
      </c>
      <c r="BE2394" s="4" t="s">
        <v>231</v>
      </c>
      <c r="BF2394" s="8" t="s">
        <v>231</v>
      </c>
      <c r="BG2394" s="7" t="s">
        <v>231</v>
      </c>
      <c r="BH2394" s="7" t="s">
        <v>231</v>
      </c>
      <c r="BI2394" s="7"/>
      <c r="BJ2394" s="4"/>
      <c r="BK2394" s="8"/>
      <c r="BL2394" s="2" t="s">
        <v>231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10389</v>
      </c>
      <c r="BV2394" s="2" t="s">
        <v>231</v>
      </c>
      <c r="BW2394" s="2" t="s">
        <v>231</v>
      </c>
      <c r="BX2394" s="2" t="s">
        <v>2109</v>
      </c>
      <c r="BY2394" s="2" t="s">
        <v>277</v>
      </c>
      <c r="BZ2394" s="2" t="s">
        <v>243</v>
      </c>
      <c r="CA2394" s="2" t="s">
        <v>231</v>
      </c>
      <c r="CB2394" s="2" t="s">
        <v>231</v>
      </c>
      <c r="CC2394" s="2" t="s">
        <v>244</v>
      </c>
      <c r="CD2394" s="2" t="s">
        <v>231</v>
      </c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>
        <v>214</v>
      </c>
      <c r="CQ2394" s="4"/>
      <c r="CR2394" s="4"/>
      <c r="CS2394" s="4"/>
      <c r="CT2394" s="4"/>
      <c r="CU2394" s="4"/>
      <c r="CV2394" s="4"/>
      <c r="CW2394" s="4"/>
      <c r="CX2394" s="4"/>
      <c r="CY2394" s="4"/>
      <c r="CZ2394" s="4">
        <v>94</v>
      </c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>
        <v>172</v>
      </c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>
        <v>132</v>
      </c>
      <c r="EL2394" s="4"/>
      <c r="EM2394" s="4"/>
      <c r="EN2394" s="4"/>
      <c r="EO2394" s="4"/>
      <c r="EP2394" s="4"/>
      <c r="EQ2394" s="4"/>
      <c r="ER2394" s="4"/>
      <c r="ES2394" s="4">
        <v>122</v>
      </c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4"/>
      <c r="HG2394" s="4"/>
      <c r="HH2394" s="4"/>
      <c r="HI2394" s="4"/>
      <c r="HJ2394" s="4"/>
      <c r="HK2394" s="4"/>
      <c r="HL2394" s="4"/>
    </row>
    <row r="2395">
      <c r="A2395" s="2" t="s">
        <v>10390</v>
      </c>
      <c r="B2395" s="2" t="s">
        <v>824</v>
      </c>
      <c r="C2395" s="2" t="s">
        <v>1017</v>
      </c>
      <c r="D2395" s="2" t="s">
        <v>654</v>
      </c>
      <c r="E2395" s="2" t="s">
        <v>655</v>
      </c>
      <c r="F2395" s="2" t="s">
        <v>10391</v>
      </c>
      <c r="G2395" s="2" t="s">
        <v>231</v>
      </c>
      <c r="H2395" s="2" t="s">
        <v>231</v>
      </c>
      <c r="I2395" s="2" t="s">
        <v>10392</v>
      </c>
      <c r="J2395" s="2" t="s">
        <v>293</v>
      </c>
      <c r="K2395" s="2" t="s">
        <v>269</v>
      </c>
      <c r="L2395" s="3">
        <v>29.56</v>
      </c>
      <c r="M2395" s="3">
        <v>31.04</v>
      </c>
      <c r="N2395" s="3">
        <v>49.99</v>
      </c>
      <c r="O2395" s="2" t="s">
        <v>235</v>
      </c>
      <c r="P2395" s="2" t="s">
        <v>1019</v>
      </c>
      <c r="Q2395" s="2" t="s">
        <v>237</v>
      </c>
      <c r="R2395" s="2" t="s">
        <v>1020</v>
      </c>
      <c r="S2395" s="2" t="s">
        <v>231</v>
      </c>
      <c r="T2395" s="2" t="s">
        <v>231</v>
      </c>
      <c r="U2395" s="2" t="s">
        <v>298</v>
      </c>
      <c r="V2395" s="2" t="s">
        <v>662</v>
      </c>
      <c r="W2395" s="2" t="s">
        <v>231</v>
      </c>
      <c r="X2395" s="2" t="s">
        <v>231</v>
      </c>
      <c r="Y2395" s="2" t="s">
        <v>10393</v>
      </c>
      <c r="Z2395" s="4">
        <v>341</v>
      </c>
      <c r="AA2395" s="4">
        <f>=ROUNDDOWN(16.9651741293532,0)</f>
      </c>
      <c r="AB2395" s="5">
        <v>20.1</v>
      </c>
      <c r="AC2395" s="2" t="s">
        <v>231</v>
      </c>
      <c r="AD2395" s="4"/>
      <c r="AE2395" s="4"/>
      <c r="AF2395" s="6">
        <v>64</v>
      </c>
      <c r="AG2395" s="6"/>
      <c r="AH2395" s="7">
        <v>1</v>
      </c>
      <c r="AI2395" s="4"/>
      <c r="AJ2395" s="4">
        <f>=ROUNDDOWN({0},0)</f>
      </c>
      <c r="AK2395" s="5"/>
      <c r="AL2395" s="2" t="s">
        <v>231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/>
      <c r="BD2395" s="8"/>
      <c r="BE2395" s="4"/>
      <c r="BF2395" s="8"/>
      <c r="BG2395" s="7"/>
      <c r="BH2395" s="7"/>
      <c r="BI2395" s="7"/>
      <c r="BJ2395" s="4">
        <v>89</v>
      </c>
      <c r="BK2395" s="8">
        <v>2433.26</v>
      </c>
      <c r="BL2395" s="2" t="s">
        <v>3050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10394</v>
      </c>
      <c r="BV2395" s="2" t="s">
        <v>231</v>
      </c>
      <c r="BW2395" s="2" t="s">
        <v>231</v>
      </c>
      <c r="BX2395" s="2" t="s">
        <v>241</v>
      </c>
      <c r="BY2395" s="2" t="s">
        <v>277</v>
      </c>
      <c r="BZ2395" s="2" t="s">
        <v>243</v>
      </c>
      <c r="CA2395" s="2" t="s">
        <v>1155</v>
      </c>
      <c r="CB2395" s="2" t="s">
        <v>231</v>
      </c>
      <c r="CC2395" s="2" t="s">
        <v>244</v>
      </c>
      <c r="CD2395" s="2" t="s">
        <v>231</v>
      </c>
      <c r="CE2395" s="4">
        <v>341</v>
      </c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  <c r="HF2395" s="4"/>
      <c r="HG2395" s="4"/>
      <c r="HH2395" s="4"/>
      <c r="HI2395" s="4"/>
      <c r="HJ2395" s="4"/>
      <c r="HK2395" s="4"/>
      <c r="HL2395" s="4"/>
    </row>
    <row r="2396">
      <c r="A2396" s="2" t="s">
        <v>10395</v>
      </c>
      <c r="B2396" s="2" t="s">
        <v>824</v>
      </c>
      <c r="C2396" s="2" t="s">
        <v>825</v>
      </c>
      <c r="D2396" s="2" t="s">
        <v>654</v>
      </c>
      <c r="E2396" s="2" t="s">
        <v>890</v>
      </c>
      <c r="F2396" s="2" t="s">
        <v>10396</v>
      </c>
      <c r="G2396" s="2" t="s">
        <v>9584</v>
      </c>
      <c r="H2396" s="2" t="s">
        <v>10397</v>
      </c>
      <c r="I2396" s="2" t="s">
        <v>10398</v>
      </c>
      <c r="J2396" s="2" t="s">
        <v>832</v>
      </c>
      <c r="K2396" s="2" t="s">
        <v>10399</v>
      </c>
      <c r="L2396" s="3">
        <v>28.57</v>
      </c>
      <c r="M2396" s="3">
        <v>30</v>
      </c>
      <c r="N2396" s="3">
        <v>59.99</v>
      </c>
      <c r="O2396" s="2" t="s">
        <v>243</v>
      </c>
      <c r="P2396" s="2" t="s">
        <v>1985</v>
      </c>
      <c r="Q2396" s="2" t="s">
        <v>237</v>
      </c>
      <c r="R2396" s="2" t="s">
        <v>231</v>
      </c>
      <c r="S2396" s="2" t="s">
        <v>10400</v>
      </c>
      <c r="T2396" s="2" t="s">
        <v>472</v>
      </c>
      <c r="U2396" s="2" t="s">
        <v>791</v>
      </c>
      <c r="V2396" s="2" t="s">
        <v>1304</v>
      </c>
      <c r="W2396" s="2" t="s">
        <v>691</v>
      </c>
      <c r="X2396" s="2" t="s">
        <v>8680</v>
      </c>
      <c r="Y2396" s="2" t="s">
        <v>1876</v>
      </c>
      <c r="Z2396" s="4">
        <v>577</v>
      </c>
      <c r="AA2396" s="4">
        <f>=ROUNDDOWN(144.25,0)</f>
      </c>
      <c r="AB2396" s="5">
        <v>4</v>
      </c>
      <c r="AC2396" s="2" t="s">
        <v>231</v>
      </c>
      <c r="AD2396" s="4"/>
      <c r="AE2396" s="4"/>
      <c r="AF2396" s="6">
        <v>64</v>
      </c>
      <c r="AG2396" s="6"/>
      <c r="AH2396" s="7">
        <v>1</v>
      </c>
      <c r="AI2396" s="4"/>
      <c r="AJ2396" s="4">
        <f>=ROUNDDOWN({0},0)</f>
      </c>
      <c r="AK2396" s="5"/>
      <c r="AL2396" s="2" t="s">
        <v>231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231</v>
      </c>
      <c r="AW2396" s="8" t="s">
        <v>231</v>
      </c>
      <c r="AX2396" s="4" t="s">
        <v>231</v>
      </c>
      <c r="AY2396" s="8" t="s">
        <v>231</v>
      </c>
      <c r="AZ2396" s="7" t="s">
        <v>231</v>
      </c>
      <c r="BA2396" s="7" t="s">
        <v>231</v>
      </c>
      <c r="BB2396" s="7"/>
      <c r="BC2396" s="4" t="s">
        <v>231</v>
      </c>
      <c r="BD2396" s="8" t="s">
        <v>231</v>
      </c>
      <c r="BE2396" s="4" t="s">
        <v>231</v>
      </c>
      <c r="BF2396" s="8" t="s">
        <v>231</v>
      </c>
      <c r="BG2396" s="7" t="s">
        <v>231</v>
      </c>
      <c r="BH2396" s="7" t="s">
        <v>231</v>
      </c>
      <c r="BI2396" s="7"/>
      <c r="BJ2396" s="4">
        <v>20</v>
      </c>
      <c r="BK2396" s="8">
        <v>622.21</v>
      </c>
      <c r="BL2396" s="2" t="s">
        <v>10401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10402</v>
      </c>
      <c r="BV2396" s="2" t="s">
        <v>231</v>
      </c>
      <c r="BW2396" s="2" t="s">
        <v>231</v>
      </c>
      <c r="BX2396" s="2" t="s">
        <v>241</v>
      </c>
      <c r="BY2396" s="2" t="s">
        <v>277</v>
      </c>
      <c r="BZ2396" s="2" t="s">
        <v>243</v>
      </c>
      <c r="CA2396" s="2" t="s">
        <v>1882</v>
      </c>
      <c r="CB2396" s="2" t="s">
        <v>1072</v>
      </c>
      <c r="CC2396" s="2" t="s">
        <v>244</v>
      </c>
      <c r="CD2396" s="2" t="s">
        <v>231</v>
      </c>
      <c r="CE2396" s="4">
        <v>577</v>
      </c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4"/>
      <c r="HG2396" s="4"/>
      <c r="HH2396" s="4"/>
      <c r="HI2396" s="4"/>
      <c r="HJ2396" s="4"/>
      <c r="HK2396" s="4"/>
      <c r="HL2396" s="4"/>
    </row>
    <row r="2397">
      <c r="A2397" s="2" t="s">
        <v>10403</v>
      </c>
      <c r="B2397" s="2" t="s">
        <v>824</v>
      </c>
      <c r="C2397" s="2" t="s">
        <v>825</v>
      </c>
      <c r="D2397" s="2" t="s">
        <v>654</v>
      </c>
      <c r="E2397" s="2" t="s">
        <v>890</v>
      </c>
      <c r="F2397" s="2" t="s">
        <v>10396</v>
      </c>
      <c r="G2397" s="2" t="s">
        <v>9584</v>
      </c>
      <c r="H2397" s="2" t="s">
        <v>10397</v>
      </c>
      <c r="I2397" s="2" t="s">
        <v>10398</v>
      </c>
      <c r="J2397" s="2" t="s">
        <v>658</v>
      </c>
      <c r="K2397" s="2" t="s">
        <v>10399</v>
      </c>
      <c r="L2397" s="3">
        <v>33.33</v>
      </c>
      <c r="M2397" s="3">
        <v>35</v>
      </c>
      <c r="N2397" s="3">
        <v>69.99</v>
      </c>
      <c r="O2397" s="2" t="s">
        <v>243</v>
      </c>
      <c r="P2397" s="2" t="s">
        <v>1985</v>
      </c>
      <c r="Q2397" s="2" t="s">
        <v>237</v>
      </c>
      <c r="R2397" s="2" t="s">
        <v>231</v>
      </c>
      <c r="S2397" s="2" t="s">
        <v>10400</v>
      </c>
      <c r="T2397" s="2" t="s">
        <v>472</v>
      </c>
      <c r="U2397" s="2" t="s">
        <v>835</v>
      </c>
      <c r="V2397" s="2" t="s">
        <v>1304</v>
      </c>
      <c r="W2397" s="2" t="s">
        <v>691</v>
      </c>
      <c r="X2397" s="2" t="s">
        <v>8680</v>
      </c>
      <c r="Y2397" s="2" t="s">
        <v>10404</v>
      </c>
      <c r="Z2397" s="4">
        <v>416</v>
      </c>
      <c r="AA2397" s="4">
        <f>=ROUNDDOWN(48.3720930232558,0)</f>
      </c>
      <c r="AB2397" s="5">
        <v>8.6</v>
      </c>
      <c r="AC2397" s="2" t="s">
        <v>231</v>
      </c>
      <c r="AD2397" s="4"/>
      <c r="AE2397" s="4"/>
      <c r="AF2397" s="6">
        <v>64</v>
      </c>
      <c r="AG2397" s="6"/>
      <c r="AH2397" s="7">
        <v>1</v>
      </c>
      <c r="AI2397" s="4"/>
      <c r="AJ2397" s="4">
        <f>=ROUNDDOWN({0},0)</f>
      </c>
      <c r="AK2397" s="5"/>
      <c r="AL2397" s="2" t="s">
        <v>231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231</v>
      </c>
      <c r="AW2397" s="8" t="s">
        <v>231</v>
      </c>
      <c r="AX2397" s="4" t="s">
        <v>231</v>
      </c>
      <c r="AY2397" s="8" t="s">
        <v>231</v>
      </c>
      <c r="AZ2397" s="7" t="s">
        <v>231</v>
      </c>
      <c r="BA2397" s="7" t="s">
        <v>231</v>
      </c>
      <c r="BB2397" s="7"/>
      <c r="BC2397" s="4" t="s">
        <v>231</v>
      </c>
      <c r="BD2397" s="8" t="s">
        <v>231</v>
      </c>
      <c r="BE2397" s="4" t="s">
        <v>231</v>
      </c>
      <c r="BF2397" s="8" t="s">
        <v>231</v>
      </c>
      <c r="BG2397" s="7" t="s">
        <v>231</v>
      </c>
      <c r="BH2397" s="7" t="s">
        <v>231</v>
      </c>
      <c r="BI2397" s="7"/>
      <c r="BJ2397" s="4">
        <v>37</v>
      </c>
      <c r="BK2397" s="8">
        <v>1488.51</v>
      </c>
      <c r="BL2397" s="2" t="s">
        <v>10405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10406</v>
      </c>
      <c r="BV2397" s="2" t="s">
        <v>231</v>
      </c>
      <c r="BW2397" s="2" t="s">
        <v>231</v>
      </c>
      <c r="BX2397" s="2" t="s">
        <v>241</v>
      </c>
      <c r="BY2397" s="2" t="s">
        <v>277</v>
      </c>
      <c r="BZ2397" s="2" t="s">
        <v>243</v>
      </c>
      <c r="CA2397" s="2" t="s">
        <v>3538</v>
      </c>
      <c r="CB2397" s="2" t="s">
        <v>10407</v>
      </c>
      <c r="CC2397" s="2" t="s">
        <v>244</v>
      </c>
      <c r="CD2397" s="2" t="s">
        <v>231</v>
      </c>
      <c r="CE2397" s="4">
        <v>416</v>
      </c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  <c r="HF2397" s="4"/>
      <c r="HG2397" s="4"/>
      <c r="HH2397" s="4"/>
      <c r="HI2397" s="4"/>
      <c r="HJ2397" s="4"/>
      <c r="HK2397" s="4"/>
      <c r="HL2397" s="4"/>
    </row>
    <row r="2398">
      <c r="A2398" s="2" t="s">
        <v>10408</v>
      </c>
      <c r="B2398" s="2" t="s">
        <v>824</v>
      </c>
      <c r="C2398" s="2" t="s">
        <v>825</v>
      </c>
      <c r="D2398" s="2" t="s">
        <v>654</v>
      </c>
      <c r="E2398" s="2" t="s">
        <v>890</v>
      </c>
      <c r="F2398" s="2" t="s">
        <v>10396</v>
      </c>
      <c r="G2398" s="2" t="s">
        <v>9584</v>
      </c>
      <c r="H2398" s="2" t="s">
        <v>10397</v>
      </c>
      <c r="I2398" s="2" t="s">
        <v>10398</v>
      </c>
      <c r="J2398" s="2" t="s">
        <v>669</v>
      </c>
      <c r="K2398" s="2" t="s">
        <v>10399</v>
      </c>
      <c r="L2398" s="3">
        <v>38.09</v>
      </c>
      <c r="M2398" s="3">
        <v>39.99</v>
      </c>
      <c r="N2398" s="3">
        <v>79.99</v>
      </c>
      <c r="O2398" s="2" t="s">
        <v>243</v>
      </c>
      <c r="P2398" s="2" t="s">
        <v>1985</v>
      </c>
      <c r="Q2398" s="2" t="s">
        <v>237</v>
      </c>
      <c r="R2398" s="2" t="s">
        <v>231</v>
      </c>
      <c r="S2398" s="2" t="s">
        <v>10400</v>
      </c>
      <c r="T2398" s="2" t="s">
        <v>472</v>
      </c>
      <c r="U2398" s="2" t="s">
        <v>835</v>
      </c>
      <c r="V2398" s="2" t="s">
        <v>1304</v>
      </c>
      <c r="W2398" s="2" t="s">
        <v>691</v>
      </c>
      <c r="X2398" s="2" t="s">
        <v>8680</v>
      </c>
      <c r="Y2398" s="2" t="s">
        <v>10404</v>
      </c>
      <c r="Z2398" s="4">
        <v>242</v>
      </c>
      <c r="AA2398" s="4">
        <f>=ROUNDDOWN(48.4,0)</f>
      </c>
      <c r="AB2398" s="5">
        <v>5</v>
      </c>
      <c r="AC2398" s="2" t="s">
        <v>231</v>
      </c>
      <c r="AD2398" s="4"/>
      <c r="AE2398" s="4"/>
      <c r="AF2398" s="6">
        <v>64</v>
      </c>
      <c r="AG2398" s="6"/>
      <c r="AH2398" s="7">
        <v>1</v>
      </c>
      <c r="AI2398" s="4"/>
      <c r="AJ2398" s="4">
        <f>=ROUNDDOWN({0},0)</f>
      </c>
      <c r="AK2398" s="5"/>
      <c r="AL2398" s="2" t="s">
        <v>231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231</v>
      </c>
      <c r="AW2398" s="8" t="s">
        <v>231</v>
      </c>
      <c r="AX2398" s="4" t="s">
        <v>231</v>
      </c>
      <c r="AY2398" s="8" t="s">
        <v>231</v>
      </c>
      <c r="AZ2398" s="7" t="s">
        <v>231</v>
      </c>
      <c r="BA2398" s="7" t="s">
        <v>231</v>
      </c>
      <c r="BB2398" s="7"/>
      <c r="BC2398" s="4" t="s">
        <v>231</v>
      </c>
      <c r="BD2398" s="8" t="s">
        <v>231</v>
      </c>
      <c r="BE2398" s="4" t="s">
        <v>231</v>
      </c>
      <c r="BF2398" s="8" t="s">
        <v>231</v>
      </c>
      <c r="BG2398" s="7" t="s">
        <v>231</v>
      </c>
      <c r="BH2398" s="7" t="s">
        <v>231</v>
      </c>
      <c r="BI2398" s="7"/>
      <c r="BJ2398" s="4">
        <v>16</v>
      </c>
      <c r="BK2398" s="8">
        <v>647.84</v>
      </c>
      <c r="BL2398" s="2" t="s">
        <v>9794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10409</v>
      </c>
      <c r="BV2398" s="2" t="s">
        <v>231</v>
      </c>
      <c r="BW2398" s="2" t="s">
        <v>231</v>
      </c>
      <c r="BX2398" s="2" t="s">
        <v>241</v>
      </c>
      <c r="BY2398" s="2" t="s">
        <v>277</v>
      </c>
      <c r="BZ2398" s="2" t="s">
        <v>243</v>
      </c>
      <c r="CA2398" s="2" t="s">
        <v>3538</v>
      </c>
      <c r="CB2398" s="2" t="s">
        <v>10410</v>
      </c>
      <c r="CC2398" s="2" t="s">
        <v>244</v>
      </c>
      <c r="CD2398" s="2" t="s">
        <v>231</v>
      </c>
      <c r="CE2398" s="4">
        <v>242</v>
      </c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  <c r="HG2398" s="4"/>
      <c r="HH2398" s="4"/>
      <c r="HI2398" s="4"/>
      <c r="HJ2398" s="4"/>
      <c r="HK2398" s="4"/>
      <c r="HL2398" s="4"/>
    </row>
    <row r="2399">
      <c r="A2399" s="2" t="s">
        <v>10411</v>
      </c>
      <c r="B2399" s="2" t="s">
        <v>824</v>
      </c>
      <c r="C2399" s="2" t="s">
        <v>1221</v>
      </c>
      <c r="D2399" s="2" t="s">
        <v>654</v>
      </c>
      <c r="E2399" s="2" t="s">
        <v>655</v>
      </c>
      <c r="F2399" s="2" t="s">
        <v>10412</v>
      </c>
      <c r="G2399" s="2" t="s">
        <v>10413</v>
      </c>
      <c r="H2399" s="2" t="s">
        <v>10414</v>
      </c>
      <c r="I2399" s="2" t="s">
        <v>984</v>
      </c>
      <c r="J2399" s="2" t="s">
        <v>658</v>
      </c>
      <c r="K2399" s="2" t="s">
        <v>1513</v>
      </c>
      <c r="L2399" s="3">
        <v>35.53</v>
      </c>
      <c r="M2399" s="3">
        <v>37.31</v>
      </c>
      <c r="N2399" s="3">
        <v>79.99</v>
      </c>
      <c r="O2399" s="2" t="s">
        <v>243</v>
      </c>
      <c r="P2399" s="2" t="s">
        <v>341</v>
      </c>
      <c r="Q2399" s="2" t="s">
        <v>237</v>
      </c>
      <c r="R2399" s="2" t="s">
        <v>231</v>
      </c>
      <c r="S2399" s="2" t="s">
        <v>10415</v>
      </c>
      <c r="T2399" s="2" t="s">
        <v>472</v>
      </c>
      <c r="U2399" s="2" t="s">
        <v>298</v>
      </c>
      <c r="V2399" s="2" t="s">
        <v>1685</v>
      </c>
      <c r="W2399" s="2" t="s">
        <v>273</v>
      </c>
      <c r="X2399" s="2" t="s">
        <v>691</v>
      </c>
      <c r="Y2399" s="2" t="s">
        <v>274</v>
      </c>
      <c r="Z2399" s="4">
        <v>90</v>
      </c>
      <c r="AA2399" s="4">
        <f>=ROUNDDOWN(5.84415584415584,0)</f>
      </c>
      <c r="AB2399" s="5">
        <v>15.4</v>
      </c>
      <c r="AC2399" s="2" t="s">
        <v>231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231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/>
      <c r="BD2399" s="8"/>
      <c r="BE2399" s="4"/>
      <c r="BF2399" s="8"/>
      <c r="BG2399" s="7"/>
      <c r="BH2399" s="7"/>
      <c r="BI2399" s="7"/>
      <c r="BJ2399" s="4">
        <v>63</v>
      </c>
      <c r="BK2399" s="8">
        <v>1998.64</v>
      </c>
      <c r="BL2399" s="2" t="s">
        <v>10416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10417</v>
      </c>
      <c r="BV2399" s="2" t="s">
        <v>231</v>
      </c>
      <c r="BW2399" s="2" t="s">
        <v>231</v>
      </c>
      <c r="BX2399" s="2" t="s">
        <v>231</v>
      </c>
      <c r="BY2399" s="2" t="s">
        <v>277</v>
      </c>
      <c r="BZ2399" s="2" t="s">
        <v>243</v>
      </c>
      <c r="CA2399" s="2" t="s">
        <v>284</v>
      </c>
      <c r="CB2399" s="2" t="s">
        <v>467</v>
      </c>
      <c r="CC2399" s="2" t="s">
        <v>244</v>
      </c>
      <c r="CD2399" s="2" t="s">
        <v>231</v>
      </c>
      <c r="CE2399" s="4"/>
      <c r="CF2399" s="4">
        <v>90</v>
      </c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4"/>
      <c r="HH2399" s="4"/>
      <c r="HI2399" s="4"/>
      <c r="HJ2399" s="4"/>
      <c r="HK2399" s="4"/>
      <c r="HL2399" s="4"/>
    </row>
    <row r="2400">
      <c r="A2400" s="2" t="s">
        <v>10418</v>
      </c>
      <c r="B2400" s="2" t="s">
        <v>784</v>
      </c>
      <c r="C2400" s="2" t="s">
        <v>631</v>
      </c>
      <c r="D2400" s="2" t="s">
        <v>785</v>
      </c>
      <c r="E2400" s="2" t="s">
        <v>786</v>
      </c>
      <c r="F2400" s="2" t="s">
        <v>6068</v>
      </c>
      <c r="G2400" s="2" t="s">
        <v>6068</v>
      </c>
      <c r="H2400" s="2" t="s">
        <v>6068</v>
      </c>
      <c r="I2400" s="2" t="s">
        <v>10419</v>
      </c>
      <c r="J2400" s="2" t="s">
        <v>1070</v>
      </c>
      <c r="K2400" s="2" t="s">
        <v>682</v>
      </c>
      <c r="L2400" s="3">
        <v>38</v>
      </c>
      <c r="M2400" s="3">
        <v>39.9</v>
      </c>
      <c r="N2400" s="3">
        <v>79.99</v>
      </c>
      <c r="O2400" s="2" t="s">
        <v>243</v>
      </c>
      <c r="P2400" s="2" t="s">
        <v>1281</v>
      </c>
      <c r="Q2400" s="2" t="s">
        <v>237</v>
      </c>
      <c r="R2400" s="2" t="s">
        <v>231</v>
      </c>
      <c r="S2400" s="2" t="s">
        <v>10420</v>
      </c>
      <c r="T2400" s="2" t="s">
        <v>362</v>
      </c>
      <c r="U2400" s="2" t="s">
        <v>765</v>
      </c>
      <c r="V2400" s="2" t="s">
        <v>239</v>
      </c>
      <c r="W2400" s="2" t="s">
        <v>792</v>
      </c>
      <c r="X2400" s="2" t="s">
        <v>231</v>
      </c>
      <c r="Y2400" s="2" t="s">
        <v>2060</v>
      </c>
      <c r="Z2400" s="4">
        <v>453</v>
      </c>
      <c r="AA2400" s="4">
        <f>=ROUNDDOWN(45.3,0)</f>
      </c>
      <c r="AB2400" s="5">
        <v>10</v>
      </c>
      <c r="AC2400" s="2" t="s">
        <v>231</v>
      </c>
      <c r="AD2400" s="4"/>
      <c r="AE2400" s="4"/>
      <c r="AF2400" s="6">
        <v>67</v>
      </c>
      <c r="AG2400" s="6"/>
      <c r="AH2400" s="7">
        <v>1</v>
      </c>
      <c r="AI2400" s="4"/>
      <c r="AJ2400" s="4">
        <f>=ROUNDDOWN({0},0)</f>
      </c>
      <c r="AK2400" s="5"/>
      <c r="AL2400" s="2" t="s">
        <v>231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231</v>
      </c>
      <c r="BD2400" s="8" t="s">
        <v>231</v>
      </c>
      <c r="BE2400" s="4" t="s">
        <v>231</v>
      </c>
      <c r="BF2400" s="8" t="s">
        <v>231</v>
      </c>
      <c r="BG2400" s="7" t="s">
        <v>231</v>
      </c>
      <c r="BH2400" s="7" t="s">
        <v>231</v>
      </c>
      <c r="BI2400" s="7"/>
      <c r="BJ2400" s="4">
        <v>40</v>
      </c>
      <c r="BK2400" s="8">
        <v>1706.08</v>
      </c>
      <c r="BL2400" s="2" t="s">
        <v>10421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10422</v>
      </c>
      <c r="BV2400" s="2" t="s">
        <v>231</v>
      </c>
      <c r="BW2400" s="2" t="s">
        <v>231</v>
      </c>
      <c r="BX2400" s="2" t="s">
        <v>231</v>
      </c>
      <c r="BY2400" s="2" t="s">
        <v>277</v>
      </c>
      <c r="BZ2400" s="2" t="s">
        <v>243</v>
      </c>
      <c r="CA2400" s="2" t="s">
        <v>2060</v>
      </c>
      <c r="CB2400" s="2" t="s">
        <v>7048</v>
      </c>
      <c r="CC2400" s="2" t="s">
        <v>244</v>
      </c>
      <c r="CD2400" s="2" t="s">
        <v>231</v>
      </c>
      <c r="CE2400" s="4">
        <v>453</v>
      </c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  <c r="HF2400" s="4"/>
      <c r="HG2400" s="4"/>
      <c r="HH2400" s="4"/>
      <c r="HI2400" s="4"/>
      <c r="HJ2400" s="4"/>
      <c r="HK2400" s="4"/>
      <c r="HL2400" s="4"/>
    </row>
    <row r="2401">
      <c r="A2401" s="2" t="s">
        <v>10423</v>
      </c>
      <c r="B2401" s="2" t="s">
        <v>784</v>
      </c>
      <c r="C2401" s="2" t="s">
        <v>631</v>
      </c>
      <c r="D2401" s="2" t="s">
        <v>785</v>
      </c>
      <c r="E2401" s="2" t="s">
        <v>786</v>
      </c>
      <c r="F2401" s="2" t="s">
        <v>6068</v>
      </c>
      <c r="G2401" s="2" t="s">
        <v>6068</v>
      </c>
      <c r="H2401" s="2" t="s">
        <v>6068</v>
      </c>
      <c r="I2401" s="2" t="s">
        <v>10419</v>
      </c>
      <c r="J2401" s="2" t="s">
        <v>1070</v>
      </c>
      <c r="K2401" s="2" t="s">
        <v>253</v>
      </c>
      <c r="L2401" s="3">
        <v>38</v>
      </c>
      <c r="M2401" s="3">
        <v>39.9</v>
      </c>
      <c r="N2401" s="3">
        <v>79.99</v>
      </c>
      <c r="O2401" s="2" t="s">
        <v>243</v>
      </c>
      <c r="P2401" s="2" t="s">
        <v>1281</v>
      </c>
      <c r="Q2401" s="2" t="s">
        <v>237</v>
      </c>
      <c r="R2401" s="2" t="s">
        <v>231</v>
      </c>
      <c r="S2401" s="2" t="s">
        <v>10424</v>
      </c>
      <c r="T2401" s="2" t="s">
        <v>362</v>
      </c>
      <c r="U2401" s="2" t="s">
        <v>765</v>
      </c>
      <c r="V2401" s="2" t="s">
        <v>239</v>
      </c>
      <c r="W2401" s="2" t="s">
        <v>792</v>
      </c>
      <c r="X2401" s="2" t="s">
        <v>231</v>
      </c>
      <c r="Y2401" s="2" t="s">
        <v>2060</v>
      </c>
      <c r="Z2401" s="4">
        <v>613</v>
      </c>
      <c r="AA2401" s="4">
        <f>=ROUNDDOWN(51.0833333333333,0)</f>
      </c>
      <c r="AB2401" s="5">
        <v>12</v>
      </c>
      <c r="AC2401" s="2" t="s">
        <v>231</v>
      </c>
      <c r="AD2401" s="4"/>
      <c r="AE2401" s="4"/>
      <c r="AF2401" s="6">
        <v>67</v>
      </c>
      <c r="AG2401" s="6"/>
      <c r="AH2401" s="7">
        <v>1</v>
      </c>
      <c r="AI2401" s="4"/>
      <c r="AJ2401" s="4">
        <f>=ROUNDDOWN({0},0)</f>
      </c>
      <c r="AK2401" s="5"/>
      <c r="AL2401" s="2" t="s">
        <v>231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231</v>
      </c>
      <c r="BD2401" s="8" t="s">
        <v>231</v>
      </c>
      <c r="BE2401" s="4" t="s">
        <v>231</v>
      </c>
      <c r="BF2401" s="8" t="s">
        <v>231</v>
      </c>
      <c r="BG2401" s="7" t="s">
        <v>231</v>
      </c>
      <c r="BH2401" s="7" t="s">
        <v>231</v>
      </c>
      <c r="BI2401" s="7"/>
      <c r="BJ2401" s="4">
        <v>38</v>
      </c>
      <c r="BK2401" s="8">
        <v>1590.31</v>
      </c>
      <c r="BL2401" s="2" t="s">
        <v>10425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10426</v>
      </c>
      <c r="BV2401" s="2" t="s">
        <v>231</v>
      </c>
      <c r="BW2401" s="2" t="s">
        <v>231</v>
      </c>
      <c r="BX2401" s="2" t="s">
        <v>231</v>
      </c>
      <c r="BY2401" s="2" t="s">
        <v>277</v>
      </c>
      <c r="BZ2401" s="2" t="s">
        <v>243</v>
      </c>
      <c r="CA2401" s="2" t="s">
        <v>2060</v>
      </c>
      <c r="CB2401" s="2" t="s">
        <v>6260</v>
      </c>
      <c r="CC2401" s="2" t="s">
        <v>244</v>
      </c>
      <c r="CD2401" s="2" t="s">
        <v>231</v>
      </c>
      <c r="CE2401" s="4">
        <v>613</v>
      </c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  <c r="HF2401" s="4"/>
      <c r="HG2401" s="4"/>
      <c r="HH2401" s="4"/>
      <c r="HI2401" s="4"/>
      <c r="HJ2401" s="4"/>
      <c r="HK2401" s="4"/>
      <c r="HL2401" s="4"/>
    </row>
    <row r="2402">
      <c r="A2402" s="2" t="s">
        <v>10427</v>
      </c>
      <c r="B2402" s="2" t="s">
        <v>784</v>
      </c>
      <c r="C2402" s="2" t="s">
        <v>631</v>
      </c>
      <c r="D2402" s="2" t="s">
        <v>785</v>
      </c>
      <c r="E2402" s="2" t="s">
        <v>786</v>
      </c>
      <c r="F2402" s="2" t="s">
        <v>6068</v>
      </c>
      <c r="G2402" s="2" t="s">
        <v>6068</v>
      </c>
      <c r="H2402" s="2" t="s">
        <v>6068</v>
      </c>
      <c r="I2402" s="2" t="s">
        <v>10419</v>
      </c>
      <c r="J2402" s="2" t="s">
        <v>1070</v>
      </c>
      <c r="K2402" s="2" t="s">
        <v>255</v>
      </c>
      <c r="L2402" s="3">
        <v>38</v>
      </c>
      <c r="M2402" s="3">
        <v>39.9</v>
      </c>
      <c r="N2402" s="3">
        <v>79.99</v>
      </c>
      <c r="O2402" s="2" t="s">
        <v>243</v>
      </c>
      <c r="P2402" s="2" t="s">
        <v>270</v>
      </c>
      <c r="Q2402" s="2" t="s">
        <v>237</v>
      </c>
      <c r="R2402" s="2" t="s">
        <v>231</v>
      </c>
      <c r="S2402" s="2" t="s">
        <v>10428</v>
      </c>
      <c r="T2402" s="2" t="s">
        <v>362</v>
      </c>
      <c r="U2402" s="2" t="s">
        <v>765</v>
      </c>
      <c r="V2402" s="2" t="s">
        <v>239</v>
      </c>
      <c r="W2402" s="2" t="s">
        <v>792</v>
      </c>
      <c r="X2402" s="2" t="s">
        <v>231</v>
      </c>
      <c r="Y2402" s="2" t="s">
        <v>5015</v>
      </c>
      <c r="Z2402" s="4">
        <v>596</v>
      </c>
      <c r="AA2402" s="4">
        <f>=ROUNDDOWN(74.5,0)</f>
      </c>
      <c r="AB2402" s="5">
        <v>8</v>
      </c>
      <c r="AC2402" s="2" t="s">
        <v>231</v>
      </c>
      <c r="AD2402" s="4"/>
      <c r="AE2402" s="4"/>
      <c r="AF2402" s="6">
        <v>67</v>
      </c>
      <c r="AG2402" s="6"/>
      <c r="AH2402" s="7">
        <v>1</v>
      </c>
      <c r="AI2402" s="4"/>
      <c r="AJ2402" s="4">
        <f>=ROUNDDOWN({0},0)</f>
      </c>
      <c r="AK2402" s="5"/>
      <c r="AL2402" s="2" t="s">
        <v>231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231</v>
      </c>
      <c r="BD2402" s="8" t="s">
        <v>231</v>
      </c>
      <c r="BE2402" s="4" t="s">
        <v>231</v>
      </c>
      <c r="BF2402" s="8" t="s">
        <v>231</v>
      </c>
      <c r="BG2402" s="7" t="s">
        <v>231</v>
      </c>
      <c r="BH2402" s="7" t="s">
        <v>231</v>
      </c>
      <c r="BI2402" s="7"/>
      <c r="BJ2402" s="4">
        <v>25</v>
      </c>
      <c r="BK2402" s="8">
        <v>1055.83</v>
      </c>
      <c r="BL2402" s="2" t="s">
        <v>1358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241</v>
      </c>
      <c r="BV2402" s="2" t="s">
        <v>231</v>
      </c>
      <c r="BW2402" s="2" t="s">
        <v>231</v>
      </c>
      <c r="BX2402" s="2" t="s">
        <v>241</v>
      </c>
      <c r="BY2402" s="2" t="s">
        <v>7608</v>
      </c>
      <c r="BZ2402" s="2" t="s">
        <v>243</v>
      </c>
      <c r="CA2402" s="2" t="s">
        <v>231</v>
      </c>
      <c r="CB2402" s="2" t="s">
        <v>231</v>
      </c>
      <c r="CC2402" s="2" t="s">
        <v>244</v>
      </c>
      <c r="CD2402" s="2" t="s">
        <v>231</v>
      </c>
      <c r="CE2402" s="4">
        <v>596</v>
      </c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4"/>
      <c r="HG2402" s="4"/>
      <c r="HH2402" s="4"/>
      <c r="HI2402" s="4"/>
      <c r="HJ2402" s="4"/>
      <c r="HK2402" s="4"/>
      <c r="HL2402" s="4"/>
    </row>
    <row r="2403">
      <c r="A2403" s="2" t="s">
        <v>10429</v>
      </c>
      <c r="B2403" s="2" t="s">
        <v>226</v>
      </c>
      <c r="C2403" s="2" t="s">
        <v>3948</v>
      </c>
      <c r="D2403" s="2" t="s">
        <v>1549</v>
      </c>
      <c r="E2403" s="2" t="s">
        <v>3949</v>
      </c>
      <c r="F2403" s="2" t="s">
        <v>10430</v>
      </c>
      <c r="G2403" s="2" t="s">
        <v>10430</v>
      </c>
      <c r="H2403" s="2" t="s">
        <v>10430</v>
      </c>
      <c r="I2403" s="2" t="s">
        <v>229</v>
      </c>
      <c r="J2403" s="2" t="s">
        <v>281</v>
      </c>
      <c r="K2403" s="2" t="s">
        <v>4082</v>
      </c>
      <c r="L2403" s="3">
        <v>50.08</v>
      </c>
      <c r="M2403" s="3">
        <v>52.58</v>
      </c>
      <c r="N2403" s="3">
        <v>106.99</v>
      </c>
      <c r="O2403" s="2" t="s">
        <v>243</v>
      </c>
      <c r="P2403" s="2" t="s">
        <v>270</v>
      </c>
      <c r="Q2403" s="2" t="s">
        <v>237</v>
      </c>
      <c r="R2403" s="2" t="s">
        <v>231</v>
      </c>
      <c r="S2403" s="2" t="s">
        <v>231</v>
      </c>
      <c r="T2403" s="2" t="s">
        <v>1630</v>
      </c>
      <c r="U2403" s="2" t="s">
        <v>327</v>
      </c>
      <c r="V2403" s="2" t="s">
        <v>239</v>
      </c>
      <c r="W2403" s="2" t="s">
        <v>273</v>
      </c>
      <c r="X2403" s="2" t="s">
        <v>231</v>
      </c>
      <c r="Y2403" s="2" t="s">
        <v>6018</v>
      </c>
      <c r="Z2403" s="4">
        <v>3</v>
      </c>
      <c r="AA2403" s="4">
        <f>=ROUNDDOWN(0.15,0)</f>
      </c>
      <c r="AB2403" s="5">
        <v>20</v>
      </c>
      <c r="AC2403" s="2" t="s">
        <v>3898</v>
      </c>
      <c r="AD2403" s="4">
        <v>150</v>
      </c>
      <c r="AE2403" s="4">
        <v>560</v>
      </c>
      <c r="AF2403" s="6">
        <v>65</v>
      </c>
      <c r="AG2403" s="6"/>
      <c r="AH2403" s="7">
        <v>0</v>
      </c>
      <c r="AI2403" s="4"/>
      <c r="AJ2403" s="4">
        <f>=ROUNDDOWN({0},0)</f>
      </c>
      <c r="AK2403" s="5"/>
      <c r="AL2403" s="2" t="s">
        <v>231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231</v>
      </c>
      <c r="BD2403" s="8" t="s">
        <v>231</v>
      </c>
      <c r="BE2403" s="4" t="s">
        <v>231</v>
      </c>
      <c r="BF2403" s="8" t="s">
        <v>231</v>
      </c>
      <c r="BG2403" s="7" t="s">
        <v>231</v>
      </c>
      <c r="BH2403" s="7" t="s">
        <v>231</v>
      </c>
      <c r="BI2403" s="7"/>
      <c r="BJ2403" s="4"/>
      <c r="BK2403" s="8"/>
      <c r="BL2403" s="2" t="s">
        <v>231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10431</v>
      </c>
      <c r="BV2403" s="2" t="s">
        <v>231</v>
      </c>
      <c r="BW2403" s="2" t="s">
        <v>231</v>
      </c>
      <c r="BX2403" s="2" t="s">
        <v>231</v>
      </c>
      <c r="BY2403" s="2" t="s">
        <v>277</v>
      </c>
      <c r="BZ2403" s="2" t="s">
        <v>243</v>
      </c>
      <c r="CA2403" s="2" t="s">
        <v>6018</v>
      </c>
      <c r="CB2403" s="2" t="s">
        <v>9993</v>
      </c>
      <c r="CC2403" s="2" t="s">
        <v>244</v>
      </c>
      <c r="CD2403" s="2" t="s">
        <v>231</v>
      </c>
      <c r="CE2403" s="4">
        <v>3</v>
      </c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>
        <v>150</v>
      </c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>
        <v>230</v>
      </c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>
        <v>180</v>
      </c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  <c r="HG2403" s="4"/>
      <c r="HH2403" s="4"/>
      <c r="HI2403" s="4"/>
      <c r="HJ2403" s="4"/>
      <c r="HK2403" s="4"/>
      <c r="HL2403" s="4"/>
    </row>
    <row r="2404">
      <c r="A2404" s="2" t="s">
        <v>10432</v>
      </c>
      <c r="B2404" s="2" t="s">
        <v>226</v>
      </c>
      <c r="C2404" s="2" t="s">
        <v>3948</v>
      </c>
      <c r="D2404" s="2" t="s">
        <v>1549</v>
      </c>
      <c r="E2404" s="2" t="s">
        <v>3949</v>
      </c>
      <c r="F2404" s="2" t="s">
        <v>10430</v>
      </c>
      <c r="G2404" s="2" t="s">
        <v>10430</v>
      </c>
      <c r="H2404" s="2" t="s">
        <v>10430</v>
      </c>
      <c r="I2404" s="2" t="s">
        <v>229</v>
      </c>
      <c r="J2404" s="2" t="s">
        <v>281</v>
      </c>
      <c r="K2404" s="2" t="s">
        <v>306</v>
      </c>
      <c r="L2404" s="3">
        <v>50.08</v>
      </c>
      <c r="M2404" s="3">
        <v>52.58</v>
      </c>
      <c r="N2404" s="3">
        <v>106.99</v>
      </c>
      <c r="O2404" s="2" t="s">
        <v>243</v>
      </c>
      <c r="P2404" s="2" t="s">
        <v>270</v>
      </c>
      <c r="Q2404" s="2" t="s">
        <v>237</v>
      </c>
      <c r="R2404" s="2" t="s">
        <v>231</v>
      </c>
      <c r="S2404" s="2" t="s">
        <v>231</v>
      </c>
      <c r="T2404" s="2" t="s">
        <v>1630</v>
      </c>
      <c r="U2404" s="2" t="s">
        <v>327</v>
      </c>
      <c r="V2404" s="2" t="s">
        <v>239</v>
      </c>
      <c r="W2404" s="2" t="s">
        <v>273</v>
      </c>
      <c r="X2404" s="2" t="s">
        <v>231</v>
      </c>
      <c r="Y2404" s="2" t="s">
        <v>6018</v>
      </c>
      <c r="Z2404" s="4">
        <v>2</v>
      </c>
      <c r="AA2404" s="4">
        <f>=ROUNDDOWN(0.142857142857143,0)</f>
      </c>
      <c r="AB2404" s="5">
        <v>14</v>
      </c>
      <c r="AC2404" s="2" t="s">
        <v>3898</v>
      </c>
      <c r="AD2404" s="4">
        <v>150</v>
      </c>
      <c r="AE2404" s="4">
        <v>510</v>
      </c>
      <c r="AF2404" s="6">
        <v>65</v>
      </c>
      <c r="AG2404" s="6"/>
      <c r="AH2404" s="7">
        <v>0</v>
      </c>
      <c r="AI2404" s="4"/>
      <c r="AJ2404" s="4">
        <f>=ROUNDDOWN({0},0)</f>
      </c>
      <c r="AK2404" s="5"/>
      <c r="AL2404" s="2" t="s">
        <v>231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231</v>
      </c>
      <c r="BD2404" s="8" t="s">
        <v>231</v>
      </c>
      <c r="BE2404" s="4" t="s">
        <v>231</v>
      </c>
      <c r="BF2404" s="8" t="s">
        <v>231</v>
      </c>
      <c r="BG2404" s="7" t="s">
        <v>231</v>
      </c>
      <c r="BH2404" s="7" t="s">
        <v>231</v>
      </c>
      <c r="BI2404" s="7"/>
      <c r="BJ2404" s="4"/>
      <c r="BK2404" s="8"/>
      <c r="BL2404" s="2" t="s">
        <v>231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10433</v>
      </c>
      <c r="BV2404" s="2" t="s">
        <v>231</v>
      </c>
      <c r="BW2404" s="2" t="s">
        <v>231</v>
      </c>
      <c r="BX2404" s="2" t="s">
        <v>231</v>
      </c>
      <c r="BY2404" s="2" t="s">
        <v>277</v>
      </c>
      <c r="BZ2404" s="2" t="s">
        <v>243</v>
      </c>
      <c r="CA2404" s="2" t="s">
        <v>6018</v>
      </c>
      <c r="CB2404" s="2" t="s">
        <v>2786</v>
      </c>
      <c r="CC2404" s="2" t="s">
        <v>244</v>
      </c>
      <c r="CD2404" s="2" t="s">
        <v>231</v>
      </c>
      <c r="CE2404" s="4">
        <v>2</v>
      </c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>
        <v>150</v>
      </c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>
        <v>150</v>
      </c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>
        <v>210</v>
      </c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  <c r="HG2404" s="4"/>
      <c r="HH2404" s="4"/>
      <c r="HI2404" s="4"/>
      <c r="HJ2404" s="4"/>
      <c r="HK2404" s="4"/>
      <c r="HL2404" s="4"/>
    </row>
    <row r="2405">
      <c r="A2405" s="2" t="s">
        <v>10434</v>
      </c>
      <c r="B2405" s="2" t="s">
        <v>226</v>
      </c>
      <c r="C2405" s="2" t="s">
        <v>3948</v>
      </c>
      <c r="D2405" s="2" t="s">
        <v>1549</v>
      </c>
      <c r="E2405" s="2" t="s">
        <v>3949</v>
      </c>
      <c r="F2405" s="2" t="s">
        <v>10430</v>
      </c>
      <c r="G2405" s="2" t="s">
        <v>10430</v>
      </c>
      <c r="H2405" s="2" t="s">
        <v>10430</v>
      </c>
      <c r="I2405" s="2" t="s">
        <v>229</v>
      </c>
      <c r="J2405" s="2" t="s">
        <v>281</v>
      </c>
      <c r="K2405" s="2" t="s">
        <v>1939</v>
      </c>
      <c r="L2405" s="3">
        <v>50.08</v>
      </c>
      <c r="M2405" s="3">
        <v>52.58</v>
      </c>
      <c r="N2405" s="3">
        <v>106.99</v>
      </c>
      <c r="O2405" s="2" t="s">
        <v>243</v>
      </c>
      <c r="P2405" s="2" t="s">
        <v>270</v>
      </c>
      <c r="Q2405" s="2" t="s">
        <v>237</v>
      </c>
      <c r="R2405" s="2" t="s">
        <v>231</v>
      </c>
      <c r="S2405" s="2" t="s">
        <v>231</v>
      </c>
      <c r="T2405" s="2" t="s">
        <v>1630</v>
      </c>
      <c r="U2405" s="2" t="s">
        <v>327</v>
      </c>
      <c r="V2405" s="2" t="s">
        <v>239</v>
      </c>
      <c r="W2405" s="2" t="s">
        <v>273</v>
      </c>
      <c r="X2405" s="2" t="s">
        <v>231</v>
      </c>
      <c r="Y2405" s="2" t="s">
        <v>10435</v>
      </c>
      <c r="Z2405" s="4">
        <v>2</v>
      </c>
      <c r="AA2405" s="4">
        <f>=ROUNDDOWN(0.25,0)</f>
      </c>
      <c r="AB2405" s="5">
        <v>8</v>
      </c>
      <c r="AC2405" s="2" t="s">
        <v>3898</v>
      </c>
      <c r="AD2405" s="4">
        <v>150</v>
      </c>
      <c r="AE2405" s="4">
        <v>300</v>
      </c>
      <c r="AF2405" s="6">
        <v>65</v>
      </c>
      <c r="AG2405" s="6"/>
      <c r="AH2405" s="7">
        <v>0</v>
      </c>
      <c r="AI2405" s="4"/>
      <c r="AJ2405" s="4">
        <f>=ROUNDDOWN({0},0)</f>
      </c>
      <c r="AK2405" s="5"/>
      <c r="AL2405" s="2" t="s">
        <v>231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231</v>
      </c>
      <c r="AW2405" s="8" t="s">
        <v>231</v>
      </c>
      <c r="AX2405" s="4" t="s">
        <v>231</v>
      </c>
      <c r="AY2405" s="8" t="s">
        <v>231</v>
      </c>
      <c r="AZ2405" s="7" t="s">
        <v>231</v>
      </c>
      <c r="BA2405" s="7" t="s">
        <v>231</v>
      </c>
      <c r="BB2405" s="7"/>
      <c r="BC2405" s="4" t="s">
        <v>231</v>
      </c>
      <c r="BD2405" s="8" t="s">
        <v>231</v>
      </c>
      <c r="BE2405" s="4" t="s">
        <v>231</v>
      </c>
      <c r="BF2405" s="8" t="s">
        <v>231</v>
      </c>
      <c r="BG2405" s="7" t="s">
        <v>231</v>
      </c>
      <c r="BH2405" s="7" t="s">
        <v>231</v>
      </c>
      <c r="BI2405" s="7"/>
      <c r="BJ2405" s="4"/>
      <c r="BK2405" s="8"/>
      <c r="BL2405" s="2" t="s">
        <v>10436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10437</v>
      </c>
      <c r="BV2405" s="2" t="s">
        <v>231</v>
      </c>
      <c r="BW2405" s="2" t="s">
        <v>231</v>
      </c>
      <c r="BX2405" s="2" t="s">
        <v>231</v>
      </c>
      <c r="BY2405" s="2" t="s">
        <v>277</v>
      </c>
      <c r="BZ2405" s="2" t="s">
        <v>243</v>
      </c>
      <c r="CA2405" s="2" t="s">
        <v>8445</v>
      </c>
      <c r="CB2405" s="2" t="s">
        <v>1398</v>
      </c>
      <c r="CC2405" s="2" t="s">
        <v>244</v>
      </c>
      <c r="CD2405" s="2" t="s">
        <v>231</v>
      </c>
      <c r="CE2405" s="4">
        <v>2</v>
      </c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>
        <v>150</v>
      </c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>
        <v>150</v>
      </c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4"/>
      <c r="HH2405" s="4"/>
      <c r="HI2405" s="4"/>
      <c r="HJ2405" s="4"/>
      <c r="HK2405" s="4"/>
      <c r="HL2405" s="4"/>
    </row>
    <row r="2406">
      <c r="A2406" s="2" t="s">
        <v>10438</v>
      </c>
      <c r="B2406" s="2" t="s">
        <v>226</v>
      </c>
      <c r="C2406" s="2" t="s">
        <v>3948</v>
      </c>
      <c r="D2406" s="2" t="s">
        <v>1549</v>
      </c>
      <c r="E2406" s="2" t="s">
        <v>3949</v>
      </c>
      <c r="F2406" s="2" t="s">
        <v>10430</v>
      </c>
      <c r="G2406" s="2" t="s">
        <v>10430</v>
      </c>
      <c r="H2406" s="2" t="s">
        <v>10430</v>
      </c>
      <c r="I2406" s="2" t="s">
        <v>229</v>
      </c>
      <c r="J2406" s="2" t="s">
        <v>293</v>
      </c>
      <c r="K2406" s="2" t="s">
        <v>1939</v>
      </c>
      <c r="L2406" s="3">
        <v>72.34</v>
      </c>
      <c r="M2406" s="3">
        <v>75.96</v>
      </c>
      <c r="N2406" s="3">
        <v>149.99</v>
      </c>
      <c r="O2406" s="2" t="s">
        <v>243</v>
      </c>
      <c r="P2406" s="2" t="s">
        <v>270</v>
      </c>
      <c r="Q2406" s="2" t="s">
        <v>237</v>
      </c>
      <c r="R2406" s="2" t="s">
        <v>231</v>
      </c>
      <c r="S2406" s="2" t="s">
        <v>231</v>
      </c>
      <c r="T2406" s="2" t="s">
        <v>1630</v>
      </c>
      <c r="U2406" s="2" t="s">
        <v>327</v>
      </c>
      <c r="V2406" s="2" t="s">
        <v>239</v>
      </c>
      <c r="W2406" s="2" t="s">
        <v>273</v>
      </c>
      <c r="X2406" s="2" t="s">
        <v>231</v>
      </c>
      <c r="Y2406" s="2" t="s">
        <v>10435</v>
      </c>
      <c r="Z2406" s="4">
        <v>3</v>
      </c>
      <c r="AA2406" s="4">
        <f>=ROUNDDOWN(0.206896551724138,0)</f>
      </c>
      <c r="AB2406" s="5">
        <v>14.5</v>
      </c>
      <c r="AC2406" s="2" t="s">
        <v>3898</v>
      </c>
      <c r="AD2406" s="4">
        <v>180</v>
      </c>
      <c r="AE2406" s="4">
        <v>330</v>
      </c>
      <c r="AF2406" s="6">
        <v>65</v>
      </c>
      <c r="AG2406" s="6"/>
      <c r="AH2406" s="7">
        <v>0</v>
      </c>
      <c r="AI2406" s="4"/>
      <c r="AJ2406" s="4">
        <f>=ROUNDDOWN({0},0)</f>
      </c>
      <c r="AK2406" s="5"/>
      <c r="AL2406" s="2" t="s">
        <v>231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231</v>
      </c>
      <c r="AW2406" s="8" t="s">
        <v>231</v>
      </c>
      <c r="AX2406" s="4" t="s">
        <v>231</v>
      </c>
      <c r="AY2406" s="8" t="s">
        <v>231</v>
      </c>
      <c r="AZ2406" s="7" t="s">
        <v>231</v>
      </c>
      <c r="BA2406" s="7" t="s">
        <v>231</v>
      </c>
      <c r="BB2406" s="7"/>
      <c r="BC2406" s="4" t="s">
        <v>231</v>
      </c>
      <c r="BD2406" s="8" t="s">
        <v>231</v>
      </c>
      <c r="BE2406" s="4" t="s">
        <v>231</v>
      </c>
      <c r="BF2406" s="8" t="s">
        <v>231</v>
      </c>
      <c r="BG2406" s="7" t="s">
        <v>231</v>
      </c>
      <c r="BH2406" s="7" t="s">
        <v>231</v>
      </c>
      <c r="BI2406" s="7"/>
      <c r="BJ2406" s="4"/>
      <c r="BK2406" s="8"/>
      <c r="BL2406" s="2" t="s">
        <v>1358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10439</v>
      </c>
      <c r="BV2406" s="2" t="s">
        <v>231</v>
      </c>
      <c r="BW2406" s="2" t="s">
        <v>231</v>
      </c>
      <c r="BX2406" s="2" t="s">
        <v>231</v>
      </c>
      <c r="BY2406" s="2" t="s">
        <v>277</v>
      </c>
      <c r="BZ2406" s="2" t="s">
        <v>243</v>
      </c>
      <c r="CA2406" s="2" t="s">
        <v>8445</v>
      </c>
      <c r="CB2406" s="2" t="s">
        <v>1398</v>
      </c>
      <c r="CC2406" s="2" t="s">
        <v>244</v>
      </c>
      <c r="CD2406" s="2" t="s">
        <v>231</v>
      </c>
      <c r="CE2406" s="4">
        <v>3</v>
      </c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>
        <v>180</v>
      </c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>
        <v>150</v>
      </c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4"/>
      <c r="HH2406" s="4"/>
      <c r="HI2406" s="4"/>
      <c r="HJ2406" s="4"/>
      <c r="HK2406" s="4"/>
      <c r="HL2406" s="4"/>
    </row>
    <row r="2407">
      <c r="A2407" s="2" t="s">
        <v>10440</v>
      </c>
      <c r="B2407" s="2" t="s">
        <v>226</v>
      </c>
      <c r="C2407" s="2" t="s">
        <v>3948</v>
      </c>
      <c r="D2407" s="2" t="s">
        <v>1549</v>
      </c>
      <c r="E2407" s="2" t="s">
        <v>3949</v>
      </c>
      <c r="F2407" s="2" t="s">
        <v>10430</v>
      </c>
      <c r="G2407" s="2" t="s">
        <v>10430</v>
      </c>
      <c r="H2407" s="2" t="s">
        <v>10430</v>
      </c>
      <c r="I2407" s="2" t="s">
        <v>229</v>
      </c>
      <c r="J2407" s="2" t="s">
        <v>302</v>
      </c>
      <c r="K2407" s="2" t="s">
        <v>1939</v>
      </c>
      <c r="L2407" s="3">
        <v>77.9</v>
      </c>
      <c r="M2407" s="3">
        <v>81.8</v>
      </c>
      <c r="N2407" s="3">
        <v>166.99</v>
      </c>
      <c r="O2407" s="2" t="s">
        <v>243</v>
      </c>
      <c r="P2407" s="2" t="s">
        <v>270</v>
      </c>
      <c r="Q2407" s="2" t="s">
        <v>237</v>
      </c>
      <c r="R2407" s="2" t="s">
        <v>231</v>
      </c>
      <c r="S2407" s="2" t="s">
        <v>231</v>
      </c>
      <c r="T2407" s="2" t="s">
        <v>1630</v>
      </c>
      <c r="U2407" s="2" t="s">
        <v>327</v>
      </c>
      <c r="V2407" s="2" t="s">
        <v>239</v>
      </c>
      <c r="W2407" s="2" t="s">
        <v>273</v>
      </c>
      <c r="X2407" s="2" t="s">
        <v>231</v>
      </c>
      <c r="Y2407" s="2" t="s">
        <v>8442</v>
      </c>
      <c r="Z2407" s="4">
        <v>167</v>
      </c>
      <c r="AA2407" s="4">
        <f>=ROUNDDOWN(20.875,0)</f>
      </c>
      <c r="AB2407" s="5">
        <v>8</v>
      </c>
      <c r="AC2407" s="2" t="s">
        <v>1537</v>
      </c>
      <c r="AD2407" s="4">
        <v>180</v>
      </c>
      <c r="AE2407" s="4">
        <v>180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231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231</v>
      </c>
      <c r="AW2407" s="8" t="s">
        <v>231</v>
      </c>
      <c r="AX2407" s="4" t="s">
        <v>231</v>
      </c>
      <c r="AY2407" s="8" t="s">
        <v>231</v>
      </c>
      <c r="AZ2407" s="7" t="s">
        <v>231</v>
      </c>
      <c r="BA2407" s="7" t="s">
        <v>231</v>
      </c>
      <c r="BB2407" s="7"/>
      <c r="BC2407" s="4" t="s">
        <v>231</v>
      </c>
      <c r="BD2407" s="8" t="s">
        <v>231</v>
      </c>
      <c r="BE2407" s="4" t="s">
        <v>231</v>
      </c>
      <c r="BF2407" s="8" t="s">
        <v>231</v>
      </c>
      <c r="BG2407" s="7" t="s">
        <v>231</v>
      </c>
      <c r="BH2407" s="7" t="s">
        <v>231</v>
      </c>
      <c r="BI2407" s="7"/>
      <c r="BJ2407" s="4">
        <v>5</v>
      </c>
      <c r="BK2407" s="8">
        <v>420.67</v>
      </c>
      <c r="BL2407" s="2" t="s">
        <v>10441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10442</v>
      </c>
      <c r="BV2407" s="2" t="s">
        <v>231</v>
      </c>
      <c r="BW2407" s="2" t="s">
        <v>231</v>
      </c>
      <c r="BX2407" s="2" t="s">
        <v>231</v>
      </c>
      <c r="BY2407" s="2" t="s">
        <v>277</v>
      </c>
      <c r="BZ2407" s="2" t="s">
        <v>243</v>
      </c>
      <c r="CA2407" s="2" t="s">
        <v>8445</v>
      </c>
      <c r="CB2407" s="2" t="s">
        <v>10443</v>
      </c>
      <c r="CC2407" s="2" t="s">
        <v>244</v>
      </c>
      <c r="CD2407" s="2" t="s">
        <v>231</v>
      </c>
      <c r="CE2407" s="4">
        <v>167</v>
      </c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>
        <v>180</v>
      </c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  <c r="HG2407" s="4"/>
      <c r="HH2407" s="4"/>
      <c r="HI2407" s="4"/>
      <c r="HJ2407" s="4"/>
      <c r="HK2407" s="4"/>
      <c r="HL2407" s="4"/>
    </row>
    <row r="2408">
      <c r="A2408" s="2" t="s">
        <v>10444</v>
      </c>
      <c r="B2408" s="2" t="s">
        <v>226</v>
      </c>
      <c r="C2408" s="2" t="s">
        <v>3948</v>
      </c>
      <c r="D2408" s="2" t="s">
        <v>1549</v>
      </c>
      <c r="E2408" s="2" t="s">
        <v>1550</v>
      </c>
      <c r="F2408" s="2" t="s">
        <v>10430</v>
      </c>
      <c r="G2408" s="2" t="s">
        <v>10430</v>
      </c>
      <c r="H2408" s="2" t="s">
        <v>10430</v>
      </c>
      <c r="I2408" s="2" t="s">
        <v>2589</v>
      </c>
      <c r="J2408" s="2" t="s">
        <v>1554</v>
      </c>
      <c r="K2408" s="2" t="s">
        <v>747</v>
      </c>
      <c r="L2408" s="3">
        <v>33.38</v>
      </c>
      <c r="M2408" s="3">
        <v>35.05</v>
      </c>
      <c r="N2408" s="3">
        <v>71.99</v>
      </c>
      <c r="O2408" s="2" t="s">
        <v>243</v>
      </c>
      <c r="P2408" s="2" t="s">
        <v>341</v>
      </c>
      <c r="Q2408" s="2" t="s">
        <v>237</v>
      </c>
      <c r="R2408" s="2" t="s">
        <v>231</v>
      </c>
      <c r="S2408" s="2" t="s">
        <v>231</v>
      </c>
      <c r="T2408" s="2" t="s">
        <v>1630</v>
      </c>
      <c r="U2408" s="2" t="s">
        <v>327</v>
      </c>
      <c r="V2408" s="2" t="s">
        <v>239</v>
      </c>
      <c r="W2408" s="2" t="s">
        <v>273</v>
      </c>
      <c r="X2408" s="2" t="s">
        <v>231</v>
      </c>
      <c r="Y2408" s="2" t="s">
        <v>8442</v>
      </c>
      <c r="Z2408" s="4">
        <v>401</v>
      </c>
      <c r="AA2408" s="4">
        <f>=ROUNDDOWN(40.1,0)</f>
      </c>
      <c r="AB2408" s="5">
        <v>10</v>
      </c>
      <c r="AC2408" s="2" t="s">
        <v>231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231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231</v>
      </c>
      <c r="BD2408" s="8" t="s">
        <v>231</v>
      </c>
      <c r="BE2408" s="4" t="s">
        <v>231</v>
      </c>
      <c r="BF2408" s="8" t="s">
        <v>231</v>
      </c>
      <c r="BG2408" s="7" t="s">
        <v>231</v>
      </c>
      <c r="BH2408" s="7" t="s">
        <v>231</v>
      </c>
      <c r="BI2408" s="7"/>
      <c r="BJ2408" s="4">
        <v>8</v>
      </c>
      <c r="BK2408" s="8">
        <v>278</v>
      </c>
      <c r="BL2408" s="2" t="s">
        <v>10441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10445</v>
      </c>
      <c r="BV2408" s="2" t="s">
        <v>231</v>
      </c>
      <c r="BW2408" s="2" t="s">
        <v>231</v>
      </c>
      <c r="BX2408" s="2" t="s">
        <v>1360</v>
      </c>
      <c r="BY2408" s="2" t="s">
        <v>277</v>
      </c>
      <c r="BZ2408" s="2" t="s">
        <v>243</v>
      </c>
      <c r="CA2408" s="2" t="s">
        <v>8445</v>
      </c>
      <c r="CB2408" s="2" t="s">
        <v>10446</v>
      </c>
      <c r="CC2408" s="2" t="s">
        <v>244</v>
      </c>
      <c r="CD2408" s="2" t="s">
        <v>231</v>
      </c>
      <c r="CE2408" s="4">
        <v>401</v>
      </c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  <c r="HF2408" s="4"/>
      <c r="HG2408" s="4"/>
      <c r="HH2408" s="4"/>
      <c r="HI2408" s="4"/>
      <c r="HJ2408" s="4"/>
      <c r="HK2408" s="4"/>
      <c r="HL2408" s="4"/>
    </row>
    <row r="2409">
      <c r="A2409" s="2" t="s">
        <v>10447</v>
      </c>
      <c r="B2409" s="2" t="s">
        <v>226</v>
      </c>
      <c r="C2409" s="2" t="s">
        <v>3948</v>
      </c>
      <c r="D2409" s="2" t="s">
        <v>1549</v>
      </c>
      <c r="E2409" s="2" t="s">
        <v>3949</v>
      </c>
      <c r="F2409" s="2" t="s">
        <v>10430</v>
      </c>
      <c r="G2409" s="2" t="s">
        <v>10430</v>
      </c>
      <c r="H2409" s="2" t="s">
        <v>10430</v>
      </c>
      <c r="I2409" s="2" t="s">
        <v>229</v>
      </c>
      <c r="J2409" s="2" t="s">
        <v>302</v>
      </c>
      <c r="K2409" s="2" t="s">
        <v>723</v>
      </c>
      <c r="L2409" s="3">
        <v>77.9</v>
      </c>
      <c r="M2409" s="3">
        <v>81.8</v>
      </c>
      <c r="N2409" s="3">
        <v>166.99</v>
      </c>
      <c r="O2409" s="2" t="s">
        <v>243</v>
      </c>
      <c r="P2409" s="2" t="s">
        <v>270</v>
      </c>
      <c r="Q2409" s="2" t="s">
        <v>237</v>
      </c>
      <c r="R2409" s="2" t="s">
        <v>231</v>
      </c>
      <c r="S2409" s="2" t="s">
        <v>231</v>
      </c>
      <c r="T2409" s="2" t="s">
        <v>1630</v>
      </c>
      <c r="U2409" s="2" t="s">
        <v>327</v>
      </c>
      <c r="V2409" s="2" t="s">
        <v>239</v>
      </c>
      <c r="W2409" s="2" t="s">
        <v>273</v>
      </c>
      <c r="X2409" s="2" t="s">
        <v>231</v>
      </c>
      <c r="Y2409" s="2" t="s">
        <v>6018</v>
      </c>
      <c r="Z2409" s="4">
        <v>26</v>
      </c>
      <c r="AA2409" s="4">
        <f>=ROUNDDOWN(2.6,0)</f>
      </c>
      <c r="AB2409" s="5">
        <v>10</v>
      </c>
      <c r="AC2409" s="2" t="s">
        <v>321</v>
      </c>
      <c r="AD2409" s="4">
        <v>190</v>
      </c>
      <c r="AE2409" s="4">
        <v>350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231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231</v>
      </c>
      <c r="BD2409" s="8" t="s">
        <v>231</v>
      </c>
      <c r="BE2409" s="4" t="s">
        <v>231</v>
      </c>
      <c r="BF2409" s="8" t="s">
        <v>231</v>
      </c>
      <c r="BG2409" s="7" t="s">
        <v>231</v>
      </c>
      <c r="BH2409" s="7" t="s">
        <v>231</v>
      </c>
      <c r="BI2409" s="7"/>
      <c r="BJ2409" s="4">
        <v>3</v>
      </c>
      <c r="BK2409" s="8">
        <v>250.86</v>
      </c>
      <c r="BL2409" s="2" t="s">
        <v>1240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10448</v>
      </c>
      <c r="BV2409" s="2" t="s">
        <v>231</v>
      </c>
      <c r="BW2409" s="2" t="s">
        <v>231</v>
      </c>
      <c r="BX2409" s="2" t="s">
        <v>231</v>
      </c>
      <c r="BY2409" s="2" t="s">
        <v>277</v>
      </c>
      <c r="BZ2409" s="2" t="s">
        <v>243</v>
      </c>
      <c r="CA2409" s="2" t="s">
        <v>6018</v>
      </c>
      <c r="CB2409" s="2" t="s">
        <v>2803</v>
      </c>
      <c r="CC2409" s="2" t="s">
        <v>244</v>
      </c>
      <c r="CD2409" s="2" t="s">
        <v>231</v>
      </c>
      <c r="CE2409" s="4">
        <v>26</v>
      </c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>
        <v>190</v>
      </c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>
        <v>160</v>
      </c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  <c r="HG2409" s="4"/>
      <c r="HH2409" s="4"/>
      <c r="HI2409" s="4"/>
      <c r="HJ2409" s="4"/>
      <c r="HK2409" s="4"/>
      <c r="HL2409" s="4"/>
    </row>
    <row r="2410">
      <c r="A2410" s="2" t="s">
        <v>10449</v>
      </c>
      <c r="B2410" s="2" t="s">
        <v>287</v>
      </c>
      <c r="C2410" s="2" t="s">
        <v>1221</v>
      </c>
      <c r="D2410" s="2" t="s">
        <v>289</v>
      </c>
      <c r="E2410" s="2" t="s">
        <v>290</v>
      </c>
      <c r="F2410" s="2" t="s">
        <v>10450</v>
      </c>
      <c r="G2410" s="2" t="s">
        <v>10450</v>
      </c>
      <c r="H2410" s="2" t="s">
        <v>10450</v>
      </c>
      <c r="I2410" s="2" t="s">
        <v>10451</v>
      </c>
      <c r="J2410" s="2" t="s">
        <v>318</v>
      </c>
      <c r="K2410" s="2" t="s">
        <v>10452</v>
      </c>
      <c r="L2410" s="3">
        <v>21.6</v>
      </c>
      <c r="M2410" s="3">
        <v>22.68</v>
      </c>
      <c r="N2410" s="3">
        <v>47.99</v>
      </c>
      <c r="O2410" s="2" t="s">
        <v>243</v>
      </c>
      <c r="P2410" s="2" t="s">
        <v>270</v>
      </c>
      <c r="Q2410" s="2" t="s">
        <v>237</v>
      </c>
      <c r="R2410" s="2" t="s">
        <v>231</v>
      </c>
      <c r="S2410" s="2" t="s">
        <v>10453</v>
      </c>
      <c r="T2410" s="2" t="s">
        <v>362</v>
      </c>
      <c r="U2410" s="2" t="s">
        <v>231</v>
      </c>
      <c r="V2410" s="2" t="s">
        <v>3942</v>
      </c>
      <c r="W2410" s="2" t="s">
        <v>273</v>
      </c>
      <c r="X2410" s="2" t="s">
        <v>231</v>
      </c>
      <c r="Y2410" s="2" t="s">
        <v>274</v>
      </c>
      <c r="Z2410" s="4">
        <v>123</v>
      </c>
      <c r="AA2410" s="4">
        <f>=ROUNDDOWN(15.375,0)</f>
      </c>
      <c r="AB2410" s="5">
        <v>8</v>
      </c>
      <c r="AC2410" s="2" t="s">
        <v>1458</v>
      </c>
      <c r="AD2410" s="4">
        <v>120</v>
      </c>
      <c r="AE2410" s="4">
        <v>120</v>
      </c>
      <c r="AF2410" s="6">
        <v>67</v>
      </c>
      <c r="AG2410" s="6"/>
      <c r="AH2410" s="7">
        <v>1</v>
      </c>
      <c r="AI2410" s="4"/>
      <c r="AJ2410" s="4">
        <f>=ROUNDDOWN({0},0)</f>
      </c>
      <c r="AK2410" s="5"/>
      <c r="AL2410" s="2" t="s">
        <v>231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 t="s">
        <v>231</v>
      </c>
      <c r="AW2410" s="8" t="s">
        <v>231</v>
      </c>
      <c r="AX2410" s="4" t="s">
        <v>231</v>
      </c>
      <c r="AY2410" s="8" t="s">
        <v>231</v>
      </c>
      <c r="AZ2410" s="7" t="s">
        <v>231</v>
      </c>
      <c r="BA2410" s="7" t="s">
        <v>231</v>
      </c>
      <c r="BB2410" s="7"/>
      <c r="BC2410" s="4" t="s">
        <v>231</v>
      </c>
      <c r="BD2410" s="8" t="s">
        <v>231</v>
      </c>
      <c r="BE2410" s="4" t="s">
        <v>231</v>
      </c>
      <c r="BF2410" s="8" t="s">
        <v>231</v>
      </c>
      <c r="BG2410" s="7" t="s">
        <v>231</v>
      </c>
      <c r="BH2410" s="7" t="s">
        <v>231</v>
      </c>
      <c r="BI2410" s="7"/>
      <c r="BJ2410" s="4">
        <v>40</v>
      </c>
      <c r="BK2410" s="8">
        <v>904.67</v>
      </c>
      <c r="BL2410" s="2" t="s">
        <v>10454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10455</v>
      </c>
      <c r="BV2410" s="2" t="s">
        <v>231</v>
      </c>
      <c r="BW2410" s="2" t="s">
        <v>231</v>
      </c>
      <c r="BX2410" s="2" t="s">
        <v>231</v>
      </c>
      <c r="BY2410" s="2" t="s">
        <v>277</v>
      </c>
      <c r="BZ2410" s="2" t="s">
        <v>243</v>
      </c>
      <c r="CA2410" s="2" t="s">
        <v>4231</v>
      </c>
      <c r="CB2410" s="2" t="s">
        <v>10456</v>
      </c>
      <c r="CC2410" s="2" t="s">
        <v>244</v>
      </c>
      <c r="CD2410" s="2" t="s">
        <v>231</v>
      </c>
      <c r="CE2410" s="4">
        <v>123</v>
      </c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>
        <v>120</v>
      </c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  <c r="HG2410" s="4"/>
      <c r="HH2410" s="4"/>
      <c r="HI2410" s="4"/>
      <c r="HJ2410" s="4"/>
      <c r="HK2410" s="4"/>
      <c r="HL2410" s="4"/>
    </row>
    <row r="2411">
      <c r="A2411" s="2" t="s">
        <v>10457</v>
      </c>
      <c r="B2411" s="2" t="s">
        <v>287</v>
      </c>
      <c r="C2411" s="2" t="s">
        <v>1221</v>
      </c>
      <c r="D2411" s="2" t="s">
        <v>289</v>
      </c>
      <c r="E2411" s="2" t="s">
        <v>290</v>
      </c>
      <c r="F2411" s="2" t="s">
        <v>10450</v>
      </c>
      <c r="G2411" s="2" t="s">
        <v>10450</v>
      </c>
      <c r="H2411" s="2" t="s">
        <v>10450</v>
      </c>
      <c r="I2411" s="2" t="s">
        <v>10451</v>
      </c>
      <c r="J2411" s="2" t="s">
        <v>281</v>
      </c>
      <c r="K2411" s="2" t="s">
        <v>10452</v>
      </c>
      <c r="L2411" s="3">
        <v>24.75</v>
      </c>
      <c r="M2411" s="3">
        <v>25.99</v>
      </c>
      <c r="N2411" s="3">
        <v>54.99</v>
      </c>
      <c r="O2411" s="2" t="s">
        <v>243</v>
      </c>
      <c r="P2411" s="2" t="s">
        <v>270</v>
      </c>
      <c r="Q2411" s="2" t="s">
        <v>237</v>
      </c>
      <c r="R2411" s="2" t="s">
        <v>231</v>
      </c>
      <c r="S2411" s="2" t="s">
        <v>10453</v>
      </c>
      <c r="T2411" s="2" t="s">
        <v>362</v>
      </c>
      <c r="U2411" s="2" t="s">
        <v>231</v>
      </c>
      <c r="V2411" s="2" t="s">
        <v>3942</v>
      </c>
      <c r="W2411" s="2" t="s">
        <v>273</v>
      </c>
      <c r="X2411" s="2" t="s">
        <v>231</v>
      </c>
      <c r="Y2411" s="2" t="s">
        <v>274</v>
      </c>
      <c r="Z2411" s="4">
        <v>170</v>
      </c>
      <c r="AA2411" s="4">
        <f>=ROUNDDOWN(21.25,0)</f>
      </c>
      <c r="AB2411" s="5">
        <v>8</v>
      </c>
      <c r="AC2411" s="2" t="s">
        <v>1458</v>
      </c>
      <c r="AD2411" s="4">
        <v>40</v>
      </c>
      <c r="AE2411" s="4">
        <v>40</v>
      </c>
      <c r="AF2411" s="6">
        <v>67</v>
      </c>
      <c r="AG2411" s="6"/>
      <c r="AH2411" s="7">
        <v>1</v>
      </c>
      <c r="AI2411" s="4"/>
      <c r="AJ2411" s="4">
        <f>=ROUNDDOWN({0},0)</f>
      </c>
      <c r="AK2411" s="5"/>
      <c r="AL2411" s="2" t="s">
        <v>231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231</v>
      </c>
      <c r="AW2411" s="8" t="s">
        <v>231</v>
      </c>
      <c r="AX2411" s="4" t="s">
        <v>231</v>
      </c>
      <c r="AY2411" s="8" t="s">
        <v>231</v>
      </c>
      <c r="AZ2411" s="7" t="s">
        <v>231</v>
      </c>
      <c r="BA2411" s="7" t="s">
        <v>231</v>
      </c>
      <c r="BB2411" s="7"/>
      <c r="BC2411" s="4" t="s">
        <v>231</v>
      </c>
      <c r="BD2411" s="8" t="s">
        <v>231</v>
      </c>
      <c r="BE2411" s="4" t="s">
        <v>231</v>
      </c>
      <c r="BF2411" s="8" t="s">
        <v>231</v>
      </c>
      <c r="BG2411" s="7" t="s">
        <v>231</v>
      </c>
      <c r="BH2411" s="7" t="s">
        <v>231</v>
      </c>
      <c r="BI2411" s="7"/>
      <c r="BJ2411" s="4">
        <v>26</v>
      </c>
      <c r="BK2411" s="8">
        <v>646.63</v>
      </c>
      <c r="BL2411" s="2" t="s">
        <v>1287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10458</v>
      </c>
      <c r="BV2411" s="2" t="s">
        <v>231</v>
      </c>
      <c r="BW2411" s="2" t="s">
        <v>231</v>
      </c>
      <c r="BX2411" s="2" t="s">
        <v>231</v>
      </c>
      <c r="BY2411" s="2" t="s">
        <v>277</v>
      </c>
      <c r="BZ2411" s="2" t="s">
        <v>243</v>
      </c>
      <c r="CA2411" s="2" t="s">
        <v>10459</v>
      </c>
      <c r="CB2411" s="2" t="s">
        <v>4634</v>
      </c>
      <c r="CC2411" s="2" t="s">
        <v>244</v>
      </c>
      <c r="CD2411" s="2" t="s">
        <v>231</v>
      </c>
      <c r="CE2411" s="4">
        <v>170</v>
      </c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>
        <v>40</v>
      </c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  <c r="HG2411" s="4"/>
      <c r="HH2411" s="4"/>
      <c r="HI2411" s="4"/>
      <c r="HJ2411" s="4"/>
      <c r="HK2411" s="4"/>
      <c r="HL2411" s="4"/>
    </row>
    <row r="2412">
      <c r="A2412" s="2" t="s">
        <v>10460</v>
      </c>
      <c r="B2412" s="2" t="s">
        <v>287</v>
      </c>
      <c r="C2412" s="2" t="s">
        <v>1221</v>
      </c>
      <c r="D2412" s="2" t="s">
        <v>289</v>
      </c>
      <c r="E2412" s="2" t="s">
        <v>290</v>
      </c>
      <c r="F2412" s="2" t="s">
        <v>10450</v>
      </c>
      <c r="G2412" s="2" t="s">
        <v>10450</v>
      </c>
      <c r="H2412" s="2" t="s">
        <v>10450</v>
      </c>
      <c r="I2412" s="2" t="s">
        <v>10451</v>
      </c>
      <c r="J2412" s="2" t="s">
        <v>318</v>
      </c>
      <c r="K2412" s="2" t="s">
        <v>2125</v>
      </c>
      <c r="L2412" s="3">
        <v>21.6</v>
      </c>
      <c r="M2412" s="3">
        <v>22.68</v>
      </c>
      <c r="N2412" s="3">
        <v>47.99</v>
      </c>
      <c r="O2412" s="2" t="s">
        <v>243</v>
      </c>
      <c r="P2412" s="2" t="s">
        <v>270</v>
      </c>
      <c r="Q2412" s="2" t="s">
        <v>237</v>
      </c>
      <c r="R2412" s="2" t="s">
        <v>231</v>
      </c>
      <c r="S2412" s="2" t="s">
        <v>10461</v>
      </c>
      <c r="T2412" s="2" t="s">
        <v>362</v>
      </c>
      <c r="U2412" s="2" t="s">
        <v>231</v>
      </c>
      <c r="V2412" s="2" t="s">
        <v>3942</v>
      </c>
      <c r="W2412" s="2" t="s">
        <v>273</v>
      </c>
      <c r="X2412" s="2" t="s">
        <v>231</v>
      </c>
      <c r="Y2412" s="2" t="s">
        <v>274</v>
      </c>
      <c r="Z2412" s="4">
        <v>99</v>
      </c>
      <c r="AA2412" s="4">
        <f>=ROUNDDOWN(3.53571428571429,0)</f>
      </c>
      <c r="AB2412" s="5">
        <v>28</v>
      </c>
      <c r="AC2412" s="2" t="s">
        <v>4212</v>
      </c>
      <c r="AD2412" s="4">
        <v>324</v>
      </c>
      <c r="AE2412" s="4">
        <v>634</v>
      </c>
      <c r="AF2412" s="6">
        <v>67</v>
      </c>
      <c r="AG2412" s="6"/>
      <c r="AH2412" s="7">
        <v>1</v>
      </c>
      <c r="AI2412" s="4"/>
      <c r="AJ2412" s="4">
        <f>=ROUNDDOWN({0},0)</f>
      </c>
      <c r="AK2412" s="5"/>
      <c r="AL2412" s="2" t="s">
        <v>231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231</v>
      </c>
      <c r="BD2412" s="8" t="s">
        <v>231</v>
      </c>
      <c r="BE2412" s="4" t="s">
        <v>231</v>
      </c>
      <c r="BF2412" s="8" t="s">
        <v>231</v>
      </c>
      <c r="BG2412" s="7" t="s">
        <v>231</v>
      </c>
      <c r="BH2412" s="7" t="s">
        <v>231</v>
      </c>
      <c r="BI2412" s="7"/>
      <c r="BJ2412" s="4">
        <v>74</v>
      </c>
      <c r="BK2412" s="8">
        <v>1650.97</v>
      </c>
      <c r="BL2412" s="2" t="s">
        <v>6195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10462</v>
      </c>
      <c r="BV2412" s="2" t="s">
        <v>231</v>
      </c>
      <c r="BW2412" s="2" t="s">
        <v>231</v>
      </c>
      <c r="BX2412" s="2" t="s">
        <v>231</v>
      </c>
      <c r="BY2412" s="2" t="s">
        <v>277</v>
      </c>
      <c r="BZ2412" s="2" t="s">
        <v>243</v>
      </c>
      <c r="CA2412" s="2" t="s">
        <v>284</v>
      </c>
      <c r="CB2412" s="2" t="s">
        <v>990</v>
      </c>
      <c r="CC2412" s="2" t="s">
        <v>244</v>
      </c>
      <c r="CD2412" s="2" t="s">
        <v>231</v>
      </c>
      <c r="CE2412" s="4">
        <v>99</v>
      </c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>
        <v>324</v>
      </c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>
        <v>80</v>
      </c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>
        <v>100</v>
      </c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>
        <v>130</v>
      </c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  <c r="HG2412" s="4"/>
      <c r="HH2412" s="4"/>
      <c r="HI2412" s="4"/>
      <c r="HJ2412" s="4"/>
      <c r="HK2412" s="4"/>
      <c r="HL2412" s="4"/>
    </row>
    <row r="2413">
      <c r="A2413" s="2" t="s">
        <v>10463</v>
      </c>
      <c r="B2413" s="2" t="s">
        <v>992</v>
      </c>
      <c r="C2413" s="2" t="s">
        <v>10464</v>
      </c>
      <c r="D2413" s="2" t="s">
        <v>993</v>
      </c>
      <c r="E2413" s="2" t="s">
        <v>994</v>
      </c>
      <c r="F2413" s="2" t="s">
        <v>10465</v>
      </c>
      <c r="G2413" s="2" t="s">
        <v>231</v>
      </c>
      <c r="H2413" s="2" t="s">
        <v>231</v>
      </c>
      <c r="I2413" s="2" t="s">
        <v>10466</v>
      </c>
      <c r="J2413" s="2" t="s">
        <v>10467</v>
      </c>
      <c r="K2413" s="2" t="s">
        <v>486</v>
      </c>
      <c r="L2413" s="3">
        <v>19.99</v>
      </c>
      <c r="M2413" s="3">
        <v>20.99</v>
      </c>
      <c r="N2413" s="3"/>
      <c r="O2413" s="2" t="s">
        <v>243</v>
      </c>
      <c r="P2413" s="2" t="s">
        <v>236</v>
      </c>
      <c r="Q2413" s="2" t="s">
        <v>237</v>
      </c>
      <c r="R2413" s="2" t="s">
        <v>10468</v>
      </c>
      <c r="S2413" s="2" t="s">
        <v>231</v>
      </c>
      <c r="T2413" s="2" t="s">
        <v>231</v>
      </c>
      <c r="U2413" s="2" t="s">
        <v>231</v>
      </c>
      <c r="V2413" s="2" t="s">
        <v>239</v>
      </c>
      <c r="W2413" s="2" t="s">
        <v>231</v>
      </c>
      <c r="X2413" s="2" t="s">
        <v>231</v>
      </c>
      <c r="Y2413" s="2" t="s">
        <v>10469</v>
      </c>
      <c r="Z2413" s="4"/>
      <c r="AA2413" s="4">
        <f>=ROUNDDOWN({0},0)</f>
      </c>
      <c r="AB2413" s="5"/>
      <c r="AC2413" s="2" t="s">
        <v>231</v>
      </c>
      <c r="AD2413" s="4"/>
      <c r="AE2413" s="4"/>
      <c r="AF2413" s="6"/>
      <c r="AG2413" s="6"/>
      <c r="AH2413" s="7">
        <v>0</v>
      </c>
      <c r="AI2413" s="4"/>
      <c r="AJ2413" s="4">
        <f>=ROUNDDOWN({0},0)</f>
      </c>
      <c r="AK2413" s="5"/>
      <c r="AL2413" s="2" t="s">
        <v>231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231</v>
      </c>
      <c r="AW2413" s="8" t="s">
        <v>231</v>
      </c>
      <c r="AX2413" s="4" t="s">
        <v>231</v>
      </c>
      <c r="AY2413" s="8" t="s">
        <v>231</v>
      </c>
      <c r="AZ2413" s="7" t="s">
        <v>231</v>
      </c>
      <c r="BA2413" s="7" t="s">
        <v>231</v>
      </c>
      <c r="BB2413" s="7"/>
      <c r="BC2413" s="4" t="s">
        <v>231</v>
      </c>
      <c r="BD2413" s="8" t="s">
        <v>231</v>
      </c>
      <c r="BE2413" s="4" t="s">
        <v>231</v>
      </c>
      <c r="BF2413" s="8" t="s">
        <v>231</v>
      </c>
      <c r="BG2413" s="7" t="s">
        <v>231</v>
      </c>
      <c r="BH2413" s="7" t="s">
        <v>231</v>
      </c>
      <c r="BI2413" s="7"/>
      <c r="BJ2413" s="4"/>
      <c r="BK2413" s="8"/>
      <c r="BL2413" s="2" t="s">
        <v>231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241</v>
      </c>
      <c r="BV2413" s="2" t="s">
        <v>231</v>
      </c>
      <c r="BW2413" s="2" t="s">
        <v>231</v>
      </c>
      <c r="BX2413" s="2" t="s">
        <v>231</v>
      </c>
      <c r="BY2413" s="2" t="s">
        <v>242</v>
      </c>
      <c r="BZ2413" s="2" t="s">
        <v>243</v>
      </c>
      <c r="CA2413" s="2" t="s">
        <v>231</v>
      </c>
      <c r="CB2413" s="2" t="s">
        <v>231</v>
      </c>
      <c r="CC2413" s="2" t="s">
        <v>244</v>
      </c>
      <c r="CD2413" s="2" t="s">
        <v>231</v>
      </c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  <c r="HG2413" s="4"/>
      <c r="HH2413" s="4"/>
      <c r="HI2413" s="4"/>
      <c r="HJ2413" s="4"/>
      <c r="HK2413" s="4"/>
      <c r="HL2413" s="4"/>
    </row>
    <row r="2414">
      <c r="A2414" s="2" t="s">
        <v>10470</v>
      </c>
      <c r="B2414" s="2" t="s">
        <v>992</v>
      </c>
      <c r="C2414" s="2" t="s">
        <v>10464</v>
      </c>
      <c r="D2414" s="2" t="s">
        <v>993</v>
      </c>
      <c r="E2414" s="2" t="s">
        <v>994</v>
      </c>
      <c r="F2414" s="2" t="s">
        <v>10465</v>
      </c>
      <c r="G2414" s="2" t="s">
        <v>231</v>
      </c>
      <c r="H2414" s="2" t="s">
        <v>231</v>
      </c>
      <c r="I2414" s="2" t="s">
        <v>10471</v>
      </c>
      <c r="J2414" s="2" t="s">
        <v>2072</v>
      </c>
      <c r="K2414" s="2" t="s">
        <v>486</v>
      </c>
      <c r="L2414" s="3">
        <v>22.99</v>
      </c>
      <c r="M2414" s="3">
        <v>24.14</v>
      </c>
      <c r="N2414" s="3"/>
      <c r="O2414" s="2" t="s">
        <v>243</v>
      </c>
      <c r="P2414" s="2" t="s">
        <v>236</v>
      </c>
      <c r="Q2414" s="2" t="s">
        <v>237</v>
      </c>
      <c r="R2414" s="2" t="s">
        <v>10468</v>
      </c>
      <c r="S2414" s="2" t="s">
        <v>231</v>
      </c>
      <c r="T2414" s="2" t="s">
        <v>231</v>
      </c>
      <c r="U2414" s="2" t="s">
        <v>231</v>
      </c>
      <c r="V2414" s="2" t="s">
        <v>239</v>
      </c>
      <c r="W2414" s="2" t="s">
        <v>231</v>
      </c>
      <c r="X2414" s="2" t="s">
        <v>231</v>
      </c>
      <c r="Y2414" s="2" t="s">
        <v>10469</v>
      </c>
      <c r="Z2414" s="4"/>
      <c r="AA2414" s="4">
        <f>=ROUNDDOWN({0},0)</f>
      </c>
      <c r="AB2414" s="5"/>
      <c r="AC2414" s="2" t="s">
        <v>231</v>
      </c>
      <c r="AD2414" s="4"/>
      <c r="AE2414" s="4"/>
      <c r="AF2414" s="6"/>
      <c r="AG2414" s="6"/>
      <c r="AH2414" s="7">
        <v>0</v>
      </c>
      <c r="AI2414" s="4"/>
      <c r="AJ2414" s="4">
        <f>=ROUNDDOWN({0},0)</f>
      </c>
      <c r="AK2414" s="5"/>
      <c r="AL2414" s="2" t="s">
        <v>231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 t="s">
        <v>231</v>
      </c>
      <c r="AW2414" s="8" t="s">
        <v>231</v>
      </c>
      <c r="AX2414" s="4" t="s">
        <v>231</v>
      </c>
      <c r="AY2414" s="8" t="s">
        <v>231</v>
      </c>
      <c r="AZ2414" s="7" t="s">
        <v>231</v>
      </c>
      <c r="BA2414" s="7" t="s">
        <v>231</v>
      </c>
      <c r="BB2414" s="7"/>
      <c r="BC2414" s="4" t="s">
        <v>231</v>
      </c>
      <c r="BD2414" s="8" t="s">
        <v>231</v>
      </c>
      <c r="BE2414" s="4" t="s">
        <v>231</v>
      </c>
      <c r="BF2414" s="8" t="s">
        <v>231</v>
      </c>
      <c r="BG2414" s="7" t="s">
        <v>231</v>
      </c>
      <c r="BH2414" s="7" t="s">
        <v>231</v>
      </c>
      <c r="BI2414" s="7"/>
      <c r="BJ2414" s="4"/>
      <c r="BK2414" s="8"/>
      <c r="BL2414" s="2" t="s">
        <v>231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241</v>
      </c>
      <c r="BV2414" s="2" t="s">
        <v>231</v>
      </c>
      <c r="BW2414" s="2" t="s">
        <v>231</v>
      </c>
      <c r="BX2414" s="2" t="s">
        <v>231</v>
      </c>
      <c r="BY2414" s="2" t="s">
        <v>242</v>
      </c>
      <c r="BZ2414" s="2" t="s">
        <v>243</v>
      </c>
      <c r="CA2414" s="2" t="s">
        <v>231</v>
      </c>
      <c r="CB2414" s="2" t="s">
        <v>231</v>
      </c>
      <c r="CC2414" s="2" t="s">
        <v>244</v>
      </c>
      <c r="CD2414" s="2" t="s">
        <v>231</v>
      </c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  <c r="HG2414" s="4"/>
      <c r="HH2414" s="4"/>
      <c r="HI2414" s="4"/>
      <c r="HJ2414" s="4"/>
      <c r="HK2414" s="4"/>
      <c r="HL2414" s="4"/>
    </row>
    <row r="2415">
      <c r="A2415" s="2" t="s">
        <v>10472</v>
      </c>
      <c r="B2415" s="2" t="s">
        <v>992</v>
      </c>
      <c r="C2415" s="2" t="s">
        <v>10464</v>
      </c>
      <c r="D2415" s="2" t="s">
        <v>993</v>
      </c>
      <c r="E2415" s="2" t="s">
        <v>994</v>
      </c>
      <c r="F2415" s="2" t="s">
        <v>10465</v>
      </c>
      <c r="G2415" s="2" t="s">
        <v>231</v>
      </c>
      <c r="H2415" s="2" t="s">
        <v>231</v>
      </c>
      <c r="I2415" s="2" t="s">
        <v>10471</v>
      </c>
      <c r="J2415" s="2" t="s">
        <v>10467</v>
      </c>
      <c r="K2415" s="2" t="s">
        <v>1496</v>
      </c>
      <c r="L2415" s="3">
        <v>19.99</v>
      </c>
      <c r="M2415" s="3">
        <v>20.99</v>
      </c>
      <c r="N2415" s="3"/>
      <c r="O2415" s="2" t="s">
        <v>243</v>
      </c>
      <c r="P2415" s="2" t="s">
        <v>236</v>
      </c>
      <c r="Q2415" s="2" t="s">
        <v>237</v>
      </c>
      <c r="R2415" s="2" t="s">
        <v>10468</v>
      </c>
      <c r="S2415" s="2" t="s">
        <v>231</v>
      </c>
      <c r="T2415" s="2" t="s">
        <v>231</v>
      </c>
      <c r="U2415" s="2" t="s">
        <v>231</v>
      </c>
      <c r="V2415" s="2" t="s">
        <v>239</v>
      </c>
      <c r="W2415" s="2" t="s">
        <v>231</v>
      </c>
      <c r="X2415" s="2" t="s">
        <v>231</v>
      </c>
      <c r="Y2415" s="2" t="s">
        <v>10469</v>
      </c>
      <c r="Z2415" s="4"/>
      <c r="AA2415" s="4">
        <f>=ROUNDDOWN({0},0)</f>
      </c>
      <c r="AB2415" s="5"/>
      <c r="AC2415" s="2" t="s">
        <v>231</v>
      </c>
      <c r="AD2415" s="4"/>
      <c r="AE2415" s="4"/>
      <c r="AF2415" s="6"/>
      <c r="AG2415" s="6"/>
      <c r="AH2415" s="7">
        <v>0</v>
      </c>
      <c r="AI2415" s="4"/>
      <c r="AJ2415" s="4">
        <f>=ROUNDDOWN({0},0)</f>
      </c>
      <c r="AK2415" s="5"/>
      <c r="AL2415" s="2" t="s">
        <v>231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231</v>
      </c>
      <c r="AW2415" s="8" t="s">
        <v>231</v>
      </c>
      <c r="AX2415" s="4" t="s">
        <v>231</v>
      </c>
      <c r="AY2415" s="8" t="s">
        <v>231</v>
      </c>
      <c r="AZ2415" s="7" t="s">
        <v>231</v>
      </c>
      <c r="BA2415" s="7" t="s">
        <v>231</v>
      </c>
      <c r="BB2415" s="7"/>
      <c r="BC2415" s="4" t="s">
        <v>231</v>
      </c>
      <c r="BD2415" s="8" t="s">
        <v>231</v>
      </c>
      <c r="BE2415" s="4" t="s">
        <v>231</v>
      </c>
      <c r="BF2415" s="8" t="s">
        <v>231</v>
      </c>
      <c r="BG2415" s="7" t="s">
        <v>231</v>
      </c>
      <c r="BH2415" s="7" t="s">
        <v>231</v>
      </c>
      <c r="BI2415" s="7"/>
      <c r="BJ2415" s="4"/>
      <c r="BK2415" s="8"/>
      <c r="BL2415" s="2" t="s">
        <v>231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241</v>
      </c>
      <c r="BV2415" s="2" t="s">
        <v>231</v>
      </c>
      <c r="BW2415" s="2" t="s">
        <v>231</v>
      </c>
      <c r="BX2415" s="2" t="s">
        <v>231</v>
      </c>
      <c r="BY2415" s="2" t="s">
        <v>242</v>
      </c>
      <c r="BZ2415" s="2" t="s">
        <v>243</v>
      </c>
      <c r="CA2415" s="2" t="s">
        <v>231</v>
      </c>
      <c r="CB2415" s="2" t="s">
        <v>231</v>
      </c>
      <c r="CC2415" s="2" t="s">
        <v>244</v>
      </c>
      <c r="CD2415" s="2" t="s">
        <v>231</v>
      </c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  <c r="HG2415" s="4"/>
      <c r="HH2415" s="4"/>
      <c r="HI2415" s="4"/>
      <c r="HJ2415" s="4"/>
      <c r="HK2415" s="4"/>
      <c r="HL2415" s="4"/>
    </row>
    <row r="2416">
      <c r="A2416" s="2" t="s">
        <v>10473</v>
      </c>
      <c r="B2416" s="2" t="s">
        <v>992</v>
      </c>
      <c r="C2416" s="2" t="s">
        <v>10464</v>
      </c>
      <c r="D2416" s="2" t="s">
        <v>993</v>
      </c>
      <c r="E2416" s="2" t="s">
        <v>994</v>
      </c>
      <c r="F2416" s="2" t="s">
        <v>10465</v>
      </c>
      <c r="G2416" s="2" t="s">
        <v>231</v>
      </c>
      <c r="H2416" s="2" t="s">
        <v>231</v>
      </c>
      <c r="I2416" s="2" t="s">
        <v>10471</v>
      </c>
      <c r="J2416" s="2" t="s">
        <v>2072</v>
      </c>
      <c r="K2416" s="2" t="s">
        <v>1496</v>
      </c>
      <c r="L2416" s="3">
        <v>22.99</v>
      </c>
      <c r="M2416" s="3">
        <v>24.14</v>
      </c>
      <c r="N2416" s="3"/>
      <c r="O2416" s="2" t="s">
        <v>243</v>
      </c>
      <c r="P2416" s="2" t="s">
        <v>236</v>
      </c>
      <c r="Q2416" s="2" t="s">
        <v>237</v>
      </c>
      <c r="R2416" s="2" t="s">
        <v>10468</v>
      </c>
      <c r="S2416" s="2" t="s">
        <v>231</v>
      </c>
      <c r="T2416" s="2" t="s">
        <v>231</v>
      </c>
      <c r="U2416" s="2" t="s">
        <v>231</v>
      </c>
      <c r="V2416" s="2" t="s">
        <v>239</v>
      </c>
      <c r="W2416" s="2" t="s">
        <v>231</v>
      </c>
      <c r="X2416" s="2" t="s">
        <v>231</v>
      </c>
      <c r="Y2416" s="2" t="s">
        <v>10469</v>
      </c>
      <c r="Z2416" s="4"/>
      <c r="AA2416" s="4">
        <f>=ROUNDDOWN({0},0)</f>
      </c>
      <c r="AB2416" s="5"/>
      <c r="AC2416" s="2" t="s">
        <v>231</v>
      </c>
      <c r="AD2416" s="4"/>
      <c r="AE2416" s="4"/>
      <c r="AF2416" s="6"/>
      <c r="AG2416" s="6"/>
      <c r="AH2416" s="7">
        <v>0</v>
      </c>
      <c r="AI2416" s="4"/>
      <c r="AJ2416" s="4">
        <f>=ROUNDDOWN({0},0)</f>
      </c>
      <c r="AK2416" s="5"/>
      <c r="AL2416" s="2" t="s">
        <v>231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231</v>
      </c>
      <c r="AW2416" s="8" t="s">
        <v>231</v>
      </c>
      <c r="AX2416" s="4" t="s">
        <v>231</v>
      </c>
      <c r="AY2416" s="8" t="s">
        <v>231</v>
      </c>
      <c r="AZ2416" s="7" t="s">
        <v>231</v>
      </c>
      <c r="BA2416" s="7" t="s">
        <v>231</v>
      </c>
      <c r="BB2416" s="7"/>
      <c r="BC2416" s="4" t="s">
        <v>231</v>
      </c>
      <c r="BD2416" s="8" t="s">
        <v>231</v>
      </c>
      <c r="BE2416" s="4" t="s">
        <v>231</v>
      </c>
      <c r="BF2416" s="8" t="s">
        <v>231</v>
      </c>
      <c r="BG2416" s="7" t="s">
        <v>231</v>
      </c>
      <c r="BH2416" s="7" t="s">
        <v>231</v>
      </c>
      <c r="BI2416" s="7"/>
      <c r="BJ2416" s="4"/>
      <c r="BK2416" s="8"/>
      <c r="BL2416" s="2" t="s">
        <v>231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241</v>
      </c>
      <c r="BV2416" s="2" t="s">
        <v>231</v>
      </c>
      <c r="BW2416" s="2" t="s">
        <v>231</v>
      </c>
      <c r="BX2416" s="2" t="s">
        <v>231</v>
      </c>
      <c r="BY2416" s="2" t="s">
        <v>242</v>
      </c>
      <c r="BZ2416" s="2" t="s">
        <v>243</v>
      </c>
      <c r="CA2416" s="2" t="s">
        <v>231</v>
      </c>
      <c r="CB2416" s="2" t="s">
        <v>231</v>
      </c>
      <c r="CC2416" s="2" t="s">
        <v>244</v>
      </c>
      <c r="CD2416" s="2" t="s">
        <v>231</v>
      </c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  <c r="HG2416" s="4"/>
      <c r="HH2416" s="4"/>
      <c r="HI2416" s="4"/>
      <c r="HJ2416" s="4"/>
      <c r="HK2416" s="4"/>
      <c r="HL2416" s="4"/>
    </row>
    <row r="2417">
      <c r="A2417" s="2" t="s">
        <v>10474</v>
      </c>
      <c r="B2417" s="2" t="s">
        <v>992</v>
      </c>
      <c r="C2417" s="2" t="s">
        <v>10464</v>
      </c>
      <c r="D2417" s="2" t="s">
        <v>993</v>
      </c>
      <c r="E2417" s="2" t="s">
        <v>994</v>
      </c>
      <c r="F2417" s="2" t="s">
        <v>10465</v>
      </c>
      <c r="G2417" s="2" t="s">
        <v>231</v>
      </c>
      <c r="H2417" s="2" t="s">
        <v>231</v>
      </c>
      <c r="I2417" s="2" t="s">
        <v>10471</v>
      </c>
      <c r="J2417" s="2" t="s">
        <v>10467</v>
      </c>
      <c r="K2417" s="2" t="s">
        <v>319</v>
      </c>
      <c r="L2417" s="3">
        <v>19.99</v>
      </c>
      <c r="M2417" s="3">
        <v>20.99</v>
      </c>
      <c r="N2417" s="3"/>
      <c r="O2417" s="2" t="s">
        <v>243</v>
      </c>
      <c r="P2417" s="2" t="s">
        <v>236</v>
      </c>
      <c r="Q2417" s="2" t="s">
        <v>237</v>
      </c>
      <c r="R2417" s="2" t="s">
        <v>10468</v>
      </c>
      <c r="S2417" s="2" t="s">
        <v>231</v>
      </c>
      <c r="T2417" s="2" t="s">
        <v>231</v>
      </c>
      <c r="U2417" s="2" t="s">
        <v>231</v>
      </c>
      <c r="V2417" s="2" t="s">
        <v>239</v>
      </c>
      <c r="W2417" s="2" t="s">
        <v>231</v>
      </c>
      <c r="X2417" s="2" t="s">
        <v>231</v>
      </c>
      <c r="Y2417" s="2" t="s">
        <v>10469</v>
      </c>
      <c r="Z2417" s="4"/>
      <c r="AA2417" s="4">
        <f>=ROUNDDOWN({0},0)</f>
      </c>
      <c r="AB2417" s="5"/>
      <c r="AC2417" s="2" t="s">
        <v>231</v>
      </c>
      <c r="AD2417" s="4"/>
      <c r="AE2417" s="4"/>
      <c r="AF2417" s="6"/>
      <c r="AG2417" s="6"/>
      <c r="AH2417" s="7">
        <v>0</v>
      </c>
      <c r="AI2417" s="4"/>
      <c r="AJ2417" s="4">
        <f>=ROUNDDOWN({0},0)</f>
      </c>
      <c r="AK2417" s="5"/>
      <c r="AL2417" s="2" t="s">
        <v>231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231</v>
      </c>
      <c r="AW2417" s="8" t="s">
        <v>231</v>
      </c>
      <c r="AX2417" s="4" t="s">
        <v>231</v>
      </c>
      <c r="AY2417" s="8" t="s">
        <v>231</v>
      </c>
      <c r="AZ2417" s="7" t="s">
        <v>231</v>
      </c>
      <c r="BA2417" s="7" t="s">
        <v>231</v>
      </c>
      <c r="BB2417" s="7"/>
      <c r="BC2417" s="4" t="s">
        <v>231</v>
      </c>
      <c r="BD2417" s="8" t="s">
        <v>231</v>
      </c>
      <c r="BE2417" s="4" t="s">
        <v>231</v>
      </c>
      <c r="BF2417" s="8" t="s">
        <v>231</v>
      </c>
      <c r="BG2417" s="7" t="s">
        <v>231</v>
      </c>
      <c r="BH2417" s="7" t="s">
        <v>231</v>
      </c>
      <c r="BI2417" s="7"/>
      <c r="BJ2417" s="4"/>
      <c r="BK2417" s="8"/>
      <c r="BL2417" s="2" t="s">
        <v>231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241</v>
      </c>
      <c r="BV2417" s="2" t="s">
        <v>231</v>
      </c>
      <c r="BW2417" s="2" t="s">
        <v>231</v>
      </c>
      <c r="BX2417" s="2" t="s">
        <v>231</v>
      </c>
      <c r="BY2417" s="2" t="s">
        <v>242</v>
      </c>
      <c r="BZ2417" s="2" t="s">
        <v>243</v>
      </c>
      <c r="CA2417" s="2" t="s">
        <v>231</v>
      </c>
      <c r="CB2417" s="2" t="s">
        <v>231</v>
      </c>
      <c r="CC2417" s="2" t="s">
        <v>244</v>
      </c>
      <c r="CD2417" s="2" t="s">
        <v>231</v>
      </c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  <c r="HG2417" s="4"/>
      <c r="HH2417" s="4"/>
      <c r="HI2417" s="4"/>
      <c r="HJ2417" s="4"/>
      <c r="HK2417" s="4"/>
      <c r="HL2417" s="4"/>
    </row>
    <row r="2418">
      <c r="A2418" s="2" t="s">
        <v>10475</v>
      </c>
      <c r="B2418" s="2" t="s">
        <v>992</v>
      </c>
      <c r="C2418" s="2" t="s">
        <v>10464</v>
      </c>
      <c r="D2418" s="2" t="s">
        <v>993</v>
      </c>
      <c r="E2418" s="2" t="s">
        <v>994</v>
      </c>
      <c r="F2418" s="2" t="s">
        <v>10465</v>
      </c>
      <c r="G2418" s="2" t="s">
        <v>231</v>
      </c>
      <c r="H2418" s="2" t="s">
        <v>231</v>
      </c>
      <c r="I2418" s="2" t="s">
        <v>10471</v>
      </c>
      <c r="J2418" s="2" t="s">
        <v>2072</v>
      </c>
      <c r="K2418" s="2" t="s">
        <v>319</v>
      </c>
      <c r="L2418" s="3">
        <v>22.99</v>
      </c>
      <c r="M2418" s="3">
        <v>24.14</v>
      </c>
      <c r="N2418" s="3"/>
      <c r="O2418" s="2" t="s">
        <v>243</v>
      </c>
      <c r="P2418" s="2" t="s">
        <v>236</v>
      </c>
      <c r="Q2418" s="2" t="s">
        <v>237</v>
      </c>
      <c r="R2418" s="2" t="s">
        <v>10468</v>
      </c>
      <c r="S2418" s="2" t="s">
        <v>231</v>
      </c>
      <c r="T2418" s="2" t="s">
        <v>231</v>
      </c>
      <c r="U2418" s="2" t="s">
        <v>231</v>
      </c>
      <c r="V2418" s="2" t="s">
        <v>239</v>
      </c>
      <c r="W2418" s="2" t="s">
        <v>231</v>
      </c>
      <c r="X2418" s="2" t="s">
        <v>231</v>
      </c>
      <c r="Y2418" s="2" t="s">
        <v>10469</v>
      </c>
      <c r="Z2418" s="4"/>
      <c r="AA2418" s="4">
        <f>=ROUNDDOWN({0},0)</f>
      </c>
      <c r="AB2418" s="5"/>
      <c r="AC2418" s="2" t="s">
        <v>231</v>
      </c>
      <c r="AD2418" s="4"/>
      <c r="AE2418" s="4"/>
      <c r="AF2418" s="6"/>
      <c r="AG2418" s="6"/>
      <c r="AH2418" s="7">
        <v>0</v>
      </c>
      <c r="AI2418" s="4"/>
      <c r="AJ2418" s="4">
        <f>=ROUNDDOWN({0},0)</f>
      </c>
      <c r="AK2418" s="5"/>
      <c r="AL2418" s="2" t="s">
        <v>231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231</v>
      </c>
      <c r="AW2418" s="8" t="s">
        <v>231</v>
      </c>
      <c r="AX2418" s="4" t="s">
        <v>231</v>
      </c>
      <c r="AY2418" s="8" t="s">
        <v>231</v>
      </c>
      <c r="AZ2418" s="7" t="s">
        <v>231</v>
      </c>
      <c r="BA2418" s="7" t="s">
        <v>231</v>
      </c>
      <c r="BB2418" s="7"/>
      <c r="BC2418" s="4" t="s">
        <v>231</v>
      </c>
      <c r="BD2418" s="8" t="s">
        <v>231</v>
      </c>
      <c r="BE2418" s="4" t="s">
        <v>231</v>
      </c>
      <c r="BF2418" s="8" t="s">
        <v>231</v>
      </c>
      <c r="BG2418" s="7" t="s">
        <v>231</v>
      </c>
      <c r="BH2418" s="7" t="s">
        <v>231</v>
      </c>
      <c r="BI2418" s="7"/>
      <c r="BJ2418" s="4"/>
      <c r="BK2418" s="8"/>
      <c r="BL2418" s="2" t="s">
        <v>231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241</v>
      </c>
      <c r="BV2418" s="2" t="s">
        <v>231</v>
      </c>
      <c r="BW2418" s="2" t="s">
        <v>231</v>
      </c>
      <c r="BX2418" s="2" t="s">
        <v>231</v>
      </c>
      <c r="BY2418" s="2" t="s">
        <v>242</v>
      </c>
      <c r="BZ2418" s="2" t="s">
        <v>243</v>
      </c>
      <c r="CA2418" s="2" t="s">
        <v>231</v>
      </c>
      <c r="CB2418" s="2" t="s">
        <v>231</v>
      </c>
      <c r="CC2418" s="2" t="s">
        <v>244</v>
      </c>
      <c r="CD2418" s="2" t="s">
        <v>231</v>
      </c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  <c r="HF2418" s="4"/>
      <c r="HG2418" s="4"/>
      <c r="HH2418" s="4"/>
      <c r="HI2418" s="4"/>
      <c r="HJ2418" s="4"/>
      <c r="HK2418" s="4"/>
      <c r="HL2418" s="4"/>
    </row>
    <row r="2419">
      <c r="A2419" s="2" t="s">
        <v>10476</v>
      </c>
      <c r="B2419" s="2" t="s">
        <v>992</v>
      </c>
      <c r="C2419" s="2" t="s">
        <v>10464</v>
      </c>
      <c r="D2419" s="2" t="s">
        <v>993</v>
      </c>
      <c r="E2419" s="2" t="s">
        <v>994</v>
      </c>
      <c r="F2419" s="2" t="s">
        <v>10465</v>
      </c>
      <c r="G2419" s="2" t="s">
        <v>231</v>
      </c>
      <c r="H2419" s="2" t="s">
        <v>231</v>
      </c>
      <c r="I2419" s="2" t="s">
        <v>10471</v>
      </c>
      <c r="J2419" s="2" t="s">
        <v>10467</v>
      </c>
      <c r="K2419" s="2" t="s">
        <v>1046</v>
      </c>
      <c r="L2419" s="3">
        <v>19.99</v>
      </c>
      <c r="M2419" s="3">
        <v>20.99</v>
      </c>
      <c r="N2419" s="3"/>
      <c r="O2419" s="2" t="s">
        <v>243</v>
      </c>
      <c r="P2419" s="2" t="s">
        <v>236</v>
      </c>
      <c r="Q2419" s="2" t="s">
        <v>237</v>
      </c>
      <c r="R2419" s="2" t="s">
        <v>10468</v>
      </c>
      <c r="S2419" s="2" t="s">
        <v>231</v>
      </c>
      <c r="T2419" s="2" t="s">
        <v>231</v>
      </c>
      <c r="U2419" s="2" t="s">
        <v>231</v>
      </c>
      <c r="V2419" s="2" t="s">
        <v>239</v>
      </c>
      <c r="W2419" s="2" t="s">
        <v>231</v>
      </c>
      <c r="X2419" s="2" t="s">
        <v>231</v>
      </c>
      <c r="Y2419" s="2" t="s">
        <v>10469</v>
      </c>
      <c r="Z2419" s="4"/>
      <c r="AA2419" s="4">
        <f>=ROUNDDOWN({0},0)</f>
      </c>
      <c r="AB2419" s="5"/>
      <c r="AC2419" s="2" t="s">
        <v>231</v>
      </c>
      <c r="AD2419" s="4"/>
      <c r="AE2419" s="4"/>
      <c r="AF2419" s="6"/>
      <c r="AG2419" s="6"/>
      <c r="AH2419" s="7">
        <v>0</v>
      </c>
      <c r="AI2419" s="4"/>
      <c r="AJ2419" s="4">
        <f>=ROUNDDOWN({0},0)</f>
      </c>
      <c r="AK2419" s="5"/>
      <c r="AL2419" s="2" t="s">
        <v>231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231</v>
      </c>
      <c r="AW2419" s="8" t="s">
        <v>231</v>
      </c>
      <c r="AX2419" s="4" t="s">
        <v>231</v>
      </c>
      <c r="AY2419" s="8" t="s">
        <v>231</v>
      </c>
      <c r="AZ2419" s="7" t="s">
        <v>231</v>
      </c>
      <c r="BA2419" s="7" t="s">
        <v>231</v>
      </c>
      <c r="BB2419" s="7"/>
      <c r="BC2419" s="4" t="s">
        <v>231</v>
      </c>
      <c r="BD2419" s="8" t="s">
        <v>231</v>
      </c>
      <c r="BE2419" s="4" t="s">
        <v>231</v>
      </c>
      <c r="BF2419" s="8" t="s">
        <v>231</v>
      </c>
      <c r="BG2419" s="7" t="s">
        <v>231</v>
      </c>
      <c r="BH2419" s="7" t="s">
        <v>231</v>
      </c>
      <c r="BI2419" s="7"/>
      <c r="BJ2419" s="4"/>
      <c r="BK2419" s="8"/>
      <c r="BL2419" s="2" t="s">
        <v>231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241</v>
      </c>
      <c r="BV2419" s="2" t="s">
        <v>231</v>
      </c>
      <c r="BW2419" s="2" t="s">
        <v>231</v>
      </c>
      <c r="BX2419" s="2" t="s">
        <v>231</v>
      </c>
      <c r="BY2419" s="2" t="s">
        <v>242</v>
      </c>
      <c r="BZ2419" s="2" t="s">
        <v>243</v>
      </c>
      <c r="CA2419" s="2" t="s">
        <v>231</v>
      </c>
      <c r="CB2419" s="2" t="s">
        <v>231</v>
      </c>
      <c r="CC2419" s="2" t="s">
        <v>244</v>
      </c>
      <c r="CD2419" s="2" t="s">
        <v>231</v>
      </c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  <c r="HG2419" s="4"/>
      <c r="HH2419" s="4"/>
      <c r="HI2419" s="4"/>
      <c r="HJ2419" s="4"/>
      <c r="HK2419" s="4"/>
      <c r="HL2419" s="4"/>
    </row>
    <row r="2420">
      <c r="A2420" s="2" t="s">
        <v>10477</v>
      </c>
      <c r="B2420" s="2" t="s">
        <v>992</v>
      </c>
      <c r="C2420" s="2" t="s">
        <v>10464</v>
      </c>
      <c r="D2420" s="2" t="s">
        <v>993</v>
      </c>
      <c r="E2420" s="2" t="s">
        <v>994</v>
      </c>
      <c r="F2420" s="2" t="s">
        <v>10465</v>
      </c>
      <c r="G2420" s="2" t="s">
        <v>231</v>
      </c>
      <c r="H2420" s="2" t="s">
        <v>231</v>
      </c>
      <c r="I2420" s="2" t="s">
        <v>10471</v>
      </c>
      <c r="J2420" s="2" t="s">
        <v>2072</v>
      </c>
      <c r="K2420" s="2" t="s">
        <v>1046</v>
      </c>
      <c r="L2420" s="3">
        <v>22.99</v>
      </c>
      <c r="M2420" s="3">
        <v>24.14</v>
      </c>
      <c r="N2420" s="3"/>
      <c r="O2420" s="2" t="s">
        <v>243</v>
      </c>
      <c r="P2420" s="2" t="s">
        <v>236</v>
      </c>
      <c r="Q2420" s="2" t="s">
        <v>237</v>
      </c>
      <c r="R2420" s="2" t="s">
        <v>10468</v>
      </c>
      <c r="S2420" s="2" t="s">
        <v>231</v>
      </c>
      <c r="T2420" s="2" t="s">
        <v>231</v>
      </c>
      <c r="U2420" s="2" t="s">
        <v>231</v>
      </c>
      <c r="V2420" s="2" t="s">
        <v>239</v>
      </c>
      <c r="W2420" s="2" t="s">
        <v>231</v>
      </c>
      <c r="X2420" s="2" t="s">
        <v>231</v>
      </c>
      <c r="Y2420" s="2" t="s">
        <v>10469</v>
      </c>
      <c r="Z2420" s="4"/>
      <c r="AA2420" s="4">
        <f>=ROUNDDOWN({0},0)</f>
      </c>
      <c r="AB2420" s="5"/>
      <c r="AC2420" s="2" t="s">
        <v>231</v>
      </c>
      <c r="AD2420" s="4"/>
      <c r="AE2420" s="4"/>
      <c r="AF2420" s="6"/>
      <c r="AG2420" s="6"/>
      <c r="AH2420" s="7">
        <v>0</v>
      </c>
      <c r="AI2420" s="4"/>
      <c r="AJ2420" s="4">
        <f>=ROUNDDOWN({0},0)</f>
      </c>
      <c r="AK2420" s="5"/>
      <c r="AL2420" s="2" t="s">
        <v>231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231</v>
      </c>
      <c r="AW2420" s="8" t="s">
        <v>231</v>
      </c>
      <c r="AX2420" s="4" t="s">
        <v>231</v>
      </c>
      <c r="AY2420" s="8" t="s">
        <v>231</v>
      </c>
      <c r="AZ2420" s="7" t="s">
        <v>231</v>
      </c>
      <c r="BA2420" s="7" t="s">
        <v>231</v>
      </c>
      <c r="BB2420" s="7"/>
      <c r="BC2420" s="4" t="s">
        <v>231</v>
      </c>
      <c r="BD2420" s="8" t="s">
        <v>231</v>
      </c>
      <c r="BE2420" s="4" t="s">
        <v>231</v>
      </c>
      <c r="BF2420" s="8" t="s">
        <v>231</v>
      </c>
      <c r="BG2420" s="7" t="s">
        <v>231</v>
      </c>
      <c r="BH2420" s="7" t="s">
        <v>231</v>
      </c>
      <c r="BI2420" s="7"/>
      <c r="BJ2420" s="4"/>
      <c r="BK2420" s="8"/>
      <c r="BL2420" s="2" t="s">
        <v>231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241</v>
      </c>
      <c r="BV2420" s="2" t="s">
        <v>231</v>
      </c>
      <c r="BW2420" s="2" t="s">
        <v>231</v>
      </c>
      <c r="BX2420" s="2" t="s">
        <v>231</v>
      </c>
      <c r="BY2420" s="2" t="s">
        <v>242</v>
      </c>
      <c r="BZ2420" s="2" t="s">
        <v>243</v>
      </c>
      <c r="CA2420" s="2" t="s">
        <v>231</v>
      </c>
      <c r="CB2420" s="2" t="s">
        <v>231</v>
      </c>
      <c r="CC2420" s="2" t="s">
        <v>244</v>
      </c>
      <c r="CD2420" s="2" t="s">
        <v>231</v>
      </c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  <c r="HG2420" s="4"/>
      <c r="HH2420" s="4"/>
      <c r="HI2420" s="4"/>
      <c r="HJ2420" s="4"/>
      <c r="HK2420" s="4"/>
      <c r="HL2420" s="4"/>
    </row>
    <row r="2421">
      <c r="A2421" s="2" t="s">
        <v>10478</v>
      </c>
      <c r="B2421" s="2" t="s">
        <v>1186</v>
      </c>
      <c r="C2421" s="2" t="s">
        <v>1017</v>
      </c>
      <c r="D2421" s="2" t="s">
        <v>654</v>
      </c>
      <c r="E2421" s="2" t="s">
        <v>890</v>
      </c>
      <c r="F2421" s="2" t="s">
        <v>10479</v>
      </c>
      <c r="G2421" s="2" t="s">
        <v>10480</v>
      </c>
      <c r="H2421" s="2" t="s">
        <v>10481</v>
      </c>
      <c r="I2421" s="2" t="s">
        <v>10482</v>
      </c>
      <c r="J2421" s="2" t="s">
        <v>832</v>
      </c>
      <c r="K2421" s="2" t="s">
        <v>7547</v>
      </c>
      <c r="L2421" s="3">
        <v>21.42</v>
      </c>
      <c r="M2421" s="3">
        <v>22.49</v>
      </c>
      <c r="N2421" s="3">
        <v>44.99</v>
      </c>
      <c r="O2421" s="2" t="s">
        <v>243</v>
      </c>
      <c r="P2421" s="2" t="s">
        <v>236</v>
      </c>
      <c r="Q2421" s="2" t="s">
        <v>237</v>
      </c>
      <c r="R2421" s="2" t="s">
        <v>231</v>
      </c>
      <c r="S2421" s="2" t="s">
        <v>10483</v>
      </c>
      <c r="T2421" s="2" t="s">
        <v>472</v>
      </c>
      <c r="U2421" s="2" t="s">
        <v>791</v>
      </c>
      <c r="V2421" s="2" t="s">
        <v>239</v>
      </c>
      <c r="W2421" s="2" t="s">
        <v>273</v>
      </c>
      <c r="X2421" s="2" t="s">
        <v>691</v>
      </c>
      <c r="Y2421" s="2" t="s">
        <v>3308</v>
      </c>
      <c r="Z2421" s="4">
        <v>245</v>
      </c>
      <c r="AA2421" s="4">
        <f>=ROUNDDOWN(11.6666666666667,0)</f>
      </c>
      <c r="AB2421" s="5">
        <v>21</v>
      </c>
      <c r="AC2421" s="2" t="s">
        <v>5730</v>
      </c>
      <c r="AD2421" s="4">
        <v>15</v>
      </c>
      <c r="AE2421" s="4">
        <v>984</v>
      </c>
      <c r="AF2421" s="6">
        <v>63</v>
      </c>
      <c r="AG2421" s="6">
        <v>46</v>
      </c>
      <c r="AH2421" s="7">
        <v>1</v>
      </c>
      <c r="AI2421" s="4"/>
      <c r="AJ2421" s="4">
        <f>=ROUNDDOWN({0},0)</f>
      </c>
      <c r="AK2421" s="5"/>
      <c r="AL2421" s="2" t="s">
        <v>231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231</v>
      </c>
      <c r="BD2421" s="8" t="s">
        <v>231</v>
      </c>
      <c r="BE2421" s="4" t="s">
        <v>231</v>
      </c>
      <c r="BF2421" s="8" t="s">
        <v>231</v>
      </c>
      <c r="BG2421" s="7" t="s">
        <v>231</v>
      </c>
      <c r="BH2421" s="7" t="s">
        <v>231</v>
      </c>
      <c r="BI2421" s="7"/>
      <c r="BJ2421" s="4">
        <v>86</v>
      </c>
      <c r="BK2421" s="8">
        <v>2155.98</v>
      </c>
      <c r="BL2421" s="2" t="s">
        <v>2684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10484</v>
      </c>
      <c r="BV2421" s="2" t="s">
        <v>231</v>
      </c>
      <c r="BW2421" s="2" t="s">
        <v>231</v>
      </c>
      <c r="BX2421" s="2" t="s">
        <v>2109</v>
      </c>
      <c r="BY2421" s="2" t="s">
        <v>277</v>
      </c>
      <c r="BZ2421" s="2" t="s">
        <v>243</v>
      </c>
      <c r="CA2421" s="2" t="s">
        <v>3349</v>
      </c>
      <c r="CB2421" s="2" t="s">
        <v>231</v>
      </c>
      <c r="CC2421" s="2" t="s">
        <v>244</v>
      </c>
      <c r="CD2421" s="2" t="s">
        <v>231</v>
      </c>
      <c r="CE2421" s="4">
        <v>162</v>
      </c>
      <c r="CF2421" s="4"/>
      <c r="CG2421" s="4"/>
      <c r="CH2421" s="4"/>
      <c r="CI2421" s="4">
        <v>83</v>
      </c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>
        <v>15</v>
      </c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>
        <v>279</v>
      </c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>
        <v>150</v>
      </c>
      <c r="FL2421" s="4"/>
      <c r="FM2421" s="4"/>
      <c r="FN2421" s="4"/>
      <c r="FO2421" s="4"/>
      <c r="FP2421" s="4"/>
      <c r="FQ2421" s="4">
        <v>150</v>
      </c>
      <c r="FR2421" s="4"/>
      <c r="FS2421" s="4"/>
      <c r="FT2421" s="4"/>
      <c r="FU2421" s="4"/>
      <c r="FV2421" s="4"/>
      <c r="FW2421" s="4"/>
      <c r="FX2421" s="4">
        <v>180</v>
      </c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>
        <v>210</v>
      </c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  <c r="HG2421" s="4"/>
      <c r="HH2421" s="4"/>
      <c r="HI2421" s="4"/>
      <c r="HJ2421" s="4"/>
      <c r="HK2421" s="4"/>
      <c r="HL2421" s="4"/>
    </row>
    <row r="2422">
      <c r="A2422" s="2" t="s">
        <v>10485</v>
      </c>
      <c r="B2422" s="2" t="s">
        <v>1186</v>
      </c>
      <c r="C2422" s="2" t="s">
        <v>1017</v>
      </c>
      <c r="D2422" s="2" t="s">
        <v>826</v>
      </c>
      <c r="E2422" s="2" t="s">
        <v>1060</v>
      </c>
      <c r="F2422" s="2" t="s">
        <v>10479</v>
      </c>
      <c r="G2422" s="2" t="s">
        <v>10480</v>
      </c>
      <c r="H2422" s="2" t="s">
        <v>10481</v>
      </c>
      <c r="I2422" s="2" t="s">
        <v>10486</v>
      </c>
      <c r="J2422" s="2" t="s">
        <v>832</v>
      </c>
      <c r="K2422" s="2" t="s">
        <v>486</v>
      </c>
      <c r="L2422" s="3">
        <v>15.47</v>
      </c>
      <c r="M2422" s="3">
        <v>16.24</v>
      </c>
      <c r="N2422" s="3">
        <v>32.49</v>
      </c>
      <c r="O2422" s="2" t="s">
        <v>243</v>
      </c>
      <c r="P2422" s="2" t="s">
        <v>236</v>
      </c>
      <c r="Q2422" s="2" t="s">
        <v>237</v>
      </c>
      <c r="R2422" s="2" t="s">
        <v>231</v>
      </c>
      <c r="S2422" s="2" t="s">
        <v>10487</v>
      </c>
      <c r="T2422" s="2" t="s">
        <v>472</v>
      </c>
      <c r="U2422" s="2" t="s">
        <v>791</v>
      </c>
      <c r="V2422" s="2" t="s">
        <v>239</v>
      </c>
      <c r="W2422" s="2" t="s">
        <v>273</v>
      </c>
      <c r="X2422" s="2" t="s">
        <v>691</v>
      </c>
      <c r="Y2422" s="2" t="s">
        <v>2447</v>
      </c>
      <c r="Z2422" s="4">
        <v>115</v>
      </c>
      <c r="AA2422" s="4">
        <f>=ROUNDDOWN(23,0)</f>
      </c>
      <c r="AB2422" s="5">
        <v>5</v>
      </c>
      <c r="AC2422" s="2" t="s">
        <v>392</v>
      </c>
      <c r="AD2422" s="4">
        <v>120</v>
      </c>
      <c r="AE2422" s="4">
        <v>280</v>
      </c>
      <c r="AF2422" s="6">
        <v>63</v>
      </c>
      <c r="AG2422" s="6">
        <v>46</v>
      </c>
      <c r="AH2422" s="7">
        <v>1</v>
      </c>
      <c r="AI2422" s="4"/>
      <c r="AJ2422" s="4">
        <f>=ROUNDDOWN({0},0)</f>
      </c>
      <c r="AK2422" s="5"/>
      <c r="AL2422" s="2" t="s">
        <v>231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231</v>
      </c>
      <c r="BD2422" s="8" t="s">
        <v>231</v>
      </c>
      <c r="BE2422" s="4" t="s">
        <v>231</v>
      </c>
      <c r="BF2422" s="8" t="s">
        <v>231</v>
      </c>
      <c r="BG2422" s="7" t="s">
        <v>231</v>
      </c>
      <c r="BH2422" s="7" t="s">
        <v>231</v>
      </c>
      <c r="BI2422" s="7"/>
      <c r="BJ2422" s="4">
        <v>16</v>
      </c>
      <c r="BK2422" s="8">
        <v>278.95</v>
      </c>
      <c r="BL2422" s="2" t="s">
        <v>365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10488</v>
      </c>
      <c r="BV2422" s="2" t="s">
        <v>231</v>
      </c>
      <c r="BW2422" s="2" t="s">
        <v>231</v>
      </c>
      <c r="BX2422" s="2" t="s">
        <v>2109</v>
      </c>
      <c r="BY2422" s="2" t="s">
        <v>277</v>
      </c>
      <c r="BZ2422" s="2" t="s">
        <v>243</v>
      </c>
      <c r="CA2422" s="2" t="s">
        <v>2447</v>
      </c>
      <c r="CB2422" s="2" t="s">
        <v>231</v>
      </c>
      <c r="CC2422" s="2" t="s">
        <v>244</v>
      </c>
      <c r="CD2422" s="2" t="s">
        <v>231</v>
      </c>
      <c r="CE2422" s="4">
        <v>84</v>
      </c>
      <c r="CF2422" s="4"/>
      <c r="CG2422" s="4"/>
      <c r="CH2422" s="4"/>
      <c r="CI2422" s="4">
        <v>31</v>
      </c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>
        <v>120</v>
      </c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>
        <v>60</v>
      </c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>
        <v>100</v>
      </c>
      <c r="HF2422" s="4"/>
      <c r="HG2422" s="4"/>
      <c r="HH2422" s="4"/>
      <c r="HI2422" s="4"/>
      <c r="HJ2422" s="4"/>
      <c r="HK2422" s="4"/>
      <c r="HL2422" s="4"/>
    </row>
    <row r="2423">
      <c r="A2423" s="2" t="s">
        <v>10489</v>
      </c>
      <c r="B2423" s="2" t="s">
        <v>1186</v>
      </c>
      <c r="C2423" s="2" t="s">
        <v>1017</v>
      </c>
      <c r="D2423" s="2" t="s">
        <v>654</v>
      </c>
      <c r="E2423" s="2" t="s">
        <v>890</v>
      </c>
      <c r="F2423" s="2" t="s">
        <v>10479</v>
      </c>
      <c r="G2423" s="2" t="s">
        <v>10480</v>
      </c>
      <c r="H2423" s="2" t="s">
        <v>10481</v>
      </c>
      <c r="I2423" s="2" t="s">
        <v>10482</v>
      </c>
      <c r="J2423" s="2" t="s">
        <v>832</v>
      </c>
      <c r="K2423" s="2" t="s">
        <v>10490</v>
      </c>
      <c r="L2423" s="3">
        <v>21.42</v>
      </c>
      <c r="M2423" s="3">
        <v>22.49</v>
      </c>
      <c r="N2423" s="3">
        <v>44.99</v>
      </c>
      <c r="O2423" s="2" t="s">
        <v>243</v>
      </c>
      <c r="P2423" s="2" t="s">
        <v>295</v>
      </c>
      <c r="Q2423" s="2" t="s">
        <v>237</v>
      </c>
      <c r="R2423" s="2" t="s">
        <v>231</v>
      </c>
      <c r="S2423" s="2" t="s">
        <v>10491</v>
      </c>
      <c r="T2423" s="2" t="s">
        <v>472</v>
      </c>
      <c r="U2423" s="2" t="s">
        <v>791</v>
      </c>
      <c r="V2423" s="2" t="s">
        <v>239</v>
      </c>
      <c r="W2423" s="2" t="s">
        <v>273</v>
      </c>
      <c r="X2423" s="2" t="s">
        <v>691</v>
      </c>
      <c r="Y2423" s="2" t="s">
        <v>231</v>
      </c>
      <c r="Z2423" s="4"/>
      <c r="AA2423" s="4">
        <f>=ROUNDDOWN({0},0)</f>
      </c>
      <c r="AB2423" s="5"/>
      <c r="AC2423" s="2" t="s">
        <v>309</v>
      </c>
      <c r="AD2423" s="4">
        <v>204</v>
      </c>
      <c r="AE2423" s="4">
        <v>540</v>
      </c>
      <c r="AF2423" s="6"/>
      <c r="AG2423" s="6"/>
      <c r="AH2423" s="7">
        <v>0</v>
      </c>
      <c r="AI2423" s="4"/>
      <c r="AJ2423" s="4">
        <f>=ROUNDDOWN({0},0)</f>
      </c>
      <c r="AK2423" s="5"/>
      <c r="AL2423" s="2" t="s">
        <v>231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231</v>
      </c>
      <c r="AW2423" s="8" t="s">
        <v>231</v>
      </c>
      <c r="AX2423" s="4" t="s">
        <v>231</v>
      </c>
      <c r="AY2423" s="8" t="s">
        <v>231</v>
      </c>
      <c r="AZ2423" s="7" t="s">
        <v>231</v>
      </c>
      <c r="BA2423" s="7" t="s">
        <v>231</v>
      </c>
      <c r="BB2423" s="7" t="s">
        <v>231</v>
      </c>
      <c r="BC2423" s="4" t="s">
        <v>231</v>
      </c>
      <c r="BD2423" s="8" t="s">
        <v>231</v>
      </c>
      <c r="BE2423" s="4" t="s">
        <v>231</v>
      </c>
      <c r="BF2423" s="8" t="s">
        <v>231</v>
      </c>
      <c r="BG2423" s="7" t="s">
        <v>231</v>
      </c>
      <c r="BH2423" s="7" t="s">
        <v>231</v>
      </c>
      <c r="BI2423" s="7"/>
      <c r="BJ2423" s="4"/>
      <c r="BK2423" s="8"/>
      <c r="BL2423" s="2" t="s">
        <v>231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241</v>
      </c>
      <c r="BV2423" s="2" t="s">
        <v>231</v>
      </c>
      <c r="BW2423" s="2" t="s">
        <v>231</v>
      </c>
      <c r="BX2423" s="2" t="s">
        <v>2109</v>
      </c>
      <c r="BY2423" s="2" t="s">
        <v>242</v>
      </c>
      <c r="BZ2423" s="2" t="s">
        <v>243</v>
      </c>
      <c r="CA2423" s="2" t="s">
        <v>231</v>
      </c>
      <c r="CB2423" s="2" t="s">
        <v>231</v>
      </c>
      <c r="CC2423" s="2" t="s">
        <v>244</v>
      </c>
      <c r="CD2423" s="2" t="s">
        <v>231</v>
      </c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>
        <v>204</v>
      </c>
      <c r="EO2423" s="4"/>
      <c r="EP2423" s="4"/>
      <c r="EQ2423" s="4"/>
      <c r="ER2423" s="4"/>
      <c r="ES2423" s="4"/>
      <c r="ET2423" s="4"/>
      <c r="EU2423" s="4"/>
      <c r="EV2423" s="4"/>
      <c r="EW2423" s="4">
        <v>126</v>
      </c>
      <c r="EX2423" s="4"/>
      <c r="EY2423" s="4"/>
      <c r="EZ2423" s="4"/>
      <c r="FA2423" s="4">
        <v>99</v>
      </c>
      <c r="FB2423" s="4"/>
      <c r="FC2423" s="4"/>
      <c r="FD2423" s="4"/>
      <c r="FE2423" s="4"/>
      <c r="FF2423" s="4"/>
      <c r="FG2423" s="4"/>
      <c r="FH2423" s="4"/>
      <c r="FI2423" s="4">
        <v>111</v>
      </c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  <c r="HG2423" s="4"/>
      <c r="HH2423" s="4"/>
      <c r="HI2423" s="4"/>
      <c r="HJ2423" s="4"/>
      <c r="HK2423" s="4"/>
      <c r="HL2423" s="4"/>
    </row>
    <row r="2424">
      <c r="A2424" s="2" t="s">
        <v>10492</v>
      </c>
      <c r="B2424" s="2" t="s">
        <v>1186</v>
      </c>
      <c r="C2424" s="2" t="s">
        <v>1017</v>
      </c>
      <c r="D2424" s="2" t="s">
        <v>826</v>
      </c>
      <c r="E2424" s="2" t="s">
        <v>1060</v>
      </c>
      <c r="F2424" s="2" t="s">
        <v>10479</v>
      </c>
      <c r="G2424" s="2" t="s">
        <v>10480</v>
      </c>
      <c r="H2424" s="2" t="s">
        <v>10481</v>
      </c>
      <c r="I2424" s="2" t="s">
        <v>10486</v>
      </c>
      <c r="J2424" s="2" t="s">
        <v>832</v>
      </c>
      <c r="K2424" s="2" t="s">
        <v>10490</v>
      </c>
      <c r="L2424" s="3">
        <v>15.47</v>
      </c>
      <c r="M2424" s="3">
        <v>16.24</v>
      </c>
      <c r="N2424" s="3">
        <v>32.49</v>
      </c>
      <c r="O2424" s="2" t="s">
        <v>243</v>
      </c>
      <c r="P2424" s="2" t="s">
        <v>295</v>
      </c>
      <c r="Q2424" s="2" t="s">
        <v>237</v>
      </c>
      <c r="R2424" s="2" t="s">
        <v>231</v>
      </c>
      <c r="S2424" s="2" t="s">
        <v>10491</v>
      </c>
      <c r="T2424" s="2" t="s">
        <v>472</v>
      </c>
      <c r="U2424" s="2" t="s">
        <v>791</v>
      </c>
      <c r="V2424" s="2" t="s">
        <v>239</v>
      </c>
      <c r="W2424" s="2" t="s">
        <v>273</v>
      </c>
      <c r="X2424" s="2" t="s">
        <v>691</v>
      </c>
      <c r="Y2424" s="2" t="s">
        <v>231</v>
      </c>
      <c r="Z2424" s="4"/>
      <c r="AA2424" s="4">
        <f>=ROUNDDOWN({0},0)</f>
      </c>
      <c r="AB2424" s="5"/>
      <c r="AC2424" s="2" t="s">
        <v>309</v>
      </c>
      <c r="AD2424" s="4">
        <v>124</v>
      </c>
      <c r="AE2424" s="4">
        <v>320</v>
      </c>
      <c r="AF2424" s="6"/>
      <c r="AG2424" s="6"/>
      <c r="AH2424" s="7">
        <v>0</v>
      </c>
      <c r="AI2424" s="4"/>
      <c r="AJ2424" s="4">
        <f>=ROUNDDOWN({0},0)</f>
      </c>
      <c r="AK2424" s="5"/>
      <c r="AL2424" s="2" t="s">
        <v>231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231</v>
      </c>
      <c r="AW2424" s="8" t="s">
        <v>231</v>
      </c>
      <c r="AX2424" s="4" t="s">
        <v>231</v>
      </c>
      <c r="AY2424" s="8" t="s">
        <v>231</v>
      </c>
      <c r="AZ2424" s="7" t="s">
        <v>231</v>
      </c>
      <c r="BA2424" s="7" t="s">
        <v>231</v>
      </c>
      <c r="BB2424" s="7" t="s">
        <v>231</v>
      </c>
      <c r="BC2424" s="4" t="s">
        <v>231</v>
      </c>
      <c r="BD2424" s="8" t="s">
        <v>231</v>
      </c>
      <c r="BE2424" s="4" t="s">
        <v>231</v>
      </c>
      <c r="BF2424" s="8" t="s">
        <v>231</v>
      </c>
      <c r="BG2424" s="7" t="s">
        <v>231</v>
      </c>
      <c r="BH2424" s="7" t="s">
        <v>231</v>
      </c>
      <c r="BI2424" s="7"/>
      <c r="BJ2424" s="4"/>
      <c r="BK2424" s="8"/>
      <c r="BL2424" s="2" t="s">
        <v>231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241</v>
      </c>
      <c r="BV2424" s="2" t="s">
        <v>231</v>
      </c>
      <c r="BW2424" s="2" t="s">
        <v>231</v>
      </c>
      <c r="BX2424" s="2" t="s">
        <v>2109</v>
      </c>
      <c r="BY2424" s="2" t="s">
        <v>242</v>
      </c>
      <c r="BZ2424" s="2" t="s">
        <v>243</v>
      </c>
      <c r="CA2424" s="2" t="s">
        <v>231</v>
      </c>
      <c r="CB2424" s="2" t="s">
        <v>231</v>
      </c>
      <c r="CC2424" s="2" t="s">
        <v>244</v>
      </c>
      <c r="CD2424" s="2" t="s">
        <v>231</v>
      </c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>
        <v>124</v>
      </c>
      <c r="EO2424" s="4"/>
      <c r="EP2424" s="4"/>
      <c r="EQ2424" s="4"/>
      <c r="ER2424" s="4"/>
      <c r="ES2424" s="4"/>
      <c r="ET2424" s="4"/>
      <c r="EU2424" s="4"/>
      <c r="EV2424" s="4"/>
      <c r="EW2424" s="4">
        <v>68</v>
      </c>
      <c r="EX2424" s="4"/>
      <c r="EY2424" s="4"/>
      <c r="EZ2424" s="4"/>
      <c r="FA2424" s="4">
        <v>60</v>
      </c>
      <c r="FB2424" s="4"/>
      <c r="FC2424" s="4"/>
      <c r="FD2424" s="4"/>
      <c r="FE2424" s="4"/>
      <c r="FF2424" s="4"/>
      <c r="FG2424" s="4"/>
      <c r="FH2424" s="4"/>
      <c r="FI2424" s="4">
        <v>68</v>
      </c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4"/>
      <c r="HH2424" s="4"/>
      <c r="HI2424" s="4"/>
      <c r="HJ2424" s="4"/>
      <c r="HK2424" s="4"/>
      <c r="HL2424" s="4"/>
    </row>
    <row r="2425">
      <c r="A2425" s="2" t="s">
        <v>10493</v>
      </c>
      <c r="B2425" s="2" t="s">
        <v>1186</v>
      </c>
      <c r="C2425" s="2" t="s">
        <v>1017</v>
      </c>
      <c r="D2425" s="2" t="s">
        <v>654</v>
      </c>
      <c r="E2425" s="2" t="s">
        <v>890</v>
      </c>
      <c r="F2425" s="2" t="s">
        <v>10479</v>
      </c>
      <c r="G2425" s="2" t="s">
        <v>10480</v>
      </c>
      <c r="H2425" s="2" t="s">
        <v>10481</v>
      </c>
      <c r="I2425" s="2" t="s">
        <v>10482</v>
      </c>
      <c r="J2425" s="2" t="s">
        <v>293</v>
      </c>
      <c r="K2425" s="2" t="s">
        <v>10490</v>
      </c>
      <c r="L2425" s="3">
        <v>26.19</v>
      </c>
      <c r="M2425" s="3">
        <v>27.5</v>
      </c>
      <c r="N2425" s="3">
        <v>54.99</v>
      </c>
      <c r="O2425" s="2" t="s">
        <v>243</v>
      </c>
      <c r="P2425" s="2" t="s">
        <v>295</v>
      </c>
      <c r="Q2425" s="2" t="s">
        <v>237</v>
      </c>
      <c r="R2425" s="2" t="s">
        <v>231</v>
      </c>
      <c r="S2425" s="2" t="s">
        <v>10491</v>
      </c>
      <c r="T2425" s="2" t="s">
        <v>472</v>
      </c>
      <c r="U2425" s="2" t="s">
        <v>835</v>
      </c>
      <c r="V2425" s="2" t="s">
        <v>239</v>
      </c>
      <c r="W2425" s="2" t="s">
        <v>273</v>
      </c>
      <c r="X2425" s="2" t="s">
        <v>691</v>
      </c>
      <c r="Y2425" s="2" t="s">
        <v>231</v>
      </c>
      <c r="Z2425" s="4"/>
      <c r="AA2425" s="4">
        <f>=ROUNDDOWN({0},0)</f>
      </c>
      <c r="AB2425" s="5"/>
      <c r="AC2425" s="2" t="s">
        <v>309</v>
      </c>
      <c r="AD2425" s="4">
        <v>936</v>
      </c>
      <c r="AE2425" s="4">
        <v>2355</v>
      </c>
      <c r="AF2425" s="6"/>
      <c r="AG2425" s="6"/>
      <c r="AH2425" s="7">
        <v>0</v>
      </c>
      <c r="AI2425" s="4"/>
      <c r="AJ2425" s="4">
        <f>=ROUNDDOWN({0},0)</f>
      </c>
      <c r="AK2425" s="5"/>
      <c r="AL2425" s="2" t="s">
        <v>231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231</v>
      </c>
      <c r="AW2425" s="8" t="s">
        <v>231</v>
      </c>
      <c r="AX2425" s="4" t="s">
        <v>231</v>
      </c>
      <c r="AY2425" s="8" t="s">
        <v>231</v>
      </c>
      <c r="AZ2425" s="7" t="s">
        <v>231</v>
      </c>
      <c r="BA2425" s="7" t="s">
        <v>231</v>
      </c>
      <c r="BB2425" s="7" t="s">
        <v>231</v>
      </c>
      <c r="BC2425" s="4" t="s">
        <v>231</v>
      </c>
      <c r="BD2425" s="8" t="s">
        <v>231</v>
      </c>
      <c r="BE2425" s="4" t="s">
        <v>231</v>
      </c>
      <c r="BF2425" s="8" t="s">
        <v>231</v>
      </c>
      <c r="BG2425" s="7" t="s">
        <v>231</v>
      </c>
      <c r="BH2425" s="7" t="s">
        <v>231</v>
      </c>
      <c r="BI2425" s="7"/>
      <c r="BJ2425" s="4"/>
      <c r="BK2425" s="8"/>
      <c r="BL2425" s="2" t="s">
        <v>231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241</v>
      </c>
      <c r="BV2425" s="2" t="s">
        <v>231</v>
      </c>
      <c r="BW2425" s="2" t="s">
        <v>231</v>
      </c>
      <c r="BX2425" s="2" t="s">
        <v>2109</v>
      </c>
      <c r="BY2425" s="2" t="s">
        <v>242</v>
      </c>
      <c r="BZ2425" s="2" t="s">
        <v>243</v>
      </c>
      <c r="CA2425" s="2" t="s">
        <v>231</v>
      </c>
      <c r="CB2425" s="2" t="s">
        <v>231</v>
      </c>
      <c r="CC2425" s="2" t="s">
        <v>244</v>
      </c>
      <c r="CD2425" s="2" t="s">
        <v>231</v>
      </c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>
        <v>936</v>
      </c>
      <c r="EO2425" s="4"/>
      <c r="EP2425" s="4"/>
      <c r="EQ2425" s="4"/>
      <c r="ER2425" s="4"/>
      <c r="ES2425" s="4"/>
      <c r="ET2425" s="4"/>
      <c r="EU2425" s="4"/>
      <c r="EV2425" s="4"/>
      <c r="EW2425" s="4">
        <v>486</v>
      </c>
      <c r="EX2425" s="4"/>
      <c r="EY2425" s="4"/>
      <c r="EZ2425" s="4"/>
      <c r="FA2425" s="4">
        <v>474</v>
      </c>
      <c r="FB2425" s="4"/>
      <c r="FC2425" s="4"/>
      <c r="FD2425" s="4"/>
      <c r="FE2425" s="4"/>
      <c r="FF2425" s="4"/>
      <c r="FG2425" s="4"/>
      <c r="FH2425" s="4"/>
      <c r="FI2425" s="4">
        <v>459</v>
      </c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4"/>
      <c r="HH2425" s="4"/>
      <c r="HI2425" s="4"/>
      <c r="HJ2425" s="4"/>
      <c r="HK2425" s="4"/>
      <c r="HL2425" s="4"/>
    </row>
    <row r="2426">
      <c r="A2426" s="2" t="s">
        <v>10494</v>
      </c>
      <c r="B2426" s="2" t="s">
        <v>1186</v>
      </c>
      <c r="C2426" s="2" t="s">
        <v>1017</v>
      </c>
      <c r="D2426" s="2" t="s">
        <v>826</v>
      </c>
      <c r="E2426" s="2" t="s">
        <v>1060</v>
      </c>
      <c r="F2426" s="2" t="s">
        <v>10479</v>
      </c>
      <c r="G2426" s="2" t="s">
        <v>10480</v>
      </c>
      <c r="H2426" s="2" t="s">
        <v>10481</v>
      </c>
      <c r="I2426" s="2" t="s">
        <v>10486</v>
      </c>
      <c r="J2426" s="2" t="s">
        <v>293</v>
      </c>
      <c r="K2426" s="2" t="s">
        <v>10490</v>
      </c>
      <c r="L2426" s="3">
        <v>20.23</v>
      </c>
      <c r="M2426" s="3">
        <v>21.24</v>
      </c>
      <c r="N2426" s="3">
        <v>42.49</v>
      </c>
      <c r="O2426" s="2" t="s">
        <v>243</v>
      </c>
      <c r="P2426" s="2" t="s">
        <v>295</v>
      </c>
      <c r="Q2426" s="2" t="s">
        <v>237</v>
      </c>
      <c r="R2426" s="2" t="s">
        <v>231</v>
      </c>
      <c r="S2426" s="2" t="s">
        <v>10491</v>
      </c>
      <c r="T2426" s="2" t="s">
        <v>472</v>
      </c>
      <c r="U2426" s="2" t="s">
        <v>835</v>
      </c>
      <c r="V2426" s="2" t="s">
        <v>239</v>
      </c>
      <c r="W2426" s="2" t="s">
        <v>273</v>
      </c>
      <c r="X2426" s="2" t="s">
        <v>691</v>
      </c>
      <c r="Y2426" s="2" t="s">
        <v>231</v>
      </c>
      <c r="Z2426" s="4"/>
      <c r="AA2426" s="4">
        <f>=ROUNDDOWN({0},0)</f>
      </c>
      <c r="AB2426" s="5"/>
      <c r="AC2426" s="2" t="s">
        <v>309</v>
      </c>
      <c r="AD2426" s="4">
        <v>476</v>
      </c>
      <c r="AE2426" s="4">
        <v>1264</v>
      </c>
      <c r="AF2426" s="6"/>
      <c r="AG2426" s="6"/>
      <c r="AH2426" s="7">
        <v>0</v>
      </c>
      <c r="AI2426" s="4"/>
      <c r="AJ2426" s="4">
        <f>=ROUNDDOWN({0},0)</f>
      </c>
      <c r="AK2426" s="5"/>
      <c r="AL2426" s="2" t="s">
        <v>231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231</v>
      </c>
      <c r="AW2426" s="8" t="s">
        <v>231</v>
      </c>
      <c r="AX2426" s="4" t="s">
        <v>231</v>
      </c>
      <c r="AY2426" s="8" t="s">
        <v>231</v>
      </c>
      <c r="AZ2426" s="7" t="s">
        <v>231</v>
      </c>
      <c r="BA2426" s="7" t="s">
        <v>231</v>
      </c>
      <c r="BB2426" s="7" t="s">
        <v>231</v>
      </c>
      <c r="BC2426" s="4" t="s">
        <v>231</v>
      </c>
      <c r="BD2426" s="8" t="s">
        <v>231</v>
      </c>
      <c r="BE2426" s="4" t="s">
        <v>231</v>
      </c>
      <c r="BF2426" s="8" t="s">
        <v>231</v>
      </c>
      <c r="BG2426" s="7" t="s">
        <v>231</v>
      </c>
      <c r="BH2426" s="7" t="s">
        <v>231</v>
      </c>
      <c r="BI2426" s="7"/>
      <c r="BJ2426" s="4"/>
      <c r="BK2426" s="8"/>
      <c r="BL2426" s="2" t="s">
        <v>231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241</v>
      </c>
      <c r="BV2426" s="2" t="s">
        <v>231</v>
      </c>
      <c r="BW2426" s="2" t="s">
        <v>231</v>
      </c>
      <c r="BX2426" s="2" t="s">
        <v>2109</v>
      </c>
      <c r="BY2426" s="2" t="s">
        <v>242</v>
      </c>
      <c r="BZ2426" s="2" t="s">
        <v>243</v>
      </c>
      <c r="CA2426" s="2" t="s">
        <v>231</v>
      </c>
      <c r="CB2426" s="2" t="s">
        <v>231</v>
      </c>
      <c r="CC2426" s="2" t="s">
        <v>244</v>
      </c>
      <c r="CD2426" s="2" t="s">
        <v>231</v>
      </c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>
        <v>476</v>
      </c>
      <c r="EO2426" s="4"/>
      <c r="EP2426" s="4"/>
      <c r="EQ2426" s="4"/>
      <c r="ER2426" s="4"/>
      <c r="ES2426" s="4"/>
      <c r="ET2426" s="4"/>
      <c r="EU2426" s="4"/>
      <c r="EV2426" s="4"/>
      <c r="EW2426" s="4">
        <v>260</v>
      </c>
      <c r="EX2426" s="4"/>
      <c r="EY2426" s="4"/>
      <c r="EZ2426" s="4"/>
      <c r="FA2426" s="4">
        <v>260</v>
      </c>
      <c r="FB2426" s="4"/>
      <c r="FC2426" s="4"/>
      <c r="FD2426" s="4"/>
      <c r="FE2426" s="4"/>
      <c r="FF2426" s="4"/>
      <c r="FG2426" s="4"/>
      <c r="FH2426" s="4"/>
      <c r="FI2426" s="4">
        <v>268</v>
      </c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  <c r="HG2426" s="4"/>
      <c r="HH2426" s="4"/>
      <c r="HI2426" s="4"/>
      <c r="HJ2426" s="4"/>
      <c r="HK2426" s="4"/>
      <c r="HL2426" s="4"/>
    </row>
    <row r="2427">
      <c r="A2427" s="2" t="s">
        <v>10495</v>
      </c>
      <c r="B2427" s="2" t="s">
        <v>1186</v>
      </c>
      <c r="C2427" s="2" t="s">
        <v>1017</v>
      </c>
      <c r="D2427" s="2" t="s">
        <v>654</v>
      </c>
      <c r="E2427" s="2" t="s">
        <v>890</v>
      </c>
      <c r="F2427" s="2" t="s">
        <v>10479</v>
      </c>
      <c r="G2427" s="2" t="s">
        <v>10480</v>
      </c>
      <c r="H2427" s="2" t="s">
        <v>10481</v>
      </c>
      <c r="I2427" s="2" t="s">
        <v>10482</v>
      </c>
      <c r="J2427" s="2" t="s">
        <v>302</v>
      </c>
      <c r="K2427" s="2" t="s">
        <v>10490</v>
      </c>
      <c r="L2427" s="3">
        <v>28.57</v>
      </c>
      <c r="M2427" s="3">
        <v>30</v>
      </c>
      <c r="N2427" s="3">
        <v>59.99</v>
      </c>
      <c r="O2427" s="2" t="s">
        <v>243</v>
      </c>
      <c r="P2427" s="2" t="s">
        <v>295</v>
      </c>
      <c r="Q2427" s="2" t="s">
        <v>237</v>
      </c>
      <c r="R2427" s="2" t="s">
        <v>231</v>
      </c>
      <c r="S2427" s="2" t="s">
        <v>10491</v>
      </c>
      <c r="T2427" s="2" t="s">
        <v>472</v>
      </c>
      <c r="U2427" s="2" t="s">
        <v>835</v>
      </c>
      <c r="V2427" s="2" t="s">
        <v>239</v>
      </c>
      <c r="W2427" s="2" t="s">
        <v>273</v>
      </c>
      <c r="X2427" s="2" t="s">
        <v>691</v>
      </c>
      <c r="Y2427" s="2" t="s">
        <v>231</v>
      </c>
      <c r="Z2427" s="4"/>
      <c r="AA2427" s="4">
        <f>=ROUNDDOWN({0},0)</f>
      </c>
      <c r="AB2427" s="5"/>
      <c r="AC2427" s="2" t="s">
        <v>309</v>
      </c>
      <c r="AD2427" s="4">
        <v>963</v>
      </c>
      <c r="AE2427" s="4">
        <v>2412</v>
      </c>
      <c r="AF2427" s="6"/>
      <c r="AG2427" s="6"/>
      <c r="AH2427" s="7">
        <v>0</v>
      </c>
      <c r="AI2427" s="4"/>
      <c r="AJ2427" s="4">
        <f>=ROUNDDOWN({0},0)</f>
      </c>
      <c r="AK2427" s="5"/>
      <c r="AL2427" s="2" t="s">
        <v>231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231</v>
      </c>
      <c r="AW2427" s="8" t="s">
        <v>231</v>
      </c>
      <c r="AX2427" s="4" t="s">
        <v>231</v>
      </c>
      <c r="AY2427" s="8" t="s">
        <v>231</v>
      </c>
      <c r="AZ2427" s="7" t="s">
        <v>231</v>
      </c>
      <c r="BA2427" s="7" t="s">
        <v>231</v>
      </c>
      <c r="BB2427" s="7" t="s">
        <v>231</v>
      </c>
      <c r="BC2427" s="4" t="s">
        <v>231</v>
      </c>
      <c r="BD2427" s="8" t="s">
        <v>231</v>
      </c>
      <c r="BE2427" s="4" t="s">
        <v>231</v>
      </c>
      <c r="BF2427" s="8" t="s">
        <v>231</v>
      </c>
      <c r="BG2427" s="7" t="s">
        <v>231</v>
      </c>
      <c r="BH2427" s="7" t="s">
        <v>231</v>
      </c>
      <c r="BI2427" s="7"/>
      <c r="BJ2427" s="4"/>
      <c r="BK2427" s="8"/>
      <c r="BL2427" s="2" t="s">
        <v>231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241</v>
      </c>
      <c r="BV2427" s="2" t="s">
        <v>231</v>
      </c>
      <c r="BW2427" s="2" t="s">
        <v>231</v>
      </c>
      <c r="BX2427" s="2" t="s">
        <v>2109</v>
      </c>
      <c r="BY2427" s="2" t="s">
        <v>242</v>
      </c>
      <c r="BZ2427" s="2" t="s">
        <v>243</v>
      </c>
      <c r="CA2427" s="2" t="s">
        <v>231</v>
      </c>
      <c r="CB2427" s="2" t="s">
        <v>231</v>
      </c>
      <c r="CC2427" s="2" t="s">
        <v>244</v>
      </c>
      <c r="CD2427" s="2" t="s">
        <v>231</v>
      </c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>
        <v>963</v>
      </c>
      <c r="EO2427" s="4"/>
      <c r="EP2427" s="4"/>
      <c r="EQ2427" s="4"/>
      <c r="ER2427" s="4"/>
      <c r="ES2427" s="4"/>
      <c r="ET2427" s="4"/>
      <c r="EU2427" s="4"/>
      <c r="EV2427" s="4"/>
      <c r="EW2427" s="4">
        <v>435</v>
      </c>
      <c r="EX2427" s="4"/>
      <c r="EY2427" s="4"/>
      <c r="EZ2427" s="4"/>
      <c r="FA2427" s="4">
        <v>531</v>
      </c>
      <c r="FB2427" s="4"/>
      <c r="FC2427" s="4"/>
      <c r="FD2427" s="4"/>
      <c r="FE2427" s="4"/>
      <c r="FF2427" s="4"/>
      <c r="FG2427" s="4"/>
      <c r="FH2427" s="4"/>
      <c r="FI2427" s="4">
        <v>483</v>
      </c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4"/>
      <c r="HH2427" s="4"/>
      <c r="HI2427" s="4"/>
      <c r="HJ2427" s="4"/>
      <c r="HK2427" s="4"/>
      <c r="HL2427" s="4"/>
    </row>
    <row r="2428">
      <c r="A2428" s="2" t="s">
        <v>10496</v>
      </c>
      <c r="B2428" s="2" t="s">
        <v>1186</v>
      </c>
      <c r="C2428" s="2" t="s">
        <v>1017</v>
      </c>
      <c r="D2428" s="2" t="s">
        <v>826</v>
      </c>
      <c r="E2428" s="2" t="s">
        <v>1060</v>
      </c>
      <c r="F2428" s="2" t="s">
        <v>10479</v>
      </c>
      <c r="G2428" s="2" t="s">
        <v>10480</v>
      </c>
      <c r="H2428" s="2" t="s">
        <v>10481</v>
      </c>
      <c r="I2428" s="2" t="s">
        <v>10486</v>
      </c>
      <c r="J2428" s="2" t="s">
        <v>302</v>
      </c>
      <c r="K2428" s="2" t="s">
        <v>10490</v>
      </c>
      <c r="L2428" s="3">
        <v>22.61</v>
      </c>
      <c r="M2428" s="3">
        <v>23.74</v>
      </c>
      <c r="N2428" s="3">
        <v>47.49</v>
      </c>
      <c r="O2428" s="2" t="s">
        <v>243</v>
      </c>
      <c r="P2428" s="2" t="s">
        <v>295</v>
      </c>
      <c r="Q2428" s="2" t="s">
        <v>237</v>
      </c>
      <c r="R2428" s="2" t="s">
        <v>231</v>
      </c>
      <c r="S2428" s="2" t="s">
        <v>10491</v>
      </c>
      <c r="T2428" s="2" t="s">
        <v>472</v>
      </c>
      <c r="U2428" s="2" t="s">
        <v>835</v>
      </c>
      <c r="V2428" s="2" t="s">
        <v>239</v>
      </c>
      <c r="W2428" s="2" t="s">
        <v>273</v>
      </c>
      <c r="X2428" s="2" t="s">
        <v>691</v>
      </c>
      <c r="Y2428" s="2" t="s">
        <v>231</v>
      </c>
      <c r="Z2428" s="4"/>
      <c r="AA2428" s="4">
        <f>=ROUNDDOWN({0},0)</f>
      </c>
      <c r="AB2428" s="5"/>
      <c r="AC2428" s="2" t="s">
        <v>309</v>
      </c>
      <c r="AD2428" s="4">
        <v>384</v>
      </c>
      <c r="AE2428" s="4">
        <v>972</v>
      </c>
      <c r="AF2428" s="6"/>
      <c r="AG2428" s="6"/>
      <c r="AH2428" s="7">
        <v>0</v>
      </c>
      <c r="AI2428" s="4"/>
      <c r="AJ2428" s="4">
        <f>=ROUNDDOWN({0},0)</f>
      </c>
      <c r="AK2428" s="5"/>
      <c r="AL2428" s="2" t="s">
        <v>231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231</v>
      </c>
      <c r="AW2428" s="8" t="s">
        <v>231</v>
      </c>
      <c r="AX2428" s="4" t="s">
        <v>231</v>
      </c>
      <c r="AY2428" s="8" t="s">
        <v>231</v>
      </c>
      <c r="AZ2428" s="7" t="s">
        <v>231</v>
      </c>
      <c r="BA2428" s="7" t="s">
        <v>231</v>
      </c>
      <c r="BB2428" s="7" t="s">
        <v>231</v>
      </c>
      <c r="BC2428" s="4" t="s">
        <v>231</v>
      </c>
      <c r="BD2428" s="8" t="s">
        <v>231</v>
      </c>
      <c r="BE2428" s="4" t="s">
        <v>231</v>
      </c>
      <c r="BF2428" s="8" t="s">
        <v>231</v>
      </c>
      <c r="BG2428" s="7" t="s">
        <v>231</v>
      </c>
      <c r="BH2428" s="7" t="s">
        <v>231</v>
      </c>
      <c r="BI2428" s="7"/>
      <c r="BJ2428" s="4"/>
      <c r="BK2428" s="8"/>
      <c r="BL2428" s="2" t="s">
        <v>231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241</v>
      </c>
      <c r="BV2428" s="2" t="s">
        <v>231</v>
      </c>
      <c r="BW2428" s="2" t="s">
        <v>231</v>
      </c>
      <c r="BX2428" s="2" t="s">
        <v>2109</v>
      </c>
      <c r="BY2428" s="2" t="s">
        <v>242</v>
      </c>
      <c r="BZ2428" s="2" t="s">
        <v>243</v>
      </c>
      <c r="CA2428" s="2" t="s">
        <v>231</v>
      </c>
      <c r="CB2428" s="2" t="s">
        <v>231</v>
      </c>
      <c r="CC2428" s="2" t="s">
        <v>244</v>
      </c>
      <c r="CD2428" s="2" t="s">
        <v>231</v>
      </c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>
        <v>384</v>
      </c>
      <c r="EO2428" s="4"/>
      <c r="EP2428" s="4"/>
      <c r="EQ2428" s="4"/>
      <c r="ER2428" s="4"/>
      <c r="ES2428" s="4"/>
      <c r="ET2428" s="4"/>
      <c r="EU2428" s="4"/>
      <c r="EV2428" s="4"/>
      <c r="EW2428" s="4">
        <v>212</v>
      </c>
      <c r="EX2428" s="4"/>
      <c r="EY2428" s="4"/>
      <c r="EZ2428" s="4"/>
      <c r="FA2428" s="4">
        <v>188</v>
      </c>
      <c r="FB2428" s="4"/>
      <c r="FC2428" s="4"/>
      <c r="FD2428" s="4"/>
      <c r="FE2428" s="4"/>
      <c r="FF2428" s="4"/>
      <c r="FG2428" s="4"/>
      <c r="FH2428" s="4"/>
      <c r="FI2428" s="4">
        <v>188</v>
      </c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  <c r="HG2428" s="4"/>
      <c r="HH2428" s="4"/>
      <c r="HI2428" s="4"/>
      <c r="HJ2428" s="4"/>
      <c r="HK2428" s="4"/>
      <c r="HL2428" s="4"/>
    </row>
    <row r="2429">
      <c r="A2429" s="2" t="s">
        <v>10497</v>
      </c>
      <c r="B2429" s="2" t="s">
        <v>1186</v>
      </c>
      <c r="C2429" s="2" t="s">
        <v>1017</v>
      </c>
      <c r="D2429" s="2" t="s">
        <v>826</v>
      </c>
      <c r="E2429" s="2" t="s">
        <v>1060</v>
      </c>
      <c r="F2429" s="2" t="s">
        <v>10479</v>
      </c>
      <c r="G2429" s="2" t="s">
        <v>10480</v>
      </c>
      <c r="H2429" s="2" t="s">
        <v>10481</v>
      </c>
      <c r="I2429" s="2" t="s">
        <v>10486</v>
      </c>
      <c r="J2429" s="2" t="s">
        <v>832</v>
      </c>
      <c r="K2429" s="2" t="s">
        <v>253</v>
      </c>
      <c r="L2429" s="3">
        <v>15.47</v>
      </c>
      <c r="M2429" s="3">
        <v>16.24</v>
      </c>
      <c r="N2429" s="3">
        <v>32.49</v>
      </c>
      <c r="O2429" s="2" t="s">
        <v>243</v>
      </c>
      <c r="P2429" s="2" t="s">
        <v>270</v>
      </c>
      <c r="Q2429" s="2" t="s">
        <v>237</v>
      </c>
      <c r="R2429" s="2" t="s">
        <v>231</v>
      </c>
      <c r="S2429" s="2" t="s">
        <v>10498</v>
      </c>
      <c r="T2429" s="2" t="s">
        <v>472</v>
      </c>
      <c r="U2429" s="2" t="s">
        <v>791</v>
      </c>
      <c r="V2429" s="2" t="s">
        <v>239</v>
      </c>
      <c r="W2429" s="2" t="s">
        <v>273</v>
      </c>
      <c r="X2429" s="2" t="s">
        <v>691</v>
      </c>
      <c r="Y2429" s="2" t="s">
        <v>7493</v>
      </c>
      <c r="Z2429" s="4">
        <v>377</v>
      </c>
      <c r="AA2429" s="4">
        <f>=ROUNDDOWN(29,0)</f>
      </c>
      <c r="AB2429" s="5">
        <v>13</v>
      </c>
      <c r="AC2429" s="2" t="s">
        <v>3548</v>
      </c>
      <c r="AD2429" s="4">
        <v>152</v>
      </c>
      <c r="AE2429" s="4">
        <v>152</v>
      </c>
      <c r="AF2429" s="6">
        <v>63</v>
      </c>
      <c r="AG2429" s="6">
        <v>46</v>
      </c>
      <c r="AH2429" s="7">
        <v>1</v>
      </c>
      <c r="AI2429" s="4"/>
      <c r="AJ2429" s="4">
        <f>=ROUNDDOWN({0},0)</f>
      </c>
      <c r="AK2429" s="5"/>
      <c r="AL2429" s="2" t="s">
        <v>231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231</v>
      </c>
      <c r="BD2429" s="8" t="s">
        <v>231</v>
      </c>
      <c r="BE2429" s="4" t="s">
        <v>231</v>
      </c>
      <c r="BF2429" s="8" t="s">
        <v>231</v>
      </c>
      <c r="BG2429" s="7" t="s">
        <v>231</v>
      </c>
      <c r="BH2429" s="7" t="s">
        <v>231</v>
      </c>
      <c r="BI2429" s="7"/>
      <c r="BJ2429" s="4">
        <v>45</v>
      </c>
      <c r="BK2429" s="8">
        <v>757.37</v>
      </c>
      <c r="BL2429" s="2" t="s">
        <v>4084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10499</v>
      </c>
      <c r="BV2429" s="2" t="s">
        <v>231</v>
      </c>
      <c r="BW2429" s="2" t="s">
        <v>231</v>
      </c>
      <c r="BX2429" s="2" t="s">
        <v>2109</v>
      </c>
      <c r="BY2429" s="2" t="s">
        <v>277</v>
      </c>
      <c r="BZ2429" s="2" t="s">
        <v>243</v>
      </c>
      <c r="CA2429" s="2" t="s">
        <v>930</v>
      </c>
      <c r="CB2429" s="2" t="s">
        <v>6600</v>
      </c>
      <c r="CC2429" s="2" t="s">
        <v>244</v>
      </c>
      <c r="CD2429" s="2" t="s">
        <v>231</v>
      </c>
      <c r="CE2429" s="4">
        <v>235</v>
      </c>
      <c r="CF2429" s="4"/>
      <c r="CG2429" s="4"/>
      <c r="CH2429" s="4"/>
      <c r="CI2429" s="4">
        <v>142</v>
      </c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>
        <v>152</v>
      </c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/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/>
      <c r="HD2429" s="4"/>
      <c r="HE2429" s="4"/>
      <c r="HF2429" s="4"/>
      <c r="HG2429" s="4"/>
      <c r="HH2429" s="4"/>
      <c r="HI2429" s="4"/>
      <c r="HJ2429" s="4"/>
      <c r="HK2429" s="4"/>
      <c r="HL2429" s="4"/>
    </row>
    <row r="2430">
      <c r="A2430" s="2" t="s">
        <v>10500</v>
      </c>
      <c r="B2430" s="2" t="s">
        <v>1186</v>
      </c>
      <c r="C2430" s="2" t="s">
        <v>1017</v>
      </c>
      <c r="D2430" s="2" t="s">
        <v>654</v>
      </c>
      <c r="E2430" s="2" t="s">
        <v>890</v>
      </c>
      <c r="F2430" s="2" t="s">
        <v>10479</v>
      </c>
      <c r="G2430" s="2" t="s">
        <v>10480</v>
      </c>
      <c r="H2430" s="2" t="s">
        <v>10481</v>
      </c>
      <c r="I2430" s="2" t="s">
        <v>10482</v>
      </c>
      <c r="J2430" s="2" t="s">
        <v>832</v>
      </c>
      <c r="K2430" s="2" t="s">
        <v>547</v>
      </c>
      <c r="L2430" s="3">
        <v>21.42</v>
      </c>
      <c r="M2430" s="3">
        <v>22.49</v>
      </c>
      <c r="N2430" s="3">
        <v>44.99</v>
      </c>
      <c r="O2430" s="2" t="s">
        <v>243</v>
      </c>
      <c r="P2430" s="2" t="s">
        <v>295</v>
      </c>
      <c r="Q2430" s="2" t="s">
        <v>237</v>
      </c>
      <c r="R2430" s="2" t="s">
        <v>231</v>
      </c>
      <c r="S2430" s="2" t="s">
        <v>10501</v>
      </c>
      <c r="T2430" s="2" t="s">
        <v>472</v>
      </c>
      <c r="U2430" s="2" t="s">
        <v>791</v>
      </c>
      <c r="V2430" s="2" t="s">
        <v>239</v>
      </c>
      <c r="W2430" s="2" t="s">
        <v>273</v>
      </c>
      <c r="X2430" s="2" t="s">
        <v>691</v>
      </c>
      <c r="Y2430" s="2" t="s">
        <v>231</v>
      </c>
      <c r="Z2430" s="4"/>
      <c r="AA2430" s="4">
        <f>=ROUNDDOWN({0},0)</f>
      </c>
      <c r="AB2430" s="5"/>
      <c r="AC2430" s="2" t="s">
        <v>309</v>
      </c>
      <c r="AD2430" s="4">
        <v>111</v>
      </c>
      <c r="AE2430" s="4">
        <v>405</v>
      </c>
      <c r="AF2430" s="6"/>
      <c r="AG2430" s="6"/>
      <c r="AH2430" s="7">
        <v>0</v>
      </c>
      <c r="AI2430" s="4"/>
      <c r="AJ2430" s="4">
        <f>=ROUNDDOWN({0},0)</f>
      </c>
      <c r="AK2430" s="5"/>
      <c r="AL2430" s="2" t="s">
        <v>231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231</v>
      </c>
      <c r="AW2430" s="8" t="s">
        <v>231</v>
      </c>
      <c r="AX2430" s="4" t="s">
        <v>231</v>
      </c>
      <c r="AY2430" s="8" t="s">
        <v>231</v>
      </c>
      <c r="AZ2430" s="7" t="s">
        <v>231</v>
      </c>
      <c r="BA2430" s="7" t="s">
        <v>231</v>
      </c>
      <c r="BB2430" s="7" t="s">
        <v>231</v>
      </c>
      <c r="BC2430" s="4" t="s">
        <v>231</v>
      </c>
      <c r="BD2430" s="8" t="s">
        <v>231</v>
      </c>
      <c r="BE2430" s="4" t="s">
        <v>231</v>
      </c>
      <c r="BF2430" s="8" t="s">
        <v>231</v>
      </c>
      <c r="BG2430" s="7" t="s">
        <v>231</v>
      </c>
      <c r="BH2430" s="7" t="s">
        <v>231</v>
      </c>
      <c r="BI2430" s="7"/>
      <c r="BJ2430" s="4"/>
      <c r="BK2430" s="8"/>
      <c r="BL2430" s="2" t="s">
        <v>231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241</v>
      </c>
      <c r="BV2430" s="2" t="s">
        <v>231</v>
      </c>
      <c r="BW2430" s="2" t="s">
        <v>231</v>
      </c>
      <c r="BX2430" s="2" t="s">
        <v>2109</v>
      </c>
      <c r="BY2430" s="2" t="s">
        <v>242</v>
      </c>
      <c r="BZ2430" s="2" t="s">
        <v>243</v>
      </c>
      <c r="CA2430" s="2" t="s">
        <v>231</v>
      </c>
      <c r="CB2430" s="2" t="s">
        <v>231</v>
      </c>
      <c r="CC2430" s="2" t="s">
        <v>244</v>
      </c>
      <c r="CD2430" s="2" t="s">
        <v>231</v>
      </c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>
        <v>111</v>
      </c>
      <c r="EO2430" s="4"/>
      <c r="EP2430" s="4"/>
      <c r="EQ2430" s="4"/>
      <c r="ER2430" s="4"/>
      <c r="ES2430" s="4"/>
      <c r="ET2430" s="4"/>
      <c r="EU2430" s="4"/>
      <c r="EV2430" s="4"/>
      <c r="EW2430" s="4">
        <v>96</v>
      </c>
      <c r="EX2430" s="4"/>
      <c r="EY2430" s="4"/>
      <c r="EZ2430" s="4"/>
      <c r="FA2430" s="4">
        <v>93</v>
      </c>
      <c r="FB2430" s="4"/>
      <c r="FC2430" s="4"/>
      <c r="FD2430" s="4"/>
      <c r="FE2430" s="4"/>
      <c r="FF2430" s="4"/>
      <c r="FG2430" s="4"/>
      <c r="FH2430" s="4"/>
      <c r="FI2430" s="4">
        <v>105</v>
      </c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  <c r="HG2430" s="4"/>
      <c r="HH2430" s="4"/>
      <c r="HI2430" s="4"/>
      <c r="HJ2430" s="4"/>
      <c r="HK2430" s="4"/>
      <c r="HL2430" s="4"/>
    </row>
    <row r="2431">
      <c r="A2431" s="2" t="s">
        <v>10502</v>
      </c>
      <c r="B2431" s="2" t="s">
        <v>1186</v>
      </c>
      <c r="C2431" s="2" t="s">
        <v>1017</v>
      </c>
      <c r="D2431" s="2" t="s">
        <v>826</v>
      </c>
      <c r="E2431" s="2" t="s">
        <v>1060</v>
      </c>
      <c r="F2431" s="2" t="s">
        <v>10479</v>
      </c>
      <c r="G2431" s="2" t="s">
        <v>10480</v>
      </c>
      <c r="H2431" s="2" t="s">
        <v>10481</v>
      </c>
      <c r="I2431" s="2" t="s">
        <v>10486</v>
      </c>
      <c r="J2431" s="2" t="s">
        <v>832</v>
      </c>
      <c r="K2431" s="2" t="s">
        <v>547</v>
      </c>
      <c r="L2431" s="3">
        <v>15.47</v>
      </c>
      <c r="M2431" s="3">
        <v>16.24</v>
      </c>
      <c r="N2431" s="3">
        <v>32.49</v>
      </c>
      <c r="O2431" s="2" t="s">
        <v>243</v>
      </c>
      <c r="P2431" s="2" t="s">
        <v>295</v>
      </c>
      <c r="Q2431" s="2" t="s">
        <v>237</v>
      </c>
      <c r="R2431" s="2" t="s">
        <v>231</v>
      </c>
      <c r="S2431" s="2" t="s">
        <v>10501</v>
      </c>
      <c r="T2431" s="2" t="s">
        <v>472</v>
      </c>
      <c r="U2431" s="2" t="s">
        <v>791</v>
      </c>
      <c r="V2431" s="2" t="s">
        <v>239</v>
      </c>
      <c r="W2431" s="2" t="s">
        <v>273</v>
      </c>
      <c r="X2431" s="2" t="s">
        <v>691</v>
      </c>
      <c r="Y2431" s="2" t="s">
        <v>231</v>
      </c>
      <c r="Z2431" s="4"/>
      <c r="AA2431" s="4">
        <f>=ROUNDDOWN({0},0)</f>
      </c>
      <c r="AB2431" s="5"/>
      <c r="AC2431" s="2" t="s">
        <v>309</v>
      </c>
      <c r="AD2431" s="4">
        <v>52</v>
      </c>
      <c r="AE2431" s="4">
        <v>196</v>
      </c>
      <c r="AF2431" s="6"/>
      <c r="AG2431" s="6"/>
      <c r="AH2431" s="7">
        <v>0</v>
      </c>
      <c r="AI2431" s="4"/>
      <c r="AJ2431" s="4">
        <f>=ROUNDDOWN({0},0)</f>
      </c>
      <c r="AK2431" s="5"/>
      <c r="AL2431" s="2" t="s">
        <v>231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231</v>
      </c>
      <c r="AW2431" s="8" t="s">
        <v>231</v>
      </c>
      <c r="AX2431" s="4" t="s">
        <v>231</v>
      </c>
      <c r="AY2431" s="8" t="s">
        <v>231</v>
      </c>
      <c r="AZ2431" s="7" t="s">
        <v>231</v>
      </c>
      <c r="BA2431" s="7" t="s">
        <v>231</v>
      </c>
      <c r="BB2431" s="7" t="s">
        <v>231</v>
      </c>
      <c r="BC2431" s="4" t="s">
        <v>231</v>
      </c>
      <c r="BD2431" s="8" t="s">
        <v>231</v>
      </c>
      <c r="BE2431" s="4" t="s">
        <v>231</v>
      </c>
      <c r="BF2431" s="8" t="s">
        <v>231</v>
      </c>
      <c r="BG2431" s="7" t="s">
        <v>231</v>
      </c>
      <c r="BH2431" s="7" t="s">
        <v>231</v>
      </c>
      <c r="BI2431" s="7"/>
      <c r="BJ2431" s="4"/>
      <c r="BK2431" s="8"/>
      <c r="BL2431" s="2" t="s">
        <v>231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241</v>
      </c>
      <c r="BV2431" s="2" t="s">
        <v>231</v>
      </c>
      <c r="BW2431" s="2" t="s">
        <v>231</v>
      </c>
      <c r="BX2431" s="2" t="s">
        <v>2109</v>
      </c>
      <c r="BY2431" s="2" t="s">
        <v>242</v>
      </c>
      <c r="BZ2431" s="2" t="s">
        <v>243</v>
      </c>
      <c r="CA2431" s="2" t="s">
        <v>231</v>
      </c>
      <c r="CB2431" s="2" t="s">
        <v>231</v>
      </c>
      <c r="CC2431" s="2" t="s">
        <v>244</v>
      </c>
      <c r="CD2431" s="2" t="s">
        <v>231</v>
      </c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>
        <v>52</v>
      </c>
      <c r="EO2431" s="4"/>
      <c r="EP2431" s="4"/>
      <c r="EQ2431" s="4"/>
      <c r="ER2431" s="4"/>
      <c r="ES2431" s="4"/>
      <c r="ET2431" s="4"/>
      <c r="EU2431" s="4"/>
      <c r="EV2431" s="4"/>
      <c r="EW2431" s="4">
        <v>44</v>
      </c>
      <c r="EX2431" s="4"/>
      <c r="EY2431" s="4"/>
      <c r="EZ2431" s="4"/>
      <c r="FA2431" s="4">
        <v>44</v>
      </c>
      <c r="FB2431" s="4"/>
      <c r="FC2431" s="4"/>
      <c r="FD2431" s="4"/>
      <c r="FE2431" s="4"/>
      <c r="FF2431" s="4"/>
      <c r="FG2431" s="4"/>
      <c r="FH2431" s="4"/>
      <c r="FI2431" s="4">
        <v>56</v>
      </c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/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  <c r="HG2431" s="4"/>
      <c r="HH2431" s="4"/>
      <c r="HI2431" s="4"/>
      <c r="HJ2431" s="4"/>
      <c r="HK2431" s="4"/>
      <c r="HL2431" s="4"/>
    </row>
    <row r="2432">
      <c r="A2432" s="2" t="s">
        <v>10503</v>
      </c>
      <c r="B2432" s="2" t="s">
        <v>1186</v>
      </c>
      <c r="C2432" s="2" t="s">
        <v>1017</v>
      </c>
      <c r="D2432" s="2" t="s">
        <v>654</v>
      </c>
      <c r="E2432" s="2" t="s">
        <v>890</v>
      </c>
      <c r="F2432" s="2" t="s">
        <v>10479</v>
      </c>
      <c r="G2432" s="2" t="s">
        <v>10480</v>
      </c>
      <c r="H2432" s="2" t="s">
        <v>10481</v>
      </c>
      <c r="I2432" s="2" t="s">
        <v>10482</v>
      </c>
      <c r="J2432" s="2" t="s">
        <v>293</v>
      </c>
      <c r="K2432" s="2" t="s">
        <v>547</v>
      </c>
      <c r="L2432" s="3">
        <v>26.19</v>
      </c>
      <c r="M2432" s="3">
        <v>27.5</v>
      </c>
      <c r="N2432" s="3">
        <v>54.99</v>
      </c>
      <c r="O2432" s="2" t="s">
        <v>243</v>
      </c>
      <c r="P2432" s="2" t="s">
        <v>295</v>
      </c>
      <c r="Q2432" s="2" t="s">
        <v>237</v>
      </c>
      <c r="R2432" s="2" t="s">
        <v>231</v>
      </c>
      <c r="S2432" s="2" t="s">
        <v>10501</v>
      </c>
      <c r="T2432" s="2" t="s">
        <v>472</v>
      </c>
      <c r="U2432" s="2" t="s">
        <v>835</v>
      </c>
      <c r="V2432" s="2" t="s">
        <v>239</v>
      </c>
      <c r="W2432" s="2" t="s">
        <v>273</v>
      </c>
      <c r="X2432" s="2" t="s">
        <v>691</v>
      </c>
      <c r="Y2432" s="2" t="s">
        <v>231</v>
      </c>
      <c r="Z2432" s="4"/>
      <c r="AA2432" s="4">
        <f>=ROUNDDOWN({0},0)</f>
      </c>
      <c r="AB2432" s="5"/>
      <c r="AC2432" s="2" t="s">
        <v>309</v>
      </c>
      <c r="AD2432" s="4">
        <v>462</v>
      </c>
      <c r="AE2432" s="4">
        <v>1644</v>
      </c>
      <c r="AF2432" s="6"/>
      <c r="AG2432" s="6"/>
      <c r="AH2432" s="7">
        <v>0</v>
      </c>
      <c r="AI2432" s="4"/>
      <c r="AJ2432" s="4">
        <f>=ROUNDDOWN({0},0)</f>
      </c>
      <c r="AK2432" s="5"/>
      <c r="AL2432" s="2" t="s">
        <v>231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231</v>
      </c>
      <c r="AW2432" s="8" t="s">
        <v>231</v>
      </c>
      <c r="AX2432" s="4" t="s">
        <v>231</v>
      </c>
      <c r="AY2432" s="8" t="s">
        <v>231</v>
      </c>
      <c r="AZ2432" s="7" t="s">
        <v>231</v>
      </c>
      <c r="BA2432" s="7" t="s">
        <v>231</v>
      </c>
      <c r="BB2432" s="7" t="s">
        <v>231</v>
      </c>
      <c r="BC2432" s="4" t="s">
        <v>231</v>
      </c>
      <c r="BD2432" s="8" t="s">
        <v>231</v>
      </c>
      <c r="BE2432" s="4" t="s">
        <v>231</v>
      </c>
      <c r="BF2432" s="8" t="s">
        <v>231</v>
      </c>
      <c r="BG2432" s="7" t="s">
        <v>231</v>
      </c>
      <c r="BH2432" s="7" t="s">
        <v>231</v>
      </c>
      <c r="BI2432" s="7"/>
      <c r="BJ2432" s="4"/>
      <c r="BK2432" s="8"/>
      <c r="BL2432" s="2" t="s">
        <v>231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241</v>
      </c>
      <c r="BV2432" s="2" t="s">
        <v>231</v>
      </c>
      <c r="BW2432" s="2" t="s">
        <v>231</v>
      </c>
      <c r="BX2432" s="2" t="s">
        <v>2109</v>
      </c>
      <c r="BY2432" s="2" t="s">
        <v>242</v>
      </c>
      <c r="BZ2432" s="2" t="s">
        <v>243</v>
      </c>
      <c r="CA2432" s="2" t="s">
        <v>231</v>
      </c>
      <c r="CB2432" s="2" t="s">
        <v>231</v>
      </c>
      <c r="CC2432" s="2" t="s">
        <v>244</v>
      </c>
      <c r="CD2432" s="2" t="s">
        <v>231</v>
      </c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>
        <v>462</v>
      </c>
      <c r="EO2432" s="4"/>
      <c r="EP2432" s="4"/>
      <c r="EQ2432" s="4"/>
      <c r="ER2432" s="4"/>
      <c r="ES2432" s="4"/>
      <c r="ET2432" s="4"/>
      <c r="EU2432" s="4"/>
      <c r="EV2432" s="4"/>
      <c r="EW2432" s="4">
        <v>372</v>
      </c>
      <c r="EX2432" s="4"/>
      <c r="EY2432" s="4"/>
      <c r="EZ2432" s="4"/>
      <c r="FA2432" s="4">
        <v>390</v>
      </c>
      <c r="FB2432" s="4"/>
      <c r="FC2432" s="4"/>
      <c r="FD2432" s="4"/>
      <c r="FE2432" s="4"/>
      <c r="FF2432" s="4"/>
      <c r="FG2432" s="4"/>
      <c r="FH2432" s="4"/>
      <c r="FI2432" s="4">
        <v>420</v>
      </c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  <c r="HF2432" s="4"/>
      <c r="HG2432" s="4"/>
      <c r="HH2432" s="4"/>
      <c r="HI2432" s="4"/>
      <c r="HJ2432" s="4"/>
      <c r="HK2432" s="4"/>
      <c r="HL2432" s="4"/>
    </row>
    <row r="2433">
      <c r="A2433" s="2" t="s">
        <v>10504</v>
      </c>
      <c r="B2433" s="2" t="s">
        <v>1186</v>
      </c>
      <c r="C2433" s="2" t="s">
        <v>1017</v>
      </c>
      <c r="D2433" s="2" t="s">
        <v>826</v>
      </c>
      <c r="E2433" s="2" t="s">
        <v>1060</v>
      </c>
      <c r="F2433" s="2" t="s">
        <v>10479</v>
      </c>
      <c r="G2433" s="2" t="s">
        <v>10480</v>
      </c>
      <c r="H2433" s="2" t="s">
        <v>10481</v>
      </c>
      <c r="I2433" s="2" t="s">
        <v>10486</v>
      </c>
      <c r="J2433" s="2" t="s">
        <v>293</v>
      </c>
      <c r="K2433" s="2" t="s">
        <v>547</v>
      </c>
      <c r="L2433" s="3">
        <v>20.23</v>
      </c>
      <c r="M2433" s="3">
        <v>21.24</v>
      </c>
      <c r="N2433" s="3">
        <v>42.49</v>
      </c>
      <c r="O2433" s="2" t="s">
        <v>243</v>
      </c>
      <c r="P2433" s="2" t="s">
        <v>295</v>
      </c>
      <c r="Q2433" s="2" t="s">
        <v>237</v>
      </c>
      <c r="R2433" s="2" t="s">
        <v>231</v>
      </c>
      <c r="S2433" s="2" t="s">
        <v>10501</v>
      </c>
      <c r="T2433" s="2" t="s">
        <v>472</v>
      </c>
      <c r="U2433" s="2" t="s">
        <v>835</v>
      </c>
      <c r="V2433" s="2" t="s">
        <v>239</v>
      </c>
      <c r="W2433" s="2" t="s">
        <v>273</v>
      </c>
      <c r="X2433" s="2" t="s">
        <v>691</v>
      </c>
      <c r="Y2433" s="2" t="s">
        <v>231</v>
      </c>
      <c r="Z2433" s="4"/>
      <c r="AA2433" s="4">
        <f>=ROUNDDOWN({0},0)</f>
      </c>
      <c r="AB2433" s="5"/>
      <c r="AC2433" s="2" t="s">
        <v>309</v>
      </c>
      <c r="AD2433" s="4">
        <v>156</v>
      </c>
      <c r="AE2433" s="4">
        <v>664</v>
      </c>
      <c r="AF2433" s="6"/>
      <c r="AG2433" s="6"/>
      <c r="AH2433" s="7">
        <v>0</v>
      </c>
      <c r="AI2433" s="4"/>
      <c r="AJ2433" s="4">
        <f>=ROUNDDOWN({0},0)</f>
      </c>
      <c r="AK2433" s="5"/>
      <c r="AL2433" s="2" t="s">
        <v>231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231</v>
      </c>
      <c r="AW2433" s="8" t="s">
        <v>231</v>
      </c>
      <c r="AX2433" s="4" t="s">
        <v>231</v>
      </c>
      <c r="AY2433" s="8" t="s">
        <v>231</v>
      </c>
      <c r="AZ2433" s="7" t="s">
        <v>231</v>
      </c>
      <c r="BA2433" s="7" t="s">
        <v>231</v>
      </c>
      <c r="BB2433" s="7" t="s">
        <v>231</v>
      </c>
      <c r="BC2433" s="4" t="s">
        <v>231</v>
      </c>
      <c r="BD2433" s="8" t="s">
        <v>231</v>
      </c>
      <c r="BE2433" s="4" t="s">
        <v>231</v>
      </c>
      <c r="BF2433" s="8" t="s">
        <v>231</v>
      </c>
      <c r="BG2433" s="7" t="s">
        <v>231</v>
      </c>
      <c r="BH2433" s="7" t="s">
        <v>231</v>
      </c>
      <c r="BI2433" s="7"/>
      <c r="BJ2433" s="4"/>
      <c r="BK2433" s="8"/>
      <c r="BL2433" s="2" t="s">
        <v>231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241</v>
      </c>
      <c r="BV2433" s="2" t="s">
        <v>231</v>
      </c>
      <c r="BW2433" s="2" t="s">
        <v>231</v>
      </c>
      <c r="BX2433" s="2" t="s">
        <v>2109</v>
      </c>
      <c r="BY2433" s="2" t="s">
        <v>242</v>
      </c>
      <c r="BZ2433" s="2" t="s">
        <v>243</v>
      </c>
      <c r="CA2433" s="2" t="s">
        <v>231</v>
      </c>
      <c r="CB2433" s="2" t="s">
        <v>231</v>
      </c>
      <c r="CC2433" s="2" t="s">
        <v>244</v>
      </c>
      <c r="CD2433" s="2" t="s">
        <v>231</v>
      </c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>
        <v>156</v>
      </c>
      <c r="EO2433" s="4"/>
      <c r="EP2433" s="4"/>
      <c r="EQ2433" s="4"/>
      <c r="ER2433" s="4"/>
      <c r="ES2433" s="4"/>
      <c r="ET2433" s="4"/>
      <c r="EU2433" s="4"/>
      <c r="EV2433" s="4"/>
      <c r="EW2433" s="4">
        <v>152</v>
      </c>
      <c r="EX2433" s="4"/>
      <c r="EY2433" s="4"/>
      <c r="EZ2433" s="4"/>
      <c r="FA2433" s="4">
        <v>164</v>
      </c>
      <c r="FB2433" s="4"/>
      <c r="FC2433" s="4"/>
      <c r="FD2433" s="4"/>
      <c r="FE2433" s="4"/>
      <c r="FF2433" s="4"/>
      <c r="FG2433" s="4"/>
      <c r="FH2433" s="4"/>
      <c r="FI2433" s="4">
        <v>192</v>
      </c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  <c r="HG2433" s="4"/>
      <c r="HH2433" s="4"/>
      <c r="HI2433" s="4"/>
      <c r="HJ2433" s="4"/>
      <c r="HK2433" s="4"/>
      <c r="HL2433" s="4"/>
    </row>
    <row r="2434">
      <c r="A2434" s="2" t="s">
        <v>10505</v>
      </c>
      <c r="B2434" s="2" t="s">
        <v>1186</v>
      </c>
      <c r="C2434" s="2" t="s">
        <v>1017</v>
      </c>
      <c r="D2434" s="2" t="s">
        <v>654</v>
      </c>
      <c r="E2434" s="2" t="s">
        <v>890</v>
      </c>
      <c r="F2434" s="2" t="s">
        <v>10479</v>
      </c>
      <c r="G2434" s="2" t="s">
        <v>10480</v>
      </c>
      <c r="H2434" s="2" t="s">
        <v>10481</v>
      </c>
      <c r="I2434" s="2" t="s">
        <v>10482</v>
      </c>
      <c r="J2434" s="2" t="s">
        <v>302</v>
      </c>
      <c r="K2434" s="2" t="s">
        <v>547</v>
      </c>
      <c r="L2434" s="3">
        <v>28.57</v>
      </c>
      <c r="M2434" s="3">
        <v>30</v>
      </c>
      <c r="N2434" s="3">
        <v>59.99</v>
      </c>
      <c r="O2434" s="2" t="s">
        <v>243</v>
      </c>
      <c r="P2434" s="2" t="s">
        <v>295</v>
      </c>
      <c r="Q2434" s="2" t="s">
        <v>237</v>
      </c>
      <c r="R2434" s="2" t="s">
        <v>231</v>
      </c>
      <c r="S2434" s="2" t="s">
        <v>10501</v>
      </c>
      <c r="T2434" s="2" t="s">
        <v>472</v>
      </c>
      <c r="U2434" s="2" t="s">
        <v>835</v>
      </c>
      <c r="V2434" s="2" t="s">
        <v>239</v>
      </c>
      <c r="W2434" s="2" t="s">
        <v>273</v>
      </c>
      <c r="X2434" s="2" t="s">
        <v>691</v>
      </c>
      <c r="Y2434" s="2" t="s">
        <v>231</v>
      </c>
      <c r="Z2434" s="4"/>
      <c r="AA2434" s="4">
        <f>=ROUNDDOWN({0},0)</f>
      </c>
      <c r="AB2434" s="5"/>
      <c r="AC2434" s="2" t="s">
        <v>309</v>
      </c>
      <c r="AD2434" s="4">
        <v>720</v>
      </c>
      <c r="AE2434" s="4">
        <v>2124</v>
      </c>
      <c r="AF2434" s="6"/>
      <c r="AG2434" s="6"/>
      <c r="AH2434" s="7">
        <v>0</v>
      </c>
      <c r="AI2434" s="4"/>
      <c r="AJ2434" s="4">
        <f>=ROUNDDOWN({0},0)</f>
      </c>
      <c r="AK2434" s="5"/>
      <c r="AL2434" s="2" t="s">
        <v>231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231</v>
      </c>
      <c r="AW2434" s="8" t="s">
        <v>231</v>
      </c>
      <c r="AX2434" s="4" t="s">
        <v>231</v>
      </c>
      <c r="AY2434" s="8" t="s">
        <v>231</v>
      </c>
      <c r="AZ2434" s="7" t="s">
        <v>231</v>
      </c>
      <c r="BA2434" s="7" t="s">
        <v>231</v>
      </c>
      <c r="BB2434" s="7" t="s">
        <v>231</v>
      </c>
      <c r="BC2434" s="4" t="s">
        <v>231</v>
      </c>
      <c r="BD2434" s="8" t="s">
        <v>231</v>
      </c>
      <c r="BE2434" s="4" t="s">
        <v>231</v>
      </c>
      <c r="BF2434" s="8" t="s">
        <v>231</v>
      </c>
      <c r="BG2434" s="7" t="s">
        <v>231</v>
      </c>
      <c r="BH2434" s="7" t="s">
        <v>231</v>
      </c>
      <c r="BI2434" s="7"/>
      <c r="BJ2434" s="4"/>
      <c r="BK2434" s="8"/>
      <c r="BL2434" s="2" t="s">
        <v>231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241</v>
      </c>
      <c r="BV2434" s="2" t="s">
        <v>231</v>
      </c>
      <c r="BW2434" s="2" t="s">
        <v>231</v>
      </c>
      <c r="BX2434" s="2" t="s">
        <v>2109</v>
      </c>
      <c r="BY2434" s="2" t="s">
        <v>242</v>
      </c>
      <c r="BZ2434" s="2" t="s">
        <v>243</v>
      </c>
      <c r="CA2434" s="2" t="s">
        <v>231</v>
      </c>
      <c r="CB2434" s="2" t="s">
        <v>231</v>
      </c>
      <c r="CC2434" s="2" t="s">
        <v>244</v>
      </c>
      <c r="CD2434" s="2" t="s">
        <v>231</v>
      </c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>
        <v>720</v>
      </c>
      <c r="EO2434" s="4"/>
      <c r="EP2434" s="4"/>
      <c r="EQ2434" s="4"/>
      <c r="ER2434" s="4"/>
      <c r="ES2434" s="4"/>
      <c r="ET2434" s="4"/>
      <c r="EU2434" s="4"/>
      <c r="EV2434" s="4"/>
      <c r="EW2434" s="4">
        <v>408</v>
      </c>
      <c r="EX2434" s="4"/>
      <c r="EY2434" s="4"/>
      <c r="EZ2434" s="4"/>
      <c r="FA2434" s="4">
        <v>501</v>
      </c>
      <c r="FB2434" s="4"/>
      <c r="FC2434" s="4"/>
      <c r="FD2434" s="4"/>
      <c r="FE2434" s="4"/>
      <c r="FF2434" s="4"/>
      <c r="FG2434" s="4"/>
      <c r="FH2434" s="4"/>
      <c r="FI2434" s="4">
        <v>495</v>
      </c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/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  <c r="HF2434" s="4"/>
      <c r="HG2434" s="4"/>
      <c r="HH2434" s="4"/>
      <c r="HI2434" s="4"/>
      <c r="HJ2434" s="4"/>
      <c r="HK2434" s="4"/>
      <c r="HL2434" s="4"/>
    </row>
    <row r="2435">
      <c r="A2435" s="2" t="s">
        <v>10506</v>
      </c>
      <c r="B2435" s="2" t="s">
        <v>1186</v>
      </c>
      <c r="C2435" s="2" t="s">
        <v>1017</v>
      </c>
      <c r="D2435" s="2" t="s">
        <v>826</v>
      </c>
      <c r="E2435" s="2" t="s">
        <v>1060</v>
      </c>
      <c r="F2435" s="2" t="s">
        <v>10479</v>
      </c>
      <c r="G2435" s="2" t="s">
        <v>10480</v>
      </c>
      <c r="H2435" s="2" t="s">
        <v>10481</v>
      </c>
      <c r="I2435" s="2" t="s">
        <v>10486</v>
      </c>
      <c r="J2435" s="2" t="s">
        <v>302</v>
      </c>
      <c r="K2435" s="2" t="s">
        <v>547</v>
      </c>
      <c r="L2435" s="3">
        <v>22.61</v>
      </c>
      <c r="M2435" s="3">
        <v>23.74</v>
      </c>
      <c r="N2435" s="3">
        <v>47.49</v>
      </c>
      <c r="O2435" s="2" t="s">
        <v>243</v>
      </c>
      <c r="P2435" s="2" t="s">
        <v>295</v>
      </c>
      <c r="Q2435" s="2" t="s">
        <v>237</v>
      </c>
      <c r="R2435" s="2" t="s">
        <v>231</v>
      </c>
      <c r="S2435" s="2" t="s">
        <v>10501</v>
      </c>
      <c r="T2435" s="2" t="s">
        <v>472</v>
      </c>
      <c r="U2435" s="2" t="s">
        <v>835</v>
      </c>
      <c r="V2435" s="2" t="s">
        <v>239</v>
      </c>
      <c r="W2435" s="2" t="s">
        <v>273</v>
      </c>
      <c r="X2435" s="2" t="s">
        <v>691</v>
      </c>
      <c r="Y2435" s="2" t="s">
        <v>231</v>
      </c>
      <c r="Z2435" s="4"/>
      <c r="AA2435" s="4">
        <f>=ROUNDDOWN({0},0)</f>
      </c>
      <c r="AB2435" s="5"/>
      <c r="AC2435" s="2" t="s">
        <v>309</v>
      </c>
      <c r="AD2435" s="4">
        <v>144</v>
      </c>
      <c r="AE2435" s="4">
        <v>532</v>
      </c>
      <c r="AF2435" s="6"/>
      <c r="AG2435" s="6"/>
      <c r="AH2435" s="7">
        <v>0</v>
      </c>
      <c r="AI2435" s="4"/>
      <c r="AJ2435" s="4">
        <f>=ROUNDDOWN({0},0)</f>
      </c>
      <c r="AK2435" s="5"/>
      <c r="AL2435" s="2" t="s">
        <v>231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231</v>
      </c>
      <c r="AW2435" s="8" t="s">
        <v>231</v>
      </c>
      <c r="AX2435" s="4" t="s">
        <v>231</v>
      </c>
      <c r="AY2435" s="8" t="s">
        <v>231</v>
      </c>
      <c r="AZ2435" s="7" t="s">
        <v>231</v>
      </c>
      <c r="BA2435" s="7" t="s">
        <v>231</v>
      </c>
      <c r="BB2435" s="7" t="s">
        <v>231</v>
      </c>
      <c r="BC2435" s="4" t="s">
        <v>231</v>
      </c>
      <c r="BD2435" s="8" t="s">
        <v>231</v>
      </c>
      <c r="BE2435" s="4" t="s">
        <v>231</v>
      </c>
      <c r="BF2435" s="8" t="s">
        <v>231</v>
      </c>
      <c r="BG2435" s="7" t="s">
        <v>231</v>
      </c>
      <c r="BH2435" s="7" t="s">
        <v>231</v>
      </c>
      <c r="BI2435" s="7"/>
      <c r="BJ2435" s="4"/>
      <c r="BK2435" s="8"/>
      <c r="BL2435" s="2" t="s">
        <v>231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241</v>
      </c>
      <c r="BV2435" s="2" t="s">
        <v>231</v>
      </c>
      <c r="BW2435" s="2" t="s">
        <v>231</v>
      </c>
      <c r="BX2435" s="2" t="s">
        <v>2109</v>
      </c>
      <c r="BY2435" s="2" t="s">
        <v>242</v>
      </c>
      <c r="BZ2435" s="2" t="s">
        <v>243</v>
      </c>
      <c r="CA2435" s="2" t="s">
        <v>231</v>
      </c>
      <c r="CB2435" s="2" t="s">
        <v>231</v>
      </c>
      <c r="CC2435" s="2" t="s">
        <v>244</v>
      </c>
      <c r="CD2435" s="2" t="s">
        <v>231</v>
      </c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>
        <v>144</v>
      </c>
      <c r="EO2435" s="4"/>
      <c r="EP2435" s="4"/>
      <c r="EQ2435" s="4"/>
      <c r="ER2435" s="4"/>
      <c r="ES2435" s="4"/>
      <c r="ET2435" s="4"/>
      <c r="EU2435" s="4"/>
      <c r="EV2435" s="4"/>
      <c r="EW2435" s="4">
        <v>124</v>
      </c>
      <c r="EX2435" s="4"/>
      <c r="EY2435" s="4"/>
      <c r="EZ2435" s="4"/>
      <c r="FA2435" s="4">
        <v>128</v>
      </c>
      <c r="FB2435" s="4"/>
      <c r="FC2435" s="4"/>
      <c r="FD2435" s="4"/>
      <c r="FE2435" s="4"/>
      <c r="FF2435" s="4"/>
      <c r="FG2435" s="4"/>
      <c r="FH2435" s="4"/>
      <c r="FI2435" s="4">
        <v>136</v>
      </c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  <c r="HG2435" s="4"/>
      <c r="HH2435" s="4"/>
      <c r="HI2435" s="4"/>
      <c r="HJ2435" s="4"/>
      <c r="HK2435" s="4"/>
      <c r="HL2435" s="4"/>
    </row>
    <row r="2436">
      <c r="A2436" s="2" t="s">
        <v>10507</v>
      </c>
      <c r="B2436" s="2" t="s">
        <v>1186</v>
      </c>
      <c r="C2436" s="2" t="s">
        <v>1017</v>
      </c>
      <c r="D2436" s="2" t="s">
        <v>654</v>
      </c>
      <c r="E2436" s="2" t="s">
        <v>890</v>
      </c>
      <c r="F2436" s="2" t="s">
        <v>10479</v>
      </c>
      <c r="G2436" s="2" t="s">
        <v>10480</v>
      </c>
      <c r="H2436" s="2" t="s">
        <v>10481</v>
      </c>
      <c r="I2436" s="2" t="s">
        <v>10482</v>
      </c>
      <c r="J2436" s="2" t="s">
        <v>832</v>
      </c>
      <c r="K2436" s="2" t="s">
        <v>255</v>
      </c>
      <c r="L2436" s="3">
        <v>21.42</v>
      </c>
      <c r="M2436" s="3">
        <v>22.49</v>
      </c>
      <c r="N2436" s="3">
        <v>44.99</v>
      </c>
      <c r="O2436" s="2" t="s">
        <v>243</v>
      </c>
      <c r="P2436" s="2" t="s">
        <v>295</v>
      </c>
      <c r="Q2436" s="2" t="s">
        <v>237</v>
      </c>
      <c r="R2436" s="2" t="s">
        <v>231</v>
      </c>
      <c r="S2436" s="2" t="s">
        <v>10508</v>
      </c>
      <c r="T2436" s="2" t="s">
        <v>472</v>
      </c>
      <c r="U2436" s="2" t="s">
        <v>791</v>
      </c>
      <c r="V2436" s="2" t="s">
        <v>239</v>
      </c>
      <c r="W2436" s="2" t="s">
        <v>273</v>
      </c>
      <c r="X2436" s="2" t="s">
        <v>691</v>
      </c>
      <c r="Y2436" s="2" t="s">
        <v>231</v>
      </c>
      <c r="Z2436" s="4"/>
      <c r="AA2436" s="4">
        <f>=ROUNDDOWN({0},0)</f>
      </c>
      <c r="AB2436" s="5"/>
      <c r="AC2436" s="2" t="s">
        <v>309</v>
      </c>
      <c r="AD2436" s="4">
        <v>780</v>
      </c>
      <c r="AE2436" s="4">
        <v>1779</v>
      </c>
      <c r="AF2436" s="6"/>
      <c r="AG2436" s="6"/>
      <c r="AH2436" s="7">
        <v>0</v>
      </c>
      <c r="AI2436" s="4"/>
      <c r="AJ2436" s="4">
        <f>=ROUNDDOWN({0},0)</f>
      </c>
      <c r="AK2436" s="5"/>
      <c r="AL2436" s="2" t="s">
        <v>231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231</v>
      </c>
      <c r="AW2436" s="8" t="s">
        <v>231</v>
      </c>
      <c r="AX2436" s="4" t="s">
        <v>231</v>
      </c>
      <c r="AY2436" s="8" t="s">
        <v>231</v>
      </c>
      <c r="AZ2436" s="7" t="s">
        <v>231</v>
      </c>
      <c r="BA2436" s="7" t="s">
        <v>231</v>
      </c>
      <c r="BB2436" s="7" t="s">
        <v>231</v>
      </c>
      <c r="BC2436" s="4" t="s">
        <v>231</v>
      </c>
      <c r="BD2436" s="8" t="s">
        <v>231</v>
      </c>
      <c r="BE2436" s="4" t="s">
        <v>231</v>
      </c>
      <c r="BF2436" s="8" t="s">
        <v>231</v>
      </c>
      <c r="BG2436" s="7" t="s">
        <v>231</v>
      </c>
      <c r="BH2436" s="7" t="s">
        <v>231</v>
      </c>
      <c r="BI2436" s="7"/>
      <c r="BJ2436" s="4"/>
      <c r="BK2436" s="8"/>
      <c r="BL2436" s="2" t="s">
        <v>231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241</v>
      </c>
      <c r="BV2436" s="2" t="s">
        <v>231</v>
      </c>
      <c r="BW2436" s="2" t="s">
        <v>231</v>
      </c>
      <c r="BX2436" s="2" t="s">
        <v>2109</v>
      </c>
      <c r="BY2436" s="2" t="s">
        <v>242</v>
      </c>
      <c r="BZ2436" s="2" t="s">
        <v>243</v>
      </c>
      <c r="CA2436" s="2" t="s">
        <v>231</v>
      </c>
      <c r="CB2436" s="2" t="s">
        <v>231</v>
      </c>
      <c r="CC2436" s="2" t="s">
        <v>244</v>
      </c>
      <c r="CD2436" s="2" t="s">
        <v>231</v>
      </c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>
        <v>780</v>
      </c>
      <c r="EO2436" s="4"/>
      <c r="EP2436" s="4"/>
      <c r="EQ2436" s="4"/>
      <c r="ER2436" s="4"/>
      <c r="ES2436" s="4"/>
      <c r="ET2436" s="4"/>
      <c r="EU2436" s="4"/>
      <c r="EV2436" s="4"/>
      <c r="EW2436" s="4">
        <v>372</v>
      </c>
      <c r="EX2436" s="4"/>
      <c r="EY2436" s="4"/>
      <c r="EZ2436" s="4"/>
      <c r="FA2436" s="4">
        <v>372</v>
      </c>
      <c r="FB2436" s="4"/>
      <c r="FC2436" s="4"/>
      <c r="FD2436" s="4"/>
      <c r="FE2436" s="4"/>
      <c r="FF2436" s="4"/>
      <c r="FG2436" s="4"/>
      <c r="FH2436" s="4"/>
      <c r="FI2436" s="4">
        <v>255</v>
      </c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/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  <c r="HF2436" s="4"/>
      <c r="HG2436" s="4"/>
      <c r="HH2436" s="4"/>
      <c r="HI2436" s="4"/>
      <c r="HJ2436" s="4"/>
      <c r="HK2436" s="4"/>
      <c r="HL2436" s="4"/>
    </row>
    <row r="2437">
      <c r="A2437" s="2" t="s">
        <v>10509</v>
      </c>
      <c r="B2437" s="2" t="s">
        <v>1186</v>
      </c>
      <c r="C2437" s="2" t="s">
        <v>1017</v>
      </c>
      <c r="D2437" s="2" t="s">
        <v>826</v>
      </c>
      <c r="E2437" s="2" t="s">
        <v>1060</v>
      </c>
      <c r="F2437" s="2" t="s">
        <v>10479</v>
      </c>
      <c r="G2437" s="2" t="s">
        <v>10480</v>
      </c>
      <c r="H2437" s="2" t="s">
        <v>10481</v>
      </c>
      <c r="I2437" s="2" t="s">
        <v>10486</v>
      </c>
      <c r="J2437" s="2" t="s">
        <v>832</v>
      </c>
      <c r="K2437" s="2" t="s">
        <v>255</v>
      </c>
      <c r="L2437" s="3">
        <v>15.47</v>
      </c>
      <c r="M2437" s="3">
        <v>16.24</v>
      </c>
      <c r="N2437" s="3">
        <v>32.49</v>
      </c>
      <c r="O2437" s="2" t="s">
        <v>243</v>
      </c>
      <c r="P2437" s="2" t="s">
        <v>295</v>
      </c>
      <c r="Q2437" s="2" t="s">
        <v>237</v>
      </c>
      <c r="R2437" s="2" t="s">
        <v>231</v>
      </c>
      <c r="S2437" s="2" t="s">
        <v>10508</v>
      </c>
      <c r="T2437" s="2" t="s">
        <v>472</v>
      </c>
      <c r="U2437" s="2" t="s">
        <v>791</v>
      </c>
      <c r="V2437" s="2" t="s">
        <v>239</v>
      </c>
      <c r="W2437" s="2" t="s">
        <v>273</v>
      </c>
      <c r="X2437" s="2" t="s">
        <v>691</v>
      </c>
      <c r="Y2437" s="2" t="s">
        <v>231</v>
      </c>
      <c r="Z2437" s="4"/>
      <c r="AA2437" s="4">
        <f>=ROUNDDOWN({0},0)</f>
      </c>
      <c r="AB2437" s="5"/>
      <c r="AC2437" s="2" t="s">
        <v>309</v>
      </c>
      <c r="AD2437" s="4">
        <v>160</v>
      </c>
      <c r="AE2437" s="4">
        <v>448</v>
      </c>
      <c r="AF2437" s="6"/>
      <c r="AG2437" s="6"/>
      <c r="AH2437" s="7">
        <v>0</v>
      </c>
      <c r="AI2437" s="4"/>
      <c r="AJ2437" s="4">
        <f>=ROUNDDOWN({0},0)</f>
      </c>
      <c r="AK2437" s="5"/>
      <c r="AL2437" s="2" t="s">
        <v>231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231</v>
      </c>
      <c r="AW2437" s="8" t="s">
        <v>231</v>
      </c>
      <c r="AX2437" s="4" t="s">
        <v>231</v>
      </c>
      <c r="AY2437" s="8" t="s">
        <v>231</v>
      </c>
      <c r="AZ2437" s="7" t="s">
        <v>231</v>
      </c>
      <c r="BA2437" s="7" t="s">
        <v>231</v>
      </c>
      <c r="BB2437" s="7" t="s">
        <v>231</v>
      </c>
      <c r="BC2437" s="4" t="s">
        <v>231</v>
      </c>
      <c r="BD2437" s="8" t="s">
        <v>231</v>
      </c>
      <c r="BE2437" s="4" t="s">
        <v>231</v>
      </c>
      <c r="BF2437" s="8" t="s">
        <v>231</v>
      </c>
      <c r="BG2437" s="7" t="s">
        <v>231</v>
      </c>
      <c r="BH2437" s="7" t="s">
        <v>231</v>
      </c>
      <c r="BI2437" s="7"/>
      <c r="BJ2437" s="4"/>
      <c r="BK2437" s="8"/>
      <c r="BL2437" s="2" t="s">
        <v>231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241</v>
      </c>
      <c r="BV2437" s="2" t="s">
        <v>231</v>
      </c>
      <c r="BW2437" s="2" t="s">
        <v>231</v>
      </c>
      <c r="BX2437" s="2" t="s">
        <v>2109</v>
      </c>
      <c r="BY2437" s="2" t="s">
        <v>242</v>
      </c>
      <c r="BZ2437" s="2" t="s">
        <v>243</v>
      </c>
      <c r="CA2437" s="2" t="s">
        <v>231</v>
      </c>
      <c r="CB2437" s="2" t="s">
        <v>231</v>
      </c>
      <c r="CC2437" s="2" t="s">
        <v>244</v>
      </c>
      <c r="CD2437" s="2" t="s">
        <v>231</v>
      </c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>
        <v>160</v>
      </c>
      <c r="EO2437" s="4"/>
      <c r="EP2437" s="4"/>
      <c r="EQ2437" s="4"/>
      <c r="ER2437" s="4"/>
      <c r="ES2437" s="4"/>
      <c r="ET2437" s="4"/>
      <c r="EU2437" s="4"/>
      <c r="EV2437" s="4"/>
      <c r="EW2437" s="4">
        <v>100</v>
      </c>
      <c r="EX2437" s="4"/>
      <c r="EY2437" s="4"/>
      <c r="EZ2437" s="4"/>
      <c r="FA2437" s="4">
        <v>88</v>
      </c>
      <c r="FB2437" s="4"/>
      <c r="FC2437" s="4"/>
      <c r="FD2437" s="4"/>
      <c r="FE2437" s="4"/>
      <c r="FF2437" s="4"/>
      <c r="FG2437" s="4"/>
      <c r="FH2437" s="4"/>
      <c r="FI2437" s="4">
        <v>100</v>
      </c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/>
      <c r="HA2437" s="4"/>
      <c r="HB2437" s="4"/>
      <c r="HC2437" s="4"/>
      <c r="HD2437" s="4"/>
      <c r="HE2437" s="4"/>
      <c r="HF2437" s="4"/>
      <c r="HG2437" s="4"/>
      <c r="HH2437" s="4"/>
      <c r="HI2437" s="4"/>
      <c r="HJ2437" s="4"/>
      <c r="HK2437" s="4"/>
      <c r="HL2437" s="4"/>
    </row>
    <row r="2438">
      <c r="A2438" s="2" t="s">
        <v>10510</v>
      </c>
      <c r="B2438" s="2" t="s">
        <v>1186</v>
      </c>
      <c r="C2438" s="2" t="s">
        <v>1017</v>
      </c>
      <c r="D2438" s="2" t="s">
        <v>654</v>
      </c>
      <c r="E2438" s="2" t="s">
        <v>890</v>
      </c>
      <c r="F2438" s="2" t="s">
        <v>10479</v>
      </c>
      <c r="G2438" s="2" t="s">
        <v>10480</v>
      </c>
      <c r="H2438" s="2" t="s">
        <v>10481</v>
      </c>
      <c r="I2438" s="2" t="s">
        <v>10482</v>
      </c>
      <c r="J2438" s="2" t="s">
        <v>293</v>
      </c>
      <c r="K2438" s="2" t="s">
        <v>255</v>
      </c>
      <c r="L2438" s="3">
        <v>26.19</v>
      </c>
      <c r="M2438" s="3">
        <v>27.5</v>
      </c>
      <c r="N2438" s="3">
        <v>54.99</v>
      </c>
      <c r="O2438" s="2" t="s">
        <v>243</v>
      </c>
      <c r="P2438" s="2" t="s">
        <v>295</v>
      </c>
      <c r="Q2438" s="2" t="s">
        <v>237</v>
      </c>
      <c r="R2438" s="2" t="s">
        <v>231</v>
      </c>
      <c r="S2438" s="2" t="s">
        <v>10508</v>
      </c>
      <c r="T2438" s="2" t="s">
        <v>472</v>
      </c>
      <c r="U2438" s="2" t="s">
        <v>835</v>
      </c>
      <c r="V2438" s="2" t="s">
        <v>239</v>
      </c>
      <c r="W2438" s="2" t="s">
        <v>273</v>
      </c>
      <c r="X2438" s="2" t="s">
        <v>691</v>
      </c>
      <c r="Y2438" s="2" t="s">
        <v>231</v>
      </c>
      <c r="Z2438" s="4"/>
      <c r="AA2438" s="4">
        <f>=ROUNDDOWN({0},0)</f>
      </c>
      <c r="AB2438" s="5"/>
      <c r="AC2438" s="2" t="s">
        <v>309</v>
      </c>
      <c r="AD2438" s="4">
        <v>1632</v>
      </c>
      <c r="AE2438" s="4">
        <v>3879</v>
      </c>
      <c r="AF2438" s="6"/>
      <c r="AG2438" s="6"/>
      <c r="AH2438" s="7">
        <v>0</v>
      </c>
      <c r="AI2438" s="4"/>
      <c r="AJ2438" s="4">
        <f>=ROUNDDOWN({0},0)</f>
      </c>
      <c r="AK2438" s="5"/>
      <c r="AL2438" s="2" t="s">
        <v>231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231</v>
      </c>
      <c r="AW2438" s="8" t="s">
        <v>231</v>
      </c>
      <c r="AX2438" s="4" t="s">
        <v>231</v>
      </c>
      <c r="AY2438" s="8" t="s">
        <v>231</v>
      </c>
      <c r="AZ2438" s="7" t="s">
        <v>231</v>
      </c>
      <c r="BA2438" s="7" t="s">
        <v>231</v>
      </c>
      <c r="BB2438" s="7" t="s">
        <v>231</v>
      </c>
      <c r="BC2438" s="4" t="s">
        <v>231</v>
      </c>
      <c r="BD2438" s="8" t="s">
        <v>231</v>
      </c>
      <c r="BE2438" s="4" t="s">
        <v>231</v>
      </c>
      <c r="BF2438" s="8" t="s">
        <v>231</v>
      </c>
      <c r="BG2438" s="7" t="s">
        <v>231</v>
      </c>
      <c r="BH2438" s="7" t="s">
        <v>231</v>
      </c>
      <c r="BI2438" s="7"/>
      <c r="BJ2438" s="4"/>
      <c r="BK2438" s="8"/>
      <c r="BL2438" s="2" t="s">
        <v>231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241</v>
      </c>
      <c r="BV2438" s="2" t="s">
        <v>231</v>
      </c>
      <c r="BW2438" s="2" t="s">
        <v>231</v>
      </c>
      <c r="BX2438" s="2" t="s">
        <v>2109</v>
      </c>
      <c r="BY2438" s="2" t="s">
        <v>242</v>
      </c>
      <c r="BZ2438" s="2" t="s">
        <v>243</v>
      </c>
      <c r="CA2438" s="2" t="s">
        <v>231</v>
      </c>
      <c r="CB2438" s="2" t="s">
        <v>231</v>
      </c>
      <c r="CC2438" s="2" t="s">
        <v>244</v>
      </c>
      <c r="CD2438" s="2" t="s">
        <v>231</v>
      </c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>
        <v>1632</v>
      </c>
      <c r="EO2438" s="4"/>
      <c r="EP2438" s="4"/>
      <c r="EQ2438" s="4"/>
      <c r="ER2438" s="4"/>
      <c r="ES2438" s="4"/>
      <c r="ET2438" s="4"/>
      <c r="EU2438" s="4"/>
      <c r="EV2438" s="4"/>
      <c r="EW2438" s="4">
        <v>864</v>
      </c>
      <c r="EX2438" s="4"/>
      <c r="EY2438" s="4"/>
      <c r="EZ2438" s="4"/>
      <c r="FA2438" s="4">
        <v>705</v>
      </c>
      <c r="FB2438" s="4"/>
      <c r="FC2438" s="4"/>
      <c r="FD2438" s="4"/>
      <c r="FE2438" s="4"/>
      <c r="FF2438" s="4"/>
      <c r="FG2438" s="4"/>
      <c r="FH2438" s="4"/>
      <c r="FI2438" s="4">
        <v>678</v>
      </c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/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  <c r="HG2438" s="4"/>
      <c r="HH2438" s="4"/>
      <c r="HI2438" s="4"/>
      <c r="HJ2438" s="4"/>
      <c r="HK2438" s="4"/>
      <c r="HL2438" s="4"/>
    </row>
    <row r="2439">
      <c r="A2439" s="2" t="s">
        <v>10511</v>
      </c>
      <c r="B2439" s="2" t="s">
        <v>1186</v>
      </c>
      <c r="C2439" s="2" t="s">
        <v>1017</v>
      </c>
      <c r="D2439" s="2" t="s">
        <v>826</v>
      </c>
      <c r="E2439" s="2" t="s">
        <v>1060</v>
      </c>
      <c r="F2439" s="2" t="s">
        <v>10479</v>
      </c>
      <c r="G2439" s="2" t="s">
        <v>10480</v>
      </c>
      <c r="H2439" s="2" t="s">
        <v>10481</v>
      </c>
      <c r="I2439" s="2" t="s">
        <v>10486</v>
      </c>
      <c r="J2439" s="2" t="s">
        <v>293</v>
      </c>
      <c r="K2439" s="2" t="s">
        <v>255</v>
      </c>
      <c r="L2439" s="3">
        <v>20.23</v>
      </c>
      <c r="M2439" s="3">
        <v>21.24</v>
      </c>
      <c r="N2439" s="3">
        <v>42.49</v>
      </c>
      <c r="O2439" s="2" t="s">
        <v>243</v>
      </c>
      <c r="P2439" s="2" t="s">
        <v>295</v>
      </c>
      <c r="Q2439" s="2" t="s">
        <v>237</v>
      </c>
      <c r="R2439" s="2" t="s">
        <v>231</v>
      </c>
      <c r="S2439" s="2" t="s">
        <v>10508</v>
      </c>
      <c r="T2439" s="2" t="s">
        <v>472</v>
      </c>
      <c r="U2439" s="2" t="s">
        <v>835</v>
      </c>
      <c r="V2439" s="2" t="s">
        <v>239</v>
      </c>
      <c r="W2439" s="2" t="s">
        <v>273</v>
      </c>
      <c r="X2439" s="2" t="s">
        <v>691</v>
      </c>
      <c r="Y2439" s="2" t="s">
        <v>231</v>
      </c>
      <c r="Z2439" s="4"/>
      <c r="AA2439" s="4">
        <f>=ROUNDDOWN({0},0)</f>
      </c>
      <c r="AB2439" s="5"/>
      <c r="AC2439" s="2" t="s">
        <v>309</v>
      </c>
      <c r="AD2439" s="4">
        <v>676</v>
      </c>
      <c r="AE2439" s="4">
        <v>1704</v>
      </c>
      <c r="AF2439" s="6"/>
      <c r="AG2439" s="6"/>
      <c r="AH2439" s="7">
        <v>0</v>
      </c>
      <c r="AI2439" s="4"/>
      <c r="AJ2439" s="4">
        <f>=ROUNDDOWN({0},0)</f>
      </c>
      <c r="AK2439" s="5"/>
      <c r="AL2439" s="2" t="s">
        <v>231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231</v>
      </c>
      <c r="AW2439" s="8" t="s">
        <v>231</v>
      </c>
      <c r="AX2439" s="4" t="s">
        <v>231</v>
      </c>
      <c r="AY2439" s="8" t="s">
        <v>231</v>
      </c>
      <c r="AZ2439" s="7" t="s">
        <v>231</v>
      </c>
      <c r="BA2439" s="7" t="s">
        <v>231</v>
      </c>
      <c r="BB2439" s="7" t="s">
        <v>231</v>
      </c>
      <c r="BC2439" s="4" t="s">
        <v>231</v>
      </c>
      <c r="BD2439" s="8" t="s">
        <v>231</v>
      </c>
      <c r="BE2439" s="4" t="s">
        <v>231</v>
      </c>
      <c r="BF2439" s="8" t="s">
        <v>231</v>
      </c>
      <c r="BG2439" s="7" t="s">
        <v>231</v>
      </c>
      <c r="BH2439" s="7" t="s">
        <v>231</v>
      </c>
      <c r="BI2439" s="7"/>
      <c r="BJ2439" s="4"/>
      <c r="BK2439" s="8"/>
      <c r="BL2439" s="2" t="s">
        <v>231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241</v>
      </c>
      <c r="BV2439" s="2" t="s">
        <v>231</v>
      </c>
      <c r="BW2439" s="2" t="s">
        <v>231</v>
      </c>
      <c r="BX2439" s="2" t="s">
        <v>2109</v>
      </c>
      <c r="BY2439" s="2" t="s">
        <v>242</v>
      </c>
      <c r="BZ2439" s="2" t="s">
        <v>243</v>
      </c>
      <c r="CA2439" s="2" t="s">
        <v>231</v>
      </c>
      <c r="CB2439" s="2" t="s">
        <v>231</v>
      </c>
      <c r="CC2439" s="2" t="s">
        <v>244</v>
      </c>
      <c r="CD2439" s="2" t="s">
        <v>231</v>
      </c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>
        <v>676</v>
      </c>
      <c r="EO2439" s="4"/>
      <c r="EP2439" s="4"/>
      <c r="EQ2439" s="4"/>
      <c r="ER2439" s="4"/>
      <c r="ES2439" s="4"/>
      <c r="ET2439" s="4"/>
      <c r="EU2439" s="4"/>
      <c r="EV2439" s="4"/>
      <c r="EW2439" s="4">
        <v>384</v>
      </c>
      <c r="EX2439" s="4"/>
      <c r="EY2439" s="4"/>
      <c r="EZ2439" s="4"/>
      <c r="FA2439" s="4">
        <v>312</v>
      </c>
      <c r="FB2439" s="4"/>
      <c r="FC2439" s="4"/>
      <c r="FD2439" s="4"/>
      <c r="FE2439" s="4"/>
      <c r="FF2439" s="4"/>
      <c r="FG2439" s="4"/>
      <c r="FH2439" s="4"/>
      <c r="FI2439" s="4">
        <v>332</v>
      </c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/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  <c r="HG2439" s="4"/>
      <c r="HH2439" s="4"/>
      <c r="HI2439" s="4"/>
      <c r="HJ2439" s="4"/>
      <c r="HK2439" s="4"/>
      <c r="HL2439" s="4"/>
    </row>
    <row r="2440">
      <c r="A2440" s="2" t="s">
        <v>10512</v>
      </c>
      <c r="B2440" s="2" t="s">
        <v>1186</v>
      </c>
      <c r="C2440" s="2" t="s">
        <v>1017</v>
      </c>
      <c r="D2440" s="2" t="s">
        <v>654</v>
      </c>
      <c r="E2440" s="2" t="s">
        <v>890</v>
      </c>
      <c r="F2440" s="2" t="s">
        <v>10479</v>
      </c>
      <c r="G2440" s="2" t="s">
        <v>10480</v>
      </c>
      <c r="H2440" s="2" t="s">
        <v>10481</v>
      </c>
      <c r="I2440" s="2" t="s">
        <v>10482</v>
      </c>
      <c r="J2440" s="2" t="s">
        <v>302</v>
      </c>
      <c r="K2440" s="2" t="s">
        <v>255</v>
      </c>
      <c r="L2440" s="3">
        <v>28.57</v>
      </c>
      <c r="M2440" s="3">
        <v>30</v>
      </c>
      <c r="N2440" s="3">
        <v>59.99</v>
      </c>
      <c r="O2440" s="2" t="s">
        <v>243</v>
      </c>
      <c r="P2440" s="2" t="s">
        <v>295</v>
      </c>
      <c r="Q2440" s="2" t="s">
        <v>237</v>
      </c>
      <c r="R2440" s="2" t="s">
        <v>231</v>
      </c>
      <c r="S2440" s="2" t="s">
        <v>10508</v>
      </c>
      <c r="T2440" s="2" t="s">
        <v>472</v>
      </c>
      <c r="U2440" s="2" t="s">
        <v>835</v>
      </c>
      <c r="V2440" s="2" t="s">
        <v>239</v>
      </c>
      <c r="W2440" s="2" t="s">
        <v>273</v>
      </c>
      <c r="X2440" s="2" t="s">
        <v>691</v>
      </c>
      <c r="Y2440" s="2" t="s">
        <v>231</v>
      </c>
      <c r="Z2440" s="4"/>
      <c r="AA2440" s="4">
        <f>=ROUNDDOWN({0},0)</f>
      </c>
      <c r="AB2440" s="5"/>
      <c r="AC2440" s="2" t="s">
        <v>309</v>
      </c>
      <c r="AD2440" s="4">
        <v>1764</v>
      </c>
      <c r="AE2440" s="4">
        <v>4137</v>
      </c>
      <c r="AF2440" s="6"/>
      <c r="AG2440" s="6"/>
      <c r="AH2440" s="7">
        <v>0</v>
      </c>
      <c r="AI2440" s="4"/>
      <c r="AJ2440" s="4">
        <f>=ROUNDDOWN({0},0)</f>
      </c>
      <c r="AK2440" s="5"/>
      <c r="AL2440" s="2" t="s">
        <v>231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231</v>
      </c>
      <c r="AW2440" s="8" t="s">
        <v>231</v>
      </c>
      <c r="AX2440" s="4" t="s">
        <v>231</v>
      </c>
      <c r="AY2440" s="8" t="s">
        <v>231</v>
      </c>
      <c r="AZ2440" s="7" t="s">
        <v>231</v>
      </c>
      <c r="BA2440" s="7" t="s">
        <v>231</v>
      </c>
      <c r="BB2440" s="7" t="s">
        <v>231</v>
      </c>
      <c r="BC2440" s="4" t="s">
        <v>231</v>
      </c>
      <c r="BD2440" s="8" t="s">
        <v>231</v>
      </c>
      <c r="BE2440" s="4" t="s">
        <v>231</v>
      </c>
      <c r="BF2440" s="8" t="s">
        <v>231</v>
      </c>
      <c r="BG2440" s="7" t="s">
        <v>231</v>
      </c>
      <c r="BH2440" s="7" t="s">
        <v>231</v>
      </c>
      <c r="BI2440" s="7"/>
      <c r="BJ2440" s="4"/>
      <c r="BK2440" s="8"/>
      <c r="BL2440" s="2" t="s">
        <v>231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241</v>
      </c>
      <c r="BV2440" s="2" t="s">
        <v>231</v>
      </c>
      <c r="BW2440" s="2" t="s">
        <v>231</v>
      </c>
      <c r="BX2440" s="2" t="s">
        <v>2109</v>
      </c>
      <c r="BY2440" s="2" t="s">
        <v>242</v>
      </c>
      <c r="BZ2440" s="2" t="s">
        <v>243</v>
      </c>
      <c r="CA2440" s="2" t="s">
        <v>231</v>
      </c>
      <c r="CB2440" s="2" t="s">
        <v>231</v>
      </c>
      <c r="CC2440" s="2" t="s">
        <v>244</v>
      </c>
      <c r="CD2440" s="2" t="s">
        <v>231</v>
      </c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>
        <v>1764</v>
      </c>
      <c r="EO2440" s="4"/>
      <c r="EP2440" s="4"/>
      <c r="EQ2440" s="4"/>
      <c r="ER2440" s="4"/>
      <c r="ES2440" s="4"/>
      <c r="ET2440" s="4"/>
      <c r="EU2440" s="4"/>
      <c r="EV2440" s="4"/>
      <c r="EW2440" s="4">
        <v>852</v>
      </c>
      <c r="EX2440" s="4"/>
      <c r="EY2440" s="4"/>
      <c r="EZ2440" s="4"/>
      <c r="FA2440" s="4">
        <v>786</v>
      </c>
      <c r="FB2440" s="4"/>
      <c r="FC2440" s="4"/>
      <c r="FD2440" s="4"/>
      <c r="FE2440" s="4"/>
      <c r="FF2440" s="4"/>
      <c r="FG2440" s="4"/>
      <c r="FH2440" s="4"/>
      <c r="FI2440" s="4">
        <v>735</v>
      </c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4"/>
      <c r="HH2440" s="4"/>
      <c r="HI2440" s="4"/>
      <c r="HJ2440" s="4"/>
      <c r="HK2440" s="4"/>
      <c r="HL2440" s="4"/>
    </row>
    <row r="2441">
      <c r="A2441" s="2" t="s">
        <v>10513</v>
      </c>
      <c r="B2441" s="2" t="s">
        <v>1186</v>
      </c>
      <c r="C2441" s="2" t="s">
        <v>1017</v>
      </c>
      <c r="D2441" s="2" t="s">
        <v>826</v>
      </c>
      <c r="E2441" s="2" t="s">
        <v>1060</v>
      </c>
      <c r="F2441" s="2" t="s">
        <v>10479</v>
      </c>
      <c r="G2441" s="2" t="s">
        <v>10480</v>
      </c>
      <c r="H2441" s="2" t="s">
        <v>10481</v>
      </c>
      <c r="I2441" s="2" t="s">
        <v>10486</v>
      </c>
      <c r="J2441" s="2" t="s">
        <v>302</v>
      </c>
      <c r="K2441" s="2" t="s">
        <v>255</v>
      </c>
      <c r="L2441" s="3">
        <v>22.61</v>
      </c>
      <c r="M2441" s="3">
        <v>23.74</v>
      </c>
      <c r="N2441" s="3">
        <v>47.49</v>
      </c>
      <c r="O2441" s="2" t="s">
        <v>243</v>
      </c>
      <c r="P2441" s="2" t="s">
        <v>295</v>
      </c>
      <c r="Q2441" s="2" t="s">
        <v>237</v>
      </c>
      <c r="R2441" s="2" t="s">
        <v>231</v>
      </c>
      <c r="S2441" s="2" t="s">
        <v>10508</v>
      </c>
      <c r="T2441" s="2" t="s">
        <v>472</v>
      </c>
      <c r="U2441" s="2" t="s">
        <v>835</v>
      </c>
      <c r="V2441" s="2" t="s">
        <v>239</v>
      </c>
      <c r="W2441" s="2" t="s">
        <v>273</v>
      </c>
      <c r="X2441" s="2" t="s">
        <v>691</v>
      </c>
      <c r="Y2441" s="2" t="s">
        <v>231</v>
      </c>
      <c r="Z2441" s="4"/>
      <c r="AA2441" s="4">
        <f>=ROUNDDOWN({0},0)</f>
      </c>
      <c r="AB2441" s="5"/>
      <c r="AC2441" s="2" t="s">
        <v>309</v>
      </c>
      <c r="AD2441" s="4">
        <v>472</v>
      </c>
      <c r="AE2441" s="4">
        <v>1216</v>
      </c>
      <c r="AF2441" s="6"/>
      <c r="AG2441" s="6"/>
      <c r="AH2441" s="7">
        <v>0</v>
      </c>
      <c r="AI2441" s="4"/>
      <c r="AJ2441" s="4">
        <f>=ROUNDDOWN({0},0)</f>
      </c>
      <c r="AK2441" s="5"/>
      <c r="AL2441" s="2" t="s">
        <v>231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231</v>
      </c>
      <c r="AW2441" s="8" t="s">
        <v>231</v>
      </c>
      <c r="AX2441" s="4" t="s">
        <v>231</v>
      </c>
      <c r="AY2441" s="8" t="s">
        <v>231</v>
      </c>
      <c r="AZ2441" s="7" t="s">
        <v>231</v>
      </c>
      <c r="BA2441" s="7" t="s">
        <v>231</v>
      </c>
      <c r="BB2441" s="7" t="s">
        <v>231</v>
      </c>
      <c r="BC2441" s="4" t="s">
        <v>231</v>
      </c>
      <c r="BD2441" s="8" t="s">
        <v>231</v>
      </c>
      <c r="BE2441" s="4" t="s">
        <v>231</v>
      </c>
      <c r="BF2441" s="8" t="s">
        <v>231</v>
      </c>
      <c r="BG2441" s="7" t="s">
        <v>231</v>
      </c>
      <c r="BH2441" s="7" t="s">
        <v>231</v>
      </c>
      <c r="BI2441" s="7"/>
      <c r="BJ2441" s="4"/>
      <c r="BK2441" s="8"/>
      <c r="BL2441" s="2" t="s">
        <v>231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241</v>
      </c>
      <c r="BV2441" s="2" t="s">
        <v>231</v>
      </c>
      <c r="BW2441" s="2" t="s">
        <v>231</v>
      </c>
      <c r="BX2441" s="2" t="s">
        <v>2109</v>
      </c>
      <c r="BY2441" s="2" t="s">
        <v>242</v>
      </c>
      <c r="BZ2441" s="2" t="s">
        <v>243</v>
      </c>
      <c r="CA2441" s="2" t="s">
        <v>231</v>
      </c>
      <c r="CB2441" s="2" t="s">
        <v>231</v>
      </c>
      <c r="CC2441" s="2" t="s">
        <v>244</v>
      </c>
      <c r="CD2441" s="2" t="s">
        <v>231</v>
      </c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>
        <v>472</v>
      </c>
      <c r="EO2441" s="4"/>
      <c r="EP2441" s="4"/>
      <c r="EQ2441" s="4"/>
      <c r="ER2441" s="4"/>
      <c r="ES2441" s="4"/>
      <c r="ET2441" s="4"/>
      <c r="EU2441" s="4"/>
      <c r="EV2441" s="4"/>
      <c r="EW2441" s="4">
        <v>280</v>
      </c>
      <c r="EX2441" s="4"/>
      <c r="EY2441" s="4"/>
      <c r="EZ2441" s="4"/>
      <c r="FA2441" s="4">
        <v>224</v>
      </c>
      <c r="FB2441" s="4"/>
      <c r="FC2441" s="4"/>
      <c r="FD2441" s="4"/>
      <c r="FE2441" s="4"/>
      <c r="FF2441" s="4"/>
      <c r="FG2441" s="4"/>
      <c r="FH2441" s="4"/>
      <c r="FI2441" s="4">
        <v>240</v>
      </c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  <c r="HG2441" s="4"/>
      <c r="HH2441" s="4"/>
      <c r="HI2441" s="4"/>
      <c r="HJ2441" s="4"/>
      <c r="HK2441" s="4"/>
      <c r="HL2441" s="4"/>
    </row>
    <row r="2442">
      <c r="A2442" s="2" t="s">
        <v>10514</v>
      </c>
      <c r="B2442" s="2" t="s">
        <v>1186</v>
      </c>
      <c r="C2442" s="2" t="s">
        <v>1017</v>
      </c>
      <c r="D2442" s="2" t="s">
        <v>654</v>
      </c>
      <c r="E2442" s="2" t="s">
        <v>890</v>
      </c>
      <c r="F2442" s="2" t="s">
        <v>10479</v>
      </c>
      <c r="G2442" s="2" t="s">
        <v>10480</v>
      </c>
      <c r="H2442" s="2" t="s">
        <v>10481</v>
      </c>
      <c r="I2442" s="2" t="s">
        <v>10482</v>
      </c>
      <c r="J2442" s="2" t="s">
        <v>832</v>
      </c>
      <c r="K2442" s="2" t="s">
        <v>9719</v>
      </c>
      <c r="L2442" s="3">
        <v>21.42</v>
      </c>
      <c r="M2442" s="3">
        <v>22.49</v>
      </c>
      <c r="N2442" s="3">
        <v>44.99</v>
      </c>
      <c r="O2442" s="2" t="s">
        <v>243</v>
      </c>
      <c r="P2442" s="2" t="s">
        <v>295</v>
      </c>
      <c r="Q2442" s="2" t="s">
        <v>237</v>
      </c>
      <c r="R2442" s="2" t="s">
        <v>231</v>
      </c>
      <c r="S2442" s="2" t="s">
        <v>10515</v>
      </c>
      <c r="T2442" s="2" t="s">
        <v>472</v>
      </c>
      <c r="U2442" s="2" t="s">
        <v>298</v>
      </c>
      <c r="V2442" s="2" t="s">
        <v>239</v>
      </c>
      <c r="W2442" s="2" t="s">
        <v>273</v>
      </c>
      <c r="X2442" s="2" t="s">
        <v>691</v>
      </c>
      <c r="Y2442" s="2" t="s">
        <v>231</v>
      </c>
      <c r="Z2442" s="4"/>
      <c r="AA2442" s="4">
        <f>=ROUNDDOWN({0},0)</f>
      </c>
      <c r="AB2442" s="5"/>
      <c r="AC2442" s="2" t="s">
        <v>309</v>
      </c>
      <c r="AD2442" s="4">
        <v>228</v>
      </c>
      <c r="AE2442" s="4">
        <v>480</v>
      </c>
      <c r="AF2442" s="6"/>
      <c r="AG2442" s="6"/>
      <c r="AH2442" s="7">
        <v>0</v>
      </c>
      <c r="AI2442" s="4"/>
      <c r="AJ2442" s="4">
        <f>=ROUNDDOWN({0},0)</f>
      </c>
      <c r="AK2442" s="5"/>
      <c r="AL2442" s="2" t="s">
        <v>231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231</v>
      </c>
      <c r="AW2442" s="8" t="s">
        <v>231</v>
      </c>
      <c r="AX2442" s="4" t="s">
        <v>231</v>
      </c>
      <c r="AY2442" s="8" t="s">
        <v>231</v>
      </c>
      <c r="AZ2442" s="7" t="s">
        <v>231</v>
      </c>
      <c r="BA2442" s="7" t="s">
        <v>231</v>
      </c>
      <c r="BB2442" s="7" t="s">
        <v>231</v>
      </c>
      <c r="BC2442" s="4" t="s">
        <v>231</v>
      </c>
      <c r="BD2442" s="8" t="s">
        <v>231</v>
      </c>
      <c r="BE2442" s="4" t="s">
        <v>231</v>
      </c>
      <c r="BF2442" s="8" t="s">
        <v>231</v>
      </c>
      <c r="BG2442" s="7" t="s">
        <v>231</v>
      </c>
      <c r="BH2442" s="7" t="s">
        <v>231</v>
      </c>
      <c r="BI2442" s="7"/>
      <c r="BJ2442" s="4"/>
      <c r="BK2442" s="8"/>
      <c r="BL2442" s="2" t="s">
        <v>231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241</v>
      </c>
      <c r="BV2442" s="2" t="s">
        <v>231</v>
      </c>
      <c r="BW2442" s="2" t="s">
        <v>231</v>
      </c>
      <c r="BX2442" s="2" t="s">
        <v>2109</v>
      </c>
      <c r="BY2442" s="2" t="s">
        <v>242</v>
      </c>
      <c r="BZ2442" s="2" t="s">
        <v>243</v>
      </c>
      <c r="CA2442" s="2" t="s">
        <v>231</v>
      </c>
      <c r="CB2442" s="2" t="s">
        <v>231</v>
      </c>
      <c r="CC2442" s="2" t="s">
        <v>244</v>
      </c>
      <c r="CD2442" s="2" t="s">
        <v>231</v>
      </c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>
        <v>228</v>
      </c>
      <c r="EO2442" s="4"/>
      <c r="EP2442" s="4"/>
      <c r="EQ2442" s="4"/>
      <c r="ER2442" s="4"/>
      <c r="ES2442" s="4"/>
      <c r="ET2442" s="4"/>
      <c r="EU2442" s="4"/>
      <c r="EV2442" s="4"/>
      <c r="EW2442" s="4">
        <v>159</v>
      </c>
      <c r="EX2442" s="4"/>
      <c r="EY2442" s="4"/>
      <c r="EZ2442" s="4"/>
      <c r="FA2442" s="4">
        <v>51</v>
      </c>
      <c r="FB2442" s="4"/>
      <c r="FC2442" s="4"/>
      <c r="FD2442" s="4"/>
      <c r="FE2442" s="4"/>
      <c r="FF2442" s="4"/>
      <c r="FG2442" s="4"/>
      <c r="FH2442" s="4"/>
      <c r="FI2442" s="4">
        <v>42</v>
      </c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  <c r="HG2442" s="4"/>
      <c r="HH2442" s="4"/>
      <c r="HI2442" s="4"/>
      <c r="HJ2442" s="4"/>
      <c r="HK2442" s="4"/>
      <c r="HL2442" s="4"/>
    </row>
    <row r="2443">
      <c r="A2443" s="2" t="s">
        <v>10516</v>
      </c>
      <c r="B2443" s="2" t="s">
        <v>1186</v>
      </c>
      <c r="C2443" s="2" t="s">
        <v>1017</v>
      </c>
      <c r="D2443" s="2" t="s">
        <v>826</v>
      </c>
      <c r="E2443" s="2" t="s">
        <v>1060</v>
      </c>
      <c r="F2443" s="2" t="s">
        <v>10479</v>
      </c>
      <c r="G2443" s="2" t="s">
        <v>10480</v>
      </c>
      <c r="H2443" s="2" t="s">
        <v>10481</v>
      </c>
      <c r="I2443" s="2" t="s">
        <v>10486</v>
      </c>
      <c r="J2443" s="2" t="s">
        <v>832</v>
      </c>
      <c r="K2443" s="2" t="s">
        <v>9719</v>
      </c>
      <c r="L2443" s="3">
        <v>15.47</v>
      </c>
      <c r="M2443" s="3">
        <v>16.24</v>
      </c>
      <c r="N2443" s="3">
        <v>32.49</v>
      </c>
      <c r="O2443" s="2" t="s">
        <v>243</v>
      </c>
      <c r="P2443" s="2" t="s">
        <v>295</v>
      </c>
      <c r="Q2443" s="2" t="s">
        <v>237</v>
      </c>
      <c r="R2443" s="2" t="s">
        <v>231</v>
      </c>
      <c r="S2443" s="2" t="s">
        <v>10515</v>
      </c>
      <c r="T2443" s="2" t="s">
        <v>472</v>
      </c>
      <c r="U2443" s="2" t="s">
        <v>298</v>
      </c>
      <c r="V2443" s="2" t="s">
        <v>239</v>
      </c>
      <c r="W2443" s="2" t="s">
        <v>273</v>
      </c>
      <c r="X2443" s="2" t="s">
        <v>691</v>
      </c>
      <c r="Y2443" s="2" t="s">
        <v>231</v>
      </c>
      <c r="Z2443" s="4"/>
      <c r="AA2443" s="4">
        <f>=ROUNDDOWN({0},0)</f>
      </c>
      <c r="AB2443" s="5"/>
      <c r="AC2443" s="2" t="s">
        <v>309</v>
      </c>
      <c r="AD2443" s="4">
        <v>132</v>
      </c>
      <c r="AE2443" s="4">
        <v>292</v>
      </c>
      <c r="AF2443" s="6"/>
      <c r="AG2443" s="6"/>
      <c r="AH2443" s="7">
        <v>0</v>
      </c>
      <c r="AI2443" s="4"/>
      <c r="AJ2443" s="4">
        <f>=ROUNDDOWN({0},0)</f>
      </c>
      <c r="AK2443" s="5"/>
      <c r="AL2443" s="2" t="s">
        <v>231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231</v>
      </c>
      <c r="AW2443" s="8" t="s">
        <v>231</v>
      </c>
      <c r="AX2443" s="4" t="s">
        <v>231</v>
      </c>
      <c r="AY2443" s="8" t="s">
        <v>231</v>
      </c>
      <c r="AZ2443" s="7" t="s">
        <v>231</v>
      </c>
      <c r="BA2443" s="7" t="s">
        <v>231</v>
      </c>
      <c r="BB2443" s="7" t="s">
        <v>231</v>
      </c>
      <c r="BC2443" s="4" t="s">
        <v>231</v>
      </c>
      <c r="BD2443" s="8" t="s">
        <v>231</v>
      </c>
      <c r="BE2443" s="4" t="s">
        <v>231</v>
      </c>
      <c r="BF2443" s="8" t="s">
        <v>231</v>
      </c>
      <c r="BG2443" s="7" t="s">
        <v>231</v>
      </c>
      <c r="BH2443" s="7" t="s">
        <v>231</v>
      </c>
      <c r="BI2443" s="7"/>
      <c r="BJ2443" s="4"/>
      <c r="BK2443" s="8"/>
      <c r="BL2443" s="2" t="s">
        <v>231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241</v>
      </c>
      <c r="BV2443" s="2" t="s">
        <v>231</v>
      </c>
      <c r="BW2443" s="2" t="s">
        <v>231</v>
      </c>
      <c r="BX2443" s="2" t="s">
        <v>2109</v>
      </c>
      <c r="BY2443" s="2" t="s">
        <v>242</v>
      </c>
      <c r="BZ2443" s="2" t="s">
        <v>243</v>
      </c>
      <c r="CA2443" s="2" t="s">
        <v>231</v>
      </c>
      <c r="CB2443" s="2" t="s">
        <v>231</v>
      </c>
      <c r="CC2443" s="2" t="s">
        <v>244</v>
      </c>
      <c r="CD2443" s="2" t="s">
        <v>231</v>
      </c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>
        <v>132</v>
      </c>
      <c r="EO2443" s="4"/>
      <c r="EP2443" s="4"/>
      <c r="EQ2443" s="4"/>
      <c r="ER2443" s="4"/>
      <c r="ES2443" s="4"/>
      <c r="ET2443" s="4"/>
      <c r="EU2443" s="4"/>
      <c r="EV2443" s="4"/>
      <c r="EW2443" s="4">
        <v>112</v>
      </c>
      <c r="EX2443" s="4"/>
      <c r="EY2443" s="4"/>
      <c r="EZ2443" s="4"/>
      <c r="FA2443" s="4">
        <v>28</v>
      </c>
      <c r="FB2443" s="4"/>
      <c r="FC2443" s="4"/>
      <c r="FD2443" s="4"/>
      <c r="FE2443" s="4"/>
      <c r="FF2443" s="4"/>
      <c r="FG2443" s="4"/>
      <c r="FH2443" s="4"/>
      <c r="FI2443" s="4">
        <v>20</v>
      </c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/>
      <c r="GX2443" s="4"/>
      <c r="GY2443" s="4"/>
      <c r="GZ2443" s="4"/>
      <c r="HA2443" s="4"/>
      <c r="HB2443" s="4"/>
      <c r="HC2443" s="4"/>
      <c r="HD2443" s="4"/>
      <c r="HE2443" s="4"/>
      <c r="HF2443" s="4"/>
      <c r="HG2443" s="4"/>
      <c r="HH2443" s="4"/>
      <c r="HI2443" s="4"/>
      <c r="HJ2443" s="4"/>
      <c r="HK2443" s="4"/>
      <c r="HL2443" s="4"/>
    </row>
    <row r="2444">
      <c r="A2444" s="2" t="s">
        <v>10517</v>
      </c>
      <c r="B2444" s="2" t="s">
        <v>1186</v>
      </c>
      <c r="C2444" s="2" t="s">
        <v>1017</v>
      </c>
      <c r="D2444" s="2" t="s">
        <v>654</v>
      </c>
      <c r="E2444" s="2" t="s">
        <v>890</v>
      </c>
      <c r="F2444" s="2" t="s">
        <v>10479</v>
      </c>
      <c r="G2444" s="2" t="s">
        <v>10480</v>
      </c>
      <c r="H2444" s="2" t="s">
        <v>10481</v>
      </c>
      <c r="I2444" s="2" t="s">
        <v>10482</v>
      </c>
      <c r="J2444" s="2" t="s">
        <v>293</v>
      </c>
      <c r="K2444" s="2" t="s">
        <v>9719</v>
      </c>
      <c r="L2444" s="3">
        <v>26.19</v>
      </c>
      <c r="M2444" s="3">
        <v>27.5</v>
      </c>
      <c r="N2444" s="3">
        <v>54.99</v>
      </c>
      <c r="O2444" s="2" t="s">
        <v>243</v>
      </c>
      <c r="P2444" s="2" t="s">
        <v>295</v>
      </c>
      <c r="Q2444" s="2" t="s">
        <v>237</v>
      </c>
      <c r="R2444" s="2" t="s">
        <v>231</v>
      </c>
      <c r="S2444" s="2" t="s">
        <v>10515</v>
      </c>
      <c r="T2444" s="2" t="s">
        <v>472</v>
      </c>
      <c r="U2444" s="2" t="s">
        <v>661</v>
      </c>
      <c r="V2444" s="2" t="s">
        <v>239</v>
      </c>
      <c r="W2444" s="2" t="s">
        <v>273</v>
      </c>
      <c r="X2444" s="2" t="s">
        <v>691</v>
      </c>
      <c r="Y2444" s="2" t="s">
        <v>231</v>
      </c>
      <c r="Z2444" s="4"/>
      <c r="AA2444" s="4">
        <f>=ROUNDDOWN({0},0)</f>
      </c>
      <c r="AB2444" s="5"/>
      <c r="AC2444" s="2" t="s">
        <v>309</v>
      </c>
      <c r="AD2444" s="4">
        <v>738</v>
      </c>
      <c r="AE2444" s="4">
        <v>1617</v>
      </c>
      <c r="AF2444" s="6"/>
      <c r="AG2444" s="6"/>
      <c r="AH2444" s="7">
        <v>0</v>
      </c>
      <c r="AI2444" s="4"/>
      <c r="AJ2444" s="4">
        <f>=ROUNDDOWN({0},0)</f>
      </c>
      <c r="AK2444" s="5"/>
      <c r="AL2444" s="2" t="s">
        <v>231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231</v>
      </c>
      <c r="AW2444" s="8" t="s">
        <v>231</v>
      </c>
      <c r="AX2444" s="4" t="s">
        <v>231</v>
      </c>
      <c r="AY2444" s="8" t="s">
        <v>231</v>
      </c>
      <c r="AZ2444" s="7" t="s">
        <v>231</v>
      </c>
      <c r="BA2444" s="7" t="s">
        <v>231</v>
      </c>
      <c r="BB2444" s="7" t="s">
        <v>231</v>
      </c>
      <c r="BC2444" s="4" t="s">
        <v>231</v>
      </c>
      <c r="BD2444" s="8" t="s">
        <v>231</v>
      </c>
      <c r="BE2444" s="4" t="s">
        <v>231</v>
      </c>
      <c r="BF2444" s="8" t="s">
        <v>231</v>
      </c>
      <c r="BG2444" s="7" t="s">
        <v>231</v>
      </c>
      <c r="BH2444" s="7" t="s">
        <v>231</v>
      </c>
      <c r="BI2444" s="7"/>
      <c r="BJ2444" s="4"/>
      <c r="BK2444" s="8"/>
      <c r="BL2444" s="2" t="s">
        <v>231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241</v>
      </c>
      <c r="BV2444" s="2" t="s">
        <v>231</v>
      </c>
      <c r="BW2444" s="2" t="s">
        <v>231</v>
      </c>
      <c r="BX2444" s="2" t="s">
        <v>2109</v>
      </c>
      <c r="BY2444" s="2" t="s">
        <v>242</v>
      </c>
      <c r="BZ2444" s="2" t="s">
        <v>243</v>
      </c>
      <c r="CA2444" s="2" t="s">
        <v>231</v>
      </c>
      <c r="CB2444" s="2" t="s">
        <v>231</v>
      </c>
      <c r="CC2444" s="2" t="s">
        <v>244</v>
      </c>
      <c r="CD2444" s="2" t="s">
        <v>231</v>
      </c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>
        <v>738</v>
      </c>
      <c r="EO2444" s="4"/>
      <c r="EP2444" s="4"/>
      <c r="EQ2444" s="4"/>
      <c r="ER2444" s="4"/>
      <c r="ES2444" s="4"/>
      <c r="ET2444" s="4"/>
      <c r="EU2444" s="4"/>
      <c r="EV2444" s="4"/>
      <c r="EW2444" s="4">
        <v>600</v>
      </c>
      <c r="EX2444" s="4"/>
      <c r="EY2444" s="4"/>
      <c r="EZ2444" s="4"/>
      <c r="FA2444" s="4">
        <v>153</v>
      </c>
      <c r="FB2444" s="4"/>
      <c r="FC2444" s="4"/>
      <c r="FD2444" s="4"/>
      <c r="FE2444" s="4"/>
      <c r="FF2444" s="4"/>
      <c r="FG2444" s="4"/>
      <c r="FH2444" s="4"/>
      <c r="FI2444" s="4">
        <v>126</v>
      </c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  <c r="HG2444" s="4"/>
      <c r="HH2444" s="4"/>
      <c r="HI2444" s="4"/>
      <c r="HJ2444" s="4"/>
      <c r="HK2444" s="4"/>
      <c r="HL2444" s="4"/>
    </row>
    <row r="2445">
      <c r="A2445" s="2" t="s">
        <v>10518</v>
      </c>
      <c r="B2445" s="2" t="s">
        <v>1186</v>
      </c>
      <c r="C2445" s="2" t="s">
        <v>1017</v>
      </c>
      <c r="D2445" s="2" t="s">
        <v>826</v>
      </c>
      <c r="E2445" s="2" t="s">
        <v>1060</v>
      </c>
      <c r="F2445" s="2" t="s">
        <v>10479</v>
      </c>
      <c r="G2445" s="2" t="s">
        <v>10480</v>
      </c>
      <c r="H2445" s="2" t="s">
        <v>10481</v>
      </c>
      <c r="I2445" s="2" t="s">
        <v>10486</v>
      </c>
      <c r="J2445" s="2" t="s">
        <v>293</v>
      </c>
      <c r="K2445" s="2" t="s">
        <v>9719</v>
      </c>
      <c r="L2445" s="3">
        <v>20.23</v>
      </c>
      <c r="M2445" s="3">
        <v>21.24</v>
      </c>
      <c r="N2445" s="3">
        <v>42.49</v>
      </c>
      <c r="O2445" s="2" t="s">
        <v>243</v>
      </c>
      <c r="P2445" s="2" t="s">
        <v>295</v>
      </c>
      <c r="Q2445" s="2" t="s">
        <v>237</v>
      </c>
      <c r="R2445" s="2" t="s">
        <v>231</v>
      </c>
      <c r="S2445" s="2" t="s">
        <v>10515</v>
      </c>
      <c r="T2445" s="2" t="s">
        <v>472</v>
      </c>
      <c r="U2445" s="2" t="s">
        <v>661</v>
      </c>
      <c r="V2445" s="2" t="s">
        <v>239</v>
      </c>
      <c r="W2445" s="2" t="s">
        <v>273</v>
      </c>
      <c r="X2445" s="2" t="s">
        <v>691</v>
      </c>
      <c r="Y2445" s="2" t="s">
        <v>231</v>
      </c>
      <c r="Z2445" s="4"/>
      <c r="AA2445" s="4">
        <f>=ROUNDDOWN({0},0)</f>
      </c>
      <c r="AB2445" s="5"/>
      <c r="AC2445" s="2" t="s">
        <v>309</v>
      </c>
      <c r="AD2445" s="4">
        <v>552</v>
      </c>
      <c r="AE2445" s="4">
        <v>1188</v>
      </c>
      <c r="AF2445" s="6"/>
      <c r="AG2445" s="6"/>
      <c r="AH2445" s="7">
        <v>0</v>
      </c>
      <c r="AI2445" s="4"/>
      <c r="AJ2445" s="4">
        <f>=ROUNDDOWN({0},0)</f>
      </c>
      <c r="AK2445" s="5"/>
      <c r="AL2445" s="2" t="s">
        <v>231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231</v>
      </c>
      <c r="AW2445" s="8" t="s">
        <v>231</v>
      </c>
      <c r="AX2445" s="4" t="s">
        <v>231</v>
      </c>
      <c r="AY2445" s="8" t="s">
        <v>231</v>
      </c>
      <c r="AZ2445" s="7" t="s">
        <v>231</v>
      </c>
      <c r="BA2445" s="7" t="s">
        <v>231</v>
      </c>
      <c r="BB2445" s="7" t="s">
        <v>231</v>
      </c>
      <c r="BC2445" s="4" t="s">
        <v>231</v>
      </c>
      <c r="BD2445" s="8" t="s">
        <v>231</v>
      </c>
      <c r="BE2445" s="4" t="s">
        <v>231</v>
      </c>
      <c r="BF2445" s="8" t="s">
        <v>231</v>
      </c>
      <c r="BG2445" s="7" t="s">
        <v>231</v>
      </c>
      <c r="BH2445" s="7" t="s">
        <v>231</v>
      </c>
      <c r="BI2445" s="7"/>
      <c r="BJ2445" s="4"/>
      <c r="BK2445" s="8"/>
      <c r="BL2445" s="2" t="s">
        <v>231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241</v>
      </c>
      <c r="BV2445" s="2" t="s">
        <v>231</v>
      </c>
      <c r="BW2445" s="2" t="s">
        <v>231</v>
      </c>
      <c r="BX2445" s="2" t="s">
        <v>2109</v>
      </c>
      <c r="BY2445" s="2" t="s">
        <v>242</v>
      </c>
      <c r="BZ2445" s="2" t="s">
        <v>243</v>
      </c>
      <c r="CA2445" s="2" t="s">
        <v>231</v>
      </c>
      <c r="CB2445" s="2" t="s">
        <v>231</v>
      </c>
      <c r="CC2445" s="2" t="s">
        <v>244</v>
      </c>
      <c r="CD2445" s="2" t="s">
        <v>231</v>
      </c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>
        <v>552</v>
      </c>
      <c r="EO2445" s="4"/>
      <c r="EP2445" s="4"/>
      <c r="EQ2445" s="4"/>
      <c r="ER2445" s="4"/>
      <c r="ES2445" s="4"/>
      <c r="ET2445" s="4"/>
      <c r="EU2445" s="4"/>
      <c r="EV2445" s="4"/>
      <c r="EW2445" s="4">
        <v>424</v>
      </c>
      <c r="EX2445" s="4"/>
      <c r="EY2445" s="4"/>
      <c r="EZ2445" s="4"/>
      <c r="FA2445" s="4">
        <v>136</v>
      </c>
      <c r="FB2445" s="4"/>
      <c r="FC2445" s="4"/>
      <c r="FD2445" s="4"/>
      <c r="FE2445" s="4"/>
      <c r="FF2445" s="4"/>
      <c r="FG2445" s="4"/>
      <c r="FH2445" s="4"/>
      <c r="FI2445" s="4">
        <v>76</v>
      </c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4"/>
      <c r="HG2445" s="4"/>
      <c r="HH2445" s="4"/>
      <c r="HI2445" s="4"/>
      <c r="HJ2445" s="4"/>
      <c r="HK2445" s="4"/>
      <c r="HL2445" s="4"/>
    </row>
    <row r="2446">
      <c r="A2446" s="2" t="s">
        <v>10519</v>
      </c>
      <c r="B2446" s="2" t="s">
        <v>1186</v>
      </c>
      <c r="C2446" s="2" t="s">
        <v>1017</v>
      </c>
      <c r="D2446" s="2" t="s">
        <v>654</v>
      </c>
      <c r="E2446" s="2" t="s">
        <v>890</v>
      </c>
      <c r="F2446" s="2" t="s">
        <v>10479</v>
      </c>
      <c r="G2446" s="2" t="s">
        <v>10480</v>
      </c>
      <c r="H2446" s="2" t="s">
        <v>10481</v>
      </c>
      <c r="I2446" s="2" t="s">
        <v>10482</v>
      </c>
      <c r="J2446" s="2" t="s">
        <v>302</v>
      </c>
      <c r="K2446" s="2" t="s">
        <v>9719</v>
      </c>
      <c r="L2446" s="3">
        <v>28.57</v>
      </c>
      <c r="M2446" s="3">
        <v>30</v>
      </c>
      <c r="N2446" s="3">
        <v>59.99</v>
      </c>
      <c r="O2446" s="2" t="s">
        <v>243</v>
      </c>
      <c r="P2446" s="2" t="s">
        <v>295</v>
      </c>
      <c r="Q2446" s="2" t="s">
        <v>237</v>
      </c>
      <c r="R2446" s="2" t="s">
        <v>231</v>
      </c>
      <c r="S2446" s="2" t="s">
        <v>10515</v>
      </c>
      <c r="T2446" s="2" t="s">
        <v>472</v>
      </c>
      <c r="U2446" s="2" t="s">
        <v>765</v>
      </c>
      <c r="V2446" s="2" t="s">
        <v>239</v>
      </c>
      <c r="W2446" s="2" t="s">
        <v>273</v>
      </c>
      <c r="X2446" s="2" t="s">
        <v>691</v>
      </c>
      <c r="Y2446" s="2" t="s">
        <v>231</v>
      </c>
      <c r="Z2446" s="4"/>
      <c r="AA2446" s="4">
        <f>=ROUNDDOWN({0},0)</f>
      </c>
      <c r="AB2446" s="5"/>
      <c r="AC2446" s="2" t="s">
        <v>309</v>
      </c>
      <c r="AD2446" s="4">
        <v>633</v>
      </c>
      <c r="AE2446" s="4">
        <v>1359</v>
      </c>
      <c r="AF2446" s="6"/>
      <c r="AG2446" s="6"/>
      <c r="AH2446" s="7">
        <v>0</v>
      </c>
      <c r="AI2446" s="4"/>
      <c r="AJ2446" s="4">
        <f>=ROUNDDOWN({0},0)</f>
      </c>
      <c r="AK2446" s="5"/>
      <c r="AL2446" s="2" t="s">
        <v>231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231</v>
      </c>
      <c r="AW2446" s="8" t="s">
        <v>231</v>
      </c>
      <c r="AX2446" s="4" t="s">
        <v>231</v>
      </c>
      <c r="AY2446" s="8" t="s">
        <v>231</v>
      </c>
      <c r="AZ2446" s="7" t="s">
        <v>231</v>
      </c>
      <c r="BA2446" s="7" t="s">
        <v>231</v>
      </c>
      <c r="BB2446" s="7" t="s">
        <v>231</v>
      </c>
      <c r="BC2446" s="4" t="s">
        <v>231</v>
      </c>
      <c r="BD2446" s="8" t="s">
        <v>231</v>
      </c>
      <c r="BE2446" s="4" t="s">
        <v>231</v>
      </c>
      <c r="BF2446" s="8" t="s">
        <v>231</v>
      </c>
      <c r="BG2446" s="7" t="s">
        <v>231</v>
      </c>
      <c r="BH2446" s="7" t="s">
        <v>231</v>
      </c>
      <c r="BI2446" s="7"/>
      <c r="BJ2446" s="4"/>
      <c r="BK2446" s="8"/>
      <c r="BL2446" s="2" t="s">
        <v>231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241</v>
      </c>
      <c r="BV2446" s="2" t="s">
        <v>231</v>
      </c>
      <c r="BW2446" s="2" t="s">
        <v>231</v>
      </c>
      <c r="BX2446" s="2" t="s">
        <v>2109</v>
      </c>
      <c r="BY2446" s="2" t="s">
        <v>242</v>
      </c>
      <c r="BZ2446" s="2" t="s">
        <v>243</v>
      </c>
      <c r="CA2446" s="2" t="s">
        <v>231</v>
      </c>
      <c r="CB2446" s="2" t="s">
        <v>231</v>
      </c>
      <c r="CC2446" s="2" t="s">
        <v>244</v>
      </c>
      <c r="CD2446" s="2" t="s">
        <v>231</v>
      </c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>
        <v>633</v>
      </c>
      <c r="EO2446" s="4"/>
      <c r="EP2446" s="4"/>
      <c r="EQ2446" s="4"/>
      <c r="ER2446" s="4"/>
      <c r="ES2446" s="4"/>
      <c r="ET2446" s="4"/>
      <c r="EU2446" s="4"/>
      <c r="EV2446" s="4"/>
      <c r="EW2446" s="4">
        <v>477</v>
      </c>
      <c r="EX2446" s="4"/>
      <c r="EY2446" s="4"/>
      <c r="EZ2446" s="4"/>
      <c r="FA2446" s="4">
        <v>138</v>
      </c>
      <c r="FB2446" s="4"/>
      <c r="FC2446" s="4"/>
      <c r="FD2446" s="4"/>
      <c r="FE2446" s="4"/>
      <c r="FF2446" s="4"/>
      <c r="FG2446" s="4"/>
      <c r="FH2446" s="4"/>
      <c r="FI2446" s="4">
        <v>111</v>
      </c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  <c r="HG2446" s="4"/>
      <c r="HH2446" s="4"/>
      <c r="HI2446" s="4"/>
      <c r="HJ2446" s="4"/>
      <c r="HK2446" s="4"/>
      <c r="HL2446" s="4"/>
    </row>
    <row r="2447">
      <c r="A2447" s="2" t="s">
        <v>10520</v>
      </c>
      <c r="B2447" s="2" t="s">
        <v>1186</v>
      </c>
      <c r="C2447" s="2" t="s">
        <v>1017</v>
      </c>
      <c r="D2447" s="2" t="s">
        <v>826</v>
      </c>
      <c r="E2447" s="2" t="s">
        <v>1060</v>
      </c>
      <c r="F2447" s="2" t="s">
        <v>10479</v>
      </c>
      <c r="G2447" s="2" t="s">
        <v>10480</v>
      </c>
      <c r="H2447" s="2" t="s">
        <v>10481</v>
      </c>
      <c r="I2447" s="2" t="s">
        <v>10486</v>
      </c>
      <c r="J2447" s="2" t="s">
        <v>302</v>
      </c>
      <c r="K2447" s="2" t="s">
        <v>9719</v>
      </c>
      <c r="L2447" s="3">
        <v>22.61</v>
      </c>
      <c r="M2447" s="3">
        <v>23.74</v>
      </c>
      <c r="N2447" s="3">
        <v>47.49</v>
      </c>
      <c r="O2447" s="2" t="s">
        <v>243</v>
      </c>
      <c r="P2447" s="2" t="s">
        <v>295</v>
      </c>
      <c r="Q2447" s="2" t="s">
        <v>237</v>
      </c>
      <c r="R2447" s="2" t="s">
        <v>231</v>
      </c>
      <c r="S2447" s="2" t="s">
        <v>10515</v>
      </c>
      <c r="T2447" s="2" t="s">
        <v>472</v>
      </c>
      <c r="U2447" s="2" t="s">
        <v>765</v>
      </c>
      <c r="V2447" s="2" t="s">
        <v>239</v>
      </c>
      <c r="W2447" s="2" t="s">
        <v>273</v>
      </c>
      <c r="X2447" s="2" t="s">
        <v>691</v>
      </c>
      <c r="Y2447" s="2" t="s">
        <v>231</v>
      </c>
      <c r="Z2447" s="4"/>
      <c r="AA2447" s="4">
        <f>=ROUNDDOWN({0},0)</f>
      </c>
      <c r="AB2447" s="5"/>
      <c r="AC2447" s="2" t="s">
        <v>309</v>
      </c>
      <c r="AD2447" s="4">
        <v>400</v>
      </c>
      <c r="AE2447" s="4">
        <v>820</v>
      </c>
      <c r="AF2447" s="6"/>
      <c r="AG2447" s="6"/>
      <c r="AH2447" s="7">
        <v>0</v>
      </c>
      <c r="AI2447" s="4"/>
      <c r="AJ2447" s="4">
        <f>=ROUNDDOWN({0},0)</f>
      </c>
      <c r="AK2447" s="5"/>
      <c r="AL2447" s="2" t="s">
        <v>231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231</v>
      </c>
      <c r="AW2447" s="8" t="s">
        <v>231</v>
      </c>
      <c r="AX2447" s="4" t="s">
        <v>231</v>
      </c>
      <c r="AY2447" s="8" t="s">
        <v>231</v>
      </c>
      <c r="AZ2447" s="7" t="s">
        <v>231</v>
      </c>
      <c r="BA2447" s="7" t="s">
        <v>231</v>
      </c>
      <c r="BB2447" s="7" t="s">
        <v>231</v>
      </c>
      <c r="BC2447" s="4" t="s">
        <v>231</v>
      </c>
      <c r="BD2447" s="8" t="s">
        <v>231</v>
      </c>
      <c r="BE2447" s="4" t="s">
        <v>231</v>
      </c>
      <c r="BF2447" s="8" t="s">
        <v>231</v>
      </c>
      <c r="BG2447" s="7" t="s">
        <v>231</v>
      </c>
      <c r="BH2447" s="7" t="s">
        <v>231</v>
      </c>
      <c r="BI2447" s="7"/>
      <c r="BJ2447" s="4"/>
      <c r="BK2447" s="8"/>
      <c r="BL2447" s="2" t="s">
        <v>231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241</v>
      </c>
      <c r="BV2447" s="2" t="s">
        <v>231</v>
      </c>
      <c r="BW2447" s="2" t="s">
        <v>231</v>
      </c>
      <c r="BX2447" s="2" t="s">
        <v>2109</v>
      </c>
      <c r="BY2447" s="2" t="s">
        <v>242</v>
      </c>
      <c r="BZ2447" s="2" t="s">
        <v>243</v>
      </c>
      <c r="CA2447" s="2" t="s">
        <v>231</v>
      </c>
      <c r="CB2447" s="2" t="s">
        <v>231</v>
      </c>
      <c r="CC2447" s="2" t="s">
        <v>244</v>
      </c>
      <c r="CD2447" s="2" t="s">
        <v>231</v>
      </c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>
        <v>400</v>
      </c>
      <c r="EO2447" s="4"/>
      <c r="EP2447" s="4"/>
      <c r="EQ2447" s="4"/>
      <c r="ER2447" s="4"/>
      <c r="ES2447" s="4"/>
      <c r="ET2447" s="4"/>
      <c r="EU2447" s="4"/>
      <c r="EV2447" s="4"/>
      <c r="EW2447" s="4">
        <v>260</v>
      </c>
      <c r="EX2447" s="4"/>
      <c r="EY2447" s="4"/>
      <c r="EZ2447" s="4"/>
      <c r="FA2447" s="4">
        <v>100</v>
      </c>
      <c r="FB2447" s="4"/>
      <c r="FC2447" s="4"/>
      <c r="FD2447" s="4"/>
      <c r="FE2447" s="4"/>
      <c r="FF2447" s="4"/>
      <c r="FG2447" s="4"/>
      <c r="FH2447" s="4"/>
      <c r="FI2447" s="4">
        <v>60</v>
      </c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  <c r="HG2447" s="4"/>
      <c r="HH2447" s="4"/>
      <c r="HI2447" s="4"/>
      <c r="HJ2447" s="4"/>
      <c r="HK2447" s="4"/>
      <c r="HL2447" s="4"/>
    </row>
    <row r="2448">
      <c r="A2448" s="2" t="s">
        <v>10521</v>
      </c>
      <c r="B2448" s="2" t="s">
        <v>1186</v>
      </c>
      <c r="C2448" s="2" t="s">
        <v>1017</v>
      </c>
      <c r="D2448" s="2" t="s">
        <v>654</v>
      </c>
      <c r="E2448" s="2" t="s">
        <v>890</v>
      </c>
      <c r="F2448" s="2" t="s">
        <v>10479</v>
      </c>
      <c r="G2448" s="2" t="s">
        <v>10480</v>
      </c>
      <c r="H2448" s="2" t="s">
        <v>10481</v>
      </c>
      <c r="I2448" s="2" t="s">
        <v>10482</v>
      </c>
      <c r="J2448" s="2" t="s">
        <v>832</v>
      </c>
      <c r="K2448" s="2" t="s">
        <v>778</v>
      </c>
      <c r="L2448" s="3">
        <v>21.42</v>
      </c>
      <c r="M2448" s="3">
        <v>22.49</v>
      </c>
      <c r="N2448" s="3">
        <v>44.99</v>
      </c>
      <c r="O2448" s="2" t="s">
        <v>243</v>
      </c>
      <c r="P2448" s="2" t="s">
        <v>295</v>
      </c>
      <c r="Q2448" s="2" t="s">
        <v>237</v>
      </c>
      <c r="R2448" s="2" t="s">
        <v>231</v>
      </c>
      <c r="S2448" s="2" t="s">
        <v>10522</v>
      </c>
      <c r="T2448" s="2" t="s">
        <v>472</v>
      </c>
      <c r="U2448" s="2" t="s">
        <v>791</v>
      </c>
      <c r="V2448" s="2" t="s">
        <v>239</v>
      </c>
      <c r="W2448" s="2" t="s">
        <v>273</v>
      </c>
      <c r="X2448" s="2" t="s">
        <v>691</v>
      </c>
      <c r="Y2448" s="2" t="s">
        <v>231</v>
      </c>
      <c r="Z2448" s="4"/>
      <c r="AA2448" s="4">
        <f>=ROUNDDOWN({0},0)</f>
      </c>
      <c r="AB2448" s="5"/>
      <c r="AC2448" s="2" t="s">
        <v>309</v>
      </c>
      <c r="AD2448" s="4">
        <v>174</v>
      </c>
      <c r="AE2448" s="4">
        <v>471</v>
      </c>
      <c r="AF2448" s="6"/>
      <c r="AG2448" s="6"/>
      <c r="AH2448" s="7">
        <v>0</v>
      </c>
      <c r="AI2448" s="4"/>
      <c r="AJ2448" s="4">
        <f>=ROUNDDOWN({0},0)</f>
      </c>
      <c r="AK2448" s="5"/>
      <c r="AL2448" s="2" t="s">
        <v>231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231</v>
      </c>
      <c r="AW2448" s="8" t="s">
        <v>231</v>
      </c>
      <c r="AX2448" s="4" t="s">
        <v>231</v>
      </c>
      <c r="AY2448" s="8" t="s">
        <v>231</v>
      </c>
      <c r="AZ2448" s="7" t="s">
        <v>231</v>
      </c>
      <c r="BA2448" s="7" t="s">
        <v>231</v>
      </c>
      <c r="BB2448" s="7" t="s">
        <v>231</v>
      </c>
      <c r="BC2448" s="4" t="s">
        <v>231</v>
      </c>
      <c r="BD2448" s="8" t="s">
        <v>231</v>
      </c>
      <c r="BE2448" s="4" t="s">
        <v>231</v>
      </c>
      <c r="BF2448" s="8" t="s">
        <v>231</v>
      </c>
      <c r="BG2448" s="7" t="s">
        <v>231</v>
      </c>
      <c r="BH2448" s="7" t="s">
        <v>231</v>
      </c>
      <c r="BI2448" s="7"/>
      <c r="BJ2448" s="4"/>
      <c r="BK2448" s="8"/>
      <c r="BL2448" s="2" t="s">
        <v>231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241</v>
      </c>
      <c r="BV2448" s="2" t="s">
        <v>231</v>
      </c>
      <c r="BW2448" s="2" t="s">
        <v>231</v>
      </c>
      <c r="BX2448" s="2" t="s">
        <v>2109</v>
      </c>
      <c r="BY2448" s="2" t="s">
        <v>242</v>
      </c>
      <c r="BZ2448" s="2" t="s">
        <v>243</v>
      </c>
      <c r="CA2448" s="2" t="s">
        <v>231</v>
      </c>
      <c r="CB2448" s="2" t="s">
        <v>231</v>
      </c>
      <c r="CC2448" s="2" t="s">
        <v>244</v>
      </c>
      <c r="CD2448" s="2" t="s">
        <v>231</v>
      </c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>
        <v>174</v>
      </c>
      <c r="EO2448" s="4"/>
      <c r="EP2448" s="4"/>
      <c r="EQ2448" s="4"/>
      <c r="ER2448" s="4"/>
      <c r="ES2448" s="4"/>
      <c r="ET2448" s="4"/>
      <c r="EU2448" s="4"/>
      <c r="EV2448" s="4"/>
      <c r="EW2448" s="4">
        <v>105</v>
      </c>
      <c r="EX2448" s="4"/>
      <c r="EY2448" s="4"/>
      <c r="EZ2448" s="4"/>
      <c r="FA2448" s="4">
        <v>93</v>
      </c>
      <c r="FB2448" s="4"/>
      <c r="FC2448" s="4"/>
      <c r="FD2448" s="4"/>
      <c r="FE2448" s="4"/>
      <c r="FF2448" s="4"/>
      <c r="FG2448" s="4"/>
      <c r="FH2448" s="4"/>
      <c r="FI2448" s="4">
        <v>99</v>
      </c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</row>
    <row r="2449">
      <c r="A2449" s="2" t="s">
        <v>10523</v>
      </c>
      <c r="B2449" s="2" t="s">
        <v>1186</v>
      </c>
      <c r="C2449" s="2" t="s">
        <v>1017</v>
      </c>
      <c r="D2449" s="2" t="s">
        <v>826</v>
      </c>
      <c r="E2449" s="2" t="s">
        <v>1060</v>
      </c>
      <c r="F2449" s="2" t="s">
        <v>10479</v>
      </c>
      <c r="G2449" s="2" t="s">
        <v>10480</v>
      </c>
      <c r="H2449" s="2" t="s">
        <v>10481</v>
      </c>
      <c r="I2449" s="2" t="s">
        <v>10486</v>
      </c>
      <c r="J2449" s="2" t="s">
        <v>832</v>
      </c>
      <c r="K2449" s="2" t="s">
        <v>778</v>
      </c>
      <c r="L2449" s="3">
        <v>15.47</v>
      </c>
      <c r="M2449" s="3">
        <v>16.24</v>
      </c>
      <c r="N2449" s="3">
        <v>32.49</v>
      </c>
      <c r="O2449" s="2" t="s">
        <v>243</v>
      </c>
      <c r="P2449" s="2" t="s">
        <v>295</v>
      </c>
      <c r="Q2449" s="2" t="s">
        <v>237</v>
      </c>
      <c r="R2449" s="2" t="s">
        <v>231</v>
      </c>
      <c r="S2449" s="2" t="s">
        <v>10522</v>
      </c>
      <c r="T2449" s="2" t="s">
        <v>472</v>
      </c>
      <c r="U2449" s="2" t="s">
        <v>791</v>
      </c>
      <c r="V2449" s="2" t="s">
        <v>239</v>
      </c>
      <c r="W2449" s="2" t="s">
        <v>273</v>
      </c>
      <c r="X2449" s="2" t="s">
        <v>691</v>
      </c>
      <c r="Y2449" s="2" t="s">
        <v>231</v>
      </c>
      <c r="Z2449" s="4"/>
      <c r="AA2449" s="4">
        <f>=ROUNDDOWN({0},0)</f>
      </c>
      <c r="AB2449" s="5"/>
      <c r="AC2449" s="2" t="s">
        <v>309</v>
      </c>
      <c r="AD2449" s="4">
        <v>76</v>
      </c>
      <c r="AE2449" s="4">
        <v>232</v>
      </c>
      <c r="AF2449" s="6"/>
      <c r="AG2449" s="6"/>
      <c r="AH2449" s="7">
        <v>0</v>
      </c>
      <c r="AI2449" s="4"/>
      <c r="AJ2449" s="4">
        <f>=ROUNDDOWN({0},0)</f>
      </c>
      <c r="AK2449" s="5"/>
      <c r="AL2449" s="2" t="s">
        <v>231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231</v>
      </c>
      <c r="AW2449" s="8" t="s">
        <v>231</v>
      </c>
      <c r="AX2449" s="4" t="s">
        <v>231</v>
      </c>
      <c r="AY2449" s="8" t="s">
        <v>231</v>
      </c>
      <c r="AZ2449" s="7" t="s">
        <v>231</v>
      </c>
      <c r="BA2449" s="7" t="s">
        <v>231</v>
      </c>
      <c r="BB2449" s="7" t="s">
        <v>231</v>
      </c>
      <c r="BC2449" s="4" t="s">
        <v>231</v>
      </c>
      <c r="BD2449" s="8" t="s">
        <v>231</v>
      </c>
      <c r="BE2449" s="4" t="s">
        <v>231</v>
      </c>
      <c r="BF2449" s="8" t="s">
        <v>231</v>
      </c>
      <c r="BG2449" s="7" t="s">
        <v>231</v>
      </c>
      <c r="BH2449" s="7" t="s">
        <v>231</v>
      </c>
      <c r="BI2449" s="7"/>
      <c r="BJ2449" s="4"/>
      <c r="BK2449" s="8"/>
      <c r="BL2449" s="2" t="s">
        <v>231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241</v>
      </c>
      <c r="BV2449" s="2" t="s">
        <v>231</v>
      </c>
      <c r="BW2449" s="2" t="s">
        <v>231</v>
      </c>
      <c r="BX2449" s="2" t="s">
        <v>2109</v>
      </c>
      <c r="BY2449" s="2" t="s">
        <v>242</v>
      </c>
      <c r="BZ2449" s="2" t="s">
        <v>243</v>
      </c>
      <c r="CA2449" s="2" t="s">
        <v>231</v>
      </c>
      <c r="CB2449" s="2" t="s">
        <v>231</v>
      </c>
      <c r="CC2449" s="2" t="s">
        <v>244</v>
      </c>
      <c r="CD2449" s="2" t="s">
        <v>231</v>
      </c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>
        <v>76</v>
      </c>
      <c r="EO2449" s="4"/>
      <c r="EP2449" s="4"/>
      <c r="EQ2449" s="4"/>
      <c r="ER2449" s="4"/>
      <c r="ES2449" s="4"/>
      <c r="ET2449" s="4"/>
      <c r="EU2449" s="4"/>
      <c r="EV2449" s="4"/>
      <c r="EW2449" s="4">
        <v>44</v>
      </c>
      <c r="EX2449" s="4"/>
      <c r="EY2449" s="4"/>
      <c r="EZ2449" s="4"/>
      <c r="FA2449" s="4">
        <v>52</v>
      </c>
      <c r="FB2449" s="4"/>
      <c r="FC2449" s="4"/>
      <c r="FD2449" s="4"/>
      <c r="FE2449" s="4"/>
      <c r="FF2449" s="4"/>
      <c r="FG2449" s="4"/>
      <c r="FH2449" s="4"/>
      <c r="FI2449" s="4">
        <v>60</v>
      </c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  <c r="HG2449" s="4"/>
      <c r="HH2449" s="4"/>
      <c r="HI2449" s="4"/>
      <c r="HJ2449" s="4"/>
      <c r="HK2449" s="4"/>
      <c r="HL2449" s="4"/>
    </row>
    <row r="2450">
      <c r="A2450" s="2" t="s">
        <v>10524</v>
      </c>
      <c r="B2450" s="2" t="s">
        <v>1186</v>
      </c>
      <c r="C2450" s="2" t="s">
        <v>1017</v>
      </c>
      <c r="D2450" s="2" t="s">
        <v>654</v>
      </c>
      <c r="E2450" s="2" t="s">
        <v>890</v>
      </c>
      <c r="F2450" s="2" t="s">
        <v>10479</v>
      </c>
      <c r="G2450" s="2" t="s">
        <v>10480</v>
      </c>
      <c r="H2450" s="2" t="s">
        <v>10481</v>
      </c>
      <c r="I2450" s="2" t="s">
        <v>10482</v>
      </c>
      <c r="J2450" s="2" t="s">
        <v>293</v>
      </c>
      <c r="K2450" s="2" t="s">
        <v>778</v>
      </c>
      <c r="L2450" s="3">
        <v>26.19</v>
      </c>
      <c r="M2450" s="3">
        <v>27.5</v>
      </c>
      <c r="N2450" s="3">
        <v>54.99</v>
      </c>
      <c r="O2450" s="2" t="s">
        <v>243</v>
      </c>
      <c r="P2450" s="2" t="s">
        <v>295</v>
      </c>
      <c r="Q2450" s="2" t="s">
        <v>237</v>
      </c>
      <c r="R2450" s="2" t="s">
        <v>231</v>
      </c>
      <c r="S2450" s="2" t="s">
        <v>10522</v>
      </c>
      <c r="T2450" s="2" t="s">
        <v>472</v>
      </c>
      <c r="U2450" s="2" t="s">
        <v>835</v>
      </c>
      <c r="V2450" s="2" t="s">
        <v>239</v>
      </c>
      <c r="W2450" s="2" t="s">
        <v>273</v>
      </c>
      <c r="X2450" s="2" t="s">
        <v>691</v>
      </c>
      <c r="Y2450" s="2" t="s">
        <v>231</v>
      </c>
      <c r="Z2450" s="4"/>
      <c r="AA2450" s="4">
        <f>=ROUNDDOWN({0},0)</f>
      </c>
      <c r="AB2450" s="5"/>
      <c r="AC2450" s="2" t="s">
        <v>309</v>
      </c>
      <c r="AD2450" s="4">
        <v>654</v>
      </c>
      <c r="AE2450" s="4">
        <v>1851</v>
      </c>
      <c r="AF2450" s="6"/>
      <c r="AG2450" s="6"/>
      <c r="AH2450" s="7">
        <v>0</v>
      </c>
      <c r="AI2450" s="4"/>
      <c r="AJ2450" s="4">
        <f>=ROUNDDOWN({0},0)</f>
      </c>
      <c r="AK2450" s="5"/>
      <c r="AL2450" s="2" t="s">
        <v>231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231</v>
      </c>
      <c r="AW2450" s="8" t="s">
        <v>231</v>
      </c>
      <c r="AX2450" s="4" t="s">
        <v>231</v>
      </c>
      <c r="AY2450" s="8" t="s">
        <v>231</v>
      </c>
      <c r="AZ2450" s="7" t="s">
        <v>231</v>
      </c>
      <c r="BA2450" s="7" t="s">
        <v>231</v>
      </c>
      <c r="BB2450" s="7" t="s">
        <v>231</v>
      </c>
      <c r="BC2450" s="4" t="s">
        <v>231</v>
      </c>
      <c r="BD2450" s="8" t="s">
        <v>231</v>
      </c>
      <c r="BE2450" s="4" t="s">
        <v>231</v>
      </c>
      <c r="BF2450" s="8" t="s">
        <v>231</v>
      </c>
      <c r="BG2450" s="7" t="s">
        <v>231</v>
      </c>
      <c r="BH2450" s="7" t="s">
        <v>231</v>
      </c>
      <c r="BI2450" s="7"/>
      <c r="BJ2450" s="4"/>
      <c r="BK2450" s="8"/>
      <c r="BL2450" s="2" t="s">
        <v>231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241</v>
      </c>
      <c r="BV2450" s="2" t="s">
        <v>231</v>
      </c>
      <c r="BW2450" s="2" t="s">
        <v>231</v>
      </c>
      <c r="BX2450" s="2" t="s">
        <v>2109</v>
      </c>
      <c r="BY2450" s="2" t="s">
        <v>242</v>
      </c>
      <c r="BZ2450" s="2" t="s">
        <v>243</v>
      </c>
      <c r="CA2450" s="2" t="s">
        <v>231</v>
      </c>
      <c r="CB2450" s="2" t="s">
        <v>231</v>
      </c>
      <c r="CC2450" s="2" t="s">
        <v>244</v>
      </c>
      <c r="CD2450" s="2" t="s">
        <v>231</v>
      </c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>
        <v>654</v>
      </c>
      <c r="EO2450" s="4"/>
      <c r="EP2450" s="4"/>
      <c r="EQ2450" s="4"/>
      <c r="ER2450" s="4"/>
      <c r="ES2450" s="4"/>
      <c r="ET2450" s="4"/>
      <c r="EU2450" s="4"/>
      <c r="EV2450" s="4"/>
      <c r="EW2450" s="4">
        <v>396</v>
      </c>
      <c r="EX2450" s="4"/>
      <c r="EY2450" s="4"/>
      <c r="EZ2450" s="4"/>
      <c r="FA2450" s="4">
        <v>390</v>
      </c>
      <c r="FB2450" s="4"/>
      <c r="FC2450" s="4"/>
      <c r="FD2450" s="4"/>
      <c r="FE2450" s="4"/>
      <c r="FF2450" s="4"/>
      <c r="FG2450" s="4"/>
      <c r="FH2450" s="4"/>
      <c r="FI2450" s="4">
        <v>411</v>
      </c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  <c r="HG2450" s="4"/>
      <c r="HH2450" s="4"/>
      <c r="HI2450" s="4"/>
      <c r="HJ2450" s="4"/>
      <c r="HK2450" s="4"/>
      <c r="HL2450" s="4"/>
    </row>
    <row r="2451">
      <c r="A2451" s="2" t="s">
        <v>10525</v>
      </c>
      <c r="B2451" s="2" t="s">
        <v>1186</v>
      </c>
      <c r="C2451" s="2" t="s">
        <v>1017</v>
      </c>
      <c r="D2451" s="2" t="s">
        <v>826</v>
      </c>
      <c r="E2451" s="2" t="s">
        <v>1060</v>
      </c>
      <c r="F2451" s="2" t="s">
        <v>10479</v>
      </c>
      <c r="G2451" s="2" t="s">
        <v>10480</v>
      </c>
      <c r="H2451" s="2" t="s">
        <v>10481</v>
      </c>
      <c r="I2451" s="2" t="s">
        <v>10486</v>
      </c>
      <c r="J2451" s="2" t="s">
        <v>293</v>
      </c>
      <c r="K2451" s="2" t="s">
        <v>778</v>
      </c>
      <c r="L2451" s="3">
        <v>20.23</v>
      </c>
      <c r="M2451" s="3">
        <v>21.24</v>
      </c>
      <c r="N2451" s="3">
        <v>42.49</v>
      </c>
      <c r="O2451" s="2" t="s">
        <v>243</v>
      </c>
      <c r="P2451" s="2" t="s">
        <v>295</v>
      </c>
      <c r="Q2451" s="2" t="s">
        <v>237</v>
      </c>
      <c r="R2451" s="2" t="s">
        <v>231</v>
      </c>
      <c r="S2451" s="2" t="s">
        <v>10522</v>
      </c>
      <c r="T2451" s="2" t="s">
        <v>472</v>
      </c>
      <c r="U2451" s="2" t="s">
        <v>835</v>
      </c>
      <c r="V2451" s="2" t="s">
        <v>239</v>
      </c>
      <c r="W2451" s="2" t="s">
        <v>273</v>
      </c>
      <c r="X2451" s="2" t="s">
        <v>691</v>
      </c>
      <c r="Y2451" s="2" t="s">
        <v>231</v>
      </c>
      <c r="Z2451" s="4"/>
      <c r="AA2451" s="4">
        <f>=ROUNDDOWN({0},0)</f>
      </c>
      <c r="AB2451" s="5"/>
      <c r="AC2451" s="2" t="s">
        <v>309</v>
      </c>
      <c r="AD2451" s="4">
        <v>252</v>
      </c>
      <c r="AE2451" s="4">
        <v>840</v>
      </c>
      <c r="AF2451" s="6"/>
      <c r="AG2451" s="6"/>
      <c r="AH2451" s="7">
        <v>0</v>
      </c>
      <c r="AI2451" s="4"/>
      <c r="AJ2451" s="4">
        <f>=ROUNDDOWN({0},0)</f>
      </c>
      <c r="AK2451" s="5"/>
      <c r="AL2451" s="2" t="s">
        <v>231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231</v>
      </c>
      <c r="AW2451" s="8" t="s">
        <v>231</v>
      </c>
      <c r="AX2451" s="4" t="s">
        <v>231</v>
      </c>
      <c r="AY2451" s="8" t="s">
        <v>231</v>
      </c>
      <c r="AZ2451" s="7" t="s">
        <v>231</v>
      </c>
      <c r="BA2451" s="7" t="s">
        <v>231</v>
      </c>
      <c r="BB2451" s="7" t="s">
        <v>231</v>
      </c>
      <c r="BC2451" s="4" t="s">
        <v>231</v>
      </c>
      <c r="BD2451" s="8" t="s">
        <v>231</v>
      </c>
      <c r="BE2451" s="4" t="s">
        <v>231</v>
      </c>
      <c r="BF2451" s="8" t="s">
        <v>231</v>
      </c>
      <c r="BG2451" s="7" t="s">
        <v>231</v>
      </c>
      <c r="BH2451" s="7" t="s">
        <v>231</v>
      </c>
      <c r="BI2451" s="7"/>
      <c r="BJ2451" s="4"/>
      <c r="BK2451" s="8"/>
      <c r="BL2451" s="2" t="s">
        <v>231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241</v>
      </c>
      <c r="BV2451" s="2" t="s">
        <v>231</v>
      </c>
      <c r="BW2451" s="2" t="s">
        <v>231</v>
      </c>
      <c r="BX2451" s="2" t="s">
        <v>2109</v>
      </c>
      <c r="BY2451" s="2" t="s">
        <v>242</v>
      </c>
      <c r="BZ2451" s="2" t="s">
        <v>243</v>
      </c>
      <c r="CA2451" s="2" t="s">
        <v>231</v>
      </c>
      <c r="CB2451" s="2" t="s">
        <v>231</v>
      </c>
      <c r="CC2451" s="2" t="s">
        <v>244</v>
      </c>
      <c r="CD2451" s="2" t="s">
        <v>231</v>
      </c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>
        <v>252</v>
      </c>
      <c r="EO2451" s="4"/>
      <c r="EP2451" s="4"/>
      <c r="EQ2451" s="4"/>
      <c r="ER2451" s="4"/>
      <c r="ES2451" s="4"/>
      <c r="ET2451" s="4"/>
      <c r="EU2451" s="4"/>
      <c r="EV2451" s="4"/>
      <c r="EW2451" s="4">
        <v>188</v>
      </c>
      <c r="EX2451" s="4"/>
      <c r="EY2451" s="4"/>
      <c r="EZ2451" s="4"/>
      <c r="FA2451" s="4">
        <v>192</v>
      </c>
      <c r="FB2451" s="4"/>
      <c r="FC2451" s="4"/>
      <c r="FD2451" s="4"/>
      <c r="FE2451" s="4"/>
      <c r="FF2451" s="4"/>
      <c r="FG2451" s="4"/>
      <c r="FH2451" s="4"/>
      <c r="FI2451" s="4">
        <v>208</v>
      </c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  <c r="HG2451" s="4"/>
      <c r="HH2451" s="4"/>
      <c r="HI2451" s="4"/>
      <c r="HJ2451" s="4"/>
      <c r="HK2451" s="4"/>
      <c r="HL2451" s="4"/>
    </row>
    <row r="2452">
      <c r="A2452" s="2" t="s">
        <v>10526</v>
      </c>
      <c r="B2452" s="2" t="s">
        <v>1186</v>
      </c>
      <c r="C2452" s="2" t="s">
        <v>1017</v>
      </c>
      <c r="D2452" s="2" t="s">
        <v>654</v>
      </c>
      <c r="E2452" s="2" t="s">
        <v>890</v>
      </c>
      <c r="F2452" s="2" t="s">
        <v>10479</v>
      </c>
      <c r="G2452" s="2" t="s">
        <v>10480</v>
      </c>
      <c r="H2452" s="2" t="s">
        <v>10481</v>
      </c>
      <c r="I2452" s="2" t="s">
        <v>10482</v>
      </c>
      <c r="J2452" s="2" t="s">
        <v>302</v>
      </c>
      <c r="K2452" s="2" t="s">
        <v>778</v>
      </c>
      <c r="L2452" s="3">
        <v>28.57</v>
      </c>
      <c r="M2452" s="3">
        <v>30</v>
      </c>
      <c r="N2452" s="3">
        <v>59.99</v>
      </c>
      <c r="O2452" s="2" t="s">
        <v>243</v>
      </c>
      <c r="P2452" s="2" t="s">
        <v>295</v>
      </c>
      <c r="Q2452" s="2" t="s">
        <v>237</v>
      </c>
      <c r="R2452" s="2" t="s">
        <v>231</v>
      </c>
      <c r="S2452" s="2" t="s">
        <v>10522</v>
      </c>
      <c r="T2452" s="2" t="s">
        <v>472</v>
      </c>
      <c r="U2452" s="2" t="s">
        <v>835</v>
      </c>
      <c r="V2452" s="2" t="s">
        <v>239</v>
      </c>
      <c r="W2452" s="2" t="s">
        <v>273</v>
      </c>
      <c r="X2452" s="2" t="s">
        <v>691</v>
      </c>
      <c r="Y2452" s="2" t="s">
        <v>231</v>
      </c>
      <c r="Z2452" s="4"/>
      <c r="AA2452" s="4">
        <f>=ROUNDDOWN({0},0)</f>
      </c>
      <c r="AB2452" s="5"/>
      <c r="AC2452" s="2" t="s">
        <v>309</v>
      </c>
      <c r="AD2452" s="4">
        <v>894</v>
      </c>
      <c r="AE2452" s="4">
        <v>2319</v>
      </c>
      <c r="AF2452" s="6"/>
      <c r="AG2452" s="6"/>
      <c r="AH2452" s="7">
        <v>0</v>
      </c>
      <c r="AI2452" s="4"/>
      <c r="AJ2452" s="4">
        <f>=ROUNDDOWN({0},0)</f>
      </c>
      <c r="AK2452" s="5"/>
      <c r="AL2452" s="2" t="s">
        <v>231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231</v>
      </c>
      <c r="AW2452" s="8" t="s">
        <v>231</v>
      </c>
      <c r="AX2452" s="4" t="s">
        <v>231</v>
      </c>
      <c r="AY2452" s="8" t="s">
        <v>231</v>
      </c>
      <c r="AZ2452" s="7" t="s">
        <v>231</v>
      </c>
      <c r="BA2452" s="7" t="s">
        <v>231</v>
      </c>
      <c r="BB2452" s="7" t="s">
        <v>231</v>
      </c>
      <c r="BC2452" s="4" t="s">
        <v>231</v>
      </c>
      <c r="BD2452" s="8" t="s">
        <v>231</v>
      </c>
      <c r="BE2452" s="4" t="s">
        <v>231</v>
      </c>
      <c r="BF2452" s="8" t="s">
        <v>231</v>
      </c>
      <c r="BG2452" s="7" t="s">
        <v>231</v>
      </c>
      <c r="BH2452" s="7" t="s">
        <v>231</v>
      </c>
      <c r="BI2452" s="7"/>
      <c r="BJ2452" s="4"/>
      <c r="BK2452" s="8"/>
      <c r="BL2452" s="2" t="s">
        <v>231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241</v>
      </c>
      <c r="BV2452" s="2" t="s">
        <v>231</v>
      </c>
      <c r="BW2452" s="2" t="s">
        <v>231</v>
      </c>
      <c r="BX2452" s="2" t="s">
        <v>2109</v>
      </c>
      <c r="BY2452" s="2" t="s">
        <v>242</v>
      </c>
      <c r="BZ2452" s="2" t="s">
        <v>243</v>
      </c>
      <c r="CA2452" s="2" t="s">
        <v>231</v>
      </c>
      <c r="CB2452" s="2" t="s">
        <v>231</v>
      </c>
      <c r="CC2452" s="2" t="s">
        <v>244</v>
      </c>
      <c r="CD2452" s="2" t="s">
        <v>231</v>
      </c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>
        <v>894</v>
      </c>
      <c r="EO2452" s="4"/>
      <c r="EP2452" s="4"/>
      <c r="EQ2452" s="4"/>
      <c r="ER2452" s="4"/>
      <c r="ES2452" s="4"/>
      <c r="ET2452" s="4"/>
      <c r="EU2452" s="4"/>
      <c r="EV2452" s="4"/>
      <c r="EW2452" s="4">
        <v>438</v>
      </c>
      <c r="EX2452" s="4"/>
      <c r="EY2452" s="4"/>
      <c r="EZ2452" s="4"/>
      <c r="FA2452" s="4">
        <v>501</v>
      </c>
      <c r="FB2452" s="4"/>
      <c r="FC2452" s="4"/>
      <c r="FD2452" s="4"/>
      <c r="FE2452" s="4"/>
      <c r="FF2452" s="4"/>
      <c r="FG2452" s="4"/>
      <c r="FH2452" s="4"/>
      <c r="FI2452" s="4">
        <v>486</v>
      </c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  <c r="HG2452" s="4"/>
      <c r="HH2452" s="4"/>
      <c r="HI2452" s="4"/>
      <c r="HJ2452" s="4"/>
      <c r="HK2452" s="4"/>
      <c r="HL2452" s="4"/>
    </row>
    <row r="2453">
      <c r="A2453" s="2" t="s">
        <v>10527</v>
      </c>
      <c r="B2453" s="2" t="s">
        <v>1186</v>
      </c>
      <c r="C2453" s="2" t="s">
        <v>1017</v>
      </c>
      <c r="D2453" s="2" t="s">
        <v>826</v>
      </c>
      <c r="E2453" s="2" t="s">
        <v>1060</v>
      </c>
      <c r="F2453" s="2" t="s">
        <v>10479</v>
      </c>
      <c r="G2453" s="2" t="s">
        <v>10480</v>
      </c>
      <c r="H2453" s="2" t="s">
        <v>10481</v>
      </c>
      <c r="I2453" s="2" t="s">
        <v>10486</v>
      </c>
      <c r="J2453" s="2" t="s">
        <v>302</v>
      </c>
      <c r="K2453" s="2" t="s">
        <v>778</v>
      </c>
      <c r="L2453" s="3">
        <v>22.61</v>
      </c>
      <c r="M2453" s="3">
        <v>23.74</v>
      </c>
      <c r="N2453" s="3">
        <v>47.49</v>
      </c>
      <c r="O2453" s="2" t="s">
        <v>243</v>
      </c>
      <c r="P2453" s="2" t="s">
        <v>295</v>
      </c>
      <c r="Q2453" s="2" t="s">
        <v>237</v>
      </c>
      <c r="R2453" s="2" t="s">
        <v>231</v>
      </c>
      <c r="S2453" s="2" t="s">
        <v>10522</v>
      </c>
      <c r="T2453" s="2" t="s">
        <v>472</v>
      </c>
      <c r="U2453" s="2" t="s">
        <v>835</v>
      </c>
      <c r="V2453" s="2" t="s">
        <v>239</v>
      </c>
      <c r="W2453" s="2" t="s">
        <v>273</v>
      </c>
      <c r="X2453" s="2" t="s">
        <v>691</v>
      </c>
      <c r="Y2453" s="2" t="s">
        <v>231</v>
      </c>
      <c r="Z2453" s="4"/>
      <c r="AA2453" s="4">
        <f>=ROUNDDOWN({0},0)</f>
      </c>
      <c r="AB2453" s="5"/>
      <c r="AC2453" s="2" t="s">
        <v>309</v>
      </c>
      <c r="AD2453" s="4">
        <v>232</v>
      </c>
      <c r="AE2453" s="4">
        <v>672</v>
      </c>
      <c r="AF2453" s="6"/>
      <c r="AG2453" s="6"/>
      <c r="AH2453" s="7">
        <v>0</v>
      </c>
      <c r="AI2453" s="4"/>
      <c r="AJ2453" s="4">
        <f>=ROUNDDOWN({0},0)</f>
      </c>
      <c r="AK2453" s="5"/>
      <c r="AL2453" s="2" t="s">
        <v>231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231</v>
      </c>
      <c r="AW2453" s="8" t="s">
        <v>231</v>
      </c>
      <c r="AX2453" s="4" t="s">
        <v>231</v>
      </c>
      <c r="AY2453" s="8" t="s">
        <v>231</v>
      </c>
      <c r="AZ2453" s="7" t="s">
        <v>231</v>
      </c>
      <c r="BA2453" s="7" t="s">
        <v>231</v>
      </c>
      <c r="BB2453" s="7" t="s">
        <v>231</v>
      </c>
      <c r="BC2453" s="4" t="s">
        <v>231</v>
      </c>
      <c r="BD2453" s="8" t="s">
        <v>231</v>
      </c>
      <c r="BE2453" s="4" t="s">
        <v>231</v>
      </c>
      <c r="BF2453" s="8" t="s">
        <v>231</v>
      </c>
      <c r="BG2453" s="7" t="s">
        <v>231</v>
      </c>
      <c r="BH2453" s="7" t="s">
        <v>231</v>
      </c>
      <c r="BI2453" s="7"/>
      <c r="BJ2453" s="4"/>
      <c r="BK2453" s="8"/>
      <c r="BL2453" s="2" t="s">
        <v>231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241</v>
      </c>
      <c r="BV2453" s="2" t="s">
        <v>231</v>
      </c>
      <c r="BW2453" s="2" t="s">
        <v>231</v>
      </c>
      <c r="BX2453" s="2" t="s">
        <v>2109</v>
      </c>
      <c r="BY2453" s="2" t="s">
        <v>242</v>
      </c>
      <c r="BZ2453" s="2" t="s">
        <v>243</v>
      </c>
      <c r="CA2453" s="2" t="s">
        <v>231</v>
      </c>
      <c r="CB2453" s="2" t="s">
        <v>231</v>
      </c>
      <c r="CC2453" s="2" t="s">
        <v>244</v>
      </c>
      <c r="CD2453" s="2" t="s">
        <v>231</v>
      </c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>
        <v>232</v>
      </c>
      <c r="EO2453" s="4"/>
      <c r="EP2453" s="4"/>
      <c r="EQ2453" s="4"/>
      <c r="ER2453" s="4"/>
      <c r="ES2453" s="4"/>
      <c r="ET2453" s="4"/>
      <c r="EU2453" s="4"/>
      <c r="EV2453" s="4"/>
      <c r="EW2453" s="4">
        <v>152</v>
      </c>
      <c r="EX2453" s="4"/>
      <c r="EY2453" s="4"/>
      <c r="EZ2453" s="4"/>
      <c r="FA2453" s="4">
        <v>144</v>
      </c>
      <c r="FB2453" s="4"/>
      <c r="FC2453" s="4"/>
      <c r="FD2453" s="4"/>
      <c r="FE2453" s="4"/>
      <c r="FF2453" s="4"/>
      <c r="FG2453" s="4"/>
      <c r="FH2453" s="4"/>
      <c r="FI2453" s="4">
        <v>144</v>
      </c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  <c r="HG2453" s="4"/>
      <c r="HH2453" s="4"/>
      <c r="HI2453" s="4"/>
      <c r="HJ2453" s="4"/>
      <c r="HK2453" s="4"/>
      <c r="HL2453" s="4"/>
    </row>
    <row r="2454">
      <c r="A2454" s="2" t="s">
        <v>10528</v>
      </c>
      <c r="B2454" s="2" t="s">
        <v>1186</v>
      </c>
      <c r="C2454" s="2" t="s">
        <v>1017</v>
      </c>
      <c r="D2454" s="2" t="s">
        <v>826</v>
      </c>
      <c r="E2454" s="2" t="s">
        <v>1060</v>
      </c>
      <c r="F2454" s="2" t="s">
        <v>10479</v>
      </c>
      <c r="G2454" s="2" t="s">
        <v>10480</v>
      </c>
      <c r="H2454" s="2" t="s">
        <v>10481</v>
      </c>
      <c r="I2454" s="2" t="s">
        <v>10486</v>
      </c>
      <c r="J2454" s="2" t="s">
        <v>832</v>
      </c>
      <c r="K2454" s="2" t="s">
        <v>1800</v>
      </c>
      <c r="L2454" s="3">
        <v>15.47</v>
      </c>
      <c r="M2454" s="3">
        <v>16.24</v>
      </c>
      <c r="N2454" s="3">
        <v>32.49</v>
      </c>
      <c r="O2454" s="2" t="s">
        <v>243</v>
      </c>
      <c r="P2454" s="2" t="s">
        <v>236</v>
      </c>
      <c r="Q2454" s="2" t="s">
        <v>237</v>
      </c>
      <c r="R2454" s="2" t="s">
        <v>231</v>
      </c>
      <c r="S2454" s="2" t="s">
        <v>10529</v>
      </c>
      <c r="T2454" s="2" t="s">
        <v>472</v>
      </c>
      <c r="U2454" s="2" t="s">
        <v>791</v>
      </c>
      <c r="V2454" s="2" t="s">
        <v>239</v>
      </c>
      <c r="W2454" s="2" t="s">
        <v>273</v>
      </c>
      <c r="X2454" s="2" t="s">
        <v>691</v>
      </c>
      <c r="Y2454" s="2" t="s">
        <v>2447</v>
      </c>
      <c r="Z2454" s="4">
        <v>174</v>
      </c>
      <c r="AA2454" s="4">
        <f>=ROUNDDOWN(43.5,0)</f>
      </c>
      <c r="AB2454" s="5">
        <v>4</v>
      </c>
      <c r="AC2454" s="2" t="s">
        <v>392</v>
      </c>
      <c r="AD2454" s="4">
        <v>200</v>
      </c>
      <c r="AE2454" s="4">
        <v>200</v>
      </c>
      <c r="AF2454" s="6">
        <v>63</v>
      </c>
      <c r="AG2454" s="6">
        <v>46</v>
      </c>
      <c r="AH2454" s="7">
        <v>1</v>
      </c>
      <c r="AI2454" s="4"/>
      <c r="AJ2454" s="4">
        <f>=ROUNDDOWN({0},0)</f>
      </c>
      <c r="AK2454" s="5"/>
      <c r="AL2454" s="2" t="s">
        <v>231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231</v>
      </c>
      <c r="BD2454" s="8" t="s">
        <v>231</v>
      </c>
      <c r="BE2454" s="4" t="s">
        <v>231</v>
      </c>
      <c r="BF2454" s="8" t="s">
        <v>231</v>
      </c>
      <c r="BG2454" s="7" t="s">
        <v>231</v>
      </c>
      <c r="BH2454" s="7" t="s">
        <v>231</v>
      </c>
      <c r="BI2454" s="7"/>
      <c r="BJ2454" s="4">
        <v>3</v>
      </c>
      <c r="BK2454" s="8">
        <v>53.04</v>
      </c>
      <c r="BL2454" s="2" t="s">
        <v>393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10530</v>
      </c>
      <c r="BV2454" s="2" t="s">
        <v>231</v>
      </c>
      <c r="BW2454" s="2" t="s">
        <v>231</v>
      </c>
      <c r="BX2454" s="2" t="s">
        <v>2109</v>
      </c>
      <c r="BY2454" s="2" t="s">
        <v>277</v>
      </c>
      <c r="BZ2454" s="2" t="s">
        <v>243</v>
      </c>
      <c r="CA2454" s="2" t="s">
        <v>2447</v>
      </c>
      <c r="CB2454" s="2" t="s">
        <v>5676</v>
      </c>
      <c r="CC2454" s="2" t="s">
        <v>244</v>
      </c>
      <c r="CD2454" s="2" t="s">
        <v>231</v>
      </c>
      <c r="CE2454" s="4">
        <v>129</v>
      </c>
      <c r="CF2454" s="4"/>
      <c r="CG2454" s="4"/>
      <c r="CH2454" s="4"/>
      <c r="CI2454" s="4">
        <v>45</v>
      </c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>
        <v>200</v>
      </c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  <c r="HG2454" s="4"/>
      <c r="HH2454" s="4"/>
      <c r="HI2454" s="4"/>
      <c r="HJ2454" s="4"/>
      <c r="HK2454" s="4"/>
      <c r="HL2454" s="4"/>
    </row>
    <row r="2455">
      <c r="A2455" s="2" t="s">
        <v>10531</v>
      </c>
      <c r="B2455" s="2" t="s">
        <v>1186</v>
      </c>
      <c r="C2455" s="2" t="s">
        <v>1017</v>
      </c>
      <c r="D2455" s="2" t="s">
        <v>654</v>
      </c>
      <c r="E2455" s="2" t="s">
        <v>890</v>
      </c>
      <c r="F2455" s="2" t="s">
        <v>10479</v>
      </c>
      <c r="G2455" s="2" t="s">
        <v>10480</v>
      </c>
      <c r="H2455" s="2" t="s">
        <v>10481</v>
      </c>
      <c r="I2455" s="2" t="s">
        <v>10482</v>
      </c>
      <c r="J2455" s="2" t="s">
        <v>832</v>
      </c>
      <c r="K2455" s="2" t="s">
        <v>463</v>
      </c>
      <c r="L2455" s="3">
        <v>21.42</v>
      </c>
      <c r="M2455" s="3">
        <v>22.49</v>
      </c>
      <c r="N2455" s="3">
        <v>44.99</v>
      </c>
      <c r="O2455" s="2" t="s">
        <v>243</v>
      </c>
      <c r="P2455" s="2" t="s">
        <v>295</v>
      </c>
      <c r="Q2455" s="2" t="s">
        <v>237</v>
      </c>
      <c r="R2455" s="2" t="s">
        <v>231</v>
      </c>
      <c r="S2455" s="2" t="s">
        <v>10532</v>
      </c>
      <c r="T2455" s="2" t="s">
        <v>472</v>
      </c>
      <c r="U2455" s="2" t="s">
        <v>791</v>
      </c>
      <c r="V2455" s="2" t="s">
        <v>239</v>
      </c>
      <c r="W2455" s="2" t="s">
        <v>273</v>
      </c>
      <c r="X2455" s="2" t="s">
        <v>691</v>
      </c>
      <c r="Y2455" s="2" t="s">
        <v>231</v>
      </c>
      <c r="Z2455" s="4"/>
      <c r="AA2455" s="4">
        <f>=ROUNDDOWN({0},0)</f>
      </c>
      <c r="AB2455" s="5"/>
      <c r="AC2455" s="2" t="s">
        <v>309</v>
      </c>
      <c r="AD2455" s="4">
        <v>177</v>
      </c>
      <c r="AE2455" s="4">
        <v>558</v>
      </c>
      <c r="AF2455" s="6"/>
      <c r="AG2455" s="6"/>
      <c r="AH2455" s="7">
        <v>0</v>
      </c>
      <c r="AI2455" s="4"/>
      <c r="AJ2455" s="4">
        <f>=ROUNDDOWN({0},0)</f>
      </c>
      <c r="AK2455" s="5"/>
      <c r="AL2455" s="2" t="s">
        <v>231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231</v>
      </c>
      <c r="AW2455" s="8" t="s">
        <v>231</v>
      </c>
      <c r="AX2455" s="4" t="s">
        <v>231</v>
      </c>
      <c r="AY2455" s="8" t="s">
        <v>231</v>
      </c>
      <c r="AZ2455" s="7" t="s">
        <v>231</v>
      </c>
      <c r="BA2455" s="7" t="s">
        <v>231</v>
      </c>
      <c r="BB2455" s="7" t="s">
        <v>231</v>
      </c>
      <c r="BC2455" s="4" t="s">
        <v>231</v>
      </c>
      <c r="BD2455" s="8" t="s">
        <v>231</v>
      </c>
      <c r="BE2455" s="4" t="s">
        <v>231</v>
      </c>
      <c r="BF2455" s="8" t="s">
        <v>231</v>
      </c>
      <c r="BG2455" s="7" t="s">
        <v>231</v>
      </c>
      <c r="BH2455" s="7" t="s">
        <v>231</v>
      </c>
      <c r="BI2455" s="7"/>
      <c r="BJ2455" s="4"/>
      <c r="BK2455" s="8"/>
      <c r="BL2455" s="2" t="s">
        <v>231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241</v>
      </c>
      <c r="BV2455" s="2" t="s">
        <v>231</v>
      </c>
      <c r="BW2455" s="2" t="s">
        <v>231</v>
      </c>
      <c r="BX2455" s="2" t="s">
        <v>2109</v>
      </c>
      <c r="BY2455" s="2" t="s">
        <v>242</v>
      </c>
      <c r="BZ2455" s="2" t="s">
        <v>243</v>
      </c>
      <c r="CA2455" s="2" t="s">
        <v>231</v>
      </c>
      <c r="CB2455" s="2" t="s">
        <v>231</v>
      </c>
      <c r="CC2455" s="2" t="s">
        <v>244</v>
      </c>
      <c r="CD2455" s="2" t="s">
        <v>231</v>
      </c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>
        <v>177</v>
      </c>
      <c r="EO2455" s="4"/>
      <c r="EP2455" s="4"/>
      <c r="EQ2455" s="4"/>
      <c r="ER2455" s="4"/>
      <c r="ES2455" s="4"/>
      <c r="ET2455" s="4"/>
      <c r="EU2455" s="4"/>
      <c r="EV2455" s="4"/>
      <c r="EW2455" s="4">
        <v>135</v>
      </c>
      <c r="EX2455" s="4"/>
      <c r="EY2455" s="4"/>
      <c r="EZ2455" s="4"/>
      <c r="FA2455" s="4">
        <v>120</v>
      </c>
      <c r="FB2455" s="4"/>
      <c r="FC2455" s="4"/>
      <c r="FD2455" s="4"/>
      <c r="FE2455" s="4"/>
      <c r="FF2455" s="4"/>
      <c r="FG2455" s="4"/>
      <c r="FH2455" s="4"/>
      <c r="FI2455" s="4">
        <v>126</v>
      </c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  <c r="HG2455" s="4"/>
      <c r="HH2455" s="4"/>
      <c r="HI2455" s="4"/>
      <c r="HJ2455" s="4"/>
      <c r="HK2455" s="4"/>
      <c r="HL2455" s="4"/>
    </row>
    <row r="2456">
      <c r="A2456" s="2" t="s">
        <v>10533</v>
      </c>
      <c r="B2456" s="2" t="s">
        <v>1186</v>
      </c>
      <c r="C2456" s="2" t="s">
        <v>1017</v>
      </c>
      <c r="D2456" s="2" t="s">
        <v>826</v>
      </c>
      <c r="E2456" s="2" t="s">
        <v>1060</v>
      </c>
      <c r="F2456" s="2" t="s">
        <v>10479</v>
      </c>
      <c r="G2456" s="2" t="s">
        <v>10480</v>
      </c>
      <c r="H2456" s="2" t="s">
        <v>10481</v>
      </c>
      <c r="I2456" s="2" t="s">
        <v>10486</v>
      </c>
      <c r="J2456" s="2" t="s">
        <v>832</v>
      </c>
      <c r="K2456" s="2" t="s">
        <v>463</v>
      </c>
      <c r="L2456" s="3">
        <v>15.47</v>
      </c>
      <c r="M2456" s="3">
        <v>16.24</v>
      </c>
      <c r="N2456" s="3">
        <v>32.49</v>
      </c>
      <c r="O2456" s="2" t="s">
        <v>243</v>
      </c>
      <c r="P2456" s="2" t="s">
        <v>295</v>
      </c>
      <c r="Q2456" s="2" t="s">
        <v>237</v>
      </c>
      <c r="R2456" s="2" t="s">
        <v>231</v>
      </c>
      <c r="S2456" s="2" t="s">
        <v>10532</v>
      </c>
      <c r="T2456" s="2" t="s">
        <v>472</v>
      </c>
      <c r="U2456" s="2" t="s">
        <v>791</v>
      </c>
      <c r="V2456" s="2" t="s">
        <v>239</v>
      </c>
      <c r="W2456" s="2" t="s">
        <v>273</v>
      </c>
      <c r="X2456" s="2" t="s">
        <v>691</v>
      </c>
      <c r="Y2456" s="2" t="s">
        <v>231</v>
      </c>
      <c r="Z2456" s="4"/>
      <c r="AA2456" s="4">
        <f>=ROUNDDOWN({0},0)</f>
      </c>
      <c r="AB2456" s="5"/>
      <c r="AC2456" s="2" t="s">
        <v>309</v>
      </c>
      <c r="AD2456" s="4">
        <v>48</v>
      </c>
      <c r="AE2456" s="4">
        <v>208</v>
      </c>
      <c r="AF2456" s="6"/>
      <c r="AG2456" s="6"/>
      <c r="AH2456" s="7">
        <v>0</v>
      </c>
      <c r="AI2456" s="4"/>
      <c r="AJ2456" s="4">
        <f>=ROUNDDOWN({0},0)</f>
      </c>
      <c r="AK2456" s="5"/>
      <c r="AL2456" s="2" t="s">
        <v>231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231</v>
      </c>
      <c r="AW2456" s="8" t="s">
        <v>231</v>
      </c>
      <c r="AX2456" s="4" t="s">
        <v>231</v>
      </c>
      <c r="AY2456" s="8" t="s">
        <v>231</v>
      </c>
      <c r="AZ2456" s="7" t="s">
        <v>231</v>
      </c>
      <c r="BA2456" s="7" t="s">
        <v>231</v>
      </c>
      <c r="BB2456" s="7" t="s">
        <v>231</v>
      </c>
      <c r="BC2456" s="4" t="s">
        <v>231</v>
      </c>
      <c r="BD2456" s="8" t="s">
        <v>231</v>
      </c>
      <c r="BE2456" s="4" t="s">
        <v>231</v>
      </c>
      <c r="BF2456" s="8" t="s">
        <v>231</v>
      </c>
      <c r="BG2456" s="7" t="s">
        <v>231</v>
      </c>
      <c r="BH2456" s="7" t="s">
        <v>231</v>
      </c>
      <c r="BI2456" s="7"/>
      <c r="BJ2456" s="4"/>
      <c r="BK2456" s="8"/>
      <c r="BL2456" s="2" t="s">
        <v>231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241</v>
      </c>
      <c r="BV2456" s="2" t="s">
        <v>231</v>
      </c>
      <c r="BW2456" s="2" t="s">
        <v>231</v>
      </c>
      <c r="BX2456" s="2" t="s">
        <v>2109</v>
      </c>
      <c r="BY2456" s="2" t="s">
        <v>242</v>
      </c>
      <c r="BZ2456" s="2" t="s">
        <v>243</v>
      </c>
      <c r="CA2456" s="2" t="s">
        <v>231</v>
      </c>
      <c r="CB2456" s="2" t="s">
        <v>231</v>
      </c>
      <c r="CC2456" s="2" t="s">
        <v>244</v>
      </c>
      <c r="CD2456" s="2" t="s">
        <v>231</v>
      </c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>
        <v>48</v>
      </c>
      <c r="EO2456" s="4"/>
      <c r="EP2456" s="4"/>
      <c r="EQ2456" s="4"/>
      <c r="ER2456" s="4"/>
      <c r="ES2456" s="4"/>
      <c r="ET2456" s="4"/>
      <c r="EU2456" s="4"/>
      <c r="EV2456" s="4"/>
      <c r="EW2456" s="4">
        <v>48</v>
      </c>
      <c r="EX2456" s="4"/>
      <c r="EY2456" s="4"/>
      <c r="EZ2456" s="4"/>
      <c r="FA2456" s="4">
        <v>52</v>
      </c>
      <c r="FB2456" s="4"/>
      <c r="FC2456" s="4"/>
      <c r="FD2456" s="4"/>
      <c r="FE2456" s="4"/>
      <c r="FF2456" s="4"/>
      <c r="FG2456" s="4"/>
      <c r="FH2456" s="4"/>
      <c r="FI2456" s="4">
        <v>60</v>
      </c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4"/>
      <c r="HH2456" s="4"/>
      <c r="HI2456" s="4"/>
      <c r="HJ2456" s="4"/>
      <c r="HK2456" s="4"/>
      <c r="HL2456" s="4"/>
    </row>
    <row r="2457">
      <c r="A2457" s="2" t="s">
        <v>10534</v>
      </c>
      <c r="B2457" s="2" t="s">
        <v>1186</v>
      </c>
      <c r="C2457" s="2" t="s">
        <v>1017</v>
      </c>
      <c r="D2457" s="2" t="s">
        <v>654</v>
      </c>
      <c r="E2457" s="2" t="s">
        <v>890</v>
      </c>
      <c r="F2457" s="2" t="s">
        <v>10479</v>
      </c>
      <c r="G2457" s="2" t="s">
        <v>10480</v>
      </c>
      <c r="H2457" s="2" t="s">
        <v>10481</v>
      </c>
      <c r="I2457" s="2" t="s">
        <v>10482</v>
      </c>
      <c r="J2457" s="2" t="s">
        <v>293</v>
      </c>
      <c r="K2457" s="2" t="s">
        <v>463</v>
      </c>
      <c r="L2457" s="3">
        <v>26.19</v>
      </c>
      <c r="M2457" s="3">
        <v>27.5</v>
      </c>
      <c r="N2457" s="3">
        <v>54.99</v>
      </c>
      <c r="O2457" s="2" t="s">
        <v>243</v>
      </c>
      <c r="P2457" s="2" t="s">
        <v>295</v>
      </c>
      <c r="Q2457" s="2" t="s">
        <v>237</v>
      </c>
      <c r="R2457" s="2" t="s">
        <v>231</v>
      </c>
      <c r="S2457" s="2" t="s">
        <v>10532</v>
      </c>
      <c r="T2457" s="2" t="s">
        <v>472</v>
      </c>
      <c r="U2457" s="2" t="s">
        <v>835</v>
      </c>
      <c r="V2457" s="2" t="s">
        <v>239</v>
      </c>
      <c r="W2457" s="2" t="s">
        <v>273</v>
      </c>
      <c r="X2457" s="2" t="s">
        <v>691</v>
      </c>
      <c r="Y2457" s="2" t="s">
        <v>231</v>
      </c>
      <c r="Z2457" s="4"/>
      <c r="AA2457" s="4">
        <f>=ROUNDDOWN({0},0)</f>
      </c>
      <c r="AB2457" s="5"/>
      <c r="AC2457" s="2" t="s">
        <v>309</v>
      </c>
      <c r="AD2457" s="4">
        <v>642</v>
      </c>
      <c r="AE2457" s="4">
        <v>2148</v>
      </c>
      <c r="AF2457" s="6"/>
      <c r="AG2457" s="6"/>
      <c r="AH2457" s="7">
        <v>0</v>
      </c>
      <c r="AI2457" s="4"/>
      <c r="AJ2457" s="4">
        <f>=ROUNDDOWN({0},0)</f>
      </c>
      <c r="AK2457" s="5"/>
      <c r="AL2457" s="2" t="s">
        <v>231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 t="s">
        <v>231</v>
      </c>
      <c r="AW2457" s="8" t="s">
        <v>231</v>
      </c>
      <c r="AX2457" s="4" t="s">
        <v>231</v>
      </c>
      <c r="AY2457" s="8" t="s">
        <v>231</v>
      </c>
      <c r="AZ2457" s="7" t="s">
        <v>231</v>
      </c>
      <c r="BA2457" s="7" t="s">
        <v>231</v>
      </c>
      <c r="BB2457" s="7" t="s">
        <v>231</v>
      </c>
      <c r="BC2457" s="4" t="s">
        <v>231</v>
      </c>
      <c r="BD2457" s="8" t="s">
        <v>231</v>
      </c>
      <c r="BE2457" s="4" t="s">
        <v>231</v>
      </c>
      <c r="BF2457" s="8" t="s">
        <v>231</v>
      </c>
      <c r="BG2457" s="7" t="s">
        <v>231</v>
      </c>
      <c r="BH2457" s="7" t="s">
        <v>231</v>
      </c>
      <c r="BI2457" s="7"/>
      <c r="BJ2457" s="4"/>
      <c r="BK2457" s="8"/>
      <c r="BL2457" s="2" t="s">
        <v>231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241</v>
      </c>
      <c r="BV2457" s="2" t="s">
        <v>231</v>
      </c>
      <c r="BW2457" s="2" t="s">
        <v>231</v>
      </c>
      <c r="BX2457" s="2" t="s">
        <v>2109</v>
      </c>
      <c r="BY2457" s="2" t="s">
        <v>242</v>
      </c>
      <c r="BZ2457" s="2" t="s">
        <v>243</v>
      </c>
      <c r="CA2457" s="2" t="s">
        <v>231</v>
      </c>
      <c r="CB2457" s="2" t="s">
        <v>231</v>
      </c>
      <c r="CC2457" s="2" t="s">
        <v>244</v>
      </c>
      <c r="CD2457" s="2" t="s">
        <v>231</v>
      </c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>
        <v>642</v>
      </c>
      <c r="EO2457" s="4"/>
      <c r="EP2457" s="4"/>
      <c r="EQ2457" s="4"/>
      <c r="ER2457" s="4"/>
      <c r="ES2457" s="4"/>
      <c r="ET2457" s="4"/>
      <c r="EU2457" s="4"/>
      <c r="EV2457" s="4"/>
      <c r="EW2457" s="4">
        <v>498</v>
      </c>
      <c r="EX2457" s="4"/>
      <c r="EY2457" s="4"/>
      <c r="EZ2457" s="4"/>
      <c r="FA2457" s="4">
        <v>504</v>
      </c>
      <c r="FB2457" s="4"/>
      <c r="FC2457" s="4"/>
      <c r="FD2457" s="4"/>
      <c r="FE2457" s="4"/>
      <c r="FF2457" s="4"/>
      <c r="FG2457" s="4"/>
      <c r="FH2457" s="4"/>
      <c r="FI2457" s="4">
        <v>504</v>
      </c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  <c r="HG2457" s="4"/>
      <c r="HH2457" s="4"/>
      <c r="HI2457" s="4"/>
      <c r="HJ2457" s="4"/>
      <c r="HK2457" s="4"/>
      <c r="HL2457" s="4"/>
    </row>
    <row r="2458">
      <c r="A2458" s="2" t="s">
        <v>10535</v>
      </c>
      <c r="B2458" s="2" t="s">
        <v>1186</v>
      </c>
      <c r="C2458" s="2" t="s">
        <v>1017</v>
      </c>
      <c r="D2458" s="2" t="s">
        <v>826</v>
      </c>
      <c r="E2458" s="2" t="s">
        <v>1060</v>
      </c>
      <c r="F2458" s="2" t="s">
        <v>10479</v>
      </c>
      <c r="G2458" s="2" t="s">
        <v>10480</v>
      </c>
      <c r="H2458" s="2" t="s">
        <v>10481</v>
      </c>
      <c r="I2458" s="2" t="s">
        <v>10486</v>
      </c>
      <c r="J2458" s="2" t="s">
        <v>293</v>
      </c>
      <c r="K2458" s="2" t="s">
        <v>463</v>
      </c>
      <c r="L2458" s="3">
        <v>20.23</v>
      </c>
      <c r="M2458" s="3">
        <v>21.24</v>
      </c>
      <c r="N2458" s="3">
        <v>42.49</v>
      </c>
      <c r="O2458" s="2" t="s">
        <v>243</v>
      </c>
      <c r="P2458" s="2" t="s">
        <v>295</v>
      </c>
      <c r="Q2458" s="2" t="s">
        <v>237</v>
      </c>
      <c r="R2458" s="2" t="s">
        <v>231</v>
      </c>
      <c r="S2458" s="2" t="s">
        <v>10532</v>
      </c>
      <c r="T2458" s="2" t="s">
        <v>472</v>
      </c>
      <c r="U2458" s="2" t="s">
        <v>835</v>
      </c>
      <c r="V2458" s="2" t="s">
        <v>239</v>
      </c>
      <c r="W2458" s="2" t="s">
        <v>273</v>
      </c>
      <c r="X2458" s="2" t="s">
        <v>691</v>
      </c>
      <c r="Y2458" s="2" t="s">
        <v>231</v>
      </c>
      <c r="Z2458" s="4"/>
      <c r="AA2458" s="4">
        <f>=ROUNDDOWN({0},0)</f>
      </c>
      <c r="AB2458" s="5"/>
      <c r="AC2458" s="2" t="s">
        <v>309</v>
      </c>
      <c r="AD2458" s="4">
        <v>260</v>
      </c>
      <c r="AE2458" s="4">
        <v>912</v>
      </c>
      <c r="AF2458" s="6"/>
      <c r="AG2458" s="6"/>
      <c r="AH2458" s="7">
        <v>0</v>
      </c>
      <c r="AI2458" s="4"/>
      <c r="AJ2458" s="4">
        <f>=ROUNDDOWN({0},0)</f>
      </c>
      <c r="AK2458" s="5"/>
      <c r="AL2458" s="2" t="s">
        <v>231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 t="s">
        <v>231</v>
      </c>
      <c r="AW2458" s="8" t="s">
        <v>231</v>
      </c>
      <c r="AX2458" s="4" t="s">
        <v>231</v>
      </c>
      <c r="AY2458" s="8" t="s">
        <v>231</v>
      </c>
      <c r="AZ2458" s="7" t="s">
        <v>231</v>
      </c>
      <c r="BA2458" s="7" t="s">
        <v>231</v>
      </c>
      <c r="BB2458" s="7" t="s">
        <v>231</v>
      </c>
      <c r="BC2458" s="4" t="s">
        <v>231</v>
      </c>
      <c r="BD2458" s="8" t="s">
        <v>231</v>
      </c>
      <c r="BE2458" s="4" t="s">
        <v>231</v>
      </c>
      <c r="BF2458" s="8" t="s">
        <v>231</v>
      </c>
      <c r="BG2458" s="7" t="s">
        <v>231</v>
      </c>
      <c r="BH2458" s="7" t="s">
        <v>231</v>
      </c>
      <c r="BI2458" s="7"/>
      <c r="BJ2458" s="4"/>
      <c r="BK2458" s="8"/>
      <c r="BL2458" s="2" t="s">
        <v>231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241</v>
      </c>
      <c r="BV2458" s="2" t="s">
        <v>231</v>
      </c>
      <c r="BW2458" s="2" t="s">
        <v>231</v>
      </c>
      <c r="BX2458" s="2" t="s">
        <v>2109</v>
      </c>
      <c r="BY2458" s="2" t="s">
        <v>242</v>
      </c>
      <c r="BZ2458" s="2" t="s">
        <v>243</v>
      </c>
      <c r="CA2458" s="2" t="s">
        <v>231</v>
      </c>
      <c r="CB2458" s="2" t="s">
        <v>231</v>
      </c>
      <c r="CC2458" s="2" t="s">
        <v>244</v>
      </c>
      <c r="CD2458" s="2" t="s">
        <v>231</v>
      </c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>
        <v>260</v>
      </c>
      <c r="EO2458" s="4"/>
      <c r="EP2458" s="4"/>
      <c r="EQ2458" s="4"/>
      <c r="ER2458" s="4"/>
      <c r="ES2458" s="4"/>
      <c r="ET2458" s="4"/>
      <c r="EU2458" s="4"/>
      <c r="EV2458" s="4"/>
      <c r="EW2458" s="4">
        <v>216</v>
      </c>
      <c r="EX2458" s="4"/>
      <c r="EY2458" s="4"/>
      <c r="EZ2458" s="4"/>
      <c r="FA2458" s="4">
        <v>212</v>
      </c>
      <c r="FB2458" s="4"/>
      <c r="FC2458" s="4"/>
      <c r="FD2458" s="4"/>
      <c r="FE2458" s="4"/>
      <c r="FF2458" s="4"/>
      <c r="FG2458" s="4"/>
      <c r="FH2458" s="4"/>
      <c r="FI2458" s="4">
        <v>224</v>
      </c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/>
      <c r="HD2458" s="4"/>
      <c r="HE2458" s="4"/>
      <c r="HF2458" s="4"/>
      <c r="HG2458" s="4"/>
      <c r="HH2458" s="4"/>
      <c r="HI2458" s="4"/>
      <c r="HJ2458" s="4"/>
      <c r="HK2458" s="4"/>
      <c r="HL2458" s="4"/>
    </row>
    <row r="2459">
      <c r="A2459" s="2" t="s">
        <v>10536</v>
      </c>
      <c r="B2459" s="2" t="s">
        <v>1186</v>
      </c>
      <c r="C2459" s="2" t="s">
        <v>1017</v>
      </c>
      <c r="D2459" s="2" t="s">
        <v>654</v>
      </c>
      <c r="E2459" s="2" t="s">
        <v>890</v>
      </c>
      <c r="F2459" s="2" t="s">
        <v>10479</v>
      </c>
      <c r="G2459" s="2" t="s">
        <v>10480</v>
      </c>
      <c r="H2459" s="2" t="s">
        <v>10481</v>
      </c>
      <c r="I2459" s="2" t="s">
        <v>10482</v>
      </c>
      <c r="J2459" s="2" t="s">
        <v>302</v>
      </c>
      <c r="K2459" s="2" t="s">
        <v>463</v>
      </c>
      <c r="L2459" s="3">
        <v>28.57</v>
      </c>
      <c r="M2459" s="3">
        <v>30</v>
      </c>
      <c r="N2459" s="3">
        <v>59.99</v>
      </c>
      <c r="O2459" s="2" t="s">
        <v>243</v>
      </c>
      <c r="P2459" s="2" t="s">
        <v>295</v>
      </c>
      <c r="Q2459" s="2" t="s">
        <v>237</v>
      </c>
      <c r="R2459" s="2" t="s">
        <v>231</v>
      </c>
      <c r="S2459" s="2" t="s">
        <v>10532</v>
      </c>
      <c r="T2459" s="2" t="s">
        <v>472</v>
      </c>
      <c r="U2459" s="2" t="s">
        <v>835</v>
      </c>
      <c r="V2459" s="2" t="s">
        <v>239</v>
      </c>
      <c r="W2459" s="2" t="s">
        <v>273</v>
      </c>
      <c r="X2459" s="2" t="s">
        <v>691</v>
      </c>
      <c r="Y2459" s="2" t="s">
        <v>231</v>
      </c>
      <c r="Z2459" s="4"/>
      <c r="AA2459" s="4">
        <f>=ROUNDDOWN({0},0)</f>
      </c>
      <c r="AB2459" s="5"/>
      <c r="AC2459" s="2" t="s">
        <v>309</v>
      </c>
      <c r="AD2459" s="4">
        <v>813</v>
      </c>
      <c r="AE2459" s="4">
        <v>2448</v>
      </c>
      <c r="AF2459" s="6"/>
      <c r="AG2459" s="6"/>
      <c r="AH2459" s="7">
        <v>0</v>
      </c>
      <c r="AI2459" s="4"/>
      <c r="AJ2459" s="4">
        <f>=ROUNDDOWN({0},0)</f>
      </c>
      <c r="AK2459" s="5"/>
      <c r="AL2459" s="2" t="s">
        <v>231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 t="s">
        <v>231</v>
      </c>
      <c r="AW2459" s="8" t="s">
        <v>231</v>
      </c>
      <c r="AX2459" s="4" t="s">
        <v>231</v>
      </c>
      <c r="AY2459" s="8" t="s">
        <v>231</v>
      </c>
      <c r="AZ2459" s="7" t="s">
        <v>231</v>
      </c>
      <c r="BA2459" s="7" t="s">
        <v>231</v>
      </c>
      <c r="BB2459" s="7" t="s">
        <v>231</v>
      </c>
      <c r="BC2459" s="4" t="s">
        <v>231</v>
      </c>
      <c r="BD2459" s="8" t="s">
        <v>231</v>
      </c>
      <c r="BE2459" s="4" t="s">
        <v>231</v>
      </c>
      <c r="BF2459" s="8" t="s">
        <v>231</v>
      </c>
      <c r="BG2459" s="7" t="s">
        <v>231</v>
      </c>
      <c r="BH2459" s="7" t="s">
        <v>231</v>
      </c>
      <c r="BI2459" s="7"/>
      <c r="BJ2459" s="4"/>
      <c r="BK2459" s="8"/>
      <c r="BL2459" s="2" t="s">
        <v>231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241</v>
      </c>
      <c r="BV2459" s="2" t="s">
        <v>231</v>
      </c>
      <c r="BW2459" s="2" t="s">
        <v>231</v>
      </c>
      <c r="BX2459" s="2" t="s">
        <v>2109</v>
      </c>
      <c r="BY2459" s="2" t="s">
        <v>242</v>
      </c>
      <c r="BZ2459" s="2" t="s">
        <v>243</v>
      </c>
      <c r="CA2459" s="2" t="s">
        <v>231</v>
      </c>
      <c r="CB2459" s="2" t="s">
        <v>231</v>
      </c>
      <c r="CC2459" s="2" t="s">
        <v>244</v>
      </c>
      <c r="CD2459" s="2" t="s">
        <v>231</v>
      </c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>
        <v>813</v>
      </c>
      <c r="EO2459" s="4"/>
      <c r="EP2459" s="4"/>
      <c r="EQ2459" s="4"/>
      <c r="ER2459" s="4"/>
      <c r="ES2459" s="4"/>
      <c r="ET2459" s="4"/>
      <c r="EU2459" s="4"/>
      <c r="EV2459" s="4"/>
      <c r="EW2459" s="4">
        <v>504</v>
      </c>
      <c r="EX2459" s="4"/>
      <c r="EY2459" s="4"/>
      <c r="EZ2459" s="4"/>
      <c r="FA2459" s="4">
        <v>573</v>
      </c>
      <c r="FB2459" s="4"/>
      <c r="FC2459" s="4"/>
      <c r="FD2459" s="4"/>
      <c r="FE2459" s="4"/>
      <c r="FF2459" s="4"/>
      <c r="FG2459" s="4"/>
      <c r="FH2459" s="4"/>
      <c r="FI2459" s="4">
        <v>558</v>
      </c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/>
      <c r="GR2459" s="4"/>
      <c r="GS2459" s="4"/>
      <c r="GT2459" s="4"/>
      <c r="GU2459" s="4"/>
      <c r="GV2459" s="4"/>
      <c r="GW2459" s="4"/>
      <c r="GX2459" s="4"/>
      <c r="GY2459" s="4"/>
      <c r="GZ2459" s="4"/>
      <c r="HA2459" s="4"/>
      <c r="HB2459" s="4"/>
      <c r="HC2459" s="4"/>
      <c r="HD2459" s="4"/>
      <c r="HE2459" s="4"/>
      <c r="HF2459" s="4"/>
      <c r="HG2459" s="4"/>
      <c r="HH2459" s="4"/>
      <c r="HI2459" s="4"/>
      <c r="HJ2459" s="4"/>
      <c r="HK2459" s="4"/>
      <c r="HL2459" s="4"/>
    </row>
    <row r="2460">
      <c r="A2460" s="2" t="s">
        <v>10537</v>
      </c>
      <c r="B2460" s="2" t="s">
        <v>1186</v>
      </c>
      <c r="C2460" s="2" t="s">
        <v>1017</v>
      </c>
      <c r="D2460" s="2" t="s">
        <v>826</v>
      </c>
      <c r="E2460" s="2" t="s">
        <v>1060</v>
      </c>
      <c r="F2460" s="2" t="s">
        <v>10479</v>
      </c>
      <c r="G2460" s="2" t="s">
        <v>10480</v>
      </c>
      <c r="H2460" s="2" t="s">
        <v>10481</v>
      </c>
      <c r="I2460" s="2" t="s">
        <v>10486</v>
      </c>
      <c r="J2460" s="2" t="s">
        <v>302</v>
      </c>
      <c r="K2460" s="2" t="s">
        <v>463</v>
      </c>
      <c r="L2460" s="3">
        <v>22.61</v>
      </c>
      <c r="M2460" s="3">
        <v>23.74</v>
      </c>
      <c r="N2460" s="3">
        <v>47.49</v>
      </c>
      <c r="O2460" s="2" t="s">
        <v>243</v>
      </c>
      <c r="P2460" s="2" t="s">
        <v>295</v>
      </c>
      <c r="Q2460" s="2" t="s">
        <v>237</v>
      </c>
      <c r="R2460" s="2" t="s">
        <v>231</v>
      </c>
      <c r="S2460" s="2" t="s">
        <v>10532</v>
      </c>
      <c r="T2460" s="2" t="s">
        <v>472</v>
      </c>
      <c r="U2460" s="2" t="s">
        <v>835</v>
      </c>
      <c r="V2460" s="2" t="s">
        <v>239</v>
      </c>
      <c r="W2460" s="2" t="s">
        <v>273</v>
      </c>
      <c r="X2460" s="2" t="s">
        <v>691</v>
      </c>
      <c r="Y2460" s="2" t="s">
        <v>231</v>
      </c>
      <c r="Z2460" s="4"/>
      <c r="AA2460" s="4">
        <f>=ROUNDDOWN({0},0)</f>
      </c>
      <c r="AB2460" s="5"/>
      <c r="AC2460" s="2" t="s">
        <v>309</v>
      </c>
      <c r="AD2460" s="4">
        <v>252</v>
      </c>
      <c r="AE2460" s="4">
        <v>820</v>
      </c>
      <c r="AF2460" s="6"/>
      <c r="AG2460" s="6"/>
      <c r="AH2460" s="7">
        <v>0</v>
      </c>
      <c r="AI2460" s="4"/>
      <c r="AJ2460" s="4">
        <f>=ROUNDDOWN({0},0)</f>
      </c>
      <c r="AK2460" s="5"/>
      <c r="AL2460" s="2" t="s">
        <v>231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 t="s">
        <v>231</v>
      </c>
      <c r="AW2460" s="8" t="s">
        <v>231</v>
      </c>
      <c r="AX2460" s="4" t="s">
        <v>231</v>
      </c>
      <c r="AY2460" s="8" t="s">
        <v>231</v>
      </c>
      <c r="AZ2460" s="7" t="s">
        <v>231</v>
      </c>
      <c r="BA2460" s="7" t="s">
        <v>231</v>
      </c>
      <c r="BB2460" s="7" t="s">
        <v>231</v>
      </c>
      <c r="BC2460" s="4" t="s">
        <v>231</v>
      </c>
      <c r="BD2460" s="8" t="s">
        <v>231</v>
      </c>
      <c r="BE2460" s="4" t="s">
        <v>231</v>
      </c>
      <c r="BF2460" s="8" t="s">
        <v>231</v>
      </c>
      <c r="BG2460" s="7" t="s">
        <v>231</v>
      </c>
      <c r="BH2460" s="7" t="s">
        <v>231</v>
      </c>
      <c r="BI2460" s="7"/>
      <c r="BJ2460" s="4"/>
      <c r="BK2460" s="8"/>
      <c r="BL2460" s="2" t="s">
        <v>231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241</v>
      </c>
      <c r="BV2460" s="2" t="s">
        <v>231</v>
      </c>
      <c r="BW2460" s="2" t="s">
        <v>231</v>
      </c>
      <c r="BX2460" s="2" t="s">
        <v>2109</v>
      </c>
      <c r="BY2460" s="2" t="s">
        <v>242</v>
      </c>
      <c r="BZ2460" s="2" t="s">
        <v>243</v>
      </c>
      <c r="CA2460" s="2" t="s">
        <v>231</v>
      </c>
      <c r="CB2460" s="2" t="s">
        <v>231</v>
      </c>
      <c r="CC2460" s="2" t="s">
        <v>244</v>
      </c>
      <c r="CD2460" s="2" t="s">
        <v>231</v>
      </c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>
        <v>252</v>
      </c>
      <c r="EO2460" s="4"/>
      <c r="EP2460" s="4"/>
      <c r="EQ2460" s="4"/>
      <c r="ER2460" s="4"/>
      <c r="ES2460" s="4"/>
      <c r="ET2460" s="4"/>
      <c r="EU2460" s="4"/>
      <c r="EV2460" s="4"/>
      <c r="EW2460" s="4">
        <v>192</v>
      </c>
      <c r="EX2460" s="4"/>
      <c r="EY2460" s="4"/>
      <c r="EZ2460" s="4"/>
      <c r="FA2460" s="4">
        <v>188</v>
      </c>
      <c r="FB2460" s="4"/>
      <c r="FC2460" s="4"/>
      <c r="FD2460" s="4"/>
      <c r="FE2460" s="4"/>
      <c r="FF2460" s="4"/>
      <c r="FG2460" s="4"/>
      <c r="FH2460" s="4"/>
      <c r="FI2460" s="4">
        <v>188</v>
      </c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/>
      <c r="GI2460" s="4"/>
      <c r="GJ2460" s="4"/>
      <c r="GK2460" s="4"/>
      <c r="GL2460" s="4"/>
      <c r="GM2460" s="4"/>
      <c r="GN2460" s="4"/>
      <c r="GO2460" s="4"/>
      <c r="GP2460" s="4"/>
      <c r="GQ2460" s="4"/>
      <c r="GR2460" s="4"/>
      <c r="GS2460" s="4"/>
      <c r="GT2460" s="4"/>
      <c r="GU2460" s="4"/>
      <c r="GV2460" s="4"/>
      <c r="GW2460" s="4"/>
      <c r="GX2460" s="4"/>
      <c r="GY2460" s="4"/>
      <c r="GZ2460" s="4"/>
      <c r="HA2460" s="4"/>
      <c r="HB2460" s="4"/>
      <c r="HC2460" s="4"/>
      <c r="HD2460" s="4"/>
      <c r="HE2460" s="4"/>
      <c r="HF2460" s="4"/>
      <c r="HG2460" s="4"/>
      <c r="HH2460" s="4"/>
      <c r="HI2460" s="4"/>
      <c r="HJ2460" s="4"/>
      <c r="HK2460" s="4"/>
      <c r="HL2460" s="4"/>
    </row>
    <row r="2461">
      <c r="A2461" s="2" t="s">
        <v>10538</v>
      </c>
      <c r="B2461" s="2" t="s">
        <v>824</v>
      </c>
      <c r="C2461" s="2" t="s">
        <v>1221</v>
      </c>
      <c r="D2461" s="2" t="s">
        <v>826</v>
      </c>
      <c r="E2461" s="2" t="s">
        <v>1060</v>
      </c>
      <c r="F2461" s="2" t="s">
        <v>10539</v>
      </c>
      <c r="G2461" s="2" t="s">
        <v>7707</v>
      </c>
      <c r="H2461" s="2" t="s">
        <v>10540</v>
      </c>
      <c r="I2461" s="2" t="s">
        <v>3344</v>
      </c>
      <c r="J2461" s="2" t="s">
        <v>658</v>
      </c>
      <c r="K2461" s="2" t="s">
        <v>10541</v>
      </c>
      <c r="L2461" s="3">
        <v>28.57</v>
      </c>
      <c r="M2461" s="3">
        <v>30</v>
      </c>
      <c r="N2461" s="3">
        <v>59.99</v>
      </c>
      <c r="O2461" s="2" t="s">
        <v>243</v>
      </c>
      <c r="P2461" s="2" t="s">
        <v>270</v>
      </c>
      <c r="Q2461" s="2" t="s">
        <v>237</v>
      </c>
      <c r="R2461" s="2" t="s">
        <v>231</v>
      </c>
      <c r="S2461" s="2" t="s">
        <v>10542</v>
      </c>
      <c r="T2461" s="2" t="s">
        <v>895</v>
      </c>
      <c r="U2461" s="2" t="s">
        <v>835</v>
      </c>
      <c r="V2461" s="2" t="s">
        <v>1752</v>
      </c>
      <c r="W2461" s="2" t="s">
        <v>691</v>
      </c>
      <c r="X2461" s="2" t="s">
        <v>273</v>
      </c>
      <c r="Y2461" s="2" t="s">
        <v>10543</v>
      </c>
      <c r="Z2461" s="4">
        <v>68</v>
      </c>
      <c r="AA2461" s="4">
        <f>=ROUNDDOWN(3.57894736842105,0)</f>
      </c>
      <c r="AB2461" s="5">
        <v>19</v>
      </c>
      <c r="AC2461" s="2" t="s">
        <v>1128</v>
      </c>
      <c r="AD2461" s="4">
        <v>200</v>
      </c>
      <c r="AE2461" s="4">
        <v>200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231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/>
      <c r="BD2461" s="8"/>
      <c r="BE2461" s="4"/>
      <c r="BF2461" s="8"/>
      <c r="BG2461" s="7"/>
      <c r="BH2461" s="7"/>
      <c r="BI2461" s="7"/>
      <c r="BJ2461" s="4">
        <v>14</v>
      </c>
      <c r="BK2461" s="8">
        <v>420.4</v>
      </c>
      <c r="BL2461" s="2" t="s">
        <v>3369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10544</v>
      </c>
      <c r="BV2461" s="2" t="s">
        <v>231</v>
      </c>
      <c r="BW2461" s="2" t="s">
        <v>231</v>
      </c>
      <c r="BX2461" s="2" t="s">
        <v>241</v>
      </c>
      <c r="BY2461" s="2" t="s">
        <v>277</v>
      </c>
      <c r="BZ2461" s="2" t="s">
        <v>243</v>
      </c>
      <c r="CA2461" s="2" t="s">
        <v>6409</v>
      </c>
      <c r="CB2461" s="2" t="s">
        <v>1075</v>
      </c>
      <c r="CC2461" s="2" t="s">
        <v>244</v>
      </c>
      <c r="CD2461" s="2" t="s">
        <v>231</v>
      </c>
      <c r="CE2461" s="4">
        <v>68</v>
      </c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>
        <v>200</v>
      </c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/>
      <c r="GI2461" s="4"/>
      <c r="GJ2461" s="4"/>
      <c r="GK2461" s="4"/>
      <c r="GL2461" s="4"/>
      <c r="GM2461" s="4"/>
      <c r="GN2461" s="4"/>
      <c r="GO2461" s="4"/>
      <c r="GP2461" s="4"/>
      <c r="GQ2461" s="4"/>
      <c r="GR2461" s="4"/>
      <c r="GS2461" s="4"/>
      <c r="GT2461" s="4"/>
      <c r="GU2461" s="4"/>
      <c r="GV2461" s="4"/>
      <c r="GW2461" s="4"/>
      <c r="GX2461" s="4"/>
      <c r="GY2461" s="4"/>
      <c r="GZ2461" s="4"/>
      <c r="HA2461" s="4"/>
      <c r="HB2461" s="4"/>
      <c r="HC2461" s="4"/>
      <c r="HD2461" s="4"/>
      <c r="HE2461" s="4"/>
      <c r="HF2461" s="4"/>
      <c r="HG2461" s="4"/>
      <c r="HH2461" s="4"/>
      <c r="HI2461" s="4"/>
      <c r="HJ2461" s="4"/>
      <c r="HK2461" s="4"/>
      <c r="HL2461" s="4"/>
    </row>
    <row r="2462">
      <c r="A2462" s="2" t="s">
        <v>10545</v>
      </c>
      <c r="B2462" s="2" t="s">
        <v>287</v>
      </c>
      <c r="C2462" s="2" t="s">
        <v>1221</v>
      </c>
      <c r="D2462" s="2" t="s">
        <v>289</v>
      </c>
      <c r="E2462" s="2" t="s">
        <v>290</v>
      </c>
      <c r="F2462" s="2" t="s">
        <v>10546</v>
      </c>
      <c r="G2462" s="2" t="s">
        <v>10546</v>
      </c>
      <c r="H2462" s="2" t="s">
        <v>10546</v>
      </c>
      <c r="I2462" s="2" t="s">
        <v>10547</v>
      </c>
      <c r="J2462" s="2" t="s">
        <v>281</v>
      </c>
      <c r="K2462" s="2" t="s">
        <v>10548</v>
      </c>
      <c r="L2462" s="3">
        <v>14.57</v>
      </c>
      <c r="M2462" s="3">
        <v>15.3</v>
      </c>
      <c r="N2462" s="3">
        <v>30.99</v>
      </c>
      <c r="O2462" s="2" t="s">
        <v>243</v>
      </c>
      <c r="P2462" s="2" t="s">
        <v>341</v>
      </c>
      <c r="Q2462" s="2" t="s">
        <v>237</v>
      </c>
      <c r="R2462" s="2" t="s">
        <v>231</v>
      </c>
      <c r="S2462" s="2" t="s">
        <v>10549</v>
      </c>
      <c r="T2462" s="2" t="s">
        <v>472</v>
      </c>
      <c r="U2462" s="2" t="s">
        <v>231</v>
      </c>
      <c r="V2462" s="2" t="s">
        <v>4046</v>
      </c>
      <c r="W2462" s="2" t="s">
        <v>273</v>
      </c>
      <c r="X2462" s="2" t="s">
        <v>231</v>
      </c>
      <c r="Y2462" s="2" t="s">
        <v>10550</v>
      </c>
      <c r="Z2462" s="4">
        <v>135</v>
      </c>
      <c r="AA2462" s="4">
        <f>=ROUNDDOWN(75,0)</f>
      </c>
      <c r="AB2462" s="5">
        <v>1.8</v>
      </c>
      <c r="AC2462" s="2" t="s">
        <v>231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231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 t="s">
        <v>231</v>
      </c>
      <c r="AW2462" s="8" t="s">
        <v>231</v>
      </c>
      <c r="AX2462" s="4" t="s">
        <v>231</v>
      </c>
      <c r="AY2462" s="8" t="s">
        <v>231</v>
      </c>
      <c r="AZ2462" s="7" t="s">
        <v>231</v>
      </c>
      <c r="BA2462" s="7" t="s">
        <v>231</v>
      </c>
      <c r="BB2462" s="7"/>
      <c r="BC2462" s="4" t="s">
        <v>231</v>
      </c>
      <c r="BD2462" s="8" t="s">
        <v>231</v>
      </c>
      <c r="BE2462" s="4" t="s">
        <v>231</v>
      </c>
      <c r="BF2462" s="8" t="s">
        <v>231</v>
      </c>
      <c r="BG2462" s="7" t="s">
        <v>231</v>
      </c>
      <c r="BH2462" s="7" t="s">
        <v>231</v>
      </c>
      <c r="BI2462" s="7"/>
      <c r="BJ2462" s="4">
        <v>14</v>
      </c>
      <c r="BK2462" s="8">
        <v>197.66</v>
      </c>
      <c r="BL2462" s="2" t="s">
        <v>10551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10552</v>
      </c>
      <c r="BV2462" s="2" t="s">
        <v>231</v>
      </c>
      <c r="BW2462" s="2" t="s">
        <v>231</v>
      </c>
      <c r="BX2462" s="2" t="s">
        <v>231</v>
      </c>
      <c r="BY2462" s="2" t="s">
        <v>277</v>
      </c>
      <c r="BZ2462" s="2" t="s">
        <v>243</v>
      </c>
      <c r="CA2462" s="2" t="s">
        <v>599</v>
      </c>
      <c r="CB2462" s="2" t="s">
        <v>10553</v>
      </c>
      <c r="CC2462" s="2" t="s">
        <v>244</v>
      </c>
      <c r="CD2462" s="2" t="s">
        <v>231</v>
      </c>
      <c r="CE2462" s="4">
        <v>135</v>
      </c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/>
      <c r="GR2462" s="4"/>
      <c r="GS2462" s="4"/>
      <c r="GT2462" s="4"/>
      <c r="GU2462" s="4"/>
      <c r="GV2462" s="4"/>
      <c r="GW2462" s="4"/>
      <c r="GX2462" s="4"/>
      <c r="GY2462" s="4"/>
      <c r="GZ2462" s="4"/>
      <c r="HA2462" s="4"/>
      <c r="HB2462" s="4"/>
      <c r="HC2462" s="4"/>
      <c r="HD2462" s="4"/>
      <c r="HE2462" s="4"/>
      <c r="HF2462" s="4"/>
      <c r="HG2462" s="4"/>
      <c r="HH2462" s="4"/>
      <c r="HI2462" s="4"/>
      <c r="HJ2462" s="4"/>
      <c r="HK2462" s="4"/>
      <c r="HL2462" s="4"/>
    </row>
    <row r="2463">
      <c r="A2463" s="2" t="s">
        <v>10554</v>
      </c>
      <c r="B2463" s="2" t="s">
        <v>287</v>
      </c>
      <c r="C2463" s="2" t="s">
        <v>1221</v>
      </c>
      <c r="D2463" s="2" t="s">
        <v>289</v>
      </c>
      <c r="E2463" s="2" t="s">
        <v>290</v>
      </c>
      <c r="F2463" s="2" t="s">
        <v>10546</v>
      </c>
      <c r="G2463" s="2" t="s">
        <v>10546</v>
      </c>
      <c r="H2463" s="2" t="s">
        <v>10546</v>
      </c>
      <c r="I2463" s="2" t="s">
        <v>10547</v>
      </c>
      <c r="J2463" s="2" t="s">
        <v>293</v>
      </c>
      <c r="K2463" s="2" t="s">
        <v>10548</v>
      </c>
      <c r="L2463" s="3">
        <v>15.51</v>
      </c>
      <c r="M2463" s="3">
        <v>16.29</v>
      </c>
      <c r="N2463" s="3">
        <v>32.99</v>
      </c>
      <c r="O2463" s="2" t="s">
        <v>243</v>
      </c>
      <c r="P2463" s="2" t="s">
        <v>341</v>
      </c>
      <c r="Q2463" s="2" t="s">
        <v>237</v>
      </c>
      <c r="R2463" s="2" t="s">
        <v>231</v>
      </c>
      <c r="S2463" s="2" t="s">
        <v>10549</v>
      </c>
      <c r="T2463" s="2" t="s">
        <v>472</v>
      </c>
      <c r="U2463" s="2" t="s">
        <v>231</v>
      </c>
      <c r="V2463" s="2" t="s">
        <v>4046</v>
      </c>
      <c r="W2463" s="2" t="s">
        <v>273</v>
      </c>
      <c r="X2463" s="2" t="s">
        <v>231</v>
      </c>
      <c r="Y2463" s="2" t="s">
        <v>10550</v>
      </c>
      <c r="Z2463" s="4">
        <v>78</v>
      </c>
      <c r="AA2463" s="4">
        <f>=ROUNDDOWN(13.448275862069,0)</f>
      </c>
      <c r="AB2463" s="5">
        <v>5.8</v>
      </c>
      <c r="AC2463" s="2" t="s">
        <v>231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231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231</v>
      </c>
      <c r="AW2463" s="8" t="s">
        <v>231</v>
      </c>
      <c r="AX2463" s="4" t="s">
        <v>231</v>
      </c>
      <c r="AY2463" s="8" t="s">
        <v>231</v>
      </c>
      <c r="AZ2463" s="7" t="s">
        <v>231</v>
      </c>
      <c r="BA2463" s="7" t="s">
        <v>231</v>
      </c>
      <c r="BB2463" s="7"/>
      <c r="BC2463" s="4" t="s">
        <v>231</v>
      </c>
      <c r="BD2463" s="8" t="s">
        <v>231</v>
      </c>
      <c r="BE2463" s="4" t="s">
        <v>231</v>
      </c>
      <c r="BF2463" s="8" t="s">
        <v>231</v>
      </c>
      <c r="BG2463" s="7" t="s">
        <v>231</v>
      </c>
      <c r="BH2463" s="7" t="s">
        <v>231</v>
      </c>
      <c r="BI2463" s="7"/>
      <c r="BJ2463" s="4">
        <v>5</v>
      </c>
      <c r="BK2463" s="8">
        <v>98.88</v>
      </c>
      <c r="BL2463" s="2" t="s">
        <v>10555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10556</v>
      </c>
      <c r="BV2463" s="2" t="s">
        <v>231</v>
      </c>
      <c r="BW2463" s="2" t="s">
        <v>231</v>
      </c>
      <c r="BX2463" s="2" t="s">
        <v>231</v>
      </c>
      <c r="BY2463" s="2" t="s">
        <v>277</v>
      </c>
      <c r="BZ2463" s="2" t="s">
        <v>243</v>
      </c>
      <c r="CA2463" s="2" t="s">
        <v>599</v>
      </c>
      <c r="CB2463" s="2" t="s">
        <v>10557</v>
      </c>
      <c r="CC2463" s="2" t="s">
        <v>244</v>
      </c>
      <c r="CD2463" s="2" t="s">
        <v>231</v>
      </c>
      <c r="CE2463" s="4">
        <v>78</v>
      </c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/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  <c r="HG2463" s="4"/>
      <c r="HH2463" s="4"/>
      <c r="HI2463" s="4"/>
      <c r="HJ2463" s="4"/>
      <c r="HK2463" s="4"/>
      <c r="HL2463" s="4"/>
    </row>
    <row r="2464">
      <c r="A2464" s="2" t="s">
        <v>10558</v>
      </c>
      <c r="B2464" s="2" t="s">
        <v>287</v>
      </c>
      <c r="C2464" s="2" t="s">
        <v>1221</v>
      </c>
      <c r="D2464" s="2" t="s">
        <v>289</v>
      </c>
      <c r="E2464" s="2" t="s">
        <v>290</v>
      </c>
      <c r="F2464" s="2" t="s">
        <v>10546</v>
      </c>
      <c r="G2464" s="2" t="s">
        <v>10546</v>
      </c>
      <c r="H2464" s="2" t="s">
        <v>10546</v>
      </c>
      <c r="I2464" s="2" t="s">
        <v>10547</v>
      </c>
      <c r="J2464" s="2" t="s">
        <v>293</v>
      </c>
      <c r="K2464" s="2" t="s">
        <v>10559</v>
      </c>
      <c r="L2464" s="3">
        <v>15.51</v>
      </c>
      <c r="M2464" s="3">
        <v>16.29</v>
      </c>
      <c r="N2464" s="3">
        <v>32.99</v>
      </c>
      <c r="O2464" s="2" t="s">
        <v>243</v>
      </c>
      <c r="P2464" s="2" t="s">
        <v>341</v>
      </c>
      <c r="Q2464" s="2" t="s">
        <v>237</v>
      </c>
      <c r="R2464" s="2" t="s">
        <v>231</v>
      </c>
      <c r="S2464" s="2" t="s">
        <v>10560</v>
      </c>
      <c r="T2464" s="2" t="s">
        <v>472</v>
      </c>
      <c r="U2464" s="2" t="s">
        <v>298</v>
      </c>
      <c r="V2464" s="2" t="s">
        <v>4046</v>
      </c>
      <c r="W2464" s="2" t="s">
        <v>273</v>
      </c>
      <c r="X2464" s="2" t="s">
        <v>676</v>
      </c>
      <c r="Y2464" s="2" t="s">
        <v>10561</v>
      </c>
      <c r="Z2464" s="4">
        <v>14</v>
      </c>
      <c r="AA2464" s="4">
        <f>=ROUNDDOWN(1.91780821917808,0)</f>
      </c>
      <c r="AB2464" s="5">
        <v>7.3</v>
      </c>
      <c r="AC2464" s="2" t="s">
        <v>231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231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 t="s">
        <v>231</v>
      </c>
      <c r="BD2464" s="8" t="s">
        <v>231</v>
      </c>
      <c r="BE2464" s="4" t="s">
        <v>231</v>
      </c>
      <c r="BF2464" s="8" t="s">
        <v>231</v>
      </c>
      <c r="BG2464" s="7" t="s">
        <v>231</v>
      </c>
      <c r="BH2464" s="7" t="s">
        <v>231</v>
      </c>
      <c r="BI2464" s="7"/>
      <c r="BJ2464" s="4">
        <v>32</v>
      </c>
      <c r="BK2464" s="8">
        <v>395.43</v>
      </c>
      <c r="BL2464" s="2" t="s">
        <v>10562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10563</v>
      </c>
      <c r="BV2464" s="2" t="s">
        <v>231</v>
      </c>
      <c r="BW2464" s="2" t="s">
        <v>231</v>
      </c>
      <c r="BX2464" s="2" t="s">
        <v>231</v>
      </c>
      <c r="BY2464" s="2" t="s">
        <v>277</v>
      </c>
      <c r="BZ2464" s="2" t="s">
        <v>243</v>
      </c>
      <c r="CA2464" s="2" t="s">
        <v>10564</v>
      </c>
      <c r="CB2464" s="2" t="s">
        <v>2035</v>
      </c>
      <c r="CC2464" s="2" t="s">
        <v>244</v>
      </c>
      <c r="CD2464" s="2" t="s">
        <v>231</v>
      </c>
      <c r="CE2464" s="4">
        <v>14</v>
      </c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/>
      <c r="GH2464" s="4"/>
      <c r="GI2464" s="4"/>
      <c r="GJ2464" s="4"/>
      <c r="GK2464" s="4"/>
      <c r="GL2464" s="4"/>
      <c r="GM2464" s="4"/>
      <c r="GN2464" s="4"/>
      <c r="GO2464" s="4"/>
      <c r="GP2464" s="4"/>
      <c r="GQ2464" s="4"/>
      <c r="GR2464" s="4"/>
      <c r="GS2464" s="4"/>
      <c r="GT2464" s="4"/>
      <c r="GU2464" s="4"/>
      <c r="GV2464" s="4"/>
      <c r="GW2464" s="4"/>
      <c r="GX2464" s="4"/>
      <c r="GY2464" s="4"/>
      <c r="GZ2464" s="4"/>
      <c r="HA2464" s="4"/>
      <c r="HB2464" s="4"/>
      <c r="HC2464" s="4"/>
      <c r="HD2464" s="4"/>
      <c r="HE2464" s="4"/>
      <c r="HF2464" s="4"/>
      <c r="HG2464" s="4"/>
      <c r="HH2464" s="4"/>
      <c r="HI2464" s="4"/>
      <c r="HJ2464" s="4"/>
      <c r="HK2464" s="4"/>
      <c r="HL2464" s="4"/>
    </row>
    <row r="2465">
      <c r="A2465" s="2" t="s">
        <v>10565</v>
      </c>
      <c r="B2465" s="2" t="s">
        <v>287</v>
      </c>
      <c r="C2465" s="2" t="s">
        <v>1221</v>
      </c>
      <c r="D2465" s="2" t="s">
        <v>289</v>
      </c>
      <c r="E2465" s="2" t="s">
        <v>290</v>
      </c>
      <c r="F2465" s="2" t="s">
        <v>10546</v>
      </c>
      <c r="G2465" s="2" t="s">
        <v>10546</v>
      </c>
      <c r="H2465" s="2" t="s">
        <v>10546</v>
      </c>
      <c r="I2465" s="2" t="s">
        <v>10547</v>
      </c>
      <c r="J2465" s="2" t="s">
        <v>293</v>
      </c>
      <c r="K2465" s="2" t="s">
        <v>10566</v>
      </c>
      <c r="L2465" s="3">
        <v>15.51</v>
      </c>
      <c r="M2465" s="3">
        <v>16.29</v>
      </c>
      <c r="N2465" s="3">
        <v>32.99</v>
      </c>
      <c r="O2465" s="2" t="s">
        <v>243</v>
      </c>
      <c r="P2465" s="2" t="s">
        <v>341</v>
      </c>
      <c r="Q2465" s="2" t="s">
        <v>237</v>
      </c>
      <c r="R2465" s="2" t="s">
        <v>231</v>
      </c>
      <c r="S2465" s="2" t="s">
        <v>10567</v>
      </c>
      <c r="T2465" s="2" t="s">
        <v>472</v>
      </c>
      <c r="U2465" s="2" t="s">
        <v>298</v>
      </c>
      <c r="V2465" s="2" t="s">
        <v>4046</v>
      </c>
      <c r="W2465" s="2" t="s">
        <v>273</v>
      </c>
      <c r="X2465" s="2" t="s">
        <v>676</v>
      </c>
      <c r="Y2465" s="2" t="s">
        <v>10561</v>
      </c>
      <c r="Z2465" s="4">
        <v>114</v>
      </c>
      <c r="AA2465" s="4">
        <f>=ROUNDDOWN(42.2222222222222,0)</f>
      </c>
      <c r="AB2465" s="5">
        <v>2.7</v>
      </c>
      <c r="AC2465" s="2" t="s">
        <v>231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231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231</v>
      </c>
      <c r="BD2465" s="8" t="s">
        <v>231</v>
      </c>
      <c r="BE2465" s="4" t="s">
        <v>231</v>
      </c>
      <c r="BF2465" s="8" t="s">
        <v>231</v>
      </c>
      <c r="BG2465" s="7" t="s">
        <v>231</v>
      </c>
      <c r="BH2465" s="7" t="s">
        <v>231</v>
      </c>
      <c r="BI2465" s="7"/>
      <c r="BJ2465" s="4">
        <v>12</v>
      </c>
      <c r="BK2465" s="8">
        <v>186.49</v>
      </c>
      <c r="BL2465" s="2" t="s">
        <v>10568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10569</v>
      </c>
      <c r="BV2465" s="2" t="s">
        <v>231</v>
      </c>
      <c r="BW2465" s="2" t="s">
        <v>231</v>
      </c>
      <c r="BX2465" s="2" t="s">
        <v>231</v>
      </c>
      <c r="BY2465" s="2" t="s">
        <v>277</v>
      </c>
      <c r="BZ2465" s="2" t="s">
        <v>243</v>
      </c>
      <c r="CA2465" s="2" t="s">
        <v>10564</v>
      </c>
      <c r="CB2465" s="2" t="s">
        <v>3339</v>
      </c>
      <c r="CC2465" s="2" t="s">
        <v>244</v>
      </c>
      <c r="CD2465" s="2" t="s">
        <v>231</v>
      </c>
      <c r="CE2465" s="4">
        <v>114</v>
      </c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/>
      <c r="GH2465" s="4"/>
      <c r="GI2465" s="4"/>
      <c r="GJ2465" s="4"/>
      <c r="GK2465" s="4"/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/>
      <c r="GW2465" s="4"/>
      <c r="GX2465" s="4"/>
      <c r="GY2465" s="4"/>
      <c r="GZ2465" s="4"/>
      <c r="HA2465" s="4"/>
      <c r="HB2465" s="4"/>
      <c r="HC2465" s="4"/>
      <c r="HD2465" s="4"/>
      <c r="HE2465" s="4"/>
      <c r="HF2465" s="4"/>
      <c r="HG2465" s="4"/>
      <c r="HH2465" s="4"/>
      <c r="HI2465" s="4"/>
      <c r="HJ2465" s="4"/>
      <c r="HK2465" s="4"/>
      <c r="HL2465" s="4"/>
    </row>
    <row r="2466">
      <c r="A2466" s="2" t="s">
        <v>10570</v>
      </c>
      <c r="B2466" s="2" t="s">
        <v>287</v>
      </c>
      <c r="C2466" s="2" t="s">
        <v>825</v>
      </c>
      <c r="D2466" s="2" t="s">
        <v>289</v>
      </c>
      <c r="E2466" s="2" t="s">
        <v>290</v>
      </c>
      <c r="F2466" s="2" t="s">
        <v>10571</v>
      </c>
      <c r="G2466" s="2" t="s">
        <v>10571</v>
      </c>
      <c r="H2466" s="2" t="s">
        <v>10571</v>
      </c>
      <c r="I2466" s="2" t="s">
        <v>359</v>
      </c>
      <c r="J2466" s="2" t="s">
        <v>318</v>
      </c>
      <c r="K2466" s="2" t="s">
        <v>10572</v>
      </c>
      <c r="L2466" s="3">
        <v>11.95</v>
      </c>
      <c r="M2466" s="3">
        <v>12.55</v>
      </c>
      <c r="N2466" s="3">
        <v>24.99</v>
      </c>
      <c r="O2466" s="2" t="s">
        <v>243</v>
      </c>
      <c r="P2466" s="2" t="s">
        <v>236</v>
      </c>
      <c r="Q2466" s="2" t="s">
        <v>237</v>
      </c>
      <c r="R2466" s="2" t="s">
        <v>231</v>
      </c>
      <c r="S2466" s="2" t="s">
        <v>10573</v>
      </c>
      <c r="T2466" s="2" t="s">
        <v>472</v>
      </c>
      <c r="U2466" s="2" t="s">
        <v>835</v>
      </c>
      <c r="V2466" s="2" t="s">
        <v>1685</v>
      </c>
      <c r="W2466" s="2" t="s">
        <v>273</v>
      </c>
      <c r="X2466" s="2" t="s">
        <v>231</v>
      </c>
      <c r="Y2466" s="2" t="s">
        <v>1242</v>
      </c>
      <c r="Z2466" s="4">
        <v>67</v>
      </c>
      <c r="AA2466" s="4">
        <f>=ROUNDDOWN({0},0)</f>
      </c>
      <c r="AB2466" s="5"/>
      <c r="AC2466" s="2" t="s">
        <v>477</v>
      </c>
      <c r="AD2466" s="4">
        <v>60</v>
      </c>
      <c r="AE2466" s="4">
        <v>60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231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 t="s">
        <v>231</v>
      </c>
      <c r="AW2466" s="8" t="s">
        <v>231</v>
      </c>
      <c r="AX2466" s="4" t="s">
        <v>231</v>
      </c>
      <c r="AY2466" s="8" t="s">
        <v>231</v>
      </c>
      <c r="AZ2466" s="7" t="s">
        <v>231</v>
      </c>
      <c r="BA2466" s="7" t="s">
        <v>231</v>
      </c>
      <c r="BB2466" s="7"/>
      <c r="BC2466" s="4" t="s">
        <v>231</v>
      </c>
      <c r="BD2466" s="8" t="s">
        <v>231</v>
      </c>
      <c r="BE2466" s="4" t="s">
        <v>231</v>
      </c>
      <c r="BF2466" s="8" t="s">
        <v>231</v>
      </c>
      <c r="BG2466" s="7" t="s">
        <v>231</v>
      </c>
      <c r="BH2466" s="7" t="s">
        <v>231</v>
      </c>
      <c r="BI2466" s="7"/>
      <c r="BJ2466" s="4">
        <v>1</v>
      </c>
      <c r="BK2466" s="8">
        <v>13.74</v>
      </c>
      <c r="BL2466" s="2" t="s">
        <v>1020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10574</v>
      </c>
      <c r="BV2466" s="2" t="s">
        <v>231</v>
      </c>
      <c r="BW2466" s="2" t="s">
        <v>231</v>
      </c>
      <c r="BX2466" s="2" t="s">
        <v>241</v>
      </c>
      <c r="BY2466" s="2" t="s">
        <v>277</v>
      </c>
      <c r="BZ2466" s="2" t="s">
        <v>243</v>
      </c>
      <c r="CA2466" s="2" t="s">
        <v>7182</v>
      </c>
      <c r="CB2466" s="2" t="s">
        <v>231</v>
      </c>
      <c r="CC2466" s="2" t="s">
        <v>244</v>
      </c>
      <c r="CD2466" s="2" t="s">
        <v>231</v>
      </c>
      <c r="CE2466" s="4"/>
      <c r="CF2466" s="4"/>
      <c r="CG2466" s="4"/>
      <c r="CH2466" s="4"/>
      <c r="CI2466" s="4">
        <v>67</v>
      </c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>
        <v>60</v>
      </c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/>
      <c r="GH2466" s="4"/>
      <c r="GI2466" s="4"/>
      <c r="GJ2466" s="4"/>
      <c r="GK2466" s="4"/>
      <c r="GL2466" s="4"/>
      <c r="GM2466" s="4"/>
      <c r="GN2466" s="4"/>
      <c r="GO2466" s="4"/>
      <c r="GP2466" s="4"/>
      <c r="GQ2466" s="4"/>
      <c r="GR2466" s="4"/>
      <c r="GS2466" s="4"/>
      <c r="GT2466" s="4"/>
      <c r="GU2466" s="4"/>
      <c r="GV2466" s="4"/>
      <c r="GW2466" s="4"/>
      <c r="GX2466" s="4"/>
      <c r="GY2466" s="4"/>
      <c r="GZ2466" s="4"/>
      <c r="HA2466" s="4"/>
      <c r="HB2466" s="4"/>
      <c r="HC2466" s="4"/>
      <c r="HD2466" s="4"/>
      <c r="HE2466" s="4"/>
      <c r="HF2466" s="4"/>
      <c r="HG2466" s="4"/>
      <c r="HH2466" s="4"/>
      <c r="HI2466" s="4"/>
      <c r="HJ2466" s="4"/>
      <c r="HK2466" s="4"/>
      <c r="HL2466" s="4"/>
    </row>
    <row r="2467">
      <c r="A2467" s="2" t="s">
        <v>10575</v>
      </c>
      <c r="B2467" s="2" t="s">
        <v>287</v>
      </c>
      <c r="C2467" s="2" t="s">
        <v>825</v>
      </c>
      <c r="D2467" s="2" t="s">
        <v>289</v>
      </c>
      <c r="E2467" s="2" t="s">
        <v>290</v>
      </c>
      <c r="F2467" s="2" t="s">
        <v>10571</v>
      </c>
      <c r="G2467" s="2" t="s">
        <v>10571</v>
      </c>
      <c r="H2467" s="2" t="s">
        <v>10571</v>
      </c>
      <c r="I2467" s="2" t="s">
        <v>359</v>
      </c>
      <c r="J2467" s="2" t="s">
        <v>281</v>
      </c>
      <c r="K2467" s="2" t="s">
        <v>10572</v>
      </c>
      <c r="L2467" s="3">
        <v>13.55</v>
      </c>
      <c r="M2467" s="3">
        <v>14.23</v>
      </c>
      <c r="N2467" s="3">
        <v>27.99</v>
      </c>
      <c r="O2467" s="2" t="s">
        <v>243</v>
      </c>
      <c r="P2467" s="2" t="s">
        <v>236</v>
      </c>
      <c r="Q2467" s="2" t="s">
        <v>237</v>
      </c>
      <c r="R2467" s="2" t="s">
        <v>231</v>
      </c>
      <c r="S2467" s="2" t="s">
        <v>10573</v>
      </c>
      <c r="T2467" s="2" t="s">
        <v>472</v>
      </c>
      <c r="U2467" s="2" t="s">
        <v>298</v>
      </c>
      <c r="V2467" s="2" t="s">
        <v>1685</v>
      </c>
      <c r="W2467" s="2" t="s">
        <v>273</v>
      </c>
      <c r="X2467" s="2" t="s">
        <v>231</v>
      </c>
      <c r="Y2467" s="2" t="s">
        <v>1242</v>
      </c>
      <c r="Z2467" s="4">
        <v>55</v>
      </c>
      <c r="AA2467" s="4">
        <f>=ROUNDDOWN(55,0)</f>
      </c>
      <c r="AB2467" s="5">
        <v>1</v>
      </c>
      <c r="AC2467" s="2" t="s">
        <v>477</v>
      </c>
      <c r="AD2467" s="4">
        <v>60</v>
      </c>
      <c r="AE2467" s="4">
        <v>60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231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 t="s">
        <v>231</v>
      </c>
      <c r="AW2467" s="8" t="s">
        <v>231</v>
      </c>
      <c r="AX2467" s="4" t="s">
        <v>231</v>
      </c>
      <c r="AY2467" s="8" t="s">
        <v>231</v>
      </c>
      <c r="AZ2467" s="7" t="s">
        <v>231</v>
      </c>
      <c r="BA2467" s="7" t="s">
        <v>231</v>
      </c>
      <c r="BB2467" s="7"/>
      <c r="BC2467" s="4" t="s">
        <v>231</v>
      </c>
      <c r="BD2467" s="8" t="s">
        <v>231</v>
      </c>
      <c r="BE2467" s="4" t="s">
        <v>231</v>
      </c>
      <c r="BF2467" s="8" t="s">
        <v>231</v>
      </c>
      <c r="BG2467" s="7" t="s">
        <v>231</v>
      </c>
      <c r="BH2467" s="7" t="s">
        <v>231</v>
      </c>
      <c r="BI2467" s="7"/>
      <c r="BJ2467" s="4">
        <v>4</v>
      </c>
      <c r="BK2467" s="8">
        <v>52.66</v>
      </c>
      <c r="BL2467" s="2" t="s">
        <v>628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10576</v>
      </c>
      <c r="BV2467" s="2" t="s">
        <v>231</v>
      </c>
      <c r="BW2467" s="2" t="s">
        <v>231</v>
      </c>
      <c r="BX2467" s="2" t="s">
        <v>241</v>
      </c>
      <c r="BY2467" s="2" t="s">
        <v>277</v>
      </c>
      <c r="BZ2467" s="2" t="s">
        <v>243</v>
      </c>
      <c r="CA2467" s="2" t="s">
        <v>7182</v>
      </c>
      <c r="CB2467" s="2" t="s">
        <v>231</v>
      </c>
      <c r="CC2467" s="2" t="s">
        <v>244</v>
      </c>
      <c r="CD2467" s="2" t="s">
        <v>231</v>
      </c>
      <c r="CE2467" s="4"/>
      <c r="CF2467" s="4"/>
      <c r="CG2467" s="4"/>
      <c r="CH2467" s="4"/>
      <c r="CI2467" s="4">
        <v>55</v>
      </c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>
        <v>60</v>
      </c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4"/>
      <c r="HG2467" s="4"/>
      <c r="HH2467" s="4"/>
      <c r="HI2467" s="4"/>
      <c r="HJ2467" s="4"/>
      <c r="HK2467" s="4"/>
      <c r="HL2467" s="4"/>
    </row>
    <row r="2468">
      <c r="A2468" s="2" t="s">
        <v>10577</v>
      </c>
      <c r="B2468" s="2" t="s">
        <v>287</v>
      </c>
      <c r="C2468" s="2" t="s">
        <v>825</v>
      </c>
      <c r="D2468" s="2" t="s">
        <v>289</v>
      </c>
      <c r="E2468" s="2" t="s">
        <v>290</v>
      </c>
      <c r="F2468" s="2" t="s">
        <v>10571</v>
      </c>
      <c r="G2468" s="2" t="s">
        <v>10571</v>
      </c>
      <c r="H2468" s="2" t="s">
        <v>10571</v>
      </c>
      <c r="I2468" s="2" t="s">
        <v>359</v>
      </c>
      <c r="J2468" s="2" t="s">
        <v>318</v>
      </c>
      <c r="K2468" s="2" t="s">
        <v>10578</v>
      </c>
      <c r="L2468" s="3">
        <v>11.95</v>
      </c>
      <c r="M2468" s="3">
        <v>12.55</v>
      </c>
      <c r="N2468" s="3">
        <v>24.99</v>
      </c>
      <c r="O2468" s="2" t="s">
        <v>243</v>
      </c>
      <c r="P2468" s="2" t="s">
        <v>270</v>
      </c>
      <c r="Q2468" s="2" t="s">
        <v>237</v>
      </c>
      <c r="R2468" s="2" t="s">
        <v>231</v>
      </c>
      <c r="S2468" s="2" t="s">
        <v>10579</v>
      </c>
      <c r="T2468" s="2" t="s">
        <v>472</v>
      </c>
      <c r="U2468" s="2" t="s">
        <v>835</v>
      </c>
      <c r="V2468" s="2" t="s">
        <v>1192</v>
      </c>
      <c r="W2468" s="2" t="s">
        <v>273</v>
      </c>
      <c r="X2468" s="2" t="s">
        <v>231</v>
      </c>
      <c r="Y2468" s="2" t="s">
        <v>10580</v>
      </c>
      <c r="Z2468" s="4">
        <v>49</v>
      </c>
      <c r="AA2468" s="4">
        <f>=ROUNDDOWN(9.8,0)</f>
      </c>
      <c r="AB2468" s="5">
        <v>5</v>
      </c>
      <c r="AC2468" s="2" t="s">
        <v>3090</v>
      </c>
      <c r="AD2468" s="4">
        <v>30</v>
      </c>
      <c r="AE2468" s="4">
        <v>150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231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 t="s">
        <v>231</v>
      </c>
      <c r="AW2468" s="8" t="s">
        <v>231</v>
      </c>
      <c r="AX2468" s="4" t="s">
        <v>231</v>
      </c>
      <c r="AY2468" s="8" t="s">
        <v>231</v>
      </c>
      <c r="AZ2468" s="7" t="s">
        <v>231</v>
      </c>
      <c r="BA2468" s="7" t="s">
        <v>231</v>
      </c>
      <c r="BB2468" s="7"/>
      <c r="BC2468" s="4" t="s">
        <v>231</v>
      </c>
      <c r="BD2468" s="8" t="s">
        <v>231</v>
      </c>
      <c r="BE2468" s="4" t="s">
        <v>231</v>
      </c>
      <c r="BF2468" s="8" t="s">
        <v>231</v>
      </c>
      <c r="BG2468" s="7" t="s">
        <v>231</v>
      </c>
      <c r="BH2468" s="7" t="s">
        <v>231</v>
      </c>
      <c r="BI2468" s="7"/>
      <c r="BJ2468" s="4">
        <v>8</v>
      </c>
      <c r="BK2468" s="8">
        <v>101.2</v>
      </c>
      <c r="BL2468" s="2" t="s">
        <v>7281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10581</v>
      </c>
      <c r="BV2468" s="2" t="s">
        <v>231</v>
      </c>
      <c r="BW2468" s="2" t="s">
        <v>231</v>
      </c>
      <c r="BX2468" s="2" t="s">
        <v>231</v>
      </c>
      <c r="BY2468" s="2" t="s">
        <v>277</v>
      </c>
      <c r="BZ2468" s="2" t="s">
        <v>243</v>
      </c>
      <c r="CA2468" s="2" t="s">
        <v>386</v>
      </c>
      <c r="CB2468" s="2" t="s">
        <v>2637</v>
      </c>
      <c r="CC2468" s="2" t="s">
        <v>244</v>
      </c>
      <c r="CD2468" s="2" t="s">
        <v>231</v>
      </c>
      <c r="CE2468" s="4">
        <v>49</v>
      </c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>
        <v>30</v>
      </c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>
        <v>30</v>
      </c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>
        <v>90</v>
      </c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/>
      <c r="HB2468" s="4"/>
      <c r="HC2468" s="4"/>
      <c r="HD2468" s="4"/>
      <c r="HE2468" s="4"/>
      <c r="HF2468" s="4"/>
      <c r="HG2468" s="4"/>
      <c r="HH2468" s="4"/>
      <c r="HI2468" s="4"/>
      <c r="HJ2468" s="4"/>
      <c r="HK2468" s="4"/>
      <c r="HL2468" s="4"/>
    </row>
    <row r="2469">
      <c r="A2469" s="2" t="s">
        <v>10582</v>
      </c>
      <c r="B2469" s="2" t="s">
        <v>287</v>
      </c>
      <c r="C2469" s="2" t="s">
        <v>825</v>
      </c>
      <c r="D2469" s="2" t="s">
        <v>289</v>
      </c>
      <c r="E2469" s="2" t="s">
        <v>290</v>
      </c>
      <c r="F2469" s="2" t="s">
        <v>10571</v>
      </c>
      <c r="G2469" s="2" t="s">
        <v>10571</v>
      </c>
      <c r="H2469" s="2" t="s">
        <v>10571</v>
      </c>
      <c r="I2469" s="2" t="s">
        <v>359</v>
      </c>
      <c r="J2469" s="2" t="s">
        <v>293</v>
      </c>
      <c r="K2469" s="2" t="s">
        <v>10578</v>
      </c>
      <c r="L2469" s="3">
        <v>14.75</v>
      </c>
      <c r="M2469" s="3">
        <v>15.49</v>
      </c>
      <c r="N2469" s="3">
        <v>29.99</v>
      </c>
      <c r="O2469" s="2" t="s">
        <v>243</v>
      </c>
      <c r="P2469" s="2" t="s">
        <v>270</v>
      </c>
      <c r="Q2469" s="2" t="s">
        <v>237</v>
      </c>
      <c r="R2469" s="2" t="s">
        <v>231</v>
      </c>
      <c r="S2469" s="2" t="s">
        <v>10579</v>
      </c>
      <c r="T2469" s="2" t="s">
        <v>472</v>
      </c>
      <c r="U2469" s="2" t="s">
        <v>298</v>
      </c>
      <c r="V2469" s="2" t="s">
        <v>1192</v>
      </c>
      <c r="W2469" s="2" t="s">
        <v>273</v>
      </c>
      <c r="X2469" s="2" t="s">
        <v>231</v>
      </c>
      <c r="Y2469" s="2" t="s">
        <v>10580</v>
      </c>
      <c r="Z2469" s="4">
        <v>99</v>
      </c>
      <c r="AA2469" s="4">
        <f>=ROUNDDOWN(5.21052631578947,0)</f>
      </c>
      <c r="AB2469" s="5">
        <v>19</v>
      </c>
      <c r="AC2469" s="2" t="s">
        <v>3090</v>
      </c>
      <c r="AD2469" s="4">
        <v>65</v>
      </c>
      <c r="AE2469" s="4">
        <v>390</v>
      </c>
      <c r="AF2469" s="6">
        <v>65</v>
      </c>
      <c r="AG2469" s="6"/>
      <c r="AH2469" s="7">
        <v>0.3226</v>
      </c>
      <c r="AI2469" s="4"/>
      <c r="AJ2469" s="4">
        <f>=ROUNDDOWN({0},0)</f>
      </c>
      <c r="AK2469" s="5"/>
      <c r="AL2469" s="2" t="s">
        <v>231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 t="s">
        <v>231</v>
      </c>
      <c r="AW2469" s="8" t="s">
        <v>231</v>
      </c>
      <c r="AX2469" s="4" t="s">
        <v>231</v>
      </c>
      <c r="AY2469" s="8" t="s">
        <v>231</v>
      </c>
      <c r="AZ2469" s="7" t="s">
        <v>231</v>
      </c>
      <c r="BA2469" s="7" t="s">
        <v>231</v>
      </c>
      <c r="BB2469" s="7"/>
      <c r="BC2469" s="4" t="s">
        <v>231</v>
      </c>
      <c r="BD2469" s="8" t="s">
        <v>231</v>
      </c>
      <c r="BE2469" s="4" t="s">
        <v>231</v>
      </c>
      <c r="BF2469" s="8" t="s">
        <v>231</v>
      </c>
      <c r="BG2469" s="7" t="s">
        <v>231</v>
      </c>
      <c r="BH2469" s="7" t="s">
        <v>231</v>
      </c>
      <c r="BI2469" s="7"/>
      <c r="BJ2469" s="4">
        <v>15</v>
      </c>
      <c r="BK2469" s="8">
        <v>246.39</v>
      </c>
      <c r="BL2469" s="2" t="s">
        <v>7281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10583</v>
      </c>
      <c r="BV2469" s="2" t="s">
        <v>231</v>
      </c>
      <c r="BW2469" s="2" t="s">
        <v>231</v>
      </c>
      <c r="BX2469" s="2" t="s">
        <v>231</v>
      </c>
      <c r="BY2469" s="2" t="s">
        <v>277</v>
      </c>
      <c r="BZ2469" s="2" t="s">
        <v>243</v>
      </c>
      <c r="CA2469" s="2" t="s">
        <v>386</v>
      </c>
      <c r="CB2469" s="2" t="s">
        <v>5539</v>
      </c>
      <c r="CC2469" s="2" t="s">
        <v>244</v>
      </c>
      <c r="CD2469" s="2" t="s">
        <v>231</v>
      </c>
      <c r="CE2469" s="4">
        <v>99</v>
      </c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>
        <v>65</v>
      </c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>
        <v>160</v>
      </c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>
        <v>165</v>
      </c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4"/>
      <c r="HG2469" s="4"/>
      <c r="HH2469" s="4"/>
      <c r="HI2469" s="4"/>
      <c r="HJ2469" s="4"/>
      <c r="HK2469" s="4"/>
      <c r="HL2469" s="4"/>
    </row>
    <row r="2470">
      <c r="A2470" s="2" t="s">
        <v>10584</v>
      </c>
      <c r="B2470" s="2" t="s">
        <v>287</v>
      </c>
      <c r="C2470" s="2" t="s">
        <v>825</v>
      </c>
      <c r="D2470" s="2" t="s">
        <v>289</v>
      </c>
      <c r="E2470" s="2" t="s">
        <v>290</v>
      </c>
      <c r="F2470" s="2" t="s">
        <v>10571</v>
      </c>
      <c r="G2470" s="2" t="s">
        <v>10571</v>
      </c>
      <c r="H2470" s="2" t="s">
        <v>10571</v>
      </c>
      <c r="I2470" s="2" t="s">
        <v>359</v>
      </c>
      <c r="J2470" s="2" t="s">
        <v>302</v>
      </c>
      <c r="K2470" s="2" t="s">
        <v>10578</v>
      </c>
      <c r="L2470" s="3">
        <v>16.35</v>
      </c>
      <c r="M2470" s="3">
        <v>17.17</v>
      </c>
      <c r="N2470" s="3">
        <v>34.99</v>
      </c>
      <c r="O2470" s="2" t="s">
        <v>243</v>
      </c>
      <c r="P2470" s="2" t="s">
        <v>270</v>
      </c>
      <c r="Q2470" s="2" t="s">
        <v>237</v>
      </c>
      <c r="R2470" s="2" t="s">
        <v>231</v>
      </c>
      <c r="S2470" s="2" t="s">
        <v>10579</v>
      </c>
      <c r="T2470" s="2" t="s">
        <v>472</v>
      </c>
      <c r="U2470" s="2" t="s">
        <v>298</v>
      </c>
      <c r="V2470" s="2" t="s">
        <v>1192</v>
      </c>
      <c r="W2470" s="2" t="s">
        <v>273</v>
      </c>
      <c r="X2470" s="2" t="s">
        <v>231</v>
      </c>
      <c r="Y2470" s="2" t="s">
        <v>10580</v>
      </c>
      <c r="Z2470" s="4">
        <v>2</v>
      </c>
      <c r="AA2470" s="4">
        <f>=ROUNDDOWN(0.166666666666667,0)</f>
      </c>
      <c r="AB2470" s="5">
        <v>12</v>
      </c>
      <c r="AC2470" s="2" t="s">
        <v>3090</v>
      </c>
      <c r="AD2470" s="4">
        <v>80</v>
      </c>
      <c r="AE2470" s="4">
        <v>240</v>
      </c>
      <c r="AF2470" s="6">
        <v>65</v>
      </c>
      <c r="AG2470" s="6"/>
      <c r="AH2470" s="7">
        <v>0.1613</v>
      </c>
      <c r="AI2470" s="4"/>
      <c r="AJ2470" s="4">
        <f>=ROUNDDOWN({0},0)</f>
      </c>
      <c r="AK2470" s="5"/>
      <c r="AL2470" s="2" t="s">
        <v>231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 t="s">
        <v>231</v>
      </c>
      <c r="AW2470" s="8" t="s">
        <v>231</v>
      </c>
      <c r="AX2470" s="4" t="s">
        <v>231</v>
      </c>
      <c r="AY2470" s="8" t="s">
        <v>231</v>
      </c>
      <c r="AZ2470" s="7" t="s">
        <v>231</v>
      </c>
      <c r="BA2470" s="7" t="s">
        <v>231</v>
      </c>
      <c r="BB2470" s="7"/>
      <c r="BC2470" s="4" t="s">
        <v>231</v>
      </c>
      <c r="BD2470" s="8" t="s">
        <v>231</v>
      </c>
      <c r="BE2470" s="4" t="s">
        <v>231</v>
      </c>
      <c r="BF2470" s="8" t="s">
        <v>231</v>
      </c>
      <c r="BG2470" s="7" t="s">
        <v>231</v>
      </c>
      <c r="BH2470" s="7" t="s">
        <v>231</v>
      </c>
      <c r="BI2470" s="7"/>
      <c r="BJ2470" s="4">
        <v>24</v>
      </c>
      <c r="BK2470" s="8">
        <v>458.85</v>
      </c>
      <c r="BL2470" s="2" t="s">
        <v>10585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10586</v>
      </c>
      <c r="BV2470" s="2" t="s">
        <v>231</v>
      </c>
      <c r="BW2470" s="2" t="s">
        <v>231</v>
      </c>
      <c r="BX2470" s="2" t="s">
        <v>231</v>
      </c>
      <c r="BY2470" s="2" t="s">
        <v>277</v>
      </c>
      <c r="BZ2470" s="2" t="s">
        <v>243</v>
      </c>
      <c r="CA2470" s="2" t="s">
        <v>386</v>
      </c>
      <c r="CB2470" s="2" t="s">
        <v>231</v>
      </c>
      <c r="CC2470" s="2" t="s">
        <v>244</v>
      </c>
      <c r="CD2470" s="2" t="s">
        <v>231</v>
      </c>
      <c r="CE2470" s="4">
        <v>2</v>
      </c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>
        <v>80</v>
      </c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>
        <v>70</v>
      </c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>
        <v>90</v>
      </c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4"/>
      <c r="HG2470" s="4"/>
      <c r="HH2470" s="4"/>
      <c r="HI2470" s="4"/>
      <c r="HJ2470" s="4"/>
      <c r="HK2470" s="4"/>
      <c r="HL2470" s="4"/>
    </row>
    <row r="2471">
      <c r="A2471" s="2" t="s">
        <v>10587</v>
      </c>
      <c r="B2471" s="2" t="s">
        <v>287</v>
      </c>
      <c r="C2471" s="2" t="s">
        <v>825</v>
      </c>
      <c r="D2471" s="2" t="s">
        <v>289</v>
      </c>
      <c r="E2471" s="2" t="s">
        <v>290</v>
      </c>
      <c r="F2471" s="2" t="s">
        <v>10571</v>
      </c>
      <c r="G2471" s="2" t="s">
        <v>10571</v>
      </c>
      <c r="H2471" s="2" t="s">
        <v>10571</v>
      </c>
      <c r="I2471" s="2" t="s">
        <v>359</v>
      </c>
      <c r="J2471" s="2" t="s">
        <v>318</v>
      </c>
      <c r="K2471" s="2" t="s">
        <v>10588</v>
      </c>
      <c r="L2471" s="3">
        <v>11.95</v>
      </c>
      <c r="M2471" s="3">
        <v>12.55</v>
      </c>
      <c r="N2471" s="3">
        <v>24.99</v>
      </c>
      <c r="O2471" s="2" t="s">
        <v>243</v>
      </c>
      <c r="P2471" s="2" t="s">
        <v>270</v>
      </c>
      <c r="Q2471" s="2" t="s">
        <v>237</v>
      </c>
      <c r="R2471" s="2" t="s">
        <v>231</v>
      </c>
      <c r="S2471" s="2" t="s">
        <v>10589</v>
      </c>
      <c r="T2471" s="2" t="s">
        <v>472</v>
      </c>
      <c r="U2471" s="2" t="s">
        <v>835</v>
      </c>
      <c r="V2471" s="2" t="s">
        <v>3477</v>
      </c>
      <c r="W2471" s="2" t="s">
        <v>273</v>
      </c>
      <c r="X2471" s="2" t="s">
        <v>231</v>
      </c>
      <c r="Y2471" s="2" t="s">
        <v>10580</v>
      </c>
      <c r="Z2471" s="4">
        <v>75</v>
      </c>
      <c r="AA2471" s="4">
        <f>=ROUNDDOWN(18.75,0)</f>
      </c>
      <c r="AB2471" s="5">
        <v>4</v>
      </c>
      <c r="AC2471" s="2" t="s">
        <v>477</v>
      </c>
      <c r="AD2471" s="4">
        <v>40</v>
      </c>
      <c r="AE2471" s="4">
        <v>140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231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 t="s">
        <v>231</v>
      </c>
      <c r="AW2471" s="8" t="s">
        <v>231</v>
      </c>
      <c r="AX2471" s="4" t="s">
        <v>231</v>
      </c>
      <c r="AY2471" s="8" t="s">
        <v>231</v>
      </c>
      <c r="AZ2471" s="7" t="s">
        <v>231</v>
      </c>
      <c r="BA2471" s="7" t="s">
        <v>231</v>
      </c>
      <c r="BB2471" s="7"/>
      <c r="BC2471" s="4" t="s">
        <v>231</v>
      </c>
      <c r="BD2471" s="8" t="s">
        <v>231</v>
      </c>
      <c r="BE2471" s="4" t="s">
        <v>231</v>
      </c>
      <c r="BF2471" s="8" t="s">
        <v>231</v>
      </c>
      <c r="BG2471" s="7" t="s">
        <v>231</v>
      </c>
      <c r="BH2471" s="7" t="s">
        <v>231</v>
      </c>
      <c r="BI2471" s="7"/>
      <c r="BJ2471" s="4">
        <v>16</v>
      </c>
      <c r="BK2471" s="8">
        <v>208.29</v>
      </c>
      <c r="BL2471" s="2" t="s">
        <v>10590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10591</v>
      </c>
      <c r="BV2471" s="2" t="s">
        <v>231</v>
      </c>
      <c r="BW2471" s="2" t="s">
        <v>231</v>
      </c>
      <c r="BX2471" s="2" t="s">
        <v>231</v>
      </c>
      <c r="BY2471" s="2" t="s">
        <v>277</v>
      </c>
      <c r="BZ2471" s="2" t="s">
        <v>243</v>
      </c>
      <c r="CA2471" s="2" t="s">
        <v>386</v>
      </c>
      <c r="CB2471" s="2" t="s">
        <v>3957</v>
      </c>
      <c r="CC2471" s="2" t="s">
        <v>244</v>
      </c>
      <c r="CD2471" s="2" t="s">
        <v>231</v>
      </c>
      <c r="CE2471" s="4">
        <v>75</v>
      </c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>
        <v>40</v>
      </c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>
        <v>40</v>
      </c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>
        <v>60</v>
      </c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  <c r="HG2471" s="4"/>
      <c r="HH2471" s="4"/>
      <c r="HI2471" s="4"/>
      <c r="HJ2471" s="4"/>
      <c r="HK2471" s="4"/>
      <c r="HL2471" s="4"/>
    </row>
    <row r="2472">
      <c r="A2472" s="2" t="s">
        <v>10592</v>
      </c>
      <c r="B2472" s="2" t="s">
        <v>287</v>
      </c>
      <c r="C2472" s="2" t="s">
        <v>825</v>
      </c>
      <c r="D2472" s="2" t="s">
        <v>289</v>
      </c>
      <c r="E2472" s="2" t="s">
        <v>290</v>
      </c>
      <c r="F2472" s="2" t="s">
        <v>10571</v>
      </c>
      <c r="G2472" s="2" t="s">
        <v>10571</v>
      </c>
      <c r="H2472" s="2" t="s">
        <v>10571</v>
      </c>
      <c r="I2472" s="2" t="s">
        <v>359</v>
      </c>
      <c r="J2472" s="2" t="s">
        <v>302</v>
      </c>
      <c r="K2472" s="2" t="s">
        <v>10588</v>
      </c>
      <c r="L2472" s="3">
        <v>16.35</v>
      </c>
      <c r="M2472" s="3">
        <v>17.17</v>
      </c>
      <c r="N2472" s="3">
        <v>34.99</v>
      </c>
      <c r="O2472" s="2" t="s">
        <v>243</v>
      </c>
      <c r="P2472" s="2" t="s">
        <v>270</v>
      </c>
      <c r="Q2472" s="2" t="s">
        <v>237</v>
      </c>
      <c r="R2472" s="2" t="s">
        <v>231</v>
      </c>
      <c r="S2472" s="2" t="s">
        <v>10589</v>
      </c>
      <c r="T2472" s="2" t="s">
        <v>472</v>
      </c>
      <c r="U2472" s="2" t="s">
        <v>298</v>
      </c>
      <c r="V2472" s="2" t="s">
        <v>3477</v>
      </c>
      <c r="W2472" s="2" t="s">
        <v>273</v>
      </c>
      <c r="X2472" s="2" t="s">
        <v>231</v>
      </c>
      <c r="Y2472" s="2" t="s">
        <v>10580</v>
      </c>
      <c r="Z2472" s="4">
        <v>6</v>
      </c>
      <c r="AA2472" s="4">
        <f>=ROUNDDOWN(1.2,0)</f>
      </c>
      <c r="AB2472" s="5">
        <v>5</v>
      </c>
      <c r="AC2472" s="2" t="s">
        <v>477</v>
      </c>
      <c r="AD2472" s="4">
        <v>90</v>
      </c>
      <c r="AE2472" s="4">
        <v>140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231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 t="s">
        <v>231</v>
      </c>
      <c r="AW2472" s="8" t="s">
        <v>231</v>
      </c>
      <c r="AX2472" s="4" t="s">
        <v>231</v>
      </c>
      <c r="AY2472" s="8" t="s">
        <v>231</v>
      </c>
      <c r="AZ2472" s="7" t="s">
        <v>231</v>
      </c>
      <c r="BA2472" s="7" t="s">
        <v>231</v>
      </c>
      <c r="BB2472" s="7"/>
      <c r="BC2472" s="4" t="s">
        <v>231</v>
      </c>
      <c r="BD2472" s="8" t="s">
        <v>231</v>
      </c>
      <c r="BE2472" s="4" t="s">
        <v>231</v>
      </c>
      <c r="BF2472" s="8" t="s">
        <v>231</v>
      </c>
      <c r="BG2472" s="7" t="s">
        <v>231</v>
      </c>
      <c r="BH2472" s="7" t="s">
        <v>231</v>
      </c>
      <c r="BI2472" s="7"/>
      <c r="BJ2472" s="4">
        <v>11</v>
      </c>
      <c r="BK2472" s="8">
        <v>197.98</v>
      </c>
      <c r="BL2472" s="2" t="s">
        <v>4849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10593</v>
      </c>
      <c r="BV2472" s="2" t="s">
        <v>231</v>
      </c>
      <c r="BW2472" s="2" t="s">
        <v>231</v>
      </c>
      <c r="BX2472" s="2" t="s">
        <v>231</v>
      </c>
      <c r="BY2472" s="2" t="s">
        <v>277</v>
      </c>
      <c r="BZ2472" s="2" t="s">
        <v>243</v>
      </c>
      <c r="CA2472" s="2" t="s">
        <v>386</v>
      </c>
      <c r="CB2472" s="2" t="s">
        <v>10594</v>
      </c>
      <c r="CC2472" s="2" t="s">
        <v>244</v>
      </c>
      <c r="CD2472" s="2" t="s">
        <v>231</v>
      </c>
      <c r="CE2472" s="4">
        <v>6</v>
      </c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>
        <v>90</v>
      </c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>
        <v>50</v>
      </c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/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/>
      <c r="HC2472" s="4"/>
      <c r="HD2472" s="4"/>
      <c r="HE2472" s="4"/>
      <c r="HF2472" s="4"/>
      <c r="HG2472" s="4"/>
      <c r="HH2472" s="4"/>
      <c r="HI2472" s="4"/>
      <c r="HJ2472" s="4"/>
      <c r="HK2472" s="4"/>
      <c r="HL2472" s="4"/>
    </row>
    <row r="2473">
      <c r="A2473" s="2" t="s">
        <v>10595</v>
      </c>
      <c r="B2473" s="2" t="s">
        <v>287</v>
      </c>
      <c r="C2473" s="2" t="s">
        <v>825</v>
      </c>
      <c r="D2473" s="2" t="s">
        <v>289</v>
      </c>
      <c r="E2473" s="2" t="s">
        <v>290</v>
      </c>
      <c r="F2473" s="2" t="s">
        <v>10571</v>
      </c>
      <c r="G2473" s="2" t="s">
        <v>10571</v>
      </c>
      <c r="H2473" s="2" t="s">
        <v>10571</v>
      </c>
      <c r="I2473" s="2" t="s">
        <v>359</v>
      </c>
      <c r="J2473" s="2" t="s">
        <v>318</v>
      </c>
      <c r="K2473" s="2" t="s">
        <v>10596</v>
      </c>
      <c r="L2473" s="3">
        <v>11.95</v>
      </c>
      <c r="M2473" s="3">
        <v>12.55</v>
      </c>
      <c r="N2473" s="3">
        <v>24.99</v>
      </c>
      <c r="O2473" s="2" t="s">
        <v>243</v>
      </c>
      <c r="P2473" s="2" t="s">
        <v>236</v>
      </c>
      <c r="Q2473" s="2" t="s">
        <v>237</v>
      </c>
      <c r="R2473" s="2" t="s">
        <v>231</v>
      </c>
      <c r="S2473" s="2" t="s">
        <v>10597</v>
      </c>
      <c r="T2473" s="2" t="s">
        <v>472</v>
      </c>
      <c r="U2473" s="2" t="s">
        <v>835</v>
      </c>
      <c r="V2473" s="2" t="s">
        <v>836</v>
      </c>
      <c r="W2473" s="2" t="s">
        <v>273</v>
      </c>
      <c r="X2473" s="2" t="s">
        <v>231</v>
      </c>
      <c r="Y2473" s="2" t="s">
        <v>1242</v>
      </c>
      <c r="Z2473" s="4">
        <v>70</v>
      </c>
      <c r="AA2473" s="4">
        <f>=ROUNDDOWN({0},0)</f>
      </c>
      <c r="AB2473" s="5"/>
      <c r="AC2473" s="2" t="s">
        <v>477</v>
      </c>
      <c r="AD2473" s="4">
        <v>60</v>
      </c>
      <c r="AE2473" s="4">
        <v>60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231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 t="s">
        <v>231</v>
      </c>
      <c r="AW2473" s="8" t="s">
        <v>231</v>
      </c>
      <c r="AX2473" s="4" t="s">
        <v>231</v>
      </c>
      <c r="AY2473" s="8" t="s">
        <v>231</v>
      </c>
      <c r="AZ2473" s="7" t="s">
        <v>231</v>
      </c>
      <c r="BA2473" s="7" t="s">
        <v>231</v>
      </c>
      <c r="BB2473" s="7"/>
      <c r="BC2473" s="4" t="s">
        <v>231</v>
      </c>
      <c r="BD2473" s="8" t="s">
        <v>231</v>
      </c>
      <c r="BE2473" s="4" t="s">
        <v>231</v>
      </c>
      <c r="BF2473" s="8" t="s">
        <v>231</v>
      </c>
      <c r="BG2473" s="7" t="s">
        <v>231</v>
      </c>
      <c r="BH2473" s="7" t="s">
        <v>231</v>
      </c>
      <c r="BI2473" s="7"/>
      <c r="BJ2473" s="4"/>
      <c r="BK2473" s="8"/>
      <c r="BL2473" s="2" t="s">
        <v>231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10598</v>
      </c>
      <c r="BV2473" s="2" t="s">
        <v>231</v>
      </c>
      <c r="BW2473" s="2" t="s">
        <v>231</v>
      </c>
      <c r="BX2473" s="2" t="s">
        <v>241</v>
      </c>
      <c r="BY2473" s="2" t="s">
        <v>277</v>
      </c>
      <c r="BZ2473" s="2" t="s">
        <v>243</v>
      </c>
      <c r="CA2473" s="2" t="s">
        <v>7182</v>
      </c>
      <c r="CB2473" s="2" t="s">
        <v>231</v>
      </c>
      <c r="CC2473" s="2" t="s">
        <v>244</v>
      </c>
      <c r="CD2473" s="2" t="s">
        <v>231</v>
      </c>
      <c r="CE2473" s="4"/>
      <c r="CF2473" s="4"/>
      <c r="CG2473" s="4"/>
      <c r="CH2473" s="4"/>
      <c r="CI2473" s="4">
        <v>70</v>
      </c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>
        <v>60</v>
      </c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/>
      <c r="GH2473" s="4"/>
      <c r="GI2473" s="4"/>
      <c r="GJ2473" s="4"/>
      <c r="GK2473" s="4"/>
      <c r="GL2473" s="4"/>
      <c r="GM2473" s="4"/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4"/>
      <c r="HG2473" s="4"/>
      <c r="HH2473" s="4"/>
      <c r="HI2473" s="4"/>
      <c r="HJ2473" s="4"/>
      <c r="HK2473" s="4"/>
      <c r="HL2473" s="4"/>
    </row>
    <row r="2474">
      <c r="A2474" s="2" t="s">
        <v>10599</v>
      </c>
      <c r="B2474" s="2" t="s">
        <v>287</v>
      </c>
      <c r="C2474" s="2" t="s">
        <v>825</v>
      </c>
      <c r="D2474" s="2" t="s">
        <v>289</v>
      </c>
      <c r="E2474" s="2" t="s">
        <v>290</v>
      </c>
      <c r="F2474" s="2" t="s">
        <v>10571</v>
      </c>
      <c r="G2474" s="2" t="s">
        <v>10571</v>
      </c>
      <c r="H2474" s="2" t="s">
        <v>10571</v>
      </c>
      <c r="I2474" s="2" t="s">
        <v>359</v>
      </c>
      <c r="J2474" s="2" t="s">
        <v>281</v>
      </c>
      <c r="K2474" s="2" t="s">
        <v>10596</v>
      </c>
      <c r="L2474" s="3">
        <v>13.55</v>
      </c>
      <c r="M2474" s="3">
        <v>14.23</v>
      </c>
      <c r="N2474" s="3">
        <v>27.99</v>
      </c>
      <c r="O2474" s="2" t="s">
        <v>243</v>
      </c>
      <c r="P2474" s="2" t="s">
        <v>236</v>
      </c>
      <c r="Q2474" s="2" t="s">
        <v>237</v>
      </c>
      <c r="R2474" s="2" t="s">
        <v>231</v>
      </c>
      <c r="S2474" s="2" t="s">
        <v>10597</v>
      </c>
      <c r="T2474" s="2" t="s">
        <v>472</v>
      </c>
      <c r="U2474" s="2" t="s">
        <v>298</v>
      </c>
      <c r="V2474" s="2" t="s">
        <v>836</v>
      </c>
      <c r="W2474" s="2" t="s">
        <v>273</v>
      </c>
      <c r="X2474" s="2" t="s">
        <v>231</v>
      </c>
      <c r="Y2474" s="2" t="s">
        <v>1242</v>
      </c>
      <c r="Z2474" s="4">
        <v>57</v>
      </c>
      <c r="AA2474" s="4">
        <f>=ROUNDDOWN(114,0)</f>
      </c>
      <c r="AB2474" s="5">
        <v>0.5</v>
      </c>
      <c r="AC2474" s="2" t="s">
        <v>477</v>
      </c>
      <c r="AD2474" s="4">
        <v>60</v>
      </c>
      <c r="AE2474" s="4">
        <v>60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231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 t="s">
        <v>231</v>
      </c>
      <c r="AW2474" s="8" t="s">
        <v>231</v>
      </c>
      <c r="AX2474" s="4" t="s">
        <v>231</v>
      </c>
      <c r="AY2474" s="8" t="s">
        <v>231</v>
      </c>
      <c r="AZ2474" s="7" t="s">
        <v>231</v>
      </c>
      <c r="BA2474" s="7" t="s">
        <v>231</v>
      </c>
      <c r="BB2474" s="7"/>
      <c r="BC2474" s="4" t="s">
        <v>231</v>
      </c>
      <c r="BD2474" s="8" t="s">
        <v>231</v>
      </c>
      <c r="BE2474" s="4" t="s">
        <v>231</v>
      </c>
      <c r="BF2474" s="8" t="s">
        <v>231</v>
      </c>
      <c r="BG2474" s="7" t="s">
        <v>231</v>
      </c>
      <c r="BH2474" s="7" t="s">
        <v>231</v>
      </c>
      <c r="BI2474" s="7"/>
      <c r="BJ2474" s="4">
        <v>2</v>
      </c>
      <c r="BK2474" s="8">
        <v>29.17</v>
      </c>
      <c r="BL2474" s="2" t="s">
        <v>2392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10600</v>
      </c>
      <c r="BV2474" s="2" t="s">
        <v>231</v>
      </c>
      <c r="BW2474" s="2" t="s">
        <v>231</v>
      </c>
      <c r="BX2474" s="2" t="s">
        <v>241</v>
      </c>
      <c r="BY2474" s="2" t="s">
        <v>277</v>
      </c>
      <c r="BZ2474" s="2" t="s">
        <v>243</v>
      </c>
      <c r="CA2474" s="2" t="s">
        <v>7182</v>
      </c>
      <c r="CB2474" s="2" t="s">
        <v>231</v>
      </c>
      <c r="CC2474" s="2" t="s">
        <v>244</v>
      </c>
      <c r="CD2474" s="2" t="s">
        <v>231</v>
      </c>
      <c r="CE2474" s="4"/>
      <c r="CF2474" s="4"/>
      <c r="CG2474" s="4"/>
      <c r="CH2474" s="4"/>
      <c r="CI2474" s="4">
        <v>57</v>
      </c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>
        <v>60</v>
      </c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/>
      <c r="HF2474" s="4"/>
      <c r="HG2474" s="4"/>
      <c r="HH2474" s="4"/>
      <c r="HI2474" s="4"/>
      <c r="HJ2474" s="4"/>
      <c r="HK2474" s="4"/>
      <c r="HL2474" s="4"/>
    </row>
    <row r="2475">
      <c r="A2475" s="2" t="s">
        <v>10601</v>
      </c>
      <c r="B2475" s="2" t="s">
        <v>287</v>
      </c>
      <c r="C2475" s="2" t="s">
        <v>825</v>
      </c>
      <c r="D2475" s="2" t="s">
        <v>289</v>
      </c>
      <c r="E2475" s="2" t="s">
        <v>290</v>
      </c>
      <c r="F2475" s="2" t="s">
        <v>10571</v>
      </c>
      <c r="G2475" s="2" t="s">
        <v>10571</v>
      </c>
      <c r="H2475" s="2" t="s">
        <v>10571</v>
      </c>
      <c r="I2475" s="2" t="s">
        <v>359</v>
      </c>
      <c r="J2475" s="2" t="s">
        <v>293</v>
      </c>
      <c r="K2475" s="2" t="s">
        <v>10596</v>
      </c>
      <c r="L2475" s="3">
        <v>14.75</v>
      </c>
      <c r="M2475" s="3">
        <v>15.49</v>
      </c>
      <c r="N2475" s="3">
        <v>29.99</v>
      </c>
      <c r="O2475" s="2" t="s">
        <v>243</v>
      </c>
      <c r="P2475" s="2" t="s">
        <v>236</v>
      </c>
      <c r="Q2475" s="2" t="s">
        <v>237</v>
      </c>
      <c r="R2475" s="2" t="s">
        <v>231</v>
      </c>
      <c r="S2475" s="2" t="s">
        <v>10597</v>
      </c>
      <c r="T2475" s="2" t="s">
        <v>472</v>
      </c>
      <c r="U2475" s="2" t="s">
        <v>298</v>
      </c>
      <c r="V2475" s="2" t="s">
        <v>836</v>
      </c>
      <c r="W2475" s="2" t="s">
        <v>273</v>
      </c>
      <c r="X2475" s="2" t="s">
        <v>231</v>
      </c>
      <c r="Y2475" s="2" t="s">
        <v>1242</v>
      </c>
      <c r="Z2475" s="4">
        <v>125</v>
      </c>
      <c r="AA2475" s="4">
        <f>=ROUNDDOWN(250,0)</f>
      </c>
      <c r="AB2475" s="5">
        <v>0.5</v>
      </c>
      <c r="AC2475" s="2" t="s">
        <v>477</v>
      </c>
      <c r="AD2475" s="4">
        <v>120</v>
      </c>
      <c r="AE2475" s="4">
        <v>120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231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231</v>
      </c>
      <c r="AW2475" s="8" t="s">
        <v>231</v>
      </c>
      <c r="AX2475" s="4" t="s">
        <v>231</v>
      </c>
      <c r="AY2475" s="8" t="s">
        <v>231</v>
      </c>
      <c r="AZ2475" s="7" t="s">
        <v>231</v>
      </c>
      <c r="BA2475" s="7" t="s">
        <v>231</v>
      </c>
      <c r="BB2475" s="7"/>
      <c r="BC2475" s="4" t="s">
        <v>231</v>
      </c>
      <c r="BD2475" s="8" t="s">
        <v>231</v>
      </c>
      <c r="BE2475" s="4" t="s">
        <v>231</v>
      </c>
      <c r="BF2475" s="8" t="s">
        <v>231</v>
      </c>
      <c r="BG2475" s="7" t="s">
        <v>231</v>
      </c>
      <c r="BH2475" s="7" t="s">
        <v>231</v>
      </c>
      <c r="BI2475" s="7"/>
      <c r="BJ2475" s="4">
        <v>2</v>
      </c>
      <c r="BK2475" s="8">
        <v>33.22</v>
      </c>
      <c r="BL2475" s="2" t="s">
        <v>600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10602</v>
      </c>
      <c r="BV2475" s="2" t="s">
        <v>231</v>
      </c>
      <c r="BW2475" s="2" t="s">
        <v>231</v>
      </c>
      <c r="BX2475" s="2" t="s">
        <v>241</v>
      </c>
      <c r="BY2475" s="2" t="s">
        <v>277</v>
      </c>
      <c r="BZ2475" s="2" t="s">
        <v>243</v>
      </c>
      <c r="CA2475" s="2" t="s">
        <v>7182</v>
      </c>
      <c r="CB2475" s="2" t="s">
        <v>231</v>
      </c>
      <c r="CC2475" s="2" t="s">
        <v>244</v>
      </c>
      <c r="CD2475" s="2" t="s">
        <v>231</v>
      </c>
      <c r="CE2475" s="4"/>
      <c r="CF2475" s="4"/>
      <c r="CG2475" s="4"/>
      <c r="CH2475" s="4"/>
      <c r="CI2475" s="4">
        <v>125</v>
      </c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>
        <v>120</v>
      </c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/>
      <c r="GJ2475" s="4"/>
      <c r="GK2475" s="4"/>
      <c r="GL2475" s="4"/>
      <c r="GM2475" s="4"/>
      <c r="GN2475" s="4"/>
      <c r="GO2475" s="4"/>
      <c r="GP2475" s="4"/>
      <c r="GQ2475" s="4"/>
      <c r="GR2475" s="4"/>
      <c r="GS2475" s="4"/>
      <c r="GT2475" s="4"/>
      <c r="GU2475" s="4"/>
      <c r="GV2475" s="4"/>
      <c r="GW2475" s="4"/>
      <c r="GX2475" s="4"/>
      <c r="GY2475" s="4"/>
      <c r="GZ2475" s="4"/>
      <c r="HA2475" s="4"/>
      <c r="HB2475" s="4"/>
      <c r="HC2475" s="4"/>
      <c r="HD2475" s="4"/>
      <c r="HE2475" s="4"/>
      <c r="HF2475" s="4"/>
      <c r="HG2475" s="4"/>
      <c r="HH2475" s="4"/>
      <c r="HI2475" s="4"/>
      <c r="HJ2475" s="4"/>
      <c r="HK2475" s="4"/>
      <c r="HL2475" s="4"/>
    </row>
    <row r="2476">
      <c r="A2476" s="2" t="s">
        <v>10603</v>
      </c>
      <c r="B2476" s="2" t="s">
        <v>287</v>
      </c>
      <c r="C2476" s="2" t="s">
        <v>825</v>
      </c>
      <c r="D2476" s="2" t="s">
        <v>289</v>
      </c>
      <c r="E2476" s="2" t="s">
        <v>290</v>
      </c>
      <c r="F2476" s="2" t="s">
        <v>10571</v>
      </c>
      <c r="G2476" s="2" t="s">
        <v>10571</v>
      </c>
      <c r="H2476" s="2" t="s">
        <v>10571</v>
      </c>
      <c r="I2476" s="2" t="s">
        <v>359</v>
      </c>
      <c r="J2476" s="2" t="s">
        <v>302</v>
      </c>
      <c r="K2476" s="2" t="s">
        <v>10596</v>
      </c>
      <c r="L2476" s="3">
        <v>16.35</v>
      </c>
      <c r="M2476" s="3">
        <v>17.17</v>
      </c>
      <c r="N2476" s="3">
        <v>34.99</v>
      </c>
      <c r="O2476" s="2" t="s">
        <v>243</v>
      </c>
      <c r="P2476" s="2" t="s">
        <v>236</v>
      </c>
      <c r="Q2476" s="2" t="s">
        <v>237</v>
      </c>
      <c r="R2476" s="2" t="s">
        <v>231</v>
      </c>
      <c r="S2476" s="2" t="s">
        <v>10597</v>
      </c>
      <c r="T2476" s="2" t="s">
        <v>472</v>
      </c>
      <c r="U2476" s="2" t="s">
        <v>298</v>
      </c>
      <c r="V2476" s="2" t="s">
        <v>836</v>
      </c>
      <c r="W2476" s="2" t="s">
        <v>273</v>
      </c>
      <c r="X2476" s="2" t="s">
        <v>231</v>
      </c>
      <c r="Y2476" s="2" t="s">
        <v>1242</v>
      </c>
      <c r="Z2476" s="4">
        <v>43</v>
      </c>
      <c r="AA2476" s="4">
        <f>=ROUNDDOWN(43,0)</f>
      </c>
      <c r="AB2476" s="5">
        <v>1</v>
      </c>
      <c r="AC2476" s="2" t="s">
        <v>477</v>
      </c>
      <c r="AD2476" s="4">
        <v>50</v>
      </c>
      <c r="AE2476" s="4">
        <v>50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231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231</v>
      </c>
      <c r="AW2476" s="8" t="s">
        <v>231</v>
      </c>
      <c r="AX2476" s="4" t="s">
        <v>231</v>
      </c>
      <c r="AY2476" s="8" t="s">
        <v>231</v>
      </c>
      <c r="AZ2476" s="7" t="s">
        <v>231</v>
      </c>
      <c r="BA2476" s="7" t="s">
        <v>231</v>
      </c>
      <c r="BB2476" s="7"/>
      <c r="BC2476" s="4" t="s">
        <v>231</v>
      </c>
      <c r="BD2476" s="8" t="s">
        <v>231</v>
      </c>
      <c r="BE2476" s="4" t="s">
        <v>231</v>
      </c>
      <c r="BF2476" s="8" t="s">
        <v>231</v>
      </c>
      <c r="BG2476" s="7" t="s">
        <v>231</v>
      </c>
      <c r="BH2476" s="7" t="s">
        <v>231</v>
      </c>
      <c r="BI2476" s="7"/>
      <c r="BJ2476" s="4">
        <v>3</v>
      </c>
      <c r="BK2476" s="8">
        <v>54.86</v>
      </c>
      <c r="BL2476" s="2" t="s">
        <v>600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10604</v>
      </c>
      <c r="BV2476" s="2" t="s">
        <v>231</v>
      </c>
      <c r="BW2476" s="2" t="s">
        <v>231</v>
      </c>
      <c r="BX2476" s="2" t="s">
        <v>241</v>
      </c>
      <c r="BY2476" s="2" t="s">
        <v>277</v>
      </c>
      <c r="BZ2476" s="2" t="s">
        <v>243</v>
      </c>
      <c r="CA2476" s="2" t="s">
        <v>7182</v>
      </c>
      <c r="CB2476" s="2" t="s">
        <v>231</v>
      </c>
      <c r="CC2476" s="2" t="s">
        <v>244</v>
      </c>
      <c r="CD2476" s="2" t="s">
        <v>231</v>
      </c>
      <c r="CE2476" s="4"/>
      <c r="CF2476" s="4"/>
      <c r="CG2476" s="4"/>
      <c r="CH2476" s="4"/>
      <c r="CI2476" s="4">
        <v>43</v>
      </c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>
        <v>50</v>
      </c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/>
      <c r="GH2476" s="4"/>
      <c r="GI2476" s="4"/>
      <c r="GJ2476" s="4"/>
      <c r="GK2476" s="4"/>
      <c r="GL2476" s="4"/>
      <c r="GM2476" s="4"/>
      <c r="GN2476" s="4"/>
      <c r="GO2476" s="4"/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/>
      <c r="HE2476" s="4"/>
      <c r="HF2476" s="4"/>
      <c r="HG2476" s="4"/>
      <c r="HH2476" s="4"/>
      <c r="HI2476" s="4"/>
      <c r="HJ2476" s="4"/>
      <c r="HK2476" s="4"/>
      <c r="HL2476" s="4"/>
    </row>
    <row r="2477">
      <c r="A2477" s="2" t="s">
        <v>10605</v>
      </c>
      <c r="B2477" s="2" t="s">
        <v>226</v>
      </c>
      <c r="C2477" s="2" t="s">
        <v>3948</v>
      </c>
      <c r="D2477" s="2" t="s">
        <v>1549</v>
      </c>
      <c r="E2477" s="2" t="s">
        <v>1550</v>
      </c>
      <c r="F2477" s="2" t="s">
        <v>10606</v>
      </c>
      <c r="G2477" s="2" t="s">
        <v>10606</v>
      </c>
      <c r="H2477" s="2" t="s">
        <v>10606</v>
      </c>
      <c r="I2477" s="2" t="s">
        <v>8465</v>
      </c>
      <c r="J2477" s="2" t="s">
        <v>1554</v>
      </c>
      <c r="K2477" s="2" t="s">
        <v>556</v>
      </c>
      <c r="L2477" s="3">
        <v>33.38</v>
      </c>
      <c r="M2477" s="3">
        <v>35.05</v>
      </c>
      <c r="N2477" s="3">
        <v>64.99</v>
      </c>
      <c r="O2477" s="2" t="s">
        <v>243</v>
      </c>
      <c r="P2477" s="2" t="s">
        <v>341</v>
      </c>
      <c r="Q2477" s="2" t="s">
        <v>237</v>
      </c>
      <c r="R2477" s="2" t="s">
        <v>231</v>
      </c>
      <c r="S2477" s="2" t="s">
        <v>10607</v>
      </c>
      <c r="T2477" s="2" t="s">
        <v>1630</v>
      </c>
      <c r="U2477" s="2" t="s">
        <v>327</v>
      </c>
      <c r="V2477" s="2" t="s">
        <v>987</v>
      </c>
      <c r="W2477" s="2" t="s">
        <v>273</v>
      </c>
      <c r="X2477" s="2" t="s">
        <v>792</v>
      </c>
      <c r="Y2477" s="2" t="s">
        <v>5498</v>
      </c>
      <c r="Z2477" s="4">
        <v>465</v>
      </c>
      <c r="AA2477" s="4">
        <f>=ROUNDDOWN(66.4285714285714,0)</f>
      </c>
      <c r="AB2477" s="5">
        <v>7</v>
      </c>
      <c r="AC2477" s="2" t="s">
        <v>1651</v>
      </c>
      <c r="AD2477" s="4">
        <v>270</v>
      </c>
      <c r="AE2477" s="4">
        <v>270</v>
      </c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231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231</v>
      </c>
      <c r="BD2477" s="8" t="s">
        <v>231</v>
      </c>
      <c r="BE2477" s="4" t="s">
        <v>231</v>
      </c>
      <c r="BF2477" s="8" t="s">
        <v>231</v>
      </c>
      <c r="BG2477" s="7" t="s">
        <v>231</v>
      </c>
      <c r="BH2477" s="7" t="s">
        <v>231</v>
      </c>
      <c r="BI2477" s="7"/>
      <c r="BJ2477" s="4">
        <v>10</v>
      </c>
      <c r="BK2477" s="8">
        <v>362.95</v>
      </c>
      <c r="BL2477" s="2" t="s">
        <v>10608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10609</v>
      </c>
      <c r="BV2477" s="2" t="s">
        <v>231</v>
      </c>
      <c r="BW2477" s="2" t="s">
        <v>231</v>
      </c>
      <c r="BX2477" s="2" t="s">
        <v>1360</v>
      </c>
      <c r="BY2477" s="2" t="s">
        <v>277</v>
      </c>
      <c r="BZ2477" s="2" t="s">
        <v>243</v>
      </c>
      <c r="CA2477" s="2" t="s">
        <v>7318</v>
      </c>
      <c r="CB2477" s="2" t="s">
        <v>8410</v>
      </c>
      <c r="CC2477" s="2" t="s">
        <v>244</v>
      </c>
      <c r="CD2477" s="2" t="s">
        <v>231</v>
      </c>
      <c r="CE2477" s="4">
        <v>465</v>
      </c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>
        <v>270</v>
      </c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4"/>
      <c r="HE2477" s="4"/>
      <c r="HF2477" s="4"/>
      <c r="HG2477" s="4"/>
      <c r="HH2477" s="4"/>
      <c r="HI2477" s="4"/>
      <c r="HJ2477" s="4"/>
      <c r="HK2477" s="4"/>
      <c r="HL2477" s="4"/>
    </row>
    <row r="2478">
      <c r="A2478" s="2" t="s">
        <v>10610</v>
      </c>
      <c r="B2478" s="2" t="s">
        <v>226</v>
      </c>
      <c r="C2478" s="2" t="s">
        <v>3948</v>
      </c>
      <c r="D2478" s="2" t="s">
        <v>1549</v>
      </c>
      <c r="E2478" s="2" t="s">
        <v>1550</v>
      </c>
      <c r="F2478" s="2" t="s">
        <v>10606</v>
      </c>
      <c r="G2478" s="2" t="s">
        <v>10606</v>
      </c>
      <c r="H2478" s="2" t="s">
        <v>10606</v>
      </c>
      <c r="I2478" s="2" t="s">
        <v>8465</v>
      </c>
      <c r="J2478" s="2" t="s">
        <v>1554</v>
      </c>
      <c r="K2478" s="2" t="s">
        <v>1146</v>
      </c>
      <c r="L2478" s="3">
        <v>33.38</v>
      </c>
      <c r="M2478" s="3">
        <v>35.05</v>
      </c>
      <c r="N2478" s="3">
        <v>64.99</v>
      </c>
      <c r="O2478" s="2" t="s">
        <v>243</v>
      </c>
      <c r="P2478" s="2" t="s">
        <v>341</v>
      </c>
      <c r="Q2478" s="2" t="s">
        <v>237</v>
      </c>
      <c r="R2478" s="2" t="s">
        <v>231</v>
      </c>
      <c r="S2478" s="2" t="s">
        <v>10611</v>
      </c>
      <c r="T2478" s="2" t="s">
        <v>1630</v>
      </c>
      <c r="U2478" s="2" t="s">
        <v>327</v>
      </c>
      <c r="V2478" s="2" t="s">
        <v>987</v>
      </c>
      <c r="W2478" s="2" t="s">
        <v>273</v>
      </c>
      <c r="X2478" s="2" t="s">
        <v>792</v>
      </c>
      <c r="Y2478" s="2" t="s">
        <v>5498</v>
      </c>
      <c r="Z2478" s="4">
        <v>444</v>
      </c>
      <c r="AA2478" s="4">
        <f>=ROUNDDOWN(74,0)</f>
      </c>
      <c r="AB2478" s="5">
        <v>6</v>
      </c>
      <c r="AC2478" s="2" t="s">
        <v>231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231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 t="s">
        <v>231</v>
      </c>
      <c r="BD2478" s="8" t="s">
        <v>231</v>
      </c>
      <c r="BE2478" s="4" t="s">
        <v>231</v>
      </c>
      <c r="BF2478" s="8" t="s">
        <v>231</v>
      </c>
      <c r="BG2478" s="7" t="s">
        <v>231</v>
      </c>
      <c r="BH2478" s="7" t="s">
        <v>231</v>
      </c>
      <c r="BI2478" s="7"/>
      <c r="BJ2478" s="4">
        <v>14</v>
      </c>
      <c r="BK2478" s="8">
        <v>491.41</v>
      </c>
      <c r="BL2478" s="2" t="s">
        <v>10612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10613</v>
      </c>
      <c r="BV2478" s="2" t="s">
        <v>231</v>
      </c>
      <c r="BW2478" s="2" t="s">
        <v>231</v>
      </c>
      <c r="BX2478" s="2" t="s">
        <v>1360</v>
      </c>
      <c r="BY2478" s="2" t="s">
        <v>277</v>
      </c>
      <c r="BZ2478" s="2" t="s">
        <v>243</v>
      </c>
      <c r="CA2478" s="2" t="s">
        <v>7318</v>
      </c>
      <c r="CB2478" s="2" t="s">
        <v>10614</v>
      </c>
      <c r="CC2478" s="2" t="s">
        <v>244</v>
      </c>
      <c r="CD2478" s="2" t="s">
        <v>231</v>
      </c>
      <c r="CE2478" s="4">
        <v>444</v>
      </c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/>
      <c r="HE2478" s="4"/>
      <c r="HF2478" s="4"/>
      <c r="HG2478" s="4"/>
      <c r="HH2478" s="4"/>
      <c r="HI2478" s="4"/>
      <c r="HJ2478" s="4"/>
      <c r="HK2478" s="4"/>
      <c r="HL2478" s="4"/>
    </row>
    <row r="2479">
      <c r="A2479" s="2" t="s">
        <v>10615</v>
      </c>
      <c r="B2479" s="2" t="s">
        <v>287</v>
      </c>
      <c r="C2479" s="2" t="s">
        <v>357</v>
      </c>
      <c r="D2479" s="2" t="s">
        <v>289</v>
      </c>
      <c r="E2479" s="2" t="s">
        <v>290</v>
      </c>
      <c r="F2479" s="2" t="s">
        <v>10616</v>
      </c>
      <c r="G2479" s="2" t="s">
        <v>10616</v>
      </c>
      <c r="H2479" s="2" t="s">
        <v>10616</v>
      </c>
      <c r="I2479" s="2" t="s">
        <v>359</v>
      </c>
      <c r="J2479" s="2" t="s">
        <v>318</v>
      </c>
      <c r="K2479" s="2" t="s">
        <v>10617</v>
      </c>
      <c r="L2479" s="3">
        <v>15</v>
      </c>
      <c r="M2479" s="3">
        <v>15.75</v>
      </c>
      <c r="N2479" s="3">
        <v>29.99</v>
      </c>
      <c r="O2479" s="2" t="s">
        <v>243</v>
      </c>
      <c r="P2479" s="2" t="s">
        <v>270</v>
      </c>
      <c r="Q2479" s="2" t="s">
        <v>237</v>
      </c>
      <c r="R2479" s="2" t="s">
        <v>231</v>
      </c>
      <c r="S2479" s="2" t="s">
        <v>10618</v>
      </c>
      <c r="T2479" s="2" t="s">
        <v>10619</v>
      </c>
      <c r="U2479" s="2" t="s">
        <v>835</v>
      </c>
      <c r="V2479" s="2" t="s">
        <v>1685</v>
      </c>
      <c r="W2479" s="2" t="s">
        <v>299</v>
      </c>
      <c r="X2479" s="2" t="s">
        <v>273</v>
      </c>
      <c r="Y2479" s="2" t="s">
        <v>8472</v>
      </c>
      <c r="Z2479" s="4">
        <v>70</v>
      </c>
      <c r="AA2479" s="4">
        <f>=ROUNDDOWN(17.5,0)</f>
      </c>
      <c r="AB2479" s="5">
        <v>4</v>
      </c>
      <c r="AC2479" s="2" t="s">
        <v>3090</v>
      </c>
      <c r="AD2479" s="4">
        <v>60</v>
      </c>
      <c r="AE2479" s="4">
        <v>60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231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231</v>
      </c>
      <c r="AW2479" s="8" t="s">
        <v>231</v>
      </c>
      <c r="AX2479" s="4" t="s">
        <v>231</v>
      </c>
      <c r="AY2479" s="8" t="s">
        <v>231</v>
      </c>
      <c r="AZ2479" s="7" t="s">
        <v>231</v>
      </c>
      <c r="BA2479" s="7" t="s">
        <v>231</v>
      </c>
      <c r="BB2479" s="7"/>
      <c r="BC2479" s="4" t="s">
        <v>231</v>
      </c>
      <c r="BD2479" s="8" t="s">
        <v>231</v>
      </c>
      <c r="BE2479" s="4" t="s">
        <v>231</v>
      </c>
      <c r="BF2479" s="8" t="s">
        <v>231</v>
      </c>
      <c r="BG2479" s="7" t="s">
        <v>231</v>
      </c>
      <c r="BH2479" s="7" t="s">
        <v>231</v>
      </c>
      <c r="BI2479" s="7"/>
      <c r="BJ2479" s="4">
        <v>9</v>
      </c>
      <c r="BK2479" s="8">
        <v>148.28</v>
      </c>
      <c r="BL2479" s="2" t="s">
        <v>5195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10620</v>
      </c>
      <c r="BV2479" s="2" t="s">
        <v>231</v>
      </c>
      <c r="BW2479" s="2" t="s">
        <v>231</v>
      </c>
      <c r="BX2479" s="2" t="s">
        <v>241</v>
      </c>
      <c r="BY2479" s="2" t="s">
        <v>277</v>
      </c>
      <c r="BZ2479" s="2" t="s">
        <v>243</v>
      </c>
      <c r="CA2479" s="2" t="s">
        <v>2753</v>
      </c>
      <c r="CB2479" s="2" t="s">
        <v>2826</v>
      </c>
      <c r="CC2479" s="2" t="s">
        <v>244</v>
      </c>
      <c r="CD2479" s="2" t="s">
        <v>231</v>
      </c>
      <c r="CE2479" s="4">
        <v>70</v>
      </c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>
        <v>60</v>
      </c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/>
      <c r="HE2479" s="4"/>
      <c r="HF2479" s="4"/>
      <c r="HG2479" s="4"/>
      <c r="HH2479" s="4"/>
      <c r="HI2479" s="4"/>
      <c r="HJ2479" s="4"/>
      <c r="HK2479" s="4"/>
      <c r="HL2479" s="4"/>
    </row>
    <row r="2480">
      <c r="A2480" s="2" t="s">
        <v>10621</v>
      </c>
      <c r="B2480" s="2" t="s">
        <v>287</v>
      </c>
      <c r="C2480" s="2" t="s">
        <v>357</v>
      </c>
      <c r="D2480" s="2" t="s">
        <v>289</v>
      </c>
      <c r="E2480" s="2" t="s">
        <v>290</v>
      </c>
      <c r="F2480" s="2" t="s">
        <v>10616</v>
      </c>
      <c r="G2480" s="2" t="s">
        <v>10616</v>
      </c>
      <c r="H2480" s="2" t="s">
        <v>10616</v>
      </c>
      <c r="I2480" s="2" t="s">
        <v>359</v>
      </c>
      <c r="J2480" s="2" t="s">
        <v>302</v>
      </c>
      <c r="K2480" s="2" t="s">
        <v>10617</v>
      </c>
      <c r="L2480" s="3">
        <v>21.5</v>
      </c>
      <c r="M2480" s="3">
        <v>22.58</v>
      </c>
      <c r="N2480" s="3">
        <v>42.99</v>
      </c>
      <c r="O2480" s="2" t="s">
        <v>243</v>
      </c>
      <c r="P2480" s="2" t="s">
        <v>270</v>
      </c>
      <c r="Q2480" s="2" t="s">
        <v>237</v>
      </c>
      <c r="R2480" s="2" t="s">
        <v>231</v>
      </c>
      <c r="S2480" s="2" t="s">
        <v>10618</v>
      </c>
      <c r="T2480" s="2" t="s">
        <v>10619</v>
      </c>
      <c r="U2480" s="2" t="s">
        <v>298</v>
      </c>
      <c r="V2480" s="2" t="s">
        <v>1685</v>
      </c>
      <c r="W2480" s="2" t="s">
        <v>299</v>
      </c>
      <c r="X2480" s="2" t="s">
        <v>273</v>
      </c>
      <c r="Y2480" s="2" t="s">
        <v>8472</v>
      </c>
      <c r="Z2480" s="4">
        <v>157</v>
      </c>
      <c r="AA2480" s="4">
        <f>=ROUNDDOWN(31.4,0)</f>
      </c>
      <c r="AB2480" s="5">
        <v>5</v>
      </c>
      <c r="AC2480" s="2" t="s">
        <v>3090</v>
      </c>
      <c r="AD2480" s="4">
        <v>30</v>
      </c>
      <c r="AE2480" s="4">
        <v>30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231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 t="s">
        <v>231</v>
      </c>
      <c r="AW2480" s="8" t="s">
        <v>231</v>
      </c>
      <c r="AX2480" s="4" t="s">
        <v>231</v>
      </c>
      <c r="AY2480" s="8" t="s">
        <v>231</v>
      </c>
      <c r="AZ2480" s="7" t="s">
        <v>231</v>
      </c>
      <c r="BA2480" s="7" t="s">
        <v>231</v>
      </c>
      <c r="BB2480" s="7"/>
      <c r="BC2480" s="4" t="s">
        <v>231</v>
      </c>
      <c r="BD2480" s="8" t="s">
        <v>231</v>
      </c>
      <c r="BE2480" s="4" t="s">
        <v>231</v>
      </c>
      <c r="BF2480" s="8" t="s">
        <v>231</v>
      </c>
      <c r="BG2480" s="7" t="s">
        <v>231</v>
      </c>
      <c r="BH2480" s="7" t="s">
        <v>231</v>
      </c>
      <c r="BI2480" s="7"/>
      <c r="BJ2480" s="4">
        <v>25</v>
      </c>
      <c r="BK2480" s="8">
        <v>609.5</v>
      </c>
      <c r="BL2480" s="2" t="s">
        <v>9064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10622</v>
      </c>
      <c r="BV2480" s="2" t="s">
        <v>231</v>
      </c>
      <c r="BW2480" s="2" t="s">
        <v>231</v>
      </c>
      <c r="BX2480" s="2" t="s">
        <v>241</v>
      </c>
      <c r="BY2480" s="2" t="s">
        <v>277</v>
      </c>
      <c r="BZ2480" s="2" t="s">
        <v>243</v>
      </c>
      <c r="CA2480" s="2" t="s">
        <v>2753</v>
      </c>
      <c r="CB2480" s="2" t="s">
        <v>1964</v>
      </c>
      <c r="CC2480" s="2" t="s">
        <v>244</v>
      </c>
      <c r="CD2480" s="2" t="s">
        <v>231</v>
      </c>
      <c r="CE2480" s="4">
        <v>157</v>
      </c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>
        <v>30</v>
      </c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4"/>
      <c r="HE2480" s="4"/>
      <c r="HF2480" s="4"/>
      <c r="HG2480" s="4"/>
      <c r="HH2480" s="4"/>
      <c r="HI2480" s="4"/>
      <c r="HJ2480" s="4"/>
      <c r="HK2480" s="4"/>
      <c r="HL2480" s="4"/>
    </row>
    <row r="2481">
      <c r="A2481" s="2" t="s">
        <v>10623</v>
      </c>
      <c r="B2481" s="2" t="s">
        <v>287</v>
      </c>
      <c r="C2481" s="2" t="s">
        <v>357</v>
      </c>
      <c r="D2481" s="2" t="s">
        <v>289</v>
      </c>
      <c r="E2481" s="2" t="s">
        <v>290</v>
      </c>
      <c r="F2481" s="2" t="s">
        <v>10616</v>
      </c>
      <c r="G2481" s="2" t="s">
        <v>10616</v>
      </c>
      <c r="H2481" s="2" t="s">
        <v>10616</v>
      </c>
      <c r="I2481" s="2" t="s">
        <v>359</v>
      </c>
      <c r="J2481" s="2" t="s">
        <v>318</v>
      </c>
      <c r="K2481" s="2" t="s">
        <v>10624</v>
      </c>
      <c r="L2481" s="3">
        <v>15</v>
      </c>
      <c r="M2481" s="3">
        <v>15.75</v>
      </c>
      <c r="N2481" s="3">
        <v>29.99</v>
      </c>
      <c r="O2481" s="2" t="s">
        <v>243</v>
      </c>
      <c r="P2481" s="2" t="s">
        <v>270</v>
      </c>
      <c r="Q2481" s="2" t="s">
        <v>237</v>
      </c>
      <c r="R2481" s="2" t="s">
        <v>231</v>
      </c>
      <c r="S2481" s="2" t="s">
        <v>10625</v>
      </c>
      <c r="T2481" s="2" t="s">
        <v>10619</v>
      </c>
      <c r="U2481" s="2" t="s">
        <v>835</v>
      </c>
      <c r="V2481" s="2" t="s">
        <v>2195</v>
      </c>
      <c r="W2481" s="2" t="s">
        <v>299</v>
      </c>
      <c r="X2481" s="2" t="s">
        <v>273</v>
      </c>
      <c r="Y2481" s="2" t="s">
        <v>10626</v>
      </c>
      <c r="Z2481" s="4">
        <v>117</v>
      </c>
      <c r="AA2481" s="4">
        <f>=ROUNDDOWN(19.5,0)</f>
      </c>
      <c r="AB2481" s="5">
        <v>6</v>
      </c>
      <c r="AC2481" s="2" t="s">
        <v>3090</v>
      </c>
      <c r="AD2481" s="4">
        <v>80</v>
      </c>
      <c r="AE2481" s="4">
        <v>150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231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 t="s">
        <v>231</v>
      </c>
      <c r="AW2481" s="8" t="s">
        <v>231</v>
      </c>
      <c r="AX2481" s="4" t="s">
        <v>231</v>
      </c>
      <c r="AY2481" s="8" t="s">
        <v>231</v>
      </c>
      <c r="AZ2481" s="7" t="s">
        <v>231</v>
      </c>
      <c r="BA2481" s="7" t="s">
        <v>231</v>
      </c>
      <c r="BB2481" s="7"/>
      <c r="BC2481" s="4" t="s">
        <v>231</v>
      </c>
      <c r="BD2481" s="8" t="s">
        <v>231</v>
      </c>
      <c r="BE2481" s="4" t="s">
        <v>231</v>
      </c>
      <c r="BF2481" s="8" t="s">
        <v>231</v>
      </c>
      <c r="BG2481" s="7" t="s">
        <v>231</v>
      </c>
      <c r="BH2481" s="7" t="s">
        <v>231</v>
      </c>
      <c r="BI2481" s="7"/>
      <c r="BJ2481" s="4">
        <v>16</v>
      </c>
      <c r="BK2481" s="8">
        <v>269.57</v>
      </c>
      <c r="BL2481" s="2" t="s">
        <v>3369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10627</v>
      </c>
      <c r="BV2481" s="2" t="s">
        <v>231</v>
      </c>
      <c r="BW2481" s="2" t="s">
        <v>231</v>
      </c>
      <c r="BX2481" s="2" t="s">
        <v>231</v>
      </c>
      <c r="BY2481" s="2" t="s">
        <v>277</v>
      </c>
      <c r="BZ2481" s="2" t="s">
        <v>243</v>
      </c>
      <c r="CA2481" s="2" t="s">
        <v>5023</v>
      </c>
      <c r="CB2481" s="2" t="s">
        <v>2753</v>
      </c>
      <c r="CC2481" s="2" t="s">
        <v>244</v>
      </c>
      <c r="CD2481" s="2" t="s">
        <v>231</v>
      </c>
      <c r="CE2481" s="4">
        <v>117</v>
      </c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>
        <v>80</v>
      </c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>
        <v>70</v>
      </c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  <c r="HG2481" s="4"/>
      <c r="HH2481" s="4"/>
      <c r="HI2481" s="4"/>
      <c r="HJ2481" s="4"/>
      <c r="HK2481" s="4"/>
      <c r="HL2481" s="4"/>
    </row>
    <row r="2482">
      <c r="A2482" s="2" t="s">
        <v>10628</v>
      </c>
      <c r="B2482" s="2" t="s">
        <v>287</v>
      </c>
      <c r="C2482" s="2" t="s">
        <v>357</v>
      </c>
      <c r="D2482" s="2" t="s">
        <v>289</v>
      </c>
      <c r="E2482" s="2" t="s">
        <v>290</v>
      </c>
      <c r="F2482" s="2" t="s">
        <v>10616</v>
      </c>
      <c r="G2482" s="2" t="s">
        <v>10616</v>
      </c>
      <c r="H2482" s="2" t="s">
        <v>10616</v>
      </c>
      <c r="I2482" s="2" t="s">
        <v>359</v>
      </c>
      <c r="J2482" s="2" t="s">
        <v>302</v>
      </c>
      <c r="K2482" s="2" t="s">
        <v>10624</v>
      </c>
      <c r="L2482" s="3">
        <v>21.5</v>
      </c>
      <c r="M2482" s="3">
        <v>22.58</v>
      </c>
      <c r="N2482" s="3">
        <v>42.99</v>
      </c>
      <c r="O2482" s="2" t="s">
        <v>243</v>
      </c>
      <c r="P2482" s="2" t="s">
        <v>270</v>
      </c>
      <c r="Q2482" s="2" t="s">
        <v>237</v>
      </c>
      <c r="R2482" s="2" t="s">
        <v>231</v>
      </c>
      <c r="S2482" s="2" t="s">
        <v>10625</v>
      </c>
      <c r="T2482" s="2" t="s">
        <v>10619</v>
      </c>
      <c r="U2482" s="2" t="s">
        <v>298</v>
      </c>
      <c r="V2482" s="2" t="s">
        <v>2195</v>
      </c>
      <c r="W2482" s="2" t="s">
        <v>299</v>
      </c>
      <c r="X2482" s="2" t="s">
        <v>273</v>
      </c>
      <c r="Y2482" s="2" t="s">
        <v>10626</v>
      </c>
      <c r="Z2482" s="4">
        <v>141</v>
      </c>
      <c r="AA2482" s="4">
        <f>=ROUNDDOWN(17.625,0)</f>
      </c>
      <c r="AB2482" s="5">
        <v>8</v>
      </c>
      <c r="AC2482" s="2" t="s">
        <v>2140</v>
      </c>
      <c r="AD2482" s="4">
        <v>130</v>
      </c>
      <c r="AE2482" s="4">
        <v>130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231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 t="s">
        <v>231</v>
      </c>
      <c r="AW2482" s="8" t="s">
        <v>231</v>
      </c>
      <c r="AX2482" s="4" t="s">
        <v>231</v>
      </c>
      <c r="AY2482" s="8" t="s">
        <v>231</v>
      </c>
      <c r="AZ2482" s="7" t="s">
        <v>231</v>
      </c>
      <c r="BA2482" s="7" t="s">
        <v>231</v>
      </c>
      <c r="BB2482" s="7"/>
      <c r="BC2482" s="4" t="s">
        <v>231</v>
      </c>
      <c r="BD2482" s="8" t="s">
        <v>231</v>
      </c>
      <c r="BE2482" s="4" t="s">
        <v>231</v>
      </c>
      <c r="BF2482" s="8" t="s">
        <v>231</v>
      </c>
      <c r="BG2482" s="7" t="s">
        <v>231</v>
      </c>
      <c r="BH2482" s="7" t="s">
        <v>231</v>
      </c>
      <c r="BI2482" s="7"/>
      <c r="BJ2482" s="4">
        <v>29</v>
      </c>
      <c r="BK2482" s="8">
        <v>712.45</v>
      </c>
      <c r="BL2482" s="2" t="s">
        <v>10629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10630</v>
      </c>
      <c r="BV2482" s="2" t="s">
        <v>231</v>
      </c>
      <c r="BW2482" s="2" t="s">
        <v>231</v>
      </c>
      <c r="BX2482" s="2" t="s">
        <v>231</v>
      </c>
      <c r="BY2482" s="2" t="s">
        <v>277</v>
      </c>
      <c r="BZ2482" s="2" t="s">
        <v>243</v>
      </c>
      <c r="CA2482" s="2" t="s">
        <v>5023</v>
      </c>
      <c r="CB2482" s="2" t="s">
        <v>456</v>
      </c>
      <c r="CC2482" s="2" t="s">
        <v>244</v>
      </c>
      <c r="CD2482" s="2" t="s">
        <v>231</v>
      </c>
      <c r="CE2482" s="4">
        <v>141</v>
      </c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>
        <v>130</v>
      </c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  <c r="HG2482" s="4"/>
      <c r="HH2482" s="4"/>
      <c r="HI2482" s="4"/>
      <c r="HJ2482" s="4"/>
      <c r="HK2482" s="4"/>
      <c r="HL2482" s="4"/>
    </row>
    <row r="2483">
      <c r="A2483" s="2" t="s">
        <v>10631</v>
      </c>
      <c r="B2483" s="2" t="s">
        <v>287</v>
      </c>
      <c r="C2483" s="2" t="s">
        <v>357</v>
      </c>
      <c r="D2483" s="2" t="s">
        <v>289</v>
      </c>
      <c r="E2483" s="2" t="s">
        <v>290</v>
      </c>
      <c r="F2483" s="2" t="s">
        <v>10616</v>
      </c>
      <c r="G2483" s="2" t="s">
        <v>10616</v>
      </c>
      <c r="H2483" s="2" t="s">
        <v>10616</v>
      </c>
      <c r="I2483" s="2" t="s">
        <v>359</v>
      </c>
      <c r="J2483" s="2" t="s">
        <v>318</v>
      </c>
      <c r="K2483" s="2" t="s">
        <v>10632</v>
      </c>
      <c r="L2483" s="3">
        <v>15</v>
      </c>
      <c r="M2483" s="3">
        <v>15.75</v>
      </c>
      <c r="N2483" s="3">
        <v>29.99</v>
      </c>
      <c r="O2483" s="2" t="s">
        <v>243</v>
      </c>
      <c r="P2483" s="2" t="s">
        <v>270</v>
      </c>
      <c r="Q2483" s="2" t="s">
        <v>237</v>
      </c>
      <c r="R2483" s="2" t="s">
        <v>231</v>
      </c>
      <c r="S2483" s="2" t="s">
        <v>10633</v>
      </c>
      <c r="T2483" s="2" t="s">
        <v>10619</v>
      </c>
      <c r="U2483" s="2" t="s">
        <v>835</v>
      </c>
      <c r="V2483" s="2" t="s">
        <v>2195</v>
      </c>
      <c r="W2483" s="2" t="s">
        <v>299</v>
      </c>
      <c r="X2483" s="2" t="s">
        <v>273</v>
      </c>
      <c r="Y2483" s="2" t="s">
        <v>10626</v>
      </c>
      <c r="Z2483" s="4">
        <v>78</v>
      </c>
      <c r="AA2483" s="4">
        <f>=ROUNDDOWN(26,0)</f>
      </c>
      <c r="AB2483" s="5">
        <v>3</v>
      </c>
      <c r="AC2483" s="2" t="s">
        <v>2140</v>
      </c>
      <c r="AD2483" s="4">
        <v>60</v>
      </c>
      <c r="AE2483" s="4">
        <v>60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231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231</v>
      </c>
      <c r="AW2483" s="8" t="s">
        <v>231</v>
      </c>
      <c r="AX2483" s="4" t="s">
        <v>231</v>
      </c>
      <c r="AY2483" s="8" t="s">
        <v>231</v>
      </c>
      <c r="AZ2483" s="7" t="s">
        <v>231</v>
      </c>
      <c r="BA2483" s="7" t="s">
        <v>231</v>
      </c>
      <c r="BB2483" s="7"/>
      <c r="BC2483" s="4" t="s">
        <v>231</v>
      </c>
      <c r="BD2483" s="8" t="s">
        <v>231</v>
      </c>
      <c r="BE2483" s="4" t="s">
        <v>231</v>
      </c>
      <c r="BF2483" s="8" t="s">
        <v>231</v>
      </c>
      <c r="BG2483" s="7" t="s">
        <v>231</v>
      </c>
      <c r="BH2483" s="7" t="s">
        <v>231</v>
      </c>
      <c r="BI2483" s="7"/>
      <c r="BJ2483" s="4">
        <v>10</v>
      </c>
      <c r="BK2483" s="8">
        <v>176.87</v>
      </c>
      <c r="BL2483" s="2" t="s">
        <v>10634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10635</v>
      </c>
      <c r="BV2483" s="2" t="s">
        <v>231</v>
      </c>
      <c r="BW2483" s="2" t="s">
        <v>231</v>
      </c>
      <c r="BX2483" s="2" t="s">
        <v>231</v>
      </c>
      <c r="BY2483" s="2" t="s">
        <v>277</v>
      </c>
      <c r="BZ2483" s="2" t="s">
        <v>243</v>
      </c>
      <c r="CA2483" s="2" t="s">
        <v>5023</v>
      </c>
      <c r="CB2483" s="2" t="s">
        <v>3776</v>
      </c>
      <c r="CC2483" s="2" t="s">
        <v>244</v>
      </c>
      <c r="CD2483" s="2" t="s">
        <v>231</v>
      </c>
      <c r="CE2483" s="4">
        <v>78</v>
      </c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>
        <v>60</v>
      </c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4"/>
      <c r="HE2483" s="4"/>
      <c r="HF2483" s="4"/>
      <c r="HG2483" s="4"/>
      <c r="HH2483" s="4"/>
      <c r="HI2483" s="4"/>
      <c r="HJ2483" s="4"/>
      <c r="HK2483" s="4"/>
      <c r="HL2483" s="4"/>
    </row>
    <row r="2484">
      <c r="A2484" s="2" t="s">
        <v>10636</v>
      </c>
      <c r="B2484" s="2" t="s">
        <v>287</v>
      </c>
      <c r="C2484" s="2" t="s">
        <v>357</v>
      </c>
      <c r="D2484" s="2" t="s">
        <v>289</v>
      </c>
      <c r="E2484" s="2" t="s">
        <v>290</v>
      </c>
      <c r="F2484" s="2" t="s">
        <v>10616</v>
      </c>
      <c r="G2484" s="2" t="s">
        <v>10616</v>
      </c>
      <c r="H2484" s="2" t="s">
        <v>10616</v>
      </c>
      <c r="I2484" s="2" t="s">
        <v>359</v>
      </c>
      <c r="J2484" s="2" t="s">
        <v>281</v>
      </c>
      <c r="K2484" s="2" t="s">
        <v>10632</v>
      </c>
      <c r="L2484" s="3">
        <v>16.5</v>
      </c>
      <c r="M2484" s="3">
        <v>17.33</v>
      </c>
      <c r="N2484" s="3">
        <v>32.99</v>
      </c>
      <c r="O2484" s="2" t="s">
        <v>243</v>
      </c>
      <c r="P2484" s="2" t="s">
        <v>270</v>
      </c>
      <c r="Q2484" s="2" t="s">
        <v>237</v>
      </c>
      <c r="R2484" s="2" t="s">
        <v>231</v>
      </c>
      <c r="S2484" s="2" t="s">
        <v>10633</v>
      </c>
      <c r="T2484" s="2" t="s">
        <v>10619</v>
      </c>
      <c r="U2484" s="2" t="s">
        <v>298</v>
      </c>
      <c r="V2484" s="2" t="s">
        <v>2195</v>
      </c>
      <c r="W2484" s="2" t="s">
        <v>299</v>
      </c>
      <c r="X2484" s="2" t="s">
        <v>273</v>
      </c>
      <c r="Y2484" s="2" t="s">
        <v>10626</v>
      </c>
      <c r="Z2484" s="4">
        <v>60</v>
      </c>
      <c r="AA2484" s="4">
        <f>=ROUNDDOWN(12,0)</f>
      </c>
      <c r="AB2484" s="5">
        <v>5</v>
      </c>
      <c r="AC2484" s="2" t="s">
        <v>3090</v>
      </c>
      <c r="AD2484" s="4">
        <v>120</v>
      </c>
      <c r="AE2484" s="4">
        <v>170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231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231</v>
      </c>
      <c r="AW2484" s="8" t="s">
        <v>231</v>
      </c>
      <c r="AX2484" s="4" t="s">
        <v>231</v>
      </c>
      <c r="AY2484" s="8" t="s">
        <v>231</v>
      </c>
      <c r="AZ2484" s="7" t="s">
        <v>231</v>
      </c>
      <c r="BA2484" s="7" t="s">
        <v>231</v>
      </c>
      <c r="BB2484" s="7"/>
      <c r="BC2484" s="4" t="s">
        <v>231</v>
      </c>
      <c r="BD2484" s="8" t="s">
        <v>231</v>
      </c>
      <c r="BE2484" s="4" t="s">
        <v>231</v>
      </c>
      <c r="BF2484" s="8" t="s">
        <v>231</v>
      </c>
      <c r="BG2484" s="7" t="s">
        <v>231</v>
      </c>
      <c r="BH2484" s="7" t="s">
        <v>231</v>
      </c>
      <c r="BI2484" s="7"/>
      <c r="BJ2484" s="4">
        <v>25</v>
      </c>
      <c r="BK2484" s="8">
        <v>485.7</v>
      </c>
      <c r="BL2484" s="2" t="s">
        <v>10637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10638</v>
      </c>
      <c r="BV2484" s="2" t="s">
        <v>231</v>
      </c>
      <c r="BW2484" s="2" t="s">
        <v>231</v>
      </c>
      <c r="BX2484" s="2" t="s">
        <v>231</v>
      </c>
      <c r="BY2484" s="2" t="s">
        <v>277</v>
      </c>
      <c r="BZ2484" s="2" t="s">
        <v>243</v>
      </c>
      <c r="CA2484" s="2" t="s">
        <v>5023</v>
      </c>
      <c r="CB2484" s="2" t="s">
        <v>4543</v>
      </c>
      <c r="CC2484" s="2" t="s">
        <v>244</v>
      </c>
      <c r="CD2484" s="2" t="s">
        <v>231</v>
      </c>
      <c r="CE2484" s="4">
        <v>60</v>
      </c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>
        <v>120</v>
      </c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>
        <v>50</v>
      </c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/>
      <c r="HD2484" s="4"/>
      <c r="HE2484" s="4"/>
      <c r="HF2484" s="4"/>
      <c r="HG2484" s="4"/>
      <c r="HH2484" s="4"/>
      <c r="HI2484" s="4"/>
      <c r="HJ2484" s="4"/>
      <c r="HK2484" s="4"/>
      <c r="HL2484" s="4"/>
    </row>
    <row r="2485">
      <c r="A2485" s="2" t="s">
        <v>10639</v>
      </c>
      <c r="B2485" s="2" t="s">
        <v>287</v>
      </c>
      <c r="C2485" s="2" t="s">
        <v>357</v>
      </c>
      <c r="D2485" s="2" t="s">
        <v>289</v>
      </c>
      <c r="E2485" s="2" t="s">
        <v>290</v>
      </c>
      <c r="F2485" s="2" t="s">
        <v>10616</v>
      </c>
      <c r="G2485" s="2" t="s">
        <v>10616</v>
      </c>
      <c r="H2485" s="2" t="s">
        <v>10616</v>
      </c>
      <c r="I2485" s="2" t="s">
        <v>359</v>
      </c>
      <c r="J2485" s="2" t="s">
        <v>302</v>
      </c>
      <c r="K2485" s="2" t="s">
        <v>10632</v>
      </c>
      <c r="L2485" s="3">
        <v>21.5</v>
      </c>
      <c r="M2485" s="3">
        <v>22.58</v>
      </c>
      <c r="N2485" s="3">
        <v>42.99</v>
      </c>
      <c r="O2485" s="2" t="s">
        <v>243</v>
      </c>
      <c r="P2485" s="2" t="s">
        <v>270</v>
      </c>
      <c r="Q2485" s="2" t="s">
        <v>237</v>
      </c>
      <c r="R2485" s="2" t="s">
        <v>231</v>
      </c>
      <c r="S2485" s="2" t="s">
        <v>10633</v>
      </c>
      <c r="T2485" s="2" t="s">
        <v>10619</v>
      </c>
      <c r="U2485" s="2" t="s">
        <v>298</v>
      </c>
      <c r="V2485" s="2" t="s">
        <v>2195</v>
      </c>
      <c r="W2485" s="2" t="s">
        <v>299</v>
      </c>
      <c r="X2485" s="2" t="s">
        <v>273</v>
      </c>
      <c r="Y2485" s="2" t="s">
        <v>10626</v>
      </c>
      <c r="Z2485" s="4">
        <v>186</v>
      </c>
      <c r="AA2485" s="4">
        <f>=ROUNDDOWN(26.5714285714286,0)</f>
      </c>
      <c r="AB2485" s="5">
        <v>7</v>
      </c>
      <c r="AC2485" s="2" t="s">
        <v>2140</v>
      </c>
      <c r="AD2485" s="4">
        <v>170</v>
      </c>
      <c r="AE2485" s="4">
        <v>170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231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 t="s">
        <v>231</v>
      </c>
      <c r="AW2485" s="8" t="s">
        <v>231</v>
      </c>
      <c r="AX2485" s="4" t="s">
        <v>231</v>
      </c>
      <c r="AY2485" s="8" t="s">
        <v>231</v>
      </c>
      <c r="AZ2485" s="7" t="s">
        <v>231</v>
      </c>
      <c r="BA2485" s="7" t="s">
        <v>231</v>
      </c>
      <c r="BB2485" s="7"/>
      <c r="BC2485" s="4" t="s">
        <v>231</v>
      </c>
      <c r="BD2485" s="8" t="s">
        <v>231</v>
      </c>
      <c r="BE2485" s="4" t="s">
        <v>231</v>
      </c>
      <c r="BF2485" s="8" t="s">
        <v>231</v>
      </c>
      <c r="BG2485" s="7" t="s">
        <v>231</v>
      </c>
      <c r="BH2485" s="7" t="s">
        <v>231</v>
      </c>
      <c r="BI2485" s="7"/>
      <c r="BJ2485" s="4">
        <v>26</v>
      </c>
      <c r="BK2485" s="8">
        <v>675.7</v>
      </c>
      <c r="BL2485" s="2" t="s">
        <v>10640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10641</v>
      </c>
      <c r="BV2485" s="2" t="s">
        <v>231</v>
      </c>
      <c r="BW2485" s="2" t="s">
        <v>231</v>
      </c>
      <c r="BX2485" s="2" t="s">
        <v>231</v>
      </c>
      <c r="BY2485" s="2" t="s">
        <v>277</v>
      </c>
      <c r="BZ2485" s="2" t="s">
        <v>243</v>
      </c>
      <c r="CA2485" s="2" t="s">
        <v>5023</v>
      </c>
      <c r="CB2485" s="2" t="s">
        <v>640</v>
      </c>
      <c r="CC2485" s="2" t="s">
        <v>244</v>
      </c>
      <c r="CD2485" s="2" t="s">
        <v>231</v>
      </c>
      <c r="CE2485" s="4">
        <v>186</v>
      </c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>
        <v>170</v>
      </c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/>
      <c r="HC2485" s="4"/>
      <c r="HD2485" s="4"/>
      <c r="HE2485" s="4"/>
      <c r="HF2485" s="4"/>
      <c r="HG2485" s="4"/>
      <c r="HH2485" s="4"/>
      <c r="HI2485" s="4"/>
      <c r="HJ2485" s="4"/>
      <c r="HK2485" s="4"/>
      <c r="HL2485" s="4"/>
    </row>
    <row r="2486">
      <c r="A2486" s="2" t="s">
        <v>10642</v>
      </c>
      <c r="B2486" s="2" t="s">
        <v>801</v>
      </c>
      <c r="C2486" s="2" t="s">
        <v>867</v>
      </c>
      <c r="D2486" s="2" t="s">
        <v>1114</v>
      </c>
      <c r="E2486" s="2" t="s">
        <v>1115</v>
      </c>
      <c r="F2486" s="2" t="s">
        <v>10643</v>
      </c>
      <c r="G2486" s="2" t="s">
        <v>10643</v>
      </c>
      <c r="H2486" s="2" t="s">
        <v>10643</v>
      </c>
      <c r="I2486" s="2" t="s">
        <v>10644</v>
      </c>
      <c r="J2486" s="2" t="s">
        <v>807</v>
      </c>
      <c r="K2486" s="2" t="s">
        <v>10645</v>
      </c>
      <c r="L2486" s="3">
        <v>90</v>
      </c>
      <c r="M2486" s="3">
        <v>94.5</v>
      </c>
      <c r="N2486" s="3">
        <v>189.99</v>
      </c>
      <c r="O2486" s="2" t="s">
        <v>243</v>
      </c>
      <c r="P2486" s="2" t="s">
        <v>236</v>
      </c>
      <c r="Q2486" s="2" t="s">
        <v>237</v>
      </c>
      <c r="R2486" s="2" t="s">
        <v>231</v>
      </c>
      <c r="S2486" s="2" t="s">
        <v>231</v>
      </c>
      <c r="T2486" s="2" t="s">
        <v>231</v>
      </c>
      <c r="U2486" s="2" t="s">
        <v>791</v>
      </c>
      <c r="V2486" s="2" t="s">
        <v>662</v>
      </c>
      <c r="W2486" s="2" t="s">
        <v>5476</v>
      </c>
      <c r="X2486" s="2" t="s">
        <v>231</v>
      </c>
      <c r="Y2486" s="2" t="s">
        <v>10646</v>
      </c>
      <c r="Z2486" s="4">
        <v>69</v>
      </c>
      <c r="AA2486" s="4">
        <f>=ROUNDDOWN(34.5,0)</f>
      </c>
      <c r="AB2486" s="5">
        <v>2</v>
      </c>
      <c r="AC2486" s="2" t="s">
        <v>231</v>
      </c>
      <c r="AD2486" s="4"/>
      <c r="AE2486" s="4"/>
      <c r="AF2486" s="6">
        <v>63</v>
      </c>
      <c r="AG2486" s="6"/>
      <c r="AH2486" s="7">
        <v>1</v>
      </c>
      <c r="AI2486" s="4"/>
      <c r="AJ2486" s="4">
        <f>=ROUNDDOWN({0},0)</f>
      </c>
      <c r="AK2486" s="5"/>
      <c r="AL2486" s="2" t="s">
        <v>231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7</v>
      </c>
      <c r="BK2486" s="8">
        <v>717.46</v>
      </c>
      <c r="BL2486" s="2" t="s">
        <v>2343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10647</v>
      </c>
      <c r="BV2486" s="2" t="s">
        <v>231</v>
      </c>
      <c r="BW2486" s="2" t="s">
        <v>231</v>
      </c>
      <c r="BX2486" s="2" t="s">
        <v>241</v>
      </c>
      <c r="BY2486" s="2" t="s">
        <v>277</v>
      </c>
      <c r="BZ2486" s="2" t="s">
        <v>243</v>
      </c>
      <c r="CA2486" s="2" t="s">
        <v>10648</v>
      </c>
      <c r="CB2486" s="2" t="s">
        <v>231</v>
      </c>
      <c r="CC2486" s="2" t="s">
        <v>244</v>
      </c>
      <c r="CD2486" s="2" t="s">
        <v>231</v>
      </c>
      <c r="CE2486" s="4"/>
      <c r="CF2486" s="4">
        <v>69</v>
      </c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/>
      <c r="GH2486" s="4"/>
      <c r="GI2486" s="4"/>
      <c r="GJ2486" s="4"/>
      <c r="GK2486" s="4"/>
      <c r="GL2486" s="4"/>
      <c r="GM2486" s="4"/>
      <c r="GN2486" s="4"/>
      <c r="GO2486" s="4"/>
      <c r="GP2486" s="4"/>
      <c r="GQ2486" s="4"/>
      <c r="GR2486" s="4"/>
      <c r="GS2486" s="4"/>
      <c r="GT2486" s="4"/>
      <c r="GU2486" s="4"/>
      <c r="GV2486" s="4"/>
      <c r="GW2486" s="4"/>
      <c r="GX2486" s="4"/>
      <c r="GY2486" s="4"/>
      <c r="GZ2486" s="4"/>
      <c r="HA2486" s="4"/>
      <c r="HB2486" s="4"/>
      <c r="HC2486" s="4"/>
      <c r="HD2486" s="4"/>
      <c r="HE2486" s="4"/>
      <c r="HF2486" s="4"/>
      <c r="HG2486" s="4"/>
      <c r="HH2486" s="4"/>
      <c r="HI2486" s="4"/>
      <c r="HJ2486" s="4"/>
      <c r="HK2486" s="4"/>
      <c r="HL2486" s="4"/>
    </row>
    <row r="2487">
      <c r="A2487" s="2" t="s">
        <v>10649</v>
      </c>
      <c r="B2487" s="2" t="s">
        <v>262</v>
      </c>
      <c r="C2487" s="2" t="s">
        <v>288</v>
      </c>
      <c r="D2487" s="2" t="s">
        <v>264</v>
      </c>
      <c r="E2487" s="2" t="s">
        <v>3915</v>
      </c>
      <c r="F2487" s="2" t="s">
        <v>10650</v>
      </c>
      <c r="G2487" s="2" t="s">
        <v>10651</v>
      </c>
      <c r="H2487" s="2" t="s">
        <v>10651</v>
      </c>
      <c r="I2487" s="2" t="s">
        <v>10652</v>
      </c>
      <c r="J2487" s="2" t="s">
        <v>304</v>
      </c>
      <c r="K2487" s="2" t="s">
        <v>319</v>
      </c>
      <c r="L2487" s="3">
        <v>27.32</v>
      </c>
      <c r="M2487" s="3">
        <v>28.69</v>
      </c>
      <c r="N2487" s="3">
        <v>59.99</v>
      </c>
      <c r="O2487" s="2" t="s">
        <v>243</v>
      </c>
      <c r="P2487" s="2" t="s">
        <v>341</v>
      </c>
      <c r="Q2487" s="2" t="s">
        <v>237</v>
      </c>
      <c r="R2487" s="2" t="s">
        <v>231</v>
      </c>
      <c r="S2487" s="2" t="s">
        <v>10653</v>
      </c>
      <c r="T2487" s="2" t="s">
        <v>362</v>
      </c>
      <c r="U2487" s="2" t="s">
        <v>231</v>
      </c>
      <c r="V2487" s="2" t="s">
        <v>239</v>
      </c>
      <c r="W2487" s="2" t="s">
        <v>273</v>
      </c>
      <c r="X2487" s="2" t="s">
        <v>231</v>
      </c>
      <c r="Y2487" s="2" t="s">
        <v>274</v>
      </c>
      <c r="Z2487" s="4">
        <v>165</v>
      </c>
      <c r="AA2487" s="4">
        <f>=ROUNDDOWN(21.1538461538462,0)</f>
      </c>
      <c r="AB2487" s="5">
        <v>7.8</v>
      </c>
      <c r="AC2487" s="2" t="s">
        <v>231</v>
      </c>
      <c r="AD2487" s="4"/>
      <c r="AE2487" s="4"/>
      <c r="AF2487" s="6">
        <v>65</v>
      </c>
      <c r="AG2487" s="6">
        <v>73</v>
      </c>
      <c r="AH2487" s="7">
        <v>1</v>
      </c>
      <c r="AI2487" s="4"/>
      <c r="AJ2487" s="4">
        <f>=ROUNDDOWN({0},0)</f>
      </c>
      <c r="AK2487" s="5"/>
      <c r="AL2487" s="2" t="s">
        <v>231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32</v>
      </c>
      <c r="BK2487" s="8">
        <v>891.46</v>
      </c>
      <c r="BL2487" s="2" t="s">
        <v>10654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10655</v>
      </c>
      <c r="BV2487" s="2" t="s">
        <v>231</v>
      </c>
      <c r="BW2487" s="2" t="s">
        <v>231</v>
      </c>
      <c r="BX2487" s="2" t="s">
        <v>231</v>
      </c>
      <c r="BY2487" s="2" t="s">
        <v>277</v>
      </c>
      <c r="BZ2487" s="2" t="s">
        <v>243</v>
      </c>
      <c r="CA2487" s="2" t="s">
        <v>284</v>
      </c>
      <c r="CB2487" s="2" t="s">
        <v>617</v>
      </c>
      <c r="CC2487" s="2" t="s">
        <v>244</v>
      </c>
      <c r="CD2487" s="2" t="s">
        <v>231</v>
      </c>
      <c r="CE2487" s="4">
        <v>165</v>
      </c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/>
      <c r="GH2487" s="4"/>
      <c r="GI2487" s="4"/>
      <c r="GJ2487" s="4"/>
      <c r="GK2487" s="4"/>
      <c r="GL2487" s="4"/>
      <c r="GM2487" s="4"/>
      <c r="GN2487" s="4"/>
      <c r="GO2487" s="4"/>
      <c r="GP2487" s="4"/>
      <c r="GQ2487" s="4"/>
      <c r="GR2487" s="4"/>
      <c r="GS2487" s="4"/>
      <c r="GT2487" s="4"/>
      <c r="GU2487" s="4"/>
      <c r="GV2487" s="4"/>
      <c r="GW2487" s="4"/>
      <c r="GX2487" s="4"/>
      <c r="GY2487" s="4"/>
      <c r="GZ2487" s="4"/>
      <c r="HA2487" s="4"/>
      <c r="HB2487" s="4"/>
      <c r="HC2487" s="4"/>
      <c r="HD2487" s="4"/>
      <c r="HE2487" s="4"/>
      <c r="HF2487" s="4"/>
      <c r="HG2487" s="4"/>
      <c r="HH2487" s="4"/>
      <c r="HI2487" s="4"/>
      <c r="HJ2487" s="4"/>
      <c r="HK2487" s="4"/>
      <c r="HL2487" s="4"/>
    </row>
    <row r="2488">
      <c r="A2488" s="2" t="s">
        <v>10656</v>
      </c>
      <c r="B2488" s="2" t="s">
        <v>226</v>
      </c>
      <c r="C2488" s="2" t="s">
        <v>631</v>
      </c>
      <c r="D2488" s="2" t="s">
        <v>10657</v>
      </c>
      <c r="E2488" s="2" t="s">
        <v>10658</v>
      </c>
      <c r="F2488" s="2" t="s">
        <v>10659</v>
      </c>
      <c r="G2488" s="2" t="s">
        <v>10659</v>
      </c>
      <c r="H2488" s="2" t="s">
        <v>10659</v>
      </c>
      <c r="I2488" s="2" t="s">
        <v>3951</v>
      </c>
      <c r="J2488" s="2" t="s">
        <v>318</v>
      </c>
      <c r="K2488" s="2" t="s">
        <v>253</v>
      </c>
      <c r="L2488" s="3">
        <v>64.79</v>
      </c>
      <c r="M2488" s="3">
        <v>68.03</v>
      </c>
      <c r="N2488" s="3">
        <v>119.99</v>
      </c>
      <c r="O2488" s="2" t="s">
        <v>235</v>
      </c>
      <c r="P2488" s="2" t="s">
        <v>341</v>
      </c>
      <c r="Q2488" s="2" t="s">
        <v>237</v>
      </c>
      <c r="R2488" s="2" t="s">
        <v>231</v>
      </c>
      <c r="S2488" s="2" t="s">
        <v>10660</v>
      </c>
      <c r="T2488" s="2" t="s">
        <v>1630</v>
      </c>
      <c r="U2488" s="2" t="s">
        <v>327</v>
      </c>
      <c r="V2488" s="2" t="s">
        <v>987</v>
      </c>
      <c r="W2488" s="2" t="s">
        <v>273</v>
      </c>
      <c r="X2488" s="2" t="s">
        <v>792</v>
      </c>
      <c r="Y2488" s="2" t="s">
        <v>10661</v>
      </c>
      <c r="Z2488" s="4">
        <v>264</v>
      </c>
      <c r="AA2488" s="4">
        <f>=ROUNDDOWN(220,0)</f>
      </c>
      <c r="AB2488" s="5">
        <v>1.2</v>
      </c>
      <c r="AC2488" s="2" t="s">
        <v>231</v>
      </c>
      <c r="AD2488" s="4"/>
      <c r="AE2488" s="4"/>
      <c r="AF2488" s="6">
        <v>58</v>
      </c>
      <c r="AG2488" s="6"/>
      <c r="AH2488" s="7">
        <v>1</v>
      </c>
      <c r="AI2488" s="4"/>
      <c r="AJ2488" s="4">
        <f>=ROUNDDOWN({0},0)</f>
      </c>
      <c r="AK2488" s="5"/>
      <c r="AL2488" s="2" t="s">
        <v>231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231</v>
      </c>
      <c r="AW2488" s="8" t="s">
        <v>231</v>
      </c>
      <c r="AX2488" s="4" t="s">
        <v>231</v>
      </c>
      <c r="AY2488" s="8" t="s">
        <v>231</v>
      </c>
      <c r="AZ2488" s="7" t="s">
        <v>231</v>
      </c>
      <c r="BA2488" s="7" t="s">
        <v>231</v>
      </c>
      <c r="BB2488" s="7"/>
      <c r="BC2488" s="4" t="s">
        <v>231</v>
      </c>
      <c r="BD2488" s="8" t="s">
        <v>231</v>
      </c>
      <c r="BE2488" s="4" t="s">
        <v>231</v>
      </c>
      <c r="BF2488" s="8" t="s">
        <v>231</v>
      </c>
      <c r="BG2488" s="7" t="s">
        <v>231</v>
      </c>
      <c r="BH2488" s="7" t="s">
        <v>231</v>
      </c>
      <c r="BI2488" s="7"/>
      <c r="BJ2488" s="4">
        <v>1</v>
      </c>
      <c r="BK2488" s="8">
        <v>50</v>
      </c>
      <c r="BL2488" s="2" t="s">
        <v>1618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10662</v>
      </c>
      <c r="BV2488" s="2" t="s">
        <v>231</v>
      </c>
      <c r="BW2488" s="2" t="s">
        <v>231</v>
      </c>
      <c r="BX2488" s="2" t="s">
        <v>231</v>
      </c>
      <c r="BY2488" s="2" t="s">
        <v>277</v>
      </c>
      <c r="BZ2488" s="2" t="s">
        <v>243</v>
      </c>
      <c r="CA2488" s="2" t="s">
        <v>3147</v>
      </c>
      <c r="CB2488" s="2" t="s">
        <v>10663</v>
      </c>
      <c r="CC2488" s="2" t="s">
        <v>244</v>
      </c>
      <c r="CD2488" s="2" t="s">
        <v>231</v>
      </c>
      <c r="CE2488" s="4">
        <v>264</v>
      </c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/>
      <c r="HD2488" s="4"/>
      <c r="HE2488" s="4"/>
      <c r="HF2488" s="4"/>
      <c r="HG2488" s="4"/>
      <c r="HH2488" s="4"/>
      <c r="HI2488" s="4"/>
      <c r="HJ2488" s="4"/>
      <c r="HK2488" s="4"/>
      <c r="HL2488" s="4"/>
    </row>
    <row r="2489">
      <c r="A2489" s="2" t="s">
        <v>10664</v>
      </c>
      <c r="B2489" s="2" t="s">
        <v>226</v>
      </c>
      <c r="C2489" s="2" t="s">
        <v>631</v>
      </c>
      <c r="D2489" s="2" t="s">
        <v>10657</v>
      </c>
      <c r="E2489" s="2" t="s">
        <v>10658</v>
      </c>
      <c r="F2489" s="2" t="s">
        <v>10659</v>
      </c>
      <c r="G2489" s="2" t="s">
        <v>10659</v>
      </c>
      <c r="H2489" s="2" t="s">
        <v>10659</v>
      </c>
      <c r="I2489" s="2" t="s">
        <v>3951</v>
      </c>
      <c r="J2489" s="2" t="s">
        <v>281</v>
      </c>
      <c r="K2489" s="2" t="s">
        <v>253</v>
      </c>
      <c r="L2489" s="3">
        <v>70.19</v>
      </c>
      <c r="M2489" s="3">
        <v>73.7</v>
      </c>
      <c r="N2489" s="3">
        <v>129.99</v>
      </c>
      <c r="O2489" s="2" t="s">
        <v>235</v>
      </c>
      <c r="P2489" s="2" t="s">
        <v>341</v>
      </c>
      <c r="Q2489" s="2" t="s">
        <v>237</v>
      </c>
      <c r="R2489" s="2" t="s">
        <v>231</v>
      </c>
      <c r="S2489" s="2" t="s">
        <v>10660</v>
      </c>
      <c r="T2489" s="2" t="s">
        <v>1630</v>
      </c>
      <c r="U2489" s="2" t="s">
        <v>327</v>
      </c>
      <c r="V2489" s="2" t="s">
        <v>987</v>
      </c>
      <c r="W2489" s="2" t="s">
        <v>273</v>
      </c>
      <c r="X2489" s="2" t="s">
        <v>792</v>
      </c>
      <c r="Y2489" s="2" t="s">
        <v>10661</v>
      </c>
      <c r="Z2489" s="4">
        <v>72</v>
      </c>
      <c r="AA2489" s="4">
        <f>=ROUNDDOWN(12.6315789473684,0)</f>
      </c>
      <c r="AB2489" s="5">
        <v>5.7</v>
      </c>
      <c r="AC2489" s="2" t="s">
        <v>231</v>
      </c>
      <c r="AD2489" s="4"/>
      <c r="AE2489" s="4"/>
      <c r="AF2489" s="6">
        <v>58</v>
      </c>
      <c r="AG2489" s="6"/>
      <c r="AH2489" s="7">
        <v>1</v>
      </c>
      <c r="AI2489" s="4"/>
      <c r="AJ2489" s="4">
        <f>=ROUNDDOWN({0},0)</f>
      </c>
      <c r="AK2489" s="5"/>
      <c r="AL2489" s="2" t="s">
        <v>231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231</v>
      </c>
      <c r="AW2489" s="8" t="s">
        <v>231</v>
      </c>
      <c r="AX2489" s="4" t="s">
        <v>231</v>
      </c>
      <c r="AY2489" s="8" t="s">
        <v>231</v>
      </c>
      <c r="AZ2489" s="7" t="s">
        <v>231</v>
      </c>
      <c r="BA2489" s="7" t="s">
        <v>231</v>
      </c>
      <c r="BB2489" s="7"/>
      <c r="BC2489" s="4" t="s">
        <v>231</v>
      </c>
      <c r="BD2489" s="8" t="s">
        <v>231</v>
      </c>
      <c r="BE2489" s="4" t="s">
        <v>231</v>
      </c>
      <c r="BF2489" s="8" t="s">
        <v>231</v>
      </c>
      <c r="BG2489" s="7" t="s">
        <v>231</v>
      </c>
      <c r="BH2489" s="7" t="s">
        <v>231</v>
      </c>
      <c r="BI2489" s="7"/>
      <c r="BJ2489" s="4">
        <v>6</v>
      </c>
      <c r="BK2489" s="8">
        <v>389.61</v>
      </c>
      <c r="BL2489" s="2" t="s">
        <v>10665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10666</v>
      </c>
      <c r="BV2489" s="2" t="s">
        <v>231</v>
      </c>
      <c r="BW2489" s="2" t="s">
        <v>231</v>
      </c>
      <c r="BX2489" s="2" t="s">
        <v>231</v>
      </c>
      <c r="BY2489" s="2" t="s">
        <v>277</v>
      </c>
      <c r="BZ2489" s="2" t="s">
        <v>243</v>
      </c>
      <c r="CA2489" s="2" t="s">
        <v>3147</v>
      </c>
      <c r="CB2489" s="2" t="s">
        <v>10667</v>
      </c>
      <c r="CC2489" s="2" t="s">
        <v>244</v>
      </c>
      <c r="CD2489" s="2" t="s">
        <v>231</v>
      </c>
      <c r="CE2489" s="4">
        <v>72</v>
      </c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/>
      <c r="HE2489" s="4"/>
      <c r="HF2489" s="4"/>
      <c r="HG2489" s="4"/>
      <c r="HH2489" s="4"/>
      <c r="HI2489" s="4"/>
      <c r="HJ2489" s="4"/>
      <c r="HK2489" s="4"/>
      <c r="HL2489" s="4"/>
    </row>
    <row r="2490">
      <c r="A2490" s="2" t="s">
        <v>10668</v>
      </c>
      <c r="B2490" s="2" t="s">
        <v>226</v>
      </c>
      <c r="C2490" s="2" t="s">
        <v>631</v>
      </c>
      <c r="D2490" s="2" t="s">
        <v>10657</v>
      </c>
      <c r="E2490" s="2" t="s">
        <v>10658</v>
      </c>
      <c r="F2490" s="2" t="s">
        <v>10659</v>
      </c>
      <c r="G2490" s="2" t="s">
        <v>10659</v>
      </c>
      <c r="H2490" s="2" t="s">
        <v>10659</v>
      </c>
      <c r="I2490" s="2" t="s">
        <v>3951</v>
      </c>
      <c r="J2490" s="2" t="s">
        <v>302</v>
      </c>
      <c r="K2490" s="2" t="s">
        <v>253</v>
      </c>
      <c r="L2490" s="3">
        <v>102.59</v>
      </c>
      <c r="M2490" s="3">
        <v>107.72</v>
      </c>
      <c r="N2490" s="3">
        <v>189.99</v>
      </c>
      <c r="O2490" s="2" t="s">
        <v>235</v>
      </c>
      <c r="P2490" s="2" t="s">
        <v>341</v>
      </c>
      <c r="Q2490" s="2" t="s">
        <v>237</v>
      </c>
      <c r="R2490" s="2" t="s">
        <v>231</v>
      </c>
      <c r="S2490" s="2" t="s">
        <v>10660</v>
      </c>
      <c r="T2490" s="2" t="s">
        <v>1630</v>
      </c>
      <c r="U2490" s="2" t="s">
        <v>327</v>
      </c>
      <c r="V2490" s="2" t="s">
        <v>987</v>
      </c>
      <c r="W2490" s="2" t="s">
        <v>273</v>
      </c>
      <c r="X2490" s="2" t="s">
        <v>792</v>
      </c>
      <c r="Y2490" s="2" t="s">
        <v>10661</v>
      </c>
      <c r="Z2490" s="4"/>
      <c r="AA2490" s="4">
        <f>=ROUNDDOWN({0},0)</f>
      </c>
      <c r="AB2490" s="5">
        <v>19</v>
      </c>
      <c r="AC2490" s="2" t="s">
        <v>231</v>
      </c>
      <c r="AD2490" s="4"/>
      <c r="AE2490" s="4"/>
      <c r="AF2490" s="6">
        <v>58</v>
      </c>
      <c r="AG2490" s="6"/>
      <c r="AH2490" s="7">
        <v>0</v>
      </c>
      <c r="AI2490" s="4"/>
      <c r="AJ2490" s="4">
        <f>=ROUNDDOWN({0},0)</f>
      </c>
      <c r="AK2490" s="5"/>
      <c r="AL2490" s="2" t="s">
        <v>231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231</v>
      </c>
      <c r="AW2490" s="8" t="s">
        <v>231</v>
      </c>
      <c r="AX2490" s="4" t="s">
        <v>231</v>
      </c>
      <c r="AY2490" s="8" t="s">
        <v>231</v>
      </c>
      <c r="AZ2490" s="7" t="s">
        <v>231</v>
      </c>
      <c r="BA2490" s="7" t="s">
        <v>231</v>
      </c>
      <c r="BB2490" s="7"/>
      <c r="BC2490" s="4" t="s">
        <v>231</v>
      </c>
      <c r="BD2490" s="8" t="s">
        <v>231</v>
      </c>
      <c r="BE2490" s="4" t="s">
        <v>231</v>
      </c>
      <c r="BF2490" s="8" t="s">
        <v>231</v>
      </c>
      <c r="BG2490" s="7" t="s">
        <v>231</v>
      </c>
      <c r="BH2490" s="7" t="s">
        <v>231</v>
      </c>
      <c r="BI2490" s="7"/>
      <c r="BJ2490" s="4"/>
      <c r="BK2490" s="8"/>
      <c r="BL2490" s="2" t="s">
        <v>424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10669</v>
      </c>
      <c r="BV2490" s="2" t="s">
        <v>231</v>
      </c>
      <c r="BW2490" s="2" t="s">
        <v>231</v>
      </c>
      <c r="BX2490" s="2" t="s">
        <v>231</v>
      </c>
      <c r="BY2490" s="2" t="s">
        <v>277</v>
      </c>
      <c r="BZ2490" s="2" t="s">
        <v>243</v>
      </c>
      <c r="CA2490" s="2" t="s">
        <v>3147</v>
      </c>
      <c r="CB2490" s="2" t="s">
        <v>10670</v>
      </c>
      <c r="CC2490" s="2" t="s">
        <v>244</v>
      </c>
      <c r="CD2490" s="2" t="s">
        <v>231</v>
      </c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/>
      <c r="HC2490" s="4"/>
      <c r="HD2490" s="4"/>
      <c r="HE2490" s="4"/>
      <c r="HF2490" s="4"/>
      <c r="HG2490" s="4"/>
      <c r="HH2490" s="4"/>
      <c r="HI2490" s="4"/>
      <c r="HJ2490" s="4"/>
      <c r="HK2490" s="4"/>
      <c r="HL2490" s="4"/>
    </row>
    <row r="2491">
      <c r="A2491" s="2" t="s">
        <v>10671</v>
      </c>
      <c r="B2491" s="2" t="s">
        <v>226</v>
      </c>
      <c r="C2491" s="2" t="s">
        <v>631</v>
      </c>
      <c r="D2491" s="2" t="s">
        <v>10657</v>
      </c>
      <c r="E2491" s="2" t="s">
        <v>10658</v>
      </c>
      <c r="F2491" s="2" t="s">
        <v>10659</v>
      </c>
      <c r="G2491" s="2" t="s">
        <v>10659</v>
      </c>
      <c r="H2491" s="2" t="s">
        <v>10659</v>
      </c>
      <c r="I2491" s="2" t="s">
        <v>3951</v>
      </c>
      <c r="J2491" s="2" t="s">
        <v>318</v>
      </c>
      <c r="K2491" s="2" t="s">
        <v>255</v>
      </c>
      <c r="L2491" s="3">
        <v>64.79</v>
      </c>
      <c r="M2491" s="3">
        <v>68.03</v>
      </c>
      <c r="N2491" s="3">
        <v>119.99</v>
      </c>
      <c r="O2491" s="2" t="s">
        <v>235</v>
      </c>
      <c r="P2491" s="2" t="s">
        <v>341</v>
      </c>
      <c r="Q2491" s="2" t="s">
        <v>237</v>
      </c>
      <c r="R2491" s="2" t="s">
        <v>231</v>
      </c>
      <c r="S2491" s="2" t="s">
        <v>10672</v>
      </c>
      <c r="T2491" s="2" t="s">
        <v>1630</v>
      </c>
      <c r="U2491" s="2" t="s">
        <v>327</v>
      </c>
      <c r="V2491" s="2" t="s">
        <v>987</v>
      </c>
      <c r="W2491" s="2" t="s">
        <v>273</v>
      </c>
      <c r="X2491" s="2" t="s">
        <v>792</v>
      </c>
      <c r="Y2491" s="2" t="s">
        <v>10661</v>
      </c>
      <c r="Z2491" s="4">
        <v>20</v>
      </c>
      <c r="AA2491" s="4">
        <f>=ROUNDDOWN(0.50125313283208,0)</f>
      </c>
      <c r="AB2491" s="5">
        <v>39.9</v>
      </c>
      <c r="AC2491" s="2" t="s">
        <v>231</v>
      </c>
      <c r="AD2491" s="4"/>
      <c r="AE2491" s="4"/>
      <c r="AF2491" s="6">
        <v>58</v>
      </c>
      <c r="AG2491" s="6"/>
      <c r="AH2491" s="7">
        <v>1</v>
      </c>
      <c r="AI2491" s="4"/>
      <c r="AJ2491" s="4">
        <f>=ROUNDDOWN({0},0)</f>
      </c>
      <c r="AK2491" s="5"/>
      <c r="AL2491" s="2" t="s">
        <v>231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231</v>
      </c>
      <c r="AW2491" s="8" t="s">
        <v>231</v>
      </c>
      <c r="AX2491" s="4" t="s">
        <v>231</v>
      </c>
      <c r="AY2491" s="8" t="s">
        <v>231</v>
      </c>
      <c r="AZ2491" s="7" t="s">
        <v>231</v>
      </c>
      <c r="BA2491" s="7" t="s">
        <v>231</v>
      </c>
      <c r="BB2491" s="7"/>
      <c r="BC2491" s="4" t="s">
        <v>231</v>
      </c>
      <c r="BD2491" s="8" t="s">
        <v>231</v>
      </c>
      <c r="BE2491" s="4" t="s">
        <v>231</v>
      </c>
      <c r="BF2491" s="8" t="s">
        <v>231</v>
      </c>
      <c r="BG2491" s="7" t="s">
        <v>231</v>
      </c>
      <c r="BH2491" s="7" t="s">
        <v>231</v>
      </c>
      <c r="BI2491" s="7"/>
      <c r="BJ2491" s="4">
        <v>33</v>
      </c>
      <c r="BK2491" s="8">
        <v>756.18</v>
      </c>
      <c r="BL2491" s="2" t="s">
        <v>10673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10674</v>
      </c>
      <c r="BV2491" s="2" t="s">
        <v>231</v>
      </c>
      <c r="BW2491" s="2" t="s">
        <v>231</v>
      </c>
      <c r="BX2491" s="2" t="s">
        <v>231</v>
      </c>
      <c r="BY2491" s="2" t="s">
        <v>277</v>
      </c>
      <c r="BZ2491" s="2" t="s">
        <v>243</v>
      </c>
      <c r="CA2491" s="2" t="s">
        <v>3147</v>
      </c>
      <c r="CB2491" s="2" t="s">
        <v>6871</v>
      </c>
      <c r="CC2491" s="2" t="s">
        <v>244</v>
      </c>
      <c r="CD2491" s="2" t="s">
        <v>231</v>
      </c>
      <c r="CE2491" s="4">
        <v>20</v>
      </c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4"/>
      <c r="HE2491" s="4"/>
      <c r="HF2491" s="4"/>
      <c r="HG2491" s="4"/>
      <c r="HH2491" s="4"/>
      <c r="HI2491" s="4"/>
      <c r="HJ2491" s="4"/>
      <c r="HK2491" s="4"/>
      <c r="HL2491" s="4"/>
    </row>
    <row r="2492">
      <c r="A2492" s="2" t="s">
        <v>10675</v>
      </c>
      <c r="B2492" s="2" t="s">
        <v>226</v>
      </c>
      <c r="C2492" s="2" t="s">
        <v>631</v>
      </c>
      <c r="D2492" s="2" t="s">
        <v>10657</v>
      </c>
      <c r="E2492" s="2" t="s">
        <v>10658</v>
      </c>
      <c r="F2492" s="2" t="s">
        <v>10659</v>
      </c>
      <c r="G2492" s="2" t="s">
        <v>10659</v>
      </c>
      <c r="H2492" s="2" t="s">
        <v>10659</v>
      </c>
      <c r="I2492" s="2" t="s">
        <v>3951</v>
      </c>
      <c r="J2492" s="2" t="s">
        <v>281</v>
      </c>
      <c r="K2492" s="2" t="s">
        <v>255</v>
      </c>
      <c r="L2492" s="3">
        <v>70.19</v>
      </c>
      <c r="M2492" s="3">
        <v>73.7</v>
      </c>
      <c r="N2492" s="3">
        <v>129.99</v>
      </c>
      <c r="O2492" s="2" t="s">
        <v>235</v>
      </c>
      <c r="P2492" s="2" t="s">
        <v>341</v>
      </c>
      <c r="Q2492" s="2" t="s">
        <v>237</v>
      </c>
      <c r="R2492" s="2" t="s">
        <v>231</v>
      </c>
      <c r="S2492" s="2" t="s">
        <v>10672</v>
      </c>
      <c r="T2492" s="2" t="s">
        <v>1630</v>
      </c>
      <c r="U2492" s="2" t="s">
        <v>327</v>
      </c>
      <c r="V2492" s="2" t="s">
        <v>987</v>
      </c>
      <c r="W2492" s="2" t="s">
        <v>273</v>
      </c>
      <c r="X2492" s="2" t="s">
        <v>792</v>
      </c>
      <c r="Y2492" s="2" t="s">
        <v>10661</v>
      </c>
      <c r="Z2492" s="4">
        <v>119</v>
      </c>
      <c r="AA2492" s="4">
        <f>=ROUNDDOWN(26.4444444444444,0)</f>
      </c>
      <c r="AB2492" s="5">
        <v>4.5</v>
      </c>
      <c r="AC2492" s="2" t="s">
        <v>231</v>
      </c>
      <c r="AD2492" s="4"/>
      <c r="AE2492" s="4"/>
      <c r="AF2492" s="6">
        <v>58</v>
      </c>
      <c r="AG2492" s="6"/>
      <c r="AH2492" s="7">
        <v>1</v>
      </c>
      <c r="AI2492" s="4"/>
      <c r="AJ2492" s="4">
        <f>=ROUNDDOWN({0},0)</f>
      </c>
      <c r="AK2492" s="5"/>
      <c r="AL2492" s="2" t="s">
        <v>231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231</v>
      </c>
      <c r="AW2492" s="8" t="s">
        <v>231</v>
      </c>
      <c r="AX2492" s="4" t="s">
        <v>231</v>
      </c>
      <c r="AY2492" s="8" t="s">
        <v>231</v>
      </c>
      <c r="AZ2492" s="7" t="s">
        <v>231</v>
      </c>
      <c r="BA2492" s="7" t="s">
        <v>231</v>
      </c>
      <c r="BB2492" s="7"/>
      <c r="BC2492" s="4" t="s">
        <v>231</v>
      </c>
      <c r="BD2492" s="8" t="s">
        <v>231</v>
      </c>
      <c r="BE2492" s="4" t="s">
        <v>231</v>
      </c>
      <c r="BF2492" s="8" t="s">
        <v>231</v>
      </c>
      <c r="BG2492" s="7" t="s">
        <v>231</v>
      </c>
      <c r="BH2492" s="7" t="s">
        <v>231</v>
      </c>
      <c r="BI2492" s="7"/>
      <c r="BJ2492" s="4">
        <v>5</v>
      </c>
      <c r="BK2492" s="8">
        <v>290.32</v>
      </c>
      <c r="BL2492" s="2" t="s">
        <v>10665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10676</v>
      </c>
      <c r="BV2492" s="2" t="s">
        <v>231</v>
      </c>
      <c r="BW2492" s="2" t="s">
        <v>231</v>
      </c>
      <c r="BX2492" s="2" t="s">
        <v>231</v>
      </c>
      <c r="BY2492" s="2" t="s">
        <v>277</v>
      </c>
      <c r="BZ2492" s="2" t="s">
        <v>243</v>
      </c>
      <c r="CA2492" s="2" t="s">
        <v>3147</v>
      </c>
      <c r="CB2492" s="2" t="s">
        <v>711</v>
      </c>
      <c r="CC2492" s="2" t="s">
        <v>244</v>
      </c>
      <c r="CD2492" s="2" t="s">
        <v>231</v>
      </c>
      <c r="CE2492" s="4">
        <v>119</v>
      </c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/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4"/>
      <c r="HE2492" s="4"/>
      <c r="HF2492" s="4"/>
      <c r="HG2492" s="4"/>
      <c r="HH2492" s="4"/>
      <c r="HI2492" s="4"/>
      <c r="HJ2492" s="4"/>
      <c r="HK2492" s="4"/>
      <c r="HL2492" s="4"/>
    </row>
    <row r="2493">
      <c r="A2493" s="2" t="s">
        <v>10677</v>
      </c>
      <c r="B2493" s="2" t="s">
        <v>226</v>
      </c>
      <c r="C2493" s="2" t="s">
        <v>631</v>
      </c>
      <c r="D2493" s="2" t="s">
        <v>10657</v>
      </c>
      <c r="E2493" s="2" t="s">
        <v>10658</v>
      </c>
      <c r="F2493" s="2" t="s">
        <v>10659</v>
      </c>
      <c r="G2493" s="2" t="s">
        <v>10659</v>
      </c>
      <c r="H2493" s="2" t="s">
        <v>10659</v>
      </c>
      <c r="I2493" s="2" t="s">
        <v>3951</v>
      </c>
      <c r="J2493" s="2" t="s">
        <v>302</v>
      </c>
      <c r="K2493" s="2" t="s">
        <v>255</v>
      </c>
      <c r="L2493" s="3">
        <v>102.59</v>
      </c>
      <c r="M2493" s="3">
        <v>107.72</v>
      </c>
      <c r="N2493" s="3">
        <v>189.99</v>
      </c>
      <c r="O2493" s="2" t="s">
        <v>235</v>
      </c>
      <c r="P2493" s="2" t="s">
        <v>341</v>
      </c>
      <c r="Q2493" s="2" t="s">
        <v>237</v>
      </c>
      <c r="R2493" s="2" t="s">
        <v>231</v>
      </c>
      <c r="S2493" s="2" t="s">
        <v>10672</v>
      </c>
      <c r="T2493" s="2" t="s">
        <v>1630</v>
      </c>
      <c r="U2493" s="2" t="s">
        <v>327</v>
      </c>
      <c r="V2493" s="2" t="s">
        <v>987</v>
      </c>
      <c r="W2493" s="2" t="s">
        <v>273</v>
      </c>
      <c r="X2493" s="2" t="s">
        <v>792</v>
      </c>
      <c r="Y2493" s="2" t="s">
        <v>10661</v>
      </c>
      <c r="Z2493" s="4"/>
      <c r="AA2493" s="4">
        <f>=ROUNDDOWN({0},0)</f>
      </c>
      <c r="AB2493" s="5">
        <v>5.7</v>
      </c>
      <c r="AC2493" s="2" t="s">
        <v>231</v>
      </c>
      <c r="AD2493" s="4"/>
      <c r="AE2493" s="4"/>
      <c r="AF2493" s="6">
        <v>58</v>
      </c>
      <c r="AG2493" s="6"/>
      <c r="AH2493" s="7">
        <v>0</v>
      </c>
      <c r="AI2493" s="4"/>
      <c r="AJ2493" s="4">
        <f>=ROUNDDOWN({0},0)</f>
      </c>
      <c r="AK2493" s="5"/>
      <c r="AL2493" s="2" t="s">
        <v>231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 t="s">
        <v>231</v>
      </c>
      <c r="AW2493" s="8" t="s">
        <v>231</v>
      </c>
      <c r="AX2493" s="4" t="s">
        <v>231</v>
      </c>
      <c r="AY2493" s="8" t="s">
        <v>231</v>
      </c>
      <c r="AZ2493" s="7" t="s">
        <v>231</v>
      </c>
      <c r="BA2493" s="7" t="s">
        <v>231</v>
      </c>
      <c r="BB2493" s="7"/>
      <c r="BC2493" s="4" t="s">
        <v>231</v>
      </c>
      <c r="BD2493" s="8" t="s">
        <v>231</v>
      </c>
      <c r="BE2493" s="4" t="s">
        <v>231</v>
      </c>
      <c r="BF2493" s="8" t="s">
        <v>231</v>
      </c>
      <c r="BG2493" s="7" t="s">
        <v>231</v>
      </c>
      <c r="BH2493" s="7" t="s">
        <v>231</v>
      </c>
      <c r="BI2493" s="7"/>
      <c r="BJ2493" s="4"/>
      <c r="BK2493" s="8"/>
      <c r="BL2493" s="2" t="s">
        <v>10678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10679</v>
      </c>
      <c r="BV2493" s="2" t="s">
        <v>231</v>
      </c>
      <c r="BW2493" s="2" t="s">
        <v>231</v>
      </c>
      <c r="BX2493" s="2" t="s">
        <v>231</v>
      </c>
      <c r="BY2493" s="2" t="s">
        <v>277</v>
      </c>
      <c r="BZ2493" s="2" t="s">
        <v>243</v>
      </c>
      <c r="CA2493" s="2" t="s">
        <v>3147</v>
      </c>
      <c r="CB2493" s="2" t="s">
        <v>10680</v>
      </c>
      <c r="CC2493" s="2" t="s">
        <v>244</v>
      </c>
      <c r="CD2493" s="2" t="s">
        <v>231</v>
      </c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/>
      <c r="GF2493" s="4"/>
      <c r="GG2493" s="4"/>
      <c r="GH2493" s="4"/>
      <c r="GI2493" s="4"/>
      <c r="GJ2493" s="4"/>
      <c r="GK2493" s="4"/>
      <c r="GL2493" s="4"/>
      <c r="GM2493" s="4"/>
      <c r="GN2493" s="4"/>
      <c r="GO2493" s="4"/>
      <c r="GP2493" s="4"/>
      <c r="GQ2493" s="4"/>
      <c r="GR2493" s="4"/>
      <c r="GS2493" s="4"/>
      <c r="GT2493" s="4"/>
      <c r="GU2493" s="4"/>
      <c r="GV2493" s="4"/>
      <c r="GW2493" s="4"/>
      <c r="GX2493" s="4"/>
      <c r="GY2493" s="4"/>
      <c r="GZ2493" s="4"/>
      <c r="HA2493" s="4"/>
      <c r="HB2493" s="4"/>
      <c r="HC2493" s="4"/>
      <c r="HD2493" s="4"/>
      <c r="HE2493" s="4"/>
      <c r="HF2493" s="4"/>
      <c r="HG2493" s="4"/>
      <c r="HH2493" s="4"/>
      <c r="HI2493" s="4"/>
      <c r="HJ2493" s="4"/>
      <c r="HK2493" s="4"/>
      <c r="HL2493" s="4"/>
    </row>
    <row r="2494">
      <c r="A2494" s="2" t="s">
        <v>10681</v>
      </c>
      <c r="B2494" s="2" t="s">
        <v>226</v>
      </c>
      <c r="C2494" s="2" t="s">
        <v>631</v>
      </c>
      <c r="D2494" s="2" t="s">
        <v>10657</v>
      </c>
      <c r="E2494" s="2" t="s">
        <v>10658</v>
      </c>
      <c r="F2494" s="2" t="s">
        <v>10659</v>
      </c>
      <c r="G2494" s="2" t="s">
        <v>10659</v>
      </c>
      <c r="H2494" s="2" t="s">
        <v>10659</v>
      </c>
      <c r="I2494" s="2" t="s">
        <v>3951</v>
      </c>
      <c r="J2494" s="2" t="s">
        <v>318</v>
      </c>
      <c r="K2494" s="2" t="s">
        <v>723</v>
      </c>
      <c r="L2494" s="3">
        <v>64.79</v>
      </c>
      <c r="M2494" s="3">
        <v>68.03</v>
      </c>
      <c r="N2494" s="3">
        <v>119.99</v>
      </c>
      <c r="O2494" s="2" t="s">
        <v>235</v>
      </c>
      <c r="P2494" s="2" t="s">
        <v>341</v>
      </c>
      <c r="Q2494" s="2" t="s">
        <v>237</v>
      </c>
      <c r="R2494" s="2" t="s">
        <v>231</v>
      </c>
      <c r="S2494" s="2" t="s">
        <v>10682</v>
      </c>
      <c r="T2494" s="2" t="s">
        <v>1630</v>
      </c>
      <c r="U2494" s="2" t="s">
        <v>327</v>
      </c>
      <c r="V2494" s="2" t="s">
        <v>987</v>
      </c>
      <c r="W2494" s="2" t="s">
        <v>273</v>
      </c>
      <c r="X2494" s="2" t="s">
        <v>792</v>
      </c>
      <c r="Y2494" s="2" t="s">
        <v>10661</v>
      </c>
      <c r="Z2494" s="4"/>
      <c r="AA2494" s="4">
        <f>=ROUNDDOWN({0},0)</f>
      </c>
      <c r="AB2494" s="5">
        <v>9.9</v>
      </c>
      <c r="AC2494" s="2" t="s">
        <v>231</v>
      </c>
      <c r="AD2494" s="4"/>
      <c r="AE2494" s="4"/>
      <c r="AF2494" s="6">
        <v>58</v>
      </c>
      <c r="AG2494" s="6"/>
      <c r="AH2494" s="7">
        <v>0</v>
      </c>
      <c r="AI2494" s="4"/>
      <c r="AJ2494" s="4">
        <f>=ROUNDDOWN({0},0)</f>
      </c>
      <c r="AK2494" s="5"/>
      <c r="AL2494" s="2" t="s">
        <v>231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 t="s">
        <v>231</v>
      </c>
      <c r="AW2494" s="8" t="s">
        <v>231</v>
      </c>
      <c r="AX2494" s="4" t="s">
        <v>231</v>
      </c>
      <c r="AY2494" s="8" t="s">
        <v>231</v>
      </c>
      <c r="AZ2494" s="7" t="s">
        <v>231</v>
      </c>
      <c r="BA2494" s="7" t="s">
        <v>231</v>
      </c>
      <c r="BB2494" s="7"/>
      <c r="BC2494" s="4" t="s">
        <v>231</v>
      </c>
      <c r="BD2494" s="8" t="s">
        <v>231</v>
      </c>
      <c r="BE2494" s="4" t="s">
        <v>231</v>
      </c>
      <c r="BF2494" s="8" t="s">
        <v>231</v>
      </c>
      <c r="BG2494" s="7" t="s">
        <v>231</v>
      </c>
      <c r="BH2494" s="7" t="s">
        <v>231</v>
      </c>
      <c r="BI2494" s="7"/>
      <c r="BJ2494" s="4"/>
      <c r="BK2494" s="8"/>
      <c r="BL2494" s="2" t="s">
        <v>8995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10683</v>
      </c>
      <c r="BV2494" s="2" t="s">
        <v>231</v>
      </c>
      <c r="BW2494" s="2" t="s">
        <v>231</v>
      </c>
      <c r="BX2494" s="2" t="s">
        <v>231</v>
      </c>
      <c r="BY2494" s="2" t="s">
        <v>277</v>
      </c>
      <c r="BZ2494" s="2" t="s">
        <v>243</v>
      </c>
      <c r="CA2494" s="2" t="s">
        <v>3147</v>
      </c>
      <c r="CB2494" s="2" t="s">
        <v>10684</v>
      </c>
      <c r="CC2494" s="2" t="s">
        <v>244</v>
      </c>
      <c r="CD2494" s="2" t="s">
        <v>231</v>
      </c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/>
      <c r="HA2494" s="4"/>
      <c r="HB2494" s="4"/>
      <c r="HC2494" s="4"/>
      <c r="HD2494" s="4"/>
      <c r="HE2494" s="4"/>
      <c r="HF2494" s="4"/>
      <c r="HG2494" s="4"/>
      <c r="HH2494" s="4"/>
      <c r="HI2494" s="4"/>
      <c r="HJ2494" s="4"/>
      <c r="HK2494" s="4"/>
      <c r="HL2494" s="4"/>
    </row>
    <row r="2495">
      <c r="A2495" s="2" t="s">
        <v>10685</v>
      </c>
      <c r="B2495" s="2" t="s">
        <v>226</v>
      </c>
      <c r="C2495" s="2" t="s">
        <v>631</v>
      </c>
      <c r="D2495" s="2" t="s">
        <v>10657</v>
      </c>
      <c r="E2495" s="2" t="s">
        <v>10658</v>
      </c>
      <c r="F2495" s="2" t="s">
        <v>10659</v>
      </c>
      <c r="G2495" s="2" t="s">
        <v>10659</v>
      </c>
      <c r="H2495" s="2" t="s">
        <v>10659</v>
      </c>
      <c r="I2495" s="2" t="s">
        <v>3951</v>
      </c>
      <c r="J2495" s="2" t="s">
        <v>281</v>
      </c>
      <c r="K2495" s="2" t="s">
        <v>723</v>
      </c>
      <c r="L2495" s="3">
        <v>70.19</v>
      </c>
      <c r="M2495" s="3">
        <v>73.7</v>
      </c>
      <c r="N2495" s="3">
        <v>129.99</v>
      </c>
      <c r="O2495" s="2" t="s">
        <v>235</v>
      </c>
      <c r="P2495" s="2" t="s">
        <v>341</v>
      </c>
      <c r="Q2495" s="2" t="s">
        <v>237</v>
      </c>
      <c r="R2495" s="2" t="s">
        <v>231</v>
      </c>
      <c r="S2495" s="2" t="s">
        <v>10682</v>
      </c>
      <c r="T2495" s="2" t="s">
        <v>1630</v>
      </c>
      <c r="U2495" s="2" t="s">
        <v>327</v>
      </c>
      <c r="V2495" s="2" t="s">
        <v>987</v>
      </c>
      <c r="W2495" s="2" t="s">
        <v>273</v>
      </c>
      <c r="X2495" s="2" t="s">
        <v>792</v>
      </c>
      <c r="Y2495" s="2" t="s">
        <v>10661</v>
      </c>
      <c r="Z2495" s="4">
        <v>110</v>
      </c>
      <c r="AA2495" s="4">
        <f>=ROUNDDOWN(33.3333333333333,0)</f>
      </c>
      <c r="AB2495" s="5">
        <v>3.3</v>
      </c>
      <c r="AC2495" s="2" t="s">
        <v>231</v>
      </c>
      <c r="AD2495" s="4"/>
      <c r="AE2495" s="4"/>
      <c r="AF2495" s="6">
        <v>58</v>
      </c>
      <c r="AG2495" s="6"/>
      <c r="AH2495" s="7">
        <v>1</v>
      </c>
      <c r="AI2495" s="4"/>
      <c r="AJ2495" s="4">
        <f>=ROUNDDOWN({0},0)</f>
      </c>
      <c r="AK2495" s="5"/>
      <c r="AL2495" s="2" t="s">
        <v>231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 t="s">
        <v>231</v>
      </c>
      <c r="AW2495" s="8" t="s">
        <v>231</v>
      </c>
      <c r="AX2495" s="4" t="s">
        <v>231</v>
      </c>
      <c r="AY2495" s="8" t="s">
        <v>231</v>
      </c>
      <c r="AZ2495" s="7" t="s">
        <v>231</v>
      </c>
      <c r="BA2495" s="7" t="s">
        <v>231</v>
      </c>
      <c r="BB2495" s="7"/>
      <c r="BC2495" s="4" t="s">
        <v>231</v>
      </c>
      <c r="BD2495" s="8" t="s">
        <v>231</v>
      </c>
      <c r="BE2495" s="4" t="s">
        <v>231</v>
      </c>
      <c r="BF2495" s="8" t="s">
        <v>231</v>
      </c>
      <c r="BG2495" s="7" t="s">
        <v>231</v>
      </c>
      <c r="BH2495" s="7" t="s">
        <v>231</v>
      </c>
      <c r="BI2495" s="7"/>
      <c r="BJ2495" s="4">
        <v>2</v>
      </c>
      <c r="BK2495" s="8">
        <v>95.09</v>
      </c>
      <c r="BL2495" s="2" t="s">
        <v>2347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10686</v>
      </c>
      <c r="BV2495" s="2" t="s">
        <v>231</v>
      </c>
      <c r="BW2495" s="2" t="s">
        <v>231</v>
      </c>
      <c r="BX2495" s="2" t="s">
        <v>231</v>
      </c>
      <c r="BY2495" s="2" t="s">
        <v>277</v>
      </c>
      <c r="BZ2495" s="2" t="s">
        <v>243</v>
      </c>
      <c r="CA2495" s="2" t="s">
        <v>3147</v>
      </c>
      <c r="CB2495" s="2" t="s">
        <v>6393</v>
      </c>
      <c r="CC2495" s="2" t="s">
        <v>244</v>
      </c>
      <c r="CD2495" s="2" t="s">
        <v>231</v>
      </c>
      <c r="CE2495" s="4">
        <v>110</v>
      </c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/>
      <c r="GE2495" s="4"/>
      <c r="GF2495" s="4"/>
      <c r="GG2495" s="4"/>
      <c r="GH2495" s="4"/>
      <c r="GI2495" s="4"/>
      <c r="GJ2495" s="4"/>
      <c r="GK2495" s="4"/>
      <c r="GL2495" s="4"/>
      <c r="GM2495" s="4"/>
      <c r="GN2495" s="4"/>
      <c r="GO2495" s="4"/>
      <c r="GP2495" s="4"/>
      <c r="GQ2495" s="4"/>
      <c r="GR2495" s="4"/>
      <c r="GS2495" s="4"/>
      <c r="GT2495" s="4"/>
      <c r="GU2495" s="4"/>
      <c r="GV2495" s="4"/>
      <c r="GW2495" s="4"/>
      <c r="GX2495" s="4"/>
      <c r="GY2495" s="4"/>
      <c r="GZ2495" s="4"/>
      <c r="HA2495" s="4"/>
      <c r="HB2495" s="4"/>
      <c r="HC2495" s="4"/>
      <c r="HD2495" s="4"/>
      <c r="HE2495" s="4"/>
      <c r="HF2495" s="4"/>
      <c r="HG2495" s="4"/>
      <c r="HH2495" s="4"/>
      <c r="HI2495" s="4"/>
      <c r="HJ2495" s="4"/>
      <c r="HK2495" s="4"/>
      <c r="HL2495" s="4"/>
    </row>
    <row r="2496">
      <c r="A2496" s="2" t="s">
        <v>10687</v>
      </c>
      <c r="B2496" s="2" t="s">
        <v>1004</v>
      </c>
      <c r="C2496" s="2" t="s">
        <v>288</v>
      </c>
      <c r="D2496" s="2" t="s">
        <v>1689</v>
      </c>
      <c r="E2496" s="2" t="s">
        <v>1690</v>
      </c>
      <c r="F2496" s="2" t="s">
        <v>10688</v>
      </c>
      <c r="G2496" s="2" t="s">
        <v>6446</v>
      </c>
      <c r="H2496" s="2" t="s">
        <v>3341</v>
      </c>
      <c r="I2496" s="2" t="s">
        <v>10689</v>
      </c>
      <c r="J2496" s="2" t="s">
        <v>807</v>
      </c>
      <c r="K2496" s="2" t="s">
        <v>723</v>
      </c>
      <c r="L2496" s="3">
        <v>171</v>
      </c>
      <c r="M2496" s="3">
        <v>179.55</v>
      </c>
      <c r="N2496" s="3">
        <v>369</v>
      </c>
      <c r="O2496" s="2" t="s">
        <v>243</v>
      </c>
      <c r="P2496" s="2" t="s">
        <v>270</v>
      </c>
      <c r="Q2496" s="2" t="s">
        <v>237</v>
      </c>
      <c r="R2496" s="2" t="s">
        <v>231</v>
      </c>
      <c r="S2496" s="2" t="s">
        <v>10690</v>
      </c>
      <c r="T2496" s="2" t="s">
        <v>231</v>
      </c>
      <c r="U2496" s="2" t="s">
        <v>231</v>
      </c>
      <c r="V2496" s="2" t="s">
        <v>239</v>
      </c>
      <c r="W2496" s="2" t="s">
        <v>792</v>
      </c>
      <c r="X2496" s="2" t="s">
        <v>231</v>
      </c>
      <c r="Y2496" s="2" t="s">
        <v>274</v>
      </c>
      <c r="Z2496" s="4">
        <v>161</v>
      </c>
      <c r="AA2496" s="4">
        <f>=ROUNDDOWN(32.2,0)</f>
      </c>
      <c r="AB2496" s="5">
        <v>5</v>
      </c>
      <c r="AC2496" s="2" t="s">
        <v>794</v>
      </c>
      <c r="AD2496" s="4">
        <v>100</v>
      </c>
      <c r="AE2496" s="4">
        <v>100</v>
      </c>
      <c r="AF2496" s="6">
        <v>74</v>
      </c>
      <c r="AG2496" s="6"/>
      <c r="AH2496" s="7">
        <v>1</v>
      </c>
      <c r="AI2496" s="4"/>
      <c r="AJ2496" s="4">
        <f>=ROUNDDOWN({0},0)</f>
      </c>
      <c r="AK2496" s="5"/>
      <c r="AL2496" s="2" t="s">
        <v>231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/>
      <c r="BD2496" s="8"/>
      <c r="BE2496" s="4"/>
      <c r="BF2496" s="8"/>
      <c r="BG2496" s="7"/>
      <c r="BH2496" s="7"/>
      <c r="BI2496" s="7"/>
      <c r="BJ2496" s="4">
        <v>18</v>
      </c>
      <c r="BK2496" s="8">
        <v>3000.16</v>
      </c>
      <c r="BL2496" s="2" t="s">
        <v>10691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10692</v>
      </c>
      <c r="BV2496" s="2" t="s">
        <v>231</v>
      </c>
      <c r="BW2496" s="2" t="s">
        <v>231</v>
      </c>
      <c r="BX2496" s="2" t="s">
        <v>1812</v>
      </c>
      <c r="BY2496" s="2" t="s">
        <v>277</v>
      </c>
      <c r="BZ2496" s="2" t="s">
        <v>243</v>
      </c>
      <c r="CA2496" s="2" t="s">
        <v>284</v>
      </c>
      <c r="CB2496" s="2" t="s">
        <v>6885</v>
      </c>
      <c r="CC2496" s="2" t="s">
        <v>244</v>
      </c>
      <c r="CD2496" s="2" t="s">
        <v>231</v>
      </c>
      <c r="CE2496" s="4"/>
      <c r="CF2496" s="4">
        <v>161</v>
      </c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>
        <v>100</v>
      </c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/>
      <c r="HA2496" s="4"/>
      <c r="HB2496" s="4"/>
      <c r="HC2496" s="4"/>
      <c r="HD2496" s="4"/>
      <c r="HE2496" s="4"/>
      <c r="HF2496" s="4"/>
      <c r="HG2496" s="4"/>
      <c r="HH2496" s="4"/>
      <c r="HI2496" s="4"/>
      <c r="HJ2496" s="4"/>
      <c r="HK2496" s="4"/>
      <c r="HL2496" s="4"/>
    </row>
    <row r="2497">
      <c r="A2497" s="2" t="s">
        <v>10693</v>
      </c>
      <c r="B2497" s="2" t="s">
        <v>847</v>
      </c>
      <c r="C2497" s="2" t="s">
        <v>288</v>
      </c>
      <c r="D2497" s="2" t="s">
        <v>10694</v>
      </c>
      <c r="E2497" s="2" t="s">
        <v>10695</v>
      </c>
      <c r="F2497" s="2" t="s">
        <v>10696</v>
      </c>
      <c r="G2497" s="2" t="s">
        <v>10696</v>
      </c>
      <c r="H2497" s="2" t="s">
        <v>10696</v>
      </c>
      <c r="I2497" s="2" t="s">
        <v>10697</v>
      </c>
      <c r="J2497" s="2" t="s">
        <v>10698</v>
      </c>
      <c r="K2497" s="2" t="s">
        <v>10699</v>
      </c>
      <c r="L2497" s="3">
        <v>14.7</v>
      </c>
      <c r="M2497" s="3">
        <v>15.44</v>
      </c>
      <c r="N2497" s="3">
        <v>34.99</v>
      </c>
      <c r="O2497" s="2" t="s">
        <v>250</v>
      </c>
      <c r="P2497" s="2" t="s">
        <v>341</v>
      </c>
      <c r="Q2497" s="2" t="s">
        <v>237</v>
      </c>
      <c r="R2497" s="2" t="s">
        <v>231</v>
      </c>
      <c r="S2497" s="2" t="s">
        <v>231</v>
      </c>
      <c r="T2497" s="2" t="s">
        <v>231</v>
      </c>
      <c r="U2497" s="2" t="s">
        <v>327</v>
      </c>
      <c r="V2497" s="2" t="s">
        <v>2195</v>
      </c>
      <c r="W2497" s="2" t="s">
        <v>792</v>
      </c>
      <c r="X2497" s="2" t="s">
        <v>231</v>
      </c>
      <c r="Y2497" s="2" t="s">
        <v>6074</v>
      </c>
      <c r="Z2497" s="4">
        <v>15</v>
      </c>
      <c r="AA2497" s="4">
        <f>=ROUNDDOWN(75,0)</f>
      </c>
      <c r="AB2497" s="5">
        <v>0.2</v>
      </c>
      <c r="AC2497" s="2" t="s">
        <v>231</v>
      </c>
      <c r="AD2497" s="4"/>
      <c r="AE2497" s="4"/>
      <c r="AF2497" s="6"/>
      <c r="AG2497" s="6"/>
      <c r="AH2497" s="7">
        <v>1</v>
      </c>
      <c r="AI2497" s="4"/>
      <c r="AJ2497" s="4">
        <f>=ROUNDDOWN({0},0)</f>
      </c>
      <c r="AK2497" s="5"/>
      <c r="AL2497" s="2" t="s">
        <v>231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/>
      <c r="BD2497" s="8"/>
      <c r="BE2497" s="4"/>
      <c r="BF2497" s="8"/>
      <c r="BG2497" s="7"/>
      <c r="BH2497" s="7"/>
      <c r="BI2497" s="7"/>
      <c r="BJ2497" s="4">
        <v>1</v>
      </c>
      <c r="BK2497" s="8">
        <v>16.17</v>
      </c>
      <c r="BL2497" s="2" t="s">
        <v>2849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10700</v>
      </c>
      <c r="BV2497" s="2" t="s">
        <v>231</v>
      </c>
      <c r="BW2497" s="2" t="s">
        <v>231</v>
      </c>
      <c r="BX2497" s="2" t="s">
        <v>231</v>
      </c>
      <c r="BY2497" s="2" t="s">
        <v>277</v>
      </c>
      <c r="BZ2497" s="2" t="s">
        <v>243</v>
      </c>
      <c r="CA2497" s="2" t="s">
        <v>10701</v>
      </c>
      <c r="CB2497" s="2" t="s">
        <v>7974</v>
      </c>
      <c r="CC2497" s="2" t="s">
        <v>244</v>
      </c>
      <c r="CD2497" s="2" t="s">
        <v>231</v>
      </c>
      <c r="CE2497" s="4"/>
      <c r="CF2497" s="4">
        <v>15</v>
      </c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/>
      <c r="GE2497" s="4"/>
      <c r="GF2497" s="4"/>
      <c r="GG2497" s="4"/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/>
      <c r="HA2497" s="4"/>
      <c r="HB2497" s="4"/>
      <c r="HC2497" s="4"/>
      <c r="HD2497" s="4"/>
      <c r="HE2497" s="4"/>
      <c r="HF2497" s="4"/>
      <c r="HG2497" s="4"/>
      <c r="HH2497" s="4"/>
      <c r="HI2497" s="4"/>
      <c r="HJ2497" s="4"/>
      <c r="HK2497" s="4"/>
      <c r="HL2497" s="4"/>
    </row>
    <row r="2498">
      <c r="A2498" s="2" t="s">
        <v>10702</v>
      </c>
      <c r="B2498" s="2" t="s">
        <v>847</v>
      </c>
      <c r="C2498" s="2" t="s">
        <v>288</v>
      </c>
      <c r="D2498" s="2" t="s">
        <v>2003</v>
      </c>
      <c r="E2498" s="2" t="s">
        <v>6975</v>
      </c>
      <c r="F2498" s="2" t="s">
        <v>10703</v>
      </c>
      <c r="G2498" s="2" t="s">
        <v>10703</v>
      </c>
      <c r="H2498" s="2" t="s">
        <v>10703</v>
      </c>
      <c r="I2498" s="2" t="s">
        <v>10704</v>
      </c>
      <c r="J2498" s="2" t="s">
        <v>807</v>
      </c>
      <c r="K2498" s="2" t="s">
        <v>698</v>
      </c>
      <c r="L2498" s="3">
        <v>32.38</v>
      </c>
      <c r="M2498" s="3">
        <v>34</v>
      </c>
      <c r="N2498" s="3">
        <v>67.99</v>
      </c>
      <c r="O2498" s="2" t="s">
        <v>243</v>
      </c>
      <c r="P2498" s="2" t="s">
        <v>270</v>
      </c>
      <c r="Q2498" s="2" t="s">
        <v>237</v>
      </c>
      <c r="R2498" s="2" t="s">
        <v>231</v>
      </c>
      <c r="S2498" s="2" t="s">
        <v>231</v>
      </c>
      <c r="T2498" s="2" t="s">
        <v>231</v>
      </c>
      <c r="U2498" s="2" t="s">
        <v>791</v>
      </c>
      <c r="V2498" s="2" t="s">
        <v>662</v>
      </c>
      <c r="W2498" s="2" t="s">
        <v>299</v>
      </c>
      <c r="X2498" s="2" t="s">
        <v>691</v>
      </c>
      <c r="Y2498" s="2" t="s">
        <v>1598</v>
      </c>
      <c r="Z2498" s="4"/>
      <c r="AA2498" s="4">
        <f>=ROUNDDOWN({0},0)</f>
      </c>
      <c r="AB2498" s="5">
        <v>8</v>
      </c>
      <c r="AC2498" s="2" t="s">
        <v>6979</v>
      </c>
      <c r="AD2498" s="4">
        <v>240</v>
      </c>
      <c r="AE2498" s="4">
        <v>240</v>
      </c>
      <c r="AF2498" s="6">
        <v>65</v>
      </c>
      <c r="AG2498" s="6"/>
      <c r="AH2498" s="7">
        <v>0</v>
      </c>
      <c r="AI2498" s="4"/>
      <c r="AJ2498" s="4">
        <f>=ROUNDDOWN({0},0)</f>
      </c>
      <c r="AK2498" s="5"/>
      <c r="AL2498" s="2" t="s">
        <v>231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/>
      <c r="BD2498" s="8"/>
      <c r="BE2498" s="4"/>
      <c r="BF2498" s="8"/>
      <c r="BG2498" s="7"/>
      <c r="BH2498" s="7"/>
      <c r="BI2498" s="7"/>
      <c r="BJ2498" s="4"/>
      <c r="BK2498" s="8"/>
      <c r="BL2498" s="2" t="s">
        <v>231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10705</v>
      </c>
      <c r="BV2498" s="2" t="s">
        <v>231</v>
      </c>
      <c r="BW2498" s="2" t="s">
        <v>231</v>
      </c>
      <c r="BX2498" s="2" t="s">
        <v>241</v>
      </c>
      <c r="BY2498" s="2" t="s">
        <v>277</v>
      </c>
      <c r="BZ2498" s="2" t="s">
        <v>243</v>
      </c>
      <c r="CA2498" s="2" t="s">
        <v>822</v>
      </c>
      <c r="CB2498" s="2" t="s">
        <v>4543</v>
      </c>
      <c r="CC2498" s="2" t="s">
        <v>244</v>
      </c>
      <c r="CD2498" s="2" t="s">
        <v>231</v>
      </c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>
        <v>240</v>
      </c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/>
      <c r="GE2498" s="4"/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/>
      <c r="HA2498" s="4"/>
      <c r="HB2498" s="4"/>
      <c r="HC2498" s="4"/>
      <c r="HD2498" s="4"/>
      <c r="HE2498" s="4"/>
      <c r="HF2498" s="4"/>
      <c r="HG2498" s="4"/>
      <c r="HH2498" s="4"/>
      <c r="HI2498" s="4"/>
      <c r="HJ2498" s="4"/>
      <c r="HK2498" s="4"/>
      <c r="HL2498" s="4"/>
    </row>
    <row r="2499">
      <c r="A2499" s="2" t="s">
        <v>10706</v>
      </c>
      <c r="B2499" s="2" t="s">
        <v>226</v>
      </c>
      <c r="C2499" s="2" t="s">
        <v>965</v>
      </c>
      <c r="D2499" s="2" t="s">
        <v>1549</v>
      </c>
      <c r="E2499" s="2" t="s">
        <v>1550</v>
      </c>
      <c r="F2499" s="2" t="s">
        <v>10707</v>
      </c>
      <c r="G2499" s="2" t="s">
        <v>8507</v>
      </c>
      <c r="H2499" s="2" t="s">
        <v>10708</v>
      </c>
      <c r="I2499" s="2" t="s">
        <v>10709</v>
      </c>
      <c r="J2499" s="2" t="s">
        <v>1554</v>
      </c>
      <c r="K2499" s="2" t="s">
        <v>985</v>
      </c>
      <c r="L2499" s="3">
        <v>32.2</v>
      </c>
      <c r="M2499" s="3">
        <v>33.81</v>
      </c>
      <c r="N2499" s="3">
        <v>69.99</v>
      </c>
      <c r="O2499" s="2" t="s">
        <v>235</v>
      </c>
      <c r="P2499" s="2" t="s">
        <v>917</v>
      </c>
      <c r="Q2499" s="2" t="s">
        <v>237</v>
      </c>
      <c r="R2499" s="2" t="s">
        <v>231</v>
      </c>
      <c r="S2499" s="2" t="s">
        <v>10710</v>
      </c>
      <c r="T2499" s="2" t="s">
        <v>231</v>
      </c>
      <c r="U2499" s="2" t="s">
        <v>231</v>
      </c>
      <c r="V2499" s="2" t="s">
        <v>987</v>
      </c>
      <c r="W2499" s="2" t="s">
        <v>299</v>
      </c>
      <c r="X2499" s="2" t="s">
        <v>231</v>
      </c>
      <c r="Y2499" s="2" t="s">
        <v>2657</v>
      </c>
      <c r="Z2499" s="4">
        <v>374</v>
      </c>
      <c r="AA2499" s="4">
        <f>=ROUNDDOWN(41.5555555555556,0)</f>
      </c>
      <c r="AB2499" s="5">
        <v>9</v>
      </c>
      <c r="AC2499" s="2" t="s">
        <v>231</v>
      </c>
      <c r="AD2499" s="4"/>
      <c r="AE2499" s="4"/>
      <c r="AF2499" s="6">
        <v>61</v>
      </c>
      <c r="AG2499" s="6"/>
      <c r="AH2499" s="7">
        <v>1</v>
      </c>
      <c r="AI2499" s="4"/>
      <c r="AJ2499" s="4">
        <f>=ROUNDDOWN({0},0)</f>
      </c>
      <c r="AK2499" s="5"/>
      <c r="AL2499" s="2" t="s">
        <v>231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231</v>
      </c>
      <c r="BD2499" s="8" t="s">
        <v>231</v>
      </c>
      <c r="BE2499" s="4" t="s">
        <v>231</v>
      </c>
      <c r="BF2499" s="8" t="s">
        <v>231</v>
      </c>
      <c r="BG2499" s="7" t="s">
        <v>231</v>
      </c>
      <c r="BH2499" s="7" t="s">
        <v>231</v>
      </c>
      <c r="BI2499" s="7"/>
      <c r="BJ2499" s="4">
        <v>21</v>
      </c>
      <c r="BK2499" s="8">
        <v>563.07</v>
      </c>
      <c r="BL2499" s="2" t="s">
        <v>10711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10712</v>
      </c>
      <c r="BV2499" s="2" t="s">
        <v>231</v>
      </c>
      <c r="BW2499" s="2" t="s">
        <v>231</v>
      </c>
      <c r="BX2499" s="2" t="s">
        <v>231</v>
      </c>
      <c r="BY2499" s="2" t="s">
        <v>277</v>
      </c>
      <c r="BZ2499" s="2" t="s">
        <v>243</v>
      </c>
      <c r="CA2499" s="2" t="s">
        <v>2189</v>
      </c>
      <c r="CB2499" s="2" t="s">
        <v>9086</v>
      </c>
      <c r="CC2499" s="2" t="s">
        <v>244</v>
      </c>
      <c r="CD2499" s="2" t="s">
        <v>231</v>
      </c>
      <c r="CE2499" s="4">
        <v>374</v>
      </c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/>
      <c r="GA2499" s="4"/>
      <c r="GB2499" s="4"/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/>
      <c r="HA2499" s="4"/>
      <c r="HB2499" s="4"/>
      <c r="HC2499" s="4"/>
      <c r="HD2499" s="4"/>
      <c r="HE2499" s="4"/>
      <c r="HF2499" s="4"/>
      <c r="HG2499" s="4"/>
      <c r="HH2499" s="4"/>
      <c r="HI2499" s="4"/>
      <c r="HJ2499" s="4"/>
      <c r="HK2499" s="4"/>
      <c r="HL2499" s="4"/>
    </row>
    <row r="2500">
      <c r="A2500" s="2" t="s">
        <v>10713</v>
      </c>
      <c r="B2500" s="2" t="s">
        <v>992</v>
      </c>
      <c r="C2500" s="2" t="s">
        <v>825</v>
      </c>
      <c r="D2500" s="2" t="s">
        <v>993</v>
      </c>
      <c r="E2500" s="2" t="s">
        <v>994</v>
      </c>
      <c r="F2500" s="2" t="s">
        <v>10707</v>
      </c>
      <c r="G2500" s="2" t="s">
        <v>8507</v>
      </c>
      <c r="H2500" s="2" t="s">
        <v>10708</v>
      </c>
      <c r="I2500" s="2" t="s">
        <v>10714</v>
      </c>
      <c r="J2500" s="2" t="s">
        <v>1703</v>
      </c>
      <c r="K2500" s="2" t="s">
        <v>8704</v>
      </c>
      <c r="L2500" s="3">
        <v>19.2</v>
      </c>
      <c r="M2500" s="3">
        <v>20.16</v>
      </c>
      <c r="N2500" s="3">
        <v>39.99</v>
      </c>
      <c r="O2500" s="2" t="s">
        <v>243</v>
      </c>
      <c r="P2500" s="2" t="s">
        <v>270</v>
      </c>
      <c r="Q2500" s="2" t="s">
        <v>237</v>
      </c>
      <c r="R2500" s="2" t="s">
        <v>231</v>
      </c>
      <c r="S2500" s="2" t="s">
        <v>10715</v>
      </c>
      <c r="T2500" s="2" t="s">
        <v>231</v>
      </c>
      <c r="U2500" s="2" t="s">
        <v>327</v>
      </c>
      <c r="V2500" s="2" t="s">
        <v>987</v>
      </c>
      <c r="W2500" s="2" t="s">
        <v>273</v>
      </c>
      <c r="X2500" s="2" t="s">
        <v>998</v>
      </c>
      <c r="Y2500" s="2" t="s">
        <v>10716</v>
      </c>
      <c r="Z2500" s="4">
        <v>455</v>
      </c>
      <c r="AA2500" s="4">
        <f>=ROUNDDOWN(21.6666666666667,0)</f>
      </c>
      <c r="AB2500" s="5">
        <v>21</v>
      </c>
      <c r="AC2500" s="2" t="s">
        <v>1705</v>
      </c>
      <c r="AD2500" s="4">
        <v>376</v>
      </c>
      <c r="AE2500" s="4">
        <v>628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231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231</v>
      </c>
      <c r="AW2500" s="8" t="s">
        <v>231</v>
      </c>
      <c r="AX2500" s="4" t="s">
        <v>231</v>
      </c>
      <c r="AY2500" s="8" t="s">
        <v>231</v>
      </c>
      <c r="AZ2500" s="7" t="s">
        <v>231</v>
      </c>
      <c r="BA2500" s="7" t="s">
        <v>231</v>
      </c>
      <c r="BB2500" s="7"/>
      <c r="BC2500" s="4" t="s">
        <v>231</v>
      </c>
      <c r="BD2500" s="8" t="s">
        <v>231</v>
      </c>
      <c r="BE2500" s="4" t="s">
        <v>231</v>
      </c>
      <c r="BF2500" s="8" t="s">
        <v>231</v>
      </c>
      <c r="BG2500" s="7" t="s">
        <v>231</v>
      </c>
      <c r="BH2500" s="7" t="s">
        <v>231</v>
      </c>
      <c r="BI2500" s="7"/>
      <c r="BJ2500" s="4">
        <v>69</v>
      </c>
      <c r="BK2500" s="8">
        <v>1412.11</v>
      </c>
      <c r="BL2500" s="2" t="s">
        <v>10717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10718</v>
      </c>
      <c r="BV2500" s="2" t="s">
        <v>231</v>
      </c>
      <c r="BW2500" s="2" t="s">
        <v>231</v>
      </c>
      <c r="BX2500" s="2" t="s">
        <v>5538</v>
      </c>
      <c r="BY2500" s="2" t="s">
        <v>277</v>
      </c>
      <c r="BZ2500" s="2" t="s">
        <v>243</v>
      </c>
      <c r="CA2500" s="2" t="s">
        <v>10719</v>
      </c>
      <c r="CB2500" s="2" t="s">
        <v>10720</v>
      </c>
      <c r="CC2500" s="2" t="s">
        <v>244</v>
      </c>
      <c r="CD2500" s="2" t="s">
        <v>231</v>
      </c>
      <c r="CE2500" s="4">
        <v>455</v>
      </c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>
        <v>376</v>
      </c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/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/>
      <c r="GS2500" s="4"/>
      <c r="GT2500" s="4"/>
      <c r="GU2500" s="4"/>
      <c r="GV2500" s="4"/>
      <c r="GW2500" s="4"/>
      <c r="GX2500" s="4"/>
      <c r="GY2500" s="4"/>
      <c r="GZ2500" s="4"/>
      <c r="HA2500" s="4"/>
      <c r="HB2500" s="4"/>
      <c r="HC2500" s="4"/>
      <c r="HD2500" s="4"/>
      <c r="HE2500" s="4">
        <v>252</v>
      </c>
      <c r="HF2500" s="4"/>
      <c r="HG2500" s="4"/>
      <c r="HH2500" s="4"/>
      <c r="HI2500" s="4"/>
      <c r="HJ2500" s="4"/>
      <c r="HK2500" s="4"/>
      <c r="HL2500" s="4"/>
    </row>
    <row r="2501">
      <c r="A2501" s="2" t="s">
        <v>10721</v>
      </c>
      <c r="B2501" s="2" t="s">
        <v>940</v>
      </c>
      <c r="C2501" s="2" t="s">
        <v>825</v>
      </c>
      <c r="D2501" s="2" t="s">
        <v>1533</v>
      </c>
      <c r="E2501" s="2" t="s">
        <v>1534</v>
      </c>
      <c r="F2501" s="2" t="s">
        <v>10707</v>
      </c>
      <c r="G2501" s="2" t="s">
        <v>8507</v>
      </c>
      <c r="H2501" s="2" t="s">
        <v>10708</v>
      </c>
      <c r="I2501" s="2" t="s">
        <v>10722</v>
      </c>
      <c r="J2501" s="2" t="s">
        <v>1536</v>
      </c>
      <c r="K2501" s="2" t="s">
        <v>8704</v>
      </c>
      <c r="L2501" s="3">
        <v>13.2</v>
      </c>
      <c r="M2501" s="3">
        <v>13.86</v>
      </c>
      <c r="N2501" s="3">
        <v>29.99</v>
      </c>
      <c r="O2501" s="2" t="s">
        <v>243</v>
      </c>
      <c r="P2501" s="2" t="s">
        <v>270</v>
      </c>
      <c r="Q2501" s="2" t="s">
        <v>237</v>
      </c>
      <c r="R2501" s="2" t="s">
        <v>231</v>
      </c>
      <c r="S2501" s="2" t="s">
        <v>10715</v>
      </c>
      <c r="T2501" s="2" t="s">
        <v>231</v>
      </c>
      <c r="U2501" s="2" t="s">
        <v>231</v>
      </c>
      <c r="V2501" s="2" t="s">
        <v>987</v>
      </c>
      <c r="W2501" s="2" t="s">
        <v>691</v>
      </c>
      <c r="X2501" s="2" t="s">
        <v>231</v>
      </c>
      <c r="Y2501" s="2" t="s">
        <v>10723</v>
      </c>
      <c r="Z2501" s="4">
        <v>560</v>
      </c>
      <c r="AA2501" s="4">
        <f>=ROUNDDOWN(22.4,0)</f>
      </c>
      <c r="AB2501" s="5">
        <v>25</v>
      </c>
      <c r="AC2501" s="2" t="s">
        <v>3693</v>
      </c>
      <c r="AD2501" s="4">
        <v>400</v>
      </c>
      <c r="AE2501" s="4">
        <v>820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231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231</v>
      </c>
      <c r="AW2501" s="8" t="s">
        <v>231</v>
      </c>
      <c r="AX2501" s="4" t="s">
        <v>231</v>
      </c>
      <c r="AY2501" s="8" t="s">
        <v>231</v>
      </c>
      <c r="AZ2501" s="7" t="s">
        <v>231</v>
      </c>
      <c r="BA2501" s="7" t="s">
        <v>231</v>
      </c>
      <c r="BB2501" s="7"/>
      <c r="BC2501" s="4" t="s">
        <v>231</v>
      </c>
      <c r="BD2501" s="8" t="s">
        <v>231</v>
      </c>
      <c r="BE2501" s="4" t="s">
        <v>231</v>
      </c>
      <c r="BF2501" s="8" t="s">
        <v>231</v>
      </c>
      <c r="BG2501" s="7" t="s">
        <v>231</v>
      </c>
      <c r="BH2501" s="7" t="s">
        <v>231</v>
      </c>
      <c r="BI2501" s="7"/>
      <c r="BJ2501" s="4">
        <v>80</v>
      </c>
      <c r="BK2501" s="8">
        <v>1126.19</v>
      </c>
      <c r="BL2501" s="2" t="s">
        <v>10724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10725</v>
      </c>
      <c r="BV2501" s="2" t="s">
        <v>231</v>
      </c>
      <c r="BW2501" s="2" t="s">
        <v>231</v>
      </c>
      <c r="BX2501" s="2" t="s">
        <v>231</v>
      </c>
      <c r="BY2501" s="2" t="s">
        <v>277</v>
      </c>
      <c r="BZ2501" s="2" t="s">
        <v>243</v>
      </c>
      <c r="CA2501" s="2" t="s">
        <v>313</v>
      </c>
      <c r="CB2501" s="2" t="s">
        <v>8689</v>
      </c>
      <c r="CC2501" s="2" t="s">
        <v>244</v>
      </c>
      <c r="CD2501" s="2" t="s">
        <v>231</v>
      </c>
      <c r="CE2501" s="4">
        <v>560</v>
      </c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>
        <v>400</v>
      </c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/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/>
      <c r="GC2501" s="4"/>
      <c r="GD2501" s="4"/>
      <c r="GE2501" s="4"/>
      <c r="GF2501" s="4"/>
      <c r="GG2501" s="4"/>
      <c r="GH2501" s="4"/>
      <c r="GI2501" s="4"/>
      <c r="GJ2501" s="4"/>
      <c r="GK2501" s="4"/>
      <c r="GL2501" s="4"/>
      <c r="GM2501" s="4"/>
      <c r="GN2501" s="4"/>
      <c r="GO2501" s="4"/>
      <c r="GP2501" s="4"/>
      <c r="GQ2501" s="4"/>
      <c r="GR2501" s="4"/>
      <c r="GS2501" s="4"/>
      <c r="GT2501" s="4"/>
      <c r="GU2501" s="4"/>
      <c r="GV2501" s="4"/>
      <c r="GW2501" s="4"/>
      <c r="GX2501" s="4"/>
      <c r="GY2501" s="4"/>
      <c r="GZ2501" s="4"/>
      <c r="HA2501" s="4"/>
      <c r="HB2501" s="4"/>
      <c r="HC2501" s="4"/>
      <c r="HD2501" s="4"/>
      <c r="HE2501" s="4">
        <v>420</v>
      </c>
      <c r="HF2501" s="4"/>
      <c r="HG2501" s="4"/>
      <c r="HH2501" s="4"/>
      <c r="HI2501" s="4"/>
      <c r="HJ2501" s="4"/>
      <c r="HK2501" s="4"/>
      <c r="HL2501" s="4"/>
    </row>
    <row r="2502">
      <c r="A2502" s="2" t="s">
        <v>10726</v>
      </c>
      <c r="B2502" s="2" t="s">
        <v>226</v>
      </c>
      <c r="C2502" s="2" t="s">
        <v>965</v>
      </c>
      <c r="D2502" s="2" t="s">
        <v>1549</v>
      </c>
      <c r="E2502" s="2" t="s">
        <v>1550</v>
      </c>
      <c r="F2502" s="2" t="s">
        <v>10707</v>
      </c>
      <c r="G2502" s="2" t="s">
        <v>8507</v>
      </c>
      <c r="H2502" s="2" t="s">
        <v>10708</v>
      </c>
      <c r="I2502" s="2" t="s">
        <v>10709</v>
      </c>
      <c r="J2502" s="2" t="s">
        <v>1554</v>
      </c>
      <c r="K2502" s="2" t="s">
        <v>486</v>
      </c>
      <c r="L2502" s="3">
        <v>32.2</v>
      </c>
      <c r="M2502" s="3">
        <v>33.81</v>
      </c>
      <c r="N2502" s="3">
        <v>69.99</v>
      </c>
      <c r="O2502" s="2" t="s">
        <v>235</v>
      </c>
      <c r="P2502" s="2" t="s">
        <v>917</v>
      </c>
      <c r="Q2502" s="2" t="s">
        <v>237</v>
      </c>
      <c r="R2502" s="2" t="s">
        <v>231</v>
      </c>
      <c r="S2502" s="2" t="s">
        <v>10727</v>
      </c>
      <c r="T2502" s="2" t="s">
        <v>231</v>
      </c>
      <c r="U2502" s="2" t="s">
        <v>231</v>
      </c>
      <c r="V2502" s="2" t="s">
        <v>987</v>
      </c>
      <c r="W2502" s="2" t="s">
        <v>299</v>
      </c>
      <c r="X2502" s="2" t="s">
        <v>231</v>
      </c>
      <c r="Y2502" s="2" t="s">
        <v>2657</v>
      </c>
      <c r="Z2502" s="4">
        <v>58</v>
      </c>
      <c r="AA2502" s="4">
        <f>=ROUNDDOWN(7.25,0)</f>
      </c>
      <c r="AB2502" s="5">
        <v>8</v>
      </c>
      <c r="AC2502" s="2" t="s">
        <v>231</v>
      </c>
      <c r="AD2502" s="4"/>
      <c r="AE2502" s="4"/>
      <c r="AF2502" s="6">
        <v>61</v>
      </c>
      <c r="AG2502" s="6"/>
      <c r="AH2502" s="7">
        <v>1</v>
      </c>
      <c r="AI2502" s="4"/>
      <c r="AJ2502" s="4">
        <f>=ROUNDDOWN({0},0)</f>
      </c>
      <c r="AK2502" s="5"/>
      <c r="AL2502" s="2" t="s">
        <v>231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 t="s">
        <v>231</v>
      </c>
      <c r="BD2502" s="8" t="s">
        <v>231</v>
      </c>
      <c r="BE2502" s="4" t="s">
        <v>231</v>
      </c>
      <c r="BF2502" s="8" t="s">
        <v>231</v>
      </c>
      <c r="BG2502" s="7" t="s">
        <v>231</v>
      </c>
      <c r="BH2502" s="7" t="s">
        <v>231</v>
      </c>
      <c r="BI2502" s="7"/>
      <c r="BJ2502" s="4">
        <v>79</v>
      </c>
      <c r="BK2502" s="8">
        <v>1854.72</v>
      </c>
      <c r="BL2502" s="2" t="s">
        <v>10728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10729</v>
      </c>
      <c r="BV2502" s="2" t="s">
        <v>231</v>
      </c>
      <c r="BW2502" s="2" t="s">
        <v>231</v>
      </c>
      <c r="BX2502" s="2" t="s">
        <v>231</v>
      </c>
      <c r="BY2502" s="2" t="s">
        <v>277</v>
      </c>
      <c r="BZ2502" s="2" t="s">
        <v>243</v>
      </c>
      <c r="CA2502" s="2" t="s">
        <v>2189</v>
      </c>
      <c r="CB2502" s="2" t="s">
        <v>6538</v>
      </c>
      <c r="CC2502" s="2" t="s">
        <v>244</v>
      </c>
      <c r="CD2502" s="2" t="s">
        <v>231</v>
      </c>
      <c r="CE2502" s="4">
        <v>58</v>
      </c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/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/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/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/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4"/>
      <c r="HE2502" s="4"/>
      <c r="HF2502" s="4"/>
      <c r="HG2502" s="4"/>
      <c r="HH2502" s="4"/>
      <c r="HI2502" s="4"/>
      <c r="HJ2502" s="4"/>
      <c r="HK2502" s="4"/>
      <c r="HL2502" s="4"/>
    </row>
    <row r="2503">
      <c r="A2503" s="2" t="s">
        <v>10730</v>
      </c>
      <c r="B2503" s="2" t="s">
        <v>992</v>
      </c>
      <c r="C2503" s="2" t="s">
        <v>825</v>
      </c>
      <c r="D2503" s="2" t="s">
        <v>993</v>
      </c>
      <c r="E2503" s="2" t="s">
        <v>994</v>
      </c>
      <c r="F2503" s="2" t="s">
        <v>10707</v>
      </c>
      <c r="G2503" s="2" t="s">
        <v>8507</v>
      </c>
      <c r="H2503" s="2" t="s">
        <v>10708</v>
      </c>
      <c r="I2503" s="2" t="s">
        <v>10714</v>
      </c>
      <c r="J2503" s="2" t="s">
        <v>1703</v>
      </c>
      <c r="K2503" s="2" t="s">
        <v>8713</v>
      </c>
      <c r="L2503" s="3">
        <v>19.2</v>
      </c>
      <c r="M2503" s="3">
        <v>20.16</v>
      </c>
      <c r="N2503" s="3">
        <v>39.99</v>
      </c>
      <c r="O2503" s="2" t="s">
        <v>243</v>
      </c>
      <c r="P2503" s="2" t="s">
        <v>270</v>
      </c>
      <c r="Q2503" s="2" t="s">
        <v>237</v>
      </c>
      <c r="R2503" s="2" t="s">
        <v>231</v>
      </c>
      <c r="S2503" s="2" t="s">
        <v>10731</v>
      </c>
      <c r="T2503" s="2" t="s">
        <v>231</v>
      </c>
      <c r="U2503" s="2" t="s">
        <v>327</v>
      </c>
      <c r="V2503" s="2" t="s">
        <v>987</v>
      </c>
      <c r="W2503" s="2" t="s">
        <v>273</v>
      </c>
      <c r="X2503" s="2" t="s">
        <v>998</v>
      </c>
      <c r="Y2503" s="2" t="s">
        <v>10716</v>
      </c>
      <c r="Z2503" s="4">
        <v>331</v>
      </c>
      <c r="AA2503" s="4">
        <f>=ROUNDDOWN(20.6875,0)</f>
      </c>
      <c r="AB2503" s="5">
        <v>16</v>
      </c>
      <c r="AC2503" s="2" t="s">
        <v>911</v>
      </c>
      <c r="AD2503" s="4">
        <v>360</v>
      </c>
      <c r="AE2503" s="4">
        <v>360</v>
      </c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231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 t="s">
        <v>231</v>
      </c>
      <c r="BD2503" s="8" t="s">
        <v>231</v>
      </c>
      <c r="BE2503" s="4" t="s">
        <v>231</v>
      </c>
      <c r="BF2503" s="8" t="s">
        <v>231</v>
      </c>
      <c r="BG2503" s="7" t="s">
        <v>231</v>
      </c>
      <c r="BH2503" s="7" t="s">
        <v>231</v>
      </c>
      <c r="BI2503" s="7"/>
      <c r="BJ2503" s="4">
        <v>51</v>
      </c>
      <c r="BK2503" s="8">
        <v>1041.57</v>
      </c>
      <c r="BL2503" s="2" t="s">
        <v>10732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10733</v>
      </c>
      <c r="BV2503" s="2" t="s">
        <v>231</v>
      </c>
      <c r="BW2503" s="2" t="s">
        <v>231</v>
      </c>
      <c r="BX2503" s="2" t="s">
        <v>5538</v>
      </c>
      <c r="BY2503" s="2" t="s">
        <v>277</v>
      </c>
      <c r="BZ2503" s="2" t="s">
        <v>243</v>
      </c>
      <c r="CA2503" s="2" t="s">
        <v>10719</v>
      </c>
      <c r="CB2503" s="2" t="s">
        <v>9127</v>
      </c>
      <c r="CC2503" s="2" t="s">
        <v>244</v>
      </c>
      <c r="CD2503" s="2" t="s">
        <v>231</v>
      </c>
      <c r="CE2503" s="4">
        <v>331</v>
      </c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>
        <v>360</v>
      </c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/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/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/>
      <c r="GP2503" s="4"/>
      <c r="GQ2503" s="4"/>
      <c r="GR2503" s="4"/>
      <c r="GS2503" s="4"/>
      <c r="GT2503" s="4"/>
      <c r="GU2503" s="4"/>
      <c r="GV2503" s="4"/>
      <c r="GW2503" s="4"/>
      <c r="GX2503" s="4"/>
      <c r="GY2503" s="4"/>
      <c r="GZ2503" s="4"/>
      <c r="HA2503" s="4"/>
      <c r="HB2503" s="4"/>
      <c r="HC2503" s="4"/>
      <c r="HD2503" s="4"/>
      <c r="HE2503" s="4"/>
      <c r="HF2503" s="4"/>
      <c r="HG2503" s="4"/>
      <c r="HH2503" s="4"/>
      <c r="HI2503" s="4"/>
      <c r="HJ2503" s="4"/>
      <c r="HK2503" s="4"/>
      <c r="HL2503" s="4"/>
    </row>
    <row r="2504">
      <c r="A2504" s="2" t="s">
        <v>10734</v>
      </c>
      <c r="B2504" s="2" t="s">
        <v>226</v>
      </c>
      <c r="C2504" s="2" t="s">
        <v>965</v>
      </c>
      <c r="D2504" s="2" t="s">
        <v>1549</v>
      </c>
      <c r="E2504" s="2" t="s">
        <v>1550</v>
      </c>
      <c r="F2504" s="2" t="s">
        <v>10707</v>
      </c>
      <c r="G2504" s="2" t="s">
        <v>8507</v>
      </c>
      <c r="H2504" s="2" t="s">
        <v>10708</v>
      </c>
      <c r="I2504" s="2" t="s">
        <v>10709</v>
      </c>
      <c r="J2504" s="2" t="s">
        <v>1554</v>
      </c>
      <c r="K2504" s="2" t="s">
        <v>253</v>
      </c>
      <c r="L2504" s="3">
        <v>32.2</v>
      </c>
      <c r="M2504" s="3">
        <v>33.81</v>
      </c>
      <c r="N2504" s="3">
        <v>69.99</v>
      </c>
      <c r="O2504" s="2" t="s">
        <v>235</v>
      </c>
      <c r="P2504" s="2" t="s">
        <v>917</v>
      </c>
      <c r="Q2504" s="2" t="s">
        <v>237</v>
      </c>
      <c r="R2504" s="2" t="s">
        <v>231</v>
      </c>
      <c r="S2504" s="2" t="s">
        <v>10735</v>
      </c>
      <c r="T2504" s="2" t="s">
        <v>231</v>
      </c>
      <c r="U2504" s="2" t="s">
        <v>231</v>
      </c>
      <c r="V2504" s="2" t="s">
        <v>987</v>
      </c>
      <c r="W2504" s="2" t="s">
        <v>299</v>
      </c>
      <c r="X2504" s="2" t="s">
        <v>231</v>
      </c>
      <c r="Y2504" s="2" t="s">
        <v>2657</v>
      </c>
      <c r="Z2504" s="4">
        <v>1156</v>
      </c>
      <c r="AA2504" s="4">
        <f>=ROUNDDOWN(105.090909090909,0)</f>
      </c>
      <c r="AB2504" s="5">
        <v>11</v>
      </c>
      <c r="AC2504" s="2" t="s">
        <v>231</v>
      </c>
      <c r="AD2504" s="4"/>
      <c r="AE2504" s="4"/>
      <c r="AF2504" s="6">
        <v>61</v>
      </c>
      <c r="AG2504" s="6"/>
      <c r="AH2504" s="7">
        <v>1</v>
      </c>
      <c r="AI2504" s="4"/>
      <c r="AJ2504" s="4">
        <f>=ROUNDDOWN({0},0)</f>
      </c>
      <c r="AK2504" s="5"/>
      <c r="AL2504" s="2" t="s">
        <v>231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 t="s">
        <v>231</v>
      </c>
      <c r="BD2504" s="8" t="s">
        <v>231</v>
      </c>
      <c r="BE2504" s="4" t="s">
        <v>231</v>
      </c>
      <c r="BF2504" s="8" t="s">
        <v>231</v>
      </c>
      <c r="BG2504" s="7" t="s">
        <v>231</v>
      </c>
      <c r="BH2504" s="7" t="s">
        <v>231</v>
      </c>
      <c r="BI2504" s="7"/>
      <c r="BJ2504" s="4">
        <v>20</v>
      </c>
      <c r="BK2504" s="8">
        <v>577.56</v>
      </c>
      <c r="BL2504" s="2" t="s">
        <v>10736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10737</v>
      </c>
      <c r="BV2504" s="2" t="s">
        <v>231</v>
      </c>
      <c r="BW2504" s="2" t="s">
        <v>231</v>
      </c>
      <c r="BX2504" s="2" t="s">
        <v>231</v>
      </c>
      <c r="BY2504" s="2" t="s">
        <v>277</v>
      </c>
      <c r="BZ2504" s="2" t="s">
        <v>243</v>
      </c>
      <c r="CA2504" s="2" t="s">
        <v>2189</v>
      </c>
      <c r="CB2504" s="2" t="s">
        <v>6538</v>
      </c>
      <c r="CC2504" s="2" t="s">
        <v>244</v>
      </c>
      <c r="CD2504" s="2" t="s">
        <v>231</v>
      </c>
      <c r="CE2504" s="4">
        <v>1156</v>
      </c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/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/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/>
      <c r="GP2504" s="4"/>
      <c r="GQ2504" s="4"/>
      <c r="GR2504" s="4"/>
      <c r="GS2504" s="4"/>
      <c r="GT2504" s="4"/>
      <c r="GU2504" s="4"/>
      <c r="GV2504" s="4"/>
      <c r="GW2504" s="4"/>
      <c r="GX2504" s="4"/>
      <c r="GY2504" s="4"/>
      <c r="GZ2504" s="4"/>
      <c r="HA2504" s="4"/>
      <c r="HB2504" s="4"/>
      <c r="HC2504" s="4"/>
      <c r="HD2504" s="4"/>
      <c r="HE2504" s="4"/>
      <c r="HF2504" s="4"/>
      <c r="HG2504" s="4"/>
      <c r="HH2504" s="4"/>
      <c r="HI2504" s="4"/>
      <c r="HJ2504" s="4"/>
      <c r="HK2504" s="4"/>
      <c r="HL2504" s="4"/>
    </row>
    <row r="2505">
      <c r="A2505" s="2" t="s">
        <v>10738</v>
      </c>
      <c r="B2505" s="2" t="s">
        <v>824</v>
      </c>
      <c r="C2505" s="2" t="s">
        <v>825</v>
      </c>
      <c r="D2505" s="2" t="s">
        <v>826</v>
      </c>
      <c r="E2505" s="2" t="s">
        <v>827</v>
      </c>
      <c r="F2505" s="2" t="s">
        <v>10707</v>
      </c>
      <c r="G2505" s="2" t="s">
        <v>8507</v>
      </c>
      <c r="H2505" s="2" t="s">
        <v>10708</v>
      </c>
      <c r="I2505" s="2" t="s">
        <v>10739</v>
      </c>
      <c r="J2505" s="2" t="s">
        <v>832</v>
      </c>
      <c r="K2505" s="2" t="s">
        <v>3378</v>
      </c>
      <c r="L2505" s="3">
        <v>26.1</v>
      </c>
      <c r="M2505" s="3">
        <v>27.4</v>
      </c>
      <c r="N2505" s="3">
        <v>57.99</v>
      </c>
      <c r="O2505" s="2" t="s">
        <v>243</v>
      </c>
      <c r="P2505" s="2" t="s">
        <v>270</v>
      </c>
      <c r="Q2505" s="2" t="s">
        <v>237</v>
      </c>
      <c r="R2505" s="2" t="s">
        <v>231</v>
      </c>
      <c r="S2505" s="2" t="s">
        <v>10740</v>
      </c>
      <c r="T2505" s="2" t="s">
        <v>472</v>
      </c>
      <c r="U2505" s="2" t="s">
        <v>298</v>
      </c>
      <c r="V2505" s="2" t="s">
        <v>987</v>
      </c>
      <c r="W2505" s="2" t="s">
        <v>691</v>
      </c>
      <c r="X2505" s="2" t="s">
        <v>299</v>
      </c>
      <c r="Y2505" s="2" t="s">
        <v>2899</v>
      </c>
      <c r="Z2505" s="4">
        <v>290</v>
      </c>
      <c r="AA2505" s="4">
        <f>=ROUNDDOWN(36.25,0)</f>
      </c>
      <c r="AB2505" s="5">
        <v>8</v>
      </c>
      <c r="AC2505" s="2" t="s">
        <v>3693</v>
      </c>
      <c r="AD2505" s="4">
        <v>110</v>
      </c>
      <c r="AE2505" s="4">
        <v>110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231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231</v>
      </c>
      <c r="AW2505" s="8" t="s">
        <v>231</v>
      </c>
      <c r="AX2505" s="4" t="s">
        <v>231</v>
      </c>
      <c r="AY2505" s="8" t="s">
        <v>231</v>
      </c>
      <c r="AZ2505" s="7" t="s">
        <v>231</v>
      </c>
      <c r="BA2505" s="7" t="s">
        <v>231</v>
      </c>
      <c r="BB2505" s="7"/>
      <c r="BC2505" s="4" t="s">
        <v>231</v>
      </c>
      <c r="BD2505" s="8" t="s">
        <v>231</v>
      </c>
      <c r="BE2505" s="4" t="s">
        <v>231</v>
      </c>
      <c r="BF2505" s="8" t="s">
        <v>231</v>
      </c>
      <c r="BG2505" s="7" t="s">
        <v>231</v>
      </c>
      <c r="BH2505" s="7" t="s">
        <v>231</v>
      </c>
      <c r="BI2505" s="7"/>
      <c r="BJ2505" s="4">
        <v>7</v>
      </c>
      <c r="BK2505" s="8">
        <v>190.12</v>
      </c>
      <c r="BL2505" s="2" t="s">
        <v>10741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10742</v>
      </c>
      <c r="BV2505" s="2" t="s">
        <v>231</v>
      </c>
      <c r="BW2505" s="2" t="s">
        <v>231</v>
      </c>
      <c r="BX2505" s="2" t="s">
        <v>231</v>
      </c>
      <c r="BY2505" s="2" t="s">
        <v>277</v>
      </c>
      <c r="BZ2505" s="2" t="s">
        <v>243</v>
      </c>
      <c r="CA2505" s="2" t="s">
        <v>10743</v>
      </c>
      <c r="CB2505" s="2" t="s">
        <v>1096</v>
      </c>
      <c r="CC2505" s="2" t="s">
        <v>244</v>
      </c>
      <c r="CD2505" s="2" t="s">
        <v>231</v>
      </c>
      <c r="CE2505" s="4">
        <v>290</v>
      </c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>
        <v>110</v>
      </c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/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/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/>
      <c r="GP2505" s="4"/>
      <c r="GQ2505" s="4"/>
      <c r="GR2505" s="4"/>
      <c r="GS2505" s="4"/>
      <c r="GT2505" s="4"/>
      <c r="GU2505" s="4"/>
      <c r="GV2505" s="4"/>
      <c r="GW2505" s="4"/>
      <c r="GX2505" s="4"/>
      <c r="GY2505" s="4"/>
      <c r="GZ2505" s="4"/>
      <c r="HA2505" s="4"/>
      <c r="HB2505" s="4"/>
      <c r="HC2505" s="4"/>
      <c r="HD2505" s="4"/>
      <c r="HE2505" s="4"/>
      <c r="HF2505" s="4"/>
      <c r="HG2505" s="4"/>
      <c r="HH2505" s="4"/>
      <c r="HI2505" s="4"/>
      <c r="HJ2505" s="4"/>
      <c r="HK2505" s="4"/>
      <c r="HL2505" s="4"/>
    </row>
    <row r="2506">
      <c r="A2506" s="2" t="s">
        <v>10744</v>
      </c>
      <c r="B2506" s="2" t="s">
        <v>824</v>
      </c>
      <c r="C2506" s="2" t="s">
        <v>825</v>
      </c>
      <c r="D2506" s="2" t="s">
        <v>826</v>
      </c>
      <c r="E2506" s="2" t="s">
        <v>827</v>
      </c>
      <c r="F2506" s="2" t="s">
        <v>10707</v>
      </c>
      <c r="G2506" s="2" t="s">
        <v>8507</v>
      </c>
      <c r="H2506" s="2" t="s">
        <v>10708</v>
      </c>
      <c r="I2506" s="2" t="s">
        <v>10739</v>
      </c>
      <c r="J2506" s="2" t="s">
        <v>658</v>
      </c>
      <c r="K2506" s="2" t="s">
        <v>3378</v>
      </c>
      <c r="L2506" s="3">
        <v>31.28</v>
      </c>
      <c r="M2506" s="3">
        <v>32.84</v>
      </c>
      <c r="N2506" s="3">
        <v>67.99</v>
      </c>
      <c r="O2506" s="2" t="s">
        <v>243</v>
      </c>
      <c r="P2506" s="2" t="s">
        <v>270</v>
      </c>
      <c r="Q2506" s="2" t="s">
        <v>237</v>
      </c>
      <c r="R2506" s="2" t="s">
        <v>231</v>
      </c>
      <c r="S2506" s="2" t="s">
        <v>10740</v>
      </c>
      <c r="T2506" s="2" t="s">
        <v>472</v>
      </c>
      <c r="U2506" s="2" t="s">
        <v>661</v>
      </c>
      <c r="V2506" s="2" t="s">
        <v>987</v>
      </c>
      <c r="W2506" s="2" t="s">
        <v>691</v>
      </c>
      <c r="X2506" s="2" t="s">
        <v>299</v>
      </c>
      <c r="Y2506" s="2" t="s">
        <v>2899</v>
      </c>
      <c r="Z2506" s="4">
        <v>601</v>
      </c>
      <c r="AA2506" s="4">
        <f>=ROUNDDOWN(85.8571428571429,0)</f>
      </c>
      <c r="AB2506" s="5">
        <v>7</v>
      </c>
      <c r="AC2506" s="2" t="s">
        <v>231</v>
      </c>
      <c r="AD2506" s="4"/>
      <c r="AE2506" s="4"/>
      <c r="AF2506" s="6">
        <v>64</v>
      </c>
      <c r="AG2506" s="6">
        <v>47</v>
      </c>
      <c r="AH2506" s="7">
        <v>1</v>
      </c>
      <c r="AI2506" s="4"/>
      <c r="AJ2506" s="4">
        <f>=ROUNDDOWN({0},0)</f>
      </c>
      <c r="AK2506" s="5"/>
      <c r="AL2506" s="2" t="s">
        <v>231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 t="s">
        <v>231</v>
      </c>
      <c r="AW2506" s="8" t="s">
        <v>231</v>
      </c>
      <c r="AX2506" s="4" t="s">
        <v>231</v>
      </c>
      <c r="AY2506" s="8" t="s">
        <v>231</v>
      </c>
      <c r="AZ2506" s="7" t="s">
        <v>231</v>
      </c>
      <c r="BA2506" s="7" t="s">
        <v>231</v>
      </c>
      <c r="BB2506" s="7"/>
      <c r="BC2506" s="4" t="s">
        <v>231</v>
      </c>
      <c r="BD2506" s="8" t="s">
        <v>231</v>
      </c>
      <c r="BE2506" s="4" t="s">
        <v>231</v>
      </c>
      <c r="BF2506" s="8" t="s">
        <v>231</v>
      </c>
      <c r="BG2506" s="7" t="s">
        <v>231</v>
      </c>
      <c r="BH2506" s="7" t="s">
        <v>231</v>
      </c>
      <c r="BI2506" s="7"/>
      <c r="BJ2506" s="4">
        <v>28</v>
      </c>
      <c r="BK2506" s="8">
        <v>954.16</v>
      </c>
      <c r="BL2506" s="2" t="s">
        <v>10745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10746</v>
      </c>
      <c r="BV2506" s="2" t="s">
        <v>231</v>
      </c>
      <c r="BW2506" s="2" t="s">
        <v>231</v>
      </c>
      <c r="BX2506" s="2" t="s">
        <v>231</v>
      </c>
      <c r="BY2506" s="2" t="s">
        <v>277</v>
      </c>
      <c r="BZ2506" s="2" t="s">
        <v>243</v>
      </c>
      <c r="CA2506" s="2" t="s">
        <v>10743</v>
      </c>
      <c r="CB2506" s="2" t="s">
        <v>2587</v>
      </c>
      <c r="CC2506" s="2" t="s">
        <v>244</v>
      </c>
      <c r="CD2506" s="2" t="s">
        <v>231</v>
      </c>
      <c r="CE2506" s="4">
        <v>200</v>
      </c>
      <c r="CF2506" s="4"/>
      <c r="CG2506" s="4"/>
      <c r="CH2506" s="4"/>
      <c r="CI2506" s="4">
        <v>401</v>
      </c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/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/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/>
      <c r="GP2506" s="4"/>
      <c r="GQ2506" s="4"/>
      <c r="GR2506" s="4"/>
      <c r="GS2506" s="4"/>
      <c r="GT2506" s="4"/>
      <c r="GU2506" s="4"/>
      <c r="GV2506" s="4"/>
      <c r="GW2506" s="4"/>
      <c r="GX2506" s="4"/>
      <c r="GY2506" s="4"/>
      <c r="GZ2506" s="4"/>
      <c r="HA2506" s="4"/>
      <c r="HB2506" s="4"/>
      <c r="HC2506" s="4"/>
      <c r="HD2506" s="4"/>
      <c r="HE2506" s="4"/>
      <c r="HF2506" s="4"/>
      <c r="HG2506" s="4"/>
      <c r="HH2506" s="4"/>
      <c r="HI2506" s="4"/>
      <c r="HJ2506" s="4"/>
      <c r="HK2506" s="4"/>
      <c r="HL2506" s="4"/>
    </row>
    <row r="2507">
      <c r="A2507" s="2" t="s">
        <v>10747</v>
      </c>
      <c r="B2507" s="2" t="s">
        <v>824</v>
      </c>
      <c r="C2507" s="2" t="s">
        <v>825</v>
      </c>
      <c r="D2507" s="2" t="s">
        <v>654</v>
      </c>
      <c r="E2507" s="2" t="s">
        <v>655</v>
      </c>
      <c r="F2507" s="2" t="s">
        <v>10707</v>
      </c>
      <c r="G2507" s="2" t="s">
        <v>8507</v>
      </c>
      <c r="H2507" s="2" t="s">
        <v>10708</v>
      </c>
      <c r="I2507" s="2" t="s">
        <v>10748</v>
      </c>
      <c r="J2507" s="2" t="s">
        <v>832</v>
      </c>
      <c r="K2507" s="2" t="s">
        <v>7990</v>
      </c>
      <c r="L2507" s="3">
        <v>35.19</v>
      </c>
      <c r="M2507" s="3">
        <v>36.95</v>
      </c>
      <c r="N2507" s="3">
        <v>69.99</v>
      </c>
      <c r="O2507" s="2" t="s">
        <v>243</v>
      </c>
      <c r="P2507" s="2" t="s">
        <v>1281</v>
      </c>
      <c r="Q2507" s="2" t="s">
        <v>237</v>
      </c>
      <c r="R2507" s="2" t="s">
        <v>231</v>
      </c>
      <c r="S2507" s="2" t="s">
        <v>10749</v>
      </c>
      <c r="T2507" s="2" t="s">
        <v>472</v>
      </c>
      <c r="U2507" s="2" t="s">
        <v>298</v>
      </c>
      <c r="V2507" s="2" t="s">
        <v>987</v>
      </c>
      <c r="W2507" s="2" t="s">
        <v>691</v>
      </c>
      <c r="X2507" s="2" t="s">
        <v>299</v>
      </c>
      <c r="Y2507" s="2" t="s">
        <v>10750</v>
      </c>
      <c r="Z2507" s="4">
        <v>457</v>
      </c>
      <c r="AA2507" s="4">
        <f>=ROUNDDOWN(50.7777777777778,0)</f>
      </c>
      <c r="AB2507" s="5">
        <v>9</v>
      </c>
      <c r="AC2507" s="2" t="s">
        <v>231</v>
      </c>
      <c r="AD2507" s="4"/>
      <c r="AE2507" s="4"/>
      <c r="AF2507" s="6">
        <v>64</v>
      </c>
      <c r="AG2507" s="6">
        <v>47</v>
      </c>
      <c r="AH2507" s="7">
        <v>1</v>
      </c>
      <c r="AI2507" s="4"/>
      <c r="AJ2507" s="4">
        <f>=ROUNDDOWN({0},0)</f>
      </c>
      <c r="AK2507" s="5"/>
      <c r="AL2507" s="2" t="s">
        <v>231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 t="s">
        <v>231</v>
      </c>
      <c r="AW2507" s="8" t="s">
        <v>231</v>
      </c>
      <c r="AX2507" s="4" t="s">
        <v>231</v>
      </c>
      <c r="AY2507" s="8" t="s">
        <v>231</v>
      </c>
      <c r="AZ2507" s="7" t="s">
        <v>231</v>
      </c>
      <c r="BA2507" s="7" t="s">
        <v>231</v>
      </c>
      <c r="BB2507" s="7" t="s">
        <v>231</v>
      </c>
      <c r="BC2507" s="4" t="s">
        <v>231</v>
      </c>
      <c r="BD2507" s="8" t="s">
        <v>231</v>
      </c>
      <c r="BE2507" s="4" t="s">
        <v>231</v>
      </c>
      <c r="BF2507" s="8" t="s">
        <v>231</v>
      </c>
      <c r="BG2507" s="7" t="s">
        <v>231</v>
      </c>
      <c r="BH2507" s="7" t="s">
        <v>231</v>
      </c>
      <c r="BI2507" s="7"/>
      <c r="BJ2507" s="4">
        <v>21</v>
      </c>
      <c r="BK2507" s="8">
        <v>777.69</v>
      </c>
      <c r="BL2507" s="2" t="s">
        <v>10751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10752</v>
      </c>
      <c r="BV2507" s="2" t="s">
        <v>231</v>
      </c>
      <c r="BW2507" s="2" t="s">
        <v>231</v>
      </c>
      <c r="BX2507" s="2" t="s">
        <v>231</v>
      </c>
      <c r="BY2507" s="2" t="s">
        <v>277</v>
      </c>
      <c r="BZ2507" s="2" t="s">
        <v>243</v>
      </c>
      <c r="CA2507" s="2" t="s">
        <v>4916</v>
      </c>
      <c r="CB2507" s="2" t="s">
        <v>3698</v>
      </c>
      <c r="CC2507" s="2" t="s">
        <v>244</v>
      </c>
      <c r="CD2507" s="2" t="s">
        <v>231</v>
      </c>
      <c r="CE2507" s="4">
        <v>141</v>
      </c>
      <c r="CF2507" s="4">
        <v>93</v>
      </c>
      <c r="CG2507" s="4"/>
      <c r="CH2507" s="4"/>
      <c r="CI2507" s="4">
        <v>223</v>
      </c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/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/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/>
      <c r="GE2507" s="4"/>
      <c r="GF2507" s="4"/>
      <c r="GG2507" s="4"/>
      <c r="GH2507" s="4"/>
      <c r="GI2507" s="4"/>
      <c r="GJ2507" s="4"/>
      <c r="GK2507" s="4"/>
      <c r="GL2507" s="4"/>
      <c r="GM2507" s="4"/>
      <c r="GN2507" s="4"/>
      <c r="GO2507" s="4"/>
      <c r="GP2507" s="4"/>
      <c r="GQ2507" s="4"/>
      <c r="GR2507" s="4"/>
      <c r="GS2507" s="4"/>
      <c r="GT2507" s="4"/>
      <c r="GU2507" s="4"/>
      <c r="GV2507" s="4"/>
      <c r="GW2507" s="4"/>
      <c r="GX2507" s="4"/>
      <c r="GY2507" s="4"/>
      <c r="GZ2507" s="4"/>
      <c r="HA2507" s="4"/>
      <c r="HB2507" s="4"/>
      <c r="HC2507" s="4"/>
      <c r="HD2507" s="4"/>
      <c r="HE2507" s="4"/>
      <c r="HF2507" s="4"/>
      <c r="HG2507" s="4"/>
      <c r="HH2507" s="4"/>
      <c r="HI2507" s="4"/>
      <c r="HJ2507" s="4"/>
      <c r="HK2507" s="4"/>
      <c r="HL2507" s="4"/>
    </row>
    <row r="2508">
      <c r="A2508" s="2" t="s">
        <v>10753</v>
      </c>
      <c r="B2508" s="2" t="s">
        <v>824</v>
      </c>
      <c r="C2508" s="2" t="s">
        <v>825</v>
      </c>
      <c r="D2508" s="2" t="s">
        <v>826</v>
      </c>
      <c r="E2508" s="2" t="s">
        <v>827</v>
      </c>
      <c r="F2508" s="2" t="s">
        <v>10707</v>
      </c>
      <c r="G2508" s="2" t="s">
        <v>8507</v>
      </c>
      <c r="H2508" s="2" t="s">
        <v>10708</v>
      </c>
      <c r="I2508" s="2" t="s">
        <v>10739</v>
      </c>
      <c r="J2508" s="2" t="s">
        <v>832</v>
      </c>
      <c r="K2508" s="2" t="s">
        <v>7990</v>
      </c>
      <c r="L2508" s="3">
        <v>26.1</v>
      </c>
      <c r="M2508" s="3">
        <v>27.4</v>
      </c>
      <c r="N2508" s="3">
        <v>57.99</v>
      </c>
      <c r="O2508" s="2" t="s">
        <v>243</v>
      </c>
      <c r="P2508" s="2" t="s">
        <v>270</v>
      </c>
      <c r="Q2508" s="2" t="s">
        <v>237</v>
      </c>
      <c r="R2508" s="2" t="s">
        <v>231</v>
      </c>
      <c r="S2508" s="2" t="s">
        <v>10749</v>
      </c>
      <c r="T2508" s="2" t="s">
        <v>472</v>
      </c>
      <c r="U2508" s="2" t="s">
        <v>298</v>
      </c>
      <c r="V2508" s="2" t="s">
        <v>987</v>
      </c>
      <c r="W2508" s="2" t="s">
        <v>691</v>
      </c>
      <c r="X2508" s="2" t="s">
        <v>299</v>
      </c>
      <c r="Y2508" s="2" t="s">
        <v>10750</v>
      </c>
      <c r="Z2508" s="4">
        <v>178</v>
      </c>
      <c r="AA2508" s="4">
        <f>=ROUNDDOWN(35.6,0)</f>
      </c>
      <c r="AB2508" s="5">
        <v>5</v>
      </c>
      <c r="AC2508" s="2" t="s">
        <v>231</v>
      </c>
      <c r="AD2508" s="4"/>
      <c r="AE2508" s="4"/>
      <c r="AF2508" s="6">
        <v>64</v>
      </c>
      <c r="AG2508" s="6">
        <v>47</v>
      </c>
      <c r="AH2508" s="7">
        <v>1</v>
      </c>
      <c r="AI2508" s="4"/>
      <c r="AJ2508" s="4">
        <f>=ROUNDDOWN({0},0)</f>
      </c>
      <c r="AK2508" s="5"/>
      <c r="AL2508" s="2" t="s">
        <v>231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 t="s">
        <v>231</v>
      </c>
      <c r="AW2508" s="8" t="s">
        <v>231</v>
      </c>
      <c r="AX2508" s="4" t="s">
        <v>231</v>
      </c>
      <c r="AY2508" s="8" t="s">
        <v>231</v>
      </c>
      <c r="AZ2508" s="7" t="s">
        <v>231</v>
      </c>
      <c r="BA2508" s="7" t="s">
        <v>231</v>
      </c>
      <c r="BB2508" s="7" t="s">
        <v>231</v>
      </c>
      <c r="BC2508" s="4" t="s">
        <v>231</v>
      </c>
      <c r="BD2508" s="8" t="s">
        <v>231</v>
      </c>
      <c r="BE2508" s="4" t="s">
        <v>231</v>
      </c>
      <c r="BF2508" s="8" t="s">
        <v>231</v>
      </c>
      <c r="BG2508" s="7" t="s">
        <v>231</v>
      </c>
      <c r="BH2508" s="7" t="s">
        <v>231</v>
      </c>
      <c r="BI2508" s="7"/>
      <c r="BJ2508" s="4">
        <v>4</v>
      </c>
      <c r="BK2508" s="8">
        <v>99.08</v>
      </c>
      <c r="BL2508" s="2" t="s">
        <v>10754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10755</v>
      </c>
      <c r="BV2508" s="2" t="s">
        <v>231</v>
      </c>
      <c r="BW2508" s="2" t="s">
        <v>231</v>
      </c>
      <c r="BX2508" s="2" t="s">
        <v>231</v>
      </c>
      <c r="BY2508" s="2" t="s">
        <v>277</v>
      </c>
      <c r="BZ2508" s="2" t="s">
        <v>243</v>
      </c>
      <c r="CA2508" s="2" t="s">
        <v>4916</v>
      </c>
      <c r="CB2508" s="2" t="s">
        <v>4908</v>
      </c>
      <c r="CC2508" s="2" t="s">
        <v>244</v>
      </c>
      <c r="CD2508" s="2" t="s">
        <v>231</v>
      </c>
      <c r="CE2508" s="4">
        <v>125</v>
      </c>
      <c r="CF2508" s="4"/>
      <c r="CG2508" s="4"/>
      <c r="CH2508" s="4"/>
      <c r="CI2508" s="4">
        <v>53</v>
      </c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/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/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/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/>
      <c r="GE2508" s="4"/>
      <c r="GF2508" s="4"/>
      <c r="GG2508" s="4"/>
      <c r="GH2508" s="4"/>
      <c r="GI2508" s="4"/>
      <c r="GJ2508" s="4"/>
      <c r="GK2508" s="4"/>
      <c r="GL2508" s="4"/>
      <c r="GM2508" s="4"/>
      <c r="GN2508" s="4"/>
      <c r="GO2508" s="4"/>
      <c r="GP2508" s="4"/>
      <c r="GQ2508" s="4"/>
      <c r="GR2508" s="4"/>
      <c r="GS2508" s="4"/>
      <c r="GT2508" s="4"/>
      <c r="GU2508" s="4"/>
      <c r="GV2508" s="4"/>
      <c r="GW2508" s="4"/>
      <c r="GX2508" s="4"/>
      <c r="GY2508" s="4"/>
      <c r="GZ2508" s="4"/>
      <c r="HA2508" s="4"/>
      <c r="HB2508" s="4"/>
      <c r="HC2508" s="4"/>
      <c r="HD2508" s="4"/>
      <c r="HE2508" s="4"/>
      <c r="HF2508" s="4"/>
      <c r="HG2508" s="4"/>
      <c r="HH2508" s="4"/>
      <c r="HI2508" s="4"/>
      <c r="HJ2508" s="4"/>
      <c r="HK2508" s="4"/>
      <c r="HL2508" s="4"/>
    </row>
    <row r="2509">
      <c r="A2509" s="2" t="s">
        <v>10756</v>
      </c>
      <c r="B2509" s="2" t="s">
        <v>824</v>
      </c>
      <c r="C2509" s="2" t="s">
        <v>825</v>
      </c>
      <c r="D2509" s="2" t="s">
        <v>826</v>
      </c>
      <c r="E2509" s="2" t="s">
        <v>827</v>
      </c>
      <c r="F2509" s="2" t="s">
        <v>10707</v>
      </c>
      <c r="G2509" s="2" t="s">
        <v>8507</v>
      </c>
      <c r="H2509" s="2" t="s">
        <v>10708</v>
      </c>
      <c r="I2509" s="2" t="s">
        <v>10739</v>
      </c>
      <c r="J2509" s="2" t="s">
        <v>669</v>
      </c>
      <c r="K2509" s="2" t="s">
        <v>7990</v>
      </c>
      <c r="L2509" s="3">
        <v>35.88</v>
      </c>
      <c r="M2509" s="3">
        <v>37.67</v>
      </c>
      <c r="N2509" s="3">
        <v>77.99</v>
      </c>
      <c r="O2509" s="2" t="s">
        <v>243</v>
      </c>
      <c r="P2509" s="2" t="s">
        <v>270</v>
      </c>
      <c r="Q2509" s="2" t="s">
        <v>237</v>
      </c>
      <c r="R2509" s="2" t="s">
        <v>231</v>
      </c>
      <c r="S2509" s="2" t="s">
        <v>10749</v>
      </c>
      <c r="T2509" s="2" t="s">
        <v>472</v>
      </c>
      <c r="U2509" s="2" t="s">
        <v>661</v>
      </c>
      <c r="V2509" s="2" t="s">
        <v>987</v>
      </c>
      <c r="W2509" s="2" t="s">
        <v>691</v>
      </c>
      <c r="X2509" s="2" t="s">
        <v>299</v>
      </c>
      <c r="Y2509" s="2" t="s">
        <v>3578</v>
      </c>
      <c r="Z2509" s="4">
        <v>190</v>
      </c>
      <c r="AA2509" s="4">
        <f>=ROUNDDOWN(38,0)</f>
      </c>
      <c r="AB2509" s="5">
        <v>5</v>
      </c>
      <c r="AC2509" s="2" t="s">
        <v>8082</v>
      </c>
      <c r="AD2509" s="4">
        <v>45</v>
      </c>
      <c r="AE2509" s="4">
        <v>125</v>
      </c>
      <c r="AF2509" s="6">
        <v>64</v>
      </c>
      <c r="AG2509" s="6">
        <v>47</v>
      </c>
      <c r="AH2509" s="7">
        <v>1</v>
      </c>
      <c r="AI2509" s="4"/>
      <c r="AJ2509" s="4">
        <f>=ROUNDDOWN({0},0)</f>
      </c>
      <c r="AK2509" s="5"/>
      <c r="AL2509" s="2" t="s">
        <v>231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 t="s">
        <v>231</v>
      </c>
      <c r="AW2509" s="8" t="s">
        <v>231</v>
      </c>
      <c r="AX2509" s="4" t="s">
        <v>231</v>
      </c>
      <c r="AY2509" s="8" t="s">
        <v>231</v>
      </c>
      <c r="AZ2509" s="7" t="s">
        <v>231</v>
      </c>
      <c r="BA2509" s="7" t="s">
        <v>231</v>
      </c>
      <c r="BB2509" s="7"/>
      <c r="BC2509" s="4" t="s">
        <v>231</v>
      </c>
      <c r="BD2509" s="8" t="s">
        <v>231</v>
      </c>
      <c r="BE2509" s="4" t="s">
        <v>231</v>
      </c>
      <c r="BF2509" s="8" t="s">
        <v>231</v>
      </c>
      <c r="BG2509" s="7" t="s">
        <v>231</v>
      </c>
      <c r="BH2509" s="7" t="s">
        <v>231</v>
      </c>
      <c r="BI2509" s="7"/>
      <c r="BJ2509" s="4">
        <v>20</v>
      </c>
      <c r="BK2509" s="8">
        <v>745.69</v>
      </c>
      <c r="BL2509" s="2" t="s">
        <v>10757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10758</v>
      </c>
      <c r="BV2509" s="2" t="s">
        <v>231</v>
      </c>
      <c r="BW2509" s="2" t="s">
        <v>231</v>
      </c>
      <c r="BX2509" s="2" t="s">
        <v>231</v>
      </c>
      <c r="BY2509" s="2" t="s">
        <v>277</v>
      </c>
      <c r="BZ2509" s="2" t="s">
        <v>243</v>
      </c>
      <c r="CA2509" s="2" t="s">
        <v>4916</v>
      </c>
      <c r="CB2509" s="2" t="s">
        <v>10759</v>
      </c>
      <c r="CC2509" s="2" t="s">
        <v>244</v>
      </c>
      <c r="CD2509" s="2" t="s">
        <v>231</v>
      </c>
      <c r="CE2509" s="4">
        <v>162</v>
      </c>
      <c r="CF2509" s="4"/>
      <c r="CG2509" s="4"/>
      <c r="CH2509" s="4"/>
      <c r="CI2509" s="4">
        <v>28</v>
      </c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/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/>
      <c r="FH2509" s="4"/>
      <c r="FI2509" s="4"/>
      <c r="FJ2509" s="4"/>
      <c r="FK2509" s="4"/>
      <c r="FL2509" s="4"/>
      <c r="FM2509" s="4"/>
      <c r="FN2509" s="4"/>
      <c r="FO2509" s="4"/>
      <c r="FP2509" s="4"/>
      <c r="FQ2509" s="4">
        <v>45</v>
      </c>
      <c r="FR2509" s="4"/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/>
      <c r="GE2509" s="4">
        <v>80</v>
      </c>
      <c r="GF2509" s="4"/>
      <c r="GG2509" s="4"/>
      <c r="GH2509" s="4"/>
      <c r="GI2509" s="4"/>
      <c r="GJ2509" s="4"/>
      <c r="GK2509" s="4"/>
      <c r="GL2509" s="4"/>
      <c r="GM2509" s="4"/>
      <c r="GN2509" s="4"/>
      <c r="GO2509" s="4"/>
      <c r="GP2509" s="4"/>
      <c r="GQ2509" s="4"/>
      <c r="GR2509" s="4"/>
      <c r="GS2509" s="4"/>
      <c r="GT2509" s="4"/>
      <c r="GU2509" s="4"/>
      <c r="GV2509" s="4"/>
      <c r="GW2509" s="4"/>
      <c r="GX2509" s="4"/>
      <c r="GY2509" s="4"/>
      <c r="GZ2509" s="4"/>
      <c r="HA2509" s="4"/>
      <c r="HB2509" s="4"/>
      <c r="HC2509" s="4"/>
      <c r="HD2509" s="4"/>
      <c r="HE2509" s="4"/>
      <c r="HF2509" s="4"/>
      <c r="HG2509" s="4"/>
      <c r="HH2509" s="4"/>
      <c r="HI2509" s="4"/>
      <c r="HJ2509" s="4"/>
      <c r="HK2509" s="4"/>
      <c r="HL2509" s="4"/>
    </row>
    <row r="2510">
      <c r="A2510" s="2" t="s">
        <v>10760</v>
      </c>
      <c r="B2510" s="2" t="s">
        <v>824</v>
      </c>
      <c r="C2510" s="2" t="s">
        <v>825</v>
      </c>
      <c r="D2510" s="2" t="s">
        <v>654</v>
      </c>
      <c r="E2510" s="2" t="s">
        <v>655</v>
      </c>
      <c r="F2510" s="2" t="s">
        <v>10707</v>
      </c>
      <c r="G2510" s="2" t="s">
        <v>8507</v>
      </c>
      <c r="H2510" s="2" t="s">
        <v>10708</v>
      </c>
      <c r="I2510" s="2" t="s">
        <v>10748</v>
      </c>
      <c r="J2510" s="2" t="s">
        <v>832</v>
      </c>
      <c r="K2510" s="2" t="s">
        <v>8041</v>
      </c>
      <c r="L2510" s="3">
        <v>35.19</v>
      </c>
      <c r="M2510" s="3">
        <v>36.95</v>
      </c>
      <c r="N2510" s="3">
        <v>69.99</v>
      </c>
      <c r="O2510" s="2" t="s">
        <v>243</v>
      </c>
      <c r="P2510" s="2" t="s">
        <v>270</v>
      </c>
      <c r="Q2510" s="2" t="s">
        <v>237</v>
      </c>
      <c r="R2510" s="2" t="s">
        <v>231</v>
      </c>
      <c r="S2510" s="2" t="s">
        <v>10761</v>
      </c>
      <c r="T2510" s="2" t="s">
        <v>472</v>
      </c>
      <c r="U2510" s="2" t="s">
        <v>298</v>
      </c>
      <c r="V2510" s="2" t="s">
        <v>987</v>
      </c>
      <c r="W2510" s="2" t="s">
        <v>691</v>
      </c>
      <c r="X2510" s="2" t="s">
        <v>299</v>
      </c>
      <c r="Y2510" s="2" t="s">
        <v>10762</v>
      </c>
      <c r="Z2510" s="4">
        <v>235</v>
      </c>
      <c r="AA2510" s="4">
        <f>=ROUNDDOWN(47,0)</f>
      </c>
      <c r="AB2510" s="5">
        <v>5</v>
      </c>
      <c r="AC2510" s="2" t="s">
        <v>9821</v>
      </c>
      <c r="AD2510" s="4">
        <v>60</v>
      </c>
      <c r="AE2510" s="4">
        <v>60</v>
      </c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231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 t="s">
        <v>231</v>
      </c>
      <c r="AW2510" s="8" t="s">
        <v>231</v>
      </c>
      <c r="AX2510" s="4" t="s">
        <v>231</v>
      </c>
      <c r="AY2510" s="8" t="s">
        <v>231</v>
      </c>
      <c r="AZ2510" s="7" t="s">
        <v>231</v>
      </c>
      <c r="BA2510" s="7" t="s">
        <v>231</v>
      </c>
      <c r="BB2510" s="7"/>
      <c r="BC2510" s="4" t="s">
        <v>231</v>
      </c>
      <c r="BD2510" s="8" t="s">
        <v>231</v>
      </c>
      <c r="BE2510" s="4" t="s">
        <v>231</v>
      </c>
      <c r="BF2510" s="8" t="s">
        <v>231</v>
      </c>
      <c r="BG2510" s="7" t="s">
        <v>231</v>
      </c>
      <c r="BH2510" s="7" t="s">
        <v>231</v>
      </c>
      <c r="BI2510" s="7"/>
      <c r="BJ2510" s="4">
        <v>10</v>
      </c>
      <c r="BK2510" s="8">
        <v>379.85</v>
      </c>
      <c r="BL2510" s="2" t="s">
        <v>10763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10764</v>
      </c>
      <c r="BV2510" s="2" t="s">
        <v>231</v>
      </c>
      <c r="BW2510" s="2" t="s">
        <v>231</v>
      </c>
      <c r="BX2510" s="2" t="s">
        <v>231</v>
      </c>
      <c r="BY2510" s="2" t="s">
        <v>277</v>
      </c>
      <c r="BZ2510" s="2" t="s">
        <v>243</v>
      </c>
      <c r="CA2510" s="2" t="s">
        <v>10765</v>
      </c>
      <c r="CB2510" s="2" t="s">
        <v>4995</v>
      </c>
      <c r="CC2510" s="2" t="s">
        <v>244</v>
      </c>
      <c r="CD2510" s="2" t="s">
        <v>231</v>
      </c>
      <c r="CE2510" s="4">
        <v>235</v>
      </c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>
        <v>60</v>
      </c>
      <c r="EU2510" s="4"/>
      <c r="EV2510" s="4"/>
      <c r="EW2510" s="4"/>
      <c r="EX2510" s="4"/>
      <c r="EY2510" s="4"/>
      <c r="EZ2510" s="4"/>
      <c r="FA2510" s="4"/>
      <c r="FB2510" s="4"/>
      <c r="FC2510" s="4"/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/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/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/>
      <c r="HA2510" s="4"/>
      <c r="HB2510" s="4"/>
      <c r="HC2510" s="4"/>
      <c r="HD2510" s="4"/>
      <c r="HE2510" s="4"/>
      <c r="HF2510" s="4"/>
      <c r="HG2510" s="4"/>
      <c r="HH2510" s="4"/>
      <c r="HI2510" s="4"/>
      <c r="HJ2510" s="4"/>
      <c r="HK2510" s="4"/>
      <c r="HL2510" s="4"/>
    </row>
    <row r="2511">
      <c r="A2511" s="2" t="s">
        <v>10766</v>
      </c>
      <c r="B2511" s="2" t="s">
        <v>992</v>
      </c>
      <c r="C2511" s="2" t="s">
        <v>825</v>
      </c>
      <c r="D2511" s="2" t="s">
        <v>993</v>
      </c>
      <c r="E2511" s="2" t="s">
        <v>994</v>
      </c>
      <c r="F2511" s="2" t="s">
        <v>10707</v>
      </c>
      <c r="G2511" s="2" t="s">
        <v>8507</v>
      </c>
      <c r="H2511" s="2" t="s">
        <v>10708</v>
      </c>
      <c r="I2511" s="2" t="s">
        <v>10714</v>
      </c>
      <c r="J2511" s="2" t="s">
        <v>1703</v>
      </c>
      <c r="K2511" s="2" t="s">
        <v>8041</v>
      </c>
      <c r="L2511" s="3">
        <v>19.2</v>
      </c>
      <c r="M2511" s="3">
        <v>20.16</v>
      </c>
      <c r="N2511" s="3">
        <v>39.99</v>
      </c>
      <c r="O2511" s="2" t="s">
        <v>243</v>
      </c>
      <c r="P2511" s="2" t="s">
        <v>270</v>
      </c>
      <c r="Q2511" s="2" t="s">
        <v>237</v>
      </c>
      <c r="R2511" s="2" t="s">
        <v>231</v>
      </c>
      <c r="S2511" s="2" t="s">
        <v>10761</v>
      </c>
      <c r="T2511" s="2" t="s">
        <v>231</v>
      </c>
      <c r="U2511" s="2" t="s">
        <v>231</v>
      </c>
      <c r="V2511" s="2" t="s">
        <v>987</v>
      </c>
      <c r="W2511" s="2" t="s">
        <v>273</v>
      </c>
      <c r="X2511" s="2" t="s">
        <v>998</v>
      </c>
      <c r="Y2511" s="2" t="s">
        <v>4407</v>
      </c>
      <c r="Z2511" s="4">
        <v>74</v>
      </c>
      <c r="AA2511" s="4">
        <f>=ROUNDDOWN(3.89473684210526,0)</f>
      </c>
      <c r="AB2511" s="5">
        <v>19</v>
      </c>
      <c r="AC2511" s="2" t="s">
        <v>1705</v>
      </c>
      <c r="AD2511" s="4">
        <v>264</v>
      </c>
      <c r="AE2511" s="4">
        <v>528</v>
      </c>
      <c r="AF2511" s="6">
        <v>65</v>
      </c>
      <c r="AG2511" s="6"/>
      <c r="AH2511" s="7">
        <v>0.9032</v>
      </c>
      <c r="AI2511" s="4"/>
      <c r="AJ2511" s="4">
        <f>=ROUNDDOWN({0},0)</f>
      </c>
      <c r="AK2511" s="5"/>
      <c r="AL2511" s="2" t="s">
        <v>231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 t="s">
        <v>231</v>
      </c>
      <c r="AW2511" s="8" t="s">
        <v>231</v>
      </c>
      <c r="AX2511" s="4" t="s">
        <v>231</v>
      </c>
      <c r="AY2511" s="8" t="s">
        <v>231</v>
      </c>
      <c r="AZ2511" s="7" t="s">
        <v>231</v>
      </c>
      <c r="BA2511" s="7" t="s">
        <v>231</v>
      </c>
      <c r="BB2511" s="7"/>
      <c r="BC2511" s="4" t="s">
        <v>231</v>
      </c>
      <c r="BD2511" s="8" t="s">
        <v>231</v>
      </c>
      <c r="BE2511" s="4" t="s">
        <v>231</v>
      </c>
      <c r="BF2511" s="8" t="s">
        <v>231</v>
      </c>
      <c r="BG2511" s="7" t="s">
        <v>231</v>
      </c>
      <c r="BH2511" s="7" t="s">
        <v>231</v>
      </c>
      <c r="BI2511" s="7"/>
      <c r="BJ2511" s="4">
        <v>52</v>
      </c>
      <c r="BK2511" s="8">
        <v>1019.64</v>
      </c>
      <c r="BL2511" s="2" t="s">
        <v>10767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10768</v>
      </c>
      <c r="BV2511" s="2" t="s">
        <v>231</v>
      </c>
      <c r="BW2511" s="2" t="s">
        <v>231</v>
      </c>
      <c r="BX2511" s="2" t="s">
        <v>5538</v>
      </c>
      <c r="BY2511" s="2" t="s">
        <v>277</v>
      </c>
      <c r="BZ2511" s="2" t="s">
        <v>243</v>
      </c>
      <c r="CA2511" s="2" t="s">
        <v>5590</v>
      </c>
      <c r="CB2511" s="2" t="s">
        <v>6266</v>
      </c>
      <c r="CC2511" s="2" t="s">
        <v>244</v>
      </c>
      <c r="CD2511" s="2" t="s">
        <v>231</v>
      </c>
      <c r="CE2511" s="4">
        <v>74</v>
      </c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>
        <v>264</v>
      </c>
      <c r="DS2511" s="4"/>
      <c r="DT2511" s="4"/>
      <c r="DU2511" s="4"/>
      <c r="DV2511" s="4"/>
      <c r="DW2511" s="4"/>
      <c r="DX2511" s="4"/>
      <c r="DY2511" s="4"/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/>
      <c r="EQ2511" s="4"/>
      <c r="ER2511" s="4"/>
      <c r="ES2511" s="4"/>
      <c r="ET2511" s="4"/>
      <c r="EU2511" s="4"/>
      <c r="EV2511" s="4"/>
      <c r="EW2511" s="4"/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/>
      <c r="FM2511" s="4"/>
      <c r="FN2511" s="4"/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>
        <v>264</v>
      </c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/>
      <c r="HA2511" s="4"/>
      <c r="HB2511" s="4"/>
      <c r="HC2511" s="4"/>
      <c r="HD2511" s="4"/>
      <c r="HE2511" s="4"/>
      <c r="HF2511" s="4"/>
      <c r="HG2511" s="4"/>
      <c r="HH2511" s="4"/>
      <c r="HI2511" s="4"/>
      <c r="HJ2511" s="4"/>
      <c r="HK2511" s="4"/>
      <c r="HL2511" s="4"/>
    </row>
    <row r="2512">
      <c r="A2512" s="2" t="s">
        <v>10769</v>
      </c>
      <c r="B2512" s="2" t="s">
        <v>1186</v>
      </c>
      <c r="C2512" s="2" t="s">
        <v>1105</v>
      </c>
      <c r="D2512" s="2" t="s">
        <v>654</v>
      </c>
      <c r="E2512" s="2" t="s">
        <v>655</v>
      </c>
      <c r="F2512" s="2" t="s">
        <v>10770</v>
      </c>
      <c r="G2512" s="2" t="s">
        <v>10771</v>
      </c>
      <c r="H2512" s="2" t="s">
        <v>10772</v>
      </c>
      <c r="I2512" s="2" t="s">
        <v>10773</v>
      </c>
      <c r="J2512" s="2" t="s">
        <v>304</v>
      </c>
      <c r="K2512" s="2" t="s">
        <v>269</v>
      </c>
      <c r="L2512" s="3">
        <v>55.44</v>
      </c>
      <c r="M2512" s="3">
        <v>58.21</v>
      </c>
      <c r="N2512" s="3">
        <v>119.99</v>
      </c>
      <c r="O2512" s="2" t="s">
        <v>243</v>
      </c>
      <c r="P2512" s="2" t="s">
        <v>341</v>
      </c>
      <c r="Q2512" s="2" t="s">
        <v>237</v>
      </c>
      <c r="R2512" s="2" t="s">
        <v>231</v>
      </c>
      <c r="S2512" s="2" t="s">
        <v>10774</v>
      </c>
      <c r="T2512" s="2" t="s">
        <v>472</v>
      </c>
      <c r="U2512" s="2" t="s">
        <v>5729</v>
      </c>
      <c r="V2512" s="2" t="s">
        <v>1433</v>
      </c>
      <c r="W2512" s="2" t="s">
        <v>792</v>
      </c>
      <c r="X2512" s="2" t="s">
        <v>10081</v>
      </c>
      <c r="Y2512" s="2" t="s">
        <v>10775</v>
      </c>
      <c r="Z2512" s="4">
        <v>80</v>
      </c>
      <c r="AA2512" s="4">
        <f>=ROUNDDOWN(20,0)</f>
      </c>
      <c r="AB2512" s="5">
        <v>4</v>
      </c>
      <c r="AC2512" s="2" t="s">
        <v>231</v>
      </c>
      <c r="AD2512" s="4"/>
      <c r="AE2512" s="4"/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231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/>
      <c r="BD2512" s="8"/>
      <c r="BE2512" s="4"/>
      <c r="BF2512" s="8"/>
      <c r="BG2512" s="7"/>
      <c r="BH2512" s="7"/>
      <c r="BI2512" s="7"/>
      <c r="BJ2512" s="4">
        <v>20</v>
      </c>
      <c r="BK2512" s="8">
        <v>1127.54</v>
      </c>
      <c r="BL2512" s="2" t="s">
        <v>10776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10777</v>
      </c>
      <c r="BV2512" s="2" t="s">
        <v>231</v>
      </c>
      <c r="BW2512" s="2" t="s">
        <v>231</v>
      </c>
      <c r="BX2512" s="2" t="s">
        <v>241</v>
      </c>
      <c r="BY2512" s="2" t="s">
        <v>277</v>
      </c>
      <c r="BZ2512" s="2" t="s">
        <v>243</v>
      </c>
      <c r="CA2512" s="2" t="s">
        <v>6300</v>
      </c>
      <c r="CB2512" s="2" t="s">
        <v>2237</v>
      </c>
      <c r="CC2512" s="2" t="s">
        <v>244</v>
      </c>
      <c r="CD2512" s="2" t="s">
        <v>231</v>
      </c>
      <c r="CE2512" s="4">
        <v>72</v>
      </c>
      <c r="CF2512" s="4"/>
      <c r="CG2512" s="4"/>
      <c r="CH2512" s="4"/>
      <c r="CI2512" s="4">
        <v>8</v>
      </c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/>
      <c r="GC2512" s="4"/>
      <c r="GD2512" s="4"/>
      <c r="GE2512" s="4"/>
      <c r="GF2512" s="4"/>
      <c r="GG2512" s="4"/>
      <c r="GH2512" s="4"/>
      <c r="GI2512" s="4"/>
      <c r="GJ2512" s="4"/>
      <c r="GK2512" s="4"/>
      <c r="GL2512" s="4"/>
      <c r="GM2512" s="4"/>
      <c r="GN2512" s="4"/>
      <c r="GO2512" s="4"/>
      <c r="GP2512" s="4"/>
      <c r="GQ2512" s="4"/>
      <c r="GR2512" s="4"/>
      <c r="GS2512" s="4"/>
      <c r="GT2512" s="4"/>
      <c r="GU2512" s="4"/>
      <c r="GV2512" s="4"/>
      <c r="GW2512" s="4"/>
      <c r="GX2512" s="4"/>
      <c r="GY2512" s="4"/>
      <c r="GZ2512" s="4"/>
      <c r="HA2512" s="4"/>
      <c r="HB2512" s="4"/>
      <c r="HC2512" s="4"/>
      <c r="HD2512" s="4"/>
      <c r="HE2512" s="4"/>
      <c r="HF2512" s="4"/>
      <c r="HG2512" s="4"/>
      <c r="HH2512" s="4"/>
      <c r="HI2512" s="4"/>
      <c r="HJ2512" s="4"/>
      <c r="HK2512" s="4"/>
      <c r="HL2512" s="4"/>
    </row>
    <row r="2513">
      <c r="A2513" s="2" t="s">
        <v>10778</v>
      </c>
      <c r="B2513" s="2" t="s">
        <v>1186</v>
      </c>
      <c r="C2513" s="2" t="s">
        <v>288</v>
      </c>
      <c r="D2513" s="2" t="s">
        <v>654</v>
      </c>
      <c r="E2513" s="2" t="s">
        <v>655</v>
      </c>
      <c r="F2513" s="2" t="s">
        <v>10779</v>
      </c>
      <c r="G2513" s="2" t="s">
        <v>10780</v>
      </c>
      <c r="H2513" s="2" t="s">
        <v>10781</v>
      </c>
      <c r="I2513" s="2" t="s">
        <v>10782</v>
      </c>
      <c r="J2513" s="2" t="s">
        <v>669</v>
      </c>
      <c r="K2513" s="2" t="s">
        <v>255</v>
      </c>
      <c r="L2513" s="3">
        <v>52.38</v>
      </c>
      <c r="M2513" s="3">
        <v>55</v>
      </c>
      <c r="N2513" s="3">
        <v>109.99</v>
      </c>
      <c r="O2513" s="2" t="s">
        <v>243</v>
      </c>
      <c r="P2513" s="2" t="s">
        <v>341</v>
      </c>
      <c r="Q2513" s="2" t="s">
        <v>237</v>
      </c>
      <c r="R2513" s="2" t="s">
        <v>231</v>
      </c>
      <c r="S2513" s="2" t="s">
        <v>10783</v>
      </c>
      <c r="T2513" s="2" t="s">
        <v>472</v>
      </c>
      <c r="U2513" s="2" t="s">
        <v>700</v>
      </c>
      <c r="V2513" s="2" t="s">
        <v>1828</v>
      </c>
      <c r="W2513" s="2" t="s">
        <v>792</v>
      </c>
      <c r="X2513" s="2" t="s">
        <v>676</v>
      </c>
      <c r="Y2513" s="2" t="s">
        <v>6006</v>
      </c>
      <c r="Z2513" s="4">
        <v>260</v>
      </c>
      <c r="AA2513" s="4">
        <f>=ROUNDDOWN(108.333333333333,0)</f>
      </c>
      <c r="AB2513" s="5">
        <v>2.4</v>
      </c>
      <c r="AC2513" s="2" t="s">
        <v>231</v>
      </c>
      <c r="AD2513" s="4"/>
      <c r="AE2513" s="4"/>
      <c r="AF2513" s="6">
        <v>64</v>
      </c>
      <c r="AG2513" s="6"/>
      <c r="AH2513" s="7">
        <v>1</v>
      </c>
      <c r="AI2513" s="4"/>
      <c r="AJ2513" s="4">
        <f>=ROUNDDOWN({0},0)</f>
      </c>
      <c r="AK2513" s="5"/>
      <c r="AL2513" s="2" t="s">
        <v>231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/>
      <c r="BD2513" s="8"/>
      <c r="BE2513" s="4"/>
      <c r="BF2513" s="8"/>
      <c r="BG2513" s="7"/>
      <c r="BH2513" s="7"/>
      <c r="BI2513" s="7"/>
      <c r="BJ2513" s="4">
        <v>8</v>
      </c>
      <c r="BK2513" s="8">
        <v>543.93</v>
      </c>
      <c r="BL2513" s="2" t="s">
        <v>10784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10785</v>
      </c>
      <c r="BV2513" s="2" t="s">
        <v>231</v>
      </c>
      <c r="BW2513" s="2" t="s">
        <v>231</v>
      </c>
      <c r="BX2513" s="2" t="s">
        <v>231</v>
      </c>
      <c r="BY2513" s="2" t="s">
        <v>277</v>
      </c>
      <c r="BZ2513" s="2" t="s">
        <v>243</v>
      </c>
      <c r="CA2513" s="2" t="s">
        <v>2403</v>
      </c>
      <c r="CB2513" s="2" t="s">
        <v>1598</v>
      </c>
      <c r="CC2513" s="2" t="s">
        <v>244</v>
      </c>
      <c r="CD2513" s="2" t="s">
        <v>231</v>
      </c>
      <c r="CE2513" s="4">
        <v>260</v>
      </c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/>
      <c r="FD2513" s="4"/>
      <c r="FE2513" s="4"/>
      <c r="FF2513" s="4"/>
      <c r="FG2513" s="4"/>
      <c r="FH2513" s="4"/>
      <c r="FI2513" s="4"/>
      <c r="FJ2513" s="4"/>
      <c r="FK2513" s="4"/>
      <c r="FL2513" s="4"/>
      <c r="FM2513" s="4"/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/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/>
      <c r="GV2513" s="4"/>
      <c r="GW2513" s="4"/>
      <c r="GX2513" s="4"/>
      <c r="GY2513" s="4"/>
      <c r="GZ2513" s="4"/>
      <c r="HA2513" s="4"/>
      <c r="HB2513" s="4"/>
      <c r="HC2513" s="4"/>
      <c r="HD2513" s="4"/>
      <c r="HE2513" s="4"/>
      <c r="HF2513" s="4"/>
      <c r="HG2513" s="4"/>
      <c r="HH2513" s="4"/>
      <c r="HI2513" s="4"/>
      <c r="HJ2513" s="4"/>
      <c r="HK2513" s="4"/>
      <c r="HL2513" s="4"/>
    </row>
    <row r="2514">
      <c r="A2514" s="2" t="s">
        <v>10786</v>
      </c>
      <c r="B2514" s="2" t="s">
        <v>287</v>
      </c>
      <c r="C2514" s="2" t="s">
        <v>1017</v>
      </c>
      <c r="D2514" s="2" t="s">
        <v>289</v>
      </c>
      <c r="E2514" s="2" t="s">
        <v>290</v>
      </c>
      <c r="F2514" s="2" t="s">
        <v>10787</v>
      </c>
      <c r="G2514" s="2" t="s">
        <v>10787</v>
      </c>
      <c r="H2514" s="2" t="s">
        <v>10787</v>
      </c>
      <c r="I2514" s="2" t="s">
        <v>10788</v>
      </c>
      <c r="J2514" s="2" t="s">
        <v>302</v>
      </c>
      <c r="K2514" s="2" t="s">
        <v>682</v>
      </c>
      <c r="L2514" s="3">
        <v>43.48</v>
      </c>
      <c r="M2514" s="3">
        <v>45.65</v>
      </c>
      <c r="N2514" s="3">
        <v>74.99</v>
      </c>
      <c r="O2514" s="2" t="s">
        <v>250</v>
      </c>
      <c r="P2514" s="2" t="s">
        <v>1019</v>
      </c>
      <c r="Q2514" s="2" t="s">
        <v>237</v>
      </c>
      <c r="R2514" s="2" t="s">
        <v>1020</v>
      </c>
      <c r="S2514" s="2" t="s">
        <v>231</v>
      </c>
      <c r="T2514" s="2" t="s">
        <v>10789</v>
      </c>
      <c r="U2514" s="2" t="s">
        <v>298</v>
      </c>
      <c r="V2514" s="2" t="s">
        <v>239</v>
      </c>
      <c r="W2514" s="2" t="s">
        <v>273</v>
      </c>
      <c r="X2514" s="2" t="s">
        <v>691</v>
      </c>
      <c r="Y2514" s="2" t="s">
        <v>10790</v>
      </c>
      <c r="Z2514" s="4">
        <v>32</v>
      </c>
      <c r="AA2514" s="4">
        <f>=ROUNDDOWN(64,0)</f>
      </c>
      <c r="AB2514" s="5">
        <v>0.5</v>
      </c>
      <c r="AC2514" s="2" t="s">
        <v>231</v>
      </c>
      <c r="AD2514" s="4"/>
      <c r="AE2514" s="4"/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231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/>
      <c r="BD2514" s="8"/>
      <c r="BE2514" s="4"/>
      <c r="BF2514" s="8"/>
      <c r="BG2514" s="7"/>
      <c r="BH2514" s="7"/>
      <c r="BI2514" s="7"/>
      <c r="BJ2514" s="4"/>
      <c r="BK2514" s="8"/>
      <c r="BL2514" s="2" t="s">
        <v>231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10791</v>
      </c>
      <c r="BV2514" s="2" t="s">
        <v>231</v>
      </c>
      <c r="BW2514" s="2" t="s">
        <v>231</v>
      </c>
      <c r="BX2514" s="2" t="s">
        <v>241</v>
      </c>
      <c r="BY2514" s="2" t="s">
        <v>277</v>
      </c>
      <c r="BZ2514" s="2" t="s">
        <v>243</v>
      </c>
      <c r="CA2514" s="2" t="s">
        <v>1024</v>
      </c>
      <c r="CB2514" s="2" t="s">
        <v>231</v>
      </c>
      <c r="CC2514" s="2" t="s">
        <v>244</v>
      </c>
      <c r="CD2514" s="2" t="s">
        <v>231</v>
      </c>
      <c r="CE2514" s="4">
        <v>32</v>
      </c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/>
      <c r="FD2514" s="4"/>
      <c r="FE2514" s="4"/>
      <c r="FF2514" s="4"/>
      <c r="FG2514" s="4"/>
      <c r="FH2514" s="4"/>
      <c r="FI2514" s="4"/>
      <c r="FJ2514" s="4"/>
      <c r="FK2514" s="4"/>
      <c r="FL2514" s="4"/>
      <c r="FM2514" s="4"/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/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/>
      <c r="GV2514" s="4"/>
      <c r="GW2514" s="4"/>
      <c r="GX2514" s="4"/>
      <c r="GY2514" s="4"/>
      <c r="GZ2514" s="4"/>
      <c r="HA2514" s="4"/>
      <c r="HB2514" s="4"/>
      <c r="HC2514" s="4"/>
      <c r="HD2514" s="4"/>
      <c r="HE2514" s="4"/>
      <c r="HF2514" s="4"/>
      <c r="HG2514" s="4"/>
      <c r="HH2514" s="4"/>
      <c r="HI2514" s="4"/>
      <c r="HJ2514" s="4"/>
      <c r="HK2514" s="4"/>
      <c r="HL2514" s="4"/>
    </row>
    <row r="2515">
      <c r="A2515" s="2" t="s">
        <v>10792</v>
      </c>
      <c r="B2515" s="2" t="s">
        <v>262</v>
      </c>
      <c r="C2515" s="2" t="s">
        <v>263</v>
      </c>
      <c r="D2515" s="2" t="s">
        <v>1139</v>
      </c>
      <c r="E2515" s="2" t="s">
        <v>10793</v>
      </c>
      <c r="F2515" s="2" t="s">
        <v>10794</v>
      </c>
      <c r="G2515" s="2" t="s">
        <v>10794</v>
      </c>
      <c r="H2515" s="2" t="s">
        <v>10794</v>
      </c>
      <c r="I2515" s="2" t="s">
        <v>10795</v>
      </c>
      <c r="J2515" s="2" t="s">
        <v>302</v>
      </c>
      <c r="K2515" s="2" t="s">
        <v>306</v>
      </c>
      <c r="L2515" s="3">
        <v>18.4</v>
      </c>
      <c r="M2515" s="3">
        <v>19.32</v>
      </c>
      <c r="N2515" s="3">
        <v>39.99</v>
      </c>
      <c r="O2515" s="2" t="s">
        <v>243</v>
      </c>
      <c r="P2515" s="2" t="s">
        <v>270</v>
      </c>
      <c r="Q2515" s="2" t="s">
        <v>237</v>
      </c>
      <c r="R2515" s="2" t="s">
        <v>231</v>
      </c>
      <c r="S2515" s="2" t="s">
        <v>10796</v>
      </c>
      <c r="T2515" s="2" t="s">
        <v>231</v>
      </c>
      <c r="U2515" s="2" t="s">
        <v>231</v>
      </c>
      <c r="V2515" s="2" t="s">
        <v>239</v>
      </c>
      <c r="W2515" s="2" t="s">
        <v>1204</v>
      </c>
      <c r="X2515" s="2" t="s">
        <v>231</v>
      </c>
      <c r="Y2515" s="2" t="s">
        <v>2419</v>
      </c>
      <c r="Z2515" s="4">
        <v>270</v>
      </c>
      <c r="AA2515" s="4">
        <f>=ROUNDDOWN({0},0)</f>
      </c>
      <c r="AB2515" s="5">
        <v>14</v>
      </c>
      <c r="AC2515" s="2" t="s">
        <v>1315</v>
      </c>
      <c r="AD2515" s="4">
        <v>70</v>
      </c>
      <c r="AE2515" s="4">
        <v>100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231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231</v>
      </c>
      <c r="AW2515" s="8" t="s">
        <v>231</v>
      </c>
      <c r="AX2515" s="4" t="s">
        <v>231</v>
      </c>
      <c r="AY2515" s="8" t="s">
        <v>231</v>
      </c>
      <c r="AZ2515" s="7" t="s">
        <v>231</v>
      </c>
      <c r="BA2515" s="7" t="s">
        <v>231</v>
      </c>
      <c r="BB2515" s="7"/>
      <c r="BC2515" s="4" t="s">
        <v>231</v>
      </c>
      <c r="BD2515" s="8" t="s">
        <v>231</v>
      </c>
      <c r="BE2515" s="4" t="s">
        <v>231</v>
      </c>
      <c r="BF2515" s="8" t="s">
        <v>231</v>
      </c>
      <c r="BG2515" s="7" t="s">
        <v>231</v>
      </c>
      <c r="BH2515" s="7" t="s">
        <v>231</v>
      </c>
      <c r="BI2515" s="7"/>
      <c r="BJ2515" s="4">
        <v>25</v>
      </c>
      <c r="BK2515" s="8">
        <v>492.14</v>
      </c>
      <c r="BL2515" s="2" t="s">
        <v>10797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10798</v>
      </c>
      <c r="BV2515" s="2" t="s">
        <v>231</v>
      </c>
      <c r="BW2515" s="2" t="s">
        <v>231</v>
      </c>
      <c r="BX2515" s="2" t="s">
        <v>231</v>
      </c>
      <c r="BY2515" s="2" t="s">
        <v>277</v>
      </c>
      <c r="BZ2515" s="2" t="s">
        <v>243</v>
      </c>
      <c r="CA2515" s="2" t="s">
        <v>10799</v>
      </c>
      <c r="CB2515" s="2" t="s">
        <v>979</v>
      </c>
      <c r="CC2515" s="2" t="s">
        <v>244</v>
      </c>
      <c r="CD2515" s="2" t="s">
        <v>231</v>
      </c>
      <c r="CE2515" s="4">
        <v>270</v>
      </c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>
        <v>70</v>
      </c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>
        <v>30</v>
      </c>
      <c r="EX2515" s="4"/>
      <c r="EY2515" s="4"/>
      <c r="EZ2515" s="4"/>
      <c r="FA2515" s="4"/>
      <c r="FB2515" s="4"/>
      <c r="FC2515" s="4"/>
      <c r="FD2515" s="4"/>
      <c r="FE2515" s="4"/>
      <c r="FF2515" s="4"/>
      <c r="FG2515" s="4"/>
      <c r="FH2515" s="4"/>
      <c r="FI2515" s="4"/>
      <c r="FJ2515" s="4"/>
      <c r="FK2515" s="4"/>
      <c r="FL2515" s="4"/>
      <c r="FM2515" s="4"/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/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/>
      <c r="GV2515" s="4"/>
      <c r="GW2515" s="4"/>
      <c r="GX2515" s="4"/>
      <c r="GY2515" s="4"/>
      <c r="GZ2515" s="4"/>
      <c r="HA2515" s="4"/>
      <c r="HB2515" s="4"/>
      <c r="HC2515" s="4"/>
      <c r="HD2515" s="4"/>
      <c r="HE2515" s="4"/>
      <c r="HF2515" s="4"/>
      <c r="HG2515" s="4"/>
      <c r="HH2515" s="4"/>
      <c r="HI2515" s="4"/>
      <c r="HJ2515" s="4"/>
      <c r="HK2515" s="4"/>
      <c r="HL2515" s="4"/>
    </row>
    <row r="2516">
      <c r="A2516" s="2" t="s">
        <v>10800</v>
      </c>
      <c r="B2516" s="2" t="s">
        <v>262</v>
      </c>
      <c r="C2516" s="2" t="s">
        <v>263</v>
      </c>
      <c r="D2516" s="2" t="s">
        <v>1139</v>
      </c>
      <c r="E2516" s="2" t="s">
        <v>10793</v>
      </c>
      <c r="F2516" s="2" t="s">
        <v>10794</v>
      </c>
      <c r="G2516" s="2" t="s">
        <v>10794</v>
      </c>
      <c r="H2516" s="2" t="s">
        <v>10794</v>
      </c>
      <c r="I2516" s="2" t="s">
        <v>10795</v>
      </c>
      <c r="J2516" s="2" t="s">
        <v>10801</v>
      </c>
      <c r="K2516" s="2" t="s">
        <v>306</v>
      </c>
      <c r="L2516" s="3">
        <v>25.3</v>
      </c>
      <c r="M2516" s="3">
        <v>26.56</v>
      </c>
      <c r="N2516" s="3">
        <v>54.99</v>
      </c>
      <c r="O2516" s="2" t="s">
        <v>243</v>
      </c>
      <c r="P2516" s="2" t="s">
        <v>270</v>
      </c>
      <c r="Q2516" s="2" t="s">
        <v>237</v>
      </c>
      <c r="R2516" s="2" t="s">
        <v>231</v>
      </c>
      <c r="S2516" s="2" t="s">
        <v>10796</v>
      </c>
      <c r="T2516" s="2" t="s">
        <v>231</v>
      </c>
      <c r="U2516" s="2" t="s">
        <v>231</v>
      </c>
      <c r="V2516" s="2" t="s">
        <v>239</v>
      </c>
      <c r="W2516" s="2" t="s">
        <v>1204</v>
      </c>
      <c r="X2516" s="2" t="s">
        <v>231</v>
      </c>
      <c r="Y2516" s="2" t="s">
        <v>2419</v>
      </c>
      <c r="Z2516" s="4">
        <v>174</v>
      </c>
      <c r="AA2516" s="4">
        <f>=ROUNDDOWN(12.1678321678322,0)</f>
      </c>
      <c r="AB2516" s="5">
        <v>14.3</v>
      </c>
      <c r="AC2516" s="2" t="s">
        <v>1315</v>
      </c>
      <c r="AD2516" s="4">
        <v>100</v>
      </c>
      <c r="AE2516" s="4">
        <v>470</v>
      </c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231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231</v>
      </c>
      <c r="AW2516" s="8" t="s">
        <v>231</v>
      </c>
      <c r="AX2516" s="4" t="s">
        <v>231</v>
      </c>
      <c r="AY2516" s="8" t="s">
        <v>231</v>
      </c>
      <c r="AZ2516" s="7" t="s">
        <v>231</v>
      </c>
      <c r="BA2516" s="7" t="s">
        <v>231</v>
      </c>
      <c r="BB2516" s="7"/>
      <c r="BC2516" s="4" t="s">
        <v>231</v>
      </c>
      <c r="BD2516" s="8" t="s">
        <v>231</v>
      </c>
      <c r="BE2516" s="4" t="s">
        <v>231</v>
      </c>
      <c r="BF2516" s="8" t="s">
        <v>231</v>
      </c>
      <c r="BG2516" s="7" t="s">
        <v>231</v>
      </c>
      <c r="BH2516" s="7" t="s">
        <v>231</v>
      </c>
      <c r="BI2516" s="7"/>
      <c r="BJ2516" s="4">
        <v>59</v>
      </c>
      <c r="BK2516" s="8">
        <v>1519.24</v>
      </c>
      <c r="BL2516" s="2" t="s">
        <v>10802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10803</v>
      </c>
      <c r="BV2516" s="2" t="s">
        <v>231</v>
      </c>
      <c r="BW2516" s="2" t="s">
        <v>231</v>
      </c>
      <c r="BX2516" s="2" t="s">
        <v>231</v>
      </c>
      <c r="BY2516" s="2" t="s">
        <v>277</v>
      </c>
      <c r="BZ2516" s="2" t="s">
        <v>243</v>
      </c>
      <c r="CA2516" s="2" t="s">
        <v>10799</v>
      </c>
      <c r="CB2516" s="2" t="s">
        <v>10804</v>
      </c>
      <c r="CC2516" s="2" t="s">
        <v>244</v>
      </c>
      <c r="CD2516" s="2" t="s">
        <v>231</v>
      </c>
      <c r="CE2516" s="4">
        <v>174</v>
      </c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>
        <v>100</v>
      </c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>
        <v>370</v>
      </c>
      <c r="EX2516" s="4"/>
      <c r="EY2516" s="4"/>
      <c r="EZ2516" s="4"/>
      <c r="FA2516" s="4"/>
      <c r="FB2516" s="4"/>
      <c r="FC2516" s="4"/>
      <c r="FD2516" s="4"/>
      <c r="FE2516" s="4"/>
      <c r="FF2516" s="4"/>
      <c r="FG2516" s="4"/>
      <c r="FH2516" s="4"/>
      <c r="FI2516" s="4"/>
      <c r="FJ2516" s="4"/>
      <c r="FK2516" s="4"/>
      <c r="FL2516" s="4"/>
      <c r="FM2516" s="4"/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/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/>
      <c r="GV2516" s="4"/>
      <c r="GW2516" s="4"/>
      <c r="GX2516" s="4"/>
      <c r="GY2516" s="4"/>
      <c r="GZ2516" s="4"/>
      <c r="HA2516" s="4"/>
      <c r="HB2516" s="4"/>
      <c r="HC2516" s="4"/>
      <c r="HD2516" s="4"/>
      <c r="HE2516" s="4"/>
      <c r="HF2516" s="4"/>
      <c r="HG2516" s="4"/>
      <c r="HH2516" s="4"/>
      <c r="HI2516" s="4"/>
      <c r="HJ2516" s="4"/>
      <c r="HK2516" s="4"/>
      <c r="HL2516" s="4"/>
    </row>
    <row r="2517">
      <c r="A2517" s="2" t="s">
        <v>10805</v>
      </c>
      <c r="B2517" s="2" t="s">
        <v>847</v>
      </c>
      <c r="C2517" s="2" t="s">
        <v>867</v>
      </c>
      <c r="D2517" s="2" t="s">
        <v>906</v>
      </c>
      <c r="E2517" s="2" t="s">
        <v>907</v>
      </c>
      <c r="F2517" s="2" t="s">
        <v>10806</v>
      </c>
      <c r="G2517" s="2" t="s">
        <v>10806</v>
      </c>
      <c r="H2517" s="2" t="s">
        <v>10806</v>
      </c>
      <c r="I2517" s="2" t="s">
        <v>10807</v>
      </c>
      <c r="J2517" s="2" t="s">
        <v>807</v>
      </c>
      <c r="K2517" s="2" t="s">
        <v>698</v>
      </c>
      <c r="L2517" s="3">
        <v>56.66</v>
      </c>
      <c r="M2517" s="3">
        <v>59.49</v>
      </c>
      <c r="N2517" s="3">
        <v>118.99</v>
      </c>
      <c r="O2517" s="2" t="s">
        <v>243</v>
      </c>
      <c r="P2517" s="2" t="s">
        <v>270</v>
      </c>
      <c r="Q2517" s="2" t="s">
        <v>237</v>
      </c>
      <c r="R2517" s="2" t="s">
        <v>231</v>
      </c>
      <c r="S2517" s="2" t="s">
        <v>231</v>
      </c>
      <c r="T2517" s="2" t="s">
        <v>231</v>
      </c>
      <c r="U2517" s="2" t="s">
        <v>327</v>
      </c>
      <c r="V2517" s="2" t="s">
        <v>662</v>
      </c>
      <c r="W2517" s="2" t="s">
        <v>5476</v>
      </c>
      <c r="X2517" s="2" t="s">
        <v>10808</v>
      </c>
      <c r="Y2517" s="2" t="s">
        <v>1598</v>
      </c>
      <c r="Z2517" s="4">
        <v>25</v>
      </c>
      <c r="AA2517" s="4">
        <f>=ROUNDDOWN(12.5,0)</f>
      </c>
      <c r="AB2517" s="5">
        <v>2</v>
      </c>
      <c r="AC2517" s="2" t="s">
        <v>6979</v>
      </c>
      <c r="AD2517" s="4">
        <v>120</v>
      </c>
      <c r="AE2517" s="4">
        <v>120</v>
      </c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231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/>
      <c r="BD2517" s="8"/>
      <c r="BE2517" s="4"/>
      <c r="BF2517" s="8"/>
      <c r="BG2517" s="7"/>
      <c r="BH2517" s="7"/>
      <c r="BI2517" s="7"/>
      <c r="BJ2517" s="4">
        <v>8</v>
      </c>
      <c r="BK2517" s="8">
        <v>570.84</v>
      </c>
      <c r="BL2517" s="2" t="s">
        <v>10809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10810</v>
      </c>
      <c r="BV2517" s="2" t="s">
        <v>231</v>
      </c>
      <c r="BW2517" s="2" t="s">
        <v>231</v>
      </c>
      <c r="BX2517" s="2" t="s">
        <v>241</v>
      </c>
      <c r="BY2517" s="2" t="s">
        <v>277</v>
      </c>
      <c r="BZ2517" s="2" t="s">
        <v>243</v>
      </c>
      <c r="CA2517" s="2" t="s">
        <v>822</v>
      </c>
      <c r="CB2517" s="2" t="s">
        <v>2765</v>
      </c>
      <c r="CC2517" s="2" t="s">
        <v>244</v>
      </c>
      <c r="CD2517" s="2" t="s">
        <v>231</v>
      </c>
      <c r="CE2517" s="4"/>
      <c r="CF2517" s="4">
        <v>25</v>
      </c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>
        <v>120</v>
      </c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/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/>
      <c r="GV2517" s="4"/>
      <c r="GW2517" s="4"/>
      <c r="GX2517" s="4"/>
      <c r="GY2517" s="4"/>
      <c r="GZ2517" s="4"/>
      <c r="HA2517" s="4"/>
      <c r="HB2517" s="4"/>
      <c r="HC2517" s="4"/>
      <c r="HD2517" s="4"/>
      <c r="HE2517" s="4"/>
      <c r="HF2517" s="4"/>
      <c r="HG2517" s="4"/>
      <c r="HH2517" s="4"/>
      <c r="HI2517" s="4"/>
      <c r="HJ2517" s="4"/>
      <c r="HK2517" s="4"/>
      <c r="HL2517" s="4"/>
    </row>
    <row r="2518">
      <c r="A2518" s="2" t="s">
        <v>10811</v>
      </c>
      <c r="B2518" s="2" t="s">
        <v>847</v>
      </c>
      <c r="C2518" s="2" t="s">
        <v>815</v>
      </c>
      <c r="D2518" s="2" t="s">
        <v>906</v>
      </c>
      <c r="E2518" s="2" t="s">
        <v>907</v>
      </c>
      <c r="F2518" s="2" t="s">
        <v>10812</v>
      </c>
      <c r="G2518" s="2" t="s">
        <v>10812</v>
      </c>
      <c r="H2518" s="2" t="s">
        <v>10812</v>
      </c>
      <c r="I2518" s="2" t="s">
        <v>10813</v>
      </c>
      <c r="J2518" s="2" t="s">
        <v>807</v>
      </c>
      <c r="K2518" s="2" t="s">
        <v>1496</v>
      </c>
      <c r="L2518" s="3">
        <v>76.9</v>
      </c>
      <c r="M2518" s="3">
        <v>80.74</v>
      </c>
      <c r="N2518" s="3">
        <v>161.49</v>
      </c>
      <c r="O2518" s="2" t="s">
        <v>243</v>
      </c>
      <c r="P2518" s="2" t="s">
        <v>1985</v>
      </c>
      <c r="Q2518" s="2" t="s">
        <v>237</v>
      </c>
      <c r="R2518" s="2" t="s">
        <v>231</v>
      </c>
      <c r="S2518" s="2" t="s">
        <v>231</v>
      </c>
      <c r="T2518" s="2" t="s">
        <v>231</v>
      </c>
      <c r="U2518" s="2" t="s">
        <v>327</v>
      </c>
      <c r="V2518" s="2" t="s">
        <v>662</v>
      </c>
      <c r="W2518" s="2" t="s">
        <v>273</v>
      </c>
      <c r="X2518" s="2" t="s">
        <v>691</v>
      </c>
      <c r="Y2518" s="2" t="s">
        <v>666</v>
      </c>
      <c r="Z2518" s="4">
        <v>18</v>
      </c>
      <c r="AA2518" s="4">
        <f>=ROUNDDOWN(13.8461538461538,0)</f>
      </c>
      <c r="AB2518" s="5">
        <v>1.3</v>
      </c>
      <c r="AC2518" s="2" t="s">
        <v>231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231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/>
      <c r="BD2518" s="8"/>
      <c r="BE2518" s="4"/>
      <c r="BF2518" s="8"/>
      <c r="BG2518" s="7"/>
      <c r="BH2518" s="7"/>
      <c r="BI2518" s="7"/>
      <c r="BJ2518" s="4">
        <v>6</v>
      </c>
      <c r="BK2518" s="8">
        <v>494.94</v>
      </c>
      <c r="BL2518" s="2" t="s">
        <v>1306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10814</v>
      </c>
      <c r="BV2518" s="2" t="s">
        <v>231</v>
      </c>
      <c r="BW2518" s="2" t="s">
        <v>231</v>
      </c>
      <c r="BX2518" s="2" t="s">
        <v>231</v>
      </c>
      <c r="BY2518" s="2" t="s">
        <v>277</v>
      </c>
      <c r="BZ2518" s="2" t="s">
        <v>243</v>
      </c>
      <c r="CA2518" s="2" t="s">
        <v>7311</v>
      </c>
      <c r="CB2518" s="2" t="s">
        <v>1737</v>
      </c>
      <c r="CC2518" s="2" t="s">
        <v>244</v>
      </c>
      <c r="CD2518" s="2" t="s">
        <v>231</v>
      </c>
      <c r="CE2518" s="4"/>
      <c r="CF2518" s="4">
        <v>18</v>
      </c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  <c r="EM2518" s="4"/>
      <c r="EN2518" s="4"/>
      <c r="EO2518" s="4"/>
      <c r="EP2518" s="4"/>
      <c r="EQ2518" s="4"/>
      <c r="ER2518" s="4"/>
      <c r="ES2518" s="4"/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/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/>
      <c r="GO2518" s="4"/>
      <c r="GP2518" s="4"/>
      <c r="GQ2518" s="4"/>
      <c r="GR2518" s="4"/>
      <c r="GS2518" s="4"/>
      <c r="GT2518" s="4"/>
      <c r="GU2518" s="4"/>
      <c r="GV2518" s="4"/>
      <c r="GW2518" s="4"/>
      <c r="GX2518" s="4"/>
      <c r="GY2518" s="4"/>
      <c r="GZ2518" s="4"/>
      <c r="HA2518" s="4"/>
      <c r="HB2518" s="4"/>
      <c r="HC2518" s="4"/>
      <c r="HD2518" s="4"/>
      <c r="HE2518" s="4"/>
      <c r="HF2518" s="4"/>
      <c r="HG2518" s="4"/>
      <c r="HH2518" s="4"/>
      <c r="HI2518" s="4"/>
      <c r="HJ2518" s="4"/>
      <c r="HK2518" s="4"/>
      <c r="HL2518" s="4"/>
    </row>
    <row r="2519">
      <c r="A2519" s="2" t="s">
        <v>10815</v>
      </c>
      <c r="B2519" s="2" t="s">
        <v>824</v>
      </c>
      <c r="C2519" s="2" t="s">
        <v>825</v>
      </c>
      <c r="D2519" s="2" t="s">
        <v>654</v>
      </c>
      <c r="E2519" s="2" t="s">
        <v>890</v>
      </c>
      <c r="F2519" s="2" t="s">
        <v>1067</v>
      </c>
      <c r="G2519" s="2" t="s">
        <v>10816</v>
      </c>
      <c r="H2519" s="2" t="s">
        <v>10817</v>
      </c>
      <c r="I2519" s="2" t="s">
        <v>10818</v>
      </c>
      <c r="J2519" s="2" t="s">
        <v>658</v>
      </c>
      <c r="K2519" s="2" t="s">
        <v>294</v>
      </c>
      <c r="L2519" s="3">
        <v>28.57</v>
      </c>
      <c r="M2519" s="3">
        <v>30</v>
      </c>
      <c r="N2519" s="3">
        <v>59.99</v>
      </c>
      <c r="O2519" s="2" t="s">
        <v>243</v>
      </c>
      <c r="P2519" s="2" t="s">
        <v>236</v>
      </c>
      <c r="Q2519" s="2" t="s">
        <v>237</v>
      </c>
      <c r="R2519" s="2" t="s">
        <v>231</v>
      </c>
      <c r="S2519" s="2" t="s">
        <v>10819</v>
      </c>
      <c r="T2519" s="2" t="s">
        <v>472</v>
      </c>
      <c r="U2519" s="2" t="s">
        <v>835</v>
      </c>
      <c r="V2519" s="2" t="s">
        <v>239</v>
      </c>
      <c r="W2519" s="2" t="s">
        <v>691</v>
      </c>
      <c r="X2519" s="2" t="s">
        <v>273</v>
      </c>
      <c r="Y2519" s="2" t="s">
        <v>9805</v>
      </c>
      <c r="Z2519" s="4">
        <v>478</v>
      </c>
      <c r="AA2519" s="4">
        <f>=ROUNDDOWN(47.8,0)</f>
      </c>
      <c r="AB2519" s="5">
        <v>10</v>
      </c>
      <c r="AC2519" s="2" t="s">
        <v>3548</v>
      </c>
      <c r="AD2519" s="4">
        <v>365</v>
      </c>
      <c r="AE2519" s="4">
        <v>530</v>
      </c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231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231</v>
      </c>
      <c r="BD2519" s="8" t="s">
        <v>231</v>
      </c>
      <c r="BE2519" s="4" t="s">
        <v>231</v>
      </c>
      <c r="BF2519" s="8" t="s">
        <v>231</v>
      </c>
      <c r="BG2519" s="7" t="s">
        <v>231</v>
      </c>
      <c r="BH2519" s="7" t="s">
        <v>231</v>
      </c>
      <c r="BI2519" s="7"/>
      <c r="BJ2519" s="4">
        <v>14</v>
      </c>
      <c r="BK2519" s="8">
        <v>462.82</v>
      </c>
      <c r="BL2519" s="2" t="s">
        <v>2988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10820</v>
      </c>
      <c r="BV2519" s="2" t="s">
        <v>231</v>
      </c>
      <c r="BW2519" s="2" t="s">
        <v>231</v>
      </c>
      <c r="BX2519" s="2" t="s">
        <v>241</v>
      </c>
      <c r="BY2519" s="2" t="s">
        <v>277</v>
      </c>
      <c r="BZ2519" s="2" t="s">
        <v>243</v>
      </c>
      <c r="CA2519" s="2" t="s">
        <v>960</v>
      </c>
      <c r="CB2519" s="2" t="s">
        <v>5676</v>
      </c>
      <c r="CC2519" s="2" t="s">
        <v>244</v>
      </c>
      <c r="CD2519" s="2" t="s">
        <v>231</v>
      </c>
      <c r="CE2519" s="4">
        <v>478</v>
      </c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>
        <v>365</v>
      </c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>
        <v>165</v>
      </c>
      <c r="FD2519" s="4"/>
      <c r="FE2519" s="4"/>
      <c r="FF2519" s="4"/>
      <c r="FG2519" s="4"/>
      <c r="FH2519" s="4"/>
      <c r="FI2519" s="4"/>
      <c r="FJ2519" s="4"/>
      <c r="FK2519" s="4"/>
      <c r="FL2519" s="4"/>
      <c r="FM2519" s="4"/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/>
      <c r="GV2519" s="4"/>
      <c r="GW2519" s="4"/>
      <c r="GX2519" s="4"/>
      <c r="GY2519" s="4"/>
      <c r="GZ2519" s="4"/>
      <c r="HA2519" s="4"/>
      <c r="HB2519" s="4"/>
      <c r="HC2519" s="4"/>
      <c r="HD2519" s="4"/>
      <c r="HE2519" s="4"/>
      <c r="HF2519" s="4"/>
      <c r="HG2519" s="4"/>
      <c r="HH2519" s="4"/>
      <c r="HI2519" s="4"/>
      <c r="HJ2519" s="4"/>
      <c r="HK2519" s="4"/>
      <c r="HL2519" s="4"/>
    </row>
    <row r="2520">
      <c r="A2520" s="2" t="s">
        <v>10821</v>
      </c>
      <c r="B2520" s="2" t="s">
        <v>824</v>
      </c>
      <c r="C2520" s="2" t="s">
        <v>825</v>
      </c>
      <c r="D2520" s="2" t="s">
        <v>654</v>
      </c>
      <c r="E2520" s="2" t="s">
        <v>890</v>
      </c>
      <c r="F2520" s="2" t="s">
        <v>1067</v>
      </c>
      <c r="G2520" s="2" t="s">
        <v>10816</v>
      </c>
      <c r="H2520" s="2" t="s">
        <v>10817</v>
      </c>
      <c r="I2520" s="2" t="s">
        <v>10818</v>
      </c>
      <c r="J2520" s="2" t="s">
        <v>832</v>
      </c>
      <c r="K2520" s="2" t="s">
        <v>234</v>
      </c>
      <c r="L2520" s="3">
        <v>23.8</v>
      </c>
      <c r="M2520" s="3">
        <v>24.99</v>
      </c>
      <c r="N2520" s="3">
        <v>49.99</v>
      </c>
      <c r="O2520" s="2" t="s">
        <v>243</v>
      </c>
      <c r="P2520" s="2" t="s">
        <v>236</v>
      </c>
      <c r="Q2520" s="2" t="s">
        <v>237</v>
      </c>
      <c r="R2520" s="2" t="s">
        <v>231</v>
      </c>
      <c r="S2520" s="2" t="s">
        <v>10822</v>
      </c>
      <c r="T2520" s="2" t="s">
        <v>472</v>
      </c>
      <c r="U2520" s="2" t="s">
        <v>791</v>
      </c>
      <c r="V2520" s="2" t="s">
        <v>239</v>
      </c>
      <c r="W2520" s="2" t="s">
        <v>691</v>
      </c>
      <c r="X2520" s="2" t="s">
        <v>273</v>
      </c>
      <c r="Y2520" s="2" t="s">
        <v>9805</v>
      </c>
      <c r="Z2520" s="4">
        <v>290</v>
      </c>
      <c r="AA2520" s="4">
        <f>=ROUNDDOWN(36.25,0)</f>
      </c>
      <c r="AB2520" s="5">
        <v>8</v>
      </c>
      <c r="AC2520" s="2" t="s">
        <v>3548</v>
      </c>
      <c r="AD2520" s="4">
        <v>250</v>
      </c>
      <c r="AE2520" s="4">
        <v>300</v>
      </c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231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231</v>
      </c>
      <c r="AW2520" s="8" t="s">
        <v>231</v>
      </c>
      <c r="AX2520" s="4" t="s">
        <v>231</v>
      </c>
      <c r="AY2520" s="8" t="s">
        <v>231</v>
      </c>
      <c r="AZ2520" s="7" t="s">
        <v>231</v>
      </c>
      <c r="BA2520" s="7" t="s">
        <v>231</v>
      </c>
      <c r="BB2520" s="7"/>
      <c r="BC2520" s="4" t="s">
        <v>231</v>
      </c>
      <c r="BD2520" s="8" t="s">
        <v>231</v>
      </c>
      <c r="BE2520" s="4" t="s">
        <v>231</v>
      </c>
      <c r="BF2520" s="8" t="s">
        <v>231</v>
      </c>
      <c r="BG2520" s="7" t="s">
        <v>231</v>
      </c>
      <c r="BH2520" s="7" t="s">
        <v>231</v>
      </c>
      <c r="BI2520" s="7"/>
      <c r="BJ2520" s="4">
        <v>2</v>
      </c>
      <c r="BK2520" s="8">
        <v>54.36</v>
      </c>
      <c r="BL2520" s="2" t="s">
        <v>600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10823</v>
      </c>
      <c r="BV2520" s="2" t="s">
        <v>231</v>
      </c>
      <c r="BW2520" s="2" t="s">
        <v>231</v>
      </c>
      <c r="BX2520" s="2" t="s">
        <v>241</v>
      </c>
      <c r="BY2520" s="2" t="s">
        <v>277</v>
      </c>
      <c r="BZ2520" s="2" t="s">
        <v>243</v>
      </c>
      <c r="CA2520" s="2" t="s">
        <v>960</v>
      </c>
      <c r="CB2520" s="2" t="s">
        <v>231</v>
      </c>
      <c r="CC2520" s="2" t="s">
        <v>244</v>
      </c>
      <c r="CD2520" s="2" t="s">
        <v>231</v>
      </c>
      <c r="CE2520" s="4">
        <v>290</v>
      </c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>
        <v>250</v>
      </c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>
        <v>50</v>
      </c>
      <c r="FD2520" s="4"/>
      <c r="FE2520" s="4"/>
      <c r="FF2520" s="4"/>
      <c r="FG2520" s="4"/>
      <c r="FH2520" s="4"/>
      <c r="FI2520" s="4"/>
      <c r="FJ2520" s="4"/>
      <c r="FK2520" s="4"/>
      <c r="FL2520" s="4"/>
      <c r="FM2520" s="4"/>
      <c r="FN2520" s="4"/>
      <c r="FO2520" s="4"/>
      <c r="FP2520" s="4"/>
      <c r="FQ2520" s="4"/>
      <c r="FR2520" s="4"/>
      <c r="FS2520" s="4"/>
      <c r="FT2520" s="4"/>
      <c r="FU2520" s="4"/>
      <c r="FV2520" s="4"/>
      <c r="FW2520" s="4"/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/>
      <c r="GV2520" s="4"/>
      <c r="GW2520" s="4"/>
      <c r="GX2520" s="4"/>
      <c r="GY2520" s="4"/>
      <c r="GZ2520" s="4"/>
      <c r="HA2520" s="4"/>
      <c r="HB2520" s="4"/>
      <c r="HC2520" s="4"/>
      <c r="HD2520" s="4"/>
      <c r="HE2520" s="4"/>
      <c r="HF2520" s="4"/>
      <c r="HG2520" s="4"/>
      <c r="HH2520" s="4"/>
      <c r="HI2520" s="4"/>
      <c r="HJ2520" s="4"/>
      <c r="HK2520" s="4"/>
      <c r="HL2520" s="4"/>
    </row>
    <row r="2521">
      <c r="A2521" s="2" t="s">
        <v>10824</v>
      </c>
      <c r="B2521" s="2" t="s">
        <v>824</v>
      </c>
      <c r="C2521" s="2" t="s">
        <v>825</v>
      </c>
      <c r="D2521" s="2" t="s">
        <v>654</v>
      </c>
      <c r="E2521" s="2" t="s">
        <v>890</v>
      </c>
      <c r="F2521" s="2" t="s">
        <v>1067</v>
      </c>
      <c r="G2521" s="2" t="s">
        <v>10816</v>
      </c>
      <c r="H2521" s="2" t="s">
        <v>10817</v>
      </c>
      <c r="I2521" s="2" t="s">
        <v>10818</v>
      </c>
      <c r="J2521" s="2" t="s">
        <v>658</v>
      </c>
      <c r="K2521" s="2" t="s">
        <v>234</v>
      </c>
      <c r="L2521" s="3">
        <v>28.57</v>
      </c>
      <c r="M2521" s="3">
        <v>30</v>
      </c>
      <c r="N2521" s="3">
        <v>59.99</v>
      </c>
      <c r="O2521" s="2" t="s">
        <v>243</v>
      </c>
      <c r="P2521" s="2" t="s">
        <v>236</v>
      </c>
      <c r="Q2521" s="2" t="s">
        <v>237</v>
      </c>
      <c r="R2521" s="2" t="s">
        <v>231</v>
      </c>
      <c r="S2521" s="2" t="s">
        <v>10822</v>
      </c>
      <c r="T2521" s="2" t="s">
        <v>472</v>
      </c>
      <c r="U2521" s="2" t="s">
        <v>835</v>
      </c>
      <c r="V2521" s="2" t="s">
        <v>239</v>
      </c>
      <c r="W2521" s="2" t="s">
        <v>691</v>
      </c>
      <c r="X2521" s="2" t="s">
        <v>273</v>
      </c>
      <c r="Y2521" s="2" t="s">
        <v>7455</v>
      </c>
      <c r="Z2521" s="4">
        <v>395</v>
      </c>
      <c r="AA2521" s="4">
        <f>=ROUNDDOWN(39.5,0)</f>
      </c>
      <c r="AB2521" s="5">
        <v>10</v>
      </c>
      <c r="AC2521" s="2" t="s">
        <v>3548</v>
      </c>
      <c r="AD2521" s="4">
        <v>350</v>
      </c>
      <c r="AE2521" s="4">
        <v>500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231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231</v>
      </c>
      <c r="AW2521" s="8" t="s">
        <v>231</v>
      </c>
      <c r="AX2521" s="4" t="s">
        <v>231</v>
      </c>
      <c r="AY2521" s="8" t="s">
        <v>231</v>
      </c>
      <c r="AZ2521" s="7" t="s">
        <v>231</v>
      </c>
      <c r="BA2521" s="7" t="s">
        <v>231</v>
      </c>
      <c r="BB2521" s="7"/>
      <c r="BC2521" s="4" t="s">
        <v>231</v>
      </c>
      <c r="BD2521" s="8" t="s">
        <v>231</v>
      </c>
      <c r="BE2521" s="4" t="s">
        <v>231</v>
      </c>
      <c r="BF2521" s="8" t="s">
        <v>231</v>
      </c>
      <c r="BG2521" s="7" t="s">
        <v>231</v>
      </c>
      <c r="BH2521" s="7" t="s">
        <v>231</v>
      </c>
      <c r="BI2521" s="7"/>
      <c r="BJ2521" s="4">
        <v>11</v>
      </c>
      <c r="BK2521" s="8">
        <v>382.37</v>
      </c>
      <c r="BL2521" s="2" t="s">
        <v>10825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10826</v>
      </c>
      <c r="BV2521" s="2" t="s">
        <v>231</v>
      </c>
      <c r="BW2521" s="2" t="s">
        <v>231</v>
      </c>
      <c r="BX2521" s="2" t="s">
        <v>241</v>
      </c>
      <c r="BY2521" s="2" t="s">
        <v>277</v>
      </c>
      <c r="BZ2521" s="2" t="s">
        <v>243</v>
      </c>
      <c r="CA2521" s="2" t="s">
        <v>960</v>
      </c>
      <c r="CB2521" s="2" t="s">
        <v>231</v>
      </c>
      <c r="CC2521" s="2" t="s">
        <v>244</v>
      </c>
      <c r="CD2521" s="2" t="s">
        <v>231</v>
      </c>
      <c r="CE2521" s="4">
        <v>395</v>
      </c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>
        <v>350</v>
      </c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>
        <v>150</v>
      </c>
      <c r="FD2521" s="4"/>
      <c r="FE2521" s="4"/>
      <c r="FF2521" s="4"/>
      <c r="FG2521" s="4"/>
      <c r="FH2521" s="4"/>
      <c r="FI2521" s="4"/>
      <c r="FJ2521" s="4"/>
      <c r="FK2521" s="4"/>
      <c r="FL2521" s="4"/>
      <c r="FM2521" s="4"/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/>
      <c r="GV2521" s="4"/>
      <c r="GW2521" s="4"/>
      <c r="GX2521" s="4"/>
      <c r="GY2521" s="4"/>
      <c r="GZ2521" s="4"/>
      <c r="HA2521" s="4"/>
      <c r="HB2521" s="4"/>
      <c r="HC2521" s="4"/>
      <c r="HD2521" s="4"/>
      <c r="HE2521" s="4"/>
      <c r="HF2521" s="4"/>
      <c r="HG2521" s="4"/>
      <c r="HH2521" s="4"/>
      <c r="HI2521" s="4"/>
      <c r="HJ2521" s="4"/>
      <c r="HK2521" s="4"/>
      <c r="HL2521" s="4"/>
    </row>
    <row r="2522">
      <c r="A2522" s="2" t="s">
        <v>10827</v>
      </c>
      <c r="B2522" s="2" t="s">
        <v>824</v>
      </c>
      <c r="C2522" s="2" t="s">
        <v>825</v>
      </c>
      <c r="D2522" s="2" t="s">
        <v>654</v>
      </c>
      <c r="E2522" s="2" t="s">
        <v>890</v>
      </c>
      <c r="F2522" s="2" t="s">
        <v>1067</v>
      </c>
      <c r="G2522" s="2" t="s">
        <v>10816</v>
      </c>
      <c r="H2522" s="2" t="s">
        <v>10817</v>
      </c>
      <c r="I2522" s="2" t="s">
        <v>10818</v>
      </c>
      <c r="J2522" s="2" t="s">
        <v>832</v>
      </c>
      <c r="K2522" s="2" t="s">
        <v>255</v>
      </c>
      <c r="L2522" s="3">
        <v>23.8</v>
      </c>
      <c r="M2522" s="3">
        <v>24.99</v>
      </c>
      <c r="N2522" s="3">
        <v>49.99</v>
      </c>
      <c r="O2522" s="2" t="s">
        <v>243</v>
      </c>
      <c r="P2522" s="2" t="s">
        <v>236</v>
      </c>
      <c r="Q2522" s="2" t="s">
        <v>237</v>
      </c>
      <c r="R2522" s="2" t="s">
        <v>231</v>
      </c>
      <c r="S2522" s="2" t="s">
        <v>10828</v>
      </c>
      <c r="T2522" s="2" t="s">
        <v>472</v>
      </c>
      <c r="U2522" s="2" t="s">
        <v>791</v>
      </c>
      <c r="V2522" s="2" t="s">
        <v>239</v>
      </c>
      <c r="W2522" s="2" t="s">
        <v>691</v>
      </c>
      <c r="X2522" s="2" t="s">
        <v>273</v>
      </c>
      <c r="Y2522" s="2" t="s">
        <v>9805</v>
      </c>
      <c r="Z2522" s="4">
        <v>307</v>
      </c>
      <c r="AA2522" s="4">
        <f>=ROUNDDOWN(38.375,0)</f>
      </c>
      <c r="AB2522" s="5">
        <v>8</v>
      </c>
      <c r="AC2522" s="2" t="s">
        <v>231</v>
      </c>
      <c r="AD2522" s="4"/>
      <c r="AE2522" s="4"/>
      <c r="AF2522" s="6">
        <v>64</v>
      </c>
      <c r="AG2522" s="6"/>
      <c r="AH2522" s="7">
        <v>1</v>
      </c>
      <c r="AI2522" s="4"/>
      <c r="AJ2522" s="4">
        <f>=ROUNDDOWN({0},0)</f>
      </c>
      <c r="AK2522" s="5"/>
      <c r="AL2522" s="2" t="s">
        <v>231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 t="s">
        <v>231</v>
      </c>
      <c r="BD2522" s="8" t="s">
        <v>231</v>
      </c>
      <c r="BE2522" s="4" t="s">
        <v>231</v>
      </c>
      <c r="BF2522" s="8" t="s">
        <v>231</v>
      </c>
      <c r="BG2522" s="7" t="s">
        <v>231</v>
      </c>
      <c r="BH2522" s="7" t="s">
        <v>231</v>
      </c>
      <c r="BI2522" s="7"/>
      <c r="BJ2522" s="4">
        <v>13</v>
      </c>
      <c r="BK2522" s="8">
        <v>390.01</v>
      </c>
      <c r="BL2522" s="2" t="s">
        <v>10829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10830</v>
      </c>
      <c r="BV2522" s="2" t="s">
        <v>231</v>
      </c>
      <c r="BW2522" s="2" t="s">
        <v>231</v>
      </c>
      <c r="BX2522" s="2" t="s">
        <v>241</v>
      </c>
      <c r="BY2522" s="2" t="s">
        <v>277</v>
      </c>
      <c r="BZ2522" s="2" t="s">
        <v>243</v>
      </c>
      <c r="CA2522" s="2" t="s">
        <v>960</v>
      </c>
      <c r="CB2522" s="2" t="s">
        <v>231</v>
      </c>
      <c r="CC2522" s="2" t="s">
        <v>244</v>
      </c>
      <c r="CD2522" s="2" t="s">
        <v>231</v>
      </c>
      <c r="CE2522" s="4">
        <v>307</v>
      </c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/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/>
      <c r="GV2522" s="4"/>
      <c r="GW2522" s="4"/>
      <c r="GX2522" s="4"/>
      <c r="GY2522" s="4"/>
      <c r="GZ2522" s="4"/>
      <c r="HA2522" s="4"/>
      <c r="HB2522" s="4"/>
      <c r="HC2522" s="4"/>
      <c r="HD2522" s="4"/>
      <c r="HE2522" s="4"/>
      <c r="HF2522" s="4"/>
      <c r="HG2522" s="4"/>
      <c r="HH2522" s="4"/>
      <c r="HI2522" s="4"/>
      <c r="HJ2522" s="4"/>
      <c r="HK2522" s="4"/>
      <c r="HL2522" s="4"/>
    </row>
    <row r="2523">
      <c r="A2523" s="2" t="s">
        <v>10831</v>
      </c>
      <c r="B2523" s="2" t="s">
        <v>1004</v>
      </c>
      <c r="C2523" s="2" t="s">
        <v>815</v>
      </c>
      <c r="D2523" s="2" t="s">
        <v>1917</v>
      </c>
      <c r="E2523" s="2" t="s">
        <v>2495</v>
      </c>
      <c r="F2523" s="2" t="s">
        <v>10832</v>
      </c>
      <c r="G2523" s="2" t="s">
        <v>10832</v>
      </c>
      <c r="H2523" s="2" t="s">
        <v>231</v>
      </c>
      <c r="I2523" s="2" t="s">
        <v>10833</v>
      </c>
      <c r="J2523" s="2" t="s">
        <v>807</v>
      </c>
      <c r="K2523" s="2" t="s">
        <v>10834</v>
      </c>
      <c r="L2523" s="3">
        <v>147.6</v>
      </c>
      <c r="M2523" s="3">
        <v>154.98</v>
      </c>
      <c r="N2523" s="3">
        <v>309</v>
      </c>
      <c r="O2523" s="2" t="s">
        <v>235</v>
      </c>
      <c r="P2523" s="2" t="s">
        <v>341</v>
      </c>
      <c r="Q2523" s="2" t="s">
        <v>237</v>
      </c>
      <c r="R2523" s="2" t="s">
        <v>231</v>
      </c>
      <c r="S2523" s="2" t="s">
        <v>10835</v>
      </c>
      <c r="T2523" s="2" t="s">
        <v>231</v>
      </c>
      <c r="U2523" s="2" t="s">
        <v>231</v>
      </c>
      <c r="V2523" s="2" t="s">
        <v>239</v>
      </c>
      <c r="W2523" s="2" t="s">
        <v>2500</v>
      </c>
      <c r="X2523" s="2" t="s">
        <v>231</v>
      </c>
      <c r="Y2523" s="2" t="s">
        <v>10836</v>
      </c>
      <c r="Z2523" s="4"/>
      <c r="AA2523" s="4">
        <f>=ROUNDDOWN({0},0)</f>
      </c>
      <c r="AB2523" s="5">
        <v>0.2</v>
      </c>
      <c r="AC2523" s="2" t="s">
        <v>231</v>
      </c>
      <c r="AD2523" s="4"/>
      <c r="AE2523" s="4"/>
      <c r="AF2523" s="6">
        <v>74</v>
      </c>
      <c r="AG2523" s="6"/>
      <c r="AH2523" s="7">
        <v>0</v>
      </c>
      <c r="AI2523" s="4"/>
      <c r="AJ2523" s="4">
        <f>=ROUNDDOWN({0},0)</f>
      </c>
      <c r="AK2523" s="5"/>
      <c r="AL2523" s="2" t="s">
        <v>231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231</v>
      </c>
      <c r="AW2523" s="8" t="s">
        <v>231</v>
      </c>
      <c r="AX2523" s="4" t="s">
        <v>231</v>
      </c>
      <c r="AY2523" s="8" t="s">
        <v>231</v>
      </c>
      <c r="AZ2523" s="7" t="s">
        <v>231</v>
      </c>
      <c r="BA2523" s="7" t="s">
        <v>231</v>
      </c>
      <c r="BB2523" s="7" t="s">
        <v>231</v>
      </c>
      <c r="BC2523" s="4" t="s">
        <v>231</v>
      </c>
      <c r="BD2523" s="8" t="s">
        <v>231</v>
      </c>
      <c r="BE2523" s="4" t="s">
        <v>231</v>
      </c>
      <c r="BF2523" s="8" t="s">
        <v>231</v>
      </c>
      <c r="BG2523" s="7" t="s">
        <v>231</v>
      </c>
      <c r="BH2523" s="7" t="s">
        <v>231</v>
      </c>
      <c r="BI2523" s="7"/>
      <c r="BJ2523" s="4"/>
      <c r="BK2523" s="8"/>
      <c r="BL2523" s="2" t="s">
        <v>2343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10837</v>
      </c>
      <c r="BV2523" s="2" t="s">
        <v>231</v>
      </c>
      <c r="BW2523" s="2" t="s">
        <v>231</v>
      </c>
      <c r="BX2523" s="2" t="s">
        <v>231</v>
      </c>
      <c r="BY2523" s="2" t="s">
        <v>277</v>
      </c>
      <c r="BZ2523" s="2" t="s">
        <v>243</v>
      </c>
      <c r="CA2523" s="2" t="s">
        <v>5354</v>
      </c>
      <c r="CB2523" s="2" t="s">
        <v>8085</v>
      </c>
      <c r="CC2523" s="2" t="s">
        <v>244</v>
      </c>
      <c r="CD2523" s="2" t="s">
        <v>231</v>
      </c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/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/>
      <c r="GV2523" s="4"/>
      <c r="GW2523" s="4"/>
      <c r="GX2523" s="4"/>
      <c r="GY2523" s="4"/>
      <c r="GZ2523" s="4"/>
      <c r="HA2523" s="4"/>
      <c r="HB2523" s="4"/>
      <c r="HC2523" s="4"/>
      <c r="HD2523" s="4"/>
      <c r="HE2523" s="4"/>
      <c r="HF2523" s="4"/>
      <c r="HG2523" s="4"/>
      <c r="HH2523" s="4"/>
      <c r="HI2523" s="4"/>
      <c r="HJ2523" s="4"/>
      <c r="HK2523" s="4"/>
      <c r="HL2523" s="4"/>
    </row>
    <row r="2524">
      <c r="A2524" s="2" t="s">
        <v>10838</v>
      </c>
      <c r="B2524" s="2" t="s">
        <v>1004</v>
      </c>
      <c r="C2524" s="2" t="s">
        <v>815</v>
      </c>
      <c r="D2524" s="2" t="s">
        <v>5985</v>
      </c>
      <c r="E2524" s="2" t="s">
        <v>5986</v>
      </c>
      <c r="F2524" s="2" t="s">
        <v>10832</v>
      </c>
      <c r="G2524" s="2" t="s">
        <v>10832</v>
      </c>
      <c r="H2524" s="2" t="s">
        <v>231</v>
      </c>
      <c r="I2524" s="2" t="s">
        <v>10839</v>
      </c>
      <c r="J2524" s="2" t="s">
        <v>807</v>
      </c>
      <c r="K2524" s="2" t="s">
        <v>10834</v>
      </c>
      <c r="L2524" s="3">
        <v>120</v>
      </c>
      <c r="M2524" s="3">
        <v>126</v>
      </c>
      <c r="N2524" s="3">
        <v>249</v>
      </c>
      <c r="O2524" s="2" t="s">
        <v>243</v>
      </c>
      <c r="P2524" s="2" t="s">
        <v>270</v>
      </c>
      <c r="Q2524" s="2" t="s">
        <v>237</v>
      </c>
      <c r="R2524" s="2" t="s">
        <v>231</v>
      </c>
      <c r="S2524" s="2" t="s">
        <v>10840</v>
      </c>
      <c r="T2524" s="2" t="s">
        <v>231</v>
      </c>
      <c r="U2524" s="2" t="s">
        <v>231</v>
      </c>
      <c r="V2524" s="2" t="s">
        <v>239</v>
      </c>
      <c r="W2524" s="2" t="s">
        <v>2500</v>
      </c>
      <c r="X2524" s="2" t="s">
        <v>231</v>
      </c>
      <c r="Y2524" s="2" t="s">
        <v>274</v>
      </c>
      <c r="Z2524" s="4">
        <v>152</v>
      </c>
      <c r="AA2524" s="4">
        <f>=ROUNDDOWN({0},0)</f>
      </c>
      <c r="AB2524" s="5"/>
      <c r="AC2524" s="2" t="s">
        <v>231</v>
      </c>
      <c r="AD2524" s="4"/>
      <c r="AE2524" s="4"/>
      <c r="AF2524" s="6">
        <v>74</v>
      </c>
      <c r="AG2524" s="6">
        <v>60</v>
      </c>
      <c r="AH2524" s="7">
        <v>1</v>
      </c>
      <c r="AI2524" s="4"/>
      <c r="AJ2524" s="4">
        <f>=ROUNDDOWN({0},0)</f>
      </c>
      <c r="AK2524" s="5"/>
      <c r="AL2524" s="2" t="s">
        <v>10841</v>
      </c>
      <c r="AM2524" s="4">
        <v>100</v>
      </c>
      <c r="AN2524" s="4">
        <v>100</v>
      </c>
      <c r="AO2524" s="7">
        <v>0</v>
      </c>
      <c r="AP2524" s="4"/>
      <c r="AQ2524" s="8"/>
      <c r="AR2524" s="4"/>
      <c r="AS2524" s="8"/>
      <c r="AT2524" s="7"/>
      <c r="AU2524" s="7"/>
      <c r="AV2524" s="4" t="s">
        <v>231</v>
      </c>
      <c r="AW2524" s="8" t="s">
        <v>231</v>
      </c>
      <c r="AX2524" s="4" t="s">
        <v>231</v>
      </c>
      <c r="AY2524" s="8" t="s">
        <v>231</v>
      </c>
      <c r="AZ2524" s="7" t="s">
        <v>231</v>
      </c>
      <c r="BA2524" s="7" t="s">
        <v>231</v>
      </c>
      <c r="BB2524" s="7" t="s">
        <v>231</v>
      </c>
      <c r="BC2524" s="4" t="s">
        <v>231</v>
      </c>
      <c r="BD2524" s="8" t="s">
        <v>231</v>
      </c>
      <c r="BE2524" s="4" t="s">
        <v>231</v>
      </c>
      <c r="BF2524" s="8" t="s">
        <v>231</v>
      </c>
      <c r="BG2524" s="7" t="s">
        <v>231</v>
      </c>
      <c r="BH2524" s="7" t="s">
        <v>231</v>
      </c>
      <c r="BI2524" s="7"/>
      <c r="BJ2524" s="4">
        <v>41</v>
      </c>
      <c r="BK2524" s="8">
        <v>4051.52</v>
      </c>
      <c r="BL2524" s="2" t="s">
        <v>10842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10843</v>
      </c>
      <c r="BV2524" s="2" t="s">
        <v>231</v>
      </c>
      <c r="BW2524" s="2" t="s">
        <v>231</v>
      </c>
      <c r="BX2524" s="2" t="s">
        <v>231</v>
      </c>
      <c r="BY2524" s="2" t="s">
        <v>277</v>
      </c>
      <c r="BZ2524" s="2" t="s">
        <v>243</v>
      </c>
      <c r="CA2524" s="2" t="s">
        <v>9199</v>
      </c>
      <c r="CB2524" s="2" t="s">
        <v>10844</v>
      </c>
      <c r="CC2524" s="2" t="s">
        <v>244</v>
      </c>
      <c r="CD2524" s="2" t="s">
        <v>231</v>
      </c>
      <c r="CE2524" s="4"/>
      <c r="CF2524" s="4">
        <v>152</v>
      </c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/>
      <c r="FN2524" s="4"/>
      <c r="FO2524" s="4"/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/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/>
      <c r="GV2524" s="4"/>
      <c r="GW2524" s="4"/>
      <c r="GX2524" s="4"/>
      <c r="GY2524" s="4"/>
      <c r="GZ2524" s="4"/>
      <c r="HA2524" s="4"/>
      <c r="HB2524" s="4"/>
      <c r="HC2524" s="4"/>
      <c r="HD2524" s="4"/>
      <c r="HE2524" s="4"/>
      <c r="HF2524" s="4"/>
      <c r="HG2524" s="4"/>
      <c r="HH2524" s="4">
        <v>100</v>
      </c>
      <c r="HI2524" s="4"/>
      <c r="HJ2524" s="4"/>
      <c r="HK2524" s="4"/>
      <c r="HL2524" s="4"/>
    </row>
    <row r="2525">
      <c r="A2525" s="2" t="s">
        <v>10845</v>
      </c>
      <c r="B2525" s="2" t="s">
        <v>1186</v>
      </c>
      <c r="C2525" s="2" t="s">
        <v>815</v>
      </c>
      <c r="D2525" s="2" t="s">
        <v>1139</v>
      </c>
      <c r="E2525" s="2" t="s">
        <v>1140</v>
      </c>
      <c r="F2525" s="2" t="s">
        <v>10846</v>
      </c>
      <c r="G2525" s="2" t="s">
        <v>10846</v>
      </c>
      <c r="H2525" s="2" t="s">
        <v>10846</v>
      </c>
      <c r="I2525" s="2" t="s">
        <v>10847</v>
      </c>
      <c r="J2525" s="2" t="s">
        <v>10848</v>
      </c>
      <c r="K2525" s="2" t="s">
        <v>10849</v>
      </c>
      <c r="L2525" s="3">
        <v>13.5</v>
      </c>
      <c r="M2525" s="3">
        <v>14.17</v>
      </c>
      <c r="N2525" s="3">
        <v>29.99</v>
      </c>
      <c r="O2525" s="2" t="s">
        <v>243</v>
      </c>
      <c r="P2525" s="2" t="s">
        <v>341</v>
      </c>
      <c r="Q2525" s="2" t="s">
        <v>237</v>
      </c>
      <c r="R2525" s="2" t="s">
        <v>231</v>
      </c>
      <c r="S2525" s="2" t="s">
        <v>10850</v>
      </c>
      <c r="T2525" s="2" t="s">
        <v>362</v>
      </c>
      <c r="U2525" s="2" t="s">
        <v>327</v>
      </c>
      <c r="V2525" s="2" t="s">
        <v>3223</v>
      </c>
      <c r="W2525" s="2" t="s">
        <v>2541</v>
      </c>
      <c r="X2525" s="2" t="s">
        <v>273</v>
      </c>
      <c r="Y2525" s="2" t="s">
        <v>7763</v>
      </c>
      <c r="Z2525" s="4">
        <v>84</v>
      </c>
      <c r="AA2525" s="4">
        <f>=ROUNDDOWN(40,0)</f>
      </c>
      <c r="AB2525" s="5">
        <v>2.1</v>
      </c>
      <c r="AC2525" s="2" t="s">
        <v>231</v>
      </c>
      <c r="AD2525" s="4"/>
      <c r="AE2525" s="4"/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231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/>
      <c r="BD2525" s="8"/>
      <c r="BE2525" s="4"/>
      <c r="BF2525" s="8"/>
      <c r="BG2525" s="7"/>
      <c r="BH2525" s="7"/>
      <c r="BI2525" s="7"/>
      <c r="BJ2525" s="4">
        <v>13</v>
      </c>
      <c r="BK2525" s="8">
        <v>172.89</v>
      </c>
      <c r="BL2525" s="2" t="s">
        <v>1276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10851</v>
      </c>
      <c r="BV2525" s="2" t="s">
        <v>231</v>
      </c>
      <c r="BW2525" s="2" t="s">
        <v>231</v>
      </c>
      <c r="BX2525" s="2" t="s">
        <v>241</v>
      </c>
      <c r="BY2525" s="2" t="s">
        <v>277</v>
      </c>
      <c r="BZ2525" s="2" t="s">
        <v>243</v>
      </c>
      <c r="CA2525" s="2" t="s">
        <v>8529</v>
      </c>
      <c r="CB2525" s="2" t="s">
        <v>10852</v>
      </c>
      <c r="CC2525" s="2" t="s">
        <v>244</v>
      </c>
      <c r="CD2525" s="2" t="s">
        <v>231</v>
      </c>
      <c r="CE2525" s="4">
        <v>84</v>
      </c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/>
      <c r="FN2525" s="4"/>
      <c r="FO2525" s="4"/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/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/>
      <c r="GV2525" s="4"/>
      <c r="GW2525" s="4"/>
      <c r="GX2525" s="4"/>
      <c r="GY2525" s="4"/>
      <c r="GZ2525" s="4"/>
      <c r="HA2525" s="4"/>
      <c r="HB2525" s="4"/>
      <c r="HC2525" s="4"/>
      <c r="HD2525" s="4"/>
      <c r="HE2525" s="4"/>
      <c r="HF2525" s="4"/>
      <c r="HG2525" s="4"/>
      <c r="HH2525" s="4"/>
      <c r="HI2525" s="4"/>
      <c r="HJ2525" s="4"/>
      <c r="HK2525" s="4"/>
      <c r="HL2525" s="4"/>
    </row>
    <row r="2526">
      <c r="A2526" s="2" t="s">
        <v>10853</v>
      </c>
      <c r="B2526" s="2" t="s">
        <v>1186</v>
      </c>
      <c r="C2526" s="2" t="s">
        <v>815</v>
      </c>
      <c r="D2526" s="2" t="s">
        <v>826</v>
      </c>
      <c r="E2526" s="2" t="s">
        <v>1060</v>
      </c>
      <c r="F2526" s="2" t="s">
        <v>10854</v>
      </c>
      <c r="G2526" s="2" t="s">
        <v>10854</v>
      </c>
      <c r="H2526" s="2" t="s">
        <v>10854</v>
      </c>
      <c r="I2526" s="2" t="s">
        <v>10855</v>
      </c>
      <c r="J2526" s="2" t="s">
        <v>658</v>
      </c>
      <c r="K2526" s="2" t="s">
        <v>10856</v>
      </c>
      <c r="L2526" s="3">
        <v>44.16</v>
      </c>
      <c r="M2526" s="3">
        <v>46.37</v>
      </c>
      <c r="N2526" s="3">
        <v>84.99</v>
      </c>
      <c r="O2526" s="2" t="s">
        <v>243</v>
      </c>
      <c r="P2526" s="2" t="s">
        <v>270</v>
      </c>
      <c r="Q2526" s="2" t="s">
        <v>237</v>
      </c>
      <c r="R2526" s="2" t="s">
        <v>231</v>
      </c>
      <c r="S2526" s="2" t="s">
        <v>10857</v>
      </c>
      <c r="T2526" s="2" t="s">
        <v>362</v>
      </c>
      <c r="U2526" s="2" t="s">
        <v>835</v>
      </c>
      <c r="V2526" s="2" t="s">
        <v>987</v>
      </c>
      <c r="W2526" s="2" t="s">
        <v>808</v>
      </c>
      <c r="X2526" s="2" t="s">
        <v>1891</v>
      </c>
      <c r="Y2526" s="2" t="s">
        <v>10858</v>
      </c>
      <c r="Z2526" s="4">
        <v>87</v>
      </c>
      <c r="AA2526" s="4">
        <f>=ROUNDDOWN(14.5,0)</f>
      </c>
      <c r="AB2526" s="5">
        <v>6</v>
      </c>
      <c r="AC2526" s="2" t="s">
        <v>1137</v>
      </c>
      <c r="AD2526" s="4">
        <v>50</v>
      </c>
      <c r="AE2526" s="4">
        <v>165</v>
      </c>
      <c r="AF2526" s="6">
        <v>67</v>
      </c>
      <c r="AG2526" s="6"/>
      <c r="AH2526" s="7">
        <v>1</v>
      </c>
      <c r="AI2526" s="4"/>
      <c r="AJ2526" s="4">
        <f>=ROUNDDOWN({0},0)</f>
      </c>
      <c r="AK2526" s="5"/>
      <c r="AL2526" s="2" t="s">
        <v>231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231</v>
      </c>
      <c r="BD2526" s="8" t="s">
        <v>231</v>
      </c>
      <c r="BE2526" s="4" t="s">
        <v>231</v>
      </c>
      <c r="BF2526" s="8" t="s">
        <v>231</v>
      </c>
      <c r="BG2526" s="7" t="s">
        <v>231</v>
      </c>
      <c r="BH2526" s="7" t="s">
        <v>231</v>
      </c>
      <c r="BI2526" s="7"/>
      <c r="BJ2526" s="4">
        <v>11</v>
      </c>
      <c r="BK2526" s="8">
        <v>492.25</v>
      </c>
      <c r="BL2526" s="2" t="s">
        <v>1291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10859</v>
      </c>
      <c r="BV2526" s="2" t="s">
        <v>231</v>
      </c>
      <c r="BW2526" s="2" t="s">
        <v>231</v>
      </c>
      <c r="BX2526" s="2" t="s">
        <v>231</v>
      </c>
      <c r="BY2526" s="2" t="s">
        <v>277</v>
      </c>
      <c r="BZ2526" s="2" t="s">
        <v>243</v>
      </c>
      <c r="CA2526" s="2" t="s">
        <v>10858</v>
      </c>
      <c r="CB2526" s="2" t="s">
        <v>7249</v>
      </c>
      <c r="CC2526" s="2" t="s">
        <v>244</v>
      </c>
      <c r="CD2526" s="2" t="s">
        <v>231</v>
      </c>
      <c r="CE2526" s="4">
        <v>87</v>
      </c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>
        <v>50</v>
      </c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>
        <v>115</v>
      </c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/>
      <c r="FN2526" s="4"/>
      <c r="FO2526" s="4"/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/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/>
      <c r="GV2526" s="4"/>
      <c r="GW2526" s="4"/>
      <c r="GX2526" s="4"/>
      <c r="GY2526" s="4"/>
      <c r="GZ2526" s="4"/>
      <c r="HA2526" s="4"/>
      <c r="HB2526" s="4"/>
      <c r="HC2526" s="4"/>
      <c r="HD2526" s="4"/>
      <c r="HE2526" s="4"/>
      <c r="HF2526" s="4"/>
      <c r="HG2526" s="4"/>
      <c r="HH2526" s="4"/>
      <c r="HI2526" s="4"/>
      <c r="HJ2526" s="4"/>
      <c r="HK2526" s="4"/>
      <c r="HL2526" s="4"/>
    </row>
    <row r="2527">
      <c r="A2527" s="2" t="s">
        <v>10860</v>
      </c>
      <c r="B2527" s="2" t="s">
        <v>1186</v>
      </c>
      <c r="C2527" s="2" t="s">
        <v>815</v>
      </c>
      <c r="D2527" s="2" t="s">
        <v>654</v>
      </c>
      <c r="E2527" s="2" t="s">
        <v>890</v>
      </c>
      <c r="F2527" s="2" t="s">
        <v>10854</v>
      </c>
      <c r="G2527" s="2" t="s">
        <v>10854</v>
      </c>
      <c r="H2527" s="2" t="s">
        <v>10854</v>
      </c>
      <c r="I2527" s="2" t="s">
        <v>10861</v>
      </c>
      <c r="J2527" s="2" t="s">
        <v>669</v>
      </c>
      <c r="K2527" s="2" t="s">
        <v>7468</v>
      </c>
      <c r="L2527" s="3">
        <v>69</v>
      </c>
      <c r="M2527" s="3">
        <v>72.45</v>
      </c>
      <c r="N2527" s="3">
        <v>134.99</v>
      </c>
      <c r="O2527" s="2" t="s">
        <v>235</v>
      </c>
      <c r="P2527" s="2" t="s">
        <v>341</v>
      </c>
      <c r="Q2527" s="2" t="s">
        <v>237</v>
      </c>
      <c r="R2527" s="2" t="s">
        <v>231</v>
      </c>
      <c r="S2527" s="2" t="s">
        <v>10862</v>
      </c>
      <c r="T2527" s="2" t="s">
        <v>362</v>
      </c>
      <c r="U2527" s="2" t="s">
        <v>835</v>
      </c>
      <c r="V2527" s="2" t="s">
        <v>987</v>
      </c>
      <c r="W2527" s="2" t="s">
        <v>808</v>
      </c>
      <c r="X2527" s="2" t="s">
        <v>1891</v>
      </c>
      <c r="Y2527" s="2" t="s">
        <v>10863</v>
      </c>
      <c r="Z2527" s="4">
        <v>313</v>
      </c>
      <c r="AA2527" s="4">
        <f>=ROUNDDOWN(52.1666666666667,0)</f>
      </c>
      <c r="AB2527" s="5">
        <v>6</v>
      </c>
      <c r="AC2527" s="2" t="s">
        <v>231</v>
      </c>
      <c r="AD2527" s="4"/>
      <c r="AE2527" s="4"/>
      <c r="AF2527" s="6">
        <v>67</v>
      </c>
      <c r="AG2527" s="6"/>
      <c r="AH2527" s="7">
        <v>1</v>
      </c>
      <c r="AI2527" s="4"/>
      <c r="AJ2527" s="4">
        <f>=ROUNDDOWN({0},0)</f>
      </c>
      <c r="AK2527" s="5"/>
      <c r="AL2527" s="2" t="s">
        <v>231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231</v>
      </c>
      <c r="BD2527" s="8" t="s">
        <v>231</v>
      </c>
      <c r="BE2527" s="4" t="s">
        <v>231</v>
      </c>
      <c r="BF2527" s="8" t="s">
        <v>231</v>
      </c>
      <c r="BG2527" s="7" t="s">
        <v>231</v>
      </c>
      <c r="BH2527" s="7" t="s">
        <v>231</v>
      </c>
      <c r="BI2527" s="7"/>
      <c r="BJ2527" s="4">
        <v>36</v>
      </c>
      <c r="BK2527" s="8">
        <v>1951.36</v>
      </c>
      <c r="BL2527" s="2" t="s">
        <v>10864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10865</v>
      </c>
      <c r="BV2527" s="2" t="s">
        <v>231</v>
      </c>
      <c r="BW2527" s="2" t="s">
        <v>231</v>
      </c>
      <c r="BX2527" s="2" t="s">
        <v>231</v>
      </c>
      <c r="BY2527" s="2" t="s">
        <v>277</v>
      </c>
      <c r="BZ2527" s="2" t="s">
        <v>243</v>
      </c>
      <c r="CA2527" s="2" t="s">
        <v>10866</v>
      </c>
      <c r="CB2527" s="2" t="s">
        <v>10867</v>
      </c>
      <c r="CC2527" s="2" t="s">
        <v>244</v>
      </c>
      <c r="CD2527" s="2" t="s">
        <v>231</v>
      </c>
      <c r="CE2527" s="4">
        <v>313</v>
      </c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/>
      <c r="FN2527" s="4"/>
      <c r="FO2527" s="4"/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/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/>
      <c r="GV2527" s="4"/>
      <c r="GW2527" s="4"/>
      <c r="GX2527" s="4"/>
      <c r="GY2527" s="4"/>
      <c r="GZ2527" s="4"/>
      <c r="HA2527" s="4"/>
      <c r="HB2527" s="4"/>
      <c r="HC2527" s="4"/>
      <c r="HD2527" s="4"/>
      <c r="HE2527" s="4"/>
      <c r="HF2527" s="4"/>
      <c r="HG2527" s="4"/>
      <c r="HH2527" s="4"/>
      <c r="HI2527" s="4"/>
      <c r="HJ2527" s="4"/>
      <c r="HK2527" s="4"/>
      <c r="HL2527" s="4"/>
    </row>
    <row r="2528">
      <c r="A2528" s="2" t="s">
        <v>10868</v>
      </c>
      <c r="B2528" s="2" t="s">
        <v>1186</v>
      </c>
      <c r="C2528" s="2" t="s">
        <v>815</v>
      </c>
      <c r="D2528" s="2" t="s">
        <v>1462</v>
      </c>
      <c r="E2528" s="2" t="s">
        <v>2563</v>
      </c>
      <c r="F2528" s="2" t="s">
        <v>10869</v>
      </c>
      <c r="G2528" s="2" t="s">
        <v>10869</v>
      </c>
      <c r="H2528" s="2" t="s">
        <v>10869</v>
      </c>
      <c r="I2528" s="2" t="s">
        <v>9600</v>
      </c>
      <c r="J2528" s="2" t="s">
        <v>669</v>
      </c>
      <c r="K2528" s="2" t="s">
        <v>10870</v>
      </c>
      <c r="L2528" s="3">
        <v>81.19</v>
      </c>
      <c r="M2528" s="3">
        <v>85.25</v>
      </c>
      <c r="N2528" s="3">
        <v>139.99</v>
      </c>
      <c r="O2528" s="2" t="s">
        <v>243</v>
      </c>
      <c r="P2528" s="2" t="s">
        <v>1019</v>
      </c>
      <c r="Q2528" s="2" t="s">
        <v>237</v>
      </c>
      <c r="R2528" s="2" t="s">
        <v>1020</v>
      </c>
      <c r="S2528" s="2" t="s">
        <v>231</v>
      </c>
      <c r="T2528" s="2" t="s">
        <v>231</v>
      </c>
      <c r="U2528" s="2" t="s">
        <v>231</v>
      </c>
      <c r="V2528" s="2" t="s">
        <v>662</v>
      </c>
      <c r="W2528" s="2" t="s">
        <v>231</v>
      </c>
      <c r="X2528" s="2" t="s">
        <v>231</v>
      </c>
      <c r="Y2528" s="2" t="s">
        <v>1455</v>
      </c>
      <c r="Z2528" s="4">
        <v>80</v>
      </c>
      <c r="AA2528" s="4">
        <f>=ROUNDDOWN(13.5593220338983,0)</f>
      </c>
      <c r="AB2528" s="5">
        <v>5.9</v>
      </c>
      <c r="AC2528" s="2" t="s">
        <v>231</v>
      </c>
      <c r="AD2528" s="4"/>
      <c r="AE2528" s="4"/>
      <c r="AF2528" s="6">
        <v>64</v>
      </c>
      <c r="AG2528" s="6"/>
      <c r="AH2528" s="7">
        <v>1</v>
      </c>
      <c r="AI2528" s="4"/>
      <c r="AJ2528" s="4">
        <f>=ROUNDDOWN({0},0)</f>
      </c>
      <c r="AK2528" s="5"/>
      <c r="AL2528" s="2" t="s">
        <v>231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/>
      <c r="BD2528" s="8"/>
      <c r="BE2528" s="4"/>
      <c r="BF2528" s="8"/>
      <c r="BG2528" s="7"/>
      <c r="BH2528" s="7"/>
      <c r="BI2528" s="7"/>
      <c r="BJ2528" s="4">
        <v>28</v>
      </c>
      <c r="BK2528" s="8">
        <v>1794.84</v>
      </c>
      <c r="BL2528" s="2" t="s">
        <v>1022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10871</v>
      </c>
      <c r="BV2528" s="2" t="s">
        <v>231</v>
      </c>
      <c r="BW2528" s="2" t="s">
        <v>231</v>
      </c>
      <c r="BX2528" s="2" t="s">
        <v>241</v>
      </c>
      <c r="BY2528" s="2" t="s">
        <v>277</v>
      </c>
      <c r="BZ2528" s="2" t="s">
        <v>243</v>
      </c>
      <c r="CA2528" s="2" t="s">
        <v>793</v>
      </c>
      <c r="CB2528" s="2" t="s">
        <v>231</v>
      </c>
      <c r="CC2528" s="2" t="s">
        <v>244</v>
      </c>
      <c r="CD2528" s="2" t="s">
        <v>231</v>
      </c>
      <c r="CE2528" s="4">
        <v>80</v>
      </c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/>
      <c r="EP2528" s="4"/>
      <c r="EQ2528" s="4"/>
      <c r="ER2528" s="4"/>
      <c r="ES2528" s="4"/>
      <c r="ET2528" s="4"/>
      <c r="EU2528" s="4"/>
      <c r="EV2528" s="4"/>
      <c r="EW2528" s="4"/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/>
      <c r="FN2528" s="4"/>
      <c r="FO2528" s="4"/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/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/>
      <c r="GV2528" s="4"/>
      <c r="GW2528" s="4"/>
      <c r="GX2528" s="4"/>
      <c r="GY2528" s="4"/>
      <c r="GZ2528" s="4"/>
      <c r="HA2528" s="4"/>
      <c r="HB2528" s="4"/>
      <c r="HC2528" s="4"/>
      <c r="HD2528" s="4"/>
      <c r="HE2528" s="4"/>
      <c r="HF2528" s="4"/>
      <c r="HG2528" s="4"/>
      <c r="HH2528" s="4"/>
      <c r="HI2528" s="4"/>
      <c r="HJ2528" s="4"/>
      <c r="HK2528" s="4"/>
      <c r="HL2528" s="4"/>
    </row>
    <row r="2529">
      <c r="A2529" s="2" t="s">
        <v>10872</v>
      </c>
      <c r="B2529" s="2" t="s">
        <v>1186</v>
      </c>
      <c r="C2529" s="2" t="s">
        <v>288</v>
      </c>
      <c r="D2529" s="2" t="s">
        <v>826</v>
      </c>
      <c r="E2529" s="2" t="s">
        <v>1060</v>
      </c>
      <c r="F2529" s="2" t="s">
        <v>10873</v>
      </c>
      <c r="G2529" s="2" t="s">
        <v>10874</v>
      </c>
      <c r="H2529" s="2" t="s">
        <v>10875</v>
      </c>
      <c r="I2529" s="2" t="s">
        <v>10876</v>
      </c>
      <c r="J2529" s="2" t="s">
        <v>658</v>
      </c>
      <c r="K2529" s="2" t="s">
        <v>10877</v>
      </c>
      <c r="L2529" s="3">
        <v>27.42</v>
      </c>
      <c r="M2529" s="3">
        <v>28.79</v>
      </c>
      <c r="N2529" s="3">
        <v>59.99</v>
      </c>
      <c r="O2529" s="2" t="s">
        <v>243</v>
      </c>
      <c r="P2529" s="2" t="s">
        <v>236</v>
      </c>
      <c r="Q2529" s="2" t="s">
        <v>237</v>
      </c>
      <c r="R2529" s="2" t="s">
        <v>231</v>
      </c>
      <c r="S2529" s="2" t="s">
        <v>10878</v>
      </c>
      <c r="T2529" s="2" t="s">
        <v>362</v>
      </c>
      <c r="U2529" s="2" t="s">
        <v>835</v>
      </c>
      <c r="V2529" s="2" t="s">
        <v>391</v>
      </c>
      <c r="W2529" s="2" t="s">
        <v>896</v>
      </c>
      <c r="X2529" s="2" t="s">
        <v>691</v>
      </c>
      <c r="Y2529" s="2" t="s">
        <v>10879</v>
      </c>
      <c r="Z2529" s="4">
        <v>98</v>
      </c>
      <c r="AA2529" s="4">
        <f>=ROUNDDOWN(32.6666666666667,0)</f>
      </c>
      <c r="AB2529" s="5">
        <v>3</v>
      </c>
      <c r="AC2529" s="2" t="s">
        <v>231</v>
      </c>
      <c r="AD2529" s="4"/>
      <c r="AE2529" s="4"/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231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231</v>
      </c>
      <c r="AW2529" s="8" t="s">
        <v>231</v>
      </c>
      <c r="AX2529" s="4" t="s">
        <v>231</v>
      </c>
      <c r="AY2529" s="8" t="s">
        <v>231</v>
      </c>
      <c r="AZ2529" s="7" t="s">
        <v>231</v>
      </c>
      <c r="BA2529" s="7" t="s">
        <v>231</v>
      </c>
      <c r="BB2529" s="7"/>
      <c r="BC2529" s="4" t="s">
        <v>231</v>
      </c>
      <c r="BD2529" s="8" t="s">
        <v>231</v>
      </c>
      <c r="BE2529" s="4" t="s">
        <v>231</v>
      </c>
      <c r="BF2529" s="8" t="s">
        <v>231</v>
      </c>
      <c r="BG2529" s="7" t="s">
        <v>231</v>
      </c>
      <c r="BH2529" s="7" t="s">
        <v>231</v>
      </c>
      <c r="BI2529" s="7"/>
      <c r="BJ2529" s="4">
        <v>4</v>
      </c>
      <c r="BK2529" s="8">
        <v>122.06</v>
      </c>
      <c r="BL2529" s="2" t="s">
        <v>322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10880</v>
      </c>
      <c r="BV2529" s="2" t="s">
        <v>231</v>
      </c>
      <c r="BW2529" s="2" t="s">
        <v>231</v>
      </c>
      <c r="BX2529" s="2" t="s">
        <v>241</v>
      </c>
      <c r="BY2529" s="2" t="s">
        <v>277</v>
      </c>
      <c r="BZ2529" s="2" t="s">
        <v>243</v>
      </c>
      <c r="CA2529" s="2" t="s">
        <v>6409</v>
      </c>
      <c r="CB2529" s="2" t="s">
        <v>3284</v>
      </c>
      <c r="CC2529" s="2" t="s">
        <v>244</v>
      </c>
      <c r="CD2529" s="2" t="s">
        <v>231</v>
      </c>
      <c r="CE2529" s="4">
        <v>98</v>
      </c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/>
      <c r="EP2529" s="4"/>
      <c r="EQ2529" s="4"/>
      <c r="ER2529" s="4"/>
      <c r="ES2529" s="4"/>
      <c r="ET2529" s="4"/>
      <c r="EU2529" s="4"/>
      <c r="EV2529" s="4"/>
      <c r="EW2529" s="4"/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/>
      <c r="FN2529" s="4"/>
      <c r="FO2529" s="4"/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/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/>
      <c r="GV2529" s="4"/>
      <c r="GW2529" s="4"/>
      <c r="GX2529" s="4"/>
      <c r="GY2529" s="4"/>
      <c r="GZ2529" s="4"/>
      <c r="HA2529" s="4"/>
      <c r="HB2529" s="4"/>
      <c r="HC2529" s="4"/>
      <c r="HD2529" s="4"/>
      <c r="HE2529" s="4"/>
      <c r="HF2529" s="4"/>
      <c r="HG2529" s="4"/>
      <c r="HH2529" s="4"/>
      <c r="HI2529" s="4"/>
      <c r="HJ2529" s="4"/>
      <c r="HK2529" s="4"/>
      <c r="HL2529" s="4"/>
    </row>
    <row r="2530">
      <c r="A2530" s="2" t="s">
        <v>10881</v>
      </c>
      <c r="B2530" s="2" t="s">
        <v>1186</v>
      </c>
      <c r="C2530" s="2" t="s">
        <v>288</v>
      </c>
      <c r="D2530" s="2" t="s">
        <v>826</v>
      </c>
      <c r="E2530" s="2" t="s">
        <v>1060</v>
      </c>
      <c r="F2530" s="2" t="s">
        <v>10873</v>
      </c>
      <c r="G2530" s="2" t="s">
        <v>10874</v>
      </c>
      <c r="H2530" s="2" t="s">
        <v>10875</v>
      </c>
      <c r="I2530" s="2" t="s">
        <v>10876</v>
      </c>
      <c r="J2530" s="2" t="s">
        <v>669</v>
      </c>
      <c r="K2530" s="2" t="s">
        <v>10877</v>
      </c>
      <c r="L2530" s="3">
        <v>32</v>
      </c>
      <c r="M2530" s="3">
        <v>33.6</v>
      </c>
      <c r="N2530" s="3">
        <v>69.99</v>
      </c>
      <c r="O2530" s="2" t="s">
        <v>243</v>
      </c>
      <c r="P2530" s="2" t="s">
        <v>236</v>
      </c>
      <c r="Q2530" s="2" t="s">
        <v>237</v>
      </c>
      <c r="R2530" s="2" t="s">
        <v>231</v>
      </c>
      <c r="S2530" s="2" t="s">
        <v>10878</v>
      </c>
      <c r="T2530" s="2" t="s">
        <v>362</v>
      </c>
      <c r="U2530" s="2" t="s">
        <v>835</v>
      </c>
      <c r="V2530" s="2" t="s">
        <v>391</v>
      </c>
      <c r="W2530" s="2" t="s">
        <v>896</v>
      </c>
      <c r="X2530" s="2" t="s">
        <v>691</v>
      </c>
      <c r="Y2530" s="2" t="s">
        <v>10879</v>
      </c>
      <c r="Z2530" s="4">
        <v>92</v>
      </c>
      <c r="AA2530" s="4">
        <f>=ROUNDDOWN(30.6666666666667,0)</f>
      </c>
      <c r="AB2530" s="5">
        <v>3</v>
      </c>
      <c r="AC2530" s="2" t="s">
        <v>231</v>
      </c>
      <c r="AD2530" s="4"/>
      <c r="AE2530" s="4"/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231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231</v>
      </c>
      <c r="AW2530" s="8" t="s">
        <v>231</v>
      </c>
      <c r="AX2530" s="4" t="s">
        <v>231</v>
      </c>
      <c r="AY2530" s="8" t="s">
        <v>231</v>
      </c>
      <c r="AZ2530" s="7" t="s">
        <v>231</v>
      </c>
      <c r="BA2530" s="7" t="s">
        <v>231</v>
      </c>
      <c r="BB2530" s="7"/>
      <c r="BC2530" s="4" t="s">
        <v>231</v>
      </c>
      <c r="BD2530" s="8" t="s">
        <v>231</v>
      </c>
      <c r="BE2530" s="4" t="s">
        <v>231</v>
      </c>
      <c r="BF2530" s="8" t="s">
        <v>231</v>
      </c>
      <c r="BG2530" s="7" t="s">
        <v>231</v>
      </c>
      <c r="BH2530" s="7" t="s">
        <v>231</v>
      </c>
      <c r="BI2530" s="7"/>
      <c r="BJ2530" s="4">
        <v>5</v>
      </c>
      <c r="BK2530" s="8">
        <v>172.03</v>
      </c>
      <c r="BL2530" s="2" t="s">
        <v>2210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10882</v>
      </c>
      <c r="BV2530" s="2" t="s">
        <v>231</v>
      </c>
      <c r="BW2530" s="2" t="s">
        <v>231</v>
      </c>
      <c r="BX2530" s="2" t="s">
        <v>241</v>
      </c>
      <c r="BY2530" s="2" t="s">
        <v>277</v>
      </c>
      <c r="BZ2530" s="2" t="s">
        <v>243</v>
      </c>
      <c r="CA2530" s="2" t="s">
        <v>6409</v>
      </c>
      <c r="CB2530" s="2" t="s">
        <v>231</v>
      </c>
      <c r="CC2530" s="2" t="s">
        <v>244</v>
      </c>
      <c r="CD2530" s="2" t="s">
        <v>231</v>
      </c>
      <c r="CE2530" s="4">
        <v>92</v>
      </c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/>
      <c r="EP2530" s="4"/>
      <c r="EQ2530" s="4"/>
      <c r="ER2530" s="4"/>
      <c r="ES2530" s="4"/>
      <c r="ET2530" s="4"/>
      <c r="EU2530" s="4"/>
      <c r="EV2530" s="4"/>
      <c r="EW2530" s="4"/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/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/>
      <c r="GV2530" s="4"/>
      <c r="GW2530" s="4"/>
      <c r="GX2530" s="4"/>
      <c r="GY2530" s="4"/>
      <c r="GZ2530" s="4"/>
      <c r="HA2530" s="4"/>
      <c r="HB2530" s="4"/>
      <c r="HC2530" s="4"/>
      <c r="HD2530" s="4"/>
      <c r="HE2530" s="4"/>
      <c r="HF2530" s="4"/>
      <c r="HG2530" s="4"/>
      <c r="HH2530" s="4"/>
      <c r="HI2530" s="4"/>
      <c r="HJ2530" s="4"/>
      <c r="HK2530" s="4"/>
      <c r="HL2530" s="4"/>
    </row>
    <row r="2531">
      <c r="A2531" s="2" t="s">
        <v>10883</v>
      </c>
      <c r="B2531" s="2" t="s">
        <v>226</v>
      </c>
      <c r="C2531" s="2" t="s">
        <v>3948</v>
      </c>
      <c r="D2531" s="2" t="s">
        <v>1549</v>
      </c>
      <c r="E2531" s="2" t="s">
        <v>3949</v>
      </c>
      <c r="F2531" s="2" t="s">
        <v>10884</v>
      </c>
      <c r="G2531" s="2" t="s">
        <v>10884</v>
      </c>
      <c r="H2531" s="2" t="s">
        <v>10884</v>
      </c>
      <c r="I2531" s="2" t="s">
        <v>3951</v>
      </c>
      <c r="J2531" s="2" t="s">
        <v>318</v>
      </c>
      <c r="K2531" s="2" t="s">
        <v>269</v>
      </c>
      <c r="L2531" s="3">
        <v>44.51</v>
      </c>
      <c r="M2531" s="3">
        <v>46.74</v>
      </c>
      <c r="N2531" s="3">
        <v>89.99</v>
      </c>
      <c r="O2531" s="2" t="s">
        <v>235</v>
      </c>
      <c r="P2531" s="2" t="s">
        <v>917</v>
      </c>
      <c r="Q2531" s="2" t="s">
        <v>237</v>
      </c>
      <c r="R2531" s="2" t="s">
        <v>231</v>
      </c>
      <c r="S2531" s="2" t="s">
        <v>231</v>
      </c>
      <c r="T2531" s="2" t="s">
        <v>595</v>
      </c>
      <c r="U2531" s="2" t="s">
        <v>327</v>
      </c>
      <c r="V2531" s="2" t="s">
        <v>239</v>
      </c>
      <c r="W2531" s="2" t="s">
        <v>273</v>
      </c>
      <c r="X2531" s="2" t="s">
        <v>231</v>
      </c>
      <c r="Y2531" s="2" t="s">
        <v>10885</v>
      </c>
      <c r="Z2531" s="4">
        <v>33</v>
      </c>
      <c r="AA2531" s="4">
        <f>=ROUNDDOWN(33,0)</f>
      </c>
      <c r="AB2531" s="5">
        <v>1</v>
      </c>
      <c r="AC2531" s="2" t="s">
        <v>231</v>
      </c>
      <c r="AD2531" s="4"/>
      <c r="AE2531" s="4"/>
      <c r="AF2531" s="6">
        <v>58</v>
      </c>
      <c r="AG2531" s="6"/>
      <c r="AH2531" s="7">
        <v>1</v>
      </c>
      <c r="AI2531" s="4"/>
      <c r="AJ2531" s="4">
        <f>=ROUNDDOWN({0},0)</f>
      </c>
      <c r="AK2531" s="5"/>
      <c r="AL2531" s="2" t="s">
        <v>231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231</v>
      </c>
      <c r="AW2531" s="8" t="s">
        <v>231</v>
      </c>
      <c r="AX2531" s="4" t="s">
        <v>231</v>
      </c>
      <c r="AY2531" s="8" t="s">
        <v>231</v>
      </c>
      <c r="AZ2531" s="7" t="s">
        <v>231</v>
      </c>
      <c r="BA2531" s="7" t="s">
        <v>231</v>
      </c>
      <c r="BB2531" s="7"/>
      <c r="BC2531" s="4" t="s">
        <v>231</v>
      </c>
      <c r="BD2531" s="8" t="s">
        <v>231</v>
      </c>
      <c r="BE2531" s="4" t="s">
        <v>231</v>
      </c>
      <c r="BF2531" s="8" t="s">
        <v>231</v>
      </c>
      <c r="BG2531" s="7" t="s">
        <v>231</v>
      </c>
      <c r="BH2531" s="7" t="s">
        <v>231</v>
      </c>
      <c r="BI2531" s="7"/>
      <c r="BJ2531" s="4">
        <v>8</v>
      </c>
      <c r="BK2531" s="8">
        <v>320.06</v>
      </c>
      <c r="BL2531" s="2" t="s">
        <v>10441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10886</v>
      </c>
      <c r="BV2531" s="2" t="s">
        <v>231</v>
      </c>
      <c r="BW2531" s="2" t="s">
        <v>231</v>
      </c>
      <c r="BX2531" s="2" t="s">
        <v>231</v>
      </c>
      <c r="BY2531" s="2" t="s">
        <v>277</v>
      </c>
      <c r="BZ2531" s="2" t="s">
        <v>243</v>
      </c>
      <c r="CA2531" s="2" t="s">
        <v>8445</v>
      </c>
      <c r="CB2531" s="2" t="s">
        <v>4155</v>
      </c>
      <c r="CC2531" s="2" t="s">
        <v>244</v>
      </c>
      <c r="CD2531" s="2" t="s">
        <v>231</v>
      </c>
      <c r="CE2531" s="4">
        <v>33</v>
      </c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/>
      <c r="EP2531" s="4"/>
      <c r="EQ2531" s="4"/>
      <c r="ER2531" s="4"/>
      <c r="ES2531" s="4"/>
      <c r="ET2531" s="4"/>
      <c r="EU2531" s="4"/>
      <c r="EV2531" s="4"/>
      <c r="EW2531" s="4"/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/>
      <c r="FN2531" s="4"/>
      <c r="FO2531" s="4"/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/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/>
      <c r="GV2531" s="4"/>
      <c r="GW2531" s="4"/>
      <c r="GX2531" s="4"/>
      <c r="GY2531" s="4"/>
      <c r="GZ2531" s="4"/>
      <c r="HA2531" s="4"/>
      <c r="HB2531" s="4"/>
      <c r="HC2531" s="4"/>
      <c r="HD2531" s="4"/>
      <c r="HE2531" s="4"/>
      <c r="HF2531" s="4"/>
      <c r="HG2531" s="4"/>
      <c r="HH2531" s="4"/>
      <c r="HI2531" s="4"/>
      <c r="HJ2531" s="4"/>
      <c r="HK2531" s="4"/>
      <c r="HL2531" s="4"/>
    </row>
    <row r="2532">
      <c r="A2532" s="2" t="s">
        <v>10887</v>
      </c>
      <c r="B2532" s="2" t="s">
        <v>226</v>
      </c>
      <c r="C2532" s="2" t="s">
        <v>3948</v>
      </c>
      <c r="D2532" s="2" t="s">
        <v>1549</v>
      </c>
      <c r="E2532" s="2" t="s">
        <v>3949</v>
      </c>
      <c r="F2532" s="2" t="s">
        <v>10884</v>
      </c>
      <c r="G2532" s="2" t="s">
        <v>10884</v>
      </c>
      <c r="H2532" s="2" t="s">
        <v>10884</v>
      </c>
      <c r="I2532" s="2" t="s">
        <v>3951</v>
      </c>
      <c r="J2532" s="2" t="s">
        <v>281</v>
      </c>
      <c r="K2532" s="2" t="s">
        <v>269</v>
      </c>
      <c r="L2532" s="3">
        <v>50.08</v>
      </c>
      <c r="M2532" s="3">
        <v>52.58</v>
      </c>
      <c r="N2532" s="3">
        <v>99.99</v>
      </c>
      <c r="O2532" s="2" t="s">
        <v>235</v>
      </c>
      <c r="P2532" s="2" t="s">
        <v>917</v>
      </c>
      <c r="Q2532" s="2" t="s">
        <v>237</v>
      </c>
      <c r="R2532" s="2" t="s">
        <v>231</v>
      </c>
      <c r="S2532" s="2" t="s">
        <v>231</v>
      </c>
      <c r="T2532" s="2" t="s">
        <v>595</v>
      </c>
      <c r="U2532" s="2" t="s">
        <v>327</v>
      </c>
      <c r="V2532" s="2" t="s">
        <v>239</v>
      </c>
      <c r="W2532" s="2" t="s">
        <v>273</v>
      </c>
      <c r="X2532" s="2" t="s">
        <v>231</v>
      </c>
      <c r="Y2532" s="2" t="s">
        <v>10885</v>
      </c>
      <c r="Z2532" s="4">
        <v>180</v>
      </c>
      <c r="AA2532" s="4">
        <f>=ROUNDDOWN(180,0)</f>
      </c>
      <c r="AB2532" s="5">
        <v>1</v>
      </c>
      <c r="AC2532" s="2" t="s">
        <v>231</v>
      </c>
      <c r="AD2532" s="4"/>
      <c r="AE2532" s="4"/>
      <c r="AF2532" s="6">
        <v>58</v>
      </c>
      <c r="AG2532" s="6"/>
      <c r="AH2532" s="7">
        <v>1</v>
      </c>
      <c r="AI2532" s="4"/>
      <c r="AJ2532" s="4">
        <f>=ROUNDDOWN({0},0)</f>
      </c>
      <c r="AK2532" s="5"/>
      <c r="AL2532" s="2" t="s">
        <v>231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231</v>
      </c>
      <c r="AW2532" s="8" t="s">
        <v>231</v>
      </c>
      <c r="AX2532" s="4" t="s">
        <v>231</v>
      </c>
      <c r="AY2532" s="8" t="s">
        <v>231</v>
      </c>
      <c r="AZ2532" s="7" t="s">
        <v>231</v>
      </c>
      <c r="BA2532" s="7" t="s">
        <v>231</v>
      </c>
      <c r="BB2532" s="7"/>
      <c r="BC2532" s="4" t="s">
        <v>231</v>
      </c>
      <c r="BD2532" s="8" t="s">
        <v>231</v>
      </c>
      <c r="BE2532" s="4" t="s">
        <v>231</v>
      </c>
      <c r="BF2532" s="8" t="s">
        <v>231</v>
      </c>
      <c r="BG2532" s="7" t="s">
        <v>231</v>
      </c>
      <c r="BH2532" s="7" t="s">
        <v>231</v>
      </c>
      <c r="BI2532" s="7"/>
      <c r="BJ2532" s="4">
        <v>4</v>
      </c>
      <c r="BK2532" s="8">
        <v>150.53</v>
      </c>
      <c r="BL2532" s="2" t="s">
        <v>643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10888</v>
      </c>
      <c r="BV2532" s="2" t="s">
        <v>231</v>
      </c>
      <c r="BW2532" s="2" t="s">
        <v>231</v>
      </c>
      <c r="BX2532" s="2" t="s">
        <v>231</v>
      </c>
      <c r="BY2532" s="2" t="s">
        <v>277</v>
      </c>
      <c r="BZ2532" s="2" t="s">
        <v>243</v>
      </c>
      <c r="CA2532" s="2" t="s">
        <v>8445</v>
      </c>
      <c r="CB2532" s="2" t="s">
        <v>8962</v>
      </c>
      <c r="CC2532" s="2" t="s">
        <v>244</v>
      </c>
      <c r="CD2532" s="2" t="s">
        <v>231</v>
      </c>
      <c r="CE2532" s="4">
        <v>180</v>
      </c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/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/>
      <c r="FN2532" s="4"/>
      <c r="FO2532" s="4"/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/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/>
      <c r="GV2532" s="4"/>
      <c r="GW2532" s="4"/>
      <c r="GX2532" s="4"/>
      <c r="GY2532" s="4"/>
      <c r="GZ2532" s="4"/>
      <c r="HA2532" s="4"/>
      <c r="HB2532" s="4"/>
      <c r="HC2532" s="4"/>
      <c r="HD2532" s="4"/>
      <c r="HE2532" s="4"/>
      <c r="HF2532" s="4"/>
      <c r="HG2532" s="4"/>
      <c r="HH2532" s="4"/>
      <c r="HI2532" s="4"/>
      <c r="HJ2532" s="4"/>
      <c r="HK2532" s="4"/>
      <c r="HL2532" s="4"/>
    </row>
    <row r="2533">
      <c r="A2533" s="2" t="s">
        <v>10889</v>
      </c>
      <c r="B2533" s="2" t="s">
        <v>226</v>
      </c>
      <c r="C2533" s="2" t="s">
        <v>3948</v>
      </c>
      <c r="D2533" s="2" t="s">
        <v>1549</v>
      </c>
      <c r="E2533" s="2" t="s">
        <v>3949</v>
      </c>
      <c r="F2533" s="2" t="s">
        <v>10884</v>
      </c>
      <c r="G2533" s="2" t="s">
        <v>10884</v>
      </c>
      <c r="H2533" s="2" t="s">
        <v>10884</v>
      </c>
      <c r="I2533" s="2" t="s">
        <v>3951</v>
      </c>
      <c r="J2533" s="2" t="s">
        <v>293</v>
      </c>
      <c r="K2533" s="2" t="s">
        <v>269</v>
      </c>
      <c r="L2533" s="3">
        <v>72.34</v>
      </c>
      <c r="M2533" s="3">
        <v>75.96</v>
      </c>
      <c r="N2533" s="3">
        <v>144.99</v>
      </c>
      <c r="O2533" s="2" t="s">
        <v>235</v>
      </c>
      <c r="P2533" s="2" t="s">
        <v>917</v>
      </c>
      <c r="Q2533" s="2" t="s">
        <v>237</v>
      </c>
      <c r="R2533" s="2" t="s">
        <v>231</v>
      </c>
      <c r="S2533" s="2" t="s">
        <v>231</v>
      </c>
      <c r="T2533" s="2" t="s">
        <v>595</v>
      </c>
      <c r="U2533" s="2" t="s">
        <v>327</v>
      </c>
      <c r="V2533" s="2" t="s">
        <v>239</v>
      </c>
      <c r="W2533" s="2" t="s">
        <v>273</v>
      </c>
      <c r="X2533" s="2" t="s">
        <v>231</v>
      </c>
      <c r="Y2533" s="2" t="s">
        <v>10885</v>
      </c>
      <c r="Z2533" s="4">
        <v>49</v>
      </c>
      <c r="AA2533" s="4">
        <f>=ROUNDDOWN(49,0)</f>
      </c>
      <c r="AB2533" s="5">
        <v>1</v>
      </c>
      <c r="AC2533" s="2" t="s">
        <v>231</v>
      </c>
      <c r="AD2533" s="4"/>
      <c r="AE2533" s="4"/>
      <c r="AF2533" s="6">
        <v>58</v>
      </c>
      <c r="AG2533" s="6"/>
      <c r="AH2533" s="7">
        <v>1</v>
      </c>
      <c r="AI2533" s="4"/>
      <c r="AJ2533" s="4">
        <f>=ROUNDDOWN({0},0)</f>
      </c>
      <c r="AK2533" s="5"/>
      <c r="AL2533" s="2" t="s">
        <v>231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231</v>
      </c>
      <c r="AW2533" s="8" t="s">
        <v>231</v>
      </c>
      <c r="AX2533" s="4" t="s">
        <v>231</v>
      </c>
      <c r="AY2533" s="8" t="s">
        <v>231</v>
      </c>
      <c r="AZ2533" s="7" t="s">
        <v>231</v>
      </c>
      <c r="BA2533" s="7" t="s">
        <v>231</v>
      </c>
      <c r="BB2533" s="7"/>
      <c r="BC2533" s="4" t="s">
        <v>231</v>
      </c>
      <c r="BD2533" s="8" t="s">
        <v>231</v>
      </c>
      <c r="BE2533" s="4" t="s">
        <v>231</v>
      </c>
      <c r="BF2533" s="8" t="s">
        <v>231</v>
      </c>
      <c r="BG2533" s="7" t="s">
        <v>231</v>
      </c>
      <c r="BH2533" s="7" t="s">
        <v>231</v>
      </c>
      <c r="BI2533" s="7"/>
      <c r="BJ2533" s="4">
        <v>5</v>
      </c>
      <c r="BK2533" s="8">
        <v>271.18</v>
      </c>
      <c r="BL2533" s="2" t="s">
        <v>8475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10890</v>
      </c>
      <c r="BV2533" s="2" t="s">
        <v>231</v>
      </c>
      <c r="BW2533" s="2" t="s">
        <v>231</v>
      </c>
      <c r="BX2533" s="2" t="s">
        <v>231</v>
      </c>
      <c r="BY2533" s="2" t="s">
        <v>277</v>
      </c>
      <c r="BZ2533" s="2" t="s">
        <v>243</v>
      </c>
      <c r="CA2533" s="2" t="s">
        <v>8445</v>
      </c>
      <c r="CB2533" s="2" t="s">
        <v>3537</v>
      </c>
      <c r="CC2533" s="2" t="s">
        <v>244</v>
      </c>
      <c r="CD2533" s="2" t="s">
        <v>231</v>
      </c>
      <c r="CE2533" s="4">
        <v>49</v>
      </c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/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/>
      <c r="FN2533" s="4"/>
      <c r="FO2533" s="4"/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/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/>
      <c r="GV2533" s="4"/>
      <c r="GW2533" s="4"/>
      <c r="GX2533" s="4"/>
      <c r="GY2533" s="4"/>
      <c r="GZ2533" s="4"/>
      <c r="HA2533" s="4"/>
      <c r="HB2533" s="4"/>
      <c r="HC2533" s="4"/>
      <c r="HD2533" s="4"/>
      <c r="HE2533" s="4"/>
      <c r="HF2533" s="4"/>
      <c r="HG2533" s="4"/>
      <c r="HH2533" s="4"/>
      <c r="HI2533" s="4"/>
      <c r="HJ2533" s="4"/>
      <c r="HK2533" s="4"/>
      <c r="HL2533" s="4"/>
    </row>
    <row r="2534">
      <c r="A2534" s="2" t="s">
        <v>10891</v>
      </c>
      <c r="B2534" s="2" t="s">
        <v>226</v>
      </c>
      <c r="C2534" s="2" t="s">
        <v>3948</v>
      </c>
      <c r="D2534" s="2" t="s">
        <v>1549</v>
      </c>
      <c r="E2534" s="2" t="s">
        <v>3949</v>
      </c>
      <c r="F2534" s="2" t="s">
        <v>10884</v>
      </c>
      <c r="G2534" s="2" t="s">
        <v>10884</v>
      </c>
      <c r="H2534" s="2" t="s">
        <v>10884</v>
      </c>
      <c r="I2534" s="2" t="s">
        <v>3951</v>
      </c>
      <c r="J2534" s="2" t="s">
        <v>318</v>
      </c>
      <c r="K2534" s="2" t="s">
        <v>901</v>
      </c>
      <c r="L2534" s="3">
        <v>44.51</v>
      </c>
      <c r="M2534" s="3">
        <v>46.74</v>
      </c>
      <c r="N2534" s="3">
        <v>89.99</v>
      </c>
      <c r="O2534" s="2" t="s">
        <v>235</v>
      </c>
      <c r="P2534" s="2" t="s">
        <v>917</v>
      </c>
      <c r="Q2534" s="2" t="s">
        <v>237</v>
      </c>
      <c r="R2534" s="2" t="s">
        <v>231</v>
      </c>
      <c r="S2534" s="2" t="s">
        <v>231</v>
      </c>
      <c r="T2534" s="2" t="s">
        <v>595</v>
      </c>
      <c r="U2534" s="2" t="s">
        <v>327</v>
      </c>
      <c r="V2534" s="2" t="s">
        <v>239</v>
      </c>
      <c r="W2534" s="2" t="s">
        <v>273</v>
      </c>
      <c r="X2534" s="2" t="s">
        <v>231</v>
      </c>
      <c r="Y2534" s="2" t="s">
        <v>10885</v>
      </c>
      <c r="Z2534" s="4">
        <v>8</v>
      </c>
      <c r="AA2534" s="4">
        <f>=ROUNDDOWN(8,0)</f>
      </c>
      <c r="AB2534" s="5">
        <v>1</v>
      </c>
      <c r="AC2534" s="2" t="s">
        <v>231</v>
      </c>
      <c r="AD2534" s="4"/>
      <c r="AE2534" s="4"/>
      <c r="AF2534" s="6">
        <v>58</v>
      </c>
      <c r="AG2534" s="6"/>
      <c r="AH2534" s="7">
        <v>1</v>
      </c>
      <c r="AI2534" s="4"/>
      <c r="AJ2534" s="4">
        <f>=ROUNDDOWN({0},0)</f>
      </c>
      <c r="AK2534" s="5"/>
      <c r="AL2534" s="2" t="s">
        <v>231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231</v>
      </c>
      <c r="AW2534" s="8" t="s">
        <v>231</v>
      </c>
      <c r="AX2534" s="4" t="s">
        <v>231</v>
      </c>
      <c r="AY2534" s="8" t="s">
        <v>231</v>
      </c>
      <c r="AZ2534" s="7" t="s">
        <v>231</v>
      </c>
      <c r="BA2534" s="7" t="s">
        <v>231</v>
      </c>
      <c r="BB2534" s="7"/>
      <c r="BC2534" s="4" t="s">
        <v>231</v>
      </c>
      <c r="BD2534" s="8" t="s">
        <v>231</v>
      </c>
      <c r="BE2534" s="4" t="s">
        <v>231</v>
      </c>
      <c r="BF2534" s="8" t="s">
        <v>231</v>
      </c>
      <c r="BG2534" s="7" t="s">
        <v>231</v>
      </c>
      <c r="BH2534" s="7" t="s">
        <v>231</v>
      </c>
      <c r="BI2534" s="7"/>
      <c r="BJ2534" s="4">
        <v>4</v>
      </c>
      <c r="BK2534" s="8">
        <v>147</v>
      </c>
      <c r="BL2534" s="2" t="s">
        <v>1240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10892</v>
      </c>
      <c r="BV2534" s="2" t="s">
        <v>231</v>
      </c>
      <c r="BW2534" s="2" t="s">
        <v>231</v>
      </c>
      <c r="BX2534" s="2" t="s">
        <v>231</v>
      </c>
      <c r="BY2534" s="2" t="s">
        <v>277</v>
      </c>
      <c r="BZ2534" s="2" t="s">
        <v>243</v>
      </c>
      <c r="CA2534" s="2" t="s">
        <v>8445</v>
      </c>
      <c r="CB2534" s="2" t="s">
        <v>4155</v>
      </c>
      <c r="CC2534" s="2" t="s">
        <v>244</v>
      </c>
      <c r="CD2534" s="2" t="s">
        <v>231</v>
      </c>
      <c r="CE2534" s="4">
        <v>8</v>
      </c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  <c r="GZ2534" s="4"/>
      <c r="HA2534" s="4"/>
      <c r="HB2534" s="4"/>
      <c r="HC2534" s="4"/>
      <c r="HD2534" s="4"/>
      <c r="HE2534" s="4"/>
      <c r="HF2534" s="4"/>
      <c r="HG2534" s="4"/>
      <c r="HH2534" s="4"/>
      <c r="HI2534" s="4"/>
      <c r="HJ2534" s="4"/>
      <c r="HK2534" s="4"/>
      <c r="HL2534" s="4"/>
    </row>
    <row r="2535">
      <c r="A2535" s="2" t="s">
        <v>10893</v>
      </c>
      <c r="B2535" s="2" t="s">
        <v>226</v>
      </c>
      <c r="C2535" s="2" t="s">
        <v>3948</v>
      </c>
      <c r="D2535" s="2" t="s">
        <v>1549</v>
      </c>
      <c r="E2535" s="2" t="s">
        <v>3949</v>
      </c>
      <c r="F2535" s="2" t="s">
        <v>10884</v>
      </c>
      <c r="G2535" s="2" t="s">
        <v>10884</v>
      </c>
      <c r="H2535" s="2" t="s">
        <v>10884</v>
      </c>
      <c r="I2535" s="2" t="s">
        <v>3951</v>
      </c>
      <c r="J2535" s="2" t="s">
        <v>293</v>
      </c>
      <c r="K2535" s="2" t="s">
        <v>901</v>
      </c>
      <c r="L2535" s="3">
        <v>72.34</v>
      </c>
      <c r="M2535" s="3">
        <v>75.96</v>
      </c>
      <c r="N2535" s="3">
        <v>144.99</v>
      </c>
      <c r="O2535" s="2" t="s">
        <v>235</v>
      </c>
      <c r="P2535" s="2" t="s">
        <v>917</v>
      </c>
      <c r="Q2535" s="2" t="s">
        <v>237</v>
      </c>
      <c r="R2535" s="2" t="s">
        <v>231</v>
      </c>
      <c r="S2535" s="2" t="s">
        <v>231</v>
      </c>
      <c r="T2535" s="2" t="s">
        <v>595</v>
      </c>
      <c r="U2535" s="2" t="s">
        <v>327</v>
      </c>
      <c r="V2535" s="2" t="s">
        <v>239</v>
      </c>
      <c r="W2535" s="2" t="s">
        <v>273</v>
      </c>
      <c r="X2535" s="2" t="s">
        <v>231</v>
      </c>
      <c r="Y2535" s="2" t="s">
        <v>10885</v>
      </c>
      <c r="Z2535" s="4">
        <v>51</v>
      </c>
      <c r="AA2535" s="4">
        <f>=ROUNDDOWN(51,0)</f>
      </c>
      <c r="AB2535" s="5">
        <v>1</v>
      </c>
      <c r="AC2535" s="2" t="s">
        <v>231</v>
      </c>
      <c r="AD2535" s="4"/>
      <c r="AE2535" s="4"/>
      <c r="AF2535" s="6">
        <v>58</v>
      </c>
      <c r="AG2535" s="6"/>
      <c r="AH2535" s="7">
        <v>1</v>
      </c>
      <c r="AI2535" s="4"/>
      <c r="AJ2535" s="4">
        <f>=ROUNDDOWN({0},0)</f>
      </c>
      <c r="AK2535" s="5"/>
      <c r="AL2535" s="2" t="s">
        <v>231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231</v>
      </c>
      <c r="AW2535" s="8" t="s">
        <v>231</v>
      </c>
      <c r="AX2535" s="4" t="s">
        <v>231</v>
      </c>
      <c r="AY2535" s="8" t="s">
        <v>231</v>
      </c>
      <c r="AZ2535" s="7" t="s">
        <v>231</v>
      </c>
      <c r="BA2535" s="7" t="s">
        <v>231</v>
      </c>
      <c r="BB2535" s="7"/>
      <c r="BC2535" s="4" t="s">
        <v>231</v>
      </c>
      <c r="BD2535" s="8" t="s">
        <v>231</v>
      </c>
      <c r="BE2535" s="4" t="s">
        <v>231</v>
      </c>
      <c r="BF2535" s="8" t="s">
        <v>231</v>
      </c>
      <c r="BG2535" s="7" t="s">
        <v>231</v>
      </c>
      <c r="BH2535" s="7" t="s">
        <v>231</v>
      </c>
      <c r="BI2535" s="7"/>
      <c r="BJ2535" s="4">
        <v>1</v>
      </c>
      <c r="BK2535" s="8">
        <v>51.84</v>
      </c>
      <c r="BL2535" s="2" t="s">
        <v>1423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10894</v>
      </c>
      <c r="BV2535" s="2" t="s">
        <v>231</v>
      </c>
      <c r="BW2535" s="2" t="s">
        <v>231</v>
      </c>
      <c r="BX2535" s="2" t="s">
        <v>231</v>
      </c>
      <c r="BY2535" s="2" t="s">
        <v>277</v>
      </c>
      <c r="BZ2535" s="2" t="s">
        <v>243</v>
      </c>
      <c r="CA2535" s="2" t="s">
        <v>8445</v>
      </c>
      <c r="CB2535" s="2" t="s">
        <v>6028</v>
      </c>
      <c r="CC2535" s="2" t="s">
        <v>244</v>
      </c>
      <c r="CD2535" s="2" t="s">
        <v>231</v>
      </c>
      <c r="CE2535" s="4">
        <v>51</v>
      </c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/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/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/>
      <c r="GV2535" s="4"/>
      <c r="GW2535" s="4"/>
      <c r="GX2535" s="4"/>
      <c r="GY2535" s="4"/>
      <c r="GZ2535" s="4"/>
      <c r="HA2535" s="4"/>
      <c r="HB2535" s="4"/>
      <c r="HC2535" s="4"/>
      <c r="HD2535" s="4"/>
      <c r="HE2535" s="4"/>
      <c r="HF2535" s="4"/>
      <c r="HG2535" s="4"/>
      <c r="HH2535" s="4"/>
      <c r="HI2535" s="4"/>
      <c r="HJ2535" s="4"/>
      <c r="HK2535" s="4"/>
      <c r="HL2535" s="4"/>
    </row>
    <row r="2536">
      <c r="A2536" s="2" t="s">
        <v>10895</v>
      </c>
      <c r="B2536" s="2" t="s">
        <v>226</v>
      </c>
      <c r="C2536" s="2" t="s">
        <v>3948</v>
      </c>
      <c r="D2536" s="2" t="s">
        <v>1549</v>
      </c>
      <c r="E2536" s="2" t="s">
        <v>3949</v>
      </c>
      <c r="F2536" s="2" t="s">
        <v>10884</v>
      </c>
      <c r="G2536" s="2" t="s">
        <v>10884</v>
      </c>
      <c r="H2536" s="2" t="s">
        <v>10884</v>
      </c>
      <c r="I2536" s="2" t="s">
        <v>3951</v>
      </c>
      <c r="J2536" s="2" t="s">
        <v>281</v>
      </c>
      <c r="K2536" s="2" t="s">
        <v>1932</v>
      </c>
      <c r="L2536" s="3">
        <v>50.08</v>
      </c>
      <c r="M2536" s="3">
        <v>52.58</v>
      </c>
      <c r="N2536" s="3">
        <v>99.99</v>
      </c>
      <c r="O2536" s="2" t="s">
        <v>235</v>
      </c>
      <c r="P2536" s="2" t="s">
        <v>917</v>
      </c>
      <c r="Q2536" s="2" t="s">
        <v>237</v>
      </c>
      <c r="R2536" s="2" t="s">
        <v>231</v>
      </c>
      <c r="S2536" s="2" t="s">
        <v>231</v>
      </c>
      <c r="T2536" s="2" t="s">
        <v>595</v>
      </c>
      <c r="U2536" s="2" t="s">
        <v>327</v>
      </c>
      <c r="V2536" s="2" t="s">
        <v>239</v>
      </c>
      <c r="W2536" s="2" t="s">
        <v>273</v>
      </c>
      <c r="X2536" s="2" t="s">
        <v>231</v>
      </c>
      <c r="Y2536" s="2" t="s">
        <v>10885</v>
      </c>
      <c r="Z2536" s="4">
        <v>183</v>
      </c>
      <c r="AA2536" s="4">
        <f>=ROUNDDOWN(107.647058823529,0)</f>
      </c>
      <c r="AB2536" s="5">
        <v>1.7</v>
      </c>
      <c r="AC2536" s="2" t="s">
        <v>231</v>
      </c>
      <c r="AD2536" s="4"/>
      <c r="AE2536" s="4"/>
      <c r="AF2536" s="6">
        <v>58</v>
      </c>
      <c r="AG2536" s="6"/>
      <c r="AH2536" s="7">
        <v>1</v>
      </c>
      <c r="AI2536" s="4"/>
      <c r="AJ2536" s="4">
        <f>=ROUNDDOWN({0},0)</f>
      </c>
      <c r="AK2536" s="5"/>
      <c r="AL2536" s="2" t="s">
        <v>231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231</v>
      </c>
      <c r="AW2536" s="8" t="s">
        <v>231</v>
      </c>
      <c r="AX2536" s="4" t="s">
        <v>231</v>
      </c>
      <c r="AY2536" s="8" t="s">
        <v>231</v>
      </c>
      <c r="AZ2536" s="7" t="s">
        <v>231</v>
      </c>
      <c r="BA2536" s="7" t="s">
        <v>231</v>
      </c>
      <c r="BB2536" s="7"/>
      <c r="BC2536" s="4" t="s">
        <v>231</v>
      </c>
      <c r="BD2536" s="8" t="s">
        <v>231</v>
      </c>
      <c r="BE2536" s="4" t="s">
        <v>231</v>
      </c>
      <c r="BF2536" s="8" t="s">
        <v>231</v>
      </c>
      <c r="BG2536" s="7" t="s">
        <v>231</v>
      </c>
      <c r="BH2536" s="7" t="s">
        <v>231</v>
      </c>
      <c r="BI2536" s="7"/>
      <c r="BJ2536" s="4">
        <v>3</v>
      </c>
      <c r="BK2536" s="8">
        <v>157.38</v>
      </c>
      <c r="BL2536" s="2" t="s">
        <v>465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10896</v>
      </c>
      <c r="BV2536" s="2" t="s">
        <v>231</v>
      </c>
      <c r="BW2536" s="2" t="s">
        <v>231</v>
      </c>
      <c r="BX2536" s="2" t="s">
        <v>231</v>
      </c>
      <c r="BY2536" s="2" t="s">
        <v>277</v>
      </c>
      <c r="BZ2536" s="2" t="s">
        <v>243</v>
      </c>
      <c r="CA2536" s="2" t="s">
        <v>8445</v>
      </c>
      <c r="CB2536" s="2" t="s">
        <v>4155</v>
      </c>
      <c r="CC2536" s="2" t="s">
        <v>244</v>
      </c>
      <c r="CD2536" s="2" t="s">
        <v>231</v>
      </c>
      <c r="CE2536" s="4">
        <v>183</v>
      </c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/>
      <c r="EX2536" s="4"/>
      <c r="EY2536" s="4"/>
      <c r="EZ2536" s="4"/>
      <c r="FA2536" s="4"/>
      <c r="FB2536" s="4"/>
      <c r="FC2536" s="4"/>
      <c r="FD2536" s="4"/>
      <c r="FE2536" s="4"/>
      <c r="FF2536" s="4"/>
      <c r="FG2536" s="4"/>
      <c r="FH2536" s="4"/>
      <c r="FI2536" s="4"/>
      <c r="FJ2536" s="4"/>
      <c r="FK2536" s="4"/>
      <c r="FL2536" s="4"/>
      <c r="FM2536" s="4"/>
      <c r="FN2536" s="4"/>
      <c r="FO2536" s="4"/>
      <c r="FP2536" s="4"/>
      <c r="FQ2536" s="4"/>
      <c r="FR2536" s="4"/>
      <c r="FS2536" s="4"/>
      <c r="FT2536" s="4"/>
      <c r="FU2536" s="4"/>
      <c r="FV2536" s="4"/>
      <c r="FW2536" s="4"/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/>
      <c r="GU2536" s="4"/>
      <c r="GV2536" s="4"/>
      <c r="GW2536" s="4"/>
      <c r="GX2536" s="4"/>
      <c r="GY2536" s="4"/>
      <c r="GZ2536" s="4"/>
      <c r="HA2536" s="4"/>
      <c r="HB2536" s="4"/>
      <c r="HC2536" s="4"/>
      <c r="HD2536" s="4"/>
      <c r="HE2536" s="4"/>
      <c r="HF2536" s="4"/>
      <c r="HG2536" s="4"/>
      <c r="HH2536" s="4"/>
      <c r="HI2536" s="4"/>
      <c r="HJ2536" s="4"/>
      <c r="HK2536" s="4"/>
      <c r="HL2536" s="4"/>
    </row>
    <row r="2537">
      <c r="A2537" s="2" t="s">
        <v>10897</v>
      </c>
      <c r="B2537" s="2" t="s">
        <v>226</v>
      </c>
      <c r="C2537" s="2" t="s">
        <v>3948</v>
      </c>
      <c r="D2537" s="2" t="s">
        <v>1549</v>
      </c>
      <c r="E2537" s="2" t="s">
        <v>3949</v>
      </c>
      <c r="F2537" s="2" t="s">
        <v>10884</v>
      </c>
      <c r="G2537" s="2" t="s">
        <v>10884</v>
      </c>
      <c r="H2537" s="2" t="s">
        <v>10884</v>
      </c>
      <c r="I2537" s="2" t="s">
        <v>3951</v>
      </c>
      <c r="J2537" s="2" t="s">
        <v>293</v>
      </c>
      <c r="K2537" s="2" t="s">
        <v>1932</v>
      </c>
      <c r="L2537" s="3">
        <v>72.34</v>
      </c>
      <c r="M2537" s="3">
        <v>75.96</v>
      </c>
      <c r="N2537" s="3">
        <v>144.99</v>
      </c>
      <c r="O2537" s="2" t="s">
        <v>235</v>
      </c>
      <c r="P2537" s="2" t="s">
        <v>917</v>
      </c>
      <c r="Q2537" s="2" t="s">
        <v>237</v>
      </c>
      <c r="R2537" s="2" t="s">
        <v>231</v>
      </c>
      <c r="S2537" s="2" t="s">
        <v>231</v>
      </c>
      <c r="T2537" s="2" t="s">
        <v>595</v>
      </c>
      <c r="U2537" s="2" t="s">
        <v>327</v>
      </c>
      <c r="V2537" s="2" t="s">
        <v>239</v>
      </c>
      <c r="W2537" s="2" t="s">
        <v>273</v>
      </c>
      <c r="X2537" s="2" t="s">
        <v>231</v>
      </c>
      <c r="Y2537" s="2" t="s">
        <v>10885</v>
      </c>
      <c r="Z2537" s="4">
        <v>93</v>
      </c>
      <c r="AA2537" s="4">
        <f>=ROUNDDOWN(46.5,0)</f>
      </c>
      <c r="AB2537" s="5">
        <v>2</v>
      </c>
      <c r="AC2537" s="2" t="s">
        <v>231</v>
      </c>
      <c r="AD2537" s="4"/>
      <c r="AE2537" s="4"/>
      <c r="AF2537" s="6">
        <v>58</v>
      </c>
      <c r="AG2537" s="6"/>
      <c r="AH2537" s="7">
        <v>1</v>
      </c>
      <c r="AI2537" s="4"/>
      <c r="AJ2537" s="4">
        <f>=ROUNDDOWN({0},0)</f>
      </c>
      <c r="AK2537" s="5"/>
      <c r="AL2537" s="2" t="s">
        <v>231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231</v>
      </c>
      <c r="AW2537" s="8" t="s">
        <v>231</v>
      </c>
      <c r="AX2537" s="4" t="s">
        <v>231</v>
      </c>
      <c r="AY2537" s="8" t="s">
        <v>231</v>
      </c>
      <c r="AZ2537" s="7" t="s">
        <v>231</v>
      </c>
      <c r="BA2537" s="7" t="s">
        <v>231</v>
      </c>
      <c r="BB2537" s="7"/>
      <c r="BC2537" s="4" t="s">
        <v>231</v>
      </c>
      <c r="BD2537" s="8" t="s">
        <v>231</v>
      </c>
      <c r="BE2537" s="4" t="s">
        <v>231</v>
      </c>
      <c r="BF2537" s="8" t="s">
        <v>231</v>
      </c>
      <c r="BG2537" s="7" t="s">
        <v>231</v>
      </c>
      <c r="BH2537" s="7" t="s">
        <v>231</v>
      </c>
      <c r="BI2537" s="7"/>
      <c r="BJ2537" s="4">
        <v>2</v>
      </c>
      <c r="BK2537" s="8">
        <v>101.21</v>
      </c>
      <c r="BL2537" s="2" t="s">
        <v>619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10898</v>
      </c>
      <c r="BV2537" s="2" t="s">
        <v>231</v>
      </c>
      <c r="BW2537" s="2" t="s">
        <v>231</v>
      </c>
      <c r="BX2537" s="2" t="s">
        <v>231</v>
      </c>
      <c r="BY2537" s="2" t="s">
        <v>277</v>
      </c>
      <c r="BZ2537" s="2" t="s">
        <v>243</v>
      </c>
      <c r="CA2537" s="2" t="s">
        <v>8445</v>
      </c>
      <c r="CB2537" s="2" t="s">
        <v>3459</v>
      </c>
      <c r="CC2537" s="2" t="s">
        <v>244</v>
      </c>
      <c r="CD2537" s="2" t="s">
        <v>231</v>
      </c>
      <c r="CE2537" s="4">
        <v>93</v>
      </c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/>
      <c r="FD2537" s="4"/>
      <c r="FE2537" s="4"/>
      <c r="FF2537" s="4"/>
      <c r="FG2537" s="4"/>
      <c r="FH2537" s="4"/>
      <c r="FI2537" s="4"/>
      <c r="FJ2537" s="4"/>
      <c r="FK2537" s="4"/>
      <c r="FL2537" s="4"/>
      <c r="FM2537" s="4"/>
      <c r="FN2537" s="4"/>
      <c r="FO2537" s="4"/>
      <c r="FP2537" s="4"/>
      <c r="FQ2537" s="4"/>
      <c r="FR2537" s="4"/>
      <c r="FS2537" s="4"/>
      <c r="FT2537" s="4"/>
      <c r="FU2537" s="4"/>
      <c r="FV2537" s="4"/>
      <c r="FW2537" s="4"/>
      <c r="FX2537" s="4"/>
      <c r="FY2537" s="4"/>
      <c r="FZ2537" s="4"/>
      <c r="GA2537" s="4"/>
      <c r="GB2537" s="4"/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/>
      <c r="GU2537" s="4"/>
      <c r="GV2537" s="4"/>
      <c r="GW2537" s="4"/>
      <c r="GX2537" s="4"/>
      <c r="GY2537" s="4"/>
      <c r="GZ2537" s="4"/>
      <c r="HA2537" s="4"/>
      <c r="HB2537" s="4"/>
      <c r="HC2537" s="4"/>
      <c r="HD2537" s="4"/>
      <c r="HE2537" s="4"/>
      <c r="HF2537" s="4"/>
      <c r="HG2537" s="4"/>
      <c r="HH2537" s="4"/>
      <c r="HI2537" s="4"/>
      <c r="HJ2537" s="4"/>
      <c r="HK2537" s="4"/>
      <c r="HL2537" s="4"/>
    </row>
    <row r="2538">
      <c r="A2538" s="2" t="s">
        <v>10899</v>
      </c>
      <c r="B2538" s="2" t="s">
        <v>226</v>
      </c>
      <c r="C2538" s="2" t="s">
        <v>3948</v>
      </c>
      <c r="D2538" s="2" t="s">
        <v>1549</v>
      </c>
      <c r="E2538" s="2" t="s">
        <v>3949</v>
      </c>
      <c r="F2538" s="2" t="s">
        <v>10884</v>
      </c>
      <c r="G2538" s="2" t="s">
        <v>10884</v>
      </c>
      <c r="H2538" s="2" t="s">
        <v>10884</v>
      </c>
      <c r="I2538" s="2" t="s">
        <v>3951</v>
      </c>
      <c r="J2538" s="2" t="s">
        <v>318</v>
      </c>
      <c r="K2538" s="2" t="s">
        <v>253</v>
      </c>
      <c r="L2538" s="3">
        <v>44.51</v>
      </c>
      <c r="M2538" s="3">
        <v>46.74</v>
      </c>
      <c r="N2538" s="3">
        <v>89.99</v>
      </c>
      <c r="O2538" s="2" t="s">
        <v>235</v>
      </c>
      <c r="P2538" s="2" t="s">
        <v>917</v>
      </c>
      <c r="Q2538" s="2" t="s">
        <v>237</v>
      </c>
      <c r="R2538" s="2" t="s">
        <v>231</v>
      </c>
      <c r="S2538" s="2" t="s">
        <v>231</v>
      </c>
      <c r="T2538" s="2" t="s">
        <v>595</v>
      </c>
      <c r="U2538" s="2" t="s">
        <v>327</v>
      </c>
      <c r="V2538" s="2" t="s">
        <v>239</v>
      </c>
      <c r="W2538" s="2" t="s">
        <v>273</v>
      </c>
      <c r="X2538" s="2" t="s">
        <v>231</v>
      </c>
      <c r="Y2538" s="2" t="s">
        <v>10885</v>
      </c>
      <c r="Z2538" s="4">
        <v>87</v>
      </c>
      <c r="AA2538" s="4">
        <f>=ROUNDDOWN(19.7727272727273,0)</f>
      </c>
      <c r="AB2538" s="5">
        <v>4.4</v>
      </c>
      <c r="AC2538" s="2" t="s">
        <v>231</v>
      </c>
      <c r="AD2538" s="4"/>
      <c r="AE2538" s="4"/>
      <c r="AF2538" s="6">
        <v>58</v>
      </c>
      <c r="AG2538" s="6"/>
      <c r="AH2538" s="7">
        <v>1</v>
      </c>
      <c r="AI2538" s="4"/>
      <c r="AJ2538" s="4">
        <f>=ROUNDDOWN({0},0)</f>
      </c>
      <c r="AK2538" s="5"/>
      <c r="AL2538" s="2" t="s">
        <v>231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231</v>
      </c>
      <c r="AW2538" s="8" t="s">
        <v>231</v>
      </c>
      <c r="AX2538" s="4" t="s">
        <v>231</v>
      </c>
      <c r="AY2538" s="8" t="s">
        <v>231</v>
      </c>
      <c r="AZ2538" s="7" t="s">
        <v>231</v>
      </c>
      <c r="BA2538" s="7" t="s">
        <v>231</v>
      </c>
      <c r="BB2538" s="7"/>
      <c r="BC2538" s="4" t="s">
        <v>231</v>
      </c>
      <c r="BD2538" s="8" t="s">
        <v>231</v>
      </c>
      <c r="BE2538" s="4" t="s">
        <v>231</v>
      </c>
      <c r="BF2538" s="8" t="s">
        <v>231</v>
      </c>
      <c r="BG2538" s="7" t="s">
        <v>231</v>
      </c>
      <c r="BH2538" s="7" t="s">
        <v>231</v>
      </c>
      <c r="BI2538" s="7"/>
      <c r="BJ2538" s="4">
        <v>4</v>
      </c>
      <c r="BK2538" s="8">
        <v>171.99</v>
      </c>
      <c r="BL2538" s="2" t="s">
        <v>10900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10901</v>
      </c>
      <c r="BV2538" s="2" t="s">
        <v>231</v>
      </c>
      <c r="BW2538" s="2" t="s">
        <v>231</v>
      </c>
      <c r="BX2538" s="2" t="s">
        <v>231</v>
      </c>
      <c r="BY2538" s="2" t="s">
        <v>277</v>
      </c>
      <c r="BZ2538" s="2" t="s">
        <v>243</v>
      </c>
      <c r="CA2538" s="2" t="s">
        <v>8445</v>
      </c>
      <c r="CB2538" s="2" t="s">
        <v>4155</v>
      </c>
      <c r="CC2538" s="2" t="s">
        <v>244</v>
      </c>
      <c r="CD2538" s="2" t="s">
        <v>231</v>
      </c>
      <c r="CE2538" s="4">
        <v>87</v>
      </c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/>
      <c r="HC2538" s="4"/>
      <c r="HD2538" s="4"/>
      <c r="HE2538" s="4"/>
      <c r="HF2538" s="4"/>
      <c r="HG2538" s="4"/>
      <c r="HH2538" s="4"/>
      <c r="HI2538" s="4"/>
      <c r="HJ2538" s="4"/>
      <c r="HK2538" s="4"/>
      <c r="HL2538" s="4"/>
    </row>
    <row r="2539">
      <c r="A2539" s="2" t="s">
        <v>10902</v>
      </c>
      <c r="B2539" s="2" t="s">
        <v>226</v>
      </c>
      <c r="C2539" s="2" t="s">
        <v>3948</v>
      </c>
      <c r="D2539" s="2" t="s">
        <v>1549</v>
      </c>
      <c r="E2539" s="2" t="s">
        <v>3949</v>
      </c>
      <c r="F2539" s="2" t="s">
        <v>10884</v>
      </c>
      <c r="G2539" s="2" t="s">
        <v>10884</v>
      </c>
      <c r="H2539" s="2" t="s">
        <v>10884</v>
      </c>
      <c r="I2539" s="2" t="s">
        <v>3951</v>
      </c>
      <c r="J2539" s="2" t="s">
        <v>281</v>
      </c>
      <c r="K2539" s="2" t="s">
        <v>253</v>
      </c>
      <c r="L2539" s="3">
        <v>50.08</v>
      </c>
      <c r="M2539" s="3">
        <v>52.58</v>
      </c>
      <c r="N2539" s="3">
        <v>99.99</v>
      </c>
      <c r="O2539" s="2" t="s">
        <v>235</v>
      </c>
      <c r="P2539" s="2" t="s">
        <v>917</v>
      </c>
      <c r="Q2539" s="2" t="s">
        <v>237</v>
      </c>
      <c r="R2539" s="2" t="s">
        <v>231</v>
      </c>
      <c r="S2539" s="2" t="s">
        <v>231</v>
      </c>
      <c r="T2539" s="2" t="s">
        <v>595</v>
      </c>
      <c r="U2539" s="2" t="s">
        <v>327</v>
      </c>
      <c r="V2539" s="2" t="s">
        <v>239</v>
      </c>
      <c r="W2539" s="2" t="s">
        <v>273</v>
      </c>
      <c r="X2539" s="2" t="s">
        <v>231</v>
      </c>
      <c r="Y2539" s="2" t="s">
        <v>10885</v>
      </c>
      <c r="Z2539" s="4">
        <v>8</v>
      </c>
      <c r="AA2539" s="4">
        <f>=ROUNDDOWN(2.66666666666667,0)</f>
      </c>
      <c r="AB2539" s="5">
        <v>3</v>
      </c>
      <c r="AC2539" s="2" t="s">
        <v>231</v>
      </c>
      <c r="AD2539" s="4"/>
      <c r="AE2539" s="4"/>
      <c r="AF2539" s="6">
        <v>58</v>
      </c>
      <c r="AG2539" s="6"/>
      <c r="AH2539" s="7">
        <v>1</v>
      </c>
      <c r="AI2539" s="4"/>
      <c r="AJ2539" s="4">
        <f>=ROUNDDOWN({0},0)</f>
      </c>
      <c r="AK2539" s="5"/>
      <c r="AL2539" s="2" t="s">
        <v>231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231</v>
      </c>
      <c r="AW2539" s="8" t="s">
        <v>231</v>
      </c>
      <c r="AX2539" s="4" t="s">
        <v>231</v>
      </c>
      <c r="AY2539" s="8" t="s">
        <v>231</v>
      </c>
      <c r="AZ2539" s="7" t="s">
        <v>231</v>
      </c>
      <c r="BA2539" s="7" t="s">
        <v>231</v>
      </c>
      <c r="BB2539" s="7"/>
      <c r="BC2539" s="4" t="s">
        <v>231</v>
      </c>
      <c r="BD2539" s="8" t="s">
        <v>231</v>
      </c>
      <c r="BE2539" s="4" t="s">
        <v>231</v>
      </c>
      <c r="BF2539" s="8" t="s">
        <v>231</v>
      </c>
      <c r="BG2539" s="7" t="s">
        <v>231</v>
      </c>
      <c r="BH2539" s="7" t="s">
        <v>231</v>
      </c>
      <c r="BI2539" s="7"/>
      <c r="BJ2539" s="4">
        <v>10</v>
      </c>
      <c r="BK2539" s="8">
        <v>422.67</v>
      </c>
      <c r="BL2539" s="2" t="s">
        <v>10441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10903</v>
      </c>
      <c r="BV2539" s="2" t="s">
        <v>231</v>
      </c>
      <c r="BW2539" s="2" t="s">
        <v>231</v>
      </c>
      <c r="BX2539" s="2" t="s">
        <v>231</v>
      </c>
      <c r="BY2539" s="2" t="s">
        <v>277</v>
      </c>
      <c r="BZ2539" s="2" t="s">
        <v>243</v>
      </c>
      <c r="CA2539" s="2" t="s">
        <v>8445</v>
      </c>
      <c r="CB2539" s="2" t="s">
        <v>8962</v>
      </c>
      <c r="CC2539" s="2" t="s">
        <v>244</v>
      </c>
      <c r="CD2539" s="2" t="s">
        <v>231</v>
      </c>
      <c r="CE2539" s="4">
        <v>8</v>
      </c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/>
      <c r="GE2539" s="4"/>
      <c r="GF2539" s="4"/>
      <c r="GG2539" s="4"/>
      <c r="GH2539" s="4"/>
      <c r="GI2539" s="4"/>
      <c r="GJ2539" s="4"/>
      <c r="GK2539" s="4"/>
      <c r="GL2539" s="4"/>
      <c r="GM2539" s="4"/>
      <c r="GN2539" s="4"/>
      <c r="GO2539" s="4"/>
      <c r="GP2539" s="4"/>
      <c r="GQ2539" s="4"/>
      <c r="GR2539" s="4"/>
      <c r="GS2539" s="4"/>
      <c r="GT2539" s="4"/>
      <c r="GU2539" s="4"/>
      <c r="GV2539" s="4"/>
      <c r="GW2539" s="4"/>
      <c r="GX2539" s="4"/>
      <c r="GY2539" s="4"/>
      <c r="GZ2539" s="4"/>
      <c r="HA2539" s="4"/>
      <c r="HB2539" s="4"/>
      <c r="HC2539" s="4"/>
      <c r="HD2539" s="4"/>
      <c r="HE2539" s="4"/>
      <c r="HF2539" s="4"/>
      <c r="HG2539" s="4"/>
      <c r="HH2539" s="4"/>
      <c r="HI2539" s="4"/>
      <c r="HJ2539" s="4"/>
      <c r="HK2539" s="4"/>
      <c r="HL2539" s="4"/>
    </row>
    <row r="2540">
      <c r="A2540" s="2" t="s">
        <v>10904</v>
      </c>
      <c r="B2540" s="2" t="s">
        <v>226</v>
      </c>
      <c r="C2540" s="2" t="s">
        <v>3948</v>
      </c>
      <c r="D2540" s="2" t="s">
        <v>1549</v>
      </c>
      <c r="E2540" s="2" t="s">
        <v>3949</v>
      </c>
      <c r="F2540" s="2" t="s">
        <v>10884</v>
      </c>
      <c r="G2540" s="2" t="s">
        <v>10884</v>
      </c>
      <c r="H2540" s="2" t="s">
        <v>10884</v>
      </c>
      <c r="I2540" s="2" t="s">
        <v>3951</v>
      </c>
      <c r="J2540" s="2" t="s">
        <v>293</v>
      </c>
      <c r="K2540" s="2" t="s">
        <v>253</v>
      </c>
      <c r="L2540" s="3">
        <v>72.34</v>
      </c>
      <c r="M2540" s="3">
        <v>75.96</v>
      </c>
      <c r="N2540" s="3">
        <v>144.99</v>
      </c>
      <c r="O2540" s="2" t="s">
        <v>235</v>
      </c>
      <c r="P2540" s="2" t="s">
        <v>917</v>
      </c>
      <c r="Q2540" s="2" t="s">
        <v>237</v>
      </c>
      <c r="R2540" s="2" t="s">
        <v>231</v>
      </c>
      <c r="S2540" s="2" t="s">
        <v>231</v>
      </c>
      <c r="T2540" s="2" t="s">
        <v>595</v>
      </c>
      <c r="U2540" s="2" t="s">
        <v>327</v>
      </c>
      <c r="V2540" s="2" t="s">
        <v>239</v>
      </c>
      <c r="W2540" s="2" t="s">
        <v>273</v>
      </c>
      <c r="X2540" s="2" t="s">
        <v>231</v>
      </c>
      <c r="Y2540" s="2" t="s">
        <v>10885</v>
      </c>
      <c r="Z2540" s="4">
        <v>413</v>
      </c>
      <c r="AA2540" s="4">
        <f>=ROUNDDOWN(413,0)</f>
      </c>
      <c r="AB2540" s="5">
        <v>1</v>
      </c>
      <c r="AC2540" s="2" t="s">
        <v>231</v>
      </c>
      <c r="AD2540" s="4"/>
      <c r="AE2540" s="4"/>
      <c r="AF2540" s="6">
        <v>58</v>
      </c>
      <c r="AG2540" s="6"/>
      <c r="AH2540" s="7">
        <v>1</v>
      </c>
      <c r="AI2540" s="4"/>
      <c r="AJ2540" s="4">
        <f>=ROUNDDOWN({0},0)</f>
      </c>
      <c r="AK2540" s="5"/>
      <c r="AL2540" s="2" t="s">
        <v>231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231</v>
      </c>
      <c r="AW2540" s="8" t="s">
        <v>231</v>
      </c>
      <c r="AX2540" s="4" t="s">
        <v>231</v>
      </c>
      <c r="AY2540" s="8" t="s">
        <v>231</v>
      </c>
      <c r="AZ2540" s="7" t="s">
        <v>231</v>
      </c>
      <c r="BA2540" s="7" t="s">
        <v>231</v>
      </c>
      <c r="BB2540" s="7"/>
      <c r="BC2540" s="4" t="s">
        <v>231</v>
      </c>
      <c r="BD2540" s="8" t="s">
        <v>231</v>
      </c>
      <c r="BE2540" s="4" t="s">
        <v>231</v>
      </c>
      <c r="BF2540" s="8" t="s">
        <v>231</v>
      </c>
      <c r="BG2540" s="7" t="s">
        <v>231</v>
      </c>
      <c r="BH2540" s="7" t="s">
        <v>231</v>
      </c>
      <c r="BI2540" s="7"/>
      <c r="BJ2540" s="4">
        <v>6</v>
      </c>
      <c r="BK2540" s="8">
        <v>331.2</v>
      </c>
      <c r="BL2540" s="2" t="s">
        <v>619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10905</v>
      </c>
      <c r="BV2540" s="2" t="s">
        <v>231</v>
      </c>
      <c r="BW2540" s="2" t="s">
        <v>231</v>
      </c>
      <c r="BX2540" s="2" t="s">
        <v>231</v>
      </c>
      <c r="BY2540" s="2" t="s">
        <v>277</v>
      </c>
      <c r="BZ2540" s="2" t="s">
        <v>243</v>
      </c>
      <c r="CA2540" s="2" t="s">
        <v>8445</v>
      </c>
      <c r="CB2540" s="2" t="s">
        <v>1371</v>
      </c>
      <c r="CC2540" s="2" t="s">
        <v>244</v>
      </c>
      <c r="CD2540" s="2" t="s">
        <v>231</v>
      </c>
      <c r="CE2540" s="4">
        <v>413</v>
      </c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4"/>
      <c r="GZ2540" s="4"/>
      <c r="HA2540" s="4"/>
      <c r="HB2540" s="4"/>
      <c r="HC2540" s="4"/>
      <c r="HD2540" s="4"/>
      <c r="HE2540" s="4"/>
      <c r="HF2540" s="4"/>
      <c r="HG2540" s="4"/>
      <c r="HH2540" s="4"/>
      <c r="HI2540" s="4"/>
      <c r="HJ2540" s="4"/>
      <c r="HK2540" s="4"/>
      <c r="HL2540" s="4"/>
    </row>
    <row r="2541">
      <c r="A2541" s="2" t="s">
        <v>10906</v>
      </c>
      <c r="B2541" s="2" t="s">
        <v>226</v>
      </c>
      <c r="C2541" s="2" t="s">
        <v>3948</v>
      </c>
      <c r="D2541" s="2" t="s">
        <v>1549</v>
      </c>
      <c r="E2541" s="2" t="s">
        <v>3949</v>
      </c>
      <c r="F2541" s="2" t="s">
        <v>10884</v>
      </c>
      <c r="G2541" s="2" t="s">
        <v>10884</v>
      </c>
      <c r="H2541" s="2" t="s">
        <v>10884</v>
      </c>
      <c r="I2541" s="2" t="s">
        <v>3951</v>
      </c>
      <c r="J2541" s="2" t="s">
        <v>318</v>
      </c>
      <c r="K2541" s="2" t="s">
        <v>306</v>
      </c>
      <c r="L2541" s="3">
        <v>44.51</v>
      </c>
      <c r="M2541" s="3">
        <v>46.74</v>
      </c>
      <c r="N2541" s="3">
        <v>89.99</v>
      </c>
      <c r="O2541" s="2" t="s">
        <v>235</v>
      </c>
      <c r="P2541" s="2" t="s">
        <v>917</v>
      </c>
      <c r="Q2541" s="2" t="s">
        <v>237</v>
      </c>
      <c r="R2541" s="2" t="s">
        <v>231</v>
      </c>
      <c r="S2541" s="2" t="s">
        <v>231</v>
      </c>
      <c r="T2541" s="2" t="s">
        <v>595</v>
      </c>
      <c r="U2541" s="2" t="s">
        <v>327</v>
      </c>
      <c r="V2541" s="2" t="s">
        <v>239</v>
      </c>
      <c r="W2541" s="2" t="s">
        <v>273</v>
      </c>
      <c r="X2541" s="2" t="s">
        <v>231</v>
      </c>
      <c r="Y2541" s="2" t="s">
        <v>6009</v>
      </c>
      <c r="Z2541" s="4">
        <v>134</v>
      </c>
      <c r="AA2541" s="4">
        <f>=ROUNDDOWN(46.2068965517241,0)</f>
      </c>
      <c r="AB2541" s="5">
        <v>2.9</v>
      </c>
      <c r="AC2541" s="2" t="s">
        <v>231</v>
      </c>
      <c r="AD2541" s="4"/>
      <c r="AE2541" s="4"/>
      <c r="AF2541" s="6">
        <v>58</v>
      </c>
      <c r="AG2541" s="6"/>
      <c r="AH2541" s="7">
        <v>1</v>
      </c>
      <c r="AI2541" s="4"/>
      <c r="AJ2541" s="4">
        <f>=ROUNDDOWN({0},0)</f>
      </c>
      <c r="AK2541" s="5"/>
      <c r="AL2541" s="2" t="s">
        <v>231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231</v>
      </c>
      <c r="AW2541" s="8" t="s">
        <v>231</v>
      </c>
      <c r="AX2541" s="4" t="s">
        <v>231</v>
      </c>
      <c r="AY2541" s="8" t="s">
        <v>231</v>
      </c>
      <c r="AZ2541" s="7" t="s">
        <v>231</v>
      </c>
      <c r="BA2541" s="7" t="s">
        <v>231</v>
      </c>
      <c r="BB2541" s="7"/>
      <c r="BC2541" s="4" t="s">
        <v>231</v>
      </c>
      <c r="BD2541" s="8" t="s">
        <v>231</v>
      </c>
      <c r="BE2541" s="4" t="s">
        <v>231</v>
      </c>
      <c r="BF2541" s="8" t="s">
        <v>231</v>
      </c>
      <c r="BG2541" s="7" t="s">
        <v>231</v>
      </c>
      <c r="BH2541" s="7" t="s">
        <v>231</v>
      </c>
      <c r="BI2541" s="7"/>
      <c r="BJ2541" s="4">
        <v>4</v>
      </c>
      <c r="BK2541" s="8">
        <v>140.8</v>
      </c>
      <c r="BL2541" s="2" t="s">
        <v>10907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10908</v>
      </c>
      <c r="BV2541" s="2" t="s">
        <v>231</v>
      </c>
      <c r="BW2541" s="2" t="s">
        <v>231</v>
      </c>
      <c r="BX2541" s="2" t="s">
        <v>231</v>
      </c>
      <c r="BY2541" s="2" t="s">
        <v>277</v>
      </c>
      <c r="BZ2541" s="2" t="s">
        <v>243</v>
      </c>
      <c r="CA2541" s="2" t="s">
        <v>8445</v>
      </c>
      <c r="CB2541" s="2" t="s">
        <v>4155</v>
      </c>
      <c r="CC2541" s="2" t="s">
        <v>244</v>
      </c>
      <c r="CD2541" s="2" t="s">
        <v>231</v>
      </c>
      <c r="CE2541" s="4">
        <v>134</v>
      </c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/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/>
      <c r="GE2541" s="4"/>
      <c r="GF2541" s="4"/>
      <c r="GG2541" s="4"/>
      <c r="GH2541" s="4"/>
      <c r="GI2541" s="4"/>
      <c r="GJ2541" s="4"/>
      <c r="GK2541" s="4"/>
      <c r="GL2541" s="4"/>
      <c r="GM2541" s="4"/>
      <c r="GN2541" s="4"/>
      <c r="GO2541" s="4"/>
      <c r="GP2541" s="4"/>
      <c r="GQ2541" s="4"/>
      <c r="GR2541" s="4"/>
      <c r="GS2541" s="4"/>
      <c r="GT2541" s="4"/>
      <c r="GU2541" s="4"/>
      <c r="GV2541" s="4"/>
      <c r="GW2541" s="4"/>
      <c r="GX2541" s="4"/>
      <c r="GY2541" s="4"/>
      <c r="GZ2541" s="4"/>
      <c r="HA2541" s="4"/>
      <c r="HB2541" s="4"/>
      <c r="HC2541" s="4"/>
      <c r="HD2541" s="4"/>
      <c r="HE2541" s="4"/>
      <c r="HF2541" s="4"/>
      <c r="HG2541" s="4"/>
      <c r="HH2541" s="4"/>
      <c r="HI2541" s="4"/>
      <c r="HJ2541" s="4"/>
      <c r="HK2541" s="4"/>
      <c r="HL2541" s="4"/>
    </row>
    <row r="2542">
      <c r="A2542" s="2" t="s">
        <v>10909</v>
      </c>
      <c r="B2542" s="2" t="s">
        <v>226</v>
      </c>
      <c r="C2542" s="2" t="s">
        <v>3948</v>
      </c>
      <c r="D2542" s="2" t="s">
        <v>1549</v>
      </c>
      <c r="E2542" s="2" t="s">
        <v>3949</v>
      </c>
      <c r="F2542" s="2" t="s">
        <v>10884</v>
      </c>
      <c r="G2542" s="2" t="s">
        <v>10884</v>
      </c>
      <c r="H2542" s="2" t="s">
        <v>10884</v>
      </c>
      <c r="I2542" s="2" t="s">
        <v>3951</v>
      </c>
      <c r="J2542" s="2" t="s">
        <v>281</v>
      </c>
      <c r="K2542" s="2" t="s">
        <v>306</v>
      </c>
      <c r="L2542" s="3">
        <v>50.08</v>
      </c>
      <c r="M2542" s="3">
        <v>52.58</v>
      </c>
      <c r="N2542" s="3">
        <v>99.99</v>
      </c>
      <c r="O2542" s="2" t="s">
        <v>235</v>
      </c>
      <c r="P2542" s="2" t="s">
        <v>917</v>
      </c>
      <c r="Q2542" s="2" t="s">
        <v>237</v>
      </c>
      <c r="R2542" s="2" t="s">
        <v>231</v>
      </c>
      <c r="S2542" s="2" t="s">
        <v>231</v>
      </c>
      <c r="T2542" s="2" t="s">
        <v>595</v>
      </c>
      <c r="U2542" s="2" t="s">
        <v>327</v>
      </c>
      <c r="V2542" s="2" t="s">
        <v>239</v>
      </c>
      <c r="W2542" s="2" t="s">
        <v>273</v>
      </c>
      <c r="X2542" s="2" t="s">
        <v>231</v>
      </c>
      <c r="Y2542" s="2" t="s">
        <v>6009</v>
      </c>
      <c r="Z2542" s="4">
        <v>29</v>
      </c>
      <c r="AA2542" s="4">
        <f>=ROUNDDOWN(9.66666666666667,0)</f>
      </c>
      <c r="AB2542" s="5">
        <v>3</v>
      </c>
      <c r="AC2542" s="2" t="s">
        <v>231</v>
      </c>
      <c r="AD2542" s="4"/>
      <c r="AE2542" s="4"/>
      <c r="AF2542" s="6">
        <v>58</v>
      </c>
      <c r="AG2542" s="6"/>
      <c r="AH2542" s="7">
        <v>1</v>
      </c>
      <c r="AI2542" s="4"/>
      <c r="AJ2542" s="4">
        <f>=ROUNDDOWN({0},0)</f>
      </c>
      <c r="AK2542" s="5"/>
      <c r="AL2542" s="2" t="s">
        <v>231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231</v>
      </c>
      <c r="AW2542" s="8" t="s">
        <v>231</v>
      </c>
      <c r="AX2542" s="4" t="s">
        <v>231</v>
      </c>
      <c r="AY2542" s="8" t="s">
        <v>231</v>
      </c>
      <c r="AZ2542" s="7" t="s">
        <v>231</v>
      </c>
      <c r="BA2542" s="7" t="s">
        <v>231</v>
      </c>
      <c r="BB2542" s="7"/>
      <c r="BC2542" s="4" t="s">
        <v>231</v>
      </c>
      <c r="BD2542" s="8" t="s">
        <v>231</v>
      </c>
      <c r="BE2542" s="4" t="s">
        <v>231</v>
      </c>
      <c r="BF2542" s="8" t="s">
        <v>231</v>
      </c>
      <c r="BG2542" s="7" t="s">
        <v>231</v>
      </c>
      <c r="BH2542" s="7" t="s">
        <v>231</v>
      </c>
      <c r="BI2542" s="7"/>
      <c r="BJ2542" s="4">
        <v>8</v>
      </c>
      <c r="BK2542" s="8">
        <v>295.09</v>
      </c>
      <c r="BL2542" s="2" t="s">
        <v>10910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10911</v>
      </c>
      <c r="BV2542" s="2" t="s">
        <v>231</v>
      </c>
      <c r="BW2542" s="2" t="s">
        <v>231</v>
      </c>
      <c r="BX2542" s="2" t="s">
        <v>231</v>
      </c>
      <c r="BY2542" s="2" t="s">
        <v>277</v>
      </c>
      <c r="BZ2542" s="2" t="s">
        <v>243</v>
      </c>
      <c r="CA2542" s="2" t="s">
        <v>8445</v>
      </c>
      <c r="CB2542" s="2" t="s">
        <v>4155</v>
      </c>
      <c r="CC2542" s="2" t="s">
        <v>244</v>
      </c>
      <c r="CD2542" s="2" t="s">
        <v>231</v>
      </c>
      <c r="CE2542" s="4">
        <v>29</v>
      </c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/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/>
      <c r="FV2542" s="4"/>
      <c r="FW2542" s="4"/>
      <c r="FX2542" s="4"/>
      <c r="FY2542" s="4"/>
      <c r="FZ2542" s="4"/>
      <c r="GA2542" s="4"/>
      <c r="GB2542" s="4"/>
      <c r="GC2542" s="4"/>
      <c r="GD2542" s="4"/>
      <c r="GE2542" s="4"/>
      <c r="GF2542" s="4"/>
      <c r="GG2542" s="4"/>
      <c r="GH2542" s="4"/>
      <c r="GI2542" s="4"/>
      <c r="GJ2542" s="4"/>
      <c r="GK2542" s="4"/>
      <c r="GL2542" s="4"/>
      <c r="GM2542" s="4"/>
      <c r="GN2542" s="4"/>
      <c r="GO2542" s="4"/>
      <c r="GP2542" s="4"/>
      <c r="GQ2542" s="4"/>
      <c r="GR2542" s="4"/>
      <c r="GS2542" s="4"/>
      <c r="GT2542" s="4"/>
      <c r="GU2542" s="4"/>
      <c r="GV2542" s="4"/>
      <c r="GW2542" s="4"/>
      <c r="GX2542" s="4"/>
      <c r="GY2542" s="4"/>
      <c r="GZ2542" s="4"/>
      <c r="HA2542" s="4"/>
      <c r="HB2542" s="4"/>
      <c r="HC2542" s="4"/>
      <c r="HD2542" s="4"/>
      <c r="HE2542" s="4"/>
      <c r="HF2542" s="4"/>
      <c r="HG2542" s="4"/>
      <c r="HH2542" s="4"/>
      <c r="HI2542" s="4"/>
      <c r="HJ2542" s="4"/>
      <c r="HK2542" s="4"/>
      <c r="HL2542" s="4"/>
    </row>
    <row r="2543">
      <c r="A2543" s="2" t="s">
        <v>10912</v>
      </c>
      <c r="B2543" s="2" t="s">
        <v>226</v>
      </c>
      <c r="C2543" s="2" t="s">
        <v>3948</v>
      </c>
      <c r="D2543" s="2" t="s">
        <v>1549</v>
      </c>
      <c r="E2543" s="2" t="s">
        <v>3949</v>
      </c>
      <c r="F2543" s="2" t="s">
        <v>10884</v>
      </c>
      <c r="G2543" s="2" t="s">
        <v>10884</v>
      </c>
      <c r="H2543" s="2" t="s">
        <v>10884</v>
      </c>
      <c r="I2543" s="2" t="s">
        <v>3951</v>
      </c>
      <c r="J2543" s="2" t="s">
        <v>302</v>
      </c>
      <c r="K2543" s="2" t="s">
        <v>306</v>
      </c>
      <c r="L2543" s="3">
        <v>77.9</v>
      </c>
      <c r="M2543" s="3">
        <v>81.8</v>
      </c>
      <c r="N2543" s="3">
        <v>154.99</v>
      </c>
      <c r="O2543" s="2" t="s">
        <v>235</v>
      </c>
      <c r="P2543" s="2" t="s">
        <v>917</v>
      </c>
      <c r="Q2543" s="2" t="s">
        <v>237</v>
      </c>
      <c r="R2543" s="2" t="s">
        <v>231</v>
      </c>
      <c r="S2543" s="2" t="s">
        <v>231</v>
      </c>
      <c r="T2543" s="2" t="s">
        <v>595</v>
      </c>
      <c r="U2543" s="2" t="s">
        <v>327</v>
      </c>
      <c r="V2543" s="2" t="s">
        <v>239</v>
      </c>
      <c r="W2543" s="2" t="s">
        <v>273</v>
      </c>
      <c r="X2543" s="2" t="s">
        <v>231</v>
      </c>
      <c r="Y2543" s="2" t="s">
        <v>2246</v>
      </c>
      <c r="Z2543" s="4">
        <v>110</v>
      </c>
      <c r="AA2543" s="4">
        <f>=ROUNDDOWN(55,0)</f>
      </c>
      <c r="AB2543" s="5">
        <v>2</v>
      </c>
      <c r="AC2543" s="2" t="s">
        <v>231</v>
      </c>
      <c r="AD2543" s="4"/>
      <c r="AE2543" s="4"/>
      <c r="AF2543" s="6">
        <v>58</v>
      </c>
      <c r="AG2543" s="6"/>
      <c r="AH2543" s="7">
        <v>1</v>
      </c>
      <c r="AI2543" s="4"/>
      <c r="AJ2543" s="4">
        <f>=ROUNDDOWN({0},0)</f>
      </c>
      <c r="AK2543" s="5"/>
      <c r="AL2543" s="2" t="s">
        <v>231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231</v>
      </c>
      <c r="AW2543" s="8" t="s">
        <v>231</v>
      </c>
      <c r="AX2543" s="4" t="s">
        <v>231</v>
      </c>
      <c r="AY2543" s="8" t="s">
        <v>231</v>
      </c>
      <c r="AZ2543" s="7" t="s">
        <v>231</v>
      </c>
      <c r="BA2543" s="7" t="s">
        <v>231</v>
      </c>
      <c r="BB2543" s="7"/>
      <c r="BC2543" s="4" t="s">
        <v>231</v>
      </c>
      <c r="BD2543" s="8" t="s">
        <v>231</v>
      </c>
      <c r="BE2543" s="4" t="s">
        <v>231</v>
      </c>
      <c r="BF2543" s="8" t="s">
        <v>231</v>
      </c>
      <c r="BG2543" s="7" t="s">
        <v>231</v>
      </c>
      <c r="BH2543" s="7" t="s">
        <v>231</v>
      </c>
      <c r="BI2543" s="7"/>
      <c r="BJ2543" s="4">
        <v>13</v>
      </c>
      <c r="BK2543" s="8">
        <v>660.28</v>
      </c>
      <c r="BL2543" s="2" t="s">
        <v>587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10913</v>
      </c>
      <c r="BV2543" s="2" t="s">
        <v>231</v>
      </c>
      <c r="BW2543" s="2" t="s">
        <v>231</v>
      </c>
      <c r="BX2543" s="2" t="s">
        <v>231</v>
      </c>
      <c r="BY2543" s="2" t="s">
        <v>277</v>
      </c>
      <c r="BZ2543" s="2" t="s">
        <v>243</v>
      </c>
      <c r="CA2543" s="2" t="s">
        <v>8445</v>
      </c>
      <c r="CB2543" s="2" t="s">
        <v>8852</v>
      </c>
      <c r="CC2543" s="2" t="s">
        <v>244</v>
      </c>
      <c r="CD2543" s="2" t="s">
        <v>231</v>
      </c>
      <c r="CE2543" s="4">
        <v>110</v>
      </c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/>
      <c r="GE2543" s="4"/>
      <c r="GF2543" s="4"/>
      <c r="GG2543" s="4"/>
      <c r="GH2543" s="4"/>
      <c r="GI2543" s="4"/>
      <c r="GJ2543" s="4"/>
      <c r="GK2543" s="4"/>
      <c r="GL2543" s="4"/>
      <c r="GM2543" s="4"/>
      <c r="GN2543" s="4"/>
      <c r="GO2543" s="4"/>
      <c r="GP2543" s="4"/>
      <c r="GQ2543" s="4"/>
      <c r="GR2543" s="4"/>
      <c r="GS2543" s="4"/>
      <c r="GT2543" s="4"/>
      <c r="GU2543" s="4"/>
      <c r="GV2543" s="4"/>
      <c r="GW2543" s="4"/>
      <c r="GX2543" s="4"/>
      <c r="GY2543" s="4"/>
      <c r="GZ2543" s="4"/>
      <c r="HA2543" s="4"/>
      <c r="HB2543" s="4"/>
      <c r="HC2543" s="4"/>
      <c r="HD2543" s="4"/>
      <c r="HE2543" s="4"/>
      <c r="HF2543" s="4"/>
      <c r="HG2543" s="4"/>
      <c r="HH2543" s="4"/>
      <c r="HI2543" s="4"/>
      <c r="HJ2543" s="4"/>
      <c r="HK2543" s="4"/>
      <c r="HL2543" s="4"/>
    </row>
    <row r="2544">
      <c r="A2544" s="2" t="s">
        <v>10914</v>
      </c>
      <c r="B2544" s="2" t="s">
        <v>226</v>
      </c>
      <c r="C2544" s="2" t="s">
        <v>3948</v>
      </c>
      <c r="D2544" s="2" t="s">
        <v>1549</v>
      </c>
      <c r="E2544" s="2" t="s">
        <v>3949</v>
      </c>
      <c r="F2544" s="2" t="s">
        <v>10884</v>
      </c>
      <c r="G2544" s="2" t="s">
        <v>10884</v>
      </c>
      <c r="H2544" s="2" t="s">
        <v>10884</v>
      </c>
      <c r="I2544" s="2" t="s">
        <v>3951</v>
      </c>
      <c r="J2544" s="2" t="s">
        <v>318</v>
      </c>
      <c r="K2544" s="2" t="s">
        <v>255</v>
      </c>
      <c r="L2544" s="3">
        <v>44.51</v>
      </c>
      <c r="M2544" s="3">
        <v>46.74</v>
      </c>
      <c r="N2544" s="3">
        <v>89.99</v>
      </c>
      <c r="O2544" s="2" t="s">
        <v>235</v>
      </c>
      <c r="P2544" s="2" t="s">
        <v>917</v>
      </c>
      <c r="Q2544" s="2" t="s">
        <v>237</v>
      </c>
      <c r="R2544" s="2" t="s">
        <v>231</v>
      </c>
      <c r="S2544" s="2" t="s">
        <v>231</v>
      </c>
      <c r="T2544" s="2" t="s">
        <v>595</v>
      </c>
      <c r="U2544" s="2" t="s">
        <v>327</v>
      </c>
      <c r="V2544" s="2" t="s">
        <v>239</v>
      </c>
      <c r="W2544" s="2" t="s">
        <v>273</v>
      </c>
      <c r="X2544" s="2" t="s">
        <v>231</v>
      </c>
      <c r="Y2544" s="2" t="s">
        <v>2246</v>
      </c>
      <c r="Z2544" s="4">
        <v>182</v>
      </c>
      <c r="AA2544" s="4">
        <f>=ROUNDDOWN(91,0)</f>
      </c>
      <c r="AB2544" s="5">
        <v>2</v>
      </c>
      <c r="AC2544" s="2" t="s">
        <v>231</v>
      </c>
      <c r="AD2544" s="4"/>
      <c r="AE2544" s="4"/>
      <c r="AF2544" s="6">
        <v>58</v>
      </c>
      <c r="AG2544" s="6"/>
      <c r="AH2544" s="7">
        <v>1</v>
      </c>
      <c r="AI2544" s="4"/>
      <c r="AJ2544" s="4">
        <f>=ROUNDDOWN({0},0)</f>
      </c>
      <c r="AK2544" s="5"/>
      <c r="AL2544" s="2" t="s">
        <v>231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231</v>
      </c>
      <c r="AW2544" s="8" t="s">
        <v>231</v>
      </c>
      <c r="AX2544" s="4" t="s">
        <v>231</v>
      </c>
      <c r="AY2544" s="8" t="s">
        <v>231</v>
      </c>
      <c r="AZ2544" s="7" t="s">
        <v>231</v>
      </c>
      <c r="BA2544" s="7" t="s">
        <v>231</v>
      </c>
      <c r="BB2544" s="7"/>
      <c r="BC2544" s="4" t="s">
        <v>231</v>
      </c>
      <c r="BD2544" s="8" t="s">
        <v>231</v>
      </c>
      <c r="BE2544" s="4" t="s">
        <v>231</v>
      </c>
      <c r="BF2544" s="8" t="s">
        <v>231</v>
      </c>
      <c r="BG2544" s="7" t="s">
        <v>231</v>
      </c>
      <c r="BH2544" s="7" t="s">
        <v>231</v>
      </c>
      <c r="BI2544" s="7"/>
      <c r="BJ2544" s="4">
        <v>1</v>
      </c>
      <c r="BK2544" s="8">
        <v>46.63</v>
      </c>
      <c r="BL2544" s="2" t="s">
        <v>838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10915</v>
      </c>
      <c r="BV2544" s="2" t="s">
        <v>231</v>
      </c>
      <c r="BW2544" s="2" t="s">
        <v>231</v>
      </c>
      <c r="BX2544" s="2" t="s">
        <v>231</v>
      </c>
      <c r="BY2544" s="2" t="s">
        <v>277</v>
      </c>
      <c r="BZ2544" s="2" t="s">
        <v>243</v>
      </c>
      <c r="CA2544" s="2" t="s">
        <v>8445</v>
      </c>
      <c r="CB2544" s="2" t="s">
        <v>4155</v>
      </c>
      <c r="CC2544" s="2" t="s">
        <v>244</v>
      </c>
      <c r="CD2544" s="2" t="s">
        <v>231</v>
      </c>
      <c r="CE2544" s="4">
        <v>182</v>
      </c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/>
      <c r="HL2544" s="4"/>
    </row>
    <row r="2545">
      <c r="A2545" s="2" t="s">
        <v>10916</v>
      </c>
      <c r="B2545" s="2" t="s">
        <v>226</v>
      </c>
      <c r="C2545" s="2" t="s">
        <v>3948</v>
      </c>
      <c r="D2545" s="2" t="s">
        <v>1549</v>
      </c>
      <c r="E2545" s="2" t="s">
        <v>3949</v>
      </c>
      <c r="F2545" s="2" t="s">
        <v>10884</v>
      </c>
      <c r="G2545" s="2" t="s">
        <v>10884</v>
      </c>
      <c r="H2545" s="2" t="s">
        <v>10884</v>
      </c>
      <c r="I2545" s="2" t="s">
        <v>3951</v>
      </c>
      <c r="J2545" s="2" t="s">
        <v>281</v>
      </c>
      <c r="K2545" s="2" t="s">
        <v>255</v>
      </c>
      <c r="L2545" s="3">
        <v>50.08</v>
      </c>
      <c r="M2545" s="3">
        <v>52.58</v>
      </c>
      <c r="N2545" s="3">
        <v>99.99</v>
      </c>
      <c r="O2545" s="2" t="s">
        <v>235</v>
      </c>
      <c r="P2545" s="2" t="s">
        <v>917</v>
      </c>
      <c r="Q2545" s="2" t="s">
        <v>237</v>
      </c>
      <c r="R2545" s="2" t="s">
        <v>231</v>
      </c>
      <c r="S2545" s="2" t="s">
        <v>231</v>
      </c>
      <c r="T2545" s="2" t="s">
        <v>595</v>
      </c>
      <c r="U2545" s="2" t="s">
        <v>327</v>
      </c>
      <c r="V2545" s="2" t="s">
        <v>239</v>
      </c>
      <c r="W2545" s="2" t="s">
        <v>273</v>
      </c>
      <c r="X2545" s="2" t="s">
        <v>231</v>
      </c>
      <c r="Y2545" s="2" t="s">
        <v>2246</v>
      </c>
      <c r="Z2545" s="4">
        <v>150</v>
      </c>
      <c r="AA2545" s="4">
        <f>=ROUNDDOWN(75,0)</f>
      </c>
      <c r="AB2545" s="5">
        <v>2</v>
      </c>
      <c r="AC2545" s="2" t="s">
        <v>231</v>
      </c>
      <c r="AD2545" s="4"/>
      <c r="AE2545" s="4"/>
      <c r="AF2545" s="6">
        <v>58</v>
      </c>
      <c r="AG2545" s="6"/>
      <c r="AH2545" s="7">
        <v>1</v>
      </c>
      <c r="AI2545" s="4"/>
      <c r="AJ2545" s="4">
        <f>=ROUNDDOWN({0},0)</f>
      </c>
      <c r="AK2545" s="5"/>
      <c r="AL2545" s="2" t="s">
        <v>231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231</v>
      </c>
      <c r="AW2545" s="8" t="s">
        <v>231</v>
      </c>
      <c r="AX2545" s="4" t="s">
        <v>231</v>
      </c>
      <c r="AY2545" s="8" t="s">
        <v>231</v>
      </c>
      <c r="AZ2545" s="7" t="s">
        <v>231</v>
      </c>
      <c r="BA2545" s="7" t="s">
        <v>231</v>
      </c>
      <c r="BB2545" s="7"/>
      <c r="BC2545" s="4" t="s">
        <v>231</v>
      </c>
      <c r="BD2545" s="8" t="s">
        <v>231</v>
      </c>
      <c r="BE2545" s="4" t="s">
        <v>231</v>
      </c>
      <c r="BF2545" s="8" t="s">
        <v>231</v>
      </c>
      <c r="BG2545" s="7" t="s">
        <v>231</v>
      </c>
      <c r="BH2545" s="7" t="s">
        <v>231</v>
      </c>
      <c r="BI2545" s="7"/>
      <c r="BJ2545" s="4">
        <v>2</v>
      </c>
      <c r="BK2545" s="8">
        <v>105.16</v>
      </c>
      <c r="BL2545" s="2" t="s">
        <v>10917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10918</v>
      </c>
      <c r="BV2545" s="2" t="s">
        <v>231</v>
      </c>
      <c r="BW2545" s="2" t="s">
        <v>231</v>
      </c>
      <c r="BX2545" s="2" t="s">
        <v>231</v>
      </c>
      <c r="BY2545" s="2" t="s">
        <v>277</v>
      </c>
      <c r="BZ2545" s="2" t="s">
        <v>243</v>
      </c>
      <c r="CA2545" s="2" t="s">
        <v>8445</v>
      </c>
      <c r="CB2545" s="2" t="s">
        <v>10446</v>
      </c>
      <c r="CC2545" s="2" t="s">
        <v>244</v>
      </c>
      <c r="CD2545" s="2" t="s">
        <v>231</v>
      </c>
      <c r="CE2545" s="4">
        <v>150</v>
      </c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  <c r="GQ2545" s="4"/>
      <c r="GR2545" s="4"/>
      <c r="GS2545" s="4"/>
      <c r="GT2545" s="4"/>
      <c r="GU2545" s="4"/>
      <c r="GV2545" s="4"/>
      <c r="GW2545" s="4"/>
      <c r="GX2545" s="4"/>
      <c r="GY2545" s="4"/>
      <c r="GZ2545" s="4"/>
      <c r="HA2545" s="4"/>
      <c r="HB2545" s="4"/>
      <c r="HC2545" s="4"/>
      <c r="HD2545" s="4"/>
      <c r="HE2545" s="4"/>
      <c r="HF2545" s="4"/>
      <c r="HG2545" s="4"/>
      <c r="HH2545" s="4"/>
      <c r="HI2545" s="4"/>
      <c r="HJ2545" s="4"/>
      <c r="HK2545" s="4"/>
      <c r="HL2545" s="4"/>
    </row>
    <row r="2546">
      <c r="A2546" s="2" t="s">
        <v>10919</v>
      </c>
      <c r="B2546" s="2" t="s">
        <v>226</v>
      </c>
      <c r="C2546" s="2" t="s">
        <v>3948</v>
      </c>
      <c r="D2546" s="2" t="s">
        <v>1549</v>
      </c>
      <c r="E2546" s="2" t="s">
        <v>3949</v>
      </c>
      <c r="F2546" s="2" t="s">
        <v>10884</v>
      </c>
      <c r="G2546" s="2" t="s">
        <v>10884</v>
      </c>
      <c r="H2546" s="2" t="s">
        <v>10884</v>
      </c>
      <c r="I2546" s="2" t="s">
        <v>3951</v>
      </c>
      <c r="J2546" s="2" t="s">
        <v>293</v>
      </c>
      <c r="K2546" s="2" t="s">
        <v>255</v>
      </c>
      <c r="L2546" s="3">
        <v>72.34</v>
      </c>
      <c r="M2546" s="3">
        <v>75.96</v>
      </c>
      <c r="N2546" s="3">
        <v>144.99</v>
      </c>
      <c r="O2546" s="2" t="s">
        <v>235</v>
      </c>
      <c r="P2546" s="2" t="s">
        <v>917</v>
      </c>
      <c r="Q2546" s="2" t="s">
        <v>237</v>
      </c>
      <c r="R2546" s="2" t="s">
        <v>231</v>
      </c>
      <c r="S2546" s="2" t="s">
        <v>231</v>
      </c>
      <c r="T2546" s="2" t="s">
        <v>595</v>
      </c>
      <c r="U2546" s="2" t="s">
        <v>327</v>
      </c>
      <c r="V2546" s="2" t="s">
        <v>239</v>
      </c>
      <c r="W2546" s="2" t="s">
        <v>273</v>
      </c>
      <c r="X2546" s="2" t="s">
        <v>231</v>
      </c>
      <c r="Y2546" s="2" t="s">
        <v>2246</v>
      </c>
      <c r="Z2546" s="4">
        <v>176</v>
      </c>
      <c r="AA2546" s="4">
        <f>=ROUNDDOWN(58.6666666666667,0)</f>
      </c>
      <c r="AB2546" s="5">
        <v>3</v>
      </c>
      <c r="AC2546" s="2" t="s">
        <v>231</v>
      </c>
      <c r="AD2546" s="4"/>
      <c r="AE2546" s="4"/>
      <c r="AF2546" s="6">
        <v>58</v>
      </c>
      <c r="AG2546" s="6"/>
      <c r="AH2546" s="7">
        <v>1</v>
      </c>
      <c r="AI2546" s="4"/>
      <c r="AJ2546" s="4">
        <f>=ROUNDDOWN({0},0)</f>
      </c>
      <c r="AK2546" s="5"/>
      <c r="AL2546" s="2" t="s">
        <v>231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231</v>
      </c>
      <c r="AW2546" s="8" t="s">
        <v>231</v>
      </c>
      <c r="AX2546" s="4" t="s">
        <v>231</v>
      </c>
      <c r="AY2546" s="8" t="s">
        <v>231</v>
      </c>
      <c r="AZ2546" s="7" t="s">
        <v>231</v>
      </c>
      <c r="BA2546" s="7" t="s">
        <v>231</v>
      </c>
      <c r="BB2546" s="7"/>
      <c r="BC2546" s="4" t="s">
        <v>231</v>
      </c>
      <c r="BD2546" s="8" t="s">
        <v>231</v>
      </c>
      <c r="BE2546" s="4" t="s">
        <v>231</v>
      </c>
      <c r="BF2546" s="8" t="s">
        <v>231</v>
      </c>
      <c r="BG2546" s="7" t="s">
        <v>231</v>
      </c>
      <c r="BH2546" s="7" t="s">
        <v>231</v>
      </c>
      <c r="BI2546" s="7"/>
      <c r="BJ2546" s="4">
        <v>6</v>
      </c>
      <c r="BK2546" s="8">
        <v>414.91</v>
      </c>
      <c r="BL2546" s="2" t="s">
        <v>10920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10921</v>
      </c>
      <c r="BV2546" s="2" t="s">
        <v>231</v>
      </c>
      <c r="BW2546" s="2" t="s">
        <v>231</v>
      </c>
      <c r="BX2546" s="2" t="s">
        <v>231</v>
      </c>
      <c r="BY2546" s="2" t="s">
        <v>277</v>
      </c>
      <c r="BZ2546" s="2" t="s">
        <v>243</v>
      </c>
      <c r="CA2546" s="2" t="s">
        <v>8445</v>
      </c>
      <c r="CB2546" s="2" t="s">
        <v>3537</v>
      </c>
      <c r="CC2546" s="2" t="s">
        <v>244</v>
      </c>
      <c r="CD2546" s="2" t="s">
        <v>231</v>
      </c>
      <c r="CE2546" s="4">
        <v>176</v>
      </c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4"/>
      <c r="HE2546" s="4"/>
      <c r="HF2546" s="4"/>
      <c r="HG2546" s="4"/>
      <c r="HH2546" s="4"/>
      <c r="HI2546" s="4"/>
      <c r="HJ2546" s="4"/>
      <c r="HK2546" s="4"/>
      <c r="HL2546" s="4"/>
    </row>
    <row r="2547">
      <c r="A2547" s="2" t="s">
        <v>10922</v>
      </c>
      <c r="B2547" s="2" t="s">
        <v>226</v>
      </c>
      <c r="C2547" s="2" t="s">
        <v>3948</v>
      </c>
      <c r="D2547" s="2" t="s">
        <v>1549</v>
      </c>
      <c r="E2547" s="2" t="s">
        <v>3949</v>
      </c>
      <c r="F2547" s="2" t="s">
        <v>10884</v>
      </c>
      <c r="G2547" s="2" t="s">
        <v>10884</v>
      </c>
      <c r="H2547" s="2" t="s">
        <v>10884</v>
      </c>
      <c r="I2547" s="2" t="s">
        <v>3951</v>
      </c>
      <c r="J2547" s="2" t="s">
        <v>302</v>
      </c>
      <c r="K2547" s="2" t="s">
        <v>255</v>
      </c>
      <c r="L2547" s="3">
        <v>77.9</v>
      </c>
      <c r="M2547" s="3">
        <v>81.8</v>
      </c>
      <c r="N2547" s="3">
        <v>154.99</v>
      </c>
      <c r="O2547" s="2" t="s">
        <v>235</v>
      </c>
      <c r="P2547" s="2" t="s">
        <v>917</v>
      </c>
      <c r="Q2547" s="2" t="s">
        <v>237</v>
      </c>
      <c r="R2547" s="2" t="s">
        <v>231</v>
      </c>
      <c r="S2547" s="2" t="s">
        <v>231</v>
      </c>
      <c r="T2547" s="2" t="s">
        <v>595</v>
      </c>
      <c r="U2547" s="2" t="s">
        <v>327</v>
      </c>
      <c r="V2547" s="2" t="s">
        <v>239</v>
      </c>
      <c r="W2547" s="2" t="s">
        <v>273</v>
      </c>
      <c r="X2547" s="2" t="s">
        <v>231</v>
      </c>
      <c r="Y2547" s="2" t="s">
        <v>2246</v>
      </c>
      <c r="Z2547" s="4">
        <v>61</v>
      </c>
      <c r="AA2547" s="4">
        <f>=ROUNDDOWN(15.25,0)</f>
      </c>
      <c r="AB2547" s="5">
        <v>4</v>
      </c>
      <c r="AC2547" s="2" t="s">
        <v>231</v>
      </c>
      <c r="AD2547" s="4"/>
      <c r="AE2547" s="4"/>
      <c r="AF2547" s="6">
        <v>58</v>
      </c>
      <c r="AG2547" s="6"/>
      <c r="AH2547" s="7">
        <v>1</v>
      </c>
      <c r="AI2547" s="4"/>
      <c r="AJ2547" s="4">
        <f>=ROUNDDOWN({0},0)</f>
      </c>
      <c r="AK2547" s="5"/>
      <c r="AL2547" s="2" t="s">
        <v>231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231</v>
      </c>
      <c r="AW2547" s="8" t="s">
        <v>231</v>
      </c>
      <c r="AX2547" s="4" t="s">
        <v>231</v>
      </c>
      <c r="AY2547" s="8" t="s">
        <v>231</v>
      </c>
      <c r="AZ2547" s="7" t="s">
        <v>231</v>
      </c>
      <c r="BA2547" s="7" t="s">
        <v>231</v>
      </c>
      <c r="BB2547" s="7"/>
      <c r="BC2547" s="4" t="s">
        <v>231</v>
      </c>
      <c r="BD2547" s="8" t="s">
        <v>231</v>
      </c>
      <c r="BE2547" s="4" t="s">
        <v>231</v>
      </c>
      <c r="BF2547" s="8" t="s">
        <v>231</v>
      </c>
      <c r="BG2547" s="7" t="s">
        <v>231</v>
      </c>
      <c r="BH2547" s="7" t="s">
        <v>231</v>
      </c>
      <c r="BI2547" s="7"/>
      <c r="BJ2547" s="4">
        <v>7</v>
      </c>
      <c r="BK2547" s="8">
        <v>372.75</v>
      </c>
      <c r="BL2547" s="2" t="s">
        <v>10923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10924</v>
      </c>
      <c r="BV2547" s="2" t="s">
        <v>231</v>
      </c>
      <c r="BW2547" s="2" t="s">
        <v>231</v>
      </c>
      <c r="BX2547" s="2" t="s">
        <v>231</v>
      </c>
      <c r="BY2547" s="2" t="s">
        <v>277</v>
      </c>
      <c r="BZ2547" s="2" t="s">
        <v>243</v>
      </c>
      <c r="CA2547" s="2" t="s">
        <v>8445</v>
      </c>
      <c r="CB2547" s="2" t="s">
        <v>3455</v>
      </c>
      <c r="CC2547" s="2" t="s">
        <v>244</v>
      </c>
      <c r="CD2547" s="2" t="s">
        <v>231</v>
      </c>
      <c r="CE2547" s="4">
        <v>61</v>
      </c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/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/>
      <c r="FJ2547" s="4"/>
      <c r="FK2547" s="4"/>
      <c r="FL2547" s="4"/>
      <c r="FM2547" s="4"/>
      <c r="FN2547" s="4"/>
      <c r="FO2547" s="4"/>
      <c r="FP2547" s="4"/>
      <c r="FQ2547" s="4"/>
      <c r="FR2547" s="4"/>
      <c r="FS2547" s="4"/>
      <c r="FT2547" s="4"/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/>
      <c r="GH2547" s="4"/>
      <c r="GI2547" s="4"/>
      <c r="GJ2547" s="4"/>
      <c r="GK2547" s="4"/>
      <c r="GL2547" s="4"/>
      <c r="GM2547" s="4"/>
      <c r="GN2547" s="4"/>
      <c r="GO2547" s="4"/>
      <c r="GP2547" s="4"/>
      <c r="GQ2547" s="4"/>
      <c r="GR2547" s="4"/>
      <c r="GS2547" s="4"/>
      <c r="GT2547" s="4"/>
      <c r="GU2547" s="4"/>
      <c r="GV2547" s="4"/>
      <c r="GW2547" s="4"/>
      <c r="GX2547" s="4"/>
      <c r="GY2547" s="4"/>
      <c r="GZ2547" s="4"/>
      <c r="HA2547" s="4"/>
      <c r="HB2547" s="4"/>
      <c r="HC2547" s="4"/>
      <c r="HD2547" s="4"/>
      <c r="HE2547" s="4"/>
      <c r="HF2547" s="4"/>
      <c r="HG2547" s="4"/>
      <c r="HH2547" s="4"/>
      <c r="HI2547" s="4"/>
      <c r="HJ2547" s="4"/>
      <c r="HK2547" s="4"/>
      <c r="HL2547" s="4"/>
    </row>
    <row r="2548">
      <c r="A2548" s="2" t="s">
        <v>10925</v>
      </c>
      <c r="B2548" s="2" t="s">
        <v>226</v>
      </c>
      <c r="C2548" s="2" t="s">
        <v>3948</v>
      </c>
      <c r="D2548" s="2" t="s">
        <v>1549</v>
      </c>
      <c r="E2548" s="2" t="s">
        <v>3949</v>
      </c>
      <c r="F2548" s="2" t="s">
        <v>10884</v>
      </c>
      <c r="G2548" s="2" t="s">
        <v>10884</v>
      </c>
      <c r="H2548" s="2" t="s">
        <v>10884</v>
      </c>
      <c r="I2548" s="2" t="s">
        <v>3951</v>
      </c>
      <c r="J2548" s="2" t="s">
        <v>318</v>
      </c>
      <c r="K2548" s="2" t="s">
        <v>1146</v>
      </c>
      <c r="L2548" s="3">
        <v>44.51</v>
      </c>
      <c r="M2548" s="3">
        <v>46.74</v>
      </c>
      <c r="N2548" s="3">
        <v>89.99</v>
      </c>
      <c r="O2548" s="2" t="s">
        <v>235</v>
      </c>
      <c r="P2548" s="2" t="s">
        <v>917</v>
      </c>
      <c r="Q2548" s="2" t="s">
        <v>237</v>
      </c>
      <c r="R2548" s="2" t="s">
        <v>231</v>
      </c>
      <c r="S2548" s="2" t="s">
        <v>231</v>
      </c>
      <c r="T2548" s="2" t="s">
        <v>595</v>
      </c>
      <c r="U2548" s="2" t="s">
        <v>327</v>
      </c>
      <c r="V2548" s="2" t="s">
        <v>239</v>
      </c>
      <c r="W2548" s="2" t="s">
        <v>273</v>
      </c>
      <c r="X2548" s="2" t="s">
        <v>231</v>
      </c>
      <c r="Y2548" s="2" t="s">
        <v>2246</v>
      </c>
      <c r="Z2548" s="4">
        <v>28</v>
      </c>
      <c r="AA2548" s="4">
        <f>=ROUNDDOWN(28,0)</f>
      </c>
      <c r="AB2548" s="5">
        <v>1</v>
      </c>
      <c r="AC2548" s="2" t="s">
        <v>231</v>
      </c>
      <c r="AD2548" s="4"/>
      <c r="AE2548" s="4"/>
      <c r="AF2548" s="6">
        <v>58</v>
      </c>
      <c r="AG2548" s="6"/>
      <c r="AH2548" s="7">
        <v>1</v>
      </c>
      <c r="AI2548" s="4"/>
      <c r="AJ2548" s="4">
        <f>=ROUNDDOWN({0},0)</f>
      </c>
      <c r="AK2548" s="5"/>
      <c r="AL2548" s="2" t="s">
        <v>231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231</v>
      </c>
      <c r="AW2548" s="8" t="s">
        <v>231</v>
      </c>
      <c r="AX2548" s="4" t="s">
        <v>231</v>
      </c>
      <c r="AY2548" s="8" t="s">
        <v>231</v>
      </c>
      <c r="AZ2548" s="7" t="s">
        <v>231</v>
      </c>
      <c r="BA2548" s="7" t="s">
        <v>231</v>
      </c>
      <c r="BB2548" s="7"/>
      <c r="BC2548" s="4" t="s">
        <v>231</v>
      </c>
      <c r="BD2548" s="8" t="s">
        <v>231</v>
      </c>
      <c r="BE2548" s="4" t="s">
        <v>231</v>
      </c>
      <c r="BF2548" s="8" t="s">
        <v>231</v>
      </c>
      <c r="BG2548" s="7" t="s">
        <v>231</v>
      </c>
      <c r="BH2548" s="7" t="s">
        <v>231</v>
      </c>
      <c r="BI2548" s="7"/>
      <c r="BJ2548" s="4">
        <v>1</v>
      </c>
      <c r="BK2548" s="8">
        <v>46.73</v>
      </c>
      <c r="BL2548" s="2" t="s">
        <v>8844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10926</v>
      </c>
      <c r="BV2548" s="2" t="s">
        <v>231</v>
      </c>
      <c r="BW2548" s="2" t="s">
        <v>231</v>
      </c>
      <c r="BX2548" s="2" t="s">
        <v>231</v>
      </c>
      <c r="BY2548" s="2" t="s">
        <v>277</v>
      </c>
      <c r="BZ2548" s="2" t="s">
        <v>243</v>
      </c>
      <c r="CA2548" s="2" t="s">
        <v>8445</v>
      </c>
      <c r="CB2548" s="2" t="s">
        <v>4155</v>
      </c>
      <c r="CC2548" s="2" t="s">
        <v>244</v>
      </c>
      <c r="CD2548" s="2" t="s">
        <v>231</v>
      </c>
      <c r="CE2548" s="4">
        <v>28</v>
      </c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/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/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/>
      <c r="GH2548" s="4"/>
      <c r="GI2548" s="4"/>
      <c r="GJ2548" s="4"/>
      <c r="GK2548" s="4"/>
      <c r="GL2548" s="4"/>
      <c r="GM2548" s="4"/>
      <c r="GN2548" s="4"/>
      <c r="GO2548" s="4"/>
      <c r="GP2548" s="4"/>
      <c r="GQ2548" s="4"/>
      <c r="GR2548" s="4"/>
      <c r="GS2548" s="4"/>
      <c r="GT2548" s="4"/>
      <c r="GU2548" s="4"/>
      <c r="GV2548" s="4"/>
      <c r="GW2548" s="4"/>
      <c r="GX2548" s="4"/>
      <c r="GY2548" s="4"/>
      <c r="GZ2548" s="4"/>
      <c r="HA2548" s="4"/>
      <c r="HB2548" s="4"/>
      <c r="HC2548" s="4"/>
      <c r="HD2548" s="4"/>
      <c r="HE2548" s="4"/>
      <c r="HF2548" s="4"/>
      <c r="HG2548" s="4"/>
      <c r="HH2548" s="4"/>
      <c r="HI2548" s="4"/>
      <c r="HJ2548" s="4"/>
      <c r="HK2548" s="4"/>
      <c r="HL2548" s="4"/>
    </row>
    <row r="2549">
      <c r="A2549" s="2" t="s">
        <v>10927</v>
      </c>
      <c r="B2549" s="2" t="s">
        <v>226</v>
      </c>
      <c r="C2549" s="2" t="s">
        <v>3948</v>
      </c>
      <c r="D2549" s="2" t="s">
        <v>1549</v>
      </c>
      <c r="E2549" s="2" t="s">
        <v>3949</v>
      </c>
      <c r="F2549" s="2" t="s">
        <v>10884</v>
      </c>
      <c r="G2549" s="2" t="s">
        <v>10884</v>
      </c>
      <c r="H2549" s="2" t="s">
        <v>10884</v>
      </c>
      <c r="I2549" s="2" t="s">
        <v>3951</v>
      </c>
      <c r="J2549" s="2" t="s">
        <v>293</v>
      </c>
      <c r="K2549" s="2" t="s">
        <v>1146</v>
      </c>
      <c r="L2549" s="3">
        <v>72.34</v>
      </c>
      <c r="M2549" s="3">
        <v>75.96</v>
      </c>
      <c r="N2549" s="3">
        <v>144.99</v>
      </c>
      <c r="O2549" s="2" t="s">
        <v>235</v>
      </c>
      <c r="P2549" s="2" t="s">
        <v>917</v>
      </c>
      <c r="Q2549" s="2" t="s">
        <v>237</v>
      </c>
      <c r="R2549" s="2" t="s">
        <v>231</v>
      </c>
      <c r="S2549" s="2" t="s">
        <v>231</v>
      </c>
      <c r="T2549" s="2" t="s">
        <v>595</v>
      </c>
      <c r="U2549" s="2" t="s">
        <v>327</v>
      </c>
      <c r="V2549" s="2" t="s">
        <v>239</v>
      </c>
      <c r="W2549" s="2" t="s">
        <v>273</v>
      </c>
      <c r="X2549" s="2" t="s">
        <v>231</v>
      </c>
      <c r="Y2549" s="2" t="s">
        <v>2246</v>
      </c>
      <c r="Z2549" s="4">
        <v>383</v>
      </c>
      <c r="AA2549" s="4">
        <f>=ROUNDDOWN(127.666666666667,0)</f>
      </c>
      <c r="AB2549" s="5">
        <v>3</v>
      </c>
      <c r="AC2549" s="2" t="s">
        <v>231</v>
      </c>
      <c r="AD2549" s="4"/>
      <c r="AE2549" s="4"/>
      <c r="AF2549" s="6">
        <v>58</v>
      </c>
      <c r="AG2549" s="6"/>
      <c r="AH2549" s="7">
        <v>1</v>
      </c>
      <c r="AI2549" s="4"/>
      <c r="AJ2549" s="4">
        <f>=ROUNDDOWN({0},0)</f>
      </c>
      <c r="AK2549" s="5"/>
      <c r="AL2549" s="2" t="s">
        <v>231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231</v>
      </c>
      <c r="AW2549" s="8" t="s">
        <v>231</v>
      </c>
      <c r="AX2549" s="4" t="s">
        <v>231</v>
      </c>
      <c r="AY2549" s="8" t="s">
        <v>231</v>
      </c>
      <c r="AZ2549" s="7" t="s">
        <v>231</v>
      </c>
      <c r="BA2549" s="7" t="s">
        <v>231</v>
      </c>
      <c r="BB2549" s="7"/>
      <c r="BC2549" s="4" t="s">
        <v>231</v>
      </c>
      <c r="BD2549" s="8" t="s">
        <v>231</v>
      </c>
      <c r="BE2549" s="4" t="s">
        <v>231</v>
      </c>
      <c r="BF2549" s="8" t="s">
        <v>231</v>
      </c>
      <c r="BG2549" s="7" t="s">
        <v>231</v>
      </c>
      <c r="BH2549" s="7" t="s">
        <v>231</v>
      </c>
      <c r="BI2549" s="7"/>
      <c r="BJ2549" s="4">
        <v>5</v>
      </c>
      <c r="BK2549" s="8">
        <v>327.58</v>
      </c>
      <c r="BL2549" s="2" t="s">
        <v>643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10928</v>
      </c>
      <c r="BV2549" s="2" t="s">
        <v>231</v>
      </c>
      <c r="BW2549" s="2" t="s">
        <v>231</v>
      </c>
      <c r="BX2549" s="2" t="s">
        <v>231</v>
      </c>
      <c r="BY2549" s="2" t="s">
        <v>277</v>
      </c>
      <c r="BZ2549" s="2" t="s">
        <v>243</v>
      </c>
      <c r="CA2549" s="2" t="s">
        <v>8445</v>
      </c>
      <c r="CB2549" s="2" t="s">
        <v>6016</v>
      </c>
      <c r="CC2549" s="2" t="s">
        <v>244</v>
      </c>
      <c r="CD2549" s="2" t="s">
        <v>231</v>
      </c>
      <c r="CE2549" s="4">
        <v>383</v>
      </c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/>
      <c r="EW2549" s="4"/>
      <c r="EX2549" s="4"/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/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/>
      <c r="GQ2549" s="4"/>
      <c r="GR2549" s="4"/>
      <c r="GS2549" s="4"/>
      <c r="GT2549" s="4"/>
      <c r="GU2549" s="4"/>
      <c r="GV2549" s="4"/>
      <c r="GW2549" s="4"/>
      <c r="GX2549" s="4"/>
      <c r="GY2549" s="4"/>
      <c r="GZ2549" s="4"/>
      <c r="HA2549" s="4"/>
      <c r="HB2549" s="4"/>
      <c r="HC2549" s="4"/>
      <c r="HD2549" s="4"/>
      <c r="HE2549" s="4"/>
      <c r="HF2549" s="4"/>
      <c r="HG2549" s="4"/>
      <c r="HH2549" s="4"/>
      <c r="HI2549" s="4"/>
      <c r="HJ2549" s="4"/>
      <c r="HK2549" s="4"/>
      <c r="HL2549" s="4"/>
    </row>
    <row r="2550">
      <c r="A2550" s="2" t="s">
        <v>10929</v>
      </c>
      <c r="B2550" s="2" t="s">
        <v>226</v>
      </c>
      <c r="C2550" s="2" t="s">
        <v>3948</v>
      </c>
      <c r="D2550" s="2" t="s">
        <v>1549</v>
      </c>
      <c r="E2550" s="2" t="s">
        <v>3949</v>
      </c>
      <c r="F2550" s="2" t="s">
        <v>10884</v>
      </c>
      <c r="G2550" s="2" t="s">
        <v>10884</v>
      </c>
      <c r="H2550" s="2" t="s">
        <v>10884</v>
      </c>
      <c r="I2550" s="2" t="s">
        <v>3951</v>
      </c>
      <c r="J2550" s="2" t="s">
        <v>302</v>
      </c>
      <c r="K2550" s="2" t="s">
        <v>1146</v>
      </c>
      <c r="L2550" s="3">
        <v>77.9</v>
      </c>
      <c r="M2550" s="3">
        <v>81.8</v>
      </c>
      <c r="N2550" s="3">
        <v>154.99</v>
      </c>
      <c r="O2550" s="2" t="s">
        <v>235</v>
      </c>
      <c r="P2550" s="2" t="s">
        <v>917</v>
      </c>
      <c r="Q2550" s="2" t="s">
        <v>237</v>
      </c>
      <c r="R2550" s="2" t="s">
        <v>231</v>
      </c>
      <c r="S2550" s="2" t="s">
        <v>231</v>
      </c>
      <c r="T2550" s="2" t="s">
        <v>595</v>
      </c>
      <c r="U2550" s="2" t="s">
        <v>327</v>
      </c>
      <c r="V2550" s="2" t="s">
        <v>239</v>
      </c>
      <c r="W2550" s="2" t="s">
        <v>273</v>
      </c>
      <c r="X2550" s="2" t="s">
        <v>231</v>
      </c>
      <c r="Y2550" s="2" t="s">
        <v>2246</v>
      </c>
      <c r="Z2550" s="4">
        <v>214</v>
      </c>
      <c r="AA2550" s="4">
        <f>=ROUNDDOWN(71.3333333333333,0)</f>
      </c>
      <c r="AB2550" s="5">
        <v>3</v>
      </c>
      <c r="AC2550" s="2" t="s">
        <v>231</v>
      </c>
      <c r="AD2550" s="4"/>
      <c r="AE2550" s="4"/>
      <c r="AF2550" s="6">
        <v>58</v>
      </c>
      <c r="AG2550" s="6"/>
      <c r="AH2550" s="7">
        <v>1</v>
      </c>
      <c r="AI2550" s="4"/>
      <c r="AJ2550" s="4">
        <f>=ROUNDDOWN({0},0)</f>
      </c>
      <c r="AK2550" s="5"/>
      <c r="AL2550" s="2" t="s">
        <v>231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231</v>
      </c>
      <c r="AW2550" s="8" t="s">
        <v>231</v>
      </c>
      <c r="AX2550" s="4" t="s">
        <v>231</v>
      </c>
      <c r="AY2550" s="8" t="s">
        <v>231</v>
      </c>
      <c r="AZ2550" s="7" t="s">
        <v>231</v>
      </c>
      <c r="BA2550" s="7" t="s">
        <v>231</v>
      </c>
      <c r="BB2550" s="7"/>
      <c r="BC2550" s="4" t="s">
        <v>231</v>
      </c>
      <c r="BD2550" s="8" t="s">
        <v>231</v>
      </c>
      <c r="BE2550" s="4" t="s">
        <v>231</v>
      </c>
      <c r="BF2550" s="8" t="s">
        <v>231</v>
      </c>
      <c r="BG2550" s="7" t="s">
        <v>231</v>
      </c>
      <c r="BH2550" s="7" t="s">
        <v>231</v>
      </c>
      <c r="BI2550" s="7"/>
      <c r="BJ2550" s="4">
        <v>10</v>
      </c>
      <c r="BK2550" s="8">
        <v>646.62</v>
      </c>
      <c r="BL2550" s="2" t="s">
        <v>10930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10931</v>
      </c>
      <c r="BV2550" s="2" t="s">
        <v>231</v>
      </c>
      <c r="BW2550" s="2" t="s">
        <v>231</v>
      </c>
      <c r="BX2550" s="2" t="s">
        <v>231</v>
      </c>
      <c r="BY2550" s="2" t="s">
        <v>277</v>
      </c>
      <c r="BZ2550" s="2" t="s">
        <v>243</v>
      </c>
      <c r="CA2550" s="2" t="s">
        <v>8445</v>
      </c>
      <c r="CB2550" s="2" t="s">
        <v>1379</v>
      </c>
      <c r="CC2550" s="2" t="s">
        <v>244</v>
      </c>
      <c r="CD2550" s="2" t="s">
        <v>231</v>
      </c>
      <c r="CE2550" s="4">
        <v>214</v>
      </c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/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/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/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/>
      <c r="GH2550" s="4"/>
      <c r="GI2550" s="4"/>
      <c r="GJ2550" s="4"/>
      <c r="GK2550" s="4"/>
      <c r="GL2550" s="4"/>
      <c r="GM2550" s="4"/>
      <c r="GN2550" s="4"/>
      <c r="GO2550" s="4"/>
      <c r="GP2550" s="4"/>
      <c r="GQ2550" s="4"/>
      <c r="GR2550" s="4"/>
      <c r="GS2550" s="4"/>
      <c r="GT2550" s="4"/>
      <c r="GU2550" s="4"/>
      <c r="GV2550" s="4"/>
      <c r="GW2550" s="4"/>
      <c r="GX2550" s="4"/>
      <c r="GY2550" s="4"/>
      <c r="GZ2550" s="4"/>
      <c r="HA2550" s="4"/>
      <c r="HB2550" s="4"/>
      <c r="HC2550" s="4"/>
      <c r="HD2550" s="4"/>
      <c r="HE2550" s="4"/>
      <c r="HF2550" s="4"/>
      <c r="HG2550" s="4"/>
      <c r="HH2550" s="4"/>
      <c r="HI2550" s="4"/>
      <c r="HJ2550" s="4"/>
      <c r="HK2550" s="4"/>
      <c r="HL2550" s="4"/>
    </row>
    <row r="2551">
      <c r="A2551" s="2" t="s">
        <v>10932</v>
      </c>
      <c r="B2551" s="2" t="s">
        <v>1186</v>
      </c>
      <c r="C2551" s="2" t="s">
        <v>288</v>
      </c>
      <c r="D2551" s="2" t="s">
        <v>1462</v>
      </c>
      <c r="E2551" s="2" t="s">
        <v>3568</v>
      </c>
      <c r="F2551" s="2" t="s">
        <v>10933</v>
      </c>
      <c r="G2551" s="2" t="s">
        <v>10934</v>
      </c>
      <c r="H2551" s="2" t="s">
        <v>10935</v>
      </c>
      <c r="I2551" s="2" t="s">
        <v>10936</v>
      </c>
      <c r="J2551" s="2" t="s">
        <v>3573</v>
      </c>
      <c r="K2551" s="2" t="s">
        <v>253</v>
      </c>
      <c r="L2551" s="3">
        <v>49.35</v>
      </c>
      <c r="M2551" s="3">
        <v>51.81</v>
      </c>
      <c r="N2551" s="3">
        <v>104.99</v>
      </c>
      <c r="O2551" s="2" t="s">
        <v>243</v>
      </c>
      <c r="P2551" s="2" t="s">
        <v>236</v>
      </c>
      <c r="Q2551" s="2" t="s">
        <v>237</v>
      </c>
      <c r="R2551" s="2" t="s">
        <v>231</v>
      </c>
      <c r="S2551" s="2" t="s">
        <v>10937</v>
      </c>
      <c r="T2551" s="2" t="s">
        <v>1432</v>
      </c>
      <c r="U2551" s="2" t="s">
        <v>765</v>
      </c>
      <c r="V2551" s="2" t="s">
        <v>1304</v>
      </c>
      <c r="W2551" s="2" t="s">
        <v>897</v>
      </c>
      <c r="X2551" s="2" t="s">
        <v>8680</v>
      </c>
      <c r="Y2551" s="2" t="s">
        <v>1057</v>
      </c>
      <c r="Z2551" s="4">
        <v>152</v>
      </c>
      <c r="AA2551" s="4">
        <f>=ROUNDDOWN(63.3333333333333,0)</f>
      </c>
      <c r="AB2551" s="5">
        <v>2.4</v>
      </c>
      <c r="AC2551" s="2" t="s">
        <v>2510</v>
      </c>
      <c r="AD2551" s="4">
        <v>120</v>
      </c>
      <c r="AE2551" s="4">
        <v>120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231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231</v>
      </c>
      <c r="BD2551" s="8" t="s">
        <v>231</v>
      </c>
      <c r="BE2551" s="4" t="s">
        <v>231</v>
      </c>
      <c r="BF2551" s="8" t="s">
        <v>231</v>
      </c>
      <c r="BG2551" s="7" t="s">
        <v>231</v>
      </c>
      <c r="BH2551" s="7" t="s">
        <v>231</v>
      </c>
      <c r="BI2551" s="7"/>
      <c r="BJ2551" s="4">
        <v>7</v>
      </c>
      <c r="BK2551" s="8">
        <v>421.39</v>
      </c>
      <c r="BL2551" s="2" t="s">
        <v>10938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10939</v>
      </c>
      <c r="BV2551" s="2" t="s">
        <v>231</v>
      </c>
      <c r="BW2551" s="2" t="s">
        <v>231</v>
      </c>
      <c r="BX2551" s="2" t="s">
        <v>241</v>
      </c>
      <c r="BY2551" s="2" t="s">
        <v>277</v>
      </c>
      <c r="BZ2551" s="2" t="s">
        <v>243</v>
      </c>
      <c r="CA2551" s="2" t="s">
        <v>1434</v>
      </c>
      <c r="CB2551" s="2" t="s">
        <v>3284</v>
      </c>
      <c r="CC2551" s="2" t="s">
        <v>244</v>
      </c>
      <c r="CD2551" s="2" t="s">
        <v>231</v>
      </c>
      <c r="CE2551" s="4">
        <v>152</v>
      </c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/>
      <c r="GE2551" s="4"/>
      <c r="GF2551" s="4"/>
      <c r="GG2551" s="4"/>
      <c r="GH2551" s="4"/>
      <c r="GI2551" s="4"/>
      <c r="GJ2551" s="4"/>
      <c r="GK2551" s="4">
        <v>120</v>
      </c>
      <c r="GL2551" s="4"/>
      <c r="GM2551" s="4"/>
      <c r="GN2551" s="4"/>
      <c r="GO2551" s="4"/>
      <c r="GP2551" s="4"/>
      <c r="GQ2551" s="4"/>
      <c r="GR2551" s="4"/>
      <c r="GS2551" s="4"/>
      <c r="GT2551" s="4"/>
      <c r="GU2551" s="4"/>
      <c r="GV2551" s="4"/>
      <c r="GW2551" s="4"/>
      <c r="GX2551" s="4"/>
      <c r="GY2551" s="4"/>
      <c r="GZ2551" s="4"/>
      <c r="HA2551" s="4"/>
      <c r="HB2551" s="4"/>
      <c r="HC2551" s="4"/>
      <c r="HD2551" s="4"/>
      <c r="HE2551" s="4"/>
      <c r="HF2551" s="4"/>
      <c r="HG2551" s="4"/>
      <c r="HH2551" s="4"/>
      <c r="HI2551" s="4"/>
      <c r="HJ2551" s="4"/>
      <c r="HK2551" s="4"/>
      <c r="HL2551" s="4"/>
    </row>
    <row r="2552">
      <c r="A2552" s="2" t="s">
        <v>10940</v>
      </c>
      <c r="B2552" s="2" t="s">
        <v>1186</v>
      </c>
      <c r="C2552" s="2" t="s">
        <v>288</v>
      </c>
      <c r="D2552" s="2" t="s">
        <v>826</v>
      </c>
      <c r="E2552" s="2" t="s">
        <v>827</v>
      </c>
      <c r="F2552" s="2" t="s">
        <v>10933</v>
      </c>
      <c r="G2552" s="2" t="s">
        <v>10934</v>
      </c>
      <c r="H2552" s="2" t="s">
        <v>10935</v>
      </c>
      <c r="I2552" s="2" t="s">
        <v>10941</v>
      </c>
      <c r="J2552" s="2" t="s">
        <v>658</v>
      </c>
      <c r="K2552" s="2" t="s">
        <v>852</v>
      </c>
      <c r="L2552" s="3">
        <v>53.9</v>
      </c>
      <c r="M2552" s="3">
        <v>56.59</v>
      </c>
      <c r="N2552" s="3">
        <v>109.99</v>
      </c>
      <c r="O2552" s="2" t="s">
        <v>243</v>
      </c>
      <c r="P2552" s="2" t="s">
        <v>270</v>
      </c>
      <c r="Q2552" s="2" t="s">
        <v>237</v>
      </c>
      <c r="R2552" s="2" t="s">
        <v>231</v>
      </c>
      <c r="S2552" s="2" t="s">
        <v>10942</v>
      </c>
      <c r="T2552" s="2" t="s">
        <v>231</v>
      </c>
      <c r="U2552" s="2" t="s">
        <v>765</v>
      </c>
      <c r="V2552" s="2" t="s">
        <v>1304</v>
      </c>
      <c r="W2552" s="2" t="s">
        <v>897</v>
      </c>
      <c r="X2552" s="2" t="s">
        <v>8680</v>
      </c>
      <c r="Y2552" s="2" t="s">
        <v>6763</v>
      </c>
      <c r="Z2552" s="4">
        <v>287</v>
      </c>
      <c r="AA2552" s="4">
        <f>=ROUNDDOWN(47.8333333333333,0)</f>
      </c>
      <c r="AB2552" s="5">
        <v>6</v>
      </c>
      <c r="AC2552" s="2" t="s">
        <v>2510</v>
      </c>
      <c r="AD2552" s="4">
        <v>100</v>
      </c>
      <c r="AE2552" s="4">
        <v>100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231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231</v>
      </c>
      <c r="AW2552" s="8" t="s">
        <v>231</v>
      </c>
      <c r="AX2552" s="4" t="s">
        <v>231</v>
      </c>
      <c r="AY2552" s="8" t="s">
        <v>231</v>
      </c>
      <c r="AZ2552" s="7" t="s">
        <v>231</v>
      </c>
      <c r="BA2552" s="7" t="s">
        <v>231</v>
      </c>
      <c r="BB2552" s="7"/>
      <c r="BC2552" s="4" t="s">
        <v>231</v>
      </c>
      <c r="BD2552" s="8" t="s">
        <v>231</v>
      </c>
      <c r="BE2552" s="4" t="s">
        <v>231</v>
      </c>
      <c r="BF2552" s="8" t="s">
        <v>231</v>
      </c>
      <c r="BG2552" s="7" t="s">
        <v>231</v>
      </c>
      <c r="BH2552" s="7" t="s">
        <v>231</v>
      </c>
      <c r="BI2552" s="7"/>
      <c r="BJ2552" s="4">
        <v>17</v>
      </c>
      <c r="BK2552" s="8">
        <v>915.01</v>
      </c>
      <c r="BL2552" s="2" t="s">
        <v>10943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10944</v>
      </c>
      <c r="BV2552" s="2" t="s">
        <v>231</v>
      </c>
      <c r="BW2552" s="2" t="s">
        <v>231</v>
      </c>
      <c r="BX2552" s="2" t="s">
        <v>231</v>
      </c>
      <c r="BY2552" s="2" t="s">
        <v>277</v>
      </c>
      <c r="BZ2552" s="2" t="s">
        <v>243</v>
      </c>
      <c r="CA2552" s="2" t="s">
        <v>6763</v>
      </c>
      <c r="CB2552" s="2" t="s">
        <v>10680</v>
      </c>
      <c r="CC2552" s="2" t="s">
        <v>244</v>
      </c>
      <c r="CD2552" s="2" t="s">
        <v>231</v>
      </c>
      <c r="CE2552" s="4">
        <v>287</v>
      </c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/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/>
      <c r="GH2552" s="4"/>
      <c r="GI2552" s="4"/>
      <c r="GJ2552" s="4"/>
      <c r="GK2552" s="4">
        <v>100</v>
      </c>
      <c r="GL2552" s="4"/>
      <c r="GM2552" s="4"/>
      <c r="GN2552" s="4"/>
      <c r="GO2552" s="4"/>
      <c r="GP2552" s="4"/>
      <c r="GQ2552" s="4"/>
      <c r="GR2552" s="4"/>
      <c r="GS2552" s="4"/>
      <c r="GT2552" s="4"/>
      <c r="GU2552" s="4"/>
      <c r="GV2552" s="4"/>
      <c r="GW2552" s="4"/>
      <c r="GX2552" s="4"/>
      <c r="GY2552" s="4"/>
      <c r="GZ2552" s="4"/>
      <c r="HA2552" s="4"/>
      <c r="HB2552" s="4"/>
      <c r="HC2552" s="4"/>
      <c r="HD2552" s="4"/>
      <c r="HE2552" s="4"/>
      <c r="HF2552" s="4"/>
      <c r="HG2552" s="4"/>
      <c r="HH2552" s="4"/>
      <c r="HI2552" s="4"/>
      <c r="HJ2552" s="4"/>
      <c r="HK2552" s="4"/>
      <c r="HL2552" s="4"/>
    </row>
    <row r="2553">
      <c r="A2553" s="2" t="s">
        <v>10945</v>
      </c>
      <c r="B2553" s="2" t="s">
        <v>1186</v>
      </c>
      <c r="C2553" s="2" t="s">
        <v>288</v>
      </c>
      <c r="D2553" s="2" t="s">
        <v>1462</v>
      </c>
      <c r="E2553" s="2" t="s">
        <v>3568</v>
      </c>
      <c r="F2553" s="2" t="s">
        <v>10933</v>
      </c>
      <c r="G2553" s="2" t="s">
        <v>10934</v>
      </c>
      <c r="H2553" s="2" t="s">
        <v>10935</v>
      </c>
      <c r="I2553" s="2" t="s">
        <v>10936</v>
      </c>
      <c r="J2553" s="2" t="s">
        <v>3573</v>
      </c>
      <c r="K2553" s="2" t="s">
        <v>852</v>
      </c>
      <c r="L2553" s="3">
        <v>49.35</v>
      </c>
      <c r="M2553" s="3">
        <v>51.81</v>
      </c>
      <c r="N2553" s="3">
        <v>104.99</v>
      </c>
      <c r="O2553" s="2" t="s">
        <v>243</v>
      </c>
      <c r="P2553" s="2" t="s">
        <v>236</v>
      </c>
      <c r="Q2553" s="2" t="s">
        <v>237</v>
      </c>
      <c r="R2553" s="2" t="s">
        <v>231</v>
      </c>
      <c r="S2553" s="2" t="s">
        <v>10946</v>
      </c>
      <c r="T2553" s="2" t="s">
        <v>1432</v>
      </c>
      <c r="U2553" s="2" t="s">
        <v>765</v>
      </c>
      <c r="V2553" s="2" t="s">
        <v>1304</v>
      </c>
      <c r="W2553" s="2" t="s">
        <v>897</v>
      </c>
      <c r="X2553" s="2" t="s">
        <v>8680</v>
      </c>
      <c r="Y2553" s="2" t="s">
        <v>1057</v>
      </c>
      <c r="Z2553" s="4">
        <v>132</v>
      </c>
      <c r="AA2553" s="4">
        <f>=ROUNDDOWN(12,0)</f>
      </c>
      <c r="AB2553" s="5">
        <v>11</v>
      </c>
      <c r="AC2553" s="2" t="s">
        <v>730</v>
      </c>
      <c r="AD2553" s="4">
        <v>100</v>
      </c>
      <c r="AE2553" s="4">
        <v>280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231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231</v>
      </c>
      <c r="AW2553" s="8" t="s">
        <v>231</v>
      </c>
      <c r="AX2553" s="4" t="s">
        <v>231</v>
      </c>
      <c r="AY2553" s="8" t="s">
        <v>231</v>
      </c>
      <c r="AZ2553" s="7" t="s">
        <v>231</v>
      </c>
      <c r="BA2553" s="7" t="s">
        <v>231</v>
      </c>
      <c r="BB2553" s="7"/>
      <c r="BC2553" s="4" t="s">
        <v>231</v>
      </c>
      <c r="BD2553" s="8" t="s">
        <v>231</v>
      </c>
      <c r="BE2553" s="4" t="s">
        <v>231</v>
      </c>
      <c r="BF2553" s="8" t="s">
        <v>231</v>
      </c>
      <c r="BG2553" s="7" t="s">
        <v>231</v>
      </c>
      <c r="BH2553" s="7" t="s">
        <v>231</v>
      </c>
      <c r="BI2553" s="7"/>
      <c r="BJ2553" s="4">
        <v>14</v>
      </c>
      <c r="BK2553" s="8">
        <v>720.35</v>
      </c>
      <c r="BL2553" s="2" t="s">
        <v>810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10947</v>
      </c>
      <c r="BV2553" s="2" t="s">
        <v>231</v>
      </c>
      <c r="BW2553" s="2" t="s">
        <v>231</v>
      </c>
      <c r="BX2553" s="2" t="s">
        <v>241</v>
      </c>
      <c r="BY2553" s="2" t="s">
        <v>277</v>
      </c>
      <c r="BZ2553" s="2" t="s">
        <v>243</v>
      </c>
      <c r="CA2553" s="2" t="s">
        <v>3213</v>
      </c>
      <c r="CB2553" s="2" t="s">
        <v>231</v>
      </c>
      <c r="CC2553" s="2" t="s">
        <v>244</v>
      </c>
      <c r="CD2553" s="2" t="s">
        <v>231</v>
      </c>
      <c r="CE2553" s="4">
        <v>132</v>
      </c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>
        <v>100</v>
      </c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/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/>
      <c r="GI2553" s="4"/>
      <c r="GJ2553" s="4"/>
      <c r="GK2553" s="4">
        <v>180</v>
      </c>
      <c r="GL2553" s="4"/>
      <c r="GM2553" s="4"/>
      <c r="GN2553" s="4"/>
      <c r="GO2553" s="4"/>
      <c r="GP2553" s="4"/>
      <c r="GQ2553" s="4"/>
      <c r="GR2553" s="4"/>
      <c r="GS2553" s="4"/>
      <c r="GT2553" s="4"/>
      <c r="GU2553" s="4"/>
      <c r="GV2553" s="4"/>
      <c r="GW2553" s="4"/>
      <c r="GX2553" s="4"/>
      <c r="GY2553" s="4"/>
      <c r="GZ2553" s="4"/>
      <c r="HA2553" s="4"/>
      <c r="HB2553" s="4"/>
      <c r="HC2553" s="4"/>
      <c r="HD2553" s="4"/>
      <c r="HE2553" s="4"/>
      <c r="HF2553" s="4"/>
      <c r="HG2553" s="4"/>
      <c r="HH2553" s="4"/>
      <c r="HI2553" s="4"/>
      <c r="HJ2553" s="4"/>
      <c r="HK2553" s="4"/>
      <c r="HL2553" s="4"/>
    </row>
    <row r="2554">
      <c r="A2554" s="2" t="s">
        <v>10948</v>
      </c>
      <c r="B2554" s="2" t="s">
        <v>1186</v>
      </c>
      <c r="C2554" s="2" t="s">
        <v>288</v>
      </c>
      <c r="D2554" s="2" t="s">
        <v>654</v>
      </c>
      <c r="E2554" s="2" t="s">
        <v>655</v>
      </c>
      <c r="F2554" s="2" t="s">
        <v>10933</v>
      </c>
      <c r="G2554" s="2" t="s">
        <v>10934</v>
      </c>
      <c r="H2554" s="2" t="s">
        <v>10935</v>
      </c>
      <c r="I2554" s="2" t="s">
        <v>10949</v>
      </c>
      <c r="J2554" s="2" t="s">
        <v>302</v>
      </c>
      <c r="K2554" s="2" t="s">
        <v>1513</v>
      </c>
      <c r="L2554" s="3">
        <v>66.24</v>
      </c>
      <c r="M2554" s="3">
        <v>69.55</v>
      </c>
      <c r="N2554" s="3">
        <v>149.99</v>
      </c>
      <c r="O2554" s="2" t="s">
        <v>243</v>
      </c>
      <c r="P2554" s="2" t="s">
        <v>270</v>
      </c>
      <c r="Q2554" s="2" t="s">
        <v>237</v>
      </c>
      <c r="R2554" s="2" t="s">
        <v>231</v>
      </c>
      <c r="S2554" s="2" t="s">
        <v>231</v>
      </c>
      <c r="T2554" s="2" t="s">
        <v>231</v>
      </c>
      <c r="U2554" s="2" t="s">
        <v>700</v>
      </c>
      <c r="V2554" s="2" t="s">
        <v>1304</v>
      </c>
      <c r="W2554" s="2" t="s">
        <v>897</v>
      </c>
      <c r="X2554" s="2" t="s">
        <v>8680</v>
      </c>
      <c r="Y2554" s="2" t="s">
        <v>5979</v>
      </c>
      <c r="Z2554" s="4">
        <v>441</v>
      </c>
      <c r="AA2554" s="4">
        <f>=ROUNDDOWN(73.5,0)</f>
      </c>
      <c r="AB2554" s="5">
        <v>6</v>
      </c>
      <c r="AC2554" s="2" t="s">
        <v>1315</v>
      </c>
      <c r="AD2554" s="4">
        <v>90</v>
      </c>
      <c r="AE2554" s="4">
        <v>90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231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231</v>
      </c>
      <c r="BD2554" s="8" t="s">
        <v>231</v>
      </c>
      <c r="BE2554" s="4" t="s">
        <v>231</v>
      </c>
      <c r="BF2554" s="8" t="s">
        <v>231</v>
      </c>
      <c r="BG2554" s="7" t="s">
        <v>231</v>
      </c>
      <c r="BH2554" s="7" t="s">
        <v>231</v>
      </c>
      <c r="BI2554" s="7"/>
      <c r="BJ2554" s="4">
        <v>25</v>
      </c>
      <c r="BK2554" s="8">
        <v>1884.98</v>
      </c>
      <c r="BL2554" s="2" t="s">
        <v>10950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10951</v>
      </c>
      <c r="BV2554" s="2" t="s">
        <v>231</v>
      </c>
      <c r="BW2554" s="2" t="s">
        <v>231</v>
      </c>
      <c r="BX2554" s="2" t="s">
        <v>312</v>
      </c>
      <c r="BY2554" s="2" t="s">
        <v>277</v>
      </c>
      <c r="BZ2554" s="2" t="s">
        <v>243</v>
      </c>
      <c r="CA2554" s="2" t="s">
        <v>10952</v>
      </c>
      <c r="CB2554" s="2" t="s">
        <v>4115</v>
      </c>
      <c r="CC2554" s="2" t="s">
        <v>244</v>
      </c>
      <c r="CD2554" s="2" t="s">
        <v>231</v>
      </c>
      <c r="CE2554" s="4">
        <v>441</v>
      </c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>
        <v>90</v>
      </c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/>
      <c r="FH2554" s="4"/>
      <c r="FI2554" s="4"/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/>
      <c r="GF2554" s="4"/>
      <c r="GG2554" s="4"/>
      <c r="GH2554" s="4"/>
      <c r="GI2554" s="4"/>
      <c r="GJ2554" s="4"/>
      <c r="GK2554" s="4"/>
      <c r="GL2554" s="4"/>
      <c r="GM2554" s="4"/>
      <c r="GN2554" s="4"/>
      <c r="GO2554" s="4"/>
      <c r="GP2554" s="4"/>
      <c r="GQ2554" s="4"/>
      <c r="GR2554" s="4"/>
      <c r="GS2554" s="4"/>
      <c r="GT2554" s="4"/>
      <c r="GU2554" s="4"/>
      <c r="GV2554" s="4"/>
      <c r="GW2554" s="4"/>
      <c r="GX2554" s="4"/>
      <c r="GY2554" s="4"/>
      <c r="GZ2554" s="4"/>
      <c r="HA2554" s="4"/>
      <c r="HB2554" s="4"/>
      <c r="HC2554" s="4"/>
      <c r="HD2554" s="4"/>
      <c r="HE2554" s="4"/>
      <c r="HF2554" s="4"/>
      <c r="HG2554" s="4"/>
      <c r="HH2554" s="4"/>
      <c r="HI2554" s="4"/>
      <c r="HJ2554" s="4"/>
      <c r="HK2554" s="4"/>
      <c r="HL2554" s="4"/>
    </row>
    <row r="2555">
      <c r="A2555" s="2" t="s">
        <v>10953</v>
      </c>
      <c r="B2555" s="2" t="s">
        <v>226</v>
      </c>
      <c r="C2555" s="2" t="s">
        <v>1299</v>
      </c>
      <c r="D2555" s="2" t="s">
        <v>1624</v>
      </c>
      <c r="E2555" s="2" t="s">
        <v>1625</v>
      </c>
      <c r="F2555" s="2" t="s">
        <v>10954</v>
      </c>
      <c r="G2555" s="2" t="s">
        <v>10954</v>
      </c>
      <c r="H2555" s="2" t="s">
        <v>10954</v>
      </c>
      <c r="I2555" s="2" t="s">
        <v>7936</v>
      </c>
      <c r="J2555" s="2" t="s">
        <v>1628</v>
      </c>
      <c r="K2555" s="2" t="s">
        <v>294</v>
      </c>
      <c r="L2555" s="3">
        <v>16.1</v>
      </c>
      <c r="M2555" s="3">
        <v>16.9</v>
      </c>
      <c r="N2555" s="3">
        <v>34.99</v>
      </c>
      <c r="O2555" s="2" t="s">
        <v>243</v>
      </c>
      <c r="P2555" s="2" t="s">
        <v>341</v>
      </c>
      <c r="Q2555" s="2" t="s">
        <v>237</v>
      </c>
      <c r="R2555" s="2" t="s">
        <v>231</v>
      </c>
      <c r="S2555" s="2" t="s">
        <v>10955</v>
      </c>
      <c r="T2555" s="2" t="s">
        <v>970</v>
      </c>
      <c r="U2555" s="2" t="s">
        <v>231</v>
      </c>
      <c r="V2555" s="2" t="s">
        <v>1304</v>
      </c>
      <c r="W2555" s="2" t="s">
        <v>897</v>
      </c>
      <c r="X2555" s="2" t="s">
        <v>971</v>
      </c>
      <c r="Y2555" s="2" t="s">
        <v>274</v>
      </c>
      <c r="Z2555" s="4"/>
      <c r="AA2555" s="4">
        <f>=ROUNDDOWN({0},0)</f>
      </c>
      <c r="AB2555" s="5">
        <v>9</v>
      </c>
      <c r="AC2555" s="2" t="s">
        <v>231</v>
      </c>
      <c r="AD2555" s="4"/>
      <c r="AE2555" s="4"/>
      <c r="AF2555" s="6">
        <v>65</v>
      </c>
      <c r="AG2555" s="6"/>
      <c r="AH2555" s="7">
        <v>0</v>
      </c>
      <c r="AI2555" s="4"/>
      <c r="AJ2555" s="4">
        <f>=ROUNDDOWN({0},0)</f>
      </c>
      <c r="AK2555" s="5"/>
      <c r="AL2555" s="2" t="s">
        <v>231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231</v>
      </c>
      <c r="AW2555" s="8" t="s">
        <v>231</v>
      </c>
      <c r="AX2555" s="4" t="s">
        <v>231</v>
      </c>
      <c r="AY2555" s="8" t="s">
        <v>231</v>
      </c>
      <c r="AZ2555" s="7" t="s">
        <v>231</v>
      </c>
      <c r="BA2555" s="7" t="s">
        <v>231</v>
      </c>
      <c r="BB2555" s="7"/>
      <c r="BC2555" s="4" t="s">
        <v>231</v>
      </c>
      <c r="BD2555" s="8" t="s">
        <v>231</v>
      </c>
      <c r="BE2555" s="4" t="s">
        <v>231</v>
      </c>
      <c r="BF2555" s="8" t="s">
        <v>231</v>
      </c>
      <c r="BG2555" s="7" t="s">
        <v>231</v>
      </c>
      <c r="BH2555" s="7" t="s">
        <v>231</v>
      </c>
      <c r="BI2555" s="7"/>
      <c r="BJ2555" s="4"/>
      <c r="BK2555" s="8"/>
      <c r="BL2555" s="2" t="s">
        <v>231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10956</v>
      </c>
      <c r="BV2555" s="2" t="s">
        <v>231</v>
      </c>
      <c r="BW2555" s="2" t="s">
        <v>231</v>
      </c>
      <c r="BX2555" s="2" t="s">
        <v>1360</v>
      </c>
      <c r="BY2555" s="2" t="s">
        <v>277</v>
      </c>
      <c r="BZ2555" s="2" t="s">
        <v>243</v>
      </c>
      <c r="CA2555" s="2" t="s">
        <v>1633</v>
      </c>
      <c r="CB2555" s="2" t="s">
        <v>7940</v>
      </c>
      <c r="CC2555" s="2" t="s">
        <v>244</v>
      </c>
      <c r="CD2555" s="2" t="s">
        <v>231</v>
      </c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/>
      <c r="FH2555" s="4"/>
      <c r="FI2555" s="4"/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/>
      <c r="GH2555" s="4"/>
      <c r="GI2555" s="4"/>
      <c r="GJ2555" s="4"/>
      <c r="GK2555" s="4"/>
      <c r="GL2555" s="4"/>
      <c r="GM2555" s="4"/>
      <c r="GN2555" s="4"/>
      <c r="GO2555" s="4"/>
      <c r="GP2555" s="4"/>
      <c r="GQ2555" s="4"/>
      <c r="GR2555" s="4"/>
      <c r="GS2555" s="4"/>
      <c r="GT2555" s="4"/>
      <c r="GU2555" s="4"/>
      <c r="GV2555" s="4"/>
      <c r="GW2555" s="4"/>
      <c r="GX2555" s="4"/>
      <c r="GY2555" s="4"/>
      <c r="GZ2555" s="4"/>
      <c r="HA2555" s="4"/>
      <c r="HB2555" s="4"/>
      <c r="HC2555" s="4"/>
      <c r="HD2555" s="4"/>
      <c r="HE2555" s="4"/>
      <c r="HF2555" s="4"/>
      <c r="HG2555" s="4"/>
      <c r="HH2555" s="4"/>
      <c r="HI2555" s="4"/>
      <c r="HJ2555" s="4"/>
      <c r="HK2555" s="4"/>
      <c r="HL2555" s="4"/>
    </row>
    <row r="2556">
      <c r="A2556" s="2" t="s">
        <v>10957</v>
      </c>
      <c r="B2556" s="2" t="s">
        <v>226</v>
      </c>
      <c r="C2556" s="2" t="s">
        <v>1299</v>
      </c>
      <c r="D2556" s="2" t="s">
        <v>1549</v>
      </c>
      <c r="E2556" s="2" t="s">
        <v>1550</v>
      </c>
      <c r="F2556" s="2" t="s">
        <v>10954</v>
      </c>
      <c r="G2556" s="2" t="s">
        <v>10954</v>
      </c>
      <c r="H2556" s="2" t="s">
        <v>10954</v>
      </c>
      <c r="I2556" s="2" t="s">
        <v>10958</v>
      </c>
      <c r="J2556" s="2" t="s">
        <v>2845</v>
      </c>
      <c r="K2556" s="2" t="s">
        <v>294</v>
      </c>
      <c r="L2556" s="3">
        <v>37.72</v>
      </c>
      <c r="M2556" s="3">
        <v>39.61</v>
      </c>
      <c r="N2556" s="3">
        <v>81.99</v>
      </c>
      <c r="O2556" s="2" t="s">
        <v>243</v>
      </c>
      <c r="P2556" s="2" t="s">
        <v>270</v>
      </c>
      <c r="Q2556" s="2" t="s">
        <v>237</v>
      </c>
      <c r="R2556" s="2" t="s">
        <v>231</v>
      </c>
      <c r="S2556" s="2" t="s">
        <v>10955</v>
      </c>
      <c r="T2556" s="2" t="s">
        <v>970</v>
      </c>
      <c r="U2556" s="2" t="s">
        <v>327</v>
      </c>
      <c r="V2556" s="2" t="s">
        <v>1304</v>
      </c>
      <c r="W2556" s="2" t="s">
        <v>897</v>
      </c>
      <c r="X2556" s="2" t="s">
        <v>971</v>
      </c>
      <c r="Y2556" s="2" t="s">
        <v>4567</v>
      </c>
      <c r="Z2556" s="4">
        <v>59</v>
      </c>
      <c r="AA2556" s="4">
        <f>=ROUNDDOWN(3.93333333333333,0)</f>
      </c>
      <c r="AB2556" s="5">
        <v>15</v>
      </c>
      <c r="AC2556" s="2" t="s">
        <v>3723</v>
      </c>
      <c r="AD2556" s="4">
        <v>150</v>
      </c>
      <c r="AE2556" s="4">
        <v>740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231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231</v>
      </c>
      <c r="AW2556" s="8" t="s">
        <v>231</v>
      </c>
      <c r="AX2556" s="4" t="s">
        <v>231</v>
      </c>
      <c r="AY2556" s="8" t="s">
        <v>231</v>
      </c>
      <c r="AZ2556" s="7" t="s">
        <v>231</v>
      </c>
      <c r="BA2556" s="7" t="s">
        <v>231</v>
      </c>
      <c r="BB2556" s="7"/>
      <c r="BC2556" s="4" t="s">
        <v>231</v>
      </c>
      <c r="BD2556" s="8" t="s">
        <v>231</v>
      </c>
      <c r="BE2556" s="4" t="s">
        <v>231</v>
      </c>
      <c r="BF2556" s="8" t="s">
        <v>231</v>
      </c>
      <c r="BG2556" s="7" t="s">
        <v>231</v>
      </c>
      <c r="BH2556" s="7" t="s">
        <v>231</v>
      </c>
      <c r="BI2556" s="7"/>
      <c r="BJ2556" s="4">
        <v>6</v>
      </c>
      <c r="BK2556" s="8">
        <v>240.9</v>
      </c>
      <c r="BL2556" s="2" t="s">
        <v>578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10959</v>
      </c>
      <c r="BV2556" s="2" t="s">
        <v>231</v>
      </c>
      <c r="BW2556" s="2" t="s">
        <v>231</v>
      </c>
      <c r="BX2556" s="2" t="s">
        <v>231</v>
      </c>
      <c r="BY2556" s="2" t="s">
        <v>277</v>
      </c>
      <c r="BZ2556" s="2" t="s">
        <v>243</v>
      </c>
      <c r="CA2556" s="2" t="s">
        <v>4576</v>
      </c>
      <c r="CB2556" s="2" t="s">
        <v>1346</v>
      </c>
      <c r="CC2556" s="2" t="s">
        <v>244</v>
      </c>
      <c r="CD2556" s="2" t="s">
        <v>231</v>
      </c>
      <c r="CE2556" s="4">
        <v>59</v>
      </c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>
        <v>150</v>
      </c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/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>
        <v>260</v>
      </c>
      <c r="GF2556" s="4"/>
      <c r="GG2556" s="4"/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>
        <v>330</v>
      </c>
      <c r="HA2556" s="4"/>
      <c r="HB2556" s="4"/>
      <c r="HC2556" s="4"/>
      <c r="HD2556" s="4"/>
      <c r="HE2556" s="4"/>
      <c r="HF2556" s="4"/>
      <c r="HG2556" s="4"/>
      <c r="HH2556" s="4"/>
      <c r="HI2556" s="4"/>
      <c r="HJ2556" s="4"/>
      <c r="HK2556" s="4"/>
      <c r="HL2556" s="4"/>
    </row>
    <row r="2557">
      <c r="A2557" s="2" t="s">
        <v>10960</v>
      </c>
      <c r="B2557" s="2" t="s">
        <v>824</v>
      </c>
      <c r="C2557" s="2" t="s">
        <v>825</v>
      </c>
      <c r="D2557" s="2" t="s">
        <v>826</v>
      </c>
      <c r="E2557" s="2" t="s">
        <v>1060</v>
      </c>
      <c r="F2557" s="2" t="s">
        <v>10961</v>
      </c>
      <c r="G2557" s="2" t="s">
        <v>10962</v>
      </c>
      <c r="H2557" s="2" t="s">
        <v>10963</v>
      </c>
      <c r="I2557" s="2" t="s">
        <v>1874</v>
      </c>
      <c r="J2557" s="2" t="s">
        <v>658</v>
      </c>
      <c r="K2557" s="2" t="s">
        <v>3221</v>
      </c>
      <c r="L2557" s="3">
        <v>33.33</v>
      </c>
      <c r="M2557" s="3">
        <v>35</v>
      </c>
      <c r="N2557" s="3">
        <v>69.99</v>
      </c>
      <c r="O2557" s="2" t="s">
        <v>235</v>
      </c>
      <c r="P2557" s="2" t="s">
        <v>341</v>
      </c>
      <c r="Q2557" s="2" t="s">
        <v>237</v>
      </c>
      <c r="R2557" s="2" t="s">
        <v>231</v>
      </c>
      <c r="S2557" s="2" t="s">
        <v>10964</v>
      </c>
      <c r="T2557" s="2" t="s">
        <v>231</v>
      </c>
      <c r="U2557" s="2" t="s">
        <v>835</v>
      </c>
      <c r="V2557" s="2" t="s">
        <v>836</v>
      </c>
      <c r="W2557" s="2" t="s">
        <v>691</v>
      </c>
      <c r="X2557" s="2" t="s">
        <v>273</v>
      </c>
      <c r="Y2557" s="2" t="s">
        <v>2373</v>
      </c>
      <c r="Z2557" s="4">
        <v>98</v>
      </c>
      <c r="AA2557" s="4">
        <f>=ROUNDDOWN(46.6666666666667,0)</f>
      </c>
      <c r="AB2557" s="5">
        <v>2.1</v>
      </c>
      <c r="AC2557" s="2" t="s">
        <v>231</v>
      </c>
      <c r="AD2557" s="4"/>
      <c r="AE2557" s="4"/>
      <c r="AF2557" s="6">
        <v>66</v>
      </c>
      <c r="AG2557" s="6"/>
      <c r="AH2557" s="7">
        <v>1</v>
      </c>
      <c r="AI2557" s="4"/>
      <c r="AJ2557" s="4">
        <f>=ROUNDDOWN({0},0)</f>
      </c>
      <c r="AK2557" s="5"/>
      <c r="AL2557" s="2" t="s">
        <v>231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/>
      <c r="BD2557" s="8"/>
      <c r="BE2557" s="4"/>
      <c r="BF2557" s="8"/>
      <c r="BG2557" s="7"/>
      <c r="BH2557" s="7"/>
      <c r="BI2557" s="7"/>
      <c r="BJ2557" s="4">
        <v>10</v>
      </c>
      <c r="BK2557" s="8">
        <v>241.92</v>
      </c>
      <c r="BL2557" s="2" t="s">
        <v>393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10965</v>
      </c>
      <c r="BV2557" s="2" t="s">
        <v>231</v>
      </c>
      <c r="BW2557" s="2" t="s">
        <v>231</v>
      </c>
      <c r="BX2557" s="2" t="s">
        <v>231</v>
      </c>
      <c r="BY2557" s="2" t="s">
        <v>277</v>
      </c>
      <c r="BZ2557" s="2" t="s">
        <v>243</v>
      </c>
      <c r="CA2557" s="2" t="s">
        <v>10966</v>
      </c>
      <c r="CB2557" s="2" t="s">
        <v>386</v>
      </c>
      <c r="CC2557" s="2" t="s">
        <v>244</v>
      </c>
      <c r="CD2557" s="2" t="s">
        <v>231</v>
      </c>
      <c r="CE2557" s="4">
        <v>98</v>
      </c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/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/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/>
      <c r="GE2557" s="4"/>
      <c r="GF2557" s="4"/>
      <c r="GG2557" s="4"/>
      <c r="GH2557" s="4"/>
      <c r="GI2557" s="4"/>
      <c r="GJ2557" s="4"/>
      <c r="GK2557" s="4"/>
      <c r="GL2557" s="4"/>
      <c r="GM2557" s="4"/>
      <c r="GN2557" s="4"/>
      <c r="GO2557" s="4"/>
      <c r="GP2557" s="4"/>
      <c r="GQ2557" s="4"/>
      <c r="GR2557" s="4"/>
      <c r="GS2557" s="4"/>
      <c r="GT2557" s="4"/>
      <c r="GU2557" s="4"/>
      <c r="GV2557" s="4"/>
      <c r="GW2557" s="4"/>
      <c r="GX2557" s="4"/>
      <c r="GY2557" s="4"/>
      <c r="GZ2557" s="4"/>
      <c r="HA2557" s="4"/>
      <c r="HB2557" s="4"/>
      <c r="HC2557" s="4"/>
      <c r="HD2557" s="4"/>
      <c r="HE2557" s="4"/>
      <c r="HF2557" s="4"/>
      <c r="HG2557" s="4"/>
      <c r="HH2557" s="4"/>
      <c r="HI2557" s="4"/>
      <c r="HJ2557" s="4"/>
      <c r="HK2557" s="4"/>
      <c r="HL2557" s="4"/>
    </row>
    <row r="2558">
      <c r="A2558" s="2" t="s">
        <v>10967</v>
      </c>
      <c r="B2558" s="2" t="s">
        <v>1389</v>
      </c>
      <c r="C2558" s="2" t="s">
        <v>288</v>
      </c>
      <c r="D2558" s="2" t="s">
        <v>1389</v>
      </c>
      <c r="E2558" s="2" t="s">
        <v>1389</v>
      </c>
      <c r="F2558" s="2" t="s">
        <v>10968</v>
      </c>
      <c r="G2558" s="2" t="s">
        <v>10969</v>
      </c>
      <c r="H2558" s="2" t="s">
        <v>10970</v>
      </c>
      <c r="I2558" s="2" t="s">
        <v>10971</v>
      </c>
      <c r="J2558" s="2" t="s">
        <v>6119</v>
      </c>
      <c r="K2558" s="2" t="s">
        <v>269</v>
      </c>
      <c r="L2558" s="3">
        <v>37.57</v>
      </c>
      <c r="M2558" s="3">
        <v>39.45</v>
      </c>
      <c r="N2558" s="3">
        <v>84.99</v>
      </c>
      <c r="O2558" s="2" t="s">
        <v>243</v>
      </c>
      <c r="P2558" s="2" t="s">
        <v>341</v>
      </c>
      <c r="Q2558" s="2" t="s">
        <v>237</v>
      </c>
      <c r="R2558" s="2" t="s">
        <v>231</v>
      </c>
      <c r="S2558" s="2" t="s">
        <v>10972</v>
      </c>
      <c r="T2558" s="2" t="s">
        <v>231</v>
      </c>
      <c r="U2558" s="2" t="s">
        <v>327</v>
      </c>
      <c r="V2558" s="2" t="s">
        <v>836</v>
      </c>
      <c r="W2558" s="2" t="s">
        <v>691</v>
      </c>
      <c r="X2558" s="2" t="s">
        <v>231</v>
      </c>
      <c r="Y2558" s="2" t="s">
        <v>2033</v>
      </c>
      <c r="Z2558" s="4">
        <v>68</v>
      </c>
      <c r="AA2558" s="4">
        <f>=ROUNDDOWN(340,0)</f>
      </c>
      <c r="AB2558" s="5">
        <v>0.2</v>
      </c>
      <c r="AC2558" s="2" t="s">
        <v>231</v>
      </c>
      <c r="AD2558" s="4"/>
      <c r="AE2558" s="4"/>
      <c r="AF2558" s="6">
        <v>63</v>
      </c>
      <c r="AG2558" s="6"/>
      <c r="AH2558" s="7">
        <v>1</v>
      </c>
      <c r="AI2558" s="4"/>
      <c r="AJ2558" s="4">
        <f>=ROUNDDOWN({0},0)</f>
      </c>
      <c r="AK2558" s="5"/>
      <c r="AL2558" s="2" t="s">
        <v>231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231</v>
      </c>
      <c r="AW2558" s="8" t="s">
        <v>231</v>
      </c>
      <c r="AX2558" s="4" t="s">
        <v>231</v>
      </c>
      <c r="AY2558" s="8" t="s">
        <v>231</v>
      </c>
      <c r="AZ2558" s="7" t="s">
        <v>231</v>
      </c>
      <c r="BA2558" s="7" t="s">
        <v>231</v>
      </c>
      <c r="BB2558" s="7"/>
      <c r="BC2558" s="4" t="s">
        <v>231</v>
      </c>
      <c r="BD2558" s="8" t="s">
        <v>231</v>
      </c>
      <c r="BE2558" s="4" t="s">
        <v>231</v>
      </c>
      <c r="BF2558" s="8" t="s">
        <v>231</v>
      </c>
      <c r="BG2558" s="7" t="s">
        <v>231</v>
      </c>
      <c r="BH2558" s="7" t="s">
        <v>231</v>
      </c>
      <c r="BI2558" s="7"/>
      <c r="BJ2558" s="4">
        <v>1</v>
      </c>
      <c r="BK2558" s="8">
        <v>41.42</v>
      </c>
      <c r="BL2558" s="2" t="s">
        <v>937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10973</v>
      </c>
      <c r="BV2558" s="2" t="s">
        <v>231</v>
      </c>
      <c r="BW2558" s="2" t="s">
        <v>231</v>
      </c>
      <c r="BX2558" s="2" t="s">
        <v>231</v>
      </c>
      <c r="BY2558" s="2" t="s">
        <v>277</v>
      </c>
      <c r="BZ2558" s="2" t="s">
        <v>243</v>
      </c>
      <c r="CA2558" s="2" t="s">
        <v>5855</v>
      </c>
      <c r="CB2558" s="2" t="s">
        <v>231</v>
      </c>
      <c r="CC2558" s="2" t="s">
        <v>244</v>
      </c>
      <c r="CD2558" s="2" t="s">
        <v>231</v>
      </c>
      <c r="CE2558" s="4"/>
      <c r="CF2558" s="4">
        <v>68</v>
      </c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/>
      <c r="GE2558" s="4"/>
      <c r="GF2558" s="4"/>
      <c r="GG2558" s="4"/>
      <c r="GH2558" s="4"/>
      <c r="GI2558" s="4"/>
      <c r="GJ2558" s="4"/>
      <c r="GK2558" s="4"/>
      <c r="GL2558" s="4"/>
      <c r="GM2558" s="4"/>
      <c r="GN2558" s="4"/>
      <c r="GO2558" s="4"/>
      <c r="GP2558" s="4"/>
      <c r="GQ2558" s="4"/>
      <c r="GR2558" s="4"/>
      <c r="GS2558" s="4"/>
      <c r="GT2558" s="4"/>
      <c r="GU2558" s="4"/>
      <c r="GV2558" s="4"/>
      <c r="GW2558" s="4"/>
      <c r="GX2558" s="4"/>
      <c r="GY2558" s="4"/>
      <c r="GZ2558" s="4"/>
      <c r="HA2558" s="4"/>
      <c r="HB2558" s="4"/>
      <c r="HC2558" s="4"/>
      <c r="HD2558" s="4"/>
      <c r="HE2558" s="4"/>
      <c r="HF2558" s="4"/>
      <c r="HG2558" s="4"/>
      <c r="HH2558" s="4"/>
      <c r="HI2558" s="4"/>
      <c r="HJ2558" s="4"/>
      <c r="HK2558" s="4"/>
      <c r="HL2558" s="4"/>
    </row>
    <row r="2559">
      <c r="A2559" s="2" t="s">
        <v>10974</v>
      </c>
      <c r="B2559" s="2" t="s">
        <v>1389</v>
      </c>
      <c r="C2559" s="2" t="s">
        <v>288</v>
      </c>
      <c r="D2559" s="2" t="s">
        <v>1389</v>
      </c>
      <c r="E2559" s="2" t="s">
        <v>1389</v>
      </c>
      <c r="F2559" s="2" t="s">
        <v>10968</v>
      </c>
      <c r="G2559" s="2" t="s">
        <v>10969</v>
      </c>
      <c r="H2559" s="2" t="s">
        <v>10970</v>
      </c>
      <c r="I2559" s="2" t="s">
        <v>10971</v>
      </c>
      <c r="J2559" s="2" t="s">
        <v>1393</v>
      </c>
      <c r="K2559" s="2" t="s">
        <v>269</v>
      </c>
      <c r="L2559" s="3">
        <v>65.45</v>
      </c>
      <c r="M2559" s="3">
        <v>68.72</v>
      </c>
      <c r="N2559" s="3">
        <v>149.99</v>
      </c>
      <c r="O2559" s="2" t="s">
        <v>243</v>
      </c>
      <c r="P2559" s="2" t="s">
        <v>341</v>
      </c>
      <c r="Q2559" s="2" t="s">
        <v>237</v>
      </c>
      <c r="R2559" s="2" t="s">
        <v>231</v>
      </c>
      <c r="S2559" s="2" t="s">
        <v>10972</v>
      </c>
      <c r="T2559" s="2" t="s">
        <v>231</v>
      </c>
      <c r="U2559" s="2" t="s">
        <v>327</v>
      </c>
      <c r="V2559" s="2" t="s">
        <v>836</v>
      </c>
      <c r="W2559" s="2" t="s">
        <v>691</v>
      </c>
      <c r="X2559" s="2" t="s">
        <v>231</v>
      </c>
      <c r="Y2559" s="2" t="s">
        <v>2033</v>
      </c>
      <c r="Z2559" s="4">
        <v>80</v>
      </c>
      <c r="AA2559" s="4">
        <f>=ROUNDDOWN(200,0)</f>
      </c>
      <c r="AB2559" s="5">
        <v>0.4</v>
      </c>
      <c r="AC2559" s="2" t="s">
        <v>231</v>
      </c>
      <c r="AD2559" s="4"/>
      <c r="AE2559" s="4"/>
      <c r="AF2559" s="6">
        <v>63</v>
      </c>
      <c r="AG2559" s="6"/>
      <c r="AH2559" s="7">
        <v>1</v>
      </c>
      <c r="AI2559" s="4"/>
      <c r="AJ2559" s="4">
        <f>=ROUNDDOWN({0},0)</f>
      </c>
      <c r="AK2559" s="5"/>
      <c r="AL2559" s="2" t="s">
        <v>231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231</v>
      </c>
      <c r="AW2559" s="8" t="s">
        <v>231</v>
      </c>
      <c r="AX2559" s="4" t="s">
        <v>231</v>
      </c>
      <c r="AY2559" s="8" t="s">
        <v>231</v>
      </c>
      <c r="AZ2559" s="7" t="s">
        <v>231</v>
      </c>
      <c r="BA2559" s="7" t="s">
        <v>231</v>
      </c>
      <c r="BB2559" s="7"/>
      <c r="BC2559" s="4" t="s">
        <v>231</v>
      </c>
      <c r="BD2559" s="8" t="s">
        <v>231</v>
      </c>
      <c r="BE2559" s="4" t="s">
        <v>231</v>
      </c>
      <c r="BF2559" s="8" t="s">
        <v>231</v>
      </c>
      <c r="BG2559" s="7" t="s">
        <v>231</v>
      </c>
      <c r="BH2559" s="7" t="s">
        <v>231</v>
      </c>
      <c r="BI2559" s="7"/>
      <c r="BJ2559" s="4">
        <v>1</v>
      </c>
      <c r="BK2559" s="8">
        <v>72.16</v>
      </c>
      <c r="BL2559" s="2" t="s">
        <v>924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10975</v>
      </c>
      <c r="BV2559" s="2" t="s">
        <v>231</v>
      </c>
      <c r="BW2559" s="2" t="s">
        <v>231</v>
      </c>
      <c r="BX2559" s="2" t="s">
        <v>231</v>
      </c>
      <c r="BY2559" s="2" t="s">
        <v>277</v>
      </c>
      <c r="BZ2559" s="2" t="s">
        <v>243</v>
      </c>
      <c r="CA2559" s="2" t="s">
        <v>5855</v>
      </c>
      <c r="CB2559" s="2" t="s">
        <v>231</v>
      </c>
      <c r="CC2559" s="2" t="s">
        <v>244</v>
      </c>
      <c r="CD2559" s="2" t="s">
        <v>231</v>
      </c>
      <c r="CE2559" s="4"/>
      <c r="CF2559" s="4">
        <v>80</v>
      </c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/>
      <c r="GE2559" s="4"/>
      <c r="GF2559" s="4"/>
      <c r="GG2559" s="4"/>
      <c r="GH2559" s="4"/>
      <c r="GI2559" s="4"/>
      <c r="GJ2559" s="4"/>
      <c r="GK2559" s="4"/>
      <c r="GL2559" s="4"/>
      <c r="GM2559" s="4"/>
      <c r="GN2559" s="4"/>
      <c r="GO2559" s="4"/>
      <c r="GP2559" s="4"/>
      <c r="GQ2559" s="4"/>
      <c r="GR2559" s="4"/>
      <c r="GS2559" s="4"/>
      <c r="GT2559" s="4"/>
      <c r="GU2559" s="4"/>
      <c r="GV2559" s="4"/>
      <c r="GW2559" s="4"/>
      <c r="GX2559" s="4"/>
      <c r="GY2559" s="4"/>
      <c r="GZ2559" s="4"/>
      <c r="HA2559" s="4"/>
      <c r="HB2559" s="4"/>
      <c r="HC2559" s="4"/>
      <c r="HD2559" s="4"/>
      <c r="HE2559" s="4"/>
      <c r="HF2559" s="4"/>
      <c r="HG2559" s="4"/>
      <c r="HH2559" s="4"/>
      <c r="HI2559" s="4"/>
      <c r="HJ2559" s="4"/>
      <c r="HK2559" s="4"/>
      <c r="HL2559" s="4"/>
    </row>
    <row r="2560">
      <c r="A2560" s="2" t="s">
        <v>10976</v>
      </c>
      <c r="B2560" s="2" t="s">
        <v>1389</v>
      </c>
      <c r="C2560" s="2" t="s">
        <v>288</v>
      </c>
      <c r="D2560" s="2" t="s">
        <v>1389</v>
      </c>
      <c r="E2560" s="2" t="s">
        <v>1389</v>
      </c>
      <c r="F2560" s="2" t="s">
        <v>10968</v>
      </c>
      <c r="G2560" s="2" t="s">
        <v>10969</v>
      </c>
      <c r="H2560" s="2" t="s">
        <v>10970</v>
      </c>
      <c r="I2560" s="2" t="s">
        <v>10971</v>
      </c>
      <c r="J2560" s="2" t="s">
        <v>1401</v>
      </c>
      <c r="K2560" s="2" t="s">
        <v>269</v>
      </c>
      <c r="L2560" s="3">
        <v>99.93</v>
      </c>
      <c r="M2560" s="3">
        <v>104.93</v>
      </c>
      <c r="N2560" s="3">
        <v>224.99</v>
      </c>
      <c r="O2560" s="2" t="s">
        <v>243</v>
      </c>
      <c r="P2560" s="2" t="s">
        <v>341</v>
      </c>
      <c r="Q2560" s="2" t="s">
        <v>237</v>
      </c>
      <c r="R2560" s="2" t="s">
        <v>231</v>
      </c>
      <c r="S2560" s="2" t="s">
        <v>10972</v>
      </c>
      <c r="T2560" s="2" t="s">
        <v>231</v>
      </c>
      <c r="U2560" s="2" t="s">
        <v>327</v>
      </c>
      <c r="V2560" s="2" t="s">
        <v>836</v>
      </c>
      <c r="W2560" s="2" t="s">
        <v>691</v>
      </c>
      <c r="X2560" s="2" t="s">
        <v>231</v>
      </c>
      <c r="Y2560" s="2" t="s">
        <v>2033</v>
      </c>
      <c r="Z2560" s="4">
        <v>46</v>
      </c>
      <c r="AA2560" s="4">
        <f>=ROUNDDOWN(46,0)</f>
      </c>
      <c r="AB2560" s="5">
        <v>1</v>
      </c>
      <c r="AC2560" s="2" t="s">
        <v>231</v>
      </c>
      <c r="AD2560" s="4"/>
      <c r="AE2560" s="4"/>
      <c r="AF2560" s="6">
        <v>63</v>
      </c>
      <c r="AG2560" s="6"/>
      <c r="AH2560" s="7">
        <v>1</v>
      </c>
      <c r="AI2560" s="4"/>
      <c r="AJ2560" s="4">
        <f>=ROUNDDOWN({0},0)</f>
      </c>
      <c r="AK2560" s="5"/>
      <c r="AL2560" s="2" t="s">
        <v>231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231</v>
      </c>
      <c r="AW2560" s="8" t="s">
        <v>231</v>
      </c>
      <c r="AX2560" s="4" t="s">
        <v>231</v>
      </c>
      <c r="AY2560" s="8" t="s">
        <v>231</v>
      </c>
      <c r="AZ2560" s="7" t="s">
        <v>231</v>
      </c>
      <c r="BA2560" s="7" t="s">
        <v>231</v>
      </c>
      <c r="BB2560" s="7"/>
      <c r="BC2560" s="4" t="s">
        <v>231</v>
      </c>
      <c r="BD2560" s="8" t="s">
        <v>231</v>
      </c>
      <c r="BE2560" s="4" t="s">
        <v>231</v>
      </c>
      <c r="BF2560" s="8" t="s">
        <v>231</v>
      </c>
      <c r="BG2560" s="7" t="s">
        <v>231</v>
      </c>
      <c r="BH2560" s="7" t="s">
        <v>231</v>
      </c>
      <c r="BI2560" s="7"/>
      <c r="BJ2560" s="4"/>
      <c r="BK2560" s="8"/>
      <c r="BL2560" s="2" t="s">
        <v>231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10977</v>
      </c>
      <c r="BV2560" s="2" t="s">
        <v>231</v>
      </c>
      <c r="BW2560" s="2" t="s">
        <v>231</v>
      </c>
      <c r="BX2560" s="2" t="s">
        <v>231</v>
      </c>
      <c r="BY2560" s="2" t="s">
        <v>277</v>
      </c>
      <c r="BZ2560" s="2" t="s">
        <v>243</v>
      </c>
      <c r="CA2560" s="2" t="s">
        <v>5855</v>
      </c>
      <c r="CB2560" s="2" t="s">
        <v>6255</v>
      </c>
      <c r="CC2560" s="2" t="s">
        <v>244</v>
      </c>
      <c r="CD2560" s="2" t="s">
        <v>231</v>
      </c>
      <c r="CE2560" s="4"/>
      <c r="CF2560" s="4">
        <v>46</v>
      </c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/>
      <c r="GE2560" s="4"/>
      <c r="GF2560" s="4"/>
      <c r="GG2560" s="4"/>
      <c r="GH2560" s="4"/>
      <c r="GI2560" s="4"/>
      <c r="GJ2560" s="4"/>
      <c r="GK2560" s="4"/>
      <c r="GL2560" s="4"/>
      <c r="GM2560" s="4"/>
      <c r="GN2560" s="4"/>
      <c r="GO2560" s="4"/>
      <c r="GP2560" s="4"/>
      <c r="GQ2560" s="4"/>
      <c r="GR2560" s="4"/>
      <c r="GS2560" s="4"/>
      <c r="GT2560" s="4"/>
      <c r="GU2560" s="4"/>
      <c r="GV2560" s="4"/>
      <c r="GW2560" s="4"/>
      <c r="GX2560" s="4"/>
      <c r="GY2560" s="4"/>
      <c r="GZ2560" s="4"/>
      <c r="HA2560" s="4"/>
      <c r="HB2560" s="4"/>
      <c r="HC2560" s="4"/>
      <c r="HD2560" s="4"/>
      <c r="HE2560" s="4"/>
      <c r="HF2560" s="4"/>
      <c r="HG2560" s="4"/>
      <c r="HH2560" s="4"/>
      <c r="HI2560" s="4"/>
      <c r="HJ2560" s="4"/>
      <c r="HK2560" s="4"/>
      <c r="HL2560" s="4"/>
    </row>
    <row r="2561">
      <c r="A2561" s="2" t="s">
        <v>10978</v>
      </c>
      <c r="B2561" s="2" t="s">
        <v>1389</v>
      </c>
      <c r="C2561" s="2" t="s">
        <v>288</v>
      </c>
      <c r="D2561" s="2" t="s">
        <v>1389</v>
      </c>
      <c r="E2561" s="2" t="s">
        <v>1389</v>
      </c>
      <c r="F2561" s="2" t="s">
        <v>10968</v>
      </c>
      <c r="G2561" s="2" t="s">
        <v>10969</v>
      </c>
      <c r="H2561" s="2" t="s">
        <v>10970</v>
      </c>
      <c r="I2561" s="2" t="s">
        <v>10971</v>
      </c>
      <c r="J2561" s="2" t="s">
        <v>2039</v>
      </c>
      <c r="K2561" s="2" t="s">
        <v>269</v>
      </c>
      <c r="L2561" s="3">
        <v>129.38</v>
      </c>
      <c r="M2561" s="3">
        <v>135.85</v>
      </c>
      <c r="N2561" s="3">
        <v>289.99</v>
      </c>
      <c r="O2561" s="2" t="s">
        <v>243</v>
      </c>
      <c r="P2561" s="2" t="s">
        <v>341</v>
      </c>
      <c r="Q2561" s="2" t="s">
        <v>237</v>
      </c>
      <c r="R2561" s="2" t="s">
        <v>231</v>
      </c>
      <c r="S2561" s="2" t="s">
        <v>10972</v>
      </c>
      <c r="T2561" s="2" t="s">
        <v>231</v>
      </c>
      <c r="U2561" s="2" t="s">
        <v>327</v>
      </c>
      <c r="V2561" s="2" t="s">
        <v>836</v>
      </c>
      <c r="W2561" s="2" t="s">
        <v>691</v>
      </c>
      <c r="X2561" s="2" t="s">
        <v>231</v>
      </c>
      <c r="Y2561" s="2" t="s">
        <v>2033</v>
      </c>
      <c r="Z2561" s="4">
        <v>44</v>
      </c>
      <c r="AA2561" s="4">
        <f>=ROUNDDOWN(110,0)</f>
      </c>
      <c r="AB2561" s="5">
        <v>0.4</v>
      </c>
      <c r="AC2561" s="2" t="s">
        <v>231</v>
      </c>
      <c r="AD2561" s="4"/>
      <c r="AE2561" s="4"/>
      <c r="AF2561" s="6">
        <v>63</v>
      </c>
      <c r="AG2561" s="6"/>
      <c r="AH2561" s="7">
        <v>1</v>
      </c>
      <c r="AI2561" s="4"/>
      <c r="AJ2561" s="4">
        <f>=ROUNDDOWN({0},0)</f>
      </c>
      <c r="AK2561" s="5"/>
      <c r="AL2561" s="2" t="s">
        <v>231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231</v>
      </c>
      <c r="AW2561" s="8" t="s">
        <v>231</v>
      </c>
      <c r="AX2561" s="4" t="s">
        <v>231</v>
      </c>
      <c r="AY2561" s="8" t="s">
        <v>231</v>
      </c>
      <c r="AZ2561" s="7" t="s">
        <v>231</v>
      </c>
      <c r="BA2561" s="7" t="s">
        <v>231</v>
      </c>
      <c r="BB2561" s="7"/>
      <c r="BC2561" s="4" t="s">
        <v>231</v>
      </c>
      <c r="BD2561" s="8" t="s">
        <v>231</v>
      </c>
      <c r="BE2561" s="4" t="s">
        <v>231</v>
      </c>
      <c r="BF2561" s="8" t="s">
        <v>231</v>
      </c>
      <c r="BG2561" s="7" t="s">
        <v>231</v>
      </c>
      <c r="BH2561" s="7" t="s">
        <v>231</v>
      </c>
      <c r="BI2561" s="7"/>
      <c r="BJ2561" s="4">
        <v>4</v>
      </c>
      <c r="BK2561" s="8">
        <v>580.79</v>
      </c>
      <c r="BL2561" s="2" t="s">
        <v>10979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10980</v>
      </c>
      <c r="BV2561" s="2" t="s">
        <v>231</v>
      </c>
      <c r="BW2561" s="2" t="s">
        <v>231</v>
      </c>
      <c r="BX2561" s="2" t="s">
        <v>231</v>
      </c>
      <c r="BY2561" s="2" t="s">
        <v>277</v>
      </c>
      <c r="BZ2561" s="2" t="s">
        <v>243</v>
      </c>
      <c r="CA2561" s="2" t="s">
        <v>5855</v>
      </c>
      <c r="CB2561" s="2" t="s">
        <v>231</v>
      </c>
      <c r="CC2561" s="2" t="s">
        <v>244</v>
      </c>
      <c r="CD2561" s="2" t="s">
        <v>231</v>
      </c>
      <c r="CE2561" s="4"/>
      <c r="CF2561" s="4">
        <v>44</v>
      </c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/>
      <c r="GA2561" s="4"/>
      <c r="GB2561" s="4"/>
      <c r="GC2561" s="4"/>
      <c r="GD2561" s="4"/>
      <c r="GE2561" s="4"/>
      <c r="GF2561" s="4"/>
      <c r="GG2561" s="4"/>
      <c r="GH2561" s="4"/>
      <c r="GI2561" s="4"/>
      <c r="GJ2561" s="4"/>
      <c r="GK2561" s="4"/>
      <c r="GL2561" s="4"/>
      <c r="GM2561" s="4"/>
      <c r="GN2561" s="4"/>
      <c r="GO2561" s="4"/>
      <c r="GP2561" s="4"/>
      <c r="GQ2561" s="4"/>
      <c r="GR2561" s="4"/>
      <c r="GS2561" s="4"/>
      <c r="GT2561" s="4"/>
      <c r="GU2561" s="4"/>
      <c r="GV2561" s="4"/>
      <c r="GW2561" s="4"/>
      <c r="GX2561" s="4"/>
      <c r="GY2561" s="4"/>
      <c r="GZ2561" s="4"/>
      <c r="HA2561" s="4"/>
      <c r="HB2561" s="4"/>
      <c r="HC2561" s="4"/>
      <c r="HD2561" s="4"/>
      <c r="HE2561" s="4"/>
      <c r="HF2561" s="4"/>
      <c r="HG2561" s="4"/>
      <c r="HH2561" s="4"/>
      <c r="HI2561" s="4"/>
      <c r="HJ2561" s="4"/>
      <c r="HK2561" s="4"/>
      <c r="HL2561" s="4"/>
    </row>
    <row r="2562">
      <c r="A2562" s="2" t="s">
        <v>10981</v>
      </c>
      <c r="B2562" s="2" t="s">
        <v>1389</v>
      </c>
      <c r="C2562" s="2" t="s">
        <v>288</v>
      </c>
      <c r="D2562" s="2" t="s">
        <v>1389</v>
      </c>
      <c r="E2562" s="2" t="s">
        <v>1389</v>
      </c>
      <c r="F2562" s="2" t="s">
        <v>10968</v>
      </c>
      <c r="G2562" s="2" t="s">
        <v>10969</v>
      </c>
      <c r="H2562" s="2" t="s">
        <v>10970</v>
      </c>
      <c r="I2562" s="2" t="s">
        <v>10971</v>
      </c>
      <c r="J2562" s="2" t="s">
        <v>6119</v>
      </c>
      <c r="K2562" s="2" t="s">
        <v>10982</v>
      </c>
      <c r="L2562" s="3">
        <v>37.57</v>
      </c>
      <c r="M2562" s="3">
        <v>39.45</v>
      </c>
      <c r="N2562" s="3">
        <v>84.99</v>
      </c>
      <c r="O2562" s="2" t="s">
        <v>243</v>
      </c>
      <c r="P2562" s="2" t="s">
        <v>341</v>
      </c>
      <c r="Q2562" s="2" t="s">
        <v>237</v>
      </c>
      <c r="R2562" s="2" t="s">
        <v>231</v>
      </c>
      <c r="S2562" s="2" t="s">
        <v>231</v>
      </c>
      <c r="T2562" s="2" t="s">
        <v>231</v>
      </c>
      <c r="U2562" s="2" t="s">
        <v>327</v>
      </c>
      <c r="V2562" s="2" t="s">
        <v>836</v>
      </c>
      <c r="W2562" s="2" t="s">
        <v>691</v>
      </c>
      <c r="X2562" s="2" t="s">
        <v>231</v>
      </c>
      <c r="Y2562" s="2" t="s">
        <v>5498</v>
      </c>
      <c r="Z2562" s="4">
        <v>12</v>
      </c>
      <c r="AA2562" s="4">
        <f>=ROUNDDOWN(7.05882352941176,0)</f>
      </c>
      <c r="AB2562" s="5">
        <v>1.7</v>
      </c>
      <c r="AC2562" s="2" t="s">
        <v>231</v>
      </c>
      <c r="AD2562" s="4"/>
      <c r="AE2562" s="4"/>
      <c r="AF2562" s="6">
        <v>63</v>
      </c>
      <c r="AG2562" s="6"/>
      <c r="AH2562" s="7">
        <v>1</v>
      </c>
      <c r="AI2562" s="4"/>
      <c r="AJ2562" s="4">
        <f>=ROUNDDOWN({0},0)</f>
      </c>
      <c r="AK2562" s="5"/>
      <c r="AL2562" s="2" t="s">
        <v>231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231</v>
      </c>
      <c r="AW2562" s="8" t="s">
        <v>231</v>
      </c>
      <c r="AX2562" s="4" t="s">
        <v>231</v>
      </c>
      <c r="AY2562" s="8" t="s">
        <v>231</v>
      </c>
      <c r="AZ2562" s="7" t="s">
        <v>231</v>
      </c>
      <c r="BA2562" s="7" t="s">
        <v>231</v>
      </c>
      <c r="BB2562" s="7"/>
      <c r="BC2562" s="4" t="s">
        <v>231</v>
      </c>
      <c r="BD2562" s="8" t="s">
        <v>231</v>
      </c>
      <c r="BE2562" s="4" t="s">
        <v>231</v>
      </c>
      <c r="BF2562" s="8" t="s">
        <v>231</v>
      </c>
      <c r="BG2562" s="7" t="s">
        <v>231</v>
      </c>
      <c r="BH2562" s="7" t="s">
        <v>231</v>
      </c>
      <c r="BI2562" s="7"/>
      <c r="BJ2562" s="4">
        <v>7</v>
      </c>
      <c r="BK2562" s="8">
        <v>261.26</v>
      </c>
      <c r="BL2562" s="2" t="s">
        <v>10983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10984</v>
      </c>
      <c r="BV2562" s="2" t="s">
        <v>231</v>
      </c>
      <c r="BW2562" s="2" t="s">
        <v>231</v>
      </c>
      <c r="BX2562" s="2" t="s">
        <v>231</v>
      </c>
      <c r="BY2562" s="2" t="s">
        <v>277</v>
      </c>
      <c r="BZ2562" s="2" t="s">
        <v>243</v>
      </c>
      <c r="CA2562" s="2" t="s">
        <v>1379</v>
      </c>
      <c r="CB2562" s="2" t="s">
        <v>231</v>
      </c>
      <c r="CC2562" s="2" t="s">
        <v>244</v>
      </c>
      <c r="CD2562" s="2" t="s">
        <v>231</v>
      </c>
      <c r="CE2562" s="4"/>
      <c r="CF2562" s="4">
        <v>12</v>
      </c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/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/>
      <c r="GA2562" s="4"/>
      <c r="GB2562" s="4"/>
      <c r="GC2562" s="4"/>
      <c r="GD2562" s="4"/>
      <c r="GE2562" s="4"/>
      <c r="GF2562" s="4"/>
      <c r="GG2562" s="4"/>
      <c r="GH2562" s="4"/>
      <c r="GI2562" s="4"/>
      <c r="GJ2562" s="4"/>
      <c r="GK2562" s="4"/>
      <c r="GL2562" s="4"/>
      <c r="GM2562" s="4"/>
      <c r="GN2562" s="4"/>
      <c r="GO2562" s="4"/>
      <c r="GP2562" s="4"/>
      <c r="GQ2562" s="4"/>
      <c r="GR2562" s="4"/>
      <c r="GS2562" s="4"/>
      <c r="GT2562" s="4"/>
      <c r="GU2562" s="4"/>
      <c r="GV2562" s="4"/>
      <c r="GW2562" s="4"/>
      <c r="GX2562" s="4"/>
      <c r="GY2562" s="4"/>
      <c r="GZ2562" s="4"/>
      <c r="HA2562" s="4"/>
      <c r="HB2562" s="4"/>
      <c r="HC2562" s="4"/>
      <c r="HD2562" s="4"/>
      <c r="HE2562" s="4"/>
      <c r="HF2562" s="4"/>
      <c r="HG2562" s="4"/>
      <c r="HH2562" s="4"/>
      <c r="HI2562" s="4"/>
      <c r="HJ2562" s="4"/>
      <c r="HK2562" s="4"/>
      <c r="HL2562" s="4"/>
    </row>
    <row r="2563">
      <c r="A2563" s="2" t="s">
        <v>10985</v>
      </c>
      <c r="B2563" s="2" t="s">
        <v>1389</v>
      </c>
      <c r="C2563" s="2" t="s">
        <v>288</v>
      </c>
      <c r="D2563" s="2" t="s">
        <v>1389</v>
      </c>
      <c r="E2563" s="2" t="s">
        <v>1389</v>
      </c>
      <c r="F2563" s="2" t="s">
        <v>10968</v>
      </c>
      <c r="G2563" s="2" t="s">
        <v>10969</v>
      </c>
      <c r="H2563" s="2" t="s">
        <v>10970</v>
      </c>
      <c r="I2563" s="2" t="s">
        <v>10971</v>
      </c>
      <c r="J2563" s="2" t="s">
        <v>1393</v>
      </c>
      <c r="K2563" s="2" t="s">
        <v>10982</v>
      </c>
      <c r="L2563" s="3">
        <v>65.45</v>
      </c>
      <c r="M2563" s="3">
        <v>68.72</v>
      </c>
      <c r="N2563" s="3">
        <v>149.99</v>
      </c>
      <c r="O2563" s="2" t="s">
        <v>243</v>
      </c>
      <c r="P2563" s="2" t="s">
        <v>341</v>
      </c>
      <c r="Q2563" s="2" t="s">
        <v>237</v>
      </c>
      <c r="R2563" s="2" t="s">
        <v>231</v>
      </c>
      <c r="S2563" s="2" t="s">
        <v>231</v>
      </c>
      <c r="T2563" s="2" t="s">
        <v>231</v>
      </c>
      <c r="U2563" s="2" t="s">
        <v>327</v>
      </c>
      <c r="V2563" s="2" t="s">
        <v>836</v>
      </c>
      <c r="W2563" s="2" t="s">
        <v>691</v>
      </c>
      <c r="X2563" s="2" t="s">
        <v>231</v>
      </c>
      <c r="Y2563" s="2" t="s">
        <v>5498</v>
      </c>
      <c r="Z2563" s="4">
        <v>300</v>
      </c>
      <c r="AA2563" s="4">
        <f>=ROUNDDOWN(750,0)</f>
      </c>
      <c r="AB2563" s="5">
        <v>0.4</v>
      </c>
      <c r="AC2563" s="2" t="s">
        <v>231</v>
      </c>
      <c r="AD2563" s="4"/>
      <c r="AE2563" s="4"/>
      <c r="AF2563" s="6">
        <v>63</v>
      </c>
      <c r="AG2563" s="6"/>
      <c r="AH2563" s="7">
        <v>1</v>
      </c>
      <c r="AI2563" s="4"/>
      <c r="AJ2563" s="4">
        <f>=ROUNDDOWN({0},0)</f>
      </c>
      <c r="AK2563" s="5"/>
      <c r="AL2563" s="2" t="s">
        <v>231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231</v>
      </c>
      <c r="AW2563" s="8" t="s">
        <v>231</v>
      </c>
      <c r="AX2563" s="4" t="s">
        <v>231</v>
      </c>
      <c r="AY2563" s="8" t="s">
        <v>231</v>
      </c>
      <c r="AZ2563" s="7" t="s">
        <v>231</v>
      </c>
      <c r="BA2563" s="7" t="s">
        <v>231</v>
      </c>
      <c r="BB2563" s="7"/>
      <c r="BC2563" s="4" t="s">
        <v>231</v>
      </c>
      <c r="BD2563" s="8" t="s">
        <v>231</v>
      </c>
      <c r="BE2563" s="4" t="s">
        <v>231</v>
      </c>
      <c r="BF2563" s="8" t="s">
        <v>231</v>
      </c>
      <c r="BG2563" s="7" t="s">
        <v>231</v>
      </c>
      <c r="BH2563" s="7" t="s">
        <v>231</v>
      </c>
      <c r="BI2563" s="7"/>
      <c r="BJ2563" s="4">
        <v>2</v>
      </c>
      <c r="BK2563" s="8">
        <v>226.48</v>
      </c>
      <c r="BL2563" s="2" t="s">
        <v>10986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10987</v>
      </c>
      <c r="BV2563" s="2" t="s">
        <v>231</v>
      </c>
      <c r="BW2563" s="2" t="s">
        <v>231</v>
      </c>
      <c r="BX2563" s="2" t="s">
        <v>231</v>
      </c>
      <c r="BY2563" s="2" t="s">
        <v>277</v>
      </c>
      <c r="BZ2563" s="2" t="s">
        <v>243</v>
      </c>
      <c r="CA2563" s="2" t="s">
        <v>1379</v>
      </c>
      <c r="CB2563" s="2" t="s">
        <v>1374</v>
      </c>
      <c r="CC2563" s="2" t="s">
        <v>244</v>
      </c>
      <c r="CD2563" s="2" t="s">
        <v>231</v>
      </c>
      <c r="CE2563" s="4"/>
      <c r="CF2563" s="4">
        <v>300</v>
      </c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/>
      <c r="GE2563" s="4"/>
      <c r="GF2563" s="4"/>
      <c r="GG2563" s="4"/>
      <c r="GH2563" s="4"/>
      <c r="GI2563" s="4"/>
      <c r="GJ2563" s="4"/>
      <c r="GK2563" s="4"/>
      <c r="GL2563" s="4"/>
      <c r="GM2563" s="4"/>
      <c r="GN2563" s="4"/>
      <c r="GO2563" s="4"/>
      <c r="GP2563" s="4"/>
      <c r="GQ2563" s="4"/>
      <c r="GR2563" s="4"/>
      <c r="GS2563" s="4"/>
      <c r="GT2563" s="4"/>
      <c r="GU2563" s="4"/>
      <c r="GV2563" s="4"/>
      <c r="GW2563" s="4"/>
      <c r="GX2563" s="4"/>
      <c r="GY2563" s="4"/>
      <c r="GZ2563" s="4"/>
      <c r="HA2563" s="4"/>
      <c r="HB2563" s="4"/>
      <c r="HC2563" s="4"/>
      <c r="HD2563" s="4"/>
      <c r="HE2563" s="4"/>
      <c r="HF2563" s="4"/>
      <c r="HG2563" s="4"/>
      <c r="HH2563" s="4"/>
      <c r="HI2563" s="4"/>
      <c r="HJ2563" s="4"/>
      <c r="HK2563" s="4"/>
      <c r="HL2563" s="4"/>
    </row>
    <row r="2564">
      <c r="A2564" s="2" t="s">
        <v>10988</v>
      </c>
      <c r="B2564" s="2" t="s">
        <v>1389</v>
      </c>
      <c r="C2564" s="2" t="s">
        <v>288</v>
      </c>
      <c r="D2564" s="2" t="s">
        <v>1389</v>
      </c>
      <c r="E2564" s="2" t="s">
        <v>1389</v>
      </c>
      <c r="F2564" s="2" t="s">
        <v>10968</v>
      </c>
      <c r="G2564" s="2" t="s">
        <v>10969</v>
      </c>
      <c r="H2564" s="2" t="s">
        <v>10970</v>
      </c>
      <c r="I2564" s="2" t="s">
        <v>10971</v>
      </c>
      <c r="J2564" s="2" t="s">
        <v>1401</v>
      </c>
      <c r="K2564" s="2" t="s">
        <v>10982</v>
      </c>
      <c r="L2564" s="3">
        <v>99.93</v>
      </c>
      <c r="M2564" s="3">
        <v>104.93</v>
      </c>
      <c r="N2564" s="3">
        <v>224.99</v>
      </c>
      <c r="O2564" s="2" t="s">
        <v>243</v>
      </c>
      <c r="P2564" s="2" t="s">
        <v>341</v>
      </c>
      <c r="Q2564" s="2" t="s">
        <v>237</v>
      </c>
      <c r="R2564" s="2" t="s">
        <v>231</v>
      </c>
      <c r="S2564" s="2" t="s">
        <v>231</v>
      </c>
      <c r="T2564" s="2" t="s">
        <v>231</v>
      </c>
      <c r="U2564" s="2" t="s">
        <v>327</v>
      </c>
      <c r="V2564" s="2" t="s">
        <v>836</v>
      </c>
      <c r="W2564" s="2" t="s">
        <v>691</v>
      </c>
      <c r="X2564" s="2" t="s">
        <v>231</v>
      </c>
      <c r="Y2564" s="2" t="s">
        <v>5498</v>
      </c>
      <c r="Z2564" s="4">
        <v>233</v>
      </c>
      <c r="AA2564" s="4">
        <f>=ROUNDDOWN(258.888888888889,0)</f>
      </c>
      <c r="AB2564" s="5">
        <v>0.9</v>
      </c>
      <c r="AC2564" s="2" t="s">
        <v>231</v>
      </c>
      <c r="AD2564" s="4"/>
      <c r="AE2564" s="4"/>
      <c r="AF2564" s="6">
        <v>63</v>
      </c>
      <c r="AG2564" s="6"/>
      <c r="AH2564" s="7">
        <v>1</v>
      </c>
      <c r="AI2564" s="4"/>
      <c r="AJ2564" s="4">
        <f>=ROUNDDOWN({0},0)</f>
      </c>
      <c r="AK2564" s="5"/>
      <c r="AL2564" s="2" t="s">
        <v>231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231</v>
      </c>
      <c r="AW2564" s="8" t="s">
        <v>231</v>
      </c>
      <c r="AX2564" s="4" t="s">
        <v>231</v>
      </c>
      <c r="AY2564" s="8" t="s">
        <v>231</v>
      </c>
      <c r="AZ2564" s="7" t="s">
        <v>231</v>
      </c>
      <c r="BA2564" s="7" t="s">
        <v>231</v>
      </c>
      <c r="BB2564" s="7"/>
      <c r="BC2564" s="4" t="s">
        <v>231</v>
      </c>
      <c r="BD2564" s="8" t="s">
        <v>231</v>
      </c>
      <c r="BE2564" s="4" t="s">
        <v>231</v>
      </c>
      <c r="BF2564" s="8" t="s">
        <v>231</v>
      </c>
      <c r="BG2564" s="7" t="s">
        <v>231</v>
      </c>
      <c r="BH2564" s="7" t="s">
        <v>231</v>
      </c>
      <c r="BI2564" s="7"/>
      <c r="BJ2564" s="4">
        <v>4</v>
      </c>
      <c r="BK2564" s="8">
        <v>334.19</v>
      </c>
      <c r="BL2564" s="2" t="s">
        <v>10989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10990</v>
      </c>
      <c r="BV2564" s="2" t="s">
        <v>231</v>
      </c>
      <c r="BW2564" s="2" t="s">
        <v>231</v>
      </c>
      <c r="BX2564" s="2" t="s">
        <v>231</v>
      </c>
      <c r="BY2564" s="2" t="s">
        <v>277</v>
      </c>
      <c r="BZ2564" s="2" t="s">
        <v>243</v>
      </c>
      <c r="CA2564" s="2" t="s">
        <v>1379</v>
      </c>
      <c r="CB2564" s="2" t="s">
        <v>231</v>
      </c>
      <c r="CC2564" s="2" t="s">
        <v>244</v>
      </c>
      <c r="CD2564" s="2" t="s">
        <v>231</v>
      </c>
      <c r="CE2564" s="4"/>
      <c r="CF2564" s="4">
        <v>233</v>
      </c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/>
      <c r="GE2564" s="4"/>
      <c r="GF2564" s="4"/>
      <c r="GG2564" s="4"/>
      <c r="GH2564" s="4"/>
      <c r="GI2564" s="4"/>
      <c r="GJ2564" s="4"/>
      <c r="GK2564" s="4"/>
      <c r="GL2564" s="4"/>
      <c r="GM2564" s="4"/>
      <c r="GN2564" s="4"/>
      <c r="GO2564" s="4"/>
      <c r="GP2564" s="4"/>
      <c r="GQ2564" s="4"/>
      <c r="GR2564" s="4"/>
      <c r="GS2564" s="4"/>
      <c r="GT2564" s="4"/>
      <c r="GU2564" s="4"/>
      <c r="GV2564" s="4"/>
      <c r="GW2564" s="4"/>
      <c r="GX2564" s="4"/>
      <c r="GY2564" s="4"/>
      <c r="GZ2564" s="4"/>
      <c r="HA2564" s="4"/>
      <c r="HB2564" s="4"/>
      <c r="HC2564" s="4"/>
      <c r="HD2564" s="4"/>
      <c r="HE2564" s="4"/>
      <c r="HF2564" s="4"/>
      <c r="HG2564" s="4"/>
      <c r="HH2564" s="4"/>
      <c r="HI2564" s="4"/>
      <c r="HJ2564" s="4"/>
      <c r="HK2564" s="4"/>
      <c r="HL2564" s="4"/>
    </row>
    <row r="2565">
      <c r="A2565" s="2" t="s">
        <v>10991</v>
      </c>
      <c r="B2565" s="2" t="s">
        <v>1389</v>
      </c>
      <c r="C2565" s="2" t="s">
        <v>288</v>
      </c>
      <c r="D2565" s="2" t="s">
        <v>1389</v>
      </c>
      <c r="E2565" s="2" t="s">
        <v>1389</v>
      </c>
      <c r="F2565" s="2" t="s">
        <v>10968</v>
      </c>
      <c r="G2565" s="2" t="s">
        <v>10969</v>
      </c>
      <c r="H2565" s="2" t="s">
        <v>10970</v>
      </c>
      <c r="I2565" s="2" t="s">
        <v>10971</v>
      </c>
      <c r="J2565" s="2" t="s">
        <v>2039</v>
      </c>
      <c r="K2565" s="2" t="s">
        <v>10982</v>
      </c>
      <c r="L2565" s="3">
        <v>129.38</v>
      </c>
      <c r="M2565" s="3">
        <v>135.85</v>
      </c>
      <c r="N2565" s="3">
        <v>289.99</v>
      </c>
      <c r="O2565" s="2" t="s">
        <v>243</v>
      </c>
      <c r="P2565" s="2" t="s">
        <v>341</v>
      </c>
      <c r="Q2565" s="2" t="s">
        <v>237</v>
      </c>
      <c r="R2565" s="2" t="s">
        <v>231</v>
      </c>
      <c r="S2565" s="2" t="s">
        <v>231</v>
      </c>
      <c r="T2565" s="2" t="s">
        <v>231</v>
      </c>
      <c r="U2565" s="2" t="s">
        <v>327</v>
      </c>
      <c r="V2565" s="2" t="s">
        <v>836</v>
      </c>
      <c r="W2565" s="2" t="s">
        <v>691</v>
      </c>
      <c r="X2565" s="2" t="s">
        <v>231</v>
      </c>
      <c r="Y2565" s="2" t="s">
        <v>5498</v>
      </c>
      <c r="Z2565" s="4">
        <v>202</v>
      </c>
      <c r="AA2565" s="4">
        <f>=ROUNDDOWN(168.333333333333,0)</f>
      </c>
      <c r="AB2565" s="5">
        <v>1.2</v>
      </c>
      <c r="AC2565" s="2" t="s">
        <v>231</v>
      </c>
      <c r="AD2565" s="4"/>
      <c r="AE2565" s="4"/>
      <c r="AF2565" s="6">
        <v>63</v>
      </c>
      <c r="AG2565" s="6"/>
      <c r="AH2565" s="7">
        <v>1</v>
      </c>
      <c r="AI2565" s="4"/>
      <c r="AJ2565" s="4">
        <f>=ROUNDDOWN({0},0)</f>
      </c>
      <c r="AK2565" s="5"/>
      <c r="AL2565" s="2" t="s">
        <v>231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231</v>
      </c>
      <c r="AW2565" s="8" t="s">
        <v>231</v>
      </c>
      <c r="AX2565" s="4" t="s">
        <v>231</v>
      </c>
      <c r="AY2565" s="8" t="s">
        <v>231</v>
      </c>
      <c r="AZ2565" s="7" t="s">
        <v>231</v>
      </c>
      <c r="BA2565" s="7" t="s">
        <v>231</v>
      </c>
      <c r="BB2565" s="7"/>
      <c r="BC2565" s="4" t="s">
        <v>231</v>
      </c>
      <c r="BD2565" s="8" t="s">
        <v>231</v>
      </c>
      <c r="BE2565" s="4" t="s">
        <v>231</v>
      </c>
      <c r="BF2565" s="8" t="s">
        <v>231</v>
      </c>
      <c r="BG2565" s="7" t="s">
        <v>231</v>
      </c>
      <c r="BH2565" s="7" t="s">
        <v>231</v>
      </c>
      <c r="BI2565" s="7"/>
      <c r="BJ2565" s="4">
        <v>8</v>
      </c>
      <c r="BK2565" s="8">
        <v>904.76</v>
      </c>
      <c r="BL2565" s="2" t="s">
        <v>10992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10993</v>
      </c>
      <c r="BV2565" s="2" t="s">
        <v>231</v>
      </c>
      <c r="BW2565" s="2" t="s">
        <v>231</v>
      </c>
      <c r="BX2565" s="2" t="s">
        <v>231</v>
      </c>
      <c r="BY2565" s="2" t="s">
        <v>277</v>
      </c>
      <c r="BZ2565" s="2" t="s">
        <v>243</v>
      </c>
      <c r="CA2565" s="2" t="s">
        <v>1379</v>
      </c>
      <c r="CB2565" s="2" t="s">
        <v>10994</v>
      </c>
      <c r="CC2565" s="2" t="s">
        <v>244</v>
      </c>
      <c r="CD2565" s="2" t="s">
        <v>231</v>
      </c>
      <c r="CE2565" s="4"/>
      <c r="CF2565" s="4">
        <v>202</v>
      </c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/>
      <c r="GE2565" s="4"/>
      <c r="GF2565" s="4"/>
      <c r="GG2565" s="4"/>
      <c r="GH2565" s="4"/>
      <c r="GI2565" s="4"/>
      <c r="GJ2565" s="4"/>
      <c r="GK2565" s="4"/>
      <c r="GL2565" s="4"/>
      <c r="GM2565" s="4"/>
      <c r="GN2565" s="4"/>
      <c r="GO2565" s="4"/>
      <c r="GP2565" s="4"/>
      <c r="GQ2565" s="4"/>
      <c r="GR2565" s="4"/>
      <c r="GS2565" s="4"/>
      <c r="GT2565" s="4"/>
      <c r="GU2565" s="4"/>
      <c r="GV2565" s="4"/>
      <c r="GW2565" s="4"/>
      <c r="GX2565" s="4"/>
      <c r="GY2565" s="4"/>
      <c r="GZ2565" s="4"/>
      <c r="HA2565" s="4"/>
      <c r="HB2565" s="4"/>
      <c r="HC2565" s="4"/>
      <c r="HD2565" s="4"/>
      <c r="HE2565" s="4"/>
      <c r="HF2565" s="4"/>
      <c r="HG2565" s="4"/>
      <c r="HH2565" s="4"/>
      <c r="HI2565" s="4"/>
      <c r="HJ2565" s="4"/>
      <c r="HK2565" s="4"/>
      <c r="HL2565" s="4"/>
    </row>
    <row r="2566">
      <c r="A2566" s="2" t="s">
        <v>10995</v>
      </c>
      <c r="B2566" s="2" t="s">
        <v>226</v>
      </c>
      <c r="C2566" s="2" t="s">
        <v>288</v>
      </c>
      <c r="D2566" s="2" t="s">
        <v>654</v>
      </c>
      <c r="E2566" s="2" t="s">
        <v>890</v>
      </c>
      <c r="F2566" s="2" t="s">
        <v>10996</v>
      </c>
      <c r="G2566" s="2" t="s">
        <v>5448</v>
      </c>
      <c r="H2566" s="2" t="s">
        <v>5448</v>
      </c>
      <c r="I2566" s="2" t="s">
        <v>10997</v>
      </c>
      <c r="J2566" s="2" t="s">
        <v>318</v>
      </c>
      <c r="K2566" s="2" t="s">
        <v>901</v>
      </c>
      <c r="L2566" s="3">
        <v>47.61</v>
      </c>
      <c r="M2566" s="3">
        <v>49.99</v>
      </c>
      <c r="N2566" s="3">
        <v>99.99</v>
      </c>
      <c r="O2566" s="2" t="s">
        <v>243</v>
      </c>
      <c r="P2566" s="2" t="s">
        <v>236</v>
      </c>
      <c r="Q2566" s="2" t="s">
        <v>237</v>
      </c>
      <c r="R2566" s="2" t="s">
        <v>231</v>
      </c>
      <c r="S2566" s="2" t="s">
        <v>10998</v>
      </c>
      <c r="T2566" s="2" t="s">
        <v>10999</v>
      </c>
      <c r="U2566" s="2" t="s">
        <v>791</v>
      </c>
      <c r="V2566" s="2" t="s">
        <v>239</v>
      </c>
      <c r="W2566" s="2" t="s">
        <v>896</v>
      </c>
      <c r="X2566" s="2" t="s">
        <v>897</v>
      </c>
      <c r="Y2566" s="2" t="s">
        <v>231</v>
      </c>
      <c r="Z2566" s="4"/>
      <c r="AA2566" s="4">
        <f>=ROUNDDOWN({0},0)</f>
      </c>
      <c r="AB2566" s="5"/>
      <c r="AC2566" s="2" t="s">
        <v>1315</v>
      </c>
      <c r="AD2566" s="4">
        <v>60</v>
      </c>
      <c r="AE2566" s="4">
        <v>120</v>
      </c>
      <c r="AF2566" s="6">
        <v>65</v>
      </c>
      <c r="AG2566" s="6"/>
      <c r="AH2566" s="7">
        <v>0</v>
      </c>
      <c r="AI2566" s="4"/>
      <c r="AJ2566" s="4">
        <f>=ROUNDDOWN({0},0)</f>
      </c>
      <c r="AK2566" s="5"/>
      <c r="AL2566" s="2" t="s">
        <v>231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231</v>
      </c>
      <c r="AW2566" s="8" t="s">
        <v>231</v>
      </c>
      <c r="AX2566" s="4" t="s">
        <v>231</v>
      </c>
      <c r="AY2566" s="8" t="s">
        <v>231</v>
      </c>
      <c r="AZ2566" s="7" t="s">
        <v>231</v>
      </c>
      <c r="BA2566" s="7" t="s">
        <v>231</v>
      </c>
      <c r="BB2566" s="7"/>
      <c r="BC2566" s="4" t="s">
        <v>231</v>
      </c>
      <c r="BD2566" s="8" t="s">
        <v>231</v>
      </c>
      <c r="BE2566" s="4" t="s">
        <v>231</v>
      </c>
      <c r="BF2566" s="8" t="s">
        <v>231</v>
      </c>
      <c r="BG2566" s="7" t="s">
        <v>231</v>
      </c>
      <c r="BH2566" s="7" t="s">
        <v>231</v>
      </c>
      <c r="BI2566" s="7"/>
      <c r="BJ2566" s="4"/>
      <c r="BK2566" s="8"/>
      <c r="BL2566" s="2" t="s">
        <v>231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241</v>
      </c>
      <c r="BV2566" s="2" t="s">
        <v>231</v>
      </c>
      <c r="BW2566" s="2" t="s">
        <v>231</v>
      </c>
      <c r="BX2566" s="2" t="s">
        <v>241</v>
      </c>
      <c r="BY2566" s="2" t="s">
        <v>242</v>
      </c>
      <c r="BZ2566" s="2" t="s">
        <v>243</v>
      </c>
      <c r="CA2566" s="2" t="s">
        <v>231</v>
      </c>
      <c r="CB2566" s="2" t="s">
        <v>231</v>
      </c>
      <c r="CC2566" s="2" t="s">
        <v>244</v>
      </c>
      <c r="CD2566" s="2" t="s">
        <v>231</v>
      </c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/>
      <c r="DY2566" s="4"/>
      <c r="DZ2566" s="4"/>
      <c r="EA2566" s="4"/>
      <c r="EB2566" s="4"/>
      <c r="EC2566" s="4"/>
      <c r="ED2566" s="4"/>
      <c r="EE2566" s="4">
        <v>60</v>
      </c>
      <c r="EF2566" s="4"/>
      <c r="EG2566" s="4"/>
      <c r="EH2566" s="4"/>
      <c r="EI2566" s="4"/>
      <c r="EJ2566" s="4"/>
      <c r="EK2566" s="4"/>
      <c r="EL2566" s="4"/>
      <c r="EM2566" s="4"/>
      <c r="EN2566" s="4"/>
      <c r="EO2566" s="4"/>
      <c r="EP2566" s="4"/>
      <c r="EQ2566" s="4"/>
      <c r="ER2566" s="4"/>
      <c r="ES2566" s="4"/>
      <c r="ET2566" s="4"/>
      <c r="EU2566" s="4"/>
      <c r="EV2566" s="4"/>
      <c r="EW2566" s="4"/>
      <c r="EX2566" s="4"/>
      <c r="EY2566" s="4"/>
      <c r="EZ2566" s="4"/>
      <c r="FA2566" s="4"/>
      <c r="FB2566" s="4"/>
      <c r="FC2566" s="4"/>
      <c r="FD2566" s="4"/>
      <c r="FE2566" s="4"/>
      <c r="FF2566" s="4"/>
      <c r="FG2566" s="4"/>
      <c r="FH2566" s="4"/>
      <c r="FI2566" s="4"/>
      <c r="FJ2566" s="4"/>
      <c r="FK2566" s="4"/>
      <c r="FL2566" s="4"/>
      <c r="FM2566" s="4"/>
      <c r="FN2566" s="4"/>
      <c r="FO2566" s="4"/>
      <c r="FP2566" s="4"/>
      <c r="FQ2566" s="4"/>
      <c r="FR2566" s="4"/>
      <c r="FS2566" s="4"/>
      <c r="FT2566" s="4"/>
      <c r="FU2566" s="4"/>
      <c r="FV2566" s="4"/>
      <c r="FW2566" s="4"/>
      <c r="FX2566" s="4"/>
      <c r="FY2566" s="4"/>
      <c r="FZ2566" s="4"/>
      <c r="GA2566" s="4"/>
      <c r="GB2566" s="4"/>
      <c r="GC2566" s="4"/>
      <c r="GD2566" s="4">
        <v>60</v>
      </c>
      <c r="GE2566" s="4"/>
      <c r="GF2566" s="4"/>
      <c r="GG2566" s="4"/>
      <c r="GH2566" s="4"/>
      <c r="GI2566" s="4"/>
      <c r="GJ2566" s="4"/>
      <c r="GK2566" s="4"/>
      <c r="GL2566" s="4"/>
      <c r="GM2566" s="4"/>
      <c r="GN2566" s="4"/>
      <c r="GO2566" s="4"/>
      <c r="GP2566" s="4"/>
      <c r="GQ2566" s="4"/>
      <c r="GR2566" s="4"/>
      <c r="GS2566" s="4"/>
      <c r="GT2566" s="4"/>
      <c r="GU2566" s="4"/>
      <c r="GV2566" s="4"/>
      <c r="GW2566" s="4"/>
      <c r="GX2566" s="4"/>
      <c r="GY2566" s="4"/>
      <c r="GZ2566" s="4"/>
      <c r="HA2566" s="4"/>
      <c r="HB2566" s="4"/>
      <c r="HC2566" s="4"/>
      <c r="HD2566" s="4"/>
      <c r="HE2566" s="4"/>
      <c r="HF2566" s="4"/>
      <c r="HG2566" s="4"/>
      <c r="HH2566" s="4"/>
      <c r="HI2566" s="4"/>
      <c r="HJ2566" s="4"/>
      <c r="HK2566" s="4"/>
      <c r="HL2566" s="4"/>
    </row>
    <row r="2567">
      <c r="A2567" s="2" t="s">
        <v>11000</v>
      </c>
      <c r="B2567" s="2" t="s">
        <v>226</v>
      </c>
      <c r="C2567" s="2" t="s">
        <v>288</v>
      </c>
      <c r="D2567" s="2" t="s">
        <v>654</v>
      </c>
      <c r="E2567" s="2" t="s">
        <v>890</v>
      </c>
      <c r="F2567" s="2" t="s">
        <v>10996</v>
      </c>
      <c r="G2567" s="2" t="s">
        <v>5448</v>
      </c>
      <c r="H2567" s="2" t="s">
        <v>5448</v>
      </c>
      <c r="I2567" s="2" t="s">
        <v>10997</v>
      </c>
      <c r="J2567" s="2" t="s">
        <v>658</v>
      </c>
      <c r="K2567" s="2" t="s">
        <v>901</v>
      </c>
      <c r="L2567" s="3">
        <v>61.9</v>
      </c>
      <c r="M2567" s="3">
        <v>65</v>
      </c>
      <c r="N2567" s="3">
        <v>129.99</v>
      </c>
      <c r="O2567" s="2" t="s">
        <v>243</v>
      </c>
      <c r="P2567" s="2" t="s">
        <v>236</v>
      </c>
      <c r="Q2567" s="2" t="s">
        <v>237</v>
      </c>
      <c r="R2567" s="2" t="s">
        <v>231</v>
      </c>
      <c r="S2567" s="2" t="s">
        <v>10998</v>
      </c>
      <c r="T2567" s="2" t="s">
        <v>10999</v>
      </c>
      <c r="U2567" s="2" t="s">
        <v>835</v>
      </c>
      <c r="V2567" s="2" t="s">
        <v>239</v>
      </c>
      <c r="W2567" s="2" t="s">
        <v>896</v>
      </c>
      <c r="X2567" s="2" t="s">
        <v>897</v>
      </c>
      <c r="Y2567" s="2" t="s">
        <v>231</v>
      </c>
      <c r="Z2567" s="4"/>
      <c r="AA2567" s="4">
        <f>=ROUNDDOWN({0},0)</f>
      </c>
      <c r="AB2567" s="5"/>
      <c r="AC2567" s="2" t="s">
        <v>1315</v>
      </c>
      <c r="AD2567" s="4">
        <v>155</v>
      </c>
      <c r="AE2567" s="4">
        <v>310</v>
      </c>
      <c r="AF2567" s="6">
        <v>65</v>
      </c>
      <c r="AG2567" s="6"/>
      <c r="AH2567" s="7">
        <v>0</v>
      </c>
      <c r="AI2567" s="4"/>
      <c r="AJ2567" s="4">
        <f>=ROUNDDOWN({0},0)</f>
      </c>
      <c r="AK2567" s="5"/>
      <c r="AL2567" s="2" t="s">
        <v>231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231</v>
      </c>
      <c r="AW2567" s="8" t="s">
        <v>231</v>
      </c>
      <c r="AX2567" s="4" t="s">
        <v>231</v>
      </c>
      <c r="AY2567" s="8" t="s">
        <v>231</v>
      </c>
      <c r="AZ2567" s="7" t="s">
        <v>231</v>
      </c>
      <c r="BA2567" s="7" t="s">
        <v>231</v>
      </c>
      <c r="BB2567" s="7"/>
      <c r="BC2567" s="4" t="s">
        <v>231</v>
      </c>
      <c r="BD2567" s="8" t="s">
        <v>231</v>
      </c>
      <c r="BE2567" s="4" t="s">
        <v>231</v>
      </c>
      <c r="BF2567" s="8" t="s">
        <v>231</v>
      </c>
      <c r="BG2567" s="7" t="s">
        <v>231</v>
      </c>
      <c r="BH2567" s="7" t="s">
        <v>231</v>
      </c>
      <c r="BI2567" s="7"/>
      <c r="BJ2567" s="4"/>
      <c r="BK2567" s="8"/>
      <c r="BL2567" s="2" t="s">
        <v>231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241</v>
      </c>
      <c r="BV2567" s="2" t="s">
        <v>231</v>
      </c>
      <c r="BW2567" s="2" t="s">
        <v>231</v>
      </c>
      <c r="BX2567" s="2" t="s">
        <v>241</v>
      </c>
      <c r="BY2567" s="2" t="s">
        <v>242</v>
      </c>
      <c r="BZ2567" s="2" t="s">
        <v>243</v>
      </c>
      <c r="CA2567" s="2" t="s">
        <v>231</v>
      </c>
      <c r="CB2567" s="2" t="s">
        <v>231</v>
      </c>
      <c r="CC2567" s="2" t="s">
        <v>244</v>
      </c>
      <c r="CD2567" s="2" t="s">
        <v>231</v>
      </c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/>
      <c r="DY2567" s="4"/>
      <c r="DZ2567" s="4"/>
      <c r="EA2567" s="4"/>
      <c r="EB2567" s="4"/>
      <c r="EC2567" s="4"/>
      <c r="ED2567" s="4"/>
      <c r="EE2567" s="4">
        <v>155</v>
      </c>
      <c r="EF2567" s="4"/>
      <c r="EG2567" s="4"/>
      <c r="EH2567" s="4"/>
      <c r="EI2567" s="4"/>
      <c r="EJ2567" s="4"/>
      <c r="EK2567" s="4"/>
      <c r="EL2567" s="4"/>
      <c r="EM2567" s="4"/>
      <c r="EN2567" s="4"/>
      <c r="EO2567" s="4"/>
      <c r="EP2567" s="4"/>
      <c r="EQ2567" s="4"/>
      <c r="ER2567" s="4"/>
      <c r="ES2567" s="4"/>
      <c r="ET2567" s="4"/>
      <c r="EU2567" s="4"/>
      <c r="EV2567" s="4"/>
      <c r="EW2567" s="4"/>
      <c r="EX2567" s="4"/>
      <c r="EY2567" s="4"/>
      <c r="EZ2567" s="4"/>
      <c r="FA2567" s="4"/>
      <c r="FB2567" s="4"/>
      <c r="FC2567" s="4"/>
      <c r="FD2567" s="4"/>
      <c r="FE2567" s="4"/>
      <c r="FF2567" s="4"/>
      <c r="FG2567" s="4"/>
      <c r="FH2567" s="4"/>
      <c r="FI2567" s="4"/>
      <c r="FJ2567" s="4"/>
      <c r="FK2567" s="4"/>
      <c r="FL2567" s="4"/>
      <c r="FM2567" s="4"/>
      <c r="FN2567" s="4"/>
      <c r="FO2567" s="4"/>
      <c r="FP2567" s="4"/>
      <c r="FQ2567" s="4"/>
      <c r="FR2567" s="4"/>
      <c r="FS2567" s="4"/>
      <c r="FT2567" s="4"/>
      <c r="FU2567" s="4"/>
      <c r="FV2567" s="4"/>
      <c r="FW2567" s="4"/>
      <c r="FX2567" s="4"/>
      <c r="FY2567" s="4"/>
      <c r="FZ2567" s="4"/>
      <c r="GA2567" s="4"/>
      <c r="GB2567" s="4"/>
      <c r="GC2567" s="4"/>
      <c r="GD2567" s="4">
        <v>155</v>
      </c>
      <c r="GE2567" s="4"/>
      <c r="GF2567" s="4"/>
      <c r="GG2567" s="4"/>
      <c r="GH2567" s="4"/>
      <c r="GI2567" s="4"/>
      <c r="GJ2567" s="4"/>
      <c r="GK2567" s="4"/>
      <c r="GL2567" s="4"/>
      <c r="GM2567" s="4"/>
      <c r="GN2567" s="4"/>
      <c r="GO2567" s="4"/>
      <c r="GP2567" s="4"/>
      <c r="GQ2567" s="4"/>
      <c r="GR2567" s="4"/>
      <c r="GS2567" s="4"/>
      <c r="GT2567" s="4"/>
      <c r="GU2567" s="4"/>
      <c r="GV2567" s="4"/>
      <c r="GW2567" s="4"/>
      <c r="GX2567" s="4"/>
      <c r="GY2567" s="4"/>
      <c r="GZ2567" s="4"/>
      <c r="HA2567" s="4"/>
      <c r="HB2567" s="4"/>
      <c r="HC2567" s="4"/>
      <c r="HD2567" s="4"/>
      <c r="HE2567" s="4"/>
      <c r="HF2567" s="4"/>
      <c r="HG2567" s="4"/>
      <c r="HH2567" s="4"/>
      <c r="HI2567" s="4"/>
      <c r="HJ2567" s="4"/>
      <c r="HK2567" s="4"/>
      <c r="HL2567" s="4"/>
    </row>
    <row r="2568">
      <c r="A2568" s="2" t="s">
        <v>11001</v>
      </c>
      <c r="B2568" s="2" t="s">
        <v>226</v>
      </c>
      <c r="C2568" s="2" t="s">
        <v>288</v>
      </c>
      <c r="D2568" s="2" t="s">
        <v>654</v>
      </c>
      <c r="E2568" s="2" t="s">
        <v>890</v>
      </c>
      <c r="F2568" s="2" t="s">
        <v>10996</v>
      </c>
      <c r="G2568" s="2" t="s">
        <v>5448</v>
      </c>
      <c r="H2568" s="2" t="s">
        <v>5448</v>
      </c>
      <c r="I2568" s="2" t="s">
        <v>10997</v>
      </c>
      <c r="J2568" s="2" t="s">
        <v>302</v>
      </c>
      <c r="K2568" s="2" t="s">
        <v>901</v>
      </c>
      <c r="L2568" s="3">
        <v>71.42</v>
      </c>
      <c r="M2568" s="3">
        <v>74.99</v>
      </c>
      <c r="N2568" s="3">
        <v>149.99</v>
      </c>
      <c r="O2568" s="2" t="s">
        <v>243</v>
      </c>
      <c r="P2568" s="2" t="s">
        <v>236</v>
      </c>
      <c r="Q2568" s="2" t="s">
        <v>237</v>
      </c>
      <c r="R2568" s="2" t="s">
        <v>231</v>
      </c>
      <c r="S2568" s="2" t="s">
        <v>10998</v>
      </c>
      <c r="T2568" s="2" t="s">
        <v>10999</v>
      </c>
      <c r="U2568" s="2" t="s">
        <v>835</v>
      </c>
      <c r="V2568" s="2" t="s">
        <v>239</v>
      </c>
      <c r="W2568" s="2" t="s">
        <v>896</v>
      </c>
      <c r="X2568" s="2" t="s">
        <v>897</v>
      </c>
      <c r="Y2568" s="2" t="s">
        <v>231</v>
      </c>
      <c r="Z2568" s="4"/>
      <c r="AA2568" s="4">
        <f>=ROUNDDOWN({0},0)</f>
      </c>
      <c r="AB2568" s="5"/>
      <c r="AC2568" s="2" t="s">
        <v>1315</v>
      </c>
      <c r="AD2568" s="4">
        <v>180</v>
      </c>
      <c r="AE2568" s="4">
        <v>370</v>
      </c>
      <c r="AF2568" s="6">
        <v>65</v>
      </c>
      <c r="AG2568" s="6"/>
      <c r="AH2568" s="7">
        <v>0</v>
      </c>
      <c r="AI2568" s="4"/>
      <c r="AJ2568" s="4">
        <f>=ROUNDDOWN({0},0)</f>
      </c>
      <c r="AK2568" s="5"/>
      <c r="AL2568" s="2" t="s">
        <v>231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231</v>
      </c>
      <c r="AW2568" s="8" t="s">
        <v>231</v>
      </c>
      <c r="AX2568" s="4" t="s">
        <v>231</v>
      </c>
      <c r="AY2568" s="8" t="s">
        <v>231</v>
      </c>
      <c r="AZ2568" s="7" t="s">
        <v>231</v>
      </c>
      <c r="BA2568" s="7" t="s">
        <v>231</v>
      </c>
      <c r="BB2568" s="7"/>
      <c r="BC2568" s="4" t="s">
        <v>231</v>
      </c>
      <c r="BD2568" s="8" t="s">
        <v>231</v>
      </c>
      <c r="BE2568" s="4" t="s">
        <v>231</v>
      </c>
      <c r="BF2568" s="8" t="s">
        <v>231</v>
      </c>
      <c r="BG2568" s="7" t="s">
        <v>231</v>
      </c>
      <c r="BH2568" s="7" t="s">
        <v>231</v>
      </c>
      <c r="BI2568" s="7"/>
      <c r="BJ2568" s="4"/>
      <c r="BK2568" s="8"/>
      <c r="BL2568" s="2" t="s">
        <v>231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241</v>
      </c>
      <c r="BV2568" s="2" t="s">
        <v>231</v>
      </c>
      <c r="BW2568" s="2" t="s">
        <v>231</v>
      </c>
      <c r="BX2568" s="2" t="s">
        <v>241</v>
      </c>
      <c r="BY2568" s="2" t="s">
        <v>242</v>
      </c>
      <c r="BZ2568" s="2" t="s">
        <v>243</v>
      </c>
      <c r="CA2568" s="2" t="s">
        <v>231</v>
      </c>
      <c r="CB2568" s="2" t="s">
        <v>231</v>
      </c>
      <c r="CC2568" s="2" t="s">
        <v>244</v>
      </c>
      <c r="CD2568" s="2" t="s">
        <v>231</v>
      </c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>
        <v>180</v>
      </c>
      <c r="EF2568" s="4"/>
      <c r="EG2568" s="4"/>
      <c r="EH2568" s="4"/>
      <c r="EI2568" s="4"/>
      <c r="EJ2568" s="4"/>
      <c r="EK2568" s="4"/>
      <c r="EL2568" s="4"/>
      <c r="EM2568" s="4"/>
      <c r="EN2568" s="4"/>
      <c r="EO2568" s="4"/>
      <c r="EP2568" s="4"/>
      <c r="EQ2568" s="4"/>
      <c r="ER2568" s="4"/>
      <c r="ES2568" s="4"/>
      <c r="ET2568" s="4"/>
      <c r="EU2568" s="4"/>
      <c r="EV2568" s="4"/>
      <c r="EW2568" s="4"/>
      <c r="EX2568" s="4"/>
      <c r="EY2568" s="4"/>
      <c r="EZ2568" s="4"/>
      <c r="FA2568" s="4"/>
      <c r="FB2568" s="4"/>
      <c r="FC2568" s="4"/>
      <c r="FD2568" s="4"/>
      <c r="FE2568" s="4"/>
      <c r="FF2568" s="4"/>
      <c r="FG2568" s="4"/>
      <c r="FH2568" s="4"/>
      <c r="FI2568" s="4"/>
      <c r="FJ2568" s="4"/>
      <c r="FK2568" s="4"/>
      <c r="FL2568" s="4"/>
      <c r="FM2568" s="4"/>
      <c r="FN2568" s="4"/>
      <c r="FO2568" s="4"/>
      <c r="FP2568" s="4"/>
      <c r="FQ2568" s="4"/>
      <c r="FR2568" s="4"/>
      <c r="FS2568" s="4"/>
      <c r="FT2568" s="4"/>
      <c r="FU2568" s="4"/>
      <c r="FV2568" s="4"/>
      <c r="FW2568" s="4"/>
      <c r="FX2568" s="4"/>
      <c r="FY2568" s="4"/>
      <c r="FZ2568" s="4"/>
      <c r="GA2568" s="4"/>
      <c r="GB2568" s="4"/>
      <c r="GC2568" s="4"/>
      <c r="GD2568" s="4">
        <v>190</v>
      </c>
      <c r="GE2568" s="4"/>
      <c r="GF2568" s="4"/>
      <c r="GG2568" s="4"/>
      <c r="GH2568" s="4"/>
      <c r="GI2568" s="4"/>
      <c r="GJ2568" s="4"/>
      <c r="GK2568" s="4"/>
      <c r="GL2568" s="4"/>
      <c r="GM2568" s="4"/>
      <c r="GN2568" s="4"/>
      <c r="GO2568" s="4"/>
      <c r="GP2568" s="4"/>
      <c r="GQ2568" s="4"/>
      <c r="GR2568" s="4"/>
      <c r="GS2568" s="4"/>
      <c r="GT2568" s="4"/>
      <c r="GU2568" s="4"/>
      <c r="GV2568" s="4"/>
      <c r="GW2568" s="4"/>
      <c r="GX2568" s="4"/>
      <c r="GY2568" s="4"/>
      <c r="GZ2568" s="4"/>
      <c r="HA2568" s="4"/>
      <c r="HB2568" s="4"/>
      <c r="HC2568" s="4"/>
      <c r="HD2568" s="4"/>
      <c r="HE2568" s="4"/>
      <c r="HF2568" s="4"/>
      <c r="HG2568" s="4"/>
      <c r="HH2568" s="4"/>
      <c r="HI2568" s="4"/>
      <c r="HJ2568" s="4"/>
      <c r="HK2568" s="4"/>
      <c r="HL2568" s="4"/>
    </row>
    <row r="2569">
      <c r="A2569" s="2" t="s">
        <v>11002</v>
      </c>
      <c r="B2569" s="2" t="s">
        <v>824</v>
      </c>
      <c r="C2569" s="2" t="s">
        <v>825</v>
      </c>
      <c r="D2569" s="2" t="s">
        <v>654</v>
      </c>
      <c r="E2569" s="2" t="s">
        <v>1187</v>
      </c>
      <c r="F2569" s="2" t="s">
        <v>11003</v>
      </c>
      <c r="G2569" s="2" t="s">
        <v>11004</v>
      </c>
      <c r="H2569" s="2" t="s">
        <v>11005</v>
      </c>
      <c r="I2569" s="2" t="s">
        <v>11006</v>
      </c>
      <c r="J2569" s="2" t="s">
        <v>318</v>
      </c>
      <c r="K2569" s="2" t="s">
        <v>11007</v>
      </c>
      <c r="L2569" s="3">
        <v>33.6</v>
      </c>
      <c r="M2569" s="3">
        <v>35.28</v>
      </c>
      <c r="N2569" s="3">
        <v>74.99</v>
      </c>
      <c r="O2569" s="2" t="s">
        <v>243</v>
      </c>
      <c r="P2569" s="2" t="s">
        <v>270</v>
      </c>
      <c r="Q2569" s="2" t="s">
        <v>237</v>
      </c>
      <c r="R2569" s="2" t="s">
        <v>231</v>
      </c>
      <c r="S2569" s="2" t="s">
        <v>11008</v>
      </c>
      <c r="T2569" s="2" t="s">
        <v>472</v>
      </c>
      <c r="U2569" s="2" t="s">
        <v>700</v>
      </c>
      <c r="V2569" s="2" t="s">
        <v>1304</v>
      </c>
      <c r="W2569" s="2" t="s">
        <v>273</v>
      </c>
      <c r="X2569" s="2" t="s">
        <v>897</v>
      </c>
      <c r="Y2569" s="2" t="s">
        <v>231</v>
      </c>
      <c r="Z2569" s="4"/>
      <c r="AA2569" s="4">
        <f>=ROUNDDOWN({0},0)</f>
      </c>
      <c r="AB2569" s="5"/>
      <c r="AC2569" s="2" t="s">
        <v>701</v>
      </c>
      <c r="AD2569" s="4">
        <v>100</v>
      </c>
      <c r="AE2569" s="4">
        <v>200</v>
      </c>
      <c r="AF2569" s="6">
        <v>64</v>
      </c>
      <c r="AG2569" s="6"/>
      <c r="AH2569" s="7">
        <v>0</v>
      </c>
      <c r="AI2569" s="4"/>
      <c r="AJ2569" s="4">
        <f>=ROUNDDOWN({0},0)</f>
      </c>
      <c r="AK2569" s="5"/>
      <c r="AL2569" s="2" t="s">
        <v>231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231</v>
      </c>
      <c r="AW2569" s="8" t="s">
        <v>231</v>
      </c>
      <c r="AX2569" s="4" t="s">
        <v>231</v>
      </c>
      <c r="AY2569" s="8" t="s">
        <v>231</v>
      </c>
      <c r="AZ2569" s="7" t="s">
        <v>231</v>
      </c>
      <c r="BA2569" s="7" t="s">
        <v>231</v>
      </c>
      <c r="BB2569" s="7"/>
      <c r="BC2569" s="4" t="s">
        <v>231</v>
      </c>
      <c r="BD2569" s="8" t="s">
        <v>231</v>
      </c>
      <c r="BE2569" s="4" t="s">
        <v>231</v>
      </c>
      <c r="BF2569" s="8" t="s">
        <v>231</v>
      </c>
      <c r="BG2569" s="7" t="s">
        <v>231</v>
      </c>
      <c r="BH2569" s="7" t="s">
        <v>231</v>
      </c>
      <c r="BI2569" s="7"/>
      <c r="BJ2569" s="4"/>
      <c r="BK2569" s="8"/>
      <c r="BL2569" s="2" t="s">
        <v>231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241</v>
      </c>
      <c r="BV2569" s="2" t="s">
        <v>231</v>
      </c>
      <c r="BW2569" s="2" t="s">
        <v>231</v>
      </c>
      <c r="BX2569" s="2" t="s">
        <v>241</v>
      </c>
      <c r="BY2569" s="2" t="s">
        <v>242</v>
      </c>
      <c r="BZ2569" s="2" t="s">
        <v>243</v>
      </c>
      <c r="CA2569" s="2" t="s">
        <v>231</v>
      </c>
      <c r="CB2569" s="2" t="s">
        <v>231</v>
      </c>
      <c r="CC2569" s="2" t="s">
        <v>244</v>
      </c>
      <c r="CD2569" s="2" t="s">
        <v>231</v>
      </c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>
        <v>100</v>
      </c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/>
      <c r="FQ2569" s="4"/>
      <c r="FR2569" s="4"/>
      <c r="FS2569" s="4"/>
      <c r="FT2569" s="4"/>
      <c r="FU2569" s="4"/>
      <c r="FV2569" s="4"/>
      <c r="FW2569" s="4"/>
      <c r="FX2569" s="4"/>
      <c r="FY2569" s="4"/>
      <c r="FZ2569" s="4"/>
      <c r="GA2569" s="4"/>
      <c r="GB2569" s="4">
        <v>100</v>
      </c>
      <c r="GC2569" s="4"/>
      <c r="GD2569" s="4"/>
      <c r="GE2569" s="4"/>
      <c r="GF2569" s="4"/>
      <c r="GG2569" s="4"/>
      <c r="GH2569" s="4"/>
      <c r="GI2569" s="4"/>
      <c r="GJ2569" s="4"/>
      <c r="GK2569" s="4"/>
      <c r="GL2569" s="4"/>
      <c r="GM2569" s="4"/>
      <c r="GN2569" s="4"/>
      <c r="GO2569" s="4"/>
      <c r="GP2569" s="4"/>
      <c r="GQ2569" s="4"/>
      <c r="GR2569" s="4"/>
      <c r="GS2569" s="4"/>
      <c r="GT2569" s="4"/>
      <c r="GU2569" s="4"/>
      <c r="GV2569" s="4"/>
      <c r="GW2569" s="4"/>
      <c r="GX2569" s="4"/>
      <c r="GY2569" s="4"/>
      <c r="GZ2569" s="4"/>
      <c r="HA2569" s="4"/>
      <c r="HB2569" s="4"/>
      <c r="HC2569" s="4"/>
      <c r="HD2569" s="4"/>
      <c r="HE2569" s="4"/>
      <c r="HF2569" s="4"/>
      <c r="HG2569" s="4"/>
      <c r="HH2569" s="4"/>
      <c r="HI2569" s="4"/>
      <c r="HJ2569" s="4"/>
      <c r="HK2569" s="4"/>
      <c r="HL2569" s="4"/>
    </row>
    <row r="2570">
      <c r="A2570" s="2" t="s">
        <v>11009</v>
      </c>
      <c r="B2570" s="2" t="s">
        <v>824</v>
      </c>
      <c r="C2570" s="2" t="s">
        <v>825</v>
      </c>
      <c r="D2570" s="2" t="s">
        <v>654</v>
      </c>
      <c r="E2570" s="2" t="s">
        <v>1187</v>
      </c>
      <c r="F2570" s="2" t="s">
        <v>11003</v>
      </c>
      <c r="G2570" s="2" t="s">
        <v>11004</v>
      </c>
      <c r="H2570" s="2" t="s">
        <v>11005</v>
      </c>
      <c r="I2570" s="2" t="s">
        <v>11006</v>
      </c>
      <c r="J2570" s="2" t="s">
        <v>268</v>
      </c>
      <c r="K2570" s="2" t="s">
        <v>11007</v>
      </c>
      <c r="L2570" s="3">
        <v>35.52</v>
      </c>
      <c r="M2570" s="3">
        <v>37.3</v>
      </c>
      <c r="N2570" s="3">
        <v>78.99</v>
      </c>
      <c r="O2570" s="2" t="s">
        <v>243</v>
      </c>
      <c r="P2570" s="2" t="s">
        <v>270</v>
      </c>
      <c r="Q2570" s="2" t="s">
        <v>237</v>
      </c>
      <c r="R2570" s="2" t="s">
        <v>231</v>
      </c>
      <c r="S2570" s="2" t="s">
        <v>11008</v>
      </c>
      <c r="T2570" s="2" t="s">
        <v>472</v>
      </c>
      <c r="U2570" s="2" t="s">
        <v>700</v>
      </c>
      <c r="V2570" s="2" t="s">
        <v>1304</v>
      </c>
      <c r="W2570" s="2" t="s">
        <v>273</v>
      </c>
      <c r="X2570" s="2" t="s">
        <v>897</v>
      </c>
      <c r="Y2570" s="2" t="s">
        <v>231</v>
      </c>
      <c r="Z2570" s="4"/>
      <c r="AA2570" s="4">
        <f>=ROUNDDOWN({0},0)</f>
      </c>
      <c r="AB2570" s="5"/>
      <c r="AC2570" s="2" t="s">
        <v>701</v>
      </c>
      <c r="AD2570" s="4">
        <v>140</v>
      </c>
      <c r="AE2570" s="4">
        <v>280</v>
      </c>
      <c r="AF2570" s="6">
        <v>64</v>
      </c>
      <c r="AG2570" s="6"/>
      <c r="AH2570" s="7">
        <v>0</v>
      </c>
      <c r="AI2570" s="4"/>
      <c r="AJ2570" s="4">
        <f>=ROUNDDOWN({0},0)</f>
      </c>
      <c r="AK2570" s="5"/>
      <c r="AL2570" s="2" t="s">
        <v>231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231</v>
      </c>
      <c r="AW2570" s="8" t="s">
        <v>231</v>
      </c>
      <c r="AX2570" s="4" t="s">
        <v>231</v>
      </c>
      <c r="AY2570" s="8" t="s">
        <v>231</v>
      </c>
      <c r="AZ2570" s="7" t="s">
        <v>231</v>
      </c>
      <c r="BA2570" s="7" t="s">
        <v>231</v>
      </c>
      <c r="BB2570" s="7"/>
      <c r="BC2570" s="4" t="s">
        <v>231</v>
      </c>
      <c r="BD2570" s="8" t="s">
        <v>231</v>
      </c>
      <c r="BE2570" s="4" t="s">
        <v>231</v>
      </c>
      <c r="BF2570" s="8" t="s">
        <v>231</v>
      </c>
      <c r="BG2570" s="7" t="s">
        <v>231</v>
      </c>
      <c r="BH2570" s="7" t="s">
        <v>231</v>
      </c>
      <c r="BI2570" s="7"/>
      <c r="BJ2570" s="4"/>
      <c r="BK2570" s="8"/>
      <c r="BL2570" s="2" t="s">
        <v>231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241</v>
      </c>
      <c r="BV2570" s="2" t="s">
        <v>231</v>
      </c>
      <c r="BW2570" s="2" t="s">
        <v>231</v>
      </c>
      <c r="BX2570" s="2" t="s">
        <v>241</v>
      </c>
      <c r="BY2570" s="2" t="s">
        <v>242</v>
      </c>
      <c r="BZ2570" s="2" t="s">
        <v>243</v>
      </c>
      <c r="CA2570" s="2" t="s">
        <v>231</v>
      </c>
      <c r="CB2570" s="2" t="s">
        <v>231</v>
      </c>
      <c r="CC2570" s="2" t="s">
        <v>244</v>
      </c>
      <c r="CD2570" s="2" t="s">
        <v>231</v>
      </c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/>
      <c r="EB2570" s="4">
        <v>140</v>
      </c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  <c r="EM2570" s="4"/>
      <c r="EN2570" s="4"/>
      <c r="EO2570" s="4"/>
      <c r="EP2570" s="4"/>
      <c r="EQ2570" s="4"/>
      <c r="ER2570" s="4"/>
      <c r="ES2570" s="4"/>
      <c r="ET2570" s="4"/>
      <c r="EU2570" s="4"/>
      <c r="EV2570" s="4"/>
      <c r="EW2570" s="4"/>
      <c r="EX2570" s="4"/>
      <c r="EY2570" s="4"/>
      <c r="EZ2570" s="4"/>
      <c r="FA2570" s="4"/>
      <c r="FB2570" s="4"/>
      <c r="FC2570" s="4"/>
      <c r="FD2570" s="4"/>
      <c r="FE2570" s="4"/>
      <c r="FF2570" s="4"/>
      <c r="FG2570" s="4"/>
      <c r="FH2570" s="4"/>
      <c r="FI2570" s="4"/>
      <c r="FJ2570" s="4"/>
      <c r="FK2570" s="4"/>
      <c r="FL2570" s="4"/>
      <c r="FM2570" s="4"/>
      <c r="FN2570" s="4"/>
      <c r="FO2570" s="4"/>
      <c r="FP2570" s="4"/>
      <c r="FQ2570" s="4"/>
      <c r="FR2570" s="4"/>
      <c r="FS2570" s="4"/>
      <c r="FT2570" s="4"/>
      <c r="FU2570" s="4"/>
      <c r="FV2570" s="4"/>
      <c r="FW2570" s="4"/>
      <c r="FX2570" s="4"/>
      <c r="FY2570" s="4"/>
      <c r="FZ2570" s="4"/>
      <c r="GA2570" s="4"/>
      <c r="GB2570" s="4">
        <v>140</v>
      </c>
      <c r="GC2570" s="4"/>
      <c r="GD2570" s="4"/>
      <c r="GE2570" s="4"/>
      <c r="GF2570" s="4"/>
      <c r="GG2570" s="4"/>
      <c r="GH2570" s="4"/>
      <c r="GI2570" s="4"/>
      <c r="GJ2570" s="4"/>
      <c r="GK2570" s="4"/>
      <c r="GL2570" s="4"/>
      <c r="GM2570" s="4"/>
      <c r="GN2570" s="4"/>
      <c r="GO2570" s="4"/>
      <c r="GP2570" s="4"/>
      <c r="GQ2570" s="4"/>
      <c r="GR2570" s="4"/>
      <c r="GS2570" s="4"/>
      <c r="GT2570" s="4"/>
      <c r="GU2570" s="4"/>
      <c r="GV2570" s="4"/>
      <c r="GW2570" s="4"/>
      <c r="GX2570" s="4"/>
      <c r="GY2570" s="4"/>
      <c r="GZ2570" s="4"/>
      <c r="HA2570" s="4"/>
      <c r="HB2570" s="4"/>
      <c r="HC2570" s="4"/>
      <c r="HD2570" s="4"/>
      <c r="HE2570" s="4"/>
      <c r="HF2570" s="4"/>
      <c r="HG2570" s="4"/>
      <c r="HH2570" s="4"/>
      <c r="HI2570" s="4"/>
      <c r="HJ2570" s="4"/>
      <c r="HK2570" s="4"/>
      <c r="HL2570" s="4"/>
    </row>
    <row r="2571">
      <c r="A2571" s="2" t="s">
        <v>11010</v>
      </c>
      <c r="B2571" s="2" t="s">
        <v>824</v>
      </c>
      <c r="C2571" s="2" t="s">
        <v>825</v>
      </c>
      <c r="D2571" s="2" t="s">
        <v>654</v>
      </c>
      <c r="E2571" s="2" t="s">
        <v>1187</v>
      </c>
      <c r="F2571" s="2" t="s">
        <v>11003</v>
      </c>
      <c r="G2571" s="2" t="s">
        <v>11004</v>
      </c>
      <c r="H2571" s="2" t="s">
        <v>11005</v>
      </c>
      <c r="I2571" s="2" t="s">
        <v>11006</v>
      </c>
      <c r="J2571" s="2" t="s">
        <v>281</v>
      </c>
      <c r="K2571" s="2" t="s">
        <v>11007</v>
      </c>
      <c r="L2571" s="3">
        <v>38.4</v>
      </c>
      <c r="M2571" s="3">
        <v>40.32</v>
      </c>
      <c r="N2571" s="3">
        <v>84.99</v>
      </c>
      <c r="O2571" s="2" t="s">
        <v>243</v>
      </c>
      <c r="P2571" s="2" t="s">
        <v>270</v>
      </c>
      <c r="Q2571" s="2" t="s">
        <v>237</v>
      </c>
      <c r="R2571" s="2" t="s">
        <v>231</v>
      </c>
      <c r="S2571" s="2" t="s">
        <v>11008</v>
      </c>
      <c r="T2571" s="2" t="s">
        <v>472</v>
      </c>
      <c r="U2571" s="2" t="s">
        <v>1196</v>
      </c>
      <c r="V2571" s="2" t="s">
        <v>1304</v>
      </c>
      <c r="W2571" s="2" t="s">
        <v>273</v>
      </c>
      <c r="X2571" s="2" t="s">
        <v>897</v>
      </c>
      <c r="Y2571" s="2" t="s">
        <v>231</v>
      </c>
      <c r="Z2571" s="4"/>
      <c r="AA2571" s="4">
        <f>=ROUNDDOWN({0},0)</f>
      </c>
      <c r="AB2571" s="5"/>
      <c r="AC2571" s="2" t="s">
        <v>701</v>
      </c>
      <c r="AD2571" s="4">
        <v>170</v>
      </c>
      <c r="AE2571" s="4">
        <v>340</v>
      </c>
      <c r="AF2571" s="6">
        <v>64</v>
      </c>
      <c r="AG2571" s="6"/>
      <c r="AH2571" s="7">
        <v>0</v>
      </c>
      <c r="AI2571" s="4"/>
      <c r="AJ2571" s="4">
        <f>=ROUNDDOWN({0},0)</f>
      </c>
      <c r="AK2571" s="5"/>
      <c r="AL2571" s="2" t="s">
        <v>231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231</v>
      </c>
      <c r="AW2571" s="8" t="s">
        <v>231</v>
      </c>
      <c r="AX2571" s="4" t="s">
        <v>231</v>
      </c>
      <c r="AY2571" s="8" t="s">
        <v>231</v>
      </c>
      <c r="AZ2571" s="7" t="s">
        <v>231</v>
      </c>
      <c r="BA2571" s="7" t="s">
        <v>231</v>
      </c>
      <c r="BB2571" s="7"/>
      <c r="BC2571" s="4" t="s">
        <v>231</v>
      </c>
      <c r="BD2571" s="8" t="s">
        <v>231</v>
      </c>
      <c r="BE2571" s="4" t="s">
        <v>231</v>
      </c>
      <c r="BF2571" s="8" t="s">
        <v>231</v>
      </c>
      <c r="BG2571" s="7" t="s">
        <v>231</v>
      </c>
      <c r="BH2571" s="7" t="s">
        <v>231</v>
      </c>
      <c r="BI2571" s="7"/>
      <c r="BJ2571" s="4"/>
      <c r="BK2571" s="8"/>
      <c r="BL2571" s="2" t="s">
        <v>231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241</v>
      </c>
      <c r="BV2571" s="2" t="s">
        <v>231</v>
      </c>
      <c r="BW2571" s="2" t="s">
        <v>231</v>
      </c>
      <c r="BX2571" s="2" t="s">
        <v>241</v>
      </c>
      <c r="BY2571" s="2" t="s">
        <v>242</v>
      </c>
      <c r="BZ2571" s="2" t="s">
        <v>243</v>
      </c>
      <c r="CA2571" s="2" t="s">
        <v>231</v>
      </c>
      <c r="CB2571" s="2" t="s">
        <v>231</v>
      </c>
      <c r="CC2571" s="2" t="s">
        <v>244</v>
      </c>
      <c r="CD2571" s="2" t="s">
        <v>231</v>
      </c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/>
      <c r="DY2571" s="4"/>
      <c r="DZ2571" s="4"/>
      <c r="EA2571" s="4"/>
      <c r="EB2571" s="4">
        <v>170</v>
      </c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  <c r="EM2571" s="4"/>
      <c r="EN2571" s="4"/>
      <c r="EO2571" s="4"/>
      <c r="EP2571" s="4"/>
      <c r="EQ2571" s="4"/>
      <c r="ER2571" s="4"/>
      <c r="ES2571" s="4"/>
      <c r="ET2571" s="4"/>
      <c r="EU2571" s="4"/>
      <c r="EV2571" s="4"/>
      <c r="EW2571" s="4"/>
      <c r="EX2571" s="4"/>
      <c r="EY2571" s="4"/>
      <c r="EZ2571" s="4"/>
      <c r="FA2571" s="4"/>
      <c r="FB2571" s="4"/>
      <c r="FC2571" s="4"/>
      <c r="FD2571" s="4"/>
      <c r="FE2571" s="4"/>
      <c r="FF2571" s="4"/>
      <c r="FG2571" s="4"/>
      <c r="FH2571" s="4"/>
      <c r="FI2571" s="4"/>
      <c r="FJ2571" s="4"/>
      <c r="FK2571" s="4"/>
      <c r="FL2571" s="4"/>
      <c r="FM2571" s="4"/>
      <c r="FN2571" s="4"/>
      <c r="FO2571" s="4"/>
      <c r="FP2571" s="4"/>
      <c r="FQ2571" s="4"/>
      <c r="FR2571" s="4"/>
      <c r="FS2571" s="4"/>
      <c r="FT2571" s="4"/>
      <c r="FU2571" s="4"/>
      <c r="FV2571" s="4"/>
      <c r="FW2571" s="4"/>
      <c r="FX2571" s="4"/>
      <c r="FY2571" s="4"/>
      <c r="FZ2571" s="4"/>
      <c r="GA2571" s="4"/>
      <c r="GB2571" s="4">
        <v>170</v>
      </c>
      <c r="GC2571" s="4"/>
      <c r="GD2571" s="4"/>
      <c r="GE2571" s="4"/>
      <c r="GF2571" s="4"/>
      <c r="GG2571" s="4"/>
      <c r="GH2571" s="4"/>
      <c r="GI2571" s="4"/>
      <c r="GJ2571" s="4"/>
      <c r="GK2571" s="4"/>
      <c r="GL2571" s="4"/>
      <c r="GM2571" s="4"/>
      <c r="GN2571" s="4"/>
      <c r="GO2571" s="4"/>
      <c r="GP2571" s="4"/>
      <c r="GQ2571" s="4"/>
      <c r="GR2571" s="4"/>
      <c r="GS2571" s="4"/>
      <c r="GT2571" s="4"/>
      <c r="GU2571" s="4"/>
      <c r="GV2571" s="4"/>
      <c r="GW2571" s="4"/>
      <c r="GX2571" s="4"/>
      <c r="GY2571" s="4"/>
      <c r="GZ2571" s="4"/>
      <c r="HA2571" s="4"/>
      <c r="HB2571" s="4"/>
      <c r="HC2571" s="4"/>
      <c r="HD2571" s="4"/>
      <c r="HE2571" s="4"/>
      <c r="HF2571" s="4"/>
      <c r="HG2571" s="4"/>
      <c r="HH2571" s="4"/>
      <c r="HI2571" s="4"/>
      <c r="HJ2571" s="4"/>
      <c r="HK2571" s="4"/>
      <c r="HL2571" s="4"/>
    </row>
    <row r="2572">
      <c r="A2572" s="2" t="s">
        <v>11011</v>
      </c>
      <c r="B2572" s="2" t="s">
        <v>824</v>
      </c>
      <c r="C2572" s="2" t="s">
        <v>825</v>
      </c>
      <c r="D2572" s="2" t="s">
        <v>654</v>
      </c>
      <c r="E2572" s="2" t="s">
        <v>1187</v>
      </c>
      <c r="F2572" s="2" t="s">
        <v>11003</v>
      </c>
      <c r="G2572" s="2" t="s">
        <v>11004</v>
      </c>
      <c r="H2572" s="2" t="s">
        <v>11005</v>
      </c>
      <c r="I2572" s="2" t="s">
        <v>11006</v>
      </c>
      <c r="J2572" s="2" t="s">
        <v>293</v>
      </c>
      <c r="K2572" s="2" t="s">
        <v>11007</v>
      </c>
      <c r="L2572" s="3">
        <v>44.1</v>
      </c>
      <c r="M2572" s="3">
        <v>46.31</v>
      </c>
      <c r="N2572" s="3">
        <v>94.99</v>
      </c>
      <c r="O2572" s="2" t="s">
        <v>243</v>
      </c>
      <c r="P2572" s="2" t="s">
        <v>270</v>
      </c>
      <c r="Q2572" s="2" t="s">
        <v>237</v>
      </c>
      <c r="R2572" s="2" t="s">
        <v>231</v>
      </c>
      <c r="S2572" s="2" t="s">
        <v>11008</v>
      </c>
      <c r="T2572" s="2" t="s">
        <v>472</v>
      </c>
      <c r="U2572" s="2" t="s">
        <v>1196</v>
      </c>
      <c r="V2572" s="2" t="s">
        <v>1304</v>
      </c>
      <c r="W2572" s="2" t="s">
        <v>273</v>
      </c>
      <c r="X2572" s="2" t="s">
        <v>897</v>
      </c>
      <c r="Y2572" s="2" t="s">
        <v>231</v>
      </c>
      <c r="Z2572" s="4"/>
      <c r="AA2572" s="4">
        <f>=ROUNDDOWN({0},0)</f>
      </c>
      <c r="AB2572" s="5"/>
      <c r="AC2572" s="2" t="s">
        <v>701</v>
      </c>
      <c r="AD2572" s="4">
        <v>190</v>
      </c>
      <c r="AE2572" s="4">
        <v>380</v>
      </c>
      <c r="AF2572" s="6">
        <v>64</v>
      </c>
      <c r="AG2572" s="6"/>
      <c r="AH2572" s="7">
        <v>0</v>
      </c>
      <c r="AI2572" s="4"/>
      <c r="AJ2572" s="4">
        <f>=ROUNDDOWN({0},0)</f>
      </c>
      <c r="AK2572" s="5"/>
      <c r="AL2572" s="2" t="s">
        <v>231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231</v>
      </c>
      <c r="AW2572" s="8" t="s">
        <v>231</v>
      </c>
      <c r="AX2572" s="4" t="s">
        <v>231</v>
      </c>
      <c r="AY2572" s="8" t="s">
        <v>231</v>
      </c>
      <c r="AZ2572" s="7" t="s">
        <v>231</v>
      </c>
      <c r="BA2572" s="7" t="s">
        <v>231</v>
      </c>
      <c r="BB2572" s="7"/>
      <c r="BC2572" s="4" t="s">
        <v>231</v>
      </c>
      <c r="BD2572" s="8" t="s">
        <v>231</v>
      </c>
      <c r="BE2572" s="4" t="s">
        <v>231</v>
      </c>
      <c r="BF2572" s="8" t="s">
        <v>231</v>
      </c>
      <c r="BG2572" s="7" t="s">
        <v>231</v>
      </c>
      <c r="BH2572" s="7" t="s">
        <v>231</v>
      </c>
      <c r="BI2572" s="7"/>
      <c r="BJ2572" s="4"/>
      <c r="BK2572" s="8"/>
      <c r="BL2572" s="2" t="s">
        <v>231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241</v>
      </c>
      <c r="BV2572" s="2" t="s">
        <v>231</v>
      </c>
      <c r="BW2572" s="2" t="s">
        <v>231</v>
      </c>
      <c r="BX2572" s="2" t="s">
        <v>241</v>
      </c>
      <c r="BY2572" s="2" t="s">
        <v>242</v>
      </c>
      <c r="BZ2572" s="2" t="s">
        <v>243</v>
      </c>
      <c r="CA2572" s="2" t="s">
        <v>231</v>
      </c>
      <c r="CB2572" s="2" t="s">
        <v>231</v>
      </c>
      <c r="CC2572" s="2" t="s">
        <v>244</v>
      </c>
      <c r="CD2572" s="2" t="s">
        <v>231</v>
      </c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/>
      <c r="DY2572" s="4"/>
      <c r="DZ2572" s="4"/>
      <c r="EA2572" s="4"/>
      <c r="EB2572" s="4">
        <v>190</v>
      </c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  <c r="EM2572" s="4"/>
      <c r="EN2572" s="4"/>
      <c r="EO2572" s="4"/>
      <c r="EP2572" s="4"/>
      <c r="EQ2572" s="4"/>
      <c r="ER2572" s="4"/>
      <c r="ES2572" s="4"/>
      <c r="ET2572" s="4"/>
      <c r="EU2572" s="4"/>
      <c r="EV2572" s="4"/>
      <c r="EW2572" s="4"/>
      <c r="EX2572" s="4"/>
      <c r="EY2572" s="4"/>
      <c r="EZ2572" s="4"/>
      <c r="FA2572" s="4"/>
      <c r="FB2572" s="4"/>
      <c r="FC2572" s="4"/>
      <c r="FD2572" s="4"/>
      <c r="FE2572" s="4"/>
      <c r="FF2572" s="4"/>
      <c r="FG2572" s="4"/>
      <c r="FH2572" s="4"/>
      <c r="FI2572" s="4"/>
      <c r="FJ2572" s="4"/>
      <c r="FK2572" s="4"/>
      <c r="FL2572" s="4"/>
      <c r="FM2572" s="4"/>
      <c r="FN2572" s="4"/>
      <c r="FO2572" s="4"/>
      <c r="FP2572" s="4"/>
      <c r="FQ2572" s="4"/>
      <c r="FR2572" s="4"/>
      <c r="FS2572" s="4"/>
      <c r="FT2572" s="4"/>
      <c r="FU2572" s="4"/>
      <c r="FV2572" s="4"/>
      <c r="FW2572" s="4"/>
      <c r="FX2572" s="4"/>
      <c r="FY2572" s="4"/>
      <c r="FZ2572" s="4"/>
      <c r="GA2572" s="4"/>
      <c r="GB2572" s="4">
        <v>190</v>
      </c>
      <c r="GC2572" s="4"/>
      <c r="GD2572" s="4"/>
      <c r="GE2572" s="4"/>
      <c r="GF2572" s="4"/>
      <c r="GG2572" s="4"/>
      <c r="GH2572" s="4"/>
      <c r="GI2572" s="4"/>
      <c r="GJ2572" s="4"/>
      <c r="GK2572" s="4"/>
      <c r="GL2572" s="4"/>
      <c r="GM2572" s="4"/>
      <c r="GN2572" s="4"/>
      <c r="GO2572" s="4"/>
      <c r="GP2572" s="4"/>
      <c r="GQ2572" s="4"/>
      <c r="GR2572" s="4"/>
      <c r="GS2572" s="4"/>
      <c r="GT2572" s="4"/>
      <c r="GU2572" s="4"/>
      <c r="GV2572" s="4"/>
      <c r="GW2572" s="4"/>
      <c r="GX2572" s="4"/>
      <c r="GY2572" s="4"/>
      <c r="GZ2572" s="4"/>
      <c r="HA2572" s="4"/>
      <c r="HB2572" s="4"/>
      <c r="HC2572" s="4"/>
      <c r="HD2572" s="4"/>
      <c r="HE2572" s="4"/>
      <c r="HF2572" s="4"/>
      <c r="HG2572" s="4"/>
      <c r="HH2572" s="4"/>
      <c r="HI2572" s="4"/>
      <c r="HJ2572" s="4"/>
      <c r="HK2572" s="4"/>
      <c r="HL2572" s="4"/>
    </row>
    <row r="2573">
      <c r="A2573" s="2" t="s">
        <v>11012</v>
      </c>
      <c r="B2573" s="2" t="s">
        <v>1004</v>
      </c>
      <c r="C2573" s="2" t="s">
        <v>815</v>
      </c>
      <c r="D2573" s="2" t="s">
        <v>1689</v>
      </c>
      <c r="E2573" s="2" t="s">
        <v>1690</v>
      </c>
      <c r="F2573" s="2" t="s">
        <v>11013</v>
      </c>
      <c r="G2573" s="2" t="s">
        <v>11013</v>
      </c>
      <c r="H2573" s="2" t="s">
        <v>11013</v>
      </c>
      <c r="I2573" s="2" t="s">
        <v>1690</v>
      </c>
      <c r="J2573" s="2" t="s">
        <v>807</v>
      </c>
      <c r="K2573" s="2" t="s">
        <v>1146</v>
      </c>
      <c r="L2573" s="3">
        <v>161.5</v>
      </c>
      <c r="M2573" s="3">
        <v>169.58</v>
      </c>
      <c r="N2573" s="3">
        <v>339</v>
      </c>
      <c r="O2573" s="2" t="s">
        <v>243</v>
      </c>
      <c r="P2573" s="2" t="s">
        <v>1985</v>
      </c>
      <c r="Q2573" s="2" t="s">
        <v>237</v>
      </c>
      <c r="R2573" s="2" t="s">
        <v>231</v>
      </c>
      <c r="S2573" s="2" t="s">
        <v>11014</v>
      </c>
      <c r="T2573" s="2" t="s">
        <v>231</v>
      </c>
      <c r="U2573" s="2" t="s">
        <v>231</v>
      </c>
      <c r="V2573" s="2" t="s">
        <v>239</v>
      </c>
      <c r="W2573" s="2" t="s">
        <v>808</v>
      </c>
      <c r="X2573" s="2" t="s">
        <v>231</v>
      </c>
      <c r="Y2573" s="2" t="s">
        <v>1078</v>
      </c>
      <c r="Z2573" s="4">
        <v>110</v>
      </c>
      <c r="AA2573" s="4">
        <f>=ROUNDDOWN(27.5,0)</f>
      </c>
      <c r="AB2573" s="5">
        <v>4</v>
      </c>
      <c r="AC2573" s="2" t="s">
        <v>231</v>
      </c>
      <c r="AD2573" s="4"/>
      <c r="AE2573" s="4"/>
      <c r="AF2573" s="6">
        <v>66</v>
      </c>
      <c r="AG2573" s="6"/>
      <c r="AH2573" s="7">
        <v>1</v>
      </c>
      <c r="AI2573" s="4"/>
      <c r="AJ2573" s="4">
        <f>=ROUNDDOWN({0},0)</f>
      </c>
      <c r="AK2573" s="5"/>
      <c r="AL2573" s="2" t="s">
        <v>231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/>
      <c r="BD2573" s="8"/>
      <c r="BE2573" s="4"/>
      <c r="BF2573" s="8"/>
      <c r="BG2573" s="7"/>
      <c r="BH2573" s="7"/>
      <c r="BI2573" s="7"/>
      <c r="BJ2573" s="4">
        <v>12</v>
      </c>
      <c r="BK2573" s="8">
        <v>1850.55</v>
      </c>
      <c r="BL2573" s="2" t="s">
        <v>11015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11016</v>
      </c>
      <c r="BV2573" s="2" t="s">
        <v>231</v>
      </c>
      <c r="BW2573" s="2" t="s">
        <v>231</v>
      </c>
      <c r="BX2573" s="2" t="s">
        <v>1812</v>
      </c>
      <c r="BY2573" s="2" t="s">
        <v>277</v>
      </c>
      <c r="BZ2573" s="2" t="s">
        <v>243</v>
      </c>
      <c r="CA2573" s="2" t="s">
        <v>11017</v>
      </c>
      <c r="CB2573" s="2" t="s">
        <v>1082</v>
      </c>
      <c r="CC2573" s="2" t="s">
        <v>244</v>
      </c>
      <c r="CD2573" s="2" t="s">
        <v>231</v>
      </c>
      <c r="CE2573" s="4"/>
      <c r="CF2573" s="4">
        <v>110</v>
      </c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  <c r="EM2573" s="4"/>
      <c r="EN2573" s="4"/>
      <c r="EO2573" s="4"/>
      <c r="EP2573" s="4"/>
      <c r="EQ2573" s="4"/>
      <c r="ER2573" s="4"/>
      <c r="ES2573" s="4"/>
      <c r="ET2573" s="4"/>
      <c r="EU2573" s="4"/>
      <c r="EV2573" s="4"/>
      <c r="EW2573" s="4"/>
      <c r="EX2573" s="4"/>
      <c r="EY2573" s="4"/>
      <c r="EZ2573" s="4"/>
      <c r="FA2573" s="4"/>
      <c r="FB2573" s="4"/>
      <c r="FC2573" s="4"/>
      <c r="FD2573" s="4"/>
      <c r="FE2573" s="4"/>
      <c r="FF2573" s="4"/>
      <c r="FG2573" s="4"/>
      <c r="FH2573" s="4"/>
      <c r="FI2573" s="4"/>
      <c r="FJ2573" s="4"/>
      <c r="FK2573" s="4"/>
      <c r="FL2573" s="4"/>
      <c r="FM2573" s="4"/>
      <c r="FN2573" s="4"/>
      <c r="FO2573" s="4"/>
      <c r="FP2573" s="4"/>
      <c r="FQ2573" s="4"/>
      <c r="FR2573" s="4"/>
      <c r="FS2573" s="4"/>
      <c r="FT2573" s="4"/>
      <c r="FU2573" s="4"/>
      <c r="FV2573" s="4"/>
      <c r="FW2573" s="4"/>
      <c r="FX2573" s="4"/>
      <c r="FY2573" s="4"/>
      <c r="FZ2573" s="4"/>
      <c r="GA2573" s="4"/>
      <c r="GB2573" s="4"/>
      <c r="GC2573" s="4"/>
      <c r="GD2573" s="4"/>
      <c r="GE2573" s="4"/>
      <c r="GF2573" s="4"/>
      <c r="GG2573" s="4"/>
      <c r="GH2573" s="4"/>
      <c r="GI2573" s="4"/>
      <c r="GJ2573" s="4"/>
      <c r="GK2573" s="4"/>
      <c r="GL2573" s="4"/>
      <c r="GM2573" s="4"/>
      <c r="GN2573" s="4"/>
      <c r="GO2573" s="4"/>
      <c r="GP2573" s="4"/>
      <c r="GQ2573" s="4"/>
      <c r="GR2573" s="4"/>
      <c r="GS2573" s="4"/>
      <c r="GT2573" s="4"/>
      <c r="GU2573" s="4"/>
      <c r="GV2573" s="4"/>
      <c r="GW2573" s="4"/>
      <c r="GX2573" s="4"/>
      <c r="GY2573" s="4"/>
      <c r="GZ2573" s="4"/>
      <c r="HA2573" s="4"/>
      <c r="HB2573" s="4"/>
      <c r="HC2573" s="4"/>
      <c r="HD2573" s="4"/>
      <c r="HE2573" s="4"/>
      <c r="HF2573" s="4"/>
      <c r="HG2573" s="4"/>
      <c r="HH2573" s="4"/>
      <c r="HI2573" s="4"/>
      <c r="HJ2573" s="4"/>
      <c r="HK2573" s="4"/>
      <c r="HL2573" s="4"/>
    </row>
    <row r="2574">
      <c r="A2574" s="2" t="s">
        <v>11018</v>
      </c>
      <c r="B2574" s="2" t="s">
        <v>1004</v>
      </c>
      <c r="C2574" s="2" t="s">
        <v>815</v>
      </c>
      <c r="D2574" s="2" t="s">
        <v>1917</v>
      </c>
      <c r="E2574" s="2" t="s">
        <v>1918</v>
      </c>
      <c r="F2574" s="2" t="s">
        <v>11019</v>
      </c>
      <c r="G2574" s="2" t="s">
        <v>11019</v>
      </c>
      <c r="H2574" s="2" t="s">
        <v>11019</v>
      </c>
      <c r="I2574" s="2" t="s">
        <v>11020</v>
      </c>
      <c r="J2574" s="2" t="s">
        <v>807</v>
      </c>
      <c r="K2574" s="2" t="s">
        <v>11021</v>
      </c>
      <c r="L2574" s="3">
        <v>123</v>
      </c>
      <c r="M2574" s="3">
        <v>129.15</v>
      </c>
      <c r="N2574" s="3">
        <v>259</v>
      </c>
      <c r="O2574" s="2" t="s">
        <v>243</v>
      </c>
      <c r="P2574" s="2" t="s">
        <v>236</v>
      </c>
      <c r="Q2574" s="2" t="s">
        <v>237</v>
      </c>
      <c r="R2574" s="2" t="s">
        <v>231</v>
      </c>
      <c r="S2574" s="2" t="s">
        <v>231</v>
      </c>
      <c r="T2574" s="2" t="s">
        <v>231</v>
      </c>
      <c r="U2574" s="2" t="s">
        <v>327</v>
      </c>
      <c r="V2574" s="2" t="s">
        <v>662</v>
      </c>
      <c r="W2574" s="2" t="s">
        <v>691</v>
      </c>
      <c r="X2574" s="2" t="s">
        <v>273</v>
      </c>
      <c r="Y2574" s="2" t="s">
        <v>963</v>
      </c>
      <c r="Z2574" s="4">
        <v>82</v>
      </c>
      <c r="AA2574" s="4">
        <f>=ROUNDDOWN(82,0)</f>
      </c>
      <c r="AB2574" s="5">
        <v>1</v>
      </c>
      <c r="AC2574" s="2" t="s">
        <v>231</v>
      </c>
      <c r="AD2574" s="4"/>
      <c r="AE2574" s="4"/>
      <c r="AF2574" s="6">
        <v>66</v>
      </c>
      <c r="AG2574" s="6"/>
      <c r="AH2574" s="7">
        <v>1</v>
      </c>
      <c r="AI2574" s="4"/>
      <c r="AJ2574" s="4">
        <f>=ROUNDDOWN({0},0)</f>
      </c>
      <c r="AK2574" s="5"/>
      <c r="AL2574" s="2" t="s">
        <v>231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/>
      <c r="BD2574" s="8"/>
      <c r="BE2574" s="4"/>
      <c r="BF2574" s="8"/>
      <c r="BG2574" s="7"/>
      <c r="BH2574" s="7"/>
      <c r="BI2574" s="7"/>
      <c r="BJ2574" s="4">
        <v>4</v>
      </c>
      <c r="BK2574" s="8">
        <v>452.28</v>
      </c>
      <c r="BL2574" s="2" t="s">
        <v>628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11022</v>
      </c>
      <c r="BV2574" s="2" t="s">
        <v>231</v>
      </c>
      <c r="BW2574" s="2" t="s">
        <v>231</v>
      </c>
      <c r="BX2574" s="2" t="s">
        <v>241</v>
      </c>
      <c r="BY2574" s="2" t="s">
        <v>277</v>
      </c>
      <c r="BZ2574" s="2" t="s">
        <v>243</v>
      </c>
      <c r="CA2574" s="2" t="s">
        <v>11023</v>
      </c>
      <c r="CB2574" s="2" t="s">
        <v>231</v>
      </c>
      <c r="CC2574" s="2" t="s">
        <v>244</v>
      </c>
      <c r="CD2574" s="2" t="s">
        <v>231</v>
      </c>
      <c r="CE2574" s="4"/>
      <c r="CF2574" s="4">
        <v>82</v>
      </c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  <c r="EM2574" s="4"/>
      <c r="EN2574" s="4"/>
      <c r="EO2574" s="4"/>
      <c r="EP2574" s="4"/>
      <c r="EQ2574" s="4"/>
      <c r="ER2574" s="4"/>
      <c r="ES2574" s="4"/>
      <c r="ET2574" s="4"/>
      <c r="EU2574" s="4"/>
      <c r="EV2574" s="4"/>
      <c r="EW2574" s="4"/>
      <c r="EX2574" s="4"/>
      <c r="EY2574" s="4"/>
      <c r="EZ2574" s="4"/>
      <c r="FA2574" s="4"/>
      <c r="FB2574" s="4"/>
      <c r="FC2574" s="4"/>
      <c r="FD2574" s="4"/>
      <c r="FE2574" s="4"/>
      <c r="FF2574" s="4"/>
      <c r="FG2574" s="4"/>
      <c r="FH2574" s="4"/>
      <c r="FI2574" s="4"/>
      <c r="FJ2574" s="4"/>
      <c r="FK2574" s="4"/>
      <c r="FL2574" s="4"/>
      <c r="FM2574" s="4"/>
      <c r="FN2574" s="4"/>
      <c r="FO2574" s="4"/>
      <c r="FP2574" s="4"/>
      <c r="FQ2574" s="4"/>
      <c r="FR2574" s="4"/>
      <c r="FS2574" s="4"/>
      <c r="FT2574" s="4"/>
      <c r="FU2574" s="4"/>
      <c r="FV2574" s="4"/>
      <c r="FW2574" s="4"/>
      <c r="FX2574" s="4"/>
      <c r="FY2574" s="4"/>
      <c r="FZ2574" s="4"/>
      <c r="GA2574" s="4"/>
      <c r="GB2574" s="4"/>
      <c r="GC2574" s="4"/>
      <c r="GD2574" s="4"/>
      <c r="GE2574" s="4"/>
      <c r="GF2574" s="4"/>
      <c r="GG2574" s="4"/>
      <c r="GH2574" s="4"/>
      <c r="GI2574" s="4"/>
      <c r="GJ2574" s="4"/>
      <c r="GK2574" s="4"/>
      <c r="GL2574" s="4"/>
      <c r="GM2574" s="4"/>
      <c r="GN2574" s="4"/>
      <c r="GO2574" s="4"/>
      <c r="GP2574" s="4"/>
      <c r="GQ2574" s="4"/>
      <c r="GR2574" s="4"/>
      <c r="GS2574" s="4"/>
      <c r="GT2574" s="4"/>
      <c r="GU2574" s="4"/>
      <c r="GV2574" s="4"/>
      <c r="GW2574" s="4"/>
      <c r="GX2574" s="4"/>
      <c r="GY2574" s="4"/>
      <c r="GZ2574" s="4"/>
      <c r="HA2574" s="4"/>
      <c r="HB2574" s="4"/>
      <c r="HC2574" s="4"/>
      <c r="HD2574" s="4"/>
      <c r="HE2574" s="4"/>
      <c r="HF2574" s="4"/>
      <c r="HG2574" s="4"/>
      <c r="HH2574" s="4"/>
      <c r="HI2574" s="4"/>
      <c r="HJ2574" s="4"/>
      <c r="HK2574" s="4"/>
      <c r="HL2574" s="4"/>
    </row>
    <row r="2575">
      <c r="A2575" s="2" t="s">
        <v>11024</v>
      </c>
      <c r="B2575" s="2" t="s">
        <v>847</v>
      </c>
      <c r="C2575" s="2" t="s">
        <v>815</v>
      </c>
      <c r="D2575" s="2" t="s">
        <v>882</v>
      </c>
      <c r="E2575" s="2" t="s">
        <v>2191</v>
      </c>
      <c r="F2575" s="2" t="s">
        <v>11025</v>
      </c>
      <c r="G2575" s="2" t="s">
        <v>11025</v>
      </c>
      <c r="H2575" s="2" t="s">
        <v>11025</v>
      </c>
      <c r="I2575" s="2" t="s">
        <v>6038</v>
      </c>
      <c r="J2575" s="2" t="s">
        <v>807</v>
      </c>
      <c r="K2575" s="2" t="s">
        <v>269</v>
      </c>
      <c r="L2575" s="3">
        <v>41.27</v>
      </c>
      <c r="M2575" s="3">
        <v>43.33</v>
      </c>
      <c r="N2575" s="3">
        <v>84.99</v>
      </c>
      <c r="O2575" s="2" t="s">
        <v>243</v>
      </c>
      <c r="P2575" s="2" t="s">
        <v>270</v>
      </c>
      <c r="Q2575" s="2" t="s">
        <v>237</v>
      </c>
      <c r="R2575" s="2" t="s">
        <v>231</v>
      </c>
      <c r="S2575" s="2" t="s">
        <v>11026</v>
      </c>
      <c r="T2575" s="2" t="s">
        <v>231</v>
      </c>
      <c r="U2575" s="2" t="s">
        <v>835</v>
      </c>
      <c r="V2575" s="2" t="s">
        <v>836</v>
      </c>
      <c r="W2575" s="2" t="s">
        <v>691</v>
      </c>
      <c r="X2575" s="2" t="s">
        <v>231</v>
      </c>
      <c r="Y2575" s="2" t="s">
        <v>274</v>
      </c>
      <c r="Z2575" s="4">
        <v>101</v>
      </c>
      <c r="AA2575" s="4">
        <f>=ROUNDDOWN(33.6666666666667,0)</f>
      </c>
      <c r="AB2575" s="5">
        <v>3</v>
      </c>
      <c r="AC2575" s="2" t="s">
        <v>231</v>
      </c>
      <c r="AD2575" s="4"/>
      <c r="AE2575" s="4"/>
      <c r="AF2575" s="6">
        <v>63</v>
      </c>
      <c r="AG2575" s="6"/>
      <c r="AH2575" s="7">
        <v>1</v>
      </c>
      <c r="AI2575" s="4"/>
      <c r="AJ2575" s="4">
        <f>=ROUNDDOWN({0},0)</f>
      </c>
      <c r="AK2575" s="5"/>
      <c r="AL2575" s="2" t="s">
        <v>231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/>
      <c r="BD2575" s="8"/>
      <c r="BE2575" s="4"/>
      <c r="BF2575" s="8"/>
      <c r="BG2575" s="7"/>
      <c r="BH2575" s="7"/>
      <c r="BI2575" s="7"/>
      <c r="BJ2575" s="4">
        <v>14</v>
      </c>
      <c r="BK2575" s="8">
        <v>720.3</v>
      </c>
      <c r="BL2575" s="2" t="s">
        <v>11027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11028</v>
      </c>
      <c r="BV2575" s="2" t="s">
        <v>231</v>
      </c>
      <c r="BW2575" s="2" t="s">
        <v>231</v>
      </c>
      <c r="BX2575" s="2" t="s">
        <v>231</v>
      </c>
      <c r="BY2575" s="2" t="s">
        <v>277</v>
      </c>
      <c r="BZ2575" s="2" t="s">
        <v>243</v>
      </c>
      <c r="CA2575" s="2" t="s">
        <v>284</v>
      </c>
      <c r="CB2575" s="2" t="s">
        <v>11029</v>
      </c>
      <c r="CC2575" s="2" t="s">
        <v>244</v>
      </c>
      <c r="CD2575" s="2" t="s">
        <v>231</v>
      </c>
      <c r="CE2575" s="4">
        <v>2</v>
      </c>
      <c r="CF2575" s="4">
        <v>99</v>
      </c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  <c r="EM2575" s="4"/>
      <c r="EN2575" s="4"/>
      <c r="EO2575" s="4"/>
      <c r="EP2575" s="4"/>
      <c r="EQ2575" s="4"/>
      <c r="ER2575" s="4"/>
      <c r="ES2575" s="4"/>
      <c r="ET2575" s="4"/>
      <c r="EU2575" s="4"/>
      <c r="EV2575" s="4"/>
      <c r="EW2575" s="4"/>
      <c r="EX2575" s="4"/>
      <c r="EY2575" s="4"/>
      <c r="EZ2575" s="4"/>
      <c r="FA2575" s="4"/>
      <c r="FB2575" s="4"/>
      <c r="FC2575" s="4"/>
      <c r="FD2575" s="4"/>
      <c r="FE2575" s="4"/>
      <c r="FF2575" s="4"/>
      <c r="FG2575" s="4"/>
      <c r="FH2575" s="4"/>
      <c r="FI2575" s="4"/>
      <c r="FJ2575" s="4"/>
      <c r="FK2575" s="4"/>
      <c r="FL2575" s="4"/>
      <c r="FM2575" s="4"/>
      <c r="FN2575" s="4"/>
      <c r="FO2575" s="4"/>
      <c r="FP2575" s="4"/>
      <c r="FQ2575" s="4"/>
      <c r="FR2575" s="4"/>
      <c r="FS2575" s="4"/>
      <c r="FT2575" s="4"/>
      <c r="FU2575" s="4"/>
      <c r="FV2575" s="4"/>
      <c r="FW2575" s="4"/>
      <c r="FX2575" s="4"/>
      <c r="FY2575" s="4"/>
      <c r="FZ2575" s="4"/>
      <c r="GA2575" s="4"/>
      <c r="GB2575" s="4"/>
      <c r="GC2575" s="4"/>
      <c r="GD2575" s="4"/>
      <c r="GE2575" s="4"/>
      <c r="GF2575" s="4"/>
      <c r="GG2575" s="4"/>
      <c r="GH2575" s="4"/>
      <c r="GI2575" s="4"/>
      <c r="GJ2575" s="4"/>
      <c r="GK2575" s="4"/>
      <c r="GL2575" s="4"/>
      <c r="GM2575" s="4"/>
      <c r="GN2575" s="4"/>
      <c r="GO2575" s="4"/>
      <c r="GP2575" s="4"/>
      <c r="GQ2575" s="4"/>
      <c r="GR2575" s="4"/>
      <c r="GS2575" s="4"/>
      <c r="GT2575" s="4"/>
      <c r="GU2575" s="4"/>
      <c r="GV2575" s="4"/>
      <c r="GW2575" s="4"/>
      <c r="GX2575" s="4"/>
      <c r="GY2575" s="4"/>
      <c r="GZ2575" s="4"/>
      <c r="HA2575" s="4"/>
      <c r="HB2575" s="4"/>
      <c r="HC2575" s="4"/>
      <c r="HD2575" s="4"/>
      <c r="HE2575" s="4"/>
      <c r="HF2575" s="4"/>
      <c r="HG2575" s="4"/>
      <c r="HH2575" s="4"/>
      <c r="HI2575" s="4"/>
      <c r="HJ2575" s="4"/>
      <c r="HK2575" s="4"/>
      <c r="HL2575" s="4"/>
    </row>
    <row r="2576">
      <c r="A2576" s="2" t="s">
        <v>11030</v>
      </c>
      <c r="B2576" s="2" t="s">
        <v>992</v>
      </c>
      <c r="C2576" s="2" t="s">
        <v>1614</v>
      </c>
      <c r="D2576" s="2" t="s">
        <v>993</v>
      </c>
      <c r="E2576" s="2" t="s">
        <v>994</v>
      </c>
      <c r="F2576" s="2" t="s">
        <v>11031</v>
      </c>
      <c r="G2576" s="2" t="s">
        <v>11031</v>
      </c>
      <c r="H2576" s="2" t="s">
        <v>11031</v>
      </c>
      <c r="I2576" s="2" t="s">
        <v>11032</v>
      </c>
      <c r="J2576" s="2" t="s">
        <v>2066</v>
      </c>
      <c r="K2576" s="2" t="s">
        <v>7302</v>
      </c>
      <c r="L2576" s="3">
        <v>17.02</v>
      </c>
      <c r="M2576" s="3">
        <v>17.87</v>
      </c>
      <c r="N2576" s="3">
        <v>49.99</v>
      </c>
      <c r="O2576" s="2" t="s">
        <v>243</v>
      </c>
      <c r="P2576" s="2" t="s">
        <v>341</v>
      </c>
      <c r="Q2576" s="2" t="s">
        <v>237</v>
      </c>
      <c r="R2576" s="2" t="s">
        <v>231</v>
      </c>
      <c r="S2576" s="2" t="s">
        <v>231</v>
      </c>
      <c r="T2576" s="2" t="s">
        <v>231</v>
      </c>
      <c r="U2576" s="2" t="s">
        <v>327</v>
      </c>
      <c r="V2576" s="2" t="s">
        <v>1485</v>
      </c>
      <c r="W2576" s="2" t="s">
        <v>273</v>
      </c>
      <c r="X2576" s="2" t="s">
        <v>231</v>
      </c>
      <c r="Y2576" s="2" t="s">
        <v>2560</v>
      </c>
      <c r="Z2576" s="4">
        <v>86</v>
      </c>
      <c r="AA2576" s="4">
        <f>=ROUNDDOWN(86,0)</f>
      </c>
      <c r="AB2576" s="5">
        <v>1</v>
      </c>
      <c r="AC2576" s="2" t="s">
        <v>231</v>
      </c>
      <c r="AD2576" s="4"/>
      <c r="AE2576" s="4"/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231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/>
      <c r="BD2576" s="8"/>
      <c r="BE2576" s="4"/>
      <c r="BF2576" s="8"/>
      <c r="BG2576" s="7"/>
      <c r="BH2576" s="7"/>
      <c r="BI2576" s="7"/>
      <c r="BJ2576" s="4">
        <v>2</v>
      </c>
      <c r="BK2576" s="8">
        <v>17.88</v>
      </c>
      <c r="BL2576" s="2" t="s">
        <v>628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11033</v>
      </c>
      <c r="BV2576" s="2" t="s">
        <v>231</v>
      </c>
      <c r="BW2576" s="2" t="s">
        <v>231</v>
      </c>
      <c r="BX2576" s="2" t="s">
        <v>231</v>
      </c>
      <c r="BY2576" s="2" t="s">
        <v>277</v>
      </c>
      <c r="BZ2576" s="2" t="s">
        <v>243</v>
      </c>
      <c r="CA2576" s="2" t="s">
        <v>2070</v>
      </c>
      <c r="CB2576" s="2" t="s">
        <v>2765</v>
      </c>
      <c r="CC2576" s="2" t="s">
        <v>244</v>
      </c>
      <c r="CD2576" s="2" t="s">
        <v>231</v>
      </c>
      <c r="CE2576" s="4">
        <v>86</v>
      </c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  <c r="EM2576" s="4"/>
      <c r="EN2576" s="4"/>
      <c r="EO2576" s="4"/>
      <c r="EP2576" s="4"/>
      <c r="EQ2576" s="4"/>
      <c r="ER2576" s="4"/>
      <c r="ES2576" s="4"/>
      <c r="ET2576" s="4"/>
      <c r="EU2576" s="4"/>
      <c r="EV2576" s="4"/>
      <c r="EW2576" s="4"/>
      <c r="EX2576" s="4"/>
      <c r="EY2576" s="4"/>
      <c r="EZ2576" s="4"/>
      <c r="FA2576" s="4"/>
      <c r="FB2576" s="4"/>
      <c r="FC2576" s="4"/>
      <c r="FD2576" s="4"/>
      <c r="FE2576" s="4"/>
      <c r="FF2576" s="4"/>
      <c r="FG2576" s="4"/>
      <c r="FH2576" s="4"/>
      <c r="FI2576" s="4"/>
      <c r="FJ2576" s="4"/>
      <c r="FK2576" s="4"/>
      <c r="FL2576" s="4"/>
      <c r="FM2576" s="4"/>
      <c r="FN2576" s="4"/>
      <c r="FO2576" s="4"/>
      <c r="FP2576" s="4"/>
      <c r="FQ2576" s="4"/>
      <c r="FR2576" s="4"/>
      <c r="FS2576" s="4"/>
      <c r="FT2576" s="4"/>
      <c r="FU2576" s="4"/>
      <c r="FV2576" s="4"/>
      <c r="FW2576" s="4"/>
      <c r="FX2576" s="4"/>
      <c r="FY2576" s="4"/>
      <c r="FZ2576" s="4"/>
      <c r="GA2576" s="4"/>
      <c r="GB2576" s="4"/>
      <c r="GC2576" s="4"/>
      <c r="GD2576" s="4"/>
      <c r="GE2576" s="4"/>
      <c r="GF2576" s="4"/>
      <c r="GG2576" s="4"/>
      <c r="GH2576" s="4"/>
      <c r="GI2576" s="4"/>
      <c r="GJ2576" s="4"/>
      <c r="GK2576" s="4"/>
      <c r="GL2576" s="4"/>
      <c r="GM2576" s="4"/>
      <c r="GN2576" s="4"/>
      <c r="GO2576" s="4"/>
      <c r="GP2576" s="4"/>
      <c r="GQ2576" s="4"/>
      <c r="GR2576" s="4"/>
      <c r="GS2576" s="4"/>
      <c r="GT2576" s="4"/>
      <c r="GU2576" s="4"/>
      <c r="GV2576" s="4"/>
      <c r="GW2576" s="4"/>
      <c r="GX2576" s="4"/>
      <c r="GY2576" s="4"/>
      <c r="GZ2576" s="4"/>
      <c r="HA2576" s="4"/>
      <c r="HB2576" s="4"/>
      <c r="HC2576" s="4"/>
      <c r="HD2576" s="4"/>
      <c r="HE2576" s="4"/>
      <c r="HF2576" s="4"/>
      <c r="HG2576" s="4"/>
      <c r="HH2576" s="4"/>
      <c r="HI2576" s="4"/>
      <c r="HJ2576" s="4"/>
      <c r="HK2576" s="4"/>
      <c r="HL2576" s="4"/>
    </row>
    <row r="2577">
      <c r="A2577" s="2" t="s">
        <v>11034</v>
      </c>
      <c r="B2577" s="2" t="s">
        <v>824</v>
      </c>
      <c r="C2577" s="2" t="s">
        <v>1221</v>
      </c>
      <c r="D2577" s="2" t="s">
        <v>654</v>
      </c>
      <c r="E2577" s="2" t="s">
        <v>655</v>
      </c>
      <c r="F2577" s="2" t="s">
        <v>3393</v>
      </c>
      <c r="G2577" s="2" t="s">
        <v>11035</v>
      </c>
      <c r="H2577" s="2" t="s">
        <v>7385</v>
      </c>
      <c r="I2577" s="2" t="s">
        <v>11036</v>
      </c>
      <c r="J2577" s="2" t="s">
        <v>832</v>
      </c>
      <c r="K2577" s="2" t="s">
        <v>818</v>
      </c>
      <c r="L2577" s="3">
        <v>33.33</v>
      </c>
      <c r="M2577" s="3">
        <v>35</v>
      </c>
      <c r="N2577" s="3">
        <v>69.99</v>
      </c>
      <c r="O2577" s="2" t="s">
        <v>243</v>
      </c>
      <c r="P2577" s="2" t="s">
        <v>270</v>
      </c>
      <c r="Q2577" s="2" t="s">
        <v>237</v>
      </c>
      <c r="R2577" s="2" t="s">
        <v>231</v>
      </c>
      <c r="S2577" s="2" t="s">
        <v>11037</v>
      </c>
      <c r="T2577" s="2" t="s">
        <v>1630</v>
      </c>
      <c r="U2577" s="2" t="s">
        <v>835</v>
      </c>
      <c r="V2577" s="2" t="s">
        <v>239</v>
      </c>
      <c r="W2577" s="2" t="s">
        <v>273</v>
      </c>
      <c r="X2577" s="2" t="s">
        <v>792</v>
      </c>
      <c r="Y2577" s="2" t="s">
        <v>231</v>
      </c>
      <c r="Z2577" s="4"/>
      <c r="AA2577" s="4">
        <f>=ROUNDDOWN({0},0)</f>
      </c>
      <c r="AB2577" s="5">
        <v>19</v>
      </c>
      <c r="AC2577" s="2" t="s">
        <v>701</v>
      </c>
      <c r="AD2577" s="4">
        <v>200</v>
      </c>
      <c r="AE2577" s="4">
        <v>420</v>
      </c>
      <c r="AF2577" s="6">
        <v>65</v>
      </c>
      <c r="AG2577" s="6"/>
      <c r="AH2577" s="7">
        <v>0</v>
      </c>
      <c r="AI2577" s="4"/>
      <c r="AJ2577" s="4">
        <f>=ROUNDDOWN({0},0)</f>
      </c>
      <c r="AK2577" s="5"/>
      <c r="AL2577" s="2" t="s">
        <v>231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231</v>
      </c>
      <c r="AW2577" s="8" t="s">
        <v>231</v>
      </c>
      <c r="AX2577" s="4" t="s">
        <v>231</v>
      </c>
      <c r="AY2577" s="8" t="s">
        <v>231</v>
      </c>
      <c r="AZ2577" s="7" t="s">
        <v>231</v>
      </c>
      <c r="BA2577" s="7" t="s">
        <v>231</v>
      </c>
      <c r="BB2577" s="7"/>
      <c r="BC2577" s="4" t="s">
        <v>231</v>
      </c>
      <c r="BD2577" s="8" t="s">
        <v>231</v>
      </c>
      <c r="BE2577" s="4" t="s">
        <v>231</v>
      </c>
      <c r="BF2577" s="8" t="s">
        <v>231</v>
      </c>
      <c r="BG2577" s="7" t="s">
        <v>231</v>
      </c>
      <c r="BH2577" s="7" t="s">
        <v>231</v>
      </c>
      <c r="BI2577" s="7"/>
      <c r="BJ2577" s="4"/>
      <c r="BK2577" s="8"/>
      <c r="BL2577" s="2" t="s">
        <v>231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241</v>
      </c>
      <c r="BV2577" s="2" t="s">
        <v>231</v>
      </c>
      <c r="BW2577" s="2" t="s">
        <v>231</v>
      </c>
      <c r="BX2577" s="2" t="s">
        <v>312</v>
      </c>
      <c r="BY2577" s="2" t="s">
        <v>242</v>
      </c>
      <c r="BZ2577" s="2" t="s">
        <v>243</v>
      </c>
      <c r="CA2577" s="2" t="s">
        <v>231</v>
      </c>
      <c r="CB2577" s="2" t="s">
        <v>231</v>
      </c>
      <c r="CC2577" s="2" t="s">
        <v>244</v>
      </c>
      <c r="CD2577" s="2" t="s">
        <v>231</v>
      </c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>
        <v>200</v>
      </c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  <c r="EM2577" s="4"/>
      <c r="EN2577" s="4"/>
      <c r="EO2577" s="4"/>
      <c r="EP2577" s="4"/>
      <c r="EQ2577" s="4"/>
      <c r="ER2577" s="4"/>
      <c r="ES2577" s="4"/>
      <c r="ET2577" s="4"/>
      <c r="EU2577" s="4"/>
      <c r="EV2577" s="4"/>
      <c r="EW2577" s="4"/>
      <c r="EX2577" s="4">
        <v>220</v>
      </c>
      <c r="EY2577" s="4"/>
      <c r="EZ2577" s="4"/>
      <c r="FA2577" s="4"/>
      <c r="FB2577" s="4"/>
      <c r="FC2577" s="4"/>
      <c r="FD2577" s="4"/>
      <c r="FE2577" s="4"/>
      <c r="FF2577" s="4"/>
      <c r="FG2577" s="4"/>
      <c r="FH2577" s="4"/>
      <c r="FI2577" s="4"/>
      <c r="FJ2577" s="4"/>
      <c r="FK2577" s="4"/>
      <c r="FL2577" s="4"/>
      <c r="FM2577" s="4"/>
      <c r="FN2577" s="4"/>
      <c r="FO2577" s="4"/>
      <c r="FP2577" s="4"/>
      <c r="FQ2577" s="4"/>
      <c r="FR2577" s="4"/>
      <c r="FS2577" s="4"/>
      <c r="FT2577" s="4"/>
      <c r="FU2577" s="4"/>
      <c r="FV2577" s="4"/>
      <c r="FW2577" s="4"/>
      <c r="FX2577" s="4"/>
      <c r="FY2577" s="4"/>
      <c r="FZ2577" s="4"/>
      <c r="GA2577" s="4"/>
      <c r="GB2577" s="4"/>
      <c r="GC2577" s="4"/>
      <c r="GD2577" s="4"/>
      <c r="GE2577" s="4"/>
      <c r="GF2577" s="4"/>
      <c r="GG2577" s="4"/>
      <c r="GH2577" s="4"/>
      <c r="GI2577" s="4"/>
      <c r="GJ2577" s="4"/>
      <c r="GK2577" s="4"/>
      <c r="GL2577" s="4"/>
      <c r="GM2577" s="4"/>
      <c r="GN2577" s="4"/>
      <c r="GO2577" s="4"/>
      <c r="GP2577" s="4"/>
      <c r="GQ2577" s="4"/>
      <c r="GR2577" s="4"/>
      <c r="GS2577" s="4"/>
      <c r="GT2577" s="4"/>
      <c r="GU2577" s="4"/>
      <c r="GV2577" s="4"/>
      <c r="GW2577" s="4"/>
      <c r="GX2577" s="4"/>
      <c r="GY2577" s="4"/>
      <c r="GZ2577" s="4"/>
      <c r="HA2577" s="4"/>
      <c r="HB2577" s="4"/>
      <c r="HC2577" s="4"/>
      <c r="HD2577" s="4"/>
      <c r="HE2577" s="4"/>
      <c r="HF2577" s="4"/>
      <c r="HG2577" s="4"/>
      <c r="HH2577" s="4"/>
      <c r="HI2577" s="4"/>
      <c r="HJ2577" s="4"/>
      <c r="HK2577" s="4"/>
      <c r="HL2577" s="4"/>
    </row>
    <row r="2578">
      <c r="A2578" s="2" t="s">
        <v>11038</v>
      </c>
      <c r="B2578" s="2" t="s">
        <v>824</v>
      </c>
      <c r="C2578" s="2" t="s">
        <v>1221</v>
      </c>
      <c r="D2578" s="2" t="s">
        <v>654</v>
      </c>
      <c r="E2578" s="2" t="s">
        <v>655</v>
      </c>
      <c r="F2578" s="2" t="s">
        <v>3393</v>
      </c>
      <c r="G2578" s="2" t="s">
        <v>11035</v>
      </c>
      <c r="H2578" s="2" t="s">
        <v>7385</v>
      </c>
      <c r="I2578" s="2" t="s">
        <v>11036</v>
      </c>
      <c r="J2578" s="2" t="s">
        <v>658</v>
      </c>
      <c r="K2578" s="2" t="s">
        <v>818</v>
      </c>
      <c r="L2578" s="3">
        <v>38.09</v>
      </c>
      <c r="M2578" s="3">
        <v>39.99</v>
      </c>
      <c r="N2578" s="3">
        <v>79.99</v>
      </c>
      <c r="O2578" s="2" t="s">
        <v>243</v>
      </c>
      <c r="P2578" s="2" t="s">
        <v>270</v>
      </c>
      <c r="Q2578" s="2" t="s">
        <v>237</v>
      </c>
      <c r="R2578" s="2" t="s">
        <v>231</v>
      </c>
      <c r="S2578" s="2" t="s">
        <v>11037</v>
      </c>
      <c r="T2578" s="2" t="s">
        <v>1630</v>
      </c>
      <c r="U2578" s="2" t="s">
        <v>298</v>
      </c>
      <c r="V2578" s="2" t="s">
        <v>239</v>
      </c>
      <c r="W2578" s="2" t="s">
        <v>273</v>
      </c>
      <c r="X2578" s="2" t="s">
        <v>792</v>
      </c>
      <c r="Y2578" s="2" t="s">
        <v>231</v>
      </c>
      <c r="Z2578" s="4"/>
      <c r="AA2578" s="4">
        <f>=ROUNDDOWN({0},0)</f>
      </c>
      <c r="AB2578" s="5">
        <v>26</v>
      </c>
      <c r="AC2578" s="2" t="s">
        <v>701</v>
      </c>
      <c r="AD2578" s="4">
        <v>280</v>
      </c>
      <c r="AE2578" s="4">
        <v>580</v>
      </c>
      <c r="AF2578" s="6">
        <v>65</v>
      </c>
      <c r="AG2578" s="6"/>
      <c r="AH2578" s="7">
        <v>0</v>
      </c>
      <c r="AI2578" s="4"/>
      <c r="AJ2578" s="4">
        <f>=ROUNDDOWN({0},0)</f>
      </c>
      <c r="AK2578" s="5"/>
      <c r="AL2578" s="2" t="s">
        <v>231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231</v>
      </c>
      <c r="AW2578" s="8" t="s">
        <v>231</v>
      </c>
      <c r="AX2578" s="4" t="s">
        <v>231</v>
      </c>
      <c r="AY2578" s="8" t="s">
        <v>231</v>
      </c>
      <c r="AZ2578" s="7" t="s">
        <v>231</v>
      </c>
      <c r="BA2578" s="7" t="s">
        <v>231</v>
      </c>
      <c r="BB2578" s="7"/>
      <c r="BC2578" s="4" t="s">
        <v>231</v>
      </c>
      <c r="BD2578" s="8" t="s">
        <v>231</v>
      </c>
      <c r="BE2578" s="4" t="s">
        <v>231</v>
      </c>
      <c r="BF2578" s="8" t="s">
        <v>231</v>
      </c>
      <c r="BG2578" s="7" t="s">
        <v>231</v>
      </c>
      <c r="BH2578" s="7" t="s">
        <v>231</v>
      </c>
      <c r="BI2578" s="7"/>
      <c r="BJ2578" s="4"/>
      <c r="BK2578" s="8"/>
      <c r="BL2578" s="2" t="s">
        <v>231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241</v>
      </c>
      <c r="BV2578" s="2" t="s">
        <v>231</v>
      </c>
      <c r="BW2578" s="2" t="s">
        <v>231</v>
      </c>
      <c r="BX2578" s="2" t="s">
        <v>312</v>
      </c>
      <c r="BY2578" s="2" t="s">
        <v>242</v>
      </c>
      <c r="BZ2578" s="2" t="s">
        <v>243</v>
      </c>
      <c r="CA2578" s="2" t="s">
        <v>231</v>
      </c>
      <c r="CB2578" s="2" t="s">
        <v>231</v>
      </c>
      <c r="CC2578" s="2" t="s">
        <v>244</v>
      </c>
      <c r="CD2578" s="2" t="s">
        <v>231</v>
      </c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>
        <v>280</v>
      </c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>
        <v>300</v>
      </c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/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/>
      <c r="GY2578" s="4"/>
      <c r="GZ2578" s="4"/>
      <c r="HA2578" s="4"/>
      <c r="HB2578" s="4"/>
      <c r="HC2578" s="4"/>
      <c r="HD2578" s="4"/>
      <c r="HE2578" s="4"/>
      <c r="HF2578" s="4"/>
      <c r="HG2578" s="4"/>
      <c r="HH2578" s="4"/>
      <c r="HI2578" s="4"/>
      <c r="HJ2578" s="4"/>
      <c r="HK2578" s="4"/>
      <c r="HL2578" s="4"/>
    </row>
    <row r="2579">
      <c r="A2579" s="2" t="s">
        <v>11039</v>
      </c>
      <c r="B2579" s="2" t="s">
        <v>824</v>
      </c>
      <c r="C2579" s="2" t="s">
        <v>1221</v>
      </c>
      <c r="D2579" s="2" t="s">
        <v>654</v>
      </c>
      <c r="E2579" s="2" t="s">
        <v>655</v>
      </c>
      <c r="F2579" s="2" t="s">
        <v>3393</v>
      </c>
      <c r="G2579" s="2" t="s">
        <v>11035</v>
      </c>
      <c r="H2579" s="2" t="s">
        <v>7385</v>
      </c>
      <c r="I2579" s="2" t="s">
        <v>11036</v>
      </c>
      <c r="J2579" s="2" t="s">
        <v>832</v>
      </c>
      <c r="K2579" s="2" t="s">
        <v>11040</v>
      </c>
      <c r="L2579" s="3">
        <v>33.33</v>
      </c>
      <c r="M2579" s="3">
        <v>35</v>
      </c>
      <c r="N2579" s="3">
        <v>69.99</v>
      </c>
      <c r="O2579" s="2" t="s">
        <v>243</v>
      </c>
      <c r="P2579" s="2" t="s">
        <v>270</v>
      </c>
      <c r="Q2579" s="2" t="s">
        <v>237</v>
      </c>
      <c r="R2579" s="2" t="s">
        <v>231</v>
      </c>
      <c r="S2579" s="2" t="s">
        <v>11041</v>
      </c>
      <c r="T2579" s="2" t="s">
        <v>1630</v>
      </c>
      <c r="U2579" s="2" t="s">
        <v>835</v>
      </c>
      <c r="V2579" s="2" t="s">
        <v>836</v>
      </c>
      <c r="W2579" s="2" t="s">
        <v>273</v>
      </c>
      <c r="X2579" s="2" t="s">
        <v>792</v>
      </c>
      <c r="Y2579" s="2" t="s">
        <v>231</v>
      </c>
      <c r="Z2579" s="4"/>
      <c r="AA2579" s="4">
        <f>=ROUNDDOWN({0},0)</f>
      </c>
      <c r="AB2579" s="5">
        <v>23</v>
      </c>
      <c r="AC2579" s="2" t="s">
        <v>477</v>
      </c>
      <c r="AD2579" s="4">
        <v>200</v>
      </c>
      <c r="AE2579" s="4">
        <v>420</v>
      </c>
      <c r="AF2579" s="6">
        <v>65</v>
      </c>
      <c r="AG2579" s="6"/>
      <c r="AH2579" s="7">
        <v>0</v>
      </c>
      <c r="AI2579" s="4"/>
      <c r="AJ2579" s="4">
        <f>=ROUNDDOWN({0},0)</f>
      </c>
      <c r="AK2579" s="5"/>
      <c r="AL2579" s="2" t="s">
        <v>231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231</v>
      </c>
      <c r="AW2579" s="8" t="s">
        <v>231</v>
      </c>
      <c r="AX2579" s="4" t="s">
        <v>231</v>
      </c>
      <c r="AY2579" s="8" t="s">
        <v>231</v>
      </c>
      <c r="AZ2579" s="7" t="s">
        <v>231</v>
      </c>
      <c r="BA2579" s="7" t="s">
        <v>231</v>
      </c>
      <c r="BB2579" s="7"/>
      <c r="BC2579" s="4" t="s">
        <v>231</v>
      </c>
      <c r="BD2579" s="8" t="s">
        <v>231</v>
      </c>
      <c r="BE2579" s="4" t="s">
        <v>231</v>
      </c>
      <c r="BF2579" s="8" t="s">
        <v>231</v>
      </c>
      <c r="BG2579" s="7" t="s">
        <v>231</v>
      </c>
      <c r="BH2579" s="7" t="s">
        <v>231</v>
      </c>
      <c r="BI2579" s="7"/>
      <c r="BJ2579" s="4"/>
      <c r="BK2579" s="8"/>
      <c r="BL2579" s="2" t="s">
        <v>231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241</v>
      </c>
      <c r="BV2579" s="2" t="s">
        <v>231</v>
      </c>
      <c r="BW2579" s="2" t="s">
        <v>231</v>
      </c>
      <c r="BX2579" s="2" t="s">
        <v>312</v>
      </c>
      <c r="BY2579" s="2" t="s">
        <v>242</v>
      </c>
      <c r="BZ2579" s="2" t="s">
        <v>243</v>
      </c>
      <c r="CA2579" s="2" t="s">
        <v>231</v>
      </c>
      <c r="CB2579" s="2" t="s">
        <v>231</v>
      </c>
      <c r="CC2579" s="2" t="s">
        <v>244</v>
      </c>
      <c r="CD2579" s="2" t="s">
        <v>231</v>
      </c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>
        <v>200</v>
      </c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  <c r="EM2579" s="4"/>
      <c r="EN2579" s="4"/>
      <c r="EO2579" s="4"/>
      <c r="EP2579" s="4"/>
      <c r="EQ2579" s="4"/>
      <c r="ER2579" s="4"/>
      <c r="ES2579" s="4"/>
      <c r="ET2579" s="4"/>
      <c r="EU2579" s="4"/>
      <c r="EV2579" s="4"/>
      <c r="EW2579" s="4"/>
      <c r="EX2579" s="4">
        <v>220</v>
      </c>
      <c r="EY2579" s="4"/>
      <c r="EZ2579" s="4"/>
      <c r="FA2579" s="4"/>
      <c r="FB2579" s="4"/>
      <c r="FC2579" s="4"/>
      <c r="FD2579" s="4"/>
      <c r="FE2579" s="4"/>
      <c r="FF2579" s="4"/>
      <c r="FG2579" s="4"/>
      <c r="FH2579" s="4"/>
      <c r="FI2579" s="4"/>
      <c r="FJ2579" s="4"/>
      <c r="FK2579" s="4"/>
      <c r="FL2579" s="4"/>
      <c r="FM2579" s="4"/>
      <c r="FN2579" s="4"/>
      <c r="FO2579" s="4"/>
      <c r="FP2579" s="4"/>
      <c r="FQ2579" s="4"/>
      <c r="FR2579" s="4"/>
      <c r="FS2579" s="4"/>
      <c r="FT2579" s="4"/>
      <c r="FU2579" s="4"/>
      <c r="FV2579" s="4"/>
      <c r="FW2579" s="4"/>
      <c r="FX2579" s="4"/>
      <c r="FY2579" s="4"/>
      <c r="FZ2579" s="4"/>
      <c r="GA2579" s="4"/>
      <c r="GB2579" s="4"/>
      <c r="GC2579" s="4"/>
      <c r="GD2579" s="4"/>
      <c r="GE2579" s="4"/>
      <c r="GF2579" s="4"/>
      <c r="GG2579" s="4"/>
      <c r="GH2579" s="4"/>
      <c r="GI2579" s="4"/>
      <c r="GJ2579" s="4"/>
      <c r="GK2579" s="4"/>
      <c r="GL2579" s="4"/>
      <c r="GM2579" s="4"/>
      <c r="GN2579" s="4"/>
      <c r="GO2579" s="4"/>
      <c r="GP2579" s="4"/>
      <c r="GQ2579" s="4"/>
      <c r="GR2579" s="4"/>
      <c r="GS2579" s="4"/>
      <c r="GT2579" s="4"/>
      <c r="GU2579" s="4"/>
      <c r="GV2579" s="4"/>
      <c r="GW2579" s="4"/>
      <c r="GX2579" s="4"/>
      <c r="GY2579" s="4"/>
      <c r="GZ2579" s="4"/>
      <c r="HA2579" s="4"/>
      <c r="HB2579" s="4"/>
      <c r="HC2579" s="4"/>
      <c r="HD2579" s="4"/>
      <c r="HE2579" s="4"/>
      <c r="HF2579" s="4"/>
      <c r="HG2579" s="4"/>
      <c r="HH2579" s="4"/>
      <c r="HI2579" s="4"/>
      <c r="HJ2579" s="4"/>
      <c r="HK2579" s="4"/>
      <c r="HL2579" s="4"/>
    </row>
    <row r="2580">
      <c r="A2580" s="2" t="s">
        <v>11042</v>
      </c>
      <c r="B2580" s="2" t="s">
        <v>824</v>
      </c>
      <c r="C2580" s="2" t="s">
        <v>1221</v>
      </c>
      <c r="D2580" s="2" t="s">
        <v>654</v>
      </c>
      <c r="E2580" s="2" t="s">
        <v>655</v>
      </c>
      <c r="F2580" s="2" t="s">
        <v>3393</v>
      </c>
      <c r="G2580" s="2" t="s">
        <v>11035</v>
      </c>
      <c r="H2580" s="2" t="s">
        <v>7385</v>
      </c>
      <c r="I2580" s="2" t="s">
        <v>11036</v>
      </c>
      <c r="J2580" s="2" t="s">
        <v>658</v>
      </c>
      <c r="K2580" s="2" t="s">
        <v>11040</v>
      </c>
      <c r="L2580" s="3">
        <v>38.09</v>
      </c>
      <c r="M2580" s="3">
        <v>39.99</v>
      </c>
      <c r="N2580" s="3">
        <v>79.99</v>
      </c>
      <c r="O2580" s="2" t="s">
        <v>243</v>
      </c>
      <c r="P2580" s="2" t="s">
        <v>270</v>
      </c>
      <c r="Q2580" s="2" t="s">
        <v>237</v>
      </c>
      <c r="R2580" s="2" t="s">
        <v>231</v>
      </c>
      <c r="S2580" s="2" t="s">
        <v>11041</v>
      </c>
      <c r="T2580" s="2" t="s">
        <v>1630</v>
      </c>
      <c r="U2580" s="2" t="s">
        <v>298</v>
      </c>
      <c r="V2580" s="2" t="s">
        <v>836</v>
      </c>
      <c r="W2580" s="2" t="s">
        <v>273</v>
      </c>
      <c r="X2580" s="2" t="s">
        <v>792</v>
      </c>
      <c r="Y2580" s="2" t="s">
        <v>231</v>
      </c>
      <c r="Z2580" s="4"/>
      <c r="AA2580" s="4">
        <f>=ROUNDDOWN({0},0)</f>
      </c>
      <c r="AB2580" s="5">
        <v>31</v>
      </c>
      <c r="AC2580" s="2" t="s">
        <v>477</v>
      </c>
      <c r="AD2580" s="4">
        <v>280</v>
      </c>
      <c r="AE2580" s="4">
        <v>580</v>
      </c>
      <c r="AF2580" s="6">
        <v>65</v>
      </c>
      <c r="AG2580" s="6"/>
      <c r="AH2580" s="7">
        <v>0</v>
      </c>
      <c r="AI2580" s="4"/>
      <c r="AJ2580" s="4">
        <f>=ROUNDDOWN({0},0)</f>
      </c>
      <c r="AK2580" s="5"/>
      <c r="AL2580" s="2" t="s">
        <v>231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231</v>
      </c>
      <c r="AW2580" s="8" t="s">
        <v>231</v>
      </c>
      <c r="AX2580" s="4" t="s">
        <v>231</v>
      </c>
      <c r="AY2580" s="8" t="s">
        <v>231</v>
      </c>
      <c r="AZ2580" s="7" t="s">
        <v>231</v>
      </c>
      <c r="BA2580" s="7" t="s">
        <v>231</v>
      </c>
      <c r="BB2580" s="7"/>
      <c r="BC2580" s="4" t="s">
        <v>231</v>
      </c>
      <c r="BD2580" s="8" t="s">
        <v>231</v>
      </c>
      <c r="BE2580" s="4" t="s">
        <v>231</v>
      </c>
      <c r="BF2580" s="8" t="s">
        <v>231</v>
      </c>
      <c r="BG2580" s="7" t="s">
        <v>231</v>
      </c>
      <c r="BH2580" s="7" t="s">
        <v>231</v>
      </c>
      <c r="BI2580" s="7"/>
      <c r="BJ2580" s="4"/>
      <c r="BK2580" s="8"/>
      <c r="BL2580" s="2" t="s">
        <v>231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241</v>
      </c>
      <c r="BV2580" s="2" t="s">
        <v>231</v>
      </c>
      <c r="BW2580" s="2" t="s">
        <v>231</v>
      </c>
      <c r="BX2580" s="2" t="s">
        <v>312</v>
      </c>
      <c r="BY2580" s="2" t="s">
        <v>242</v>
      </c>
      <c r="BZ2580" s="2" t="s">
        <v>243</v>
      </c>
      <c r="CA2580" s="2" t="s">
        <v>231</v>
      </c>
      <c r="CB2580" s="2" t="s">
        <v>231</v>
      </c>
      <c r="CC2580" s="2" t="s">
        <v>244</v>
      </c>
      <c r="CD2580" s="2" t="s">
        <v>231</v>
      </c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>
        <v>280</v>
      </c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  <c r="EM2580" s="4"/>
      <c r="EN2580" s="4"/>
      <c r="EO2580" s="4"/>
      <c r="EP2580" s="4"/>
      <c r="EQ2580" s="4"/>
      <c r="ER2580" s="4"/>
      <c r="ES2580" s="4"/>
      <c r="ET2580" s="4"/>
      <c r="EU2580" s="4"/>
      <c r="EV2580" s="4"/>
      <c r="EW2580" s="4"/>
      <c r="EX2580" s="4">
        <v>300</v>
      </c>
      <c r="EY2580" s="4"/>
      <c r="EZ2580" s="4"/>
      <c r="FA2580" s="4"/>
      <c r="FB2580" s="4"/>
      <c r="FC2580" s="4"/>
      <c r="FD2580" s="4"/>
      <c r="FE2580" s="4"/>
      <c r="FF2580" s="4"/>
      <c r="FG2580" s="4"/>
      <c r="FH2580" s="4"/>
      <c r="FI2580" s="4"/>
      <c r="FJ2580" s="4"/>
      <c r="FK2580" s="4"/>
      <c r="FL2580" s="4"/>
      <c r="FM2580" s="4"/>
      <c r="FN2580" s="4"/>
      <c r="FO2580" s="4"/>
      <c r="FP2580" s="4"/>
      <c r="FQ2580" s="4"/>
      <c r="FR2580" s="4"/>
      <c r="FS2580" s="4"/>
      <c r="FT2580" s="4"/>
      <c r="FU2580" s="4"/>
      <c r="FV2580" s="4"/>
      <c r="FW2580" s="4"/>
      <c r="FX2580" s="4"/>
      <c r="FY2580" s="4"/>
      <c r="FZ2580" s="4"/>
      <c r="GA2580" s="4"/>
      <c r="GB2580" s="4"/>
      <c r="GC2580" s="4"/>
      <c r="GD2580" s="4"/>
      <c r="GE2580" s="4"/>
      <c r="GF2580" s="4"/>
      <c r="GG2580" s="4"/>
      <c r="GH2580" s="4"/>
      <c r="GI2580" s="4"/>
      <c r="GJ2580" s="4"/>
      <c r="GK2580" s="4"/>
      <c r="GL2580" s="4"/>
      <c r="GM2580" s="4"/>
      <c r="GN2580" s="4"/>
      <c r="GO2580" s="4"/>
      <c r="GP2580" s="4"/>
      <c r="GQ2580" s="4"/>
      <c r="GR2580" s="4"/>
      <c r="GS2580" s="4"/>
      <c r="GT2580" s="4"/>
      <c r="GU2580" s="4"/>
      <c r="GV2580" s="4"/>
      <c r="GW2580" s="4"/>
      <c r="GX2580" s="4"/>
      <c r="GY2580" s="4"/>
      <c r="GZ2580" s="4"/>
      <c r="HA2580" s="4"/>
      <c r="HB2580" s="4"/>
      <c r="HC2580" s="4"/>
      <c r="HD2580" s="4"/>
      <c r="HE2580" s="4"/>
      <c r="HF2580" s="4"/>
      <c r="HG2580" s="4"/>
      <c r="HH2580" s="4"/>
      <c r="HI2580" s="4"/>
      <c r="HJ2580" s="4"/>
      <c r="HK2580" s="4"/>
      <c r="HL2580" s="4"/>
    </row>
    <row r="2581">
      <c r="A2581" s="2" t="s">
        <v>11043</v>
      </c>
      <c r="B2581" s="2" t="s">
        <v>824</v>
      </c>
      <c r="C2581" s="2" t="s">
        <v>1221</v>
      </c>
      <c r="D2581" s="2" t="s">
        <v>654</v>
      </c>
      <c r="E2581" s="2" t="s">
        <v>655</v>
      </c>
      <c r="F2581" s="2" t="s">
        <v>3393</v>
      </c>
      <c r="G2581" s="2" t="s">
        <v>11035</v>
      </c>
      <c r="H2581" s="2" t="s">
        <v>7385</v>
      </c>
      <c r="I2581" s="2" t="s">
        <v>11036</v>
      </c>
      <c r="J2581" s="2" t="s">
        <v>832</v>
      </c>
      <c r="K2581" s="2" t="s">
        <v>3713</v>
      </c>
      <c r="L2581" s="3">
        <v>33.33</v>
      </c>
      <c r="M2581" s="3">
        <v>35</v>
      </c>
      <c r="N2581" s="3">
        <v>69.99</v>
      </c>
      <c r="O2581" s="2" t="s">
        <v>243</v>
      </c>
      <c r="P2581" s="2" t="s">
        <v>270</v>
      </c>
      <c r="Q2581" s="2" t="s">
        <v>237</v>
      </c>
      <c r="R2581" s="2" t="s">
        <v>231</v>
      </c>
      <c r="S2581" s="2" t="s">
        <v>11044</v>
      </c>
      <c r="T2581" s="2" t="s">
        <v>1630</v>
      </c>
      <c r="U2581" s="2" t="s">
        <v>835</v>
      </c>
      <c r="V2581" s="2" t="s">
        <v>239</v>
      </c>
      <c r="W2581" s="2" t="s">
        <v>273</v>
      </c>
      <c r="X2581" s="2" t="s">
        <v>792</v>
      </c>
      <c r="Y2581" s="2" t="s">
        <v>231</v>
      </c>
      <c r="Z2581" s="4"/>
      <c r="AA2581" s="4">
        <f>=ROUNDDOWN({0},0)</f>
      </c>
      <c r="AB2581" s="5">
        <v>24</v>
      </c>
      <c r="AC2581" s="2" t="s">
        <v>477</v>
      </c>
      <c r="AD2581" s="4">
        <v>230</v>
      </c>
      <c r="AE2581" s="4">
        <v>460</v>
      </c>
      <c r="AF2581" s="6">
        <v>65</v>
      </c>
      <c r="AG2581" s="6"/>
      <c r="AH2581" s="7">
        <v>0</v>
      </c>
      <c r="AI2581" s="4"/>
      <c r="AJ2581" s="4">
        <f>=ROUNDDOWN({0},0)</f>
      </c>
      <c r="AK2581" s="5"/>
      <c r="AL2581" s="2" t="s">
        <v>231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231</v>
      </c>
      <c r="AW2581" s="8" t="s">
        <v>231</v>
      </c>
      <c r="AX2581" s="4" t="s">
        <v>231</v>
      </c>
      <c r="AY2581" s="8" t="s">
        <v>231</v>
      </c>
      <c r="AZ2581" s="7" t="s">
        <v>231</v>
      </c>
      <c r="BA2581" s="7" t="s">
        <v>231</v>
      </c>
      <c r="BB2581" s="7"/>
      <c r="BC2581" s="4" t="s">
        <v>231</v>
      </c>
      <c r="BD2581" s="8" t="s">
        <v>231</v>
      </c>
      <c r="BE2581" s="4" t="s">
        <v>231</v>
      </c>
      <c r="BF2581" s="8" t="s">
        <v>231</v>
      </c>
      <c r="BG2581" s="7" t="s">
        <v>231</v>
      </c>
      <c r="BH2581" s="7" t="s">
        <v>231</v>
      </c>
      <c r="BI2581" s="7"/>
      <c r="BJ2581" s="4"/>
      <c r="BK2581" s="8"/>
      <c r="BL2581" s="2" t="s">
        <v>231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241</v>
      </c>
      <c r="BV2581" s="2" t="s">
        <v>231</v>
      </c>
      <c r="BW2581" s="2" t="s">
        <v>231</v>
      </c>
      <c r="BX2581" s="2" t="s">
        <v>312</v>
      </c>
      <c r="BY2581" s="2" t="s">
        <v>242</v>
      </c>
      <c r="BZ2581" s="2" t="s">
        <v>243</v>
      </c>
      <c r="CA2581" s="2" t="s">
        <v>231</v>
      </c>
      <c r="CB2581" s="2" t="s">
        <v>231</v>
      </c>
      <c r="CC2581" s="2" t="s">
        <v>244</v>
      </c>
      <c r="CD2581" s="2" t="s">
        <v>231</v>
      </c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>
        <v>230</v>
      </c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  <c r="EM2581" s="4"/>
      <c r="EN2581" s="4"/>
      <c r="EO2581" s="4"/>
      <c r="EP2581" s="4"/>
      <c r="EQ2581" s="4"/>
      <c r="ER2581" s="4"/>
      <c r="ES2581" s="4"/>
      <c r="ET2581" s="4"/>
      <c r="EU2581" s="4"/>
      <c r="EV2581" s="4"/>
      <c r="EW2581" s="4"/>
      <c r="EX2581" s="4">
        <v>230</v>
      </c>
      <c r="EY2581" s="4"/>
      <c r="EZ2581" s="4"/>
      <c r="FA2581" s="4"/>
      <c r="FB2581" s="4"/>
      <c r="FC2581" s="4"/>
      <c r="FD2581" s="4"/>
      <c r="FE2581" s="4"/>
      <c r="FF2581" s="4"/>
      <c r="FG2581" s="4"/>
      <c r="FH2581" s="4"/>
      <c r="FI2581" s="4"/>
      <c r="FJ2581" s="4"/>
      <c r="FK2581" s="4"/>
      <c r="FL2581" s="4"/>
      <c r="FM2581" s="4"/>
      <c r="FN2581" s="4"/>
      <c r="FO2581" s="4"/>
      <c r="FP2581" s="4"/>
      <c r="FQ2581" s="4"/>
      <c r="FR2581" s="4"/>
      <c r="FS2581" s="4"/>
      <c r="FT2581" s="4"/>
      <c r="FU2581" s="4"/>
      <c r="FV2581" s="4"/>
      <c r="FW2581" s="4"/>
      <c r="FX2581" s="4"/>
      <c r="FY2581" s="4"/>
      <c r="FZ2581" s="4"/>
      <c r="GA2581" s="4"/>
      <c r="GB2581" s="4"/>
      <c r="GC2581" s="4"/>
      <c r="GD2581" s="4"/>
      <c r="GE2581" s="4"/>
      <c r="GF2581" s="4"/>
      <c r="GG2581" s="4"/>
      <c r="GH2581" s="4"/>
      <c r="GI2581" s="4"/>
      <c r="GJ2581" s="4"/>
      <c r="GK2581" s="4"/>
      <c r="GL2581" s="4"/>
      <c r="GM2581" s="4"/>
      <c r="GN2581" s="4"/>
      <c r="GO2581" s="4"/>
      <c r="GP2581" s="4"/>
      <c r="GQ2581" s="4"/>
      <c r="GR2581" s="4"/>
      <c r="GS2581" s="4"/>
      <c r="GT2581" s="4"/>
      <c r="GU2581" s="4"/>
      <c r="GV2581" s="4"/>
      <c r="GW2581" s="4"/>
      <c r="GX2581" s="4"/>
      <c r="GY2581" s="4"/>
      <c r="GZ2581" s="4"/>
      <c r="HA2581" s="4"/>
      <c r="HB2581" s="4"/>
      <c r="HC2581" s="4"/>
      <c r="HD2581" s="4"/>
      <c r="HE2581" s="4"/>
      <c r="HF2581" s="4"/>
      <c r="HG2581" s="4"/>
      <c r="HH2581" s="4"/>
      <c r="HI2581" s="4"/>
      <c r="HJ2581" s="4"/>
      <c r="HK2581" s="4"/>
      <c r="HL2581" s="4"/>
    </row>
    <row r="2582">
      <c r="A2582" s="2" t="s">
        <v>11045</v>
      </c>
      <c r="B2582" s="2" t="s">
        <v>824</v>
      </c>
      <c r="C2582" s="2" t="s">
        <v>1221</v>
      </c>
      <c r="D2582" s="2" t="s">
        <v>654</v>
      </c>
      <c r="E2582" s="2" t="s">
        <v>655</v>
      </c>
      <c r="F2582" s="2" t="s">
        <v>3393</v>
      </c>
      <c r="G2582" s="2" t="s">
        <v>11035</v>
      </c>
      <c r="H2582" s="2" t="s">
        <v>7385</v>
      </c>
      <c r="I2582" s="2" t="s">
        <v>11036</v>
      </c>
      <c r="J2582" s="2" t="s">
        <v>658</v>
      </c>
      <c r="K2582" s="2" t="s">
        <v>3713</v>
      </c>
      <c r="L2582" s="3">
        <v>38.09</v>
      </c>
      <c r="M2582" s="3">
        <v>39.99</v>
      </c>
      <c r="N2582" s="3">
        <v>79.99</v>
      </c>
      <c r="O2582" s="2" t="s">
        <v>243</v>
      </c>
      <c r="P2582" s="2" t="s">
        <v>270</v>
      </c>
      <c r="Q2582" s="2" t="s">
        <v>237</v>
      </c>
      <c r="R2582" s="2" t="s">
        <v>231</v>
      </c>
      <c r="S2582" s="2" t="s">
        <v>11044</v>
      </c>
      <c r="T2582" s="2" t="s">
        <v>1630</v>
      </c>
      <c r="U2582" s="2" t="s">
        <v>298</v>
      </c>
      <c r="V2582" s="2" t="s">
        <v>239</v>
      </c>
      <c r="W2582" s="2" t="s">
        <v>273</v>
      </c>
      <c r="X2582" s="2" t="s">
        <v>792</v>
      </c>
      <c r="Y2582" s="2" t="s">
        <v>231</v>
      </c>
      <c r="Z2582" s="4"/>
      <c r="AA2582" s="4">
        <f>=ROUNDDOWN({0},0)</f>
      </c>
      <c r="AB2582" s="5">
        <v>33</v>
      </c>
      <c r="AC2582" s="2" t="s">
        <v>477</v>
      </c>
      <c r="AD2582" s="4">
        <v>300</v>
      </c>
      <c r="AE2582" s="4">
        <v>640</v>
      </c>
      <c r="AF2582" s="6">
        <v>65</v>
      </c>
      <c r="AG2582" s="6"/>
      <c r="AH2582" s="7">
        <v>0</v>
      </c>
      <c r="AI2582" s="4"/>
      <c r="AJ2582" s="4">
        <f>=ROUNDDOWN({0},0)</f>
      </c>
      <c r="AK2582" s="5"/>
      <c r="AL2582" s="2" t="s">
        <v>231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231</v>
      </c>
      <c r="AW2582" s="8" t="s">
        <v>231</v>
      </c>
      <c r="AX2582" s="4" t="s">
        <v>231</v>
      </c>
      <c r="AY2582" s="8" t="s">
        <v>231</v>
      </c>
      <c r="AZ2582" s="7" t="s">
        <v>231</v>
      </c>
      <c r="BA2582" s="7" t="s">
        <v>231</v>
      </c>
      <c r="BB2582" s="7"/>
      <c r="BC2582" s="4" t="s">
        <v>231</v>
      </c>
      <c r="BD2582" s="8" t="s">
        <v>231</v>
      </c>
      <c r="BE2582" s="4" t="s">
        <v>231</v>
      </c>
      <c r="BF2582" s="8" t="s">
        <v>231</v>
      </c>
      <c r="BG2582" s="7" t="s">
        <v>231</v>
      </c>
      <c r="BH2582" s="7" t="s">
        <v>231</v>
      </c>
      <c r="BI2582" s="7"/>
      <c r="BJ2582" s="4"/>
      <c r="BK2582" s="8"/>
      <c r="BL2582" s="2" t="s">
        <v>231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241</v>
      </c>
      <c r="BV2582" s="2" t="s">
        <v>231</v>
      </c>
      <c r="BW2582" s="2" t="s">
        <v>231</v>
      </c>
      <c r="BX2582" s="2" t="s">
        <v>312</v>
      </c>
      <c r="BY2582" s="2" t="s">
        <v>242</v>
      </c>
      <c r="BZ2582" s="2" t="s">
        <v>243</v>
      </c>
      <c r="CA2582" s="2" t="s">
        <v>231</v>
      </c>
      <c r="CB2582" s="2" t="s">
        <v>231</v>
      </c>
      <c r="CC2582" s="2" t="s">
        <v>244</v>
      </c>
      <c r="CD2582" s="2" t="s">
        <v>231</v>
      </c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  <c r="DP2582" s="4"/>
      <c r="DQ2582" s="4"/>
      <c r="DR2582" s="4"/>
      <c r="DS2582" s="4">
        <v>300</v>
      </c>
      <c r="DT2582" s="4"/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  <c r="EM2582" s="4"/>
      <c r="EN2582" s="4"/>
      <c r="EO2582" s="4"/>
      <c r="EP2582" s="4"/>
      <c r="EQ2582" s="4"/>
      <c r="ER2582" s="4"/>
      <c r="ES2582" s="4"/>
      <c r="ET2582" s="4"/>
      <c r="EU2582" s="4"/>
      <c r="EV2582" s="4"/>
      <c r="EW2582" s="4"/>
      <c r="EX2582" s="4">
        <v>340</v>
      </c>
      <c r="EY2582" s="4"/>
      <c r="EZ2582" s="4"/>
      <c r="FA2582" s="4"/>
      <c r="FB2582" s="4"/>
      <c r="FC2582" s="4"/>
      <c r="FD2582" s="4"/>
      <c r="FE2582" s="4"/>
      <c r="FF2582" s="4"/>
      <c r="FG2582" s="4"/>
      <c r="FH2582" s="4"/>
      <c r="FI2582" s="4"/>
      <c r="FJ2582" s="4"/>
      <c r="FK2582" s="4"/>
      <c r="FL2582" s="4"/>
      <c r="FM2582" s="4"/>
      <c r="FN2582" s="4"/>
      <c r="FO2582" s="4"/>
      <c r="FP2582" s="4"/>
      <c r="FQ2582" s="4"/>
      <c r="FR2582" s="4"/>
      <c r="FS2582" s="4"/>
      <c r="FT2582" s="4"/>
      <c r="FU2582" s="4"/>
      <c r="FV2582" s="4"/>
      <c r="FW2582" s="4"/>
      <c r="FX2582" s="4"/>
      <c r="FY2582" s="4"/>
      <c r="FZ2582" s="4"/>
      <c r="GA2582" s="4"/>
      <c r="GB2582" s="4"/>
      <c r="GC2582" s="4"/>
      <c r="GD2582" s="4"/>
      <c r="GE2582" s="4"/>
      <c r="GF2582" s="4"/>
      <c r="GG2582" s="4"/>
      <c r="GH2582" s="4"/>
      <c r="GI2582" s="4"/>
      <c r="GJ2582" s="4"/>
      <c r="GK2582" s="4"/>
      <c r="GL2582" s="4"/>
      <c r="GM2582" s="4"/>
      <c r="GN2582" s="4"/>
      <c r="GO2582" s="4"/>
      <c r="GP2582" s="4"/>
      <c r="GQ2582" s="4"/>
      <c r="GR2582" s="4"/>
      <c r="GS2582" s="4"/>
      <c r="GT2582" s="4"/>
      <c r="GU2582" s="4"/>
      <c r="GV2582" s="4"/>
      <c r="GW2582" s="4"/>
      <c r="GX2582" s="4"/>
      <c r="GY2582" s="4"/>
      <c r="GZ2582" s="4"/>
      <c r="HA2582" s="4"/>
      <c r="HB2582" s="4"/>
      <c r="HC2582" s="4"/>
      <c r="HD2582" s="4"/>
      <c r="HE2582" s="4"/>
      <c r="HF2582" s="4"/>
      <c r="HG2582" s="4"/>
      <c r="HH2582" s="4"/>
      <c r="HI2582" s="4"/>
      <c r="HJ2582" s="4"/>
      <c r="HK2582" s="4"/>
      <c r="HL2582" s="4"/>
    </row>
    <row r="2583">
      <c r="A2583" s="2" t="s">
        <v>11046</v>
      </c>
      <c r="B2583" s="2" t="s">
        <v>992</v>
      </c>
      <c r="C2583" s="2" t="s">
        <v>288</v>
      </c>
      <c r="D2583" s="2" t="s">
        <v>993</v>
      </c>
      <c r="E2583" s="2" t="s">
        <v>2042</v>
      </c>
      <c r="F2583" s="2" t="s">
        <v>11047</v>
      </c>
      <c r="G2583" s="2" t="s">
        <v>11048</v>
      </c>
      <c r="H2583" s="2" t="s">
        <v>11049</v>
      </c>
      <c r="I2583" s="2" t="s">
        <v>11050</v>
      </c>
      <c r="J2583" s="2" t="s">
        <v>1586</v>
      </c>
      <c r="K2583" s="2" t="s">
        <v>8019</v>
      </c>
      <c r="L2583" s="3">
        <v>17.2</v>
      </c>
      <c r="M2583" s="3">
        <v>18.06</v>
      </c>
      <c r="N2583" s="3">
        <v>39.99</v>
      </c>
      <c r="O2583" s="2" t="s">
        <v>243</v>
      </c>
      <c r="P2583" s="2" t="s">
        <v>270</v>
      </c>
      <c r="Q2583" s="2" t="s">
        <v>237</v>
      </c>
      <c r="R2583" s="2" t="s">
        <v>231</v>
      </c>
      <c r="S2583" s="2" t="s">
        <v>11051</v>
      </c>
      <c r="T2583" s="2" t="s">
        <v>231</v>
      </c>
      <c r="U2583" s="2" t="s">
        <v>327</v>
      </c>
      <c r="V2583" s="2" t="s">
        <v>239</v>
      </c>
      <c r="W2583" s="2" t="s">
        <v>2897</v>
      </c>
      <c r="X2583" s="2" t="s">
        <v>2042</v>
      </c>
      <c r="Y2583" s="2" t="s">
        <v>879</v>
      </c>
      <c r="Z2583" s="4">
        <v>368</v>
      </c>
      <c r="AA2583" s="4">
        <f>=ROUNDDOWN(46,0)</f>
      </c>
      <c r="AB2583" s="5">
        <v>8</v>
      </c>
      <c r="AC2583" s="2" t="s">
        <v>231</v>
      </c>
      <c r="AD2583" s="4"/>
      <c r="AE2583" s="4"/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231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231</v>
      </c>
      <c r="BD2583" s="8" t="s">
        <v>231</v>
      </c>
      <c r="BE2583" s="4" t="s">
        <v>231</v>
      </c>
      <c r="BF2583" s="8" t="s">
        <v>231</v>
      </c>
      <c r="BG2583" s="7" t="s">
        <v>231</v>
      </c>
      <c r="BH2583" s="7" t="s">
        <v>231</v>
      </c>
      <c r="BI2583" s="7"/>
      <c r="BJ2583" s="4">
        <v>16</v>
      </c>
      <c r="BK2583" s="8">
        <v>299.94</v>
      </c>
      <c r="BL2583" s="2" t="s">
        <v>11052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11053</v>
      </c>
      <c r="BV2583" s="2" t="s">
        <v>231</v>
      </c>
      <c r="BW2583" s="2" t="s">
        <v>231</v>
      </c>
      <c r="BX2583" s="2" t="s">
        <v>231</v>
      </c>
      <c r="BY2583" s="2" t="s">
        <v>277</v>
      </c>
      <c r="BZ2583" s="2" t="s">
        <v>243</v>
      </c>
      <c r="CA2583" s="2" t="s">
        <v>10172</v>
      </c>
      <c r="CB2583" s="2" t="s">
        <v>11054</v>
      </c>
      <c r="CC2583" s="2" t="s">
        <v>244</v>
      </c>
      <c r="CD2583" s="2" t="s">
        <v>231</v>
      </c>
      <c r="CE2583" s="4">
        <v>368</v>
      </c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  <c r="DP2583" s="4"/>
      <c r="DQ2583" s="4"/>
      <c r="DR2583" s="4"/>
      <c r="DS2583" s="4"/>
      <c r="DT2583" s="4"/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  <c r="EM2583" s="4"/>
      <c r="EN2583" s="4"/>
      <c r="EO2583" s="4"/>
      <c r="EP2583" s="4"/>
      <c r="EQ2583" s="4"/>
      <c r="ER2583" s="4"/>
      <c r="ES2583" s="4"/>
      <c r="ET2583" s="4"/>
      <c r="EU2583" s="4"/>
      <c r="EV2583" s="4"/>
      <c r="EW2583" s="4"/>
      <c r="EX2583" s="4"/>
      <c r="EY2583" s="4"/>
      <c r="EZ2583" s="4"/>
      <c r="FA2583" s="4"/>
      <c r="FB2583" s="4"/>
      <c r="FC2583" s="4"/>
      <c r="FD2583" s="4"/>
      <c r="FE2583" s="4"/>
      <c r="FF2583" s="4"/>
      <c r="FG2583" s="4"/>
      <c r="FH2583" s="4"/>
      <c r="FI2583" s="4"/>
      <c r="FJ2583" s="4"/>
      <c r="FK2583" s="4"/>
      <c r="FL2583" s="4"/>
      <c r="FM2583" s="4"/>
      <c r="FN2583" s="4"/>
      <c r="FO2583" s="4"/>
      <c r="FP2583" s="4"/>
      <c r="FQ2583" s="4"/>
      <c r="FR2583" s="4"/>
      <c r="FS2583" s="4"/>
      <c r="FT2583" s="4"/>
      <c r="FU2583" s="4"/>
      <c r="FV2583" s="4"/>
      <c r="FW2583" s="4"/>
      <c r="FX2583" s="4"/>
      <c r="FY2583" s="4"/>
      <c r="FZ2583" s="4"/>
      <c r="GA2583" s="4"/>
      <c r="GB2583" s="4"/>
      <c r="GC2583" s="4"/>
      <c r="GD2583" s="4"/>
      <c r="GE2583" s="4"/>
      <c r="GF2583" s="4"/>
      <c r="GG2583" s="4"/>
      <c r="GH2583" s="4"/>
      <c r="GI2583" s="4"/>
      <c r="GJ2583" s="4"/>
      <c r="GK2583" s="4"/>
      <c r="GL2583" s="4"/>
      <c r="GM2583" s="4"/>
      <c r="GN2583" s="4"/>
      <c r="GO2583" s="4"/>
      <c r="GP2583" s="4"/>
      <c r="GQ2583" s="4"/>
      <c r="GR2583" s="4"/>
      <c r="GS2583" s="4"/>
      <c r="GT2583" s="4"/>
      <c r="GU2583" s="4"/>
      <c r="GV2583" s="4"/>
      <c r="GW2583" s="4"/>
      <c r="GX2583" s="4"/>
      <c r="GY2583" s="4"/>
      <c r="GZ2583" s="4"/>
      <c r="HA2583" s="4"/>
      <c r="HB2583" s="4"/>
      <c r="HC2583" s="4"/>
      <c r="HD2583" s="4"/>
      <c r="HE2583" s="4"/>
      <c r="HF2583" s="4"/>
      <c r="HG2583" s="4"/>
      <c r="HH2583" s="4"/>
      <c r="HI2583" s="4"/>
      <c r="HJ2583" s="4"/>
      <c r="HK2583" s="4"/>
      <c r="HL2583" s="4"/>
    </row>
    <row r="2584">
      <c r="A2584" s="2" t="s">
        <v>11055</v>
      </c>
      <c r="B2584" s="2" t="s">
        <v>992</v>
      </c>
      <c r="C2584" s="2" t="s">
        <v>288</v>
      </c>
      <c r="D2584" s="2" t="s">
        <v>993</v>
      </c>
      <c r="E2584" s="2" t="s">
        <v>2042</v>
      </c>
      <c r="F2584" s="2" t="s">
        <v>11047</v>
      </c>
      <c r="G2584" s="2" t="s">
        <v>11048</v>
      </c>
      <c r="H2584" s="2" t="s">
        <v>11049</v>
      </c>
      <c r="I2584" s="2" t="s">
        <v>11050</v>
      </c>
      <c r="J2584" s="2" t="s">
        <v>1703</v>
      </c>
      <c r="K2584" s="2" t="s">
        <v>319</v>
      </c>
      <c r="L2584" s="3">
        <v>13.5</v>
      </c>
      <c r="M2584" s="3">
        <v>14.18</v>
      </c>
      <c r="N2584" s="3">
        <v>29.99</v>
      </c>
      <c r="O2584" s="2" t="s">
        <v>243</v>
      </c>
      <c r="P2584" s="2" t="s">
        <v>1281</v>
      </c>
      <c r="Q2584" s="2" t="s">
        <v>237</v>
      </c>
      <c r="R2584" s="2" t="s">
        <v>231</v>
      </c>
      <c r="S2584" s="2" t="s">
        <v>11056</v>
      </c>
      <c r="T2584" s="2" t="s">
        <v>231</v>
      </c>
      <c r="U2584" s="2" t="s">
        <v>327</v>
      </c>
      <c r="V2584" s="2" t="s">
        <v>239</v>
      </c>
      <c r="W2584" s="2" t="s">
        <v>2897</v>
      </c>
      <c r="X2584" s="2" t="s">
        <v>2042</v>
      </c>
      <c r="Y2584" s="2" t="s">
        <v>8081</v>
      </c>
      <c r="Z2584" s="4">
        <v>146</v>
      </c>
      <c r="AA2584" s="4">
        <f>=ROUNDDOWN(20.8571428571429,0)</f>
      </c>
      <c r="AB2584" s="5">
        <v>7</v>
      </c>
      <c r="AC2584" s="2" t="s">
        <v>309</v>
      </c>
      <c r="AD2584" s="4">
        <v>60</v>
      </c>
      <c r="AE2584" s="4">
        <v>60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231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 t="s">
        <v>231</v>
      </c>
      <c r="BD2584" s="8" t="s">
        <v>231</v>
      </c>
      <c r="BE2584" s="4" t="s">
        <v>231</v>
      </c>
      <c r="BF2584" s="8" t="s">
        <v>231</v>
      </c>
      <c r="BG2584" s="7" t="s">
        <v>231</v>
      </c>
      <c r="BH2584" s="7" t="s">
        <v>231</v>
      </c>
      <c r="BI2584" s="7"/>
      <c r="BJ2584" s="4">
        <v>33</v>
      </c>
      <c r="BK2584" s="8">
        <v>492.54</v>
      </c>
      <c r="BL2584" s="2" t="s">
        <v>11057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11058</v>
      </c>
      <c r="BV2584" s="2" t="s">
        <v>231</v>
      </c>
      <c r="BW2584" s="2" t="s">
        <v>231</v>
      </c>
      <c r="BX2584" s="2" t="s">
        <v>231</v>
      </c>
      <c r="BY2584" s="2" t="s">
        <v>277</v>
      </c>
      <c r="BZ2584" s="2" t="s">
        <v>243</v>
      </c>
      <c r="CA2584" s="2" t="s">
        <v>6672</v>
      </c>
      <c r="CB2584" s="2" t="s">
        <v>8086</v>
      </c>
      <c r="CC2584" s="2" t="s">
        <v>244</v>
      </c>
      <c r="CD2584" s="2" t="s">
        <v>231</v>
      </c>
      <c r="CE2584" s="4">
        <v>146</v>
      </c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  <c r="DP2584" s="4"/>
      <c r="DQ2584" s="4"/>
      <c r="DR2584" s="4"/>
      <c r="DS2584" s="4"/>
      <c r="DT2584" s="4"/>
      <c r="DU2584" s="4"/>
      <c r="DV2584" s="4"/>
      <c r="DW2584" s="4"/>
      <c r="DX2584" s="4"/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  <c r="EM2584" s="4"/>
      <c r="EN2584" s="4">
        <v>60</v>
      </c>
      <c r="EO2584" s="4"/>
      <c r="EP2584" s="4"/>
      <c r="EQ2584" s="4"/>
      <c r="ER2584" s="4"/>
      <c r="ES2584" s="4"/>
      <c r="ET2584" s="4"/>
      <c r="EU2584" s="4"/>
      <c r="EV2584" s="4"/>
      <c r="EW2584" s="4"/>
      <c r="EX2584" s="4"/>
      <c r="EY2584" s="4"/>
      <c r="EZ2584" s="4"/>
      <c r="FA2584" s="4"/>
      <c r="FB2584" s="4"/>
      <c r="FC2584" s="4"/>
      <c r="FD2584" s="4"/>
      <c r="FE2584" s="4"/>
      <c r="FF2584" s="4"/>
      <c r="FG2584" s="4"/>
      <c r="FH2584" s="4"/>
      <c r="FI2584" s="4"/>
      <c r="FJ2584" s="4"/>
      <c r="FK2584" s="4"/>
      <c r="FL2584" s="4"/>
      <c r="FM2584" s="4"/>
      <c r="FN2584" s="4"/>
      <c r="FO2584" s="4"/>
      <c r="FP2584" s="4"/>
      <c r="FQ2584" s="4"/>
      <c r="FR2584" s="4"/>
      <c r="FS2584" s="4"/>
      <c r="FT2584" s="4"/>
      <c r="FU2584" s="4"/>
      <c r="FV2584" s="4"/>
      <c r="FW2584" s="4"/>
      <c r="FX2584" s="4"/>
      <c r="FY2584" s="4"/>
      <c r="FZ2584" s="4"/>
      <c r="GA2584" s="4"/>
      <c r="GB2584" s="4"/>
      <c r="GC2584" s="4"/>
      <c r="GD2584" s="4"/>
      <c r="GE2584" s="4"/>
      <c r="GF2584" s="4"/>
      <c r="GG2584" s="4"/>
      <c r="GH2584" s="4"/>
      <c r="GI2584" s="4"/>
      <c r="GJ2584" s="4"/>
      <c r="GK2584" s="4"/>
      <c r="GL2584" s="4"/>
      <c r="GM2584" s="4"/>
      <c r="GN2584" s="4"/>
      <c r="GO2584" s="4"/>
      <c r="GP2584" s="4"/>
      <c r="GQ2584" s="4"/>
      <c r="GR2584" s="4"/>
      <c r="GS2584" s="4"/>
      <c r="GT2584" s="4"/>
      <c r="GU2584" s="4"/>
      <c r="GV2584" s="4"/>
      <c r="GW2584" s="4"/>
      <c r="GX2584" s="4"/>
      <c r="GY2584" s="4"/>
      <c r="GZ2584" s="4"/>
      <c r="HA2584" s="4"/>
      <c r="HB2584" s="4"/>
      <c r="HC2584" s="4"/>
      <c r="HD2584" s="4"/>
      <c r="HE2584" s="4"/>
      <c r="HF2584" s="4"/>
      <c r="HG2584" s="4"/>
      <c r="HH2584" s="4"/>
      <c r="HI2584" s="4"/>
      <c r="HJ2584" s="4"/>
      <c r="HK2584" s="4"/>
      <c r="HL2584" s="4"/>
    </row>
    <row r="2585">
      <c r="A2585" s="2" t="s">
        <v>11059</v>
      </c>
      <c r="B2585" s="2" t="s">
        <v>824</v>
      </c>
      <c r="C2585" s="2" t="s">
        <v>1051</v>
      </c>
      <c r="D2585" s="2" t="s">
        <v>654</v>
      </c>
      <c r="E2585" s="2" t="s">
        <v>890</v>
      </c>
      <c r="F2585" s="2" t="s">
        <v>11060</v>
      </c>
      <c r="G2585" s="2" t="s">
        <v>11061</v>
      </c>
      <c r="H2585" s="2" t="s">
        <v>11062</v>
      </c>
      <c r="I2585" s="2" t="s">
        <v>11063</v>
      </c>
      <c r="J2585" s="2" t="s">
        <v>832</v>
      </c>
      <c r="K2585" s="2" t="s">
        <v>269</v>
      </c>
      <c r="L2585" s="3">
        <v>28.57</v>
      </c>
      <c r="M2585" s="3">
        <v>30</v>
      </c>
      <c r="N2585" s="3">
        <v>59.99</v>
      </c>
      <c r="O2585" s="2" t="s">
        <v>243</v>
      </c>
      <c r="P2585" s="2" t="s">
        <v>236</v>
      </c>
      <c r="Q2585" s="2" t="s">
        <v>237</v>
      </c>
      <c r="R2585" s="2" t="s">
        <v>231</v>
      </c>
      <c r="S2585" s="2" t="s">
        <v>11064</v>
      </c>
      <c r="T2585" s="2" t="s">
        <v>1432</v>
      </c>
      <c r="U2585" s="2" t="s">
        <v>791</v>
      </c>
      <c r="V2585" s="2" t="s">
        <v>391</v>
      </c>
      <c r="W2585" s="2" t="s">
        <v>691</v>
      </c>
      <c r="X2585" s="2" t="s">
        <v>273</v>
      </c>
      <c r="Y2585" s="2" t="s">
        <v>1878</v>
      </c>
      <c r="Z2585" s="4">
        <v>59</v>
      </c>
      <c r="AA2585" s="4">
        <f>=ROUNDDOWN(11.8,0)</f>
      </c>
      <c r="AB2585" s="5">
        <v>5</v>
      </c>
      <c r="AC2585" s="2" t="s">
        <v>231</v>
      </c>
      <c r="AD2585" s="4"/>
      <c r="AE2585" s="4"/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231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231</v>
      </c>
      <c r="AW2585" s="8" t="s">
        <v>231</v>
      </c>
      <c r="AX2585" s="4" t="s">
        <v>231</v>
      </c>
      <c r="AY2585" s="8" t="s">
        <v>231</v>
      </c>
      <c r="AZ2585" s="7" t="s">
        <v>231</v>
      </c>
      <c r="BA2585" s="7" t="s">
        <v>231</v>
      </c>
      <c r="BB2585" s="7"/>
      <c r="BC2585" s="4" t="s">
        <v>231</v>
      </c>
      <c r="BD2585" s="8" t="s">
        <v>231</v>
      </c>
      <c r="BE2585" s="4" t="s">
        <v>231</v>
      </c>
      <c r="BF2585" s="8" t="s">
        <v>231</v>
      </c>
      <c r="BG2585" s="7" t="s">
        <v>231</v>
      </c>
      <c r="BH2585" s="7" t="s">
        <v>231</v>
      </c>
      <c r="BI2585" s="7"/>
      <c r="BJ2585" s="4">
        <v>15</v>
      </c>
      <c r="BK2585" s="8">
        <v>462.9</v>
      </c>
      <c r="BL2585" s="2" t="s">
        <v>2996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11065</v>
      </c>
      <c r="BV2585" s="2" t="s">
        <v>231</v>
      </c>
      <c r="BW2585" s="2" t="s">
        <v>231</v>
      </c>
      <c r="BX2585" s="2" t="s">
        <v>241</v>
      </c>
      <c r="BY2585" s="2" t="s">
        <v>277</v>
      </c>
      <c r="BZ2585" s="2" t="s">
        <v>243</v>
      </c>
      <c r="CA2585" s="2" t="s">
        <v>11066</v>
      </c>
      <c r="CB2585" s="2" t="s">
        <v>2703</v>
      </c>
      <c r="CC2585" s="2" t="s">
        <v>244</v>
      </c>
      <c r="CD2585" s="2" t="s">
        <v>231</v>
      </c>
      <c r="CE2585" s="4">
        <v>59</v>
      </c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/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/>
      <c r="GE2585" s="4"/>
      <c r="GF2585" s="4"/>
      <c r="GG2585" s="4"/>
      <c r="GH2585" s="4"/>
      <c r="GI2585" s="4"/>
      <c r="GJ2585" s="4"/>
      <c r="GK2585" s="4"/>
      <c r="GL2585" s="4"/>
      <c r="GM2585" s="4"/>
      <c r="GN2585" s="4"/>
      <c r="GO2585" s="4"/>
      <c r="GP2585" s="4"/>
      <c r="GQ2585" s="4"/>
      <c r="GR2585" s="4"/>
      <c r="GS2585" s="4"/>
      <c r="GT2585" s="4"/>
      <c r="GU2585" s="4"/>
      <c r="GV2585" s="4"/>
      <c r="GW2585" s="4"/>
      <c r="GX2585" s="4"/>
      <c r="GY2585" s="4"/>
      <c r="GZ2585" s="4"/>
      <c r="HA2585" s="4"/>
      <c r="HB2585" s="4"/>
      <c r="HC2585" s="4"/>
      <c r="HD2585" s="4"/>
      <c r="HE2585" s="4"/>
      <c r="HF2585" s="4"/>
      <c r="HG2585" s="4"/>
      <c r="HH2585" s="4"/>
      <c r="HI2585" s="4"/>
      <c r="HJ2585" s="4"/>
      <c r="HK2585" s="4"/>
      <c r="HL2585" s="4"/>
    </row>
    <row r="2586">
      <c r="A2586" s="2" t="s">
        <v>11067</v>
      </c>
      <c r="B2586" s="2" t="s">
        <v>824</v>
      </c>
      <c r="C2586" s="2" t="s">
        <v>1051</v>
      </c>
      <c r="D2586" s="2" t="s">
        <v>826</v>
      </c>
      <c r="E2586" s="2" t="s">
        <v>1060</v>
      </c>
      <c r="F2586" s="2" t="s">
        <v>11060</v>
      </c>
      <c r="G2586" s="2" t="s">
        <v>11061</v>
      </c>
      <c r="H2586" s="2" t="s">
        <v>11062</v>
      </c>
      <c r="I2586" s="2" t="s">
        <v>11068</v>
      </c>
      <c r="J2586" s="2" t="s">
        <v>658</v>
      </c>
      <c r="K2586" s="2" t="s">
        <v>269</v>
      </c>
      <c r="L2586" s="3">
        <v>23.8</v>
      </c>
      <c r="M2586" s="3">
        <v>24.99</v>
      </c>
      <c r="N2586" s="3">
        <v>49.99</v>
      </c>
      <c r="O2586" s="2" t="s">
        <v>243</v>
      </c>
      <c r="P2586" s="2" t="s">
        <v>236</v>
      </c>
      <c r="Q2586" s="2" t="s">
        <v>237</v>
      </c>
      <c r="R2586" s="2" t="s">
        <v>231</v>
      </c>
      <c r="S2586" s="2" t="s">
        <v>11064</v>
      </c>
      <c r="T2586" s="2" t="s">
        <v>1432</v>
      </c>
      <c r="U2586" s="2" t="s">
        <v>835</v>
      </c>
      <c r="V2586" s="2" t="s">
        <v>391</v>
      </c>
      <c r="W2586" s="2" t="s">
        <v>691</v>
      </c>
      <c r="X2586" s="2" t="s">
        <v>273</v>
      </c>
      <c r="Y2586" s="2" t="s">
        <v>1878</v>
      </c>
      <c r="Z2586" s="4">
        <v>71</v>
      </c>
      <c r="AA2586" s="4">
        <f>=ROUNDDOWN(23.6666666666667,0)</f>
      </c>
      <c r="AB2586" s="5">
        <v>3</v>
      </c>
      <c r="AC2586" s="2" t="s">
        <v>231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231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231</v>
      </c>
      <c r="AW2586" s="8" t="s">
        <v>231</v>
      </c>
      <c r="AX2586" s="4" t="s">
        <v>231</v>
      </c>
      <c r="AY2586" s="8" t="s">
        <v>231</v>
      </c>
      <c r="AZ2586" s="7" t="s">
        <v>231</v>
      </c>
      <c r="BA2586" s="7" t="s">
        <v>231</v>
      </c>
      <c r="BB2586" s="7"/>
      <c r="BC2586" s="4" t="s">
        <v>231</v>
      </c>
      <c r="BD2586" s="8" t="s">
        <v>231</v>
      </c>
      <c r="BE2586" s="4" t="s">
        <v>231</v>
      </c>
      <c r="BF2586" s="8" t="s">
        <v>231</v>
      </c>
      <c r="BG2586" s="7" t="s">
        <v>231</v>
      </c>
      <c r="BH2586" s="7" t="s">
        <v>231</v>
      </c>
      <c r="BI2586" s="7"/>
      <c r="BJ2586" s="4">
        <v>11</v>
      </c>
      <c r="BK2586" s="8">
        <v>272.54</v>
      </c>
      <c r="BL2586" s="2" t="s">
        <v>11069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11070</v>
      </c>
      <c r="BV2586" s="2" t="s">
        <v>231</v>
      </c>
      <c r="BW2586" s="2" t="s">
        <v>231</v>
      </c>
      <c r="BX2586" s="2" t="s">
        <v>241</v>
      </c>
      <c r="BY2586" s="2" t="s">
        <v>277</v>
      </c>
      <c r="BZ2586" s="2" t="s">
        <v>243</v>
      </c>
      <c r="CA2586" s="2" t="s">
        <v>11066</v>
      </c>
      <c r="CB2586" s="2" t="s">
        <v>231</v>
      </c>
      <c r="CC2586" s="2" t="s">
        <v>244</v>
      </c>
      <c r="CD2586" s="2" t="s">
        <v>231</v>
      </c>
      <c r="CE2586" s="4">
        <v>71</v>
      </c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/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  <c r="EM2586" s="4"/>
      <c r="EN2586" s="4"/>
      <c r="EO2586" s="4"/>
      <c r="EP2586" s="4"/>
      <c r="EQ2586" s="4"/>
      <c r="ER2586" s="4"/>
      <c r="ES2586" s="4"/>
      <c r="ET2586" s="4"/>
      <c r="EU2586" s="4"/>
      <c r="EV2586" s="4"/>
      <c r="EW2586" s="4"/>
      <c r="EX2586" s="4"/>
      <c r="EY2586" s="4"/>
      <c r="EZ2586" s="4"/>
      <c r="FA2586" s="4"/>
      <c r="FB2586" s="4"/>
      <c r="FC2586" s="4"/>
      <c r="FD2586" s="4"/>
      <c r="FE2586" s="4"/>
      <c r="FF2586" s="4"/>
      <c r="FG2586" s="4"/>
      <c r="FH2586" s="4"/>
      <c r="FI2586" s="4"/>
      <c r="FJ2586" s="4"/>
      <c r="FK2586" s="4"/>
      <c r="FL2586" s="4"/>
      <c r="FM2586" s="4"/>
      <c r="FN2586" s="4"/>
      <c r="FO2586" s="4"/>
      <c r="FP2586" s="4"/>
      <c r="FQ2586" s="4"/>
      <c r="FR2586" s="4"/>
      <c r="FS2586" s="4"/>
      <c r="FT2586" s="4"/>
      <c r="FU2586" s="4"/>
      <c r="FV2586" s="4"/>
      <c r="FW2586" s="4"/>
      <c r="FX2586" s="4"/>
      <c r="FY2586" s="4"/>
      <c r="FZ2586" s="4"/>
      <c r="GA2586" s="4"/>
      <c r="GB2586" s="4"/>
      <c r="GC2586" s="4"/>
      <c r="GD2586" s="4"/>
      <c r="GE2586" s="4"/>
      <c r="GF2586" s="4"/>
      <c r="GG2586" s="4"/>
      <c r="GH2586" s="4"/>
      <c r="GI2586" s="4"/>
      <c r="GJ2586" s="4"/>
      <c r="GK2586" s="4"/>
      <c r="GL2586" s="4"/>
      <c r="GM2586" s="4"/>
      <c r="GN2586" s="4"/>
      <c r="GO2586" s="4"/>
      <c r="GP2586" s="4"/>
      <c r="GQ2586" s="4"/>
      <c r="GR2586" s="4"/>
      <c r="GS2586" s="4"/>
      <c r="GT2586" s="4"/>
      <c r="GU2586" s="4"/>
      <c r="GV2586" s="4"/>
      <c r="GW2586" s="4"/>
      <c r="GX2586" s="4"/>
      <c r="GY2586" s="4"/>
      <c r="GZ2586" s="4"/>
      <c r="HA2586" s="4"/>
      <c r="HB2586" s="4"/>
      <c r="HC2586" s="4"/>
      <c r="HD2586" s="4"/>
      <c r="HE2586" s="4"/>
      <c r="HF2586" s="4"/>
      <c r="HG2586" s="4"/>
      <c r="HH2586" s="4"/>
      <c r="HI2586" s="4"/>
      <c r="HJ2586" s="4"/>
      <c r="HK2586" s="4"/>
      <c r="HL2586" s="4"/>
    </row>
    <row r="2587">
      <c r="A2587" s="2" t="s">
        <v>11071</v>
      </c>
      <c r="B2587" s="2" t="s">
        <v>824</v>
      </c>
      <c r="C2587" s="2" t="s">
        <v>1051</v>
      </c>
      <c r="D2587" s="2" t="s">
        <v>826</v>
      </c>
      <c r="E2587" s="2" t="s">
        <v>1060</v>
      </c>
      <c r="F2587" s="2" t="s">
        <v>11060</v>
      </c>
      <c r="G2587" s="2" t="s">
        <v>11061</v>
      </c>
      <c r="H2587" s="2" t="s">
        <v>11062</v>
      </c>
      <c r="I2587" s="2" t="s">
        <v>11068</v>
      </c>
      <c r="J2587" s="2" t="s">
        <v>669</v>
      </c>
      <c r="K2587" s="2" t="s">
        <v>269</v>
      </c>
      <c r="L2587" s="3">
        <v>28.57</v>
      </c>
      <c r="M2587" s="3">
        <v>30</v>
      </c>
      <c r="N2587" s="3">
        <v>59.99</v>
      </c>
      <c r="O2587" s="2" t="s">
        <v>243</v>
      </c>
      <c r="P2587" s="2" t="s">
        <v>236</v>
      </c>
      <c r="Q2587" s="2" t="s">
        <v>237</v>
      </c>
      <c r="R2587" s="2" t="s">
        <v>231</v>
      </c>
      <c r="S2587" s="2" t="s">
        <v>11064</v>
      </c>
      <c r="T2587" s="2" t="s">
        <v>1432</v>
      </c>
      <c r="U2587" s="2" t="s">
        <v>835</v>
      </c>
      <c r="V2587" s="2" t="s">
        <v>391</v>
      </c>
      <c r="W2587" s="2" t="s">
        <v>691</v>
      </c>
      <c r="X2587" s="2" t="s">
        <v>273</v>
      </c>
      <c r="Y2587" s="2" t="s">
        <v>2821</v>
      </c>
      <c r="Z2587" s="4">
        <v>76</v>
      </c>
      <c r="AA2587" s="4">
        <f>=ROUNDDOWN(25.3333333333333,0)</f>
      </c>
      <c r="AB2587" s="5">
        <v>3</v>
      </c>
      <c r="AC2587" s="2" t="s">
        <v>231</v>
      </c>
      <c r="AD2587" s="4"/>
      <c r="AE2587" s="4"/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231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231</v>
      </c>
      <c r="AW2587" s="8" t="s">
        <v>231</v>
      </c>
      <c r="AX2587" s="4" t="s">
        <v>231</v>
      </c>
      <c r="AY2587" s="8" t="s">
        <v>231</v>
      </c>
      <c r="AZ2587" s="7" t="s">
        <v>231</v>
      </c>
      <c r="BA2587" s="7" t="s">
        <v>231</v>
      </c>
      <c r="BB2587" s="7"/>
      <c r="BC2587" s="4" t="s">
        <v>231</v>
      </c>
      <c r="BD2587" s="8" t="s">
        <v>231</v>
      </c>
      <c r="BE2587" s="4" t="s">
        <v>231</v>
      </c>
      <c r="BF2587" s="8" t="s">
        <v>231</v>
      </c>
      <c r="BG2587" s="7" t="s">
        <v>231</v>
      </c>
      <c r="BH2587" s="7" t="s">
        <v>231</v>
      </c>
      <c r="BI2587" s="7"/>
      <c r="BJ2587" s="4">
        <v>4</v>
      </c>
      <c r="BK2587" s="8">
        <v>124.08</v>
      </c>
      <c r="BL2587" s="2" t="s">
        <v>9704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11072</v>
      </c>
      <c r="BV2587" s="2" t="s">
        <v>231</v>
      </c>
      <c r="BW2587" s="2" t="s">
        <v>231</v>
      </c>
      <c r="BX2587" s="2" t="s">
        <v>241</v>
      </c>
      <c r="BY2587" s="2" t="s">
        <v>277</v>
      </c>
      <c r="BZ2587" s="2" t="s">
        <v>243</v>
      </c>
      <c r="CA2587" s="2" t="s">
        <v>11066</v>
      </c>
      <c r="CB2587" s="2" t="s">
        <v>7798</v>
      </c>
      <c r="CC2587" s="2" t="s">
        <v>244</v>
      </c>
      <c r="CD2587" s="2" t="s">
        <v>231</v>
      </c>
      <c r="CE2587" s="4">
        <v>76</v>
      </c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/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  <c r="EM2587" s="4"/>
      <c r="EN2587" s="4"/>
      <c r="EO2587" s="4"/>
      <c r="EP2587" s="4"/>
      <c r="EQ2587" s="4"/>
      <c r="ER2587" s="4"/>
      <c r="ES2587" s="4"/>
      <c r="ET2587" s="4"/>
      <c r="EU2587" s="4"/>
      <c r="EV2587" s="4"/>
      <c r="EW2587" s="4"/>
      <c r="EX2587" s="4"/>
      <c r="EY2587" s="4"/>
      <c r="EZ2587" s="4"/>
      <c r="FA2587" s="4"/>
      <c r="FB2587" s="4"/>
      <c r="FC2587" s="4"/>
      <c r="FD2587" s="4"/>
      <c r="FE2587" s="4"/>
      <c r="FF2587" s="4"/>
      <c r="FG2587" s="4"/>
      <c r="FH2587" s="4"/>
      <c r="FI2587" s="4"/>
      <c r="FJ2587" s="4"/>
      <c r="FK2587" s="4"/>
      <c r="FL2587" s="4"/>
      <c r="FM2587" s="4"/>
      <c r="FN2587" s="4"/>
      <c r="FO2587" s="4"/>
      <c r="FP2587" s="4"/>
      <c r="FQ2587" s="4"/>
      <c r="FR2587" s="4"/>
      <c r="FS2587" s="4"/>
      <c r="FT2587" s="4"/>
      <c r="FU2587" s="4"/>
      <c r="FV2587" s="4"/>
      <c r="FW2587" s="4"/>
      <c r="FX2587" s="4"/>
      <c r="FY2587" s="4"/>
      <c r="FZ2587" s="4"/>
      <c r="GA2587" s="4"/>
      <c r="GB2587" s="4"/>
      <c r="GC2587" s="4"/>
      <c r="GD2587" s="4"/>
      <c r="GE2587" s="4"/>
      <c r="GF2587" s="4"/>
      <c r="GG2587" s="4"/>
      <c r="GH2587" s="4"/>
      <c r="GI2587" s="4"/>
      <c r="GJ2587" s="4"/>
      <c r="GK2587" s="4"/>
      <c r="GL2587" s="4"/>
      <c r="GM2587" s="4"/>
      <c r="GN2587" s="4"/>
      <c r="GO2587" s="4"/>
      <c r="GP2587" s="4"/>
      <c r="GQ2587" s="4"/>
      <c r="GR2587" s="4"/>
      <c r="GS2587" s="4"/>
      <c r="GT2587" s="4"/>
      <c r="GU2587" s="4"/>
      <c r="GV2587" s="4"/>
      <c r="GW2587" s="4"/>
      <c r="GX2587" s="4"/>
      <c r="GY2587" s="4"/>
      <c r="GZ2587" s="4"/>
      <c r="HA2587" s="4"/>
      <c r="HB2587" s="4"/>
      <c r="HC2587" s="4"/>
      <c r="HD2587" s="4"/>
      <c r="HE2587" s="4"/>
      <c r="HF2587" s="4"/>
      <c r="HG2587" s="4"/>
      <c r="HH2587" s="4"/>
      <c r="HI2587" s="4"/>
      <c r="HJ2587" s="4"/>
      <c r="HK2587" s="4"/>
      <c r="HL2587" s="4"/>
    </row>
    <row r="2588">
      <c r="A2588" s="2" t="s">
        <v>11073</v>
      </c>
      <c r="B2588" s="2" t="s">
        <v>226</v>
      </c>
      <c r="C2588" s="2" t="s">
        <v>288</v>
      </c>
      <c r="D2588" s="2" t="s">
        <v>1624</v>
      </c>
      <c r="E2588" s="2" t="s">
        <v>2589</v>
      </c>
      <c r="F2588" s="2" t="s">
        <v>11060</v>
      </c>
      <c r="G2588" s="2" t="s">
        <v>5348</v>
      </c>
      <c r="H2588" s="2" t="s">
        <v>5348</v>
      </c>
      <c r="I2588" s="2" t="s">
        <v>11074</v>
      </c>
      <c r="J2588" s="2" t="s">
        <v>1554</v>
      </c>
      <c r="K2588" s="2" t="s">
        <v>901</v>
      </c>
      <c r="L2588" s="3">
        <v>23.8</v>
      </c>
      <c r="M2588" s="3">
        <v>24.99</v>
      </c>
      <c r="N2588" s="3">
        <v>49.99</v>
      </c>
      <c r="O2588" s="2" t="s">
        <v>243</v>
      </c>
      <c r="P2588" s="2" t="s">
        <v>270</v>
      </c>
      <c r="Q2588" s="2" t="s">
        <v>237</v>
      </c>
      <c r="R2588" s="2" t="s">
        <v>231</v>
      </c>
      <c r="S2588" s="2" t="s">
        <v>11075</v>
      </c>
      <c r="T2588" s="2" t="s">
        <v>231</v>
      </c>
      <c r="U2588" s="2" t="s">
        <v>327</v>
      </c>
      <c r="V2588" s="2" t="s">
        <v>239</v>
      </c>
      <c r="W2588" s="2" t="s">
        <v>273</v>
      </c>
      <c r="X2588" s="2" t="s">
        <v>231</v>
      </c>
      <c r="Y2588" s="2" t="s">
        <v>948</v>
      </c>
      <c r="Z2588" s="4">
        <v>402</v>
      </c>
      <c r="AA2588" s="4">
        <f>=ROUNDDOWN(80.4,0)</f>
      </c>
      <c r="AB2588" s="5">
        <v>5</v>
      </c>
      <c r="AC2588" s="2" t="s">
        <v>231</v>
      </c>
      <c r="AD2588" s="4"/>
      <c r="AE2588" s="4"/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231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231</v>
      </c>
      <c r="BD2588" s="8" t="s">
        <v>231</v>
      </c>
      <c r="BE2588" s="4" t="s">
        <v>231</v>
      </c>
      <c r="BF2588" s="8" t="s">
        <v>231</v>
      </c>
      <c r="BG2588" s="7" t="s">
        <v>231</v>
      </c>
      <c r="BH2588" s="7" t="s">
        <v>231</v>
      </c>
      <c r="BI2588" s="7"/>
      <c r="BJ2588" s="4">
        <v>9</v>
      </c>
      <c r="BK2588" s="8">
        <v>235.29</v>
      </c>
      <c r="BL2588" s="2" t="s">
        <v>2900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11076</v>
      </c>
      <c r="BV2588" s="2" t="s">
        <v>231</v>
      </c>
      <c r="BW2588" s="2" t="s">
        <v>231</v>
      </c>
      <c r="BX2588" s="2" t="s">
        <v>231</v>
      </c>
      <c r="BY2588" s="2" t="s">
        <v>277</v>
      </c>
      <c r="BZ2588" s="2" t="s">
        <v>243</v>
      </c>
      <c r="CA2588" s="2" t="s">
        <v>2664</v>
      </c>
      <c r="CB2588" s="2" t="s">
        <v>2079</v>
      </c>
      <c r="CC2588" s="2" t="s">
        <v>244</v>
      </c>
      <c r="CD2588" s="2" t="s">
        <v>231</v>
      </c>
      <c r="CE2588" s="4">
        <v>402</v>
      </c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/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  <c r="EM2588" s="4"/>
      <c r="EN2588" s="4"/>
      <c r="EO2588" s="4"/>
      <c r="EP2588" s="4"/>
      <c r="EQ2588" s="4"/>
      <c r="ER2588" s="4"/>
      <c r="ES2588" s="4"/>
      <c r="ET2588" s="4"/>
      <c r="EU2588" s="4"/>
      <c r="EV2588" s="4"/>
      <c r="EW2588" s="4"/>
      <c r="EX2588" s="4"/>
      <c r="EY2588" s="4"/>
      <c r="EZ2588" s="4"/>
      <c r="FA2588" s="4"/>
      <c r="FB2588" s="4"/>
      <c r="FC2588" s="4"/>
      <c r="FD2588" s="4"/>
      <c r="FE2588" s="4"/>
      <c r="FF2588" s="4"/>
      <c r="FG2588" s="4"/>
      <c r="FH2588" s="4"/>
      <c r="FI2588" s="4"/>
      <c r="FJ2588" s="4"/>
      <c r="FK2588" s="4"/>
      <c r="FL2588" s="4"/>
      <c r="FM2588" s="4"/>
      <c r="FN2588" s="4"/>
      <c r="FO2588" s="4"/>
      <c r="FP2588" s="4"/>
      <c r="FQ2588" s="4"/>
      <c r="FR2588" s="4"/>
      <c r="FS2588" s="4"/>
      <c r="FT2588" s="4"/>
      <c r="FU2588" s="4"/>
      <c r="FV2588" s="4"/>
      <c r="FW2588" s="4"/>
      <c r="FX2588" s="4"/>
      <c r="FY2588" s="4"/>
      <c r="FZ2588" s="4"/>
      <c r="GA2588" s="4"/>
      <c r="GB2588" s="4"/>
      <c r="GC2588" s="4"/>
      <c r="GD2588" s="4"/>
      <c r="GE2588" s="4"/>
      <c r="GF2588" s="4"/>
      <c r="GG2588" s="4"/>
      <c r="GH2588" s="4"/>
      <c r="GI2588" s="4"/>
      <c r="GJ2588" s="4"/>
      <c r="GK2588" s="4"/>
      <c r="GL2588" s="4"/>
      <c r="GM2588" s="4"/>
      <c r="GN2588" s="4"/>
      <c r="GO2588" s="4"/>
      <c r="GP2588" s="4"/>
      <c r="GQ2588" s="4"/>
      <c r="GR2588" s="4"/>
      <c r="GS2588" s="4"/>
      <c r="GT2588" s="4"/>
      <c r="GU2588" s="4"/>
      <c r="GV2588" s="4"/>
      <c r="GW2588" s="4"/>
      <c r="GX2588" s="4"/>
      <c r="GY2588" s="4"/>
      <c r="GZ2588" s="4"/>
      <c r="HA2588" s="4"/>
      <c r="HB2588" s="4"/>
      <c r="HC2588" s="4"/>
      <c r="HD2588" s="4"/>
      <c r="HE2588" s="4"/>
      <c r="HF2588" s="4"/>
      <c r="HG2588" s="4"/>
      <c r="HH2588" s="4"/>
      <c r="HI2588" s="4"/>
      <c r="HJ2588" s="4"/>
      <c r="HK2588" s="4"/>
      <c r="HL2588" s="4"/>
    </row>
    <row r="2589">
      <c r="A2589" s="2" t="s">
        <v>11077</v>
      </c>
      <c r="B2589" s="2" t="s">
        <v>226</v>
      </c>
      <c r="C2589" s="2" t="s">
        <v>288</v>
      </c>
      <c r="D2589" s="2" t="s">
        <v>1624</v>
      </c>
      <c r="E2589" s="2" t="s">
        <v>2589</v>
      </c>
      <c r="F2589" s="2" t="s">
        <v>11060</v>
      </c>
      <c r="G2589" s="2" t="s">
        <v>5348</v>
      </c>
      <c r="H2589" s="2" t="s">
        <v>5348</v>
      </c>
      <c r="I2589" s="2" t="s">
        <v>11074</v>
      </c>
      <c r="J2589" s="2" t="s">
        <v>1554</v>
      </c>
      <c r="K2589" s="2" t="s">
        <v>1491</v>
      </c>
      <c r="L2589" s="3">
        <v>23.8</v>
      </c>
      <c r="M2589" s="3">
        <v>24.99</v>
      </c>
      <c r="N2589" s="3">
        <v>49.99</v>
      </c>
      <c r="O2589" s="2" t="s">
        <v>243</v>
      </c>
      <c r="P2589" s="2" t="s">
        <v>1985</v>
      </c>
      <c r="Q2589" s="2" t="s">
        <v>237</v>
      </c>
      <c r="R2589" s="2" t="s">
        <v>231</v>
      </c>
      <c r="S2589" s="2" t="s">
        <v>11078</v>
      </c>
      <c r="T2589" s="2" t="s">
        <v>231</v>
      </c>
      <c r="U2589" s="2" t="s">
        <v>327</v>
      </c>
      <c r="V2589" s="2" t="s">
        <v>239</v>
      </c>
      <c r="W2589" s="2" t="s">
        <v>273</v>
      </c>
      <c r="X2589" s="2" t="s">
        <v>231</v>
      </c>
      <c r="Y2589" s="2" t="s">
        <v>951</v>
      </c>
      <c r="Z2589" s="4">
        <v>310</v>
      </c>
      <c r="AA2589" s="4">
        <f>=ROUNDDOWN(62,0)</f>
      </c>
      <c r="AB2589" s="5">
        <v>5</v>
      </c>
      <c r="AC2589" s="2" t="s">
        <v>231</v>
      </c>
      <c r="AD2589" s="4"/>
      <c r="AE2589" s="4"/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231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231</v>
      </c>
      <c r="BD2589" s="8" t="s">
        <v>231</v>
      </c>
      <c r="BE2589" s="4" t="s">
        <v>231</v>
      </c>
      <c r="BF2589" s="8" t="s">
        <v>231</v>
      </c>
      <c r="BG2589" s="7" t="s">
        <v>231</v>
      </c>
      <c r="BH2589" s="7" t="s">
        <v>231</v>
      </c>
      <c r="BI2589" s="7"/>
      <c r="BJ2589" s="4">
        <v>18</v>
      </c>
      <c r="BK2589" s="8">
        <v>445.8</v>
      </c>
      <c r="BL2589" s="2" t="s">
        <v>810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11079</v>
      </c>
      <c r="BV2589" s="2" t="s">
        <v>231</v>
      </c>
      <c r="BW2589" s="2" t="s">
        <v>231</v>
      </c>
      <c r="BX2589" s="2" t="s">
        <v>231</v>
      </c>
      <c r="BY2589" s="2" t="s">
        <v>277</v>
      </c>
      <c r="BZ2589" s="2" t="s">
        <v>243</v>
      </c>
      <c r="CA2589" s="2" t="s">
        <v>2664</v>
      </c>
      <c r="CB2589" s="2" t="s">
        <v>926</v>
      </c>
      <c r="CC2589" s="2" t="s">
        <v>244</v>
      </c>
      <c r="CD2589" s="2" t="s">
        <v>231</v>
      </c>
      <c r="CE2589" s="4">
        <v>310</v>
      </c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  <c r="DP2589" s="4"/>
      <c r="DQ2589" s="4"/>
      <c r="DR2589" s="4"/>
      <c r="DS2589" s="4"/>
      <c r="DT2589" s="4"/>
      <c r="DU2589" s="4"/>
      <c r="DV2589" s="4"/>
      <c r="DW2589" s="4"/>
      <c r="DX2589" s="4"/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  <c r="EM2589" s="4"/>
      <c r="EN2589" s="4"/>
      <c r="EO2589" s="4"/>
      <c r="EP2589" s="4"/>
      <c r="EQ2589" s="4"/>
      <c r="ER2589" s="4"/>
      <c r="ES2589" s="4"/>
      <c r="ET2589" s="4"/>
      <c r="EU2589" s="4"/>
      <c r="EV2589" s="4"/>
      <c r="EW2589" s="4"/>
      <c r="EX2589" s="4"/>
      <c r="EY2589" s="4"/>
      <c r="EZ2589" s="4"/>
      <c r="FA2589" s="4"/>
      <c r="FB2589" s="4"/>
      <c r="FC2589" s="4"/>
      <c r="FD2589" s="4"/>
      <c r="FE2589" s="4"/>
      <c r="FF2589" s="4"/>
      <c r="FG2589" s="4"/>
      <c r="FH2589" s="4"/>
      <c r="FI2589" s="4"/>
      <c r="FJ2589" s="4"/>
      <c r="FK2589" s="4"/>
      <c r="FL2589" s="4"/>
      <c r="FM2589" s="4"/>
      <c r="FN2589" s="4"/>
      <c r="FO2589" s="4"/>
      <c r="FP2589" s="4"/>
      <c r="FQ2589" s="4"/>
      <c r="FR2589" s="4"/>
      <c r="FS2589" s="4"/>
      <c r="FT2589" s="4"/>
      <c r="FU2589" s="4"/>
      <c r="FV2589" s="4"/>
      <c r="FW2589" s="4"/>
      <c r="FX2589" s="4"/>
      <c r="FY2589" s="4"/>
      <c r="FZ2589" s="4"/>
      <c r="GA2589" s="4"/>
      <c r="GB2589" s="4"/>
      <c r="GC2589" s="4"/>
      <c r="GD2589" s="4"/>
      <c r="GE2589" s="4"/>
      <c r="GF2589" s="4"/>
      <c r="GG2589" s="4"/>
      <c r="GH2589" s="4"/>
      <c r="GI2589" s="4"/>
      <c r="GJ2589" s="4"/>
      <c r="GK2589" s="4"/>
      <c r="GL2589" s="4"/>
      <c r="GM2589" s="4"/>
      <c r="GN2589" s="4"/>
      <c r="GO2589" s="4"/>
      <c r="GP2589" s="4"/>
      <c r="GQ2589" s="4"/>
      <c r="GR2589" s="4"/>
      <c r="GS2589" s="4"/>
      <c r="GT2589" s="4"/>
      <c r="GU2589" s="4"/>
      <c r="GV2589" s="4"/>
      <c r="GW2589" s="4"/>
      <c r="GX2589" s="4"/>
      <c r="GY2589" s="4"/>
      <c r="GZ2589" s="4"/>
      <c r="HA2589" s="4"/>
      <c r="HB2589" s="4"/>
      <c r="HC2589" s="4"/>
      <c r="HD2589" s="4"/>
      <c r="HE2589" s="4"/>
      <c r="HF2589" s="4"/>
      <c r="HG2589" s="4"/>
      <c r="HH2589" s="4"/>
      <c r="HI2589" s="4"/>
      <c r="HJ2589" s="4"/>
      <c r="HK2589" s="4"/>
      <c r="HL2589" s="4"/>
    </row>
    <row r="2590">
      <c r="A2590" s="2" t="s">
        <v>11080</v>
      </c>
      <c r="B2590" s="2" t="s">
        <v>824</v>
      </c>
      <c r="C2590" s="2" t="s">
        <v>1051</v>
      </c>
      <c r="D2590" s="2" t="s">
        <v>654</v>
      </c>
      <c r="E2590" s="2" t="s">
        <v>890</v>
      </c>
      <c r="F2590" s="2" t="s">
        <v>11060</v>
      </c>
      <c r="G2590" s="2" t="s">
        <v>11061</v>
      </c>
      <c r="H2590" s="2" t="s">
        <v>11062</v>
      </c>
      <c r="I2590" s="2" t="s">
        <v>11063</v>
      </c>
      <c r="J2590" s="2" t="s">
        <v>832</v>
      </c>
      <c r="K2590" s="2" t="s">
        <v>253</v>
      </c>
      <c r="L2590" s="3">
        <v>28.57</v>
      </c>
      <c r="M2590" s="3">
        <v>30</v>
      </c>
      <c r="N2590" s="3">
        <v>59.99</v>
      </c>
      <c r="O2590" s="2" t="s">
        <v>243</v>
      </c>
      <c r="P2590" s="2" t="s">
        <v>236</v>
      </c>
      <c r="Q2590" s="2" t="s">
        <v>237</v>
      </c>
      <c r="R2590" s="2" t="s">
        <v>231</v>
      </c>
      <c r="S2590" s="2" t="s">
        <v>11081</v>
      </c>
      <c r="T2590" s="2" t="s">
        <v>1432</v>
      </c>
      <c r="U2590" s="2" t="s">
        <v>791</v>
      </c>
      <c r="V2590" s="2" t="s">
        <v>391</v>
      </c>
      <c r="W2590" s="2" t="s">
        <v>691</v>
      </c>
      <c r="X2590" s="2" t="s">
        <v>273</v>
      </c>
      <c r="Y2590" s="2" t="s">
        <v>2821</v>
      </c>
      <c r="Z2590" s="4">
        <v>20</v>
      </c>
      <c r="AA2590" s="4">
        <f>=ROUNDDOWN(5,0)</f>
      </c>
      <c r="AB2590" s="5">
        <v>4</v>
      </c>
      <c r="AC2590" s="2" t="s">
        <v>231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231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231</v>
      </c>
      <c r="AW2590" s="8" t="s">
        <v>231</v>
      </c>
      <c r="AX2590" s="4" t="s">
        <v>231</v>
      </c>
      <c r="AY2590" s="8" t="s">
        <v>231</v>
      </c>
      <c r="AZ2590" s="7" t="s">
        <v>231</v>
      </c>
      <c r="BA2590" s="7" t="s">
        <v>231</v>
      </c>
      <c r="BB2590" s="7"/>
      <c r="BC2590" s="4" t="s">
        <v>231</v>
      </c>
      <c r="BD2590" s="8" t="s">
        <v>231</v>
      </c>
      <c r="BE2590" s="4" t="s">
        <v>231</v>
      </c>
      <c r="BF2590" s="8" t="s">
        <v>231</v>
      </c>
      <c r="BG2590" s="7" t="s">
        <v>231</v>
      </c>
      <c r="BH2590" s="7" t="s">
        <v>231</v>
      </c>
      <c r="BI2590" s="7"/>
      <c r="BJ2590" s="4">
        <v>10</v>
      </c>
      <c r="BK2590" s="8">
        <v>324.92</v>
      </c>
      <c r="BL2590" s="2" t="s">
        <v>369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11082</v>
      </c>
      <c r="BV2590" s="2" t="s">
        <v>231</v>
      </c>
      <c r="BW2590" s="2" t="s">
        <v>231</v>
      </c>
      <c r="BX2590" s="2" t="s">
        <v>241</v>
      </c>
      <c r="BY2590" s="2" t="s">
        <v>277</v>
      </c>
      <c r="BZ2590" s="2" t="s">
        <v>243</v>
      </c>
      <c r="CA2590" s="2" t="s">
        <v>11066</v>
      </c>
      <c r="CB2590" s="2" t="s">
        <v>231</v>
      </c>
      <c r="CC2590" s="2" t="s">
        <v>244</v>
      </c>
      <c r="CD2590" s="2" t="s">
        <v>231</v>
      </c>
      <c r="CE2590" s="4">
        <v>20</v>
      </c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/>
      <c r="DM2590" s="4"/>
      <c r="DN2590" s="4"/>
      <c r="DO2590" s="4"/>
      <c r="DP2590" s="4"/>
      <c r="DQ2590" s="4"/>
      <c r="DR2590" s="4"/>
      <c r="DS2590" s="4"/>
      <c r="DT2590" s="4"/>
      <c r="DU2590" s="4"/>
      <c r="DV2590" s="4"/>
      <c r="DW2590" s="4"/>
      <c r="DX2590" s="4"/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  <c r="EM2590" s="4"/>
      <c r="EN2590" s="4"/>
      <c r="EO2590" s="4"/>
      <c r="EP2590" s="4"/>
      <c r="EQ2590" s="4"/>
      <c r="ER2590" s="4"/>
      <c r="ES2590" s="4"/>
      <c r="ET2590" s="4"/>
      <c r="EU2590" s="4"/>
      <c r="EV2590" s="4"/>
      <c r="EW2590" s="4"/>
      <c r="EX2590" s="4"/>
      <c r="EY2590" s="4"/>
      <c r="EZ2590" s="4"/>
      <c r="FA2590" s="4"/>
      <c r="FB2590" s="4"/>
      <c r="FC2590" s="4"/>
      <c r="FD2590" s="4"/>
      <c r="FE2590" s="4"/>
      <c r="FF2590" s="4"/>
      <c r="FG2590" s="4"/>
      <c r="FH2590" s="4"/>
      <c r="FI2590" s="4"/>
      <c r="FJ2590" s="4"/>
      <c r="FK2590" s="4"/>
      <c r="FL2590" s="4"/>
      <c r="FM2590" s="4"/>
      <c r="FN2590" s="4"/>
      <c r="FO2590" s="4"/>
      <c r="FP2590" s="4"/>
      <c r="FQ2590" s="4"/>
      <c r="FR2590" s="4"/>
      <c r="FS2590" s="4"/>
      <c r="FT2590" s="4"/>
      <c r="FU2590" s="4"/>
      <c r="FV2590" s="4"/>
      <c r="FW2590" s="4"/>
      <c r="FX2590" s="4"/>
      <c r="FY2590" s="4"/>
      <c r="FZ2590" s="4"/>
      <c r="GA2590" s="4"/>
      <c r="GB2590" s="4"/>
      <c r="GC2590" s="4"/>
      <c r="GD2590" s="4"/>
      <c r="GE2590" s="4"/>
      <c r="GF2590" s="4"/>
      <c r="GG2590" s="4"/>
      <c r="GH2590" s="4"/>
      <c r="GI2590" s="4"/>
      <c r="GJ2590" s="4"/>
      <c r="GK2590" s="4"/>
      <c r="GL2590" s="4"/>
      <c r="GM2590" s="4"/>
      <c r="GN2590" s="4"/>
      <c r="GO2590" s="4"/>
      <c r="GP2590" s="4"/>
      <c r="GQ2590" s="4"/>
      <c r="GR2590" s="4"/>
      <c r="GS2590" s="4"/>
      <c r="GT2590" s="4"/>
      <c r="GU2590" s="4"/>
      <c r="GV2590" s="4"/>
      <c r="GW2590" s="4"/>
      <c r="GX2590" s="4"/>
      <c r="GY2590" s="4"/>
      <c r="GZ2590" s="4"/>
      <c r="HA2590" s="4"/>
      <c r="HB2590" s="4"/>
      <c r="HC2590" s="4"/>
      <c r="HD2590" s="4"/>
      <c r="HE2590" s="4"/>
      <c r="HF2590" s="4"/>
      <c r="HG2590" s="4"/>
      <c r="HH2590" s="4"/>
      <c r="HI2590" s="4"/>
      <c r="HJ2590" s="4"/>
      <c r="HK2590" s="4"/>
      <c r="HL2590" s="4"/>
    </row>
    <row r="2591">
      <c r="A2591" s="2" t="s">
        <v>11083</v>
      </c>
      <c r="B2591" s="2" t="s">
        <v>824</v>
      </c>
      <c r="C2591" s="2" t="s">
        <v>1051</v>
      </c>
      <c r="D2591" s="2" t="s">
        <v>654</v>
      </c>
      <c r="E2591" s="2" t="s">
        <v>890</v>
      </c>
      <c r="F2591" s="2" t="s">
        <v>11060</v>
      </c>
      <c r="G2591" s="2" t="s">
        <v>11061</v>
      </c>
      <c r="H2591" s="2" t="s">
        <v>11062</v>
      </c>
      <c r="I2591" s="2" t="s">
        <v>11063</v>
      </c>
      <c r="J2591" s="2" t="s">
        <v>658</v>
      </c>
      <c r="K2591" s="2" t="s">
        <v>253</v>
      </c>
      <c r="L2591" s="3">
        <v>33.33</v>
      </c>
      <c r="M2591" s="3">
        <v>35</v>
      </c>
      <c r="N2591" s="3">
        <v>69.99</v>
      </c>
      <c r="O2591" s="2" t="s">
        <v>243</v>
      </c>
      <c r="P2591" s="2" t="s">
        <v>236</v>
      </c>
      <c r="Q2591" s="2" t="s">
        <v>237</v>
      </c>
      <c r="R2591" s="2" t="s">
        <v>231</v>
      </c>
      <c r="S2591" s="2" t="s">
        <v>11081</v>
      </c>
      <c r="T2591" s="2" t="s">
        <v>1432</v>
      </c>
      <c r="U2591" s="2" t="s">
        <v>835</v>
      </c>
      <c r="V2591" s="2" t="s">
        <v>391</v>
      </c>
      <c r="W2591" s="2" t="s">
        <v>691</v>
      </c>
      <c r="X2591" s="2" t="s">
        <v>273</v>
      </c>
      <c r="Y2591" s="2" t="s">
        <v>2821</v>
      </c>
      <c r="Z2591" s="4">
        <v>176</v>
      </c>
      <c r="AA2591" s="4">
        <f>=ROUNDDOWN(29.3333333333333,0)</f>
      </c>
      <c r="AB2591" s="5">
        <v>6</v>
      </c>
      <c r="AC2591" s="2" t="s">
        <v>231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231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231</v>
      </c>
      <c r="AW2591" s="8" t="s">
        <v>231</v>
      </c>
      <c r="AX2591" s="4" t="s">
        <v>231</v>
      </c>
      <c r="AY2591" s="8" t="s">
        <v>231</v>
      </c>
      <c r="AZ2591" s="7" t="s">
        <v>231</v>
      </c>
      <c r="BA2591" s="7" t="s">
        <v>231</v>
      </c>
      <c r="BB2591" s="7" t="s">
        <v>231</v>
      </c>
      <c r="BC2591" s="4" t="s">
        <v>231</v>
      </c>
      <c r="BD2591" s="8" t="s">
        <v>231</v>
      </c>
      <c r="BE2591" s="4" t="s">
        <v>231</v>
      </c>
      <c r="BF2591" s="8" t="s">
        <v>231</v>
      </c>
      <c r="BG2591" s="7" t="s">
        <v>231</v>
      </c>
      <c r="BH2591" s="7" t="s">
        <v>231</v>
      </c>
      <c r="BI2591" s="7"/>
      <c r="BJ2591" s="4">
        <v>14</v>
      </c>
      <c r="BK2591" s="8">
        <v>445.57</v>
      </c>
      <c r="BL2591" s="2" t="s">
        <v>5652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11084</v>
      </c>
      <c r="BV2591" s="2" t="s">
        <v>231</v>
      </c>
      <c r="BW2591" s="2" t="s">
        <v>231</v>
      </c>
      <c r="BX2591" s="2" t="s">
        <v>241</v>
      </c>
      <c r="BY2591" s="2" t="s">
        <v>277</v>
      </c>
      <c r="BZ2591" s="2" t="s">
        <v>243</v>
      </c>
      <c r="CA2591" s="2" t="s">
        <v>11066</v>
      </c>
      <c r="CB2591" s="2" t="s">
        <v>2771</v>
      </c>
      <c r="CC2591" s="2" t="s">
        <v>244</v>
      </c>
      <c r="CD2591" s="2" t="s">
        <v>231</v>
      </c>
      <c r="CE2591" s="4">
        <v>176</v>
      </c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/>
      <c r="DM2591" s="4"/>
      <c r="DN2591" s="4"/>
      <c r="DO2591" s="4"/>
      <c r="DP2591" s="4"/>
      <c r="DQ2591" s="4"/>
      <c r="DR2591" s="4"/>
      <c r="DS2591" s="4"/>
      <c r="DT2591" s="4"/>
      <c r="DU2591" s="4"/>
      <c r="DV2591" s="4"/>
      <c r="DW2591" s="4"/>
      <c r="DX2591" s="4"/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/>
      <c r="EK2591" s="4"/>
      <c r="EL2591" s="4"/>
      <c r="EM2591" s="4"/>
      <c r="EN2591" s="4"/>
      <c r="EO2591" s="4"/>
      <c r="EP2591" s="4"/>
      <c r="EQ2591" s="4"/>
      <c r="ER2591" s="4"/>
      <c r="ES2591" s="4"/>
      <c r="ET2591" s="4"/>
      <c r="EU2591" s="4"/>
      <c r="EV2591" s="4"/>
      <c r="EW2591" s="4"/>
      <c r="EX2591" s="4"/>
      <c r="EY2591" s="4"/>
      <c r="EZ2591" s="4"/>
      <c r="FA2591" s="4"/>
      <c r="FB2591" s="4"/>
      <c r="FC2591" s="4"/>
      <c r="FD2591" s="4"/>
      <c r="FE2591" s="4"/>
      <c r="FF2591" s="4"/>
      <c r="FG2591" s="4"/>
      <c r="FH2591" s="4"/>
      <c r="FI2591" s="4"/>
      <c r="FJ2591" s="4"/>
      <c r="FK2591" s="4"/>
      <c r="FL2591" s="4"/>
      <c r="FM2591" s="4"/>
      <c r="FN2591" s="4"/>
      <c r="FO2591" s="4"/>
      <c r="FP2591" s="4"/>
      <c r="FQ2591" s="4"/>
      <c r="FR2591" s="4"/>
      <c r="FS2591" s="4"/>
      <c r="FT2591" s="4"/>
      <c r="FU2591" s="4"/>
      <c r="FV2591" s="4"/>
      <c r="FW2591" s="4"/>
      <c r="FX2591" s="4"/>
      <c r="FY2591" s="4"/>
      <c r="FZ2591" s="4"/>
      <c r="GA2591" s="4"/>
      <c r="GB2591" s="4"/>
      <c r="GC2591" s="4"/>
      <c r="GD2591" s="4"/>
      <c r="GE2591" s="4"/>
      <c r="GF2591" s="4"/>
      <c r="GG2591" s="4"/>
      <c r="GH2591" s="4"/>
      <c r="GI2591" s="4"/>
      <c r="GJ2591" s="4"/>
      <c r="GK2591" s="4"/>
      <c r="GL2591" s="4"/>
      <c r="GM2591" s="4"/>
      <c r="GN2591" s="4"/>
      <c r="GO2591" s="4"/>
      <c r="GP2591" s="4"/>
      <c r="GQ2591" s="4"/>
      <c r="GR2591" s="4"/>
      <c r="GS2591" s="4"/>
      <c r="GT2591" s="4"/>
      <c r="GU2591" s="4"/>
      <c r="GV2591" s="4"/>
      <c r="GW2591" s="4"/>
      <c r="GX2591" s="4"/>
      <c r="GY2591" s="4"/>
      <c r="GZ2591" s="4"/>
      <c r="HA2591" s="4"/>
      <c r="HB2591" s="4"/>
      <c r="HC2591" s="4"/>
      <c r="HD2591" s="4"/>
      <c r="HE2591" s="4"/>
      <c r="HF2591" s="4"/>
      <c r="HG2591" s="4"/>
      <c r="HH2591" s="4"/>
      <c r="HI2591" s="4"/>
      <c r="HJ2591" s="4"/>
      <c r="HK2591" s="4"/>
      <c r="HL2591" s="4"/>
    </row>
    <row r="2592">
      <c r="A2592" s="2" t="s">
        <v>11085</v>
      </c>
      <c r="B2592" s="2" t="s">
        <v>824</v>
      </c>
      <c r="C2592" s="2" t="s">
        <v>1051</v>
      </c>
      <c r="D2592" s="2" t="s">
        <v>826</v>
      </c>
      <c r="E2592" s="2" t="s">
        <v>1060</v>
      </c>
      <c r="F2592" s="2" t="s">
        <v>11060</v>
      </c>
      <c r="G2592" s="2" t="s">
        <v>11061</v>
      </c>
      <c r="H2592" s="2" t="s">
        <v>11062</v>
      </c>
      <c r="I2592" s="2" t="s">
        <v>11068</v>
      </c>
      <c r="J2592" s="2" t="s">
        <v>658</v>
      </c>
      <c r="K2592" s="2" t="s">
        <v>253</v>
      </c>
      <c r="L2592" s="3">
        <v>23.8</v>
      </c>
      <c r="M2592" s="3">
        <v>24.99</v>
      </c>
      <c r="N2592" s="3">
        <v>49.99</v>
      </c>
      <c r="O2592" s="2" t="s">
        <v>243</v>
      </c>
      <c r="P2592" s="2" t="s">
        <v>236</v>
      </c>
      <c r="Q2592" s="2" t="s">
        <v>237</v>
      </c>
      <c r="R2592" s="2" t="s">
        <v>231</v>
      </c>
      <c r="S2592" s="2" t="s">
        <v>11081</v>
      </c>
      <c r="T2592" s="2" t="s">
        <v>1432</v>
      </c>
      <c r="U2592" s="2" t="s">
        <v>835</v>
      </c>
      <c r="V2592" s="2" t="s">
        <v>391</v>
      </c>
      <c r="W2592" s="2" t="s">
        <v>691</v>
      </c>
      <c r="X2592" s="2" t="s">
        <v>273</v>
      </c>
      <c r="Y2592" s="2" t="s">
        <v>2821</v>
      </c>
      <c r="Z2592" s="4">
        <v>112</v>
      </c>
      <c r="AA2592" s="4">
        <f>=ROUNDDOWN(56,0)</f>
      </c>
      <c r="AB2592" s="5">
        <v>2</v>
      </c>
      <c r="AC2592" s="2" t="s">
        <v>231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231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231</v>
      </c>
      <c r="AW2592" s="8" t="s">
        <v>231</v>
      </c>
      <c r="AX2592" s="4" t="s">
        <v>231</v>
      </c>
      <c r="AY2592" s="8" t="s">
        <v>231</v>
      </c>
      <c r="AZ2592" s="7" t="s">
        <v>231</v>
      </c>
      <c r="BA2592" s="7" t="s">
        <v>231</v>
      </c>
      <c r="BB2592" s="7" t="s">
        <v>231</v>
      </c>
      <c r="BC2592" s="4" t="s">
        <v>231</v>
      </c>
      <c r="BD2592" s="8" t="s">
        <v>231</v>
      </c>
      <c r="BE2592" s="4" t="s">
        <v>231</v>
      </c>
      <c r="BF2592" s="8" t="s">
        <v>231</v>
      </c>
      <c r="BG2592" s="7" t="s">
        <v>231</v>
      </c>
      <c r="BH2592" s="7" t="s">
        <v>231</v>
      </c>
      <c r="BI2592" s="7"/>
      <c r="BJ2592" s="4">
        <v>6</v>
      </c>
      <c r="BK2592" s="8">
        <v>153.33</v>
      </c>
      <c r="BL2592" s="2" t="s">
        <v>5536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11086</v>
      </c>
      <c r="BV2592" s="2" t="s">
        <v>231</v>
      </c>
      <c r="BW2592" s="2" t="s">
        <v>231</v>
      </c>
      <c r="BX2592" s="2" t="s">
        <v>241</v>
      </c>
      <c r="BY2592" s="2" t="s">
        <v>277</v>
      </c>
      <c r="BZ2592" s="2" t="s">
        <v>243</v>
      </c>
      <c r="CA2592" s="2" t="s">
        <v>11066</v>
      </c>
      <c r="CB2592" s="2" t="s">
        <v>3269</v>
      </c>
      <c r="CC2592" s="2" t="s">
        <v>244</v>
      </c>
      <c r="CD2592" s="2" t="s">
        <v>231</v>
      </c>
      <c r="CE2592" s="4">
        <v>112</v>
      </c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/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/>
      <c r="DX2592" s="4"/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/>
      <c r="EK2592" s="4"/>
      <c r="EL2592" s="4"/>
      <c r="EM2592" s="4"/>
      <c r="EN2592" s="4"/>
      <c r="EO2592" s="4"/>
      <c r="EP2592" s="4"/>
      <c r="EQ2592" s="4"/>
      <c r="ER2592" s="4"/>
      <c r="ES2592" s="4"/>
      <c r="ET2592" s="4"/>
      <c r="EU2592" s="4"/>
      <c r="EV2592" s="4"/>
      <c r="EW2592" s="4"/>
      <c r="EX2592" s="4"/>
      <c r="EY2592" s="4"/>
      <c r="EZ2592" s="4"/>
      <c r="FA2592" s="4"/>
      <c r="FB2592" s="4"/>
      <c r="FC2592" s="4"/>
      <c r="FD2592" s="4"/>
      <c r="FE2592" s="4"/>
      <c r="FF2592" s="4"/>
      <c r="FG2592" s="4"/>
      <c r="FH2592" s="4"/>
      <c r="FI2592" s="4"/>
      <c r="FJ2592" s="4"/>
      <c r="FK2592" s="4"/>
      <c r="FL2592" s="4"/>
      <c r="FM2592" s="4"/>
      <c r="FN2592" s="4"/>
      <c r="FO2592" s="4"/>
      <c r="FP2592" s="4"/>
      <c r="FQ2592" s="4"/>
      <c r="FR2592" s="4"/>
      <c r="FS2592" s="4"/>
      <c r="FT2592" s="4"/>
      <c r="FU2592" s="4"/>
      <c r="FV2592" s="4"/>
      <c r="FW2592" s="4"/>
      <c r="FX2592" s="4"/>
      <c r="FY2592" s="4"/>
      <c r="FZ2592" s="4"/>
      <c r="GA2592" s="4"/>
      <c r="GB2592" s="4"/>
      <c r="GC2592" s="4"/>
      <c r="GD2592" s="4"/>
      <c r="GE2592" s="4"/>
      <c r="GF2592" s="4"/>
      <c r="GG2592" s="4"/>
      <c r="GH2592" s="4"/>
      <c r="GI2592" s="4"/>
      <c r="GJ2592" s="4"/>
      <c r="GK2592" s="4"/>
      <c r="GL2592" s="4"/>
      <c r="GM2592" s="4"/>
      <c r="GN2592" s="4"/>
      <c r="GO2592" s="4"/>
      <c r="GP2592" s="4"/>
      <c r="GQ2592" s="4"/>
      <c r="GR2592" s="4"/>
      <c r="GS2592" s="4"/>
      <c r="GT2592" s="4"/>
      <c r="GU2592" s="4"/>
      <c r="GV2592" s="4"/>
      <c r="GW2592" s="4"/>
      <c r="GX2592" s="4"/>
      <c r="GY2592" s="4"/>
      <c r="GZ2592" s="4"/>
      <c r="HA2592" s="4"/>
      <c r="HB2592" s="4"/>
      <c r="HC2592" s="4"/>
      <c r="HD2592" s="4"/>
      <c r="HE2592" s="4"/>
      <c r="HF2592" s="4"/>
      <c r="HG2592" s="4"/>
      <c r="HH2592" s="4"/>
      <c r="HI2592" s="4"/>
      <c r="HJ2592" s="4"/>
      <c r="HK2592" s="4"/>
      <c r="HL2592" s="4"/>
    </row>
    <row r="2593">
      <c r="A2593" s="2" t="s">
        <v>11087</v>
      </c>
      <c r="B2593" s="2" t="s">
        <v>824</v>
      </c>
      <c r="C2593" s="2" t="s">
        <v>1051</v>
      </c>
      <c r="D2593" s="2" t="s">
        <v>826</v>
      </c>
      <c r="E2593" s="2" t="s">
        <v>1060</v>
      </c>
      <c r="F2593" s="2" t="s">
        <v>11060</v>
      </c>
      <c r="G2593" s="2" t="s">
        <v>11061</v>
      </c>
      <c r="H2593" s="2" t="s">
        <v>11062</v>
      </c>
      <c r="I2593" s="2" t="s">
        <v>11068</v>
      </c>
      <c r="J2593" s="2" t="s">
        <v>669</v>
      </c>
      <c r="K2593" s="2" t="s">
        <v>253</v>
      </c>
      <c r="L2593" s="3">
        <v>28.57</v>
      </c>
      <c r="M2593" s="3">
        <v>30</v>
      </c>
      <c r="N2593" s="3">
        <v>59.99</v>
      </c>
      <c r="O2593" s="2" t="s">
        <v>243</v>
      </c>
      <c r="P2593" s="2" t="s">
        <v>236</v>
      </c>
      <c r="Q2593" s="2" t="s">
        <v>237</v>
      </c>
      <c r="R2593" s="2" t="s">
        <v>231</v>
      </c>
      <c r="S2593" s="2" t="s">
        <v>11081</v>
      </c>
      <c r="T2593" s="2" t="s">
        <v>1432</v>
      </c>
      <c r="U2593" s="2" t="s">
        <v>835</v>
      </c>
      <c r="V2593" s="2" t="s">
        <v>391</v>
      </c>
      <c r="W2593" s="2" t="s">
        <v>691</v>
      </c>
      <c r="X2593" s="2" t="s">
        <v>273</v>
      </c>
      <c r="Y2593" s="2" t="s">
        <v>2821</v>
      </c>
      <c r="Z2593" s="4">
        <v>102</v>
      </c>
      <c r="AA2593" s="4">
        <f>=ROUNDDOWN(34,0)</f>
      </c>
      <c r="AB2593" s="5">
        <v>3</v>
      </c>
      <c r="AC2593" s="2" t="s">
        <v>231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231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231</v>
      </c>
      <c r="AW2593" s="8" t="s">
        <v>231</v>
      </c>
      <c r="AX2593" s="4" t="s">
        <v>231</v>
      </c>
      <c r="AY2593" s="8" t="s">
        <v>231</v>
      </c>
      <c r="AZ2593" s="7" t="s">
        <v>231</v>
      </c>
      <c r="BA2593" s="7" t="s">
        <v>231</v>
      </c>
      <c r="BB2593" s="7"/>
      <c r="BC2593" s="4" t="s">
        <v>231</v>
      </c>
      <c r="BD2593" s="8" t="s">
        <v>231</v>
      </c>
      <c r="BE2593" s="4" t="s">
        <v>231</v>
      </c>
      <c r="BF2593" s="8" t="s">
        <v>231</v>
      </c>
      <c r="BG2593" s="7" t="s">
        <v>231</v>
      </c>
      <c r="BH2593" s="7" t="s">
        <v>231</v>
      </c>
      <c r="BI2593" s="7"/>
      <c r="BJ2593" s="4">
        <v>9</v>
      </c>
      <c r="BK2593" s="8">
        <v>261.92</v>
      </c>
      <c r="BL2593" s="2" t="s">
        <v>365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11088</v>
      </c>
      <c r="BV2593" s="2" t="s">
        <v>231</v>
      </c>
      <c r="BW2593" s="2" t="s">
        <v>231</v>
      </c>
      <c r="BX2593" s="2" t="s">
        <v>241</v>
      </c>
      <c r="BY2593" s="2" t="s">
        <v>277</v>
      </c>
      <c r="BZ2593" s="2" t="s">
        <v>243</v>
      </c>
      <c r="CA2593" s="2" t="s">
        <v>11066</v>
      </c>
      <c r="CB2593" s="2" t="s">
        <v>6406</v>
      </c>
      <c r="CC2593" s="2" t="s">
        <v>244</v>
      </c>
      <c r="CD2593" s="2" t="s">
        <v>231</v>
      </c>
      <c r="CE2593" s="4">
        <v>102</v>
      </c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/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  <c r="EM2593" s="4"/>
      <c r="EN2593" s="4"/>
      <c r="EO2593" s="4"/>
      <c r="EP2593" s="4"/>
      <c r="EQ2593" s="4"/>
      <c r="ER2593" s="4"/>
      <c r="ES2593" s="4"/>
      <c r="ET2593" s="4"/>
      <c r="EU2593" s="4"/>
      <c r="EV2593" s="4"/>
      <c r="EW2593" s="4"/>
      <c r="EX2593" s="4"/>
      <c r="EY2593" s="4"/>
      <c r="EZ2593" s="4"/>
      <c r="FA2593" s="4"/>
      <c r="FB2593" s="4"/>
      <c r="FC2593" s="4"/>
      <c r="FD2593" s="4"/>
      <c r="FE2593" s="4"/>
      <c r="FF2593" s="4"/>
      <c r="FG2593" s="4"/>
      <c r="FH2593" s="4"/>
      <c r="FI2593" s="4"/>
      <c r="FJ2593" s="4"/>
      <c r="FK2593" s="4"/>
      <c r="FL2593" s="4"/>
      <c r="FM2593" s="4"/>
      <c r="FN2593" s="4"/>
      <c r="FO2593" s="4"/>
      <c r="FP2593" s="4"/>
      <c r="FQ2593" s="4"/>
      <c r="FR2593" s="4"/>
      <c r="FS2593" s="4"/>
      <c r="FT2593" s="4"/>
      <c r="FU2593" s="4"/>
      <c r="FV2593" s="4"/>
      <c r="FW2593" s="4"/>
      <c r="FX2593" s="4"/>
      <c r="FY2593" s="4"/>
      <c r="FZ2593" s="4"/>
      <c r="GA2593" s="4"/>
      <c r="GB2593" s="4"/>
      <c r="GC2593" s="4"/>
      <c r="GD2593" s="4"/>
      <c r="GE2593" s="4"/>
      <c r="GF2593" s="4"/>
      <c r="GG2593" s="4"/>
      <c r="GH2593" s="4"/>
      <c r="GI2593" s="4"/>
      <c r="GJ2593" s="4"/>
      <c r="GK2593" s="4"/>
      <c r="GL2593" s="4"/>
      <c r="GM2593" s="4"/>
      <c r="GN2593" s="4"/>
      <c r="GO2593" s="4"/>
      <c r="GP2593" s="4"/>
      <c r="GQ2593" s="4"/>
      <c r="GR2593" s="4"/>
      <c r="GS2593" s="4"/>
      <c r="GT2593" s="4"/>
      <c r="GU2593" s="4"/>
      <c r="GV2593" s="4"/>
      <c r="GW2593" s="4"/>
      <c r="GX2593" s="4"/>
      <c r="GY2593" s="4"/>
      <c r="GZ2593" s="4"/>
      <c r="HA2593" s="4"/>
      <c r="HB2593" s="4"/>
      <c r="HC2593" s="4"/>
      <c r="HD2593" s="4"/>
      <c r="HE2593" s="4"/>
      <c r="HF2593" s="4"/>
      <c r="HG2593" s="4"/>
      <c r="HH2593" s="4"/>
      <c r="HI2593" s="4"/>
      <c r="HJ2593" s="4"/>
      <c r="HK2593" s="4"/>
      <c r="HL2593" s="4"/>
    </row>
    <row r="2594">
      <c r="A2594" s="2" t="s">
        <v>11089</v>
      </c>
      <c r="B2594" s="2" t="s">
        <v>226</v>
      </c>
      <c r="C2594" s="2" t="s">
        <v>288</v>
      </c>
      <c r="D2594" s="2" t="s">
        <v>1624</v>
      </c>
      <c r="E2594" s="2" t="s">
        <v>2589</v>
      </c>
      <c r="F2594" s="2" t="s">
        <v>11060</v>
      </c>
      <c r="G2594" s="2" t="s">
        <v>5348</v>
      </c>
      <c r="H2594" s="2" t="s">
        <v>5348</v>
      </c>
      <c r="I2594" s="2" t="s">
        <v>11074</v>
      </c>
      <c r="J2594" s="2" t="s">
        <v>1554</v>
      </c>
      <c r="K2594" s="2" t="s">
        <v>306</v>
      </c>
      <c r="L2594" s="3">
        <v>23.8</v>
      </c>
      <c r="M2594" s="3">
        <v>24.99</v>
      </c>
      <c r="N2594" s="3">
        <v>49.99</v>
      </c>
      <c r="O2594" s="2" t="s">
        <v>243</v>
      </c>
      <c r="P2594" s="2" t="s">
        <v>270</v>
      </c>
      <c r="Q2594" s="2" t="s">
        <v>237</v>
      </c>
      <c r="R2594" s="2" t="s">
        <v>231</v>
      </c>
      <c r="S2594" s="2" t="s">
        <v>11090</v>
      </c>
      <c r="T2594" s="2" t="s">
        <v>231</v>
      </c>
      <c r="U2594" s="2" t="s">
        <v>327</v>
      </c>
      <c r="V2594" s="2" t="s">
        <v>239</v>
      </c>
      <c r="W2594" s="2" t="s">
        <v>273</v>
      </c>
      <c r="X2594" s="2" t="s">
        <v>231</v>
      </c>
      <c r="Y2594" s="2" t="s">
        <v>948</v>
      </c>
      <c r="Z2594" s="4">
        <v>309</v>
      </c>
      <c r="AA2594" s="4">
        <f>=ROUNDDOWN(44.1428571428571,0)</f>
      </c>
      <c r="AB2594" s="5">
        <v>7</v>
      </c>
      <c r="AC2594" s="2" t="s">
        <v>231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231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231</v>
      </c>
      <c r="BD2594" s="8" t="s">
        <v>231</v>
      </c>
      <c r="BE2594" s="4" t="s">
        <v>231</v>
      </c>
      <c r="BF2594" s="8" t="s">
        <v>231</v>
      </c>
      <c r="BG2594" s="7" t="s">
        <v>231</v>
      </c>
      <c r="BH2594" s="7" t="s">
        <v>231</v>
      </c>
      <c r="BI2594" s="7"/>
      <c r="BJ2594" s="4">
        <v>24</v>
      </c>
      <c r="BK2594" s="8">
        <v>583.74</v>
      </c>
      <c r="BL2594" s="2" t="s">
        <v>11091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11092</v>
      </c>
      <c r="BV2594" s="2" t="s">
        <v>231</v>
      </c>
      <c r="BW2594" s="2" t="s">
        <v>231</v>
      </c>
      <c r="BX2594" s="2" t="s">
        <v>231</v>
      </c>
      <c r="BY2594" s="2" t="s">
        <v>277</v>
      </c>
      <c r="BZ2594" s="2" t="s">
        <v>243</v>
      </c>
      <c r="CA2594" s="2" t="s">
        <v>2664</v>
      </c>
      <c r="CB2594" s="2" t="s">
        <v>822</v>
      </c>
      <c r="CC2594" s="2" t="s">
        <v>244</v>
      </c>
      <c r="CD2594" s="2" t="s">
        <v>231</v>
      </c>
      <c r="CE2594" s="4">
        <v>309</v>
      </c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/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  <c r="EM2594" s="4"/>
      <c r="EN2594" s="4"/>
      <c r="EO2594" s="4"/>
      <c r="EP2594" s="4"/>
      <c r="EQ2594" s="4"/>
      <c r="ER2594" s="4"/>
      <c r="ES2594" s="4"/>
      <c r="ET2594" s="4"/>
      <c r="EU2594" s="4"/>
      <c r="EV2594" s="4"/>
      <c r="EW2594" s="4"/>
      <c r="EX2594" s="4"/>
      <c r="EY2594" s="4"/>
      <c r="EZ2594" s="4"/>
      <c r="FA2594" s="4"/>
      <c r="FB2594" s="4"/>
      <c r="FC2594" s="4"/>
      <c r="FD2594" s="4"/>
      <c r="FE2594" s="4"/>
      <c r="FF2594" s="4"/>
      <c r="FG2594" s="4"/>
      <c r="FH2594" s="4"/>
      <c r="FI2594" s="4"/>
      <c r="FJ2594" s="4"/>
      <c r="FK2594" s="4"/>
      <c r="FL2594" s="4"/>
      <c r="FM2594" s="4"/>
      <c r="FN2594" s="4"/>
      <c r="FO2594" s="4"/>
      <c r="FP2594" s="4"/>
      <c r="FQ2594" s="4"/>
      <c r="FR2594" s="4"/>
      <c r="FS2594" s="4"/>
      <c r="FT2594" s="4"/>
      <c r="FU2594" s="4"/>
      <c r="FV2594" s="4"/>
      <c r="FW2594" s="4"/>
      <c r="FX2594" s="4"/>
      <c r="FY2594" s="4"/>
      <c r="FZ2594" s="4"/>
      <c r="GA2594" s="4"/>
      <c r="GB2594" s="4"/>
      <c r="GC2594" s="4"/>
      <c r="GD2594" s="4"/>
      <c r="GE2594" s="4"/>
      <c r="GF2594" s="4"/>
      <c r="GG2594" s="4"/>
      <c r="GH2594" s="4"/>
      <c r="GI2594" s="4"/>
      <c r="GJ2594" s="4"/>
      <c r="GK2594" s="4"/>
      <c r="GL2594" s="4"/>
      <c r="GM2594" s="4"/>
      <c r="GN2594" s="4"/>
      <c r="GO2594" s="4"/>
      <c r="GP2594" s="4"/>
      <c r="GQ2594" s="4"/>
      <c r="GR2594" s="4"/>
      <c r="GS2594" s="4"/>
      <c r="GT2594" s="4"/>
      <c r="GU2594" s="4"/>
      <c r="GV2594" s="4"/>
      <c r="GW2594" s="4"/>
      <c r="GX2594" s="4"/>
      <c r="GY2594" s="4"/>
      <c r="GZ2594" s="4"/>
      <c r="HA2594" s="4"/>
      <c r="HB2594" s="4"/>
      <c r="HC2594" s="4"/>
      <c r="HD2594" s="4"/>
      <c r="HE2594" s="4"/>
      <c r="HF2594" s="4"/>
      <c r="HG2594" s="4"/>
      <c r="HH2594" s="4"/>
      <c r="HI2594" s="4"/>
      <c r="HJ2594" s="4"/>
      <c r="HK2594" s="4"/>
      <c r="HL2594" s="4"/>
    </row>
    <row r="2595">
      <c r="A2595" s="2" t="s">
        <v>11093</v>
      </c>
      <c r="B2595" s="2" t="s">
        <v>226</v>
      </c>
      <c r="C2595" s="2" t="s">
        <v>288</v>
      </c>
      <c r="D2595" s="2" t="s">
        <v>1624</v>
      </c>
      <c r="E2595" s="2" t="s">
        <v>2589</v>
      </c>
      <c r="F2595" s="2" t="s">
        <v>11060</v>
      </c>
      <c r="G2595" s="2" t="s">
        <v>5348</v>
      </c>
      <c r="H2595" s="2" t="s">
        <v>5348</v>
      </c>
      <c r="I2595" s="2" t="s">
        <v>11074</v>
      </c>
      <c r="J2595" s="2" t="s">
        <v>1554</v>
      </c>
      <c r="K2595" s="2" t="s">
        <v>5021</v>
      </c>
      <c r="L2595" s="3">
        <v>23.8</v>
      </c>
      <c r="M2595" s="3">
        <v>24.99</v>
      </c>
      <c r="N2595" s="3">
        <v>49.99</v>
      </c>
      <c r="O2595" s="2" t="s">
        <v>243</v>
      </c>
      <c r="P2595" s="2" t="s">
        <v>1985</v>
      </c>
      <c r="Q2595" s="2" t="s">
        <v>237</v>
      </c>
      <c r="R2595" s="2" t="s">
        <v>231</v>
      </c>
      <c r="S2595" s="2" t="s">
        <v>11094</v>
      </c>
      <c r="T2595" s="2" t="s">
        <v>231</v>
      </c>
      <c r="U2595" s="2" t="s">
        <v>327</v>
      </c>
      <c r="V2595" s="2" t="s">
        <v>239</v>
      </c>
      <c r="W2595" s="2" t="s">
        <v>273</v>
      </c>
      <c r="X2595" s="2" t="s">
        <v>231</v>
      </c>
      <c r="Y2595" s="2" t="s">
        <v>951</v>
      </c>
      <c r="Z2595" s="4">
        <v>471</v>
      </c>
      <c r="AA2595" s="4">
        <f>=ROUNDDOWN(117.75,0)</f>
      </c>
      <c r="AB2595" s="5">
        <v>4</v>
      </c>
      <c r="AC2595" s="2" t="s">
        <v>231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231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231</v>
      </c>
      <c r="BD2595" s="8" t="s">
        <v>231</v>
      </c>
      <c r="BE2595" s="4" t="s">
        <v>231</v>
      </c>
      <c r="BF2595" s="8" t="s">
        <v>231</v>
      </c>
      <c r="BG2595" s="7" t="s">
        <v>231</v>
      </c>
      <c r="BH2595" s="7" t="s">
        <v>231</v>
      </c>
      <c r="BI2595" s="7"/>
      <c r="BJ2595" s="4">
        <v>4</v>
      </c>
      <c r="BK2595" s="8">
        <v>99.71</v>
      </c>
      <c r="BL2595" s="2" t="s">
        <v>1240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11095</v>
      </c>
      <c r="BV2595" s="2" t="s">
        <v>231</v>
      </c>
      <c r="BW2595" s="2" t="s">
        <v>231</v>
      </c>
      <c r="BX2595" s="2" t="s">
        <v>231</v>
      </c>
      <c r="BY2595" s="2" t="s">
        <v>277</v>
      </c>
      <c r="BZ2595" s="2" t="s">
        <v>243</v>
      </c>
      <c r="CA2595" s="2" t="s">
        <v>2664</v>
      </c>
      <c r="CB2595" s="2" t="s">
        <v>1436</v>
      </c>
      <c r="CC2595" s="2" t="s">
        <v>244</v>
      </c>
      <c r="CD2595" s="2" t="s">
        <v>231</v>
      </c>
      <c r="CE2595" s="4">
        <v>471</v>
      </c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/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/>
      <c r="EK2595" s="4"/>
      <c r="EL2595" s="4"/>
      <c r="EM2595" s="4"/>
      <c r="EN2595" s="4"/>
      <c r="EO2595" s="4"/>
      <c r="EP2595" s="4"/>
      <c r="EQ2595" s="4"/>
      <c r="ER2595" s="4"/>
      <c r="ES2595" s="4"/>
      <c r="ET2595" s="4"/>
      <c r="EU2595" s="4"/>
      <c r="EV2595" s="4"/>
      <c r="EW2595" s="4"/>
      <c r="EX2595" s="4"/>
      <c r="EY2595" s="4"/>
      <c r="EZ2595" s="4"/>
      <c r="FA2595" s="4"/>
      <c r="FB2595" s="4"/>
      <c r="FC2595" s="4"/>
      <c r="FD2595" s="4"/>
      <c r="FE2595" s="4"/>
      <c r="FF2595" s="4"/>
      <c r="FG2595" s="4"/>
      <c r="FH2595" s="4"/>
      <c r="FI2595" s="4"/>
      <c r="FJ2595" s="4"/>
      <c r="FK2595" s="4"/>
      <c r="FL2595" s="4"/>
      <c r="FM2595" s="4"/>
      <c r="FN2595" s="4"/>
      <c r="FO2595" s="4"/>
      <c r="FP2595" s="4"/>
      <c r="FQ2595" s="4"/>
      <c r="FR2595" s="4"/>
      <c r="FS2595" s="4"/>
      <c r="FT2595" s="4"/>
      <c r="FU2595" s="4"/>
      <c r="FV2595" s="4"/>
      <c r="FW2595" s="4"/>
      <c r="FX2595" s="4"/>
      <c r="FY2595" s="4"/>
      <c r="FZ2595" s="4"/>
      <c r="GA2595" s="4"/>
      <c r="GB2595" s="4"/>
      <c r="GC2595" s="4"/>
      <c r="GD2595" s="4"/>
      <c r="GE2595" s="4"/>
      <c r="GF2595" s="4"/>
      <c r="GG2595" s="4"/>
      <c r="GH2595" s="4"/>
      <c r="GI2595" s="4"/>
      <c r="GJ2595" s="4"/>
      <c r="GK2595" s="4"/>
      <c r="GL2595" s="4"/>
      <c r="GM2595" s="4"/>
      <c r="GN2595" s="4"/>
      <c r="GO2595" s="4"/>
      <c r="GP2595" s="4"/>
      <c r="GQ2595" s="4"/>
      <c r="GR2595" s="4"/>
      <c r="GS2595" s="4"/>
      <c r="GT2595" s="4"/>
      <c r="GU2595" s="4"/>
      <c r="GV2595" s="4"/>
      <c r="GW2595" s="4"/>
      <c r="GX2595" s="4"/>
      <c r="GY2595" s="4"/>
      <c r="GZ2595" s="4"/>
      <c r="HA2595" s="4"/>
      <c r="HB2595" s="4"/>
      <c r="HC2595" s="4"/>
      <c r="HD2595" s="4"/>
      <c r="HE2595" s="4"/>
      <c r="HF2595" s="4"/>
      <c r="HG2595" s="4"/>
      <c r="HH2595" s="4"/>
      <c r="HI2595" s="4"/>
      <c r="HJ2595" s="4"/>
      <c r="HK2595" s="4"/>
      <c r="HL2595" s="4"/>
    </row>
    <row r="2596">
      <c r="A2596" s="2" t="s">
        <v>11096</v>
      </c>
      <c r="B2596" s="2" t="s">
        <v>226</v>
      </c>
      <c r="C2596" s="2" t="s">
        <v>288</v>
      </c>
      <c r="D2596" s="2" t="s">
        <v>1624</v>
      </c>
      <c r="E2596" s="2" t="s">
        <v>2589</v>
      </c>
      <c r="F2596" s="2" t="s">
        <v>11060</v>
      </c>
      <c r="G2596" s="2" t="s">
        <v>5348</v>
      </c>
      <c r="H2596" s="2" t="s">
        <v>5348</v>
      </c>
      <c r="I2596" s="2" t="s">
        <v>11074</v>
      </c>
      <c r="J2596" s="2" t="s">
        <v>1554</v>
      </c>
      <c r="K2596" s="2" t="s">
        <v>1513</v>
      </c>
      <c r="L2596" s="3">
        <v>23.8</v>
      </c>
      <c r="M2596" s="3">
        <v>24.99</v>
      </c>
      <c r="N2596" s="3">
        <v>49.99</v>
      </c>
      <c r="O2596" s="2" t="s">
        <v>243</v>
      </c>
      <c r="P2596" s="2" t="s">
        <v>1985</v>
      </c>
      <c r="Q2596" s="2" t="s">
        <v>237</v>
      </c>
      <c r="R2596" s="2" t="s">
        <v>231</v>
      </c>
      <c r="S2596" s="2" t="s">
        <v>11097</v>
      </c>
      <c r="T2596" s="2" t="s">
        <v>231</v>
      </c>
      <c r="U2596" s="2" t="s">
        <v>327</v>
      </c>
      <c r="V2596" s="2" t="s">
        <v>239</v>
      </c>
      <c r="W2596" s="2" t="s">
        <v>273</v>
      </c>
      <c r="X2596" s="2" t="s">
        <v>231</v>
      </c>
      <c r="Y2596" s="2" t="s">
        <v>948</v>
      </c>
      <c r="Z2596" s="4">
        <v>376</v>
      </c>
      <c r="AA2596" s="4">
        <f>=ROUNDDOWN(94,0)</f>
      </c>
      <c r="AB2596" s="5">
        <v>4</v>
      </c>
      <c r="AC2596" s="2" t="s">
        <v>231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231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231</v>
      </c>
      <c r="BD2596" s="8" t="s">
        <v>231</v>
      </c>
      <c r="BE2596" s="4" t="s">
        <v>231</v>
      </c>
      <c r="BF2596" s="8" t="s">
        <v>231</v>
      </c>
      <c r="BG2596" s="7" t="s">
        <v>231</v>
      </c>
      <c r="BH2596" s="7" t="s">
        <v>231</v>
      </c>
      <c r="BI2596" s="7"/>
      <c r="BJ2596" s="4">
        <v>10</v>
      </c>
      <c r="BK2596" s="8">
        <v>243.03</v>
      </c>
      <c r="BL2596" s="2" t="s">
        <v>2900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11098</v>
      </c>
      <c r="BV2596" s="2" t="s">
        <v>231</v>
      </c>
      <c r="BW2596" s="2" t="s">
        <v>231</v>
      </c>
      <c r="BX2596" s="2" t="s">
        <v>231</v>
      </c>
      <c r="BY2596" s="2" t="s">
        <v>277</v>
      </c>
      <c r="BZ2596" s="2" t="s">
        <v>243</v>
      </c>
      <c r="CA2596" s="2" t="s">
        <v>2664</v>
      </c>
      <c r="CB2596" s="2" t="s">
        <v>3776</v>
      </c>
      <c r="CC2596" s="2" t="s">
        <v>244</v>
      </c>
      <c r="CD2596" s="2" t="s">
        <v>231</v>
      </c>
      <c r="CE2596" s="4">
        <v>376</v>
      </c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  <c r="DP2596" s="4"/>
      <c r="DQ2596" s="4"/>
      <c r="DR2596" s="4"/>
      <c r="DS2596" s="4"/>
      <c r="DT2596" s="4"/>
      <c r="DU2596" s="4"/>
      <c r="DV2596" s="4"/>
      <c r="DW2596" s="4"/>
      <c r="DX2596" s="4"/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  <c r="EM2596" s="4"/>
      <c r="EN2596" s="4"/>
      <c r="EO2596" s="4"/>
      <c r="EP2596" s="4"/>
      <c r="EQ2596" s="4"/>
      <c r="ER2596" s="4"/>
      <c r="ES2596" s="4"/>
      <c r="ET2596" s="4"/>
      <c r="EU2596" s="4"/>
      <c r="EV2596" s="4"/>
      <c r="EW2596" s="4"/>
      <c r="EX2596" s="4"/>
      <c r="EY2596" s="4"/>
      <c r="EZ2596" s="4"/>
      <c r="FA2596" s="4"/>
      <c r="FB2596" s="4"/>
      <c r="FC2596" s="4"/>
      <c r="FD2596" s="4"/>
      <c r="FE2596" s="4"/>
      <c r="FF2596" s="4"/>
      <c r="FG2596" s="4"/>
      <c r="FH2596" s="4"/>
      <c r="FI2596" s="4"/>
      <c r="FJ2596" s="4"/>
      <c r="FK2596" s="4"/>
      <c r="FL2596" s="4"/>
      <c r="FM2596" s="4"/>
      <c r="FN2596" s="4"/>
      <c r="FO2596" s="4"/>
      <c r="FP2596" s="4"/>
      <c r="FQ2596" s="4"/>
      <c r="FR2596" s="4"/>
      <c r="FS2596" s="4"/>
      <c r="FT2596" s="4"/>
      <c r="FU2596" s="4"/>
      <c r="FV2596" s="4"/>
      <c r="FW2596" s="4"/>
      <c r="FX2596" s="4"/>
      <c r="FY2596" s="4"/>
      <c r="FZ2596" s="4"/>
      <c r="GA2596" s="4"/>
      <c r="GB2596" s="4"/>
      <c r="GC2596" s="4"/>
      <c r="GD2596" s="4"/>
      <c r="GE2596" s="4"/>
      <c r="GF2596" s="4"/>
      <c r="GG2596" s="4"/>
      <c r="GH2596" s="4"/>
      <c r="GI2596" s="4"/>
      <c r="GJ2596" s="4"/>
      <c r="GK2596" s="4"/>
      <c r="GL2596" s="4"/>
      <c r="GM2596" s="4"/>
      <c r="GN2596" s="4"/>
      <c r="GO2596" s="4"/>
      <c r="GP2596" s="4"/>
      <c r="GQ2596" s="4"/>
      <c r="GR2596" s="4"/>
      <c r="GS2596" s="4"/>
      <c r="GT2596" s="4"/>
      <c r="GU2596" s="4"/>
      <c r="GV2596" s="4"/>
      <c r="GW2596" s="4"/>
      <c r="GX2596" s="4"/>
      <c r="GY2596" s="4"/>
      <c r="GZ2596" s="4"/>
      <c r="HA2596" s="4"/>
      <c r="HB2596" s="4"/>
      <c r="HC2596" s="4"/>
      <c r="HD2596" s="4"/>
      <c r="HE2596" s="4"/>
      <c r="HF2596" s="4"/>
      <c r="HG2596" s="4"/>
      <c r="HH2596" s="4"/>
      <c r="HI2596" s="4"/>
      <c r="HJ2596" s="4"/>
      <c r="HK2596" s="4"/>
      <c r="HL2596" s="4"/>
    </row>
    <row r="2597">
      <c r="A2597" s="2" t="s">
        <v>11099</v>
      </c>
      <c r="B2597" s="2" t="s">
        <v>1004</v>
      </c>
      <c r="C2597" s="2" t="s">
        <v>815</v>
      </c>
      <c r="D2597" s="2" t="s">
        <v>1689</v>
      </c>
      <c r="E2597" s="2" t="s">
        <v>2538</v>
      </c>
      <c r="F2597" s="2" t="s">
        <v>11100</v>
      </c>
      <c r="G2597" s="2" t="s">
        <v>11100</v>
      </c>
      <c r="H2597" s="2" t="s">
        <v>11100</v>
      </c>
      <c r="I2597" s="2" t="s">
        <v>2651</v>
      </c>
      <c r="J2597" s="2" t="s">
        <v>807</v>
      </c>
      <c r="K2597" s="2" t="s">
        <v>253</v>
      </c>
      <c r="L2597" s="3">
        <v>120</v>
      </c>
      <c r="M2597" s="3">
        <v>126</v>
      </c>
      <c r="N2597" s="3">
        <v>249</v>
      </c>
      <c r="O2597" s="2" t="s">
        <v>235</v>
      </c>
      <c r="P2597" s="2" t="s">
        <v>341</v>
      </c>
      <c r="Q2597" s="2" t="s">
        <v>237</v>
      </c>
      <c r="R2597" s="2" t="s">
        <v>231</v>
      </c>
      <c r="S2597" s="2" t="s">
        <v>231</v>
      </c>
      <c r="T2597" s="2" t="s">
        <v>231</v>
      </c>
      <c r="U2597" s="2" t="s">
        <v>327</v>
      </c>
      <c r="V2597" s="2" t="s">
        <v>662</v>
      </c>
      <c r="W2597" s="2" t="s">
        <v>691</v>
      </c>
      <c r="X2597" s="2" t="s">
        <v>231</v>
      </c>
      <c r="Y2597" s="2" t="s">
        <v>6985</v>
      </c>
      <c r="Z2597" s="4">
        <v>131</v>
      </c>
      <c r="AA2597" s="4">
        <f>=ROUNDDOWN(436.666666666667,0)</f>
      </c>
      <c r="AB2597" s="5">
        <v>0.3</v>
      </c>
      <c r="AC2597" s="2" t="s">
        <v>231</v>
      </c>
      <c r="AD2597" s="4"/>
      <c r="AE2597" s="4"/>
      <c r="AF2597" s="6">
        <v>66</v>
      </c>
      <c r="AG2597" s="6"/>
      <c r="AH2597" s="7">
        <v>1</v>
      </c>
      <c r="AI2597" s="4"/>
      <c r="AJ2597" s="4">
        <f>=ROUNDDOWN({0},0)</f>
      </c>
      <c r="AK2597" s="5"/>
      <c r="AL2597" s="2" t="s">
        <v>231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/>
      <c r="BD2597" s="8"/>
      <c r="BE2597" s="4"/>
      <c r="BF2597" s="8"/>
      <c r="BG2597" s="7"/>
      <c r="BH2597" s="7"/>
      <c r="BI2597" s="7"/>
      <c r="BJ2597" s="4">
        <v>4</v>
      </c>
      <c r="BK2597" s="8">
        <v>498.23</v>
      </c>
      <c r="BL2597" s="2" t="s">
        <v>11101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11102</v>
      </c>
      <c r="BV2597" s="2" t="s">
        <v>231</v>
      </c>
      <c r="BW2597" s="2" t="s">
        <v>231</v>
      </c>
      <c r="BX2597" s="2" t="s">
        <v>231</v>
      </c>
      <c r="BY2597" s="2" t="s">
        <v>277</v>
      </c>
      <c r="BZ2597" s="2" t="s">
        <v>243</v>
      </c>
      <c r="CA2597" s="2" t="s">
        <v>6987</v>
      </c>
      <c r="CB2597" s="2" t="s">
        <v>11103</v>
      </c>
      <c r="CC2597" s="2" t="s">
        <v>244</v>
      </c>
      <c r="CD2597" s="2" t="s">
        <v>231</v>
      </c>
      <c r="CE2597" s="4"/>
      <c r="CF2597" s="4">
        <v>131</v>
      </c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  <c r="DP2597" s="4"/>
      <c r="DQ2597" s="4"/>
      <c r="DR2597" s="4"/>
      <c r="DS2597" s="4"/>
      <c r="DT2597" s="4"/>
      <c r="DU2597" s="4"/>
      <c r="DV2597" s="4"/>
      <c r="DW2597" s="4"/>
      <c r="DX2597" s="4"/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/>
      <c r="EK2597" s="4"/>
      <c r="EL2597" s="4"/>
      <c r="EM2597" s="4"/>
      <c r="EN2597" s="4"/>
      <c r="EO2597" s="4"/>
      <c r="EP2597" s="4"/>
      <c r="EQ2597" s="4"/>
      <c r="ER2597" s="4"/>
      <c r="ES2597" s="4"/>
      <c r="ET2597" s="4"/>
      <c r="EU2597" s="4"/>
      <c r="EV2597" s="4"/>
      <c r="EW2597" s="4"/>
      <c r="EX2597" s="4"/>
      <c r="EY2597" s="4"/>
      <c r="EZ2597" s="4"/>
      <c r="FA2597" s="4"/>
      <c r="FB2597" s="4"/>
      <c r="FC2597" s="4"/>
      <c r="FD2597" s="4"/>
      <c r="FE2597" s="4"/>
      <c r="FF2597" s="4"/>
      <c r="FG2597" s="4"/>
      <c r="FH2597" s="4"/>
      <c r="FI2597" s="4"/>
      <c r="FJ2597" s="4"/>
      <c r="FK2597" s="4"/>
      <c r="FL2597" s="4"/>
      <c r="FM2597" s="4"/>
      <c r="FN2597" s="4"/>
      <c r="FO2597" s="4"/>
      <c r="FP2597" s="4"/>
      <c r="FQ2597" s="4"/>
      <c r="FR2597" s="4"/>
      <c r="FS2597" s="4"/>
      <c r="FT2597" s="4"/>
      <c r="FU2597" s="4"/>
      <c r="FV2597" s="4"/>
      <c r="FW2597" s="4"/>
      <c r="FX2597" s="4"/>
      <c r="FY2597" s="4"/>
      <c r="FZ2597" s="4"/>
      <c r="GA2597" s="4"/>
      <c r="GB2597" s="4"/>
      <c r="GC2597" s="4"/>
      <c r="GD2597" s="4"/>
      <c r="GE2597" s="4"/>
      <c r="GF2597" s="4"/>
      <c r="GG2597" s="4"/>
      <c r="GH2597" s="4"/>
      <c r="GI2597" s="4"/>
      <c r="GJ2597" s="4"/>
      <c r="GK2597" s="4"/>
      <c r="GL2597" s="4"/>
      <c r="GM2597" s="4"/>
      <c r="GN2597" s="4"/>
      <c r="GO2597" s="4"/>
      <c r="GP2597" s="4"/>
      <c r="GQ2597" s="4"/>
      <c r="GR2597" s="4"/>
      <c r="GS2597" s="4"/>
      <c r="GT2597" s="4"/>
      <c r="GU2597" s="4"/>
      <c r="GV2597" s="4"/>
      <c r="GW2597" s="4"/>
      <c r="GX2597" s="4"/>
      <c r="GY2597" s="4"/>
      <c r="GZ2597" s="4"/>
      <c r="HA2597" s="4"/>
      <c r="HB2597" s="4"/>
      <c r="HC2597" s="4"/>
      <c r="HD2597" s="4"/>
      <c r="HE2597" s="4"/>
      <c r="HF2597" s="4"/>
      <c r="HG2597" s="4"/>
      <c r="HH2597" s="4"/>
      <c r="HI2597" s="4"/>
      <c r="HJ2597" s="4"/>
      <c r="HK2597" s="4"/>
      <c r="HL2597" s="4"/>
    </row>
    <row r="2598">
      <c r="A2598" s="2" t="s">
        <v>11104</v>
      </c>
      <c r="B2598" s="2" t="s">
        <v>1004</v>
      </c>
      <c r="C2598" s="2" t="s">
        <v>288</v>
      </c>
      <c r="D2598" s="2" t="s">
        <v>2130</v>
      </c>
      <c r="E2598" s="2" t="s">
        <v>2131</v>
      </c>
      <c r="F2598" s="2" t="s">
        <v>11105</v>
      </c>
      <c r="G2598" s="2" t="s">
        <v>11106</v>
      </c>
      <c r="H2598" s="2" t="s">
        <v>11107</v>
      </c>
      <c r="I2598" s="2" t="s">
        <v>11108</v>
      </c>
      <c r="J2598" s="2" t="s">
        <v>807</v>
      </c>
      <c r="K2598" s="2" t="s">
        <v>255</v>
      </c>
      <c r="L2598" s="3">
        <v>256.5</v>
      </c>
      <c r="M2598" s="3">
        <v>269.32</v>
      </c>
      <c r="N2598" s="3">
        <v>549</v>
      </c>
      <c r="O2598" s="2" t="s">
        <v>243</v>
      </c>
      <c r="P2598" s="2" t="s">
        <v>341</v>
      </c>
      <c r="Q2598" s="2" t="s">
        <v>237</v>
      </c>
      <c r="R2598" s="2" t="s">
        <v>231</v>
      </c>
      <c r="S2598" s="2" t="s">
        <v>11109</v>
      </c>
      <c r="T2598" s="2" t="s">
        <v>231</v>
      </c>
      <c r="U2598" s="2" t="s">
        <v>231</v>
      </c>
      <c r="V2598" s="2" t="s">
        <v>239</v>
      </c>
      <c r="W2598" s="2" t="s">
        <v>792</v>
      </c>
      <c r="X2598" s="2" t="s">
        <v>231</v>
      </c>
      <c r="Y2598" s="2" t="s">
        <v>4657</v>
      </c>
      <c r="Z2598" s="4"/>
      <c r="AA2598" s="4">
        <f>=ROUNDDOWN({0},0)</f>
      </c>
      <c r="AB2598" s="5">
        <v>2.8</v>
      </c>
      <c r="AC2598" s="2" t="s">
        <v>231</v>
      </c>
      <c r="AD2598" s="4"/>
      <c r="AE2598" s="4"/>
      <c r="AF2598" s="6">
        <v>65</v>
      </c>
      <c r="AG2598" s="6">
        <v>48</v>
      </c>
      <c r="AH2598" s="7">
        <v>0</v>
      </c>
      <c r="AI2598" s="4"/>
      <c r="AJ2598" s="4">
        <f>=ROUNDDOWN({0},0)</f>
      </c>
      <c r="AK2598" s="5"/>
      <c r="AL2598" s="2" t="s">
        <v>231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/>
      <c r="BD2598" s="8"/>
      <c r="BE2598" s="4"/>
      <c r="BF2598" s="8"/>
      <c r="BG2598" s="7"/>
      <c r="BH2598" s="7"/>
      <c r="BI2598" s="7"/>
      <c r="BJ2598" s="4"/>
      <c r="BK2598" s="8"/>
      <c r="BL2598" s="2" t="s">
        <v>11110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11111</v>
      </c>
      <c r="BV2598" s="2" t="s">
        <v>231</v>
      </c>
      <c r="BW2598" s="2" t="s">
        <v>231</v>
      </c>
      <c r="BX2598" s="2" t="s">
        <v>231</v>
      </c>
      <c r="BY2598" s="2" t="s">
        <v>277</v>
      </c>
      <c r="BZ2598" s="2" t="s">
        <v>243</v>
      </c>
      <c r="CA2598" s="2" t="s">
        <v>1833</v>
      </c>
      <c r="CB2598" s="2" t="s">
        <v>4160</v>
      </c>
      <c r="CC2598" s="2" t="s">
        <v>244</v>
      </c>
      <c r="CD2598" s="2" t="s">
        <v>231</v>
      </c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/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/>
      <c r="EK2598" s="4"/>
      <c r="EL2598" s="4"/>
      <c r="EM2598" s="4"/>
      <c r="EN2598" s="4"/>
      <c r="EO2598" s="4"/>
      <c r="EP2598" s="4"/>
      <c r="EQ2598" s="4"/>
      <c r="ER2598" s="4"/>
      <c r="ES2598" s="4"/>
      <c r="ET2598" s="4"/>
      <c r="EU2598" s="4"/>
      <c r="EV2598" s="4"/>
      <c r="EW2598" s="4"/>
      <c r="EX2598" s="4"/>
      <c r="EY2598" s="4"/>
      <c r="EZ2598" s="4"/>
      <c r="FA2598" s="4"/>
      <c r="FB2598" s="4"/>
      <c r="FC2598" s="4"/>
      <c r="FD2598" s="4"/>
      <c r="FE2598" s="4"/>
      <c r="FF2598" s="4"/>
      <c r="FG2598" s="4"/>
      <c r="FH2598" s="4"/>
      <c r="FI2598" s="4"/>
      <c r="FJ2598" s="4"/>
      <c r="FK2598" s="4"/>
      <c r="FL2598" s="4"/>
      <c r="FM2598" s="4"/>
      <c r="FN2598" s="4"/>
      <c r="FO2598" s="4"/>
      <c r="FP2598" s="4"/>
      <c r="FQ2598" s="4"/>
      <c r="FR2598" s="4"/>
      <c r="FS2598" s="4"/>
      <c r="FT2598" s="4"/>
      <c r="FU2598" s="4"/>
      <c r="FV2598" s="4"/>
      <c r="FW2598" s="4"/>
      <c r="FX2598" s="4"/>
      <c r="FY2598" s="4"/>
      <c r="FZ2598" s="4"/>
      <c r="GA2598" s="4"/>
      <c r="GB2598" s="4"/>
      <c r="GC2598" s="4"/>
      <c r="GD2598" s="4"/>
      <c r="GE2598" s="4"/>
      <c r="GF2598" s="4"/>
      <c r="GG2598" s="4"/>
      <c r="GH2598" s="4"/>
      <c r="GI2598" s="4"/>
      <c r="GJ2598" s="4"/>
      <c r="GK2598" s="4"/>
      <c r="GL2598" s="4"/>
      <c r="GM2598" s="4"/>
      <c r="GN2598" s="4"/>
      <c r="GO2598" s="4"/>
      <c r="GP2598" s="4"/>
      <c r="GQ2598" s="4"/>
      <c r="GR2598" s="4"/>
      <c r="GS2598" s="4"/>
      <c r="GT2598" s="4"/>
      <c r="GU2598" s="4"/>
      <c r="GV2598" s="4"/>
      <c r="GW2598" s="4"/>
      <c r="GX2598" s="4"/>
      <c r="GY2598" s="4"/>
      <c r="GZ2598" s="4"/>
      <c r="HA2598" s="4"/>
      <c r="HB2598" s="4"/>
      <c r="HC2598" s="4"/>
      <c r="HD2598" s="4"/>
      <c r="HE2598" s="4"/>
      <c r="HF2598" s="4"/>
      <c r="HG2598" s="4"/>
      <c r="HH2598" s="4"/>
      <c r="HI2598" s="4"/>
      <c r="HJ2598" s="4"/>
      <c r="HK2598" s="4"/>
      <c r="HL2598" s="4"/>
    </row>
    <row r="2599">
      <c r="A2599" s="2" t="s">
        <v>11112</v>
      </c>
      <c r="B2599" s="2" t="s">
        <v>1004</v>
      </c>
      <c r="C2599" s="2" t="s">
        <v>815</v>
      </c>
      <c r="D2599" s="2" t="s">
        <v>1689</v>
      </c>
      <c r="E2599" s="2" t="s">
        <v>2651</v>
      </c>
      <c r="F2599" s="2" t="s">
        <v>11113</v>
      </c>
      <c r="G2599" s="2" t="s">
        <v>11113</v>
      </c>
      <c r="H2599" s="2" t="s">
        <v>11113</v>
      </c>
      <c r="I2599" s="2" t="s">
        <v>11114</v>
      </c>
      <c r="J2599" s="2" t="s">
        <v>807</v>
      </c>
      <c r="K2599" s="2" t="s">
        <v>253</v>
      </c>
      <c r="L2599" s="3">
        <v>117.04</v>
      </c>
      <c r="M2599" s="3">
        <v>122.89</v>
      </c>
      <c r="N2599" s="3">
        <v>249</v>
      </c>
      <c r="O2599" s="2" t="s">
        <v>243</v>
      </c>
      <c r="P2599" s="2" t="s">
        <v>341</v>
      </c>
      <c r="Q2599" s="2" t="s">
        <v>237</v>
      </c>
      <c r="R2599" s="2" t="s">
        <v>231</v>
      </c>
      <c r="S2599" s="2" t="s">
        <v>231</v>
      </c>
      <c r="T2599" s="2" t="s">
        <v>231</v>
      </c>
      <c r="U2599" s="2" t="s">
        <v>327</v>
      </c>
      <c r="V2599" s="2" t="s">
        <v>662</v>
      </c>
      <c r="W2599" s="2" t="s">
        <v>792</v>
      </c>
      <c r="X2599" s="2" t="s">
        <v>231</v>
      </c>
      <c r="Y2599" s="2" t="s">
        <v>11115</v>
      </c>
      <c r="Z2599" s="4">
        <v>11</v>
      </c>
      <c r="AA2599" s="4">
        <f>=ROUNDDOWN(3.66666666666667,0)</f>
      </c>
      <c r="AB2599" s="5">
        <v>3</v>
      </c>
      <c r="AC2599" s="2" t="s">
        <v>231</v>
      </c>
      <c r="AD2599" s="4"/>
      <c r="AE2599" s="4"/>
      <c r="AF2599" s="6">
        <v>66</v>
      </c>
      <c r="AG2599" s="6"/>
      <c r="AH2599" s="7">
        <v>1</v>
      </c>
      <c r="AI2599" s="4"/>
      <c r="AJ2599" s="4">
        <f>=ROUNDDOWN({0},0)</f>
      </c>
      <c r="AK2599" s="5"/>
      <c r="AL2599" s="2" t="s">
        <v>231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/>
      <c r="BD2599" s="8"/>
      <c r="BE2599" s="4"/>
      <c r="BF2599" s="8"/>
      <c r="BG2599" s="7"/>
      <c r="BH2599" s="7"/>
      <c r="BI2599" s="7"/>
      <c r="BJ2599" s="4">
        <v>8</v>
      </c>
      <c r="BK2599" s="8">
        <v>672.46</v>
      </c>
      <c r="BL2599" s="2" t="s">
        <v>2343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11116</v>
      </c>
      <c r="BV2599" s="2" t="s">
        <v>231</v>
      </c>
      <c r="BW2599" s="2" t="s">
        <v>231</v>
      </c>
      <c r="BX2599" s="2" t="s">
        <v>231</v>
      </c>
      <c r="BY2599" s="2" t="s">
        <v>277</v>
      </c>
      <c r="BZ2599" s="2" t="s">
        <v>243</v>
      </c>
      <c r="CA2599" s="2" t="s">
        <v>11117</v>
      </c>
      <c r="CB2599" s="2" t="s">
        <v>11118</v>
      </c>
      <c r="CC2599" s="2" t="s">
        <v>244</v>
      </c>
      <c r="CD2599" s="2" t="s">
        <v>231</v>
      </c>
      <c r="CE2599" s="4"/>
      <c r="CF2599" s="4">
        <v>11</v>
      </c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/>
      <c r="DX2599" s="4"/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/>
      <c r="EK2599" s="4"/>
      <c r="EL2599" s="4"/>
      <c r="EM2599" s="4"/>
      <c r="EN2599" s="4"/>
      <c r="EO2599" s="4"/>
      <c r="EP2599" s="4"/>
      <c r="EQ2599" s="4"/>
      <c r="ER2599" s="4"/>
      <c r="ES2599" s="4"/>
      <c r="ET2599" s="4"/>
      <c r="EU2599" s="4"/>
      <c r="EV2599" s="4"/>
      <c r="EW2599" s="4"/>
      <c r="EX2599" s="4"/>
      <c r="EY2599" s="4"/>
      <c r="EZ2599" s="4"/>
      <c r="FA2599" s="4"/>
      <c r="FB2599" s="4"/>
      <c r="FC2599" s="4"/>
      <c r="FD2599" s="4"/>
      <c r="FE2599" s="4"/>
      <c r="FF2599" s="4"/>
      <c r="FG2599" s="4"/>
      <c r="FH2599" s="4"/>
      <c r="FI2599" s="4"/>
      <c r="FJ2599" s="4"/>
      <c r="FK2599" s="4"/>
      <c r="FL2599" s="4"/>
      <c r="FM2599" s="4"/>
      <c r="FN2599" s="4"/>
      <c r="FO2599" s="4"/>
      <c r="FP2599" s="4"/>
      <c r="FQ2599" s="4"/>
      <c r="FR2599" s="4"/>
      <c r="FS2599" s="4"/>
      <c r="FT2599" s="4"/>
      <c r="FU2599" s="4"/>
      <c r="FV2599" s="4"/>
      <c r="FW2599" s="4"/>
      <c r="FX2599" s="4"/>
      <c r="FY2599" s="4"/>
      <c r="FZ2599" s="4"/>
      <c r="GA2599" s="4"/>
      <c r="GB2599" s="4"/>
      <c r="GC2599" s="4"/>
      <c r="GD2599" s="4"/>
      <c r="GE2599" s="4"/>
      <c r="GF2599" s="4"/>
      <c r="GG2599" s="4"/>
      <c r="GH2599" s="4"/>
      <c r="GI2599" s="4"/>
      <c r="GJ2599" s="4"/>
      <c r="GK2599" s="4"/>
      <c r="GL2599" s="4"/>
      <c r="GM2599" s="4"/>
      <c r="GN2599" s="4"/>
      <c r="GO2599" s="4"/>
      <c r="GP2599" s="4"/>
      <c r="GQ2599" s="4"/>
      <c r="GR2599" s="4"/>
      <c r="GS2599" s="4"/>
      <c r="GT2599" s="4"/>
      <c r="GU2599" s="4"/>
      <c r="GV2599" s="4"/>
      <c r="GW2599" s="4"/>
      <c r="GX2599" s="4"/>
      <c r="GY2599" s="4"/>
      <c r="GZ2599" s="4"/>
      <c r="HA2599" s="4"/>
      <c r="HB2599" s="4"/>
      <c r="HC2599" s="4"/>
      <c r="HD2599" s="4"/>
      <c r="HE2599" s="4"/>
      <c r="HF2599" s="4"/>
      <c r="HG2599" s="4"/>
      <c r="HH2599" s="4"/>
      <c r="HI2599" s="4"/>
      <c r="HJ2599" s="4"/>
      <c r="HK2599" s="4"/>
      <c r="HL2599" s="4"/>
    </row>
    <row r="2600">
      <c r="A2600" s="2" t="s">
        <v>11119</v>
      </c>
      <c r="B2600" s="2" t="s">
        <v>801</v>
      </c>
      <c r="C2600" s="2" t="s">
        <v>815</v>
      </c>
      <c r="D2600" s="2" t="s">
        <v>1043</v>
      </c>
      <c r="E2600" s="2" t="s">
        <v>1044</v>
      </c>
      <c r="F2600" s="2" t="s">
        <v>11120</v>
      </c>
      <c r="G2600" s="2" t="s">
        <v>11120</v>
      </c>
      <c r="H2600" s="2" t="s">
        <v>11120</v>
      </c>
      <c r="I2600" s="2" t="s">
        <v>11121</v>
      </c>
      <c r="J2600" s="2" t="s">
        <v>807</v>
      </c>
      <c r="K2600" s="2" t="s">
        <v>5141</v>
      </c>
      <c r="L2600" s="3">
        <v>41.08</v>
      </c>
      <c r="M2600" s="3">
        <v>43.13</v>
      </c>
      <c r="N2600" s="3">
        <v>89.99</v>
      </c>
      <c r="O2600" s="2" t="s">
        <v>243</v>
      </c>
      <c r="P2600" s="2" t="s">
        <v>341</v>
      </c>
      <c r="Q2600" s="2" t="s">
        <v>237</v>
      </c>
      <c r="R2600" s="2" t="s">
        <v>231</v>
      </c>
      <c r="S2600" s="2" t="s">
        <v>231</v>
      </c>
      <c r="T2600" s="2" t="s">
        <v>231</v>
      </c>
      <c r="U2600" s="2" t="s">
        <v>327</v>
      </c>
      <c r="V2600" s="2" t="s">
        <v>662</v>
      </c>
      <c r="W2600" s="2" t="s">
        <v>808</v>
      </c>
      <c r="X2600" s="2" t="s">
        <v>231</v>
      </c>
      <c r="Y2600" s="2" t="s">
        <v>1182</v>
      </c>
      <c r="Z2600" s="4">
        <v>151</v>
      </c>
      <c r="AA2600" s="4">
        <f>=ROUNDDOWN(188.75,0)</f>
      </c>
      <c r="AB2600" s="5">
        <v>0.8</v>
      </c>
      <c r="AC2600" s="2" t="s">
        <v>231</v>
      </c>
      <c r="AD2600" s="4"/>
      <c r="AE2600" s="4"/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231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 t="s">
        <v>231</v>
      </c>
      <c r="BD2600" s="8" t="s">
        <v>231</v>
      </c>
      <c r="BE2600" s="4" t="s">
        <v>231</v>
      </c>
      <c r="BF2600" s="8" t="s">
        <v>231</v>
      </c>
      <c r="BG2600" s="7" t="s">
        <v>231</v>
      </c>
      <c r="BH2600" s="7" t="s">
        <v>231</v>
      </c>
      <c r="BI2600" s="7"/>
      <c r="BJ2600" s="4">
        <v>5</v>
      </c>
      <c r="BK2600" s="8">
        <v>219.72</v>
      </c>
      <c r="BL2600" s="2" t="s">
        <v>2769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11122</v>
      </c>
      <c r="BV2600" s="2" t="s">
        <v>231</v>
      </c>
      <c r="BW2600" s="2" t="s">
        <v>231</v>
      </c>
      <c r="BX2600" s="2" t="s">
        <v>231</v>
      </c>
      <c r="BY2600" s="2" t="s">
        <v>277</v>
      </c>
      <c r="BZ2600" s="2" t="s">
        <v>243</v>
      </c>
      <c r="CA2600" s="2" t="s">
        <v>5440</v>
      </c>
      <c r="CB2600" s="2" t="s">
        <v>1798</v>
      </c>
      <c r="CC2600" s="2" t="s">
        <v>244</v>
      </c>
      <c r="CD2600" s="2" t="s">
        <v>231</v>
      </c>
      <c r="CE2600" s="4"/>
      <c r="CF2600" s="4">
        <v>151</v>
      </c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/>
      <c r="DM2600" s="4"/>
      <c r="DN2600" s="4"/>
      <c r="DO2600" s="4"/>
      <c r="DP2600" s="4"/>
      <c r="DQ2600" s="4"/>
      <c r="DR2600" s="4"/>
      <c r="DS2600" s="4"/>
      <c r="DT2600" s="4"/>
      <c r="DU2600" s="4"/>
      <c r="DV2600" s="4"/>
      <c r="DW2600" s="4"/>
      <c r="DX2600" s="4"/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  <c r="EM2600" s="4"/>
      <c r="EN2600" s="4"/>
      <c r="EO2600" s="4"/>
      <c r="EP2600" s="4"/>
      <c r="EQ2600" s="4"/>
      <c r="ER2600" s="4"/>
      <c r="ES2600" s="4"/>
      <c r="ET2600" s="4"/>
      <c r="EU2600" s="4"/>
      <c r="EV2600" s="4"/>
      <c r="EW2600" s="4"/>
      <c r="EX2600" s="4"/>
      <c r="EY2600" s="4"/>
      <c r="EZ2600" s="4"/>
      <c r="FA2600" s="4"/>
      <c r="FB2600" s="4"/>
      <c r="FC2600" s="4"/>
      <c r="FD2600" s="4"/>
      <c r="FE2600" s="4"/>
      <c r="FF2600" s="4"/>
      <c r="FG2600" s="4"/>
      <c r="FH2600" s="4"/>
      <c r="FI2600" s="4"/>
      <c r="FJ2600" s="4"/>
      <c r="FK2600" s="4"/>
      <c r="FL2600" s="4"/>
      <c r="FM2600" s="4"/>
      <c r="FN2600" s="4"/>
      <c r="FO2600" s="4"/>
      <c r="FP2600" s="4"/>
      <c r="FQ2600" s="4"/>
      <c r="FR2600" s="4"/>
      <c r="FS2600" s="4"/>
      <c r="FT2600" s="4"/>
      <c r="FU2600" s="4"/>
      <c r="FV2600" s="4"/>
      <c r="FW2600" s="4"/>
      <c r="FX2600" s="4"/>
      <c r="FY2600" s="4"/>
      <c r="FZ2600" s="4"/>
      <c r="GA2600" s="4"/>
      <c r="GB2600" s="4"/>
      <c r="GC2600" s="4"/>
      <c r="GD2600" s="4"/>
      <c r="GE2600" s="4"/>
      <c r="GF2600" s="4"/>
      <c r="GG2600" s="4"/>
      <c r="GH2600" s="4"/>
      <c r="GI2600" s="4"/>
      <c r="GJ2600" s="4"/>
      <c r="GK2600" s="4"/>
      <c r="GL2600" s="4"/>
      <c r="GM2600" s="4"/>
      <c r="GN2600" s="4"/>
      <c r="GO2600" s="4"/>
      <c r="GP2600" s="4"/>
      <c r="GQ2600" s="4"/>
      <c r="GR2600" s="4"/>
      <c r="GS2600" s="4"/>
      <c r="GT2600" s="4"/>
      <c r="GU2600" s="4"/>
      <c r="GV2600" s="4"/>
      <c r="GW2600" s="4"/>
      <c r="GX2600" s="4"/>
      <c r="GY2600" s="4"/>
      <c r="GZ2600" s="4"/>
      <c r="HA2600" s="4"/>
      <c r="HB2600" s="4"/>
      <c r="HC2600" s="4"/>
      <c r="HD2600" s="4"/>
      <c r="HE2600" s="4"/>
      <c r="HF2600" s="4"/>
      <c r="HG2600" s="4"/>
      <c r="HH2600" s="4"/>
      <c r="HI2600" s="4"/>
      <c r="HJ2600" s="4"/>
      <c r="HK2600" s="4"/>
      <c r="HL2600" s="4"/>
    </row>
    <row r="2601">
      <c r="A2601" s="2" t="s">
        <v>11123</v>
      </c>
      <c r="B2601" s="2" t="s">
        <v>1186</v>
      </c>
      <c r="C2601" s="2" t="s">
        <v>357</v>
      </c>
      <c r="D2601" s="2" t="s">
        <v>1462</v>
      </c>
      <c r="E2601" s="2" t="s">
        <v>1187</v>
      </c>
      <c r="F2601" s="2" t="s">
        <v>11124</v>
      </c>
      <c r="G2601" s="2" t="s">
        <v>11125</v>
      </c>
      <c r="H2601" s="2" t="s">
        <v>11126</v>
      </c>
      <c r="I2601" s="2" t="s">
        <v>11127</v>
      </c>
      <c r="J2601" s="2" t="s">
        <v>318</v>
      </c>
      <c r="K2601" s="2" t="s">
        <v>452</v>
      </c>
      <c r="L2601" s="3">
        <v>46.28</v>
      </c>
      <c r="M2601" s="3">
        <v>48.59</v>
      </c>
      <c r="N2601" s="3">
        <v>89</v>
      </c>
      <c r="O2601" s="2" t="s">
        <v>243</v>
      </c>
      <c r="P2601" s="2" t="s">
        <v>270</v>
      </c>
      <c r="Q2601" s="2" t="s">
        <v>237</v>
      </c>
      <c r="R2601" s="2" t="s">
        <v>231</v>
      </c>
      <c r="S2601" s="2" t="s">
        <v>11128</v>
      </c>
      <c r="T2601" s="2" t="s">
        <v>231</v>
      </c>
      <c r="U2601" s="2" t="s">
        <v>765</v>
      </c>
      <c r="V2601" s="2" t="s">
        <v>391</v>
      </c>
      <c r="W2601" s="2" t="s">
        <v>273</v>
      </c>
      <c r="X2601" s="2" t="s">
        <v>691</v>
      </c>
      <c r="Y2601" s="2" t="s">
        <v>274</v>
      </c>
      <c r="Z2601" s="4">
        <v>81</v>
      </c>
      <c r="AA2601" s="4">
        <f>=ROUNDDOWN(27,0)</f>
      </c>
      <c r="AB2601" s="5">
        <v>3</v>
      </c>
      <c r="AC2601" s="2" t="s">
        <v>4212</v>
      </c>
      <c r="AD2601" s="4">
        <v>30</v>
      </c>
      <c r="AE2601" s="4">
        <v>30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231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 t="s">
        <v>231</v>
      </c>
      <c r="BD2601" s="8" t="s">
        <v>231</v>
      </c>
      <c r="BE2601" s="4" t="s">
        <v>231</v>
      </c>
      <c r="BF2601" s="8" t="s">
        <v>231</v>
      </c>
      <c r="BG2601" s="7" t="s">
        <v>231</v>
      </c>
      <c r="BH2601" s="7" t="s">
        <v>231</v>
      </c>
      <c r="BI2601" s="7"/>
      <c r="BJ2601" s="4">
        <v>6</v>
      </c>
      <c r="BK2601" s="8">
        <v>312.24</v>
      </c>
      <c r="BL2601" s="2" t="s">
        <v>11129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11130</v>
      </c>
      <c r="BV2601" s="2" t="s">
        <v>231</v>
      </c>
      <c r="BW2601" s="2" t="s">
        <v>231</v>
      </c>
      <c r="BX2601" s="2" t="s">
        <v>231</v>
      </c>
      <c r="BY2601" s="2" t="s">
        <v>277</v>
      </c>
      <c r="BZ2601" s="2" t="s">
        <v>243</v>
      </c>
      <c r="CA2601" s="2" t="s">
        <v>284</v>
      </c>
      <c r="CB2601" s="2" t="s">
        <v>11131</v>
      </c>
      <c r="CC2601" s="2" t="s">
        <v>244</v>
      </c>
      <c r="CD2601" s="2" t="s">
        <v>231</v>
      </c>
      <c r="CE2601" s="4">
        <v>81</v>
      </c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/>
      <c r="DM2601" s="4"/>
      <c r="DN2601" s="4"/>
      <c r="DO2601" s="4"/>
      <c r="DP2601" s="4"/>
      <c r="DQ2601" s="4"/>
      <c r="DR2601" s="4"/>
      <c r="DS2601" s="4"/>
      <c r="DT2601" s="4"/>
      <c r="DU2601" s="4"/>
      <c r="DV2601" s="4"/>
      <c r="DW2601" s="4">
        <v>30</v>
      </c>
      <c r="DX2601" s="4"/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  <c r="EM2601" s="4"/>
      <c r="EN2601" s="4"/>
      <c r="EO2601" s="4"/>
      <c r="EP2601" s="4"/>
      <c r="EQ2601" s="4"/>
      <c r="ER2601" s="4"/>
      <c r="ES2601" s="4"/>
      <c r="ET2601" s="4"/>
      <c r="EU2601" s="4"/>
      <c r="EV2601" s="4"/>
      <c r="EW2601" s="4"/>
      <c r="EX2601" s="4"/>
      <c r="EY2601" s="4"/>
      <c r="EZ2601" s="4"/>
      <c r="FA2601" s="4"/>
      <c r="FB2601" s="4"/>
      <c r="FC2601" s="4"/>
      <c r="FD2601" s="4"/>
      <c r="FE2601" s="4"/>
      <c r="FF2601" s="4"/>
      <c r="FG2601" s="4"/>
      <c r="FH2601" s="4"/>
      <c r="FI2601" s="4"/>
      <c r="FJ2601" s="4"/>
      <c r="FK2601" s="4"/>
      <c r="FL2601" s="4"/>
      <c r="FM2601" s="4"/>
      <c r="FN2601" s="4"/>
      <c r="FO2601" s="4"/>
      <c r="FP2601" s="4"/>
      <c r="FQ2601" s="4"/>
      <c r="FR2601" s="4"/>
      <c r="FS2601" s="4"/>
      <c r="FT2601" s="4"/>
      <c r="FU2601" s="4"/>
      <c r="FV2601" s="4"/>
      <c r="FW2601" s="4"/>
      <c r="FX2601" s="4"/>
      <c r="FY2601" s="4"/>
      <c r="FZ2601" s="4"/>
      <c r="GA2601" s="4"/>
      <c r="GB2601" s="4"/>
      <c r="GC2601" s="4"/>
      <c r="GD2601" s="4"/>
      <c r="GE2601" s="4"/>
      <c r="GF2601" s="4"/>
      <c r="GG2601" s="4"/>
      <c r="GH2601" s="4"/>
      <c r="GI2601" s="4"/>
      <c r="GJ2601" s="4"/>
      <c r="GK2601" s="4"/>
      <c r="GL2601" s="4"/>
      <c r="GM2601" s="4"/>
      <c r="GN2601" s="4"/>
      <c r="GO2601" s="4"/>
      <c r="GP2601" s="4"/>
      <c r="GQ2601" s="4"/>
      <c r="GR2601" s="4"/>
      <c r="GS2601" s="4"/>
      <c r="GT2601" s="4"/>
      <c r="GU2601" s="4"/>
      <c r="GV2601" s="4"/>
      <c r="GW2601" s="4"/>
      <c r="GX2601" s="4"/>
      <c r="GY2601" s="4"/>
      <c r="GZ2601" s="4"/>
      <c r="HA2601" s="4"/>
      <c r="HB2601" s="4"/>
      <c r="HC2601" s="4"/>
      <c r="HD2601" s="4"/>
      <c r="HE2601" s="4"/>
      <c r="HF2601" s="4"/>
      <c r="HG2601" s="4"/>
      <c r="HH2601" s="4"/>
      <c r="HI2601" s="4"/>
      <c r="HJ2601" s="4"/>
      <c r="HK2601" s="4"/>
      <c r="HL2601" s="4"/>
    </row>
    <row r="2602">
      <c r="A2602" s="2" t="s">
        <v>11132</v>
      </c>
      <c r="B2602" s="2" t="s">
        <v>940</v>
      </c>
      <c r="C2602" s="2" t="s">
        <v>357</v>
      </c>
      <c r="D2602" s="2" t="s">
        <v>1533</v>
      </c>
      <c r="E2602" s="2" t="s">
        <v>1534</v>
      </c>
      <c r="F2602" s="2" t="s">
        <v>11124</v>
      </c>
      <c r="G2602" s="2" t="s">
        <v>11125</v>
      </c>
      <c r="H2602" s="2" t="s">
        <v>11126</v>
      </c>
      <c r="I2602" s="2" t="s">
        <v>11133</v>
      </c>
      <c r="J2602" s="2" t="s">
        <v>1536</v>
      </c>
      <c r="K2602" s="2" t="s">
        <v>11134</v>
      </c>
      <c r="L2602" s="3">
        <v>13.2</v>
      </c>
      <c r="M2602" s="3">
        <v>13.86</v>
      </c>
      <c r="N2602" s="3">
        <v>29.99</v>
      </c>
      <c r="O2602" s="2" t="s">
        <v>243</v>
      </c>
      <c r="P2602" s="2" t="s">
        <v>236</v>
      </c>
      <c r="Q2602" s="2" t="s">
        <v>237</v>
      </c>
      <c r="R2602" s="2" t="s">
        <v>231</v>
      </c>
      <c r="S2602" s="2" t="s">
        <v>11128</v>
      </c>
      <c r="T2602" s="2" t="s">
        <v>231</v>
      </c>
      <c r="U2602" s="2" t="s">
        <v>327</v>
      </c>
      <c r="V2602" s="2" t="s">
        <v>1685</v>
      </c>
      <c r="W2602" s="2" t="s">
        <v>273</v>
      </c>
      <c r="X2602" s="2" t="s">
        <v>691</v>
      </c>
      <c r="Y2602" s="2" t="s">
        <v>1598</v>
      </c>
      <c r="Z2602" s="4"/>
      <c r="AA2602" s="4">
        <f>=ROUNDDOWN({0},0)</f>
      </c>
      <c r="AB2602" s="5">
        <v>47</v>
      </c>
      <c r="AC2602" s="2" t="s">
        <v>4212</v>
      </c>
      <c r="AD2602" s="4">
        <v>600</v>
      </c>
      <c r="AE2602" s="4">
        <v>1340</v>
      </c>
      <c r="AF2602" s="6">
        <v>65</v>
      </c>
      <c r="AG2602" s="6"/>
      <c r="AH2602" s="7">
        <v>0</v>
      </c>
      <c r="AI2602" s="4"/>
      <c r="AJ2602" s="4">
        <f>=ROUNDDOWN({0},0)</f>
      </c>
      <c r="AK2602" s="5"/>
      <c r="AL2602" s="2" t="s">
        <v>231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231</v>
      </c>
      <c r="BD2602" s="8" t="s">
        <v>231</v>
      </c>
      <c r="BE2602" s="4" t="s">
        <v>231</v>
      </c>
      <c r="BF2602" s="8" t="s">
        <v>231</v>
      </c>
      <c r="BG2602" s="7" t="s">
        <v>231</v>
      </c>
      <c r="BH2602" s="7" t="s">
        <v>231</v>
      </c>
      <c r="BI2602" s="7"/>
      <c r="BJ2602" s="4"/>
      <c r="BK2602" s="8"/>
      <c r="BL2602" s="2" t="s">
        <v>231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11135</v>
      </c>
      <c r="BV2602" s="2" t="s">
        <v>231</v>
      </c>
      <c r="BW2602" s="2" t="s">
        <v>231</v>
      </c>
      <c r="BX2602" s="2" t="s">
        <v>241</v>
      </c>
      <c r="BY2602" s="2" t="s">
        <v>277</v>
      </c>
      <c r="BZ2602" s="2" t="s">
        <v>243</v>
      </c>
      <c r="CA2602" s="2" t="s">
        <v>11136</v>
      </c>
      <c r="CB2602" s="2" t="s">
        <v>2340</v>
      </c>
      <c r="CC2602" s="2" t="s">
        <v>244</v>
      </c>
      <c r="CD2602" s="2" t="s">
        <v>231</v>
      </c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/>
      <c r="DM2602" s="4"/>
      <c r="DN2602" s="4"/>
      <c r="DO2602" s="4"/>
      <c r="DP2602" s="4"/>
      <c r="DQ2602" s="4"/>
      <c r="DR2602" s="4"/>
      <c r="DS2602" s="4"/>
      <c r="DT2602" s="4"/>
      <c r="DU2602" s="4"/>
      <c r="DV2602" s="4"/>
      <c r="DW2602" s="4">
        <v>600</v>
      </c>
      <c r="DX2602" s="4"/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  <c r="EM2602" s="4"/>
      <c r="EN2602" s="4"/>
      <c r="EO2602" s="4"/>
      <c r="EP2602" s="4"/>
      <c r="EQ2602" s="4"/>
      <c r="ER2602" s="4"/>
      <c r="ES2602" s="4"/>
      <c r="ET2602" s="4"/>
      <c r="EU2602" s="4"/>
      <c r="EV2602" s="4"/>
      <c r="EW2602" s="4"/>
      <c r="EX2602" s="4"/>
      <c r="EY2602" s="4"/>
      <c r="EZ2602" s="4"/>
      <c r="FA2602" s="4"/>
      <c r="FB2602" s="4"/>
      <c r="FC2602" s="4"/>
      <c r="FD2602" s="4"/>
      <c r="FE2602" s="4">
        <v>400</v>
      </c>
      <c r="FF2602" s="4"/>
      <c r="FG2602" s="4"/>
      <c r="FH2602" s="4"/>
      <c r="FI2602" s="4"/>
      <c r="FJ2602" s="4"/>
      <c r="FK2602" s="4"/>
      <c r="FL2602" s="4"/>
      <c r="FM2602" s="4"/>
      <c r="FN2602" s="4"/>
      <c r="FO2602" s="4"/>
      <c r="FP2602" s="4"/>
      <c r="FQ2602" s="4"/>
      <c r="FR2602" s="4"/>
      <c r="FS2602" s="4"/>
      <c r="FT2602" s="4"/>
      <c r="FU2602" s="4"/>
      <c r="FV2602" s="4"/>
      <c r="FW2602" s="4"/>
      <c r="FX2602" s="4"/>
      <c r="FY2602" s="4"/>
      <c r="FZ2602" s="4"/>
      <c r="GA2602" s="4"/>
      <c r="GB2602" s="4"/>
      <c r="GC2602" s="4"/>
      <c r="GD2602" s="4"/>
      <c r="GE2602" s="4"/>
      <c r="GF2602" s="4"/>
      <c r="GG2602" s="4"/>
      <c r="GH2602" s="4"/>
      <c r="GI2602" s="4"/>
      <c r="GJ2602" s="4"/>
      <c r="GK2602" s="4">
        <v>340</v>
      </c>
      <c r="GL2602" s="4"/>
      <c r="GM2602" s="4"/>
      <c r="GN2602" s="4"/>
      <c r="GO2602" s="4"/>
      <c r="GP2602" s="4"/>
      <c r="GQ2602" s="4"/>
      <c r="GR2602" s="4"/>
      <c r="GS2602" s="4"/>
      <c r="GT2602" s="4"/>
      <c r="GU2602" s="4"/>
      <c r="GV2602" s="4"/>
      <c r="GW2602" s="4"/>
      <c r="GX2602" s="4"/>
      <c r="GY2602" s="4"/>
      <c r="GZ2602" s="4"/>
      <c r="HA2602" s="4"/>
      <c r="HB2602" s="4"/>
      <c r="HC2602" s="4"/>
      <c r="HD2602" s="4"/>
      <c r="HE2602" s="4"/>
      <c r="HF2602" s="4"/>
      <c r="HG2602" s="4"/>
      <c r="HH2602" s="4"/>
      <c r="HI2602" s="4"/>
      <c r="HJ2602" s="4"/>
      <c r="HK2602" s="4"/>
      <c r="HL2602" s="4"/>
    </row>
    <row r="2603">
      <c r="A2603" s="2" t="s">
        <v>11137</v>
      </c>
      <c r="B2603" s="2" t="s">
        <v>226</v>
      </c>
      <c r="C2603" s="2" t="s">
        <v>913</v>
      </c>
      <c r="D2603" s="2" t="s">
        <v>1139</v>
      </c>
      <c r="E2603" s="2" t="s">
        <v>1981</v>
      </c>
      <c r="F2603" s="2" t="s">
        <v>11138</v>
      </c>
      <c r="G2603" s="2" t="s">
        <v>11138</v>
      </c>
      <c r="H2603" s="2" t="s">
        <v>11138</v>
      </c>
      <c r="I2603" s="2" t="s">
        <v>11139</v>
      </c>
      <c r="J2603" s="2" t="s">
        <v>1145</v>
      </c>
      <c r="K2603" s="2" t="s">
        <v>1932</v>
      </c>
      <c r="L2603" s="3">
        <v>22.28</v>
      </c>
      <c r="M2603" s="3">
        <v>23.39</v>
      </c>
      <c r="N2603" s="3">
        <v>59.99</v>
      </c>
      <c r="O2603" s="2" t="s">
        <v>243</v>
      </c>
      <c r="P2603" s="2" t="s">
        <v>270</v>
      </c>
      <c r="Q2603" s="2" t="s">
        <v>237</v>
      </c>
      <c r="R2603" s="2" t="s">
        <v>231</v>
      </c>
      <c r="S2603" s="2" t="s">
        <v>231</v>
      </c>
      <c r="T2603" s="2" t="s">
        <v>895</v>
      </c>
      <c r="U2603" s="2" t="s">
        <v>327</v>
      </c>
      <c r="V2603" s="2" t="s">
        <v>239</v>
      </c>
      <c r="W2603" s="2" t="s">
        <v>299</v>
      </c>
      <c r="X2603" s="2" t="s">
        <v>231</v>
      </c>
      <c r="Y2603" s="2" t="s">
        <v>1324</v>
      </c>
      <c r="Z2603" s="4">
        <v>141</v>
      </c>
      <c r="AA2603" s="4">
        <f>=ROUNDDOWN(70.5,0)</f>
      </c>
      <c r="AB2603" s="5">
        <v>2</v>
      </c>
      <c r="AC2603" s="2" t="s">
        <v>231</v>
      </c>
      <c r="AD2603" s="4"/>
      <c r="AE2603" s="4"/>
      <c r="AF2603" s="6">
        <v>65</v>
      </c>
      <c r="AG2603" s="6"/>
      <c r="AH2603" s="7">
        <v>0.9355</v>
      </c>
      <c r="AI2603" s="4"/>
      <c r="AJ2603" s="4">
        <f>=ROUNDDOWN({0},0)</f>
      </c>
      <c r="AK2603" s="5"/>
      <c r="AL2603" s="2" t="s">
        <v>231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231</v>
      </c>
      <c r="BD2603" s="8" t="s">
        <v>231</v>
      </c>
      <c r="BE2603" s="4" t="s">
        <v>231</v>
      </c>
      <c r="BF2603" s="8" t="s">
        <v>231</v>
      </c>
      <c r="BG2603" s="7" t="s">
        <v>231</v>
      </c>
      <c r="BH2603" s="7" t="s">
        <v>231</v>
      </c>
      <c r="BI2603" s="7"/>
      <c r="BJ2603" s="4">
        <v>8</v>
      </c>
      <c r="BK2603" s="8">
        <v>306.05</v>
      </c>
      <c r="BL2603" s="2" t="s">
        <v>928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241</v>
      </c>
      <c r="BV2603" s="2" t="s">
        <v>231</v>
      </c>
      <c r="BW2603" s="2" t="s">
        <v>231</v>
      </c>
      <c r="BX2603" s="2" t="s">
        <v>241</v>
      </c>
      <c r="BY2603" s="2" t="s">
        <v>242</v>
      </c>
      <c r="BZ2603" s="2" t="s">
        <v>243</v>
      </c>
      <c r="CA2603" s="2" t="s">
        <v>231</v>
      </c>
      <c r="CB2603" s="2" t="s">
        <v>231</v>
      </c>
      <c r="CC2603" s="2" t="s">
        <v>244</v>
      </c>
      <c r="CD2603" s="2" t="s">
        <v>231</v>
      </c>
      <c r="CE2603" s="4">
        <v>141</v>
      </c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  <c r="DP2603" s="4"/>
      <c r="DQ2603" s="4"/>
      <c r="DR2603" s="4"/>
      <c r="DS2603" s="4"/>
      <c r="DT2603" s="4"/>
      <c r="DU2603" s="4"/>
      <c r="DV2603" s="4"/>
      <c r="DW2603" s="4"/>
      <c r="DX2603" s="4"/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  <c r="EM2603" s="4"/>
      <c r="EN2603" s="4"/>
      <c r="EO2603" s="4"/>
      <c r="EP2603" s="4"/>
      <c r="EQ2603" s="4"/>
      <c r="ER2603" s="4"/>
      <c r="ES2603" s="4"/>
      <c r="ET2603" s="4"/>
      <c r="EU2603" s="4"/>
      <c r="EV2603" s="4"/>
      <c r="EW2603" s="4"/>
      <c r="EX2603" s="4"/>
      <c r="EY2603" s="4"/>
      <c r="EZ2603" s="4"/>
      <c r="FA2603" s="4"/>
      <c r="FB2603" s="4"/>
      <c r="FC2603" s="4"/>
      <c r="FD2603" s="4"/>
      <c r="FE2603" s="4"/>
      <c r="FF2603" s="4"/>
      <c r="FG2603" s="4"/>
      <c r="FH2603" s="4"/>
      <c r="FI2603" s="4"/>
      <c r="FJ2603" s="4"/>
      <c r="FK2603" s="4"/>
      <c r="FL2603" s="4"/>
      <c r="FM2603" s="4"/>
      <c r="FN2603" s="4"/>
      <c r="FO2603" s="4"/>
      <c r="FP2603" s="4"/>
      <c r="FQ2603" s="4"/>
      <c r="FR2603" s="4"/>
      <c r="FS2603" s="4"/>
      <c r="FT2603" s="4"/>
      <c r="FU2603" s="4"/>
      <c r="FV2603" s="4"/>
      <c r="FW2603" s="4"/>
      <c r="FX2603" s="4"/>
      <c r="FY2603" s="4"/>
      <c r="FZ2603" s="4"/>
      <c r="GA2603" s="4"/>
      <c r="GB2603" s="4"/>
      <c r="GC2603" s="4"/>
      <c r="GD2603" s="4"/>
      <c r="GE2603" s="4"/>
      <c r="GF2603" s="4"/>
      <c r="GG2603" s="4"/>
      <c r="GH2603" s="4"/>
      <c r="GI2603" s="4"/>
      <c r="GJ2603" s="4"/>
      <c r="GK2603" s="4"/>
      <c r="GL2603" s="4"/>
      <c r="GM2603" s="4"/>
      <c r="GN2603" s="4"/>
      <c r="GO2603" s="4"/>
      <c r="GP2603" s="4"/>
      <c r="GQ2603" s="4"/>
      <c r="GR2603" s="4"/>
      <c r="GS2603" s="4"/>
      <c r="GT2603" s="4"/>
      <c r="GU2603" s="4"/>
      <c r="GV2603" s="4"/>
      <c r="GW2603" s="4"/>
      <c r="GX2603" s="4"/>
      <c r="GY2603" s="4"/>
      <c r="GZ2603" s="4"/>
      <c r="HA2603" s="4"/>
      <c r="HB2603" s="4"/>
      <c r="HC2603" s="4"/>
      <c r="HD2603" s="4"/>
      <c r="HE2603" s="4"/>
      <c r="HF2603" s="4"/>
      <c r="HG2603" s="4"/>
      <c r="HH2603" s="4"/>
      <c r="HI2603" s="4"/>
      <c r="HJ2603" s="4"/>
      <c r="HK2603" s="4"/>
      <c r="HL2603" s="4"/>
    </row>
    <row r="2604">
      <c r="A2604" s="2" t="s">
        <v>11140</v>
      </c>
      <c r="B2604" s="2" t="s">
        <v>226</v>
      </c>
      <c r="C2604" s="2" t="s">
        <v>913</v>
      </c>
      <c r="D2604" s="2" t="s">
        <v>1139</v>
      </c>
      <c r="E2604" s="2" t="s">
        <v>1981</v>
      </c>
      <c r="F2604" s="2" t="s">
        <v>11138</v>
      </c>
      <c r="G2604" s="2" t="s">
        <v>11138</v>
      </c>
      <c r="H2604" s="2" t="s">
        <v>11138</v>
      </c>
      <c r="I2604" s="2" t="s">
        <v>11139</v>
      </c>
      <c r="J2604" s="2" t="s">
        <v>1145</v>
      </c>
      <c r="K2604" s="2" t="s">
        <v>11141</v>
      </c>
      <c r="L2604" s="3">
        <v>22.28</v>
      </c>
      <c r="M2604" s="3">
        <v>23.39</v>
      </c>
      <c r="N2604" s="3">
        <v>59.99</v>
      </c>
      <c r="O2604" s="2" t="s">
        <v>243</v>
      </c>
      <c r="P2604" s="2" t="s">
        <v>270</v>
      </c>
      <c r="Q2604" s="2" t="s">
        <v>237</v>
      </c>
      <c r="R2604" s="2" t="s">
        <v>231</v>
      </c>
      <c r="S2604" s="2" t="s">
        <v>231</v>
      </c>
      <c r="T2604" s="2" t="s">
        <v>895</v>
      </c>
      <c r="U2604" s="2" t="s">
        <v>327</v>
      </c>
      <c r="V2604" s="2" t="s">
        <v>239</v>
      </c>
      <c r="W2604" s="2" t="s">
        <v>299</v>
      </c>
      <c r="X2604" s="2" t="s">
        <v>231</v>
      </c>
      <c r="Y2604" s="2" t="s">
        <v>1324</v>
      </c>
      <c r="Z2604" s="4">
        <v>153</v>
      </c>
      <c r="AA2604" s="4">
        <f>=ROUNDDOWN(153,0)</f>
      </c>
      <c r="AB2604" s="5">
        <v>1</v>
      </c>
      <c r="AC2604" s="2" t="s">
        <v>231</v>
      </c>
      <c r="AD2604" s="4"/>
      <c r="AE2604" s="4"/>
      <c r="AF2604" s="6">
        <v>65</v>
      </c>
      <c r="AG2604" s="6"/>
      <c r="AH2604" s="7">
        <v>0.0968</v>
      </c>
      <c r="AI2604" s="4"/>
      <c r="AJ2604" s="4">
        <f>=ROUNDDOWN({0},0)</f>
      </c>
      <c r="AK2604" s="5"/>
      <c r="AL2604" s="2" t="s">
        <v>231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231</v>
      </c>
      <c r="AW2604" s="8" t="s">
        <v>231</v>
      </c>
      <c r="AX2604" s="4" t="s">
        <v>231</v>
      </c>
      <c r="AY2604" s="8" t="s">
        <v>231</v>
      </c>
      <c r="AZ2604" s="7" t="s">
        <v>231</v>
      </c>
      <c r="BA2604" s="7" t="s">
        <v>231</v>
      </c>
      <c r="BB2604" s="7"/>
      <c r="BC2604" s="4" t="s">
        <v>231</v>
      </c>
      <c r="BD2604" s="8" t="s">
        <v>231</v>
      </c>
      <c r="BE2604" s="4" t="s">
        <v>231</v>
      </c>
      <c r="BF2604" s="8" t="s">
        <v>231</v>
      </c>
      <c r="BG2604" s="7" t="s">
        <v>231</v>
      </c>
      <c r="BH2604" s="7" t="s">
        <v>231</v>
      </c>
      <c r="BI2604" s="7"/>
      <c r="BJ2604" s="4"/>
      <c r="BK2604" s="8"/>
      <c r="BL2604" s="2" t="s">
        <v>231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11142</v>
      </c>
      <c r="BV2604" s="2" t="s">
        <v>231</v>
      </c>
      <c r="BW2604" s="2" t="s">
        <v>231</v>
      </c>
      <c r="BX2604" s="2" t="s">
        <v>231</v>
      </c>
      <c r="BY2604" s="2" t="s">
        <v>277</v>
      </c>
      <c r="BZ2604" s="2" t="s">
        <v>243</v>
      </c>
      <c r="CA2604" s="2" t="s">
        <v>1611</v>
      </c>
      <c r="CB2604" s="2" t="s">
        <v>1579</v>
      </c>
      <c r="CC2604" s="2" t="s">
        <v>244</v>
      </c>
      <c r="CD2604" s="2" t="s">
        <v>231</v>
      </c>
      <c r="CE2604" s="4">
        <v>153</v>
      </c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  <c r="DP2604" s="4"/>
      <c r="DQ2604" s="4"/>
      <c r="DR2604" s="4"/>
      <c r="DS2604" s="4"/>
      <c r="DT2604" s="4"/>
      <c r="DU2604" s="4"/>
      <c r="DV2604" s="4"/>
      <c r="DW2604" s="4"/>
      <c r="DX2604" s="4"/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  <c r="EM2604" s="4"/>
      <c r="EN2604" s="4"/>
      <c r="EO2604" s="4"/>
      <c r="EP2604" s="4"/>
      <c r="EQ2604" s="4"/>
      <c r="ER2604" s="4"/>
      <c r="ES2604" s="4"/>
      <c r="ET2604" s="4"/>
      <c r="EU2604" s="4"/>
      <c r="EV2604" s="4"/>
      <c r="EW2604" s="4"/>
      <c r="EX2604" s="4"/>
      <c r="EY2604" s="4"/>
      <c r="EZ2604" s="4"/>
      <c r="FA2604" s="4"/>
      <c r="FB2604" s="4"/>
      <c r="FC2604" s="4"/>
      <c r="FD2604" s="4"/>
      <c r="FE2604" s="4"/>
      <c r="FF2604" s="4"/>
      <c r="FG2604" s="4"/>
      <c r="FH2604" s="4"/>
      <c r="FI2604" s="4"/>
      <c r="FJ2604" s="4"/>
      <c r="FK2604" s="4"/>
      <c r="FL2604" s="4"/>
      <c r="FM2604" s="4"/>
      <c r="FN2604" s="4"/>
      <c r="FO2604" s="4"/>
      <c r="FP2604" s="4"/>
      <c r="FQ2604" s="4"/>
      <c r="FR2604" s="4"/>
      <c r="FS2604" s="4"/>
      <c r="FT2604" s="4"/>
      <c r="FU2604" s="4"/>
      <c r="FV2604" s="4"/>
      <c r="FW2604" s="4"/>
      <c r="FX2604" s="4"/>
      <c r="FY2604" s="4"/>
      <c r="FZ2604" s="4"/>
      <c r="GA2604" s="4"/>
      <c r="GB2604" s="4"/>
      <c r="GC2604" s="4"/>
      <c r="GD2604" s="4"/>
      <c r="GE2604" s="4"/>
      <c r="GF2604" s="4"/>
      <c r="GG2604" s="4"/>
      <c r="GH2604" s="4"/>
      <c r="GI2604" s="4"/>
      <c r="GJ2604" s="4"/>
      <c r="GK2604" s="4"/>
      <c r="GL2604" s="4"/>
      <c r="GM2604" s="4"/>
      <c r="GN2604" s="4"/>
      <c r="GO2604" s="4"/>
      <c r="GP2604" s="4"/>
      <c r="GQ2604" s="4"/>
      <c r="GR2604" s="4"/>
      <c r="GS2604" s="4"/>
      <c r="GT2604" s="4"/>
      <c r="GU2604" s="4"/>
      <c r="GV2604" s="4"/>
      <c r="GW2604" s="4"/>
      <c r="GX2604" s="4"/>
      <c r="GY2604" s="4"/>
      <c r="GZ2604" s="4"/>
      <c r="HA2604" s="4"/>
      <c r="HB2604" s="4"/>
      <c r="HC2604" s="4"/>
      <c r="HD2604" s="4"/>
      <c r="HE2604" s="4"/>
      <c r="HF2604" s="4"/>
      <c r="HG2604" s="4"/>
      <c r="HH2604" s="4"/>
      <c r="HI2604" s="4"/>
      <c r="HJ2604" s="4"/>
      <c r="HK2604" s="4"/>
      <c r="HL2604" s="4"/>
    </row>
    <row r="2605">
      <c r="A2605" s="2" t="s">
        <v>11143</v>
      </c>
      <c r="B2605" s="2" t="s">
        <v>226</v>
      </c>
      <c r="C2605" s="2" t="s">
        <v>913</v>
      </c>
      <c r="D2605" s="2" t="s">
        <v>1624</v>
      </c>
      <c r="E2605" s="2" t="s">
        <v>2589</v>
      </c>
      <c r="F2605" s="2" t="s">
        <v>11138</v>
      </c>
      <c r="G2605" s="2" t="s">
        <v>11138</v>
      </c>
      <c r="H2605" s="2" t="s">
        <v>11138</v>
      </c>
      <c r="I2605" s="2" t="s">
        <v>11144</v>
      </c>
      <c r="J2605" s="2" t="s">
        <v>3125</v>
      </c>
      <c r="K2605" s="2" t="s">
        <v>11141</v>
      </c>
      <c r="L2605" s="3">
        <v>33.42</v>
      </c>
      <c r="M2605" s="3">
        <v>35.09</v>
      </c>
      <c r="N2605" s="3">
        <v>89.99</v>
      </c>
      <c r="O2605" s="2" t="s">
        <v>243</v>
      </c>
      <c r="P2605" s="2" t="s">
        <v>270</v>
      </c>
      <c r="Q2605" s="2" t="s">
        <v>237</v>
      </c>
      <c r="R2605" s="2" t="s">
        <v>231</v>
      </c>
      <c r="S2605" s="2" t="s">
        <v>231</v>
      </c>
      <c r="T2605" s="2" t="s">
        <v>895</v>
      </c>
      <c r="U2605" s="2" t="s">
        <v>327</v>
      </c>
      <c r="V2605" s="2" t="s">
        <v>239</v>
      </c>
      <c r="W2605" s="2" t="s">
        <v>299</v>
      </c>
      <c r="X2605" s="2" t="s">
        <v>231</v>
      </c>
      <c r="Y2605" s="2" t="s">
        <v>1324</v>
      </c>
      <c r="Z2605" s="4">
        <v>164</v>
      </c>
      <c r="AA2605" s="4">
        <f>=ROUNDDOWN(41,0)</f>
      </c>
      <c r="AB2605" s="5">
        <v>4</v>
      </c>
      <c r="AC2605" s="2" t="s">
        <v>231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231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231</v>
      </c>
      <c r="AW2605" s="8" t="s">
        <v>231</v>
      </c>
      <c r="AX2605" s="4" t="s">
        <v>231</v>
      </c>
      <c r="AY2605" s="8" t="s">
        <v>231</v>
      </c>
      <c r="AZ2605" s="7" t="s">
        <v>231</v>
      </c>
      <c r="BA2605" s="7" t="s">
        <v>231</v>
      </c>
      <c r="BB2605" s="7"/>
      <c r="BC2605" s="4" t="s">
        <v>231</v>
      </c>
      <c r="BD2605" s="8" t="s">
        <v>231</v>
      </c>
      <c r="BE2605" s="4" t="s">
        <v>231</v>
      </c>
      <c r="BF2605" s="8" t="s">
        <v>231</v>
      </c>
      <c r="BG2605" s="7" t="s">
        <v>231</v>
      </c>
      <c r="BH2605" s="7" t="s">
        <v>231</v>
      </c>
      <c r="BI2605" s="7"/>
      <c r="BJ2605" s="4">
        <v>8</v>
      </c>
      <c r="BK2605" s="8">
        <v>302.15</v>
      </c>
      <c r="BL2605" s="2" t="s">
        <v>11145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11146</v>
      </c>
      <c r="BV2605" s="2" t="s">
        <v>231</v>
      </c>
      <c r="BW2605" s="2" t="s">
        <v>231</v>
      </c>
      <c r="BX2605" s="2" t="s">
        <v>231</v>
      </c>
      <c r="BY2605" s="2" t="s">
        <v>277</v>
      </c>
      <c r="BZ2605" s="2" t="s">
        <v>243</v>
      </c>
      <c r="CA2605" s="2" t="s">
        <v>1611</v>
      </c>
      <c r="CB2605" s="2" t="s">
        <v>2376</v>
      </c>
      <c r="CC2605" s="2" t="s">
        <v>244</v>
      </c>
      <c r="CD2605" s="2" t="s">
        <v>231</v>
      </c>
      <c r="CE2605" s="4">
        <v>164</v>
      </c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  <c r="DP2605" s="4"/>
      <c r="DQ2605" s="4"/>
      <c r="DR2605" s="4"/>
      <c r="DS2605" s="4"/>
      <c r="DT2605" s="4"/>
      <c r="DU2605" s="4"/>
      <c r="DV2605" s="4"/>
      <c r="DW2605" s="4"/>
      <c r="DX2605" s="4"/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  <c r="EM2605" s="4"/>
      <c r="EN2605" s="4"/>
      <c r="EO2605" s="4"/>
      <c r="EP2605" s="4"/>
      <c r="EQ2605" s="4"/>
      <c r="ER2605" s="4"/>
      <c r="ES2605" s="4"/>
      <c r="ET2605" s="4"/>
      <c r="EU2605" s="4"/>
      <c r="EV2605" s="4"/>
      <c r="EW2605" s="4"/>
      <c r="EX2605" s="4"/>
      <c r="EY2605" s="4"/>
      <c r="EZ2605" s="4"/>
      <c r="FA2605" s="4"/>
      <c r="FB2605" s="4"/>
      <c r="FC2605" s="4"/>
      <c r="FD2605" s="4"/>
      <c r="FE2605" s="4"/>
      <c r="FF2605" s="4"/>
      <c r="FG2605" s="4"/>
      <c r="FH2605" s="4"/>
      <c r="FI2605" s="4"/>
      <c r="FJ2605" s="4"/>
      <c r="FK2605" s="4"/>
      <c r="FL2605" s="4"/>
      <c r="FM2605" s="4"/>
      <c r="FN2605" s="4"/>
      <c r="FO2605" s="4"/>
      <c r="FP2605" s="4"/>
      <c r="FQ2605" s="4"/>
      <c r="FR2605" s="4"/>
      <c r="FS2605" s="4"/>
      <c r="FT2605" s="4"/>
      <c r="FU2605" s="4"/>
      <c r="FV2605" s="4"/>
      <c r="FW2605" s="4"/>
      <c r="FX2605" s="4"/>
      <c r="FY2605" s="4"/>
      <c r="FZ2605" s="4"/>
      <c r="GA2605" s="4"/>
      <c r="GB2605" s="4"/>
      <c r="GC2605" s="4"/>
      <c r="GD2605" s="4"/>
      <c r="GE2605" s="4"/>
      <c r="GF2605" s="4"/>
      <c r="GG2605" s="4"/>
      <c r="GH2605" s="4"/>
      <c r="GI2605" s="4"/>
      <c r="GJ2605" s="4"/>
      <c r="GK2605" s="4"/>
      <c r="GL2605" s="4"/>
      <c r="GM2605" s="4"/>
      <c r="GN2605" s="4"/>
      <c r="GO2605" s="4"/>
      <c r="GP2605" s="4"/>
      <c r="GQ2605" s="4"/>
      <c r="GR2605" s="4"/>
      <c r="GS2605" s="4"/>
      <c r="GT2605" s="4"/>
      <c r="GU2605" s="4"/>
      <c r="GV2605" s="4"/>
      <c r="GW2605" s="4"/>
      <c r="GX2605" s="4"/>
      <c r="GY2605" s="4"/>
      <c r="GZ2605" s="4"/>
      <c r="HA2605" s="4"/>
      <c r="HB2605" s="4"/>
      <c r="HC2605" s="4"/>
      <c r="HD2605" s="4"/>
      <c r="HE2605" s="4"/>
      <c r="HF2605" s="4"/>
      <c r="HG2605" s="4"/>
      <c r="HH2605" s="4"/>
      <c r="HI2605" s="4"/>
      <c r="HJ2605" s="4"/>
      <c r="HK2605" s="4"/>
      <c r="HL2605" s="4"/>
    </row>
    <row r="2606">
      <c r="A2606" s="2" t="s">
        <v>11147</v>
      </c>
      <c r="B2606" s="2" t="s">
        <v>226</v>
      </c>
      <c r="C2606" s="2" t="s">
        <v>913</v>
      </c>
      <c r="D2606" s="2" t="s">
        <v>1139</v>
      </c>
      <c r="E2606" s="2" t="s">
        <v>1981</v>
      </c>
      <c r="F2606" s="2" t="s">
        <v>11138</v>
      </c>
      <c r="G2606" s="2" t="s">
        <v>11138</v>
      </c>
      <c r="H2606" s="2" t="s">
        <v>11138</v>
      </c>
      <c r="I2606" s="2" t="s">
        <v>11139</v>
      </c>
      <c r="J2606" s="2" t="s">
        <v>1145</v>
      </c>
      <c r="K2606" s="2" t="s">
        <v>253</v>
      </c>
      <c r="L2606" s="3">
        <v>22.28</v>
      </c>
      <c r="M2606" s="3">
        <v>23.39</v>
      </c>
      <c r="N2606" s="3">
        <v>59.99</v>
      </c>
      <c r="O2606" s="2" t="s">
        <v>243</v>
      </c>
      <c r="P2606" s="2" t="s">
        <v>270</v>
      </c>
      <c r="Q2606" s="2" t="s">
        <v>237</v>
      </c>
      <c r="R2606" s="2" t="s">
        <v>231</v>
      </c>
      <c r="S2606" s="2" t="s">
        <v>231</v>
      </c>
      <c r="T2606" s="2" t="s">
        <v>895</v>
      </c>
      <c r="U2606" s="2" t="s">
        <v>327</v>
      </c>
      <c r="V2606" s="2" t="s">
        <v>239</v>
      </c>
      <c r="W2606" s="2" t="s">
        <v>299</v>
      </c>
      <c r="X2606" s="2" t="s">
        <v>231</v>
      </c>
      <c r="Y2606" s="2" t="s">
        <v>1324</v>
      </c>
      <c r="Z2606" s="4">
        <v>149</v>
      </c>
      <c r="AA2606" s="4">
        <f>=ROUNDDOWN(149,0)</f>
      </c>
      <c r="AB2606" s="5">
        <v>1</v>
      </c>
      <c r="AC2606" s="2" t="s">
        <v>231</v>
      </c>
      <c r="AD2606" s="4"/>
      <c r="AE2606" s="4"/>
      <c r="AF2606" s="6">
        <v>65</v>
      </c>
      <c r="AG2606" s="6"/>
      <c r="AH2606" s="7">
        <v>0.0968</v>
      </c>
      <c r="AI2606" s="4"/>
      <c r="AJ2606" s="4">
        <f>=ROUNDDOWN({0},0)</f>
      </c>
      <c r="AK2606" s="5"/>
      <c r="AL2606" s="2" t="s">
        <v>231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231</v>
      </c>
      <c r="AW2606" s="8" t="s">
        <v>231</v>
      </c>
      <c r="AX2606" s="4" t="s">
        <v>231</v>
      </c>
      <c r="AY2606" s="8" t="s">
        <v>231</v>
      </c>
      <c r="AZ2606" s="7" t="s">
        <v>231</v>
      </c>
      <c r="BA2606" s="7" t="s">
        <v>231</v>
      </c>
      <c r="BB2606" s="7"/>
      <c r="BC2606" s="4" t="s">
        <v>231</v>
      </c>
      <c r="BD2606" s="8" t="s">
        <v>231</v>
      </c>
      <c r="BE2606" s="4" t="s">
        <v>231</v>
      </c>
      <c r="BF2606" s="8" t="s">
        <v>231</v>
      </c>
      <c r="BG2606" s="7" t="s">
        <v>231</v>
      </c>
      <c r="BH2606" s="7" t="s">
        <v>231</v>
      </c>
      <c r="BI2606" s="7"/>
      <c r="BJ2606" s="4"/>
      <c r="BK2606" s="8"/>
      <c r="BL2606" s="2" t="s">
        <v>2095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11148</v>
      </c>
      <c r="BV2606" s="2" t="s">
        <v>231</v>
      </c>
      <c r="BW2606" s="2" t="s">
        <v>231</v>
      </c>
      <c r="BX2606" s="2" t="s">
        <v>231</v>
      </c>
      <c r="BY2606" s="2" t="s">
        <v>277</v>
      </c>
      <c r="BZ2606" s="2" t="s">
        <v>243</v>
      </c>
      <c r="CA2606" s="2" t="s">
        <v>1611</v>
      </c>
      <c r="CB2606" s="2" t="s">
        <v>2079</v>
      </c>
      <c r="CC2606" s="2" t="s">
        <v>244</v>
      </c>
      <c r="CD2606" s="2" t="s">
        <v>231</v>
      </c>
      <c r="CE2606" s="4">
        <v>149</v>
      </c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/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/>
      <c r="EK2606" s="4"/>
      <c r="EL2606" s="4"/>
      <c r="EM2606" s="4"/>
      <c r="EN2606" s="4"/>
      <c r="EO2606" s="4"/>
      <c r="EP2606" s="4"/>
      <c r="EQ2606" s="4"/>
      <c r="ER2606" s="4"/>
      <c r="ES2606" s="4"/>
      <c r="ET2606" s="4"/>
      <c r="EU2606" s="4"/>
      <c r="EV2606" s="4"/>
      <c r="EW2606" s="4"/>
      <c r="EX2606" s="4"/>
      <c r="EY2606" s="4"/>
      <c r="EZ2606" s="4"/>
      <c r="FA2606" s="4"/>
      <c r="FB2606" s="4"/>
      <c r="FC2606" s="4"/>
      <c r="FD2606" s="4"/>
      <c r="FE2606" s="4"/>
      <c r="FF2606" s="4"/>
      <c r="FG2606" s="4"/>
      <c r="FH2606" s="4"/>
      <c r="FI2606" s="4"/>
      <c r="FJ2606" s="4"/>
      <c r="FK2606" s="4"/>
      <c r="FL2606" s="4"/>
      <c r="FM2606" s="4"/>
      <c r="FN2606" s="4"/>
      <c r="FO2606" s="4"/>
      <c r="FP2606" s="4"/>
      <c r="FQ2606" s="4"/>
      <c r="FR2606" s="4"/>
      <c r="FS2606" s="4"/>
      <c r="FT2606" s="4"/>
      <c r="FU2606" s="4"/>
      <c r="FV2606" s="4"/>
      <c r="FW2606" s="4"/>
      <c r="FX2606" s="4"/>
      <c r="FY2606" s="4"/>
      <c r="FZ2606" s="4"/>
      <c r="GA2606" s="4"/>
      <c r="GB2606" s="4"/>
      <c r="GC2606" s="4"/>
      <c r="GD2606" s="4"/>
      <c r="GE2606" s="4"/>
      <c r="GF2606" s="4"/>
      <c r="GG2606" s="4"/>
      <c r="GH2606" s="4"/>
      <c r="GI2606" s="4"/>
      <c r="GJ2606" s="4"/>
      <c r="GK2606" s="4"/>
      <c r="GL2606" s="4"/>
      <c r="GM2606" s="4"/>
      <c r="GN2606" s="4"/>
      <c r="GO2606" s="4"/>
      <c r="GP2606" s="4"/>
      <c r="GQ2606" s="4"/>
      <c r="GR2606" s="4"/>
      <c r="GS2606" s="4"/>
      <c r="GT2606" s="4"/>
      <c r="GU2606" s="4"/>
      <c r="GV2606" s="4"/>
      <c r="GW2606" s="4"/>
      <c r="GX2606" s="4"/>
      <c r="GY2606" s="4"/>
      <c r="GZ2606" s="4"/>
      <c r="HA2606" s="4"/>
      <c r="HB2606" s="4"/>
      <c r="HC2606" s="4"/>
      <c r="HD2606" s="4"/>
      <c r="HE2606" s="4"/>
      <c r="HF2606" s="4"/>
      <c r="HG2606" s="4"/>
      <c r="HH2606" s="4"/>
      <c r="HI2606" s="4"/>
      <c r="HJ2606" s="4"/>
      <c r="HK2606" s="4"/>
      <c r="HL2606" s="4"/>
    </row>
    <row r="2607">
      <c r="A2607" s="2" t="s">
        <v>11149</v>
      </c>
      <c r="B2607" s="2" t="s">
        <v>226</v>
      </c>
      <c r="C2607" s="2" t="s">
        <v>913</v>
      </c>
      <c r="D2607" s="2" t="s">
        <v>1624</v>
      </c>
      <c r="E2607" s="2" t="s">
        <v>2589</v>
      </c>
      <c r="F2607" s="2" t="s">
        <v>11138</v>
      </c>
      <c r="G2607" s="2" t="s">
        <v>11138</v>
      </c>
      <c r="H2607" s="2" t="s">
        <v>11138</v>
      </c>
      <c r="I2607" s="2" t="s">
        <v>11144</v>
      </c>
      <c r="J2607" s="2" t="s">
        <v>3125</v>
      </c>
      <c r="K2607" s="2" t="s">
        <v>253</v>
      </c>
      <c r="L2607" s="3">
        <v>33.42</v>
      </c>
      <c r="M2607" s="3">
        <v>35.09</v>
      </c>
      <c r="N2607" s="3">
        <v>89.99</v>
      </c>
      <c r="O2607" s="2" t="s">
        <v>243</v>
      </c>
      <c r="P2607" s="2" t="s">
        <v>270</v>
      </c>
      <c r="Q2607" s="2" t="s">
        <v>237</v>
      </c>
      <c r="R2607" s="2" t="s">
        <v>231</v>
      </c>
      <c r="S2607" s="2" t="s">
        <v>231</v>
      </c>
      <c r="T2607" s="2" t="s">
        <v>895</v>
      </c>
      <c r="U2607" s="2" t="s">
        <v>327</v>
      </c>
      <c r="V2607" s="2" t="s">
        <v>239</v>
      </c>
      <c r="W2607" s="2" t="s">
        <v>299</v>
      </c>
      <c r="X2607" s="2" t="s">
        <v>231</v>
      </c>
      <c r="Y2607" s="2" t="s">
        <v>1324</v>
      </c>
      <c r="Z2607" s="4">
        <v>238</v>
      </c>
      <c r="AA2607" s="4">
        <f>=ROUNDDOWN(99.1666666666667,0)</f>
      </c>
      <c r="AB2607" s="5">
        <v>2.4</v>
      </c>
      <c r="AC2607" s="2" t="s">
        <v>231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231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231</v>
      </c>
      <c r="AW2607" s="8" t="s">
        <v>231</v>
      </c>
      <c r="AX2607" s="4" t="s">
        <v>231</v>
      </c>
      <c r="AY2607" s="8" t="s">
        <v>231</v>
      </c>
      <c r="AZ2607" s="7" t="s">
        <v>231</v>
      </c>
      <c r="BA2607" s="7" t="s">
        <v>231</v>
      </c>
      <c r="BB2607" s="7"/>
      <c r="BC2607" s="4" t="s">
        <v>231</v>
      </c>
      <c r="BD2607" s="8" t="s">
        <v>231</v>
      </c>
      <c r="BE2607" s="4" t="s">
        <v>231</v>
      </c>
      <c r="BF2607" s="8" t="s">
        <v>231</v>
      </c>
      <c r="BG2607" s="7" t="s">
        <v>231</v>
      </c>
      <c r="BH2607" s="7" t="s">
        <v>231</v>
      </c>
      <c r="BI2607" s="7"/>
      <c r="BJ2607" s="4">
        <v>4</v>
      </c>
      <c r="BK2607" s="8">
        <v>151.6</v>
      </c>
      <c r="BL2607" s="2" t="s">
        <v>11150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11151</v>
      </c>
      <c r="BV2607" s="2" t="s">
        <v>231</v>
      </c>
      <c r="BW2607" s="2" t="s">
        <v>231</v>
      </c>
      <c r="BX2607" s="2" t="s">
        <v>231</v>
      </c>
      <c r="BY2607" s="2" t="s">
        <v>277</v>
      </c>
      <c r="BZ2607" s="2" t="s">
        <v>243</v>
      </c>
      <c r="CA2607" s="2" t="s">
        <v>1611</v>
      </c>
      <c r="CB2607" s="2" t="s">
        <v>1583</v>
      </c>
      <c r="CC2607" s="2" t="s">
        <v>244</v>
      </c>
      <c r="CD2607" s="2" t="s">
        <v>231</v>
      </c>
      <c r="CE2607" s="4">
        <v>238</v>
      </c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/>
      <c r="DX2607" s="4"/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/>
      <c r="EK2607" s="4"/>
      <c r="EL2607" s="4"/>
      <c r="EM2607" s="4"/>
      <c r="EN2607" s="4"/>
      <c r="EO2607" s="4"/>
      <c r="EP2607" s="4"/>
      <c r="EQ2607" s="4"/>
      <c r="ER2607" s="4"/>
      <c r="ES2607" s="4"/>
      <c r="ET2607" s="4"/>
      <c r="EU2607" s="4"/>
      <c r="EV2607" s="4"/>
      <c r="EW2607" s="4"/>
      <c r="EX2607" s="4"/>
      <c r="EY2607" s="4"/>
      <c r="EZ2607" s="4"/>
      <c r="FA2607" s="4"/>
      <c r="FB2607" s="4"/>
      <c r="FC2607" s="4"/>
      <c r="FD2607" s="4"/>
      <c r="FE2607" s="4"/>
      <c r="FF2607" s="4"/>
      <c r="FG2607" s="4"/>
      <c r="FH2607" s="4"/>
      <c r="FI2607" s="4"/>
      <c r="FJ2607" s="4"/>
      <c r="FK2607" s="4"/>
      <c r="FL2607" s="4"/>
      <c r="FM2607" s="4"/>
      <c r="FN2607" s="4"/>
      <c r="FO2607" s="4"/>
      <c r="FP2607" s="4"/>
      <c r="FQ2607" s="4"/>
      <c r="FR2607" s="4"/>
      <c r="FS2607" s="4"/>
      <c r="FT2607" s="4"/>
      <c r="FU2607" s="4"/>
      <c r="FV2607" s="4"/>
      <c r="FW2607" s="4"/>
      <c r="FX2607" s="4"/>
      <c r="FY2607" s="4"/>
      <c r="FZ2607" s="4"/>
      <c r="GA2607" s="4"/>
      <c r="GB2607" s="4"/>
      <c r="GC2607" s="4"/>
      <c r="GD2607" s="4"/>
      <c r="GE2607" s="4"/>
      <c r="GF2607" s="4"/>
      <c r="GG2607" s="4"/>
      <c r="GH2607" s="4"/>
      <c r="GI2607" s="4"/>
      <c r="GJ2607" s="4"/>
      <c r="GK2607" s="4"/>
      <c r="GL2607" s="4"/>
      <c r="GM2607" s="4"/>
      <c r="GN2607" s="4"/>
      <c r="GO2607" s="4"/>
      <c r="GP2607" s="4"/>
      <c r="GQ2607" s="4"/>
      <c r="GR2607" s="4"/>
      <c r="GS2607" s="4"/>
      <c r="GT2607" s="4"/>
      <c r="GU2607" s="4"/>
      <c r="GV2607" s="4"/>
      <c r="GW2607" s="4"/>
      <c r="GX2607" s="4"/>
      <c r="GY2607" s="4"/>
      <c r="GZ2607" s="4"/>
      <c r="HA2607" s="4"/>
      <c r="HB2607" s="4"/>
      <c r="HC2607" s="4"/>
      <c r="HD2607" s="4"/>
      <c r="HE2607" s="4"/>
      <c r="HF2607" s="4"/>
      <c r="HG2607" s="4"/>
      <c r="HH2607" s="4"/>
      <c r="HI2607" s="4"/>
      <c r="HJ2607" s="4"/>
      <c r="HK2607" s="4"/>
      <c r="HL2607" s="4"/>
    </row>
    <row r="2608">
      <c r="A2608" s="2" t="s">
        <v>11152</v>
      </c>
      <c r="B2608" s="2" t="s">
        <v>226</v>
      </c>
      <c r="C2608" s="2" t="s">
        <v>913</v>
      </c>
      <c r="D2608" s="2" t="s">
        <v>1139</v>
      </c>
      <c r="E2608" s="2" t="s">
        <v>1981</v>
      </c>
      <c r="F2608" s="2" t="s">
        <v>11138</v>
      </c>
      <c r="G2608" s="2" t="s">
        <v>11138</v>
      </c>
      <c r="H2608" s="2" t="s">
        <v>11138</v>
      </c>
      <c r="I2608" s="2" t="s">
        <v>11139</v>
      </c>
      <c r="J2608" s="2" t="s">
        <v>1145</v>
      </c>
      <c r="K2608" s="2" t="s">
        <v>306</v>
      </c>
      <c r="L2608" s="3">
        <v>22.28</v>
      </c>
      <c r="M2608" s="3">
        <v>23.39</v>
      </c>
      <c r="N2608" s="3">
        <v>59.99</v>
      </c>
      <c r="O2608" s="2" t="s">
        <v>243</v>
      </c>
      <c r="P2608" s="2" t="s">
        <v>270</v>
      </c>
      <c r="Q2608" s="2" t="s">
        <v>237</v>
      </c>
      <c r="R2608" s="2" t="s">
        <v>231</v>
      </c>
      <c r="S2608" s="2" t="s">
        <v>231</v>
      </c>
      <c r="T2608" s="2" t="s">
        <v>895</v>
      </c>
      <c r="U2608" s="2" t="s">
        <v>327</v>
      </c>
      <c r="V2608" s="2" t="s">
        <v>239</v>
      </c>
      <c r="W2608" s="2" t="s">
        <v>299</v>
      </c>
      <c r="X2608" s="2" t="s">
        <v>231</v>
      </c>
      <c r="Y2608" s="2" t="s">
        <v>1324</v>
      </c>
      <c r="Z2608" s="4">
        <v>144</v>
      </c>
      <c r="AA2608" s="4">
        <f>=ROUNDDOWN(72,0)</f>
      </c>
      <c r="AB2608" s="5">
        <v>2</v>
      </c>
      <c r="AC2608" s="2" t="s">
        <v>231</v>
      </c>
      <c r="AD2608" s="4"/>
      <c r="AE2608" s="4"/>
      <c r="AF2608" s="6">
        <v>65</v>
      </c>
      <c r="AG2608" s="6"/>
      <c r="AH2608" s="7">
        <v>0.9355</v>
      </c>
      <c r="AI2608" s="4"/>
      <c r="AJ2608" s="4">
        <f>=ROUNDDOWN({0},0)</f>
      </c>
      <c r="AK2608" s="5"/>
      <c r="AL2608" s="2" t="s">
        <v>231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231</v>
      </c>
      <c r="BD2608" s="8" t="s">
        <v>231</v>
      </c>
      <c r="BE2608" s="4" t="s">
        <v>231</v>
      </c>
      <c r="BF2608" s="8" t="s">
        <v>231</v>
      </c>
      <c r="BG2608" s="7" t="s">
        <v>231</v>
      </c>
      <c r="BH2608" s="7" t="s">
        <v>231</v>
      </c>
      <c r="BI2608" s="7"/>
      <c r="BJ2608" s="4">
        <v>7</v>
      </c>
      <c r="BK2608" s="8">
        <v>180.33</v>
      </c>
      <c r="BL2608" s="2" t="s">
        <v>1618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11153</v>
      </c>
      <c r="BV2608" s="2" t="s">
        <v>231</v>
      </c>
      <c r="BW2608" s="2" t="s">
        <v>231</v>
      </c>
      <c r="BX2608" s="2" t="s">
        <v>231</v>
      </c>
      <c r="BY2608" s="2" t="s">
        <v>277</v>
      </c>
      <c r="BZ2608" s="2" t="s">
        <v>243</v>
      </c>
      <c r="CA2608" s="2" t="s">
        <v>1611</v>
      </c>
      <c r="CB2608" s="2" t="s">
        <v>3896</v>
      </c>
      <c r="CC2608" s="2" t="s">
        <v>244</v>
      </c>
      <c r="CD2608" s="2" t="s">
        <v>231</v>
      </c>
      <c r="CE2608" s="4">
        <v>144</v>
      </c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/>
      <c r="DX2608" s="4"/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/>
      <c r="EK2608" s="4"/>
      <c r="EL2608" s="4"/>
      <c r="EM2608" s="4"/>
      <c r="EN2608" s="4"/>
      <c r="EO2608" s="4"/>
      <c r="EP2608" s="4"/>
      <c r="EQ2608" s="4"/>
      <c r="ER2608" s="4"/>
      <c r="ES2608" s="4"/>
      <c r="ET2608" s="4"/>
      <c r="EU2608" s="4"/>
      <c r="EV2608" s="4"/>
      <c r="EW2608" s="4"/>
      <c r="EX2608" s="4"/>
      <c r="EY2608" s="4"/>
      <c r="EZ2608" s="4"/>
      <c r="FA2608" s="4"/>
      <c r="FB2608" s="4"/>
      <c r="FC2608" s="4"/>
      <c r="FD2608" s="4"/>
      <c r="FE2608" s="4"/>
      <c r="FF2608" s="4"/>
      <c r="FG2608" s="4"/>
      <c r="FH2608" s="4"/>
      <c r="FI2608" s="4"/>
      <c r="FJ2608" s="4"/>
      <c r="FK2608" s="4"/>
      <c r="FL2608" s="4"/>
      <c r="FM2608" s="4"/>
      <c r="FN2608" s="4"/>
      <c r="FO2608" s="4"/>
      <c r="FP2608" s="4"/>
      <c r="FQ2608" s="4"/>
      <c r="FR2608" s="4"/>
      <c r="FS2608" s="4"/>
      <c r="FT2608" s="4"/>
      <c r="FU2608" s="4"/>
      <c r="FV2608" s="4"/>
      <c r="FW2608" s="4"/>
      <c r="FX2608" s="4"/>
      <c r="FY2608" s="4"/>
      <c r="FZ2608" s="4"/>
      <c r="GA2608" s="4"/>
      <c r="GB2608" s="4"/>
      <c r="GC2608" s="4"/>
      <c r="GD2608" s="4"/>
      <c r="GE2608" s="4"/>
      <c r="GF2608" s="4"/>
      <c r="GG2608" s="4"/>
      <c r="GH2608" s="4"/>
      <c r="GI2608" s="4"/>
      <c r="GJ2608" s="4"/>
      <c r="GK2608" s="4"/>
      <c r="GL2608" s="4"/>
      <c r="GM2608" s="4"/>
      <c r="GN2608" s="4"/>
      <c r="GO2608" s="4"/>
      <c r="GP2608" s="4"/>
      <c r="GQ2608" s="4"/>
      <c r="GR2608" s="4"/>
      <c r="GS2608" s="4"/>
      <c r="GT2608" s="4"/>
      <c r="GU2608" s="4"/>
      <c r="GV2608" s="4"/>
      <c r="GW2608" s="4"/>
      <c r="GX2608" s="4"/>
      <c r="GY2608" s="4"/>
      <c r="GZ2608" s="4"/>
      <c r="HA2608" s="4"/>
      <c r="HB2608" s="4"/>
      <c r="HC2608" s="4"/>
      <c r="HD2608" s="4"/>
      <c r="HE2608" s="4"/>
      <c r="HF2608" s="4"/>
      <c r="HG2608" s="4"/>
      <c r="HH2608" s="4"/>
      <c r="HI2608" s="4"/>
      <c r="HJ2608" s="4"/>
      <c r="HK2608" s="4"/>
      <c r="HL2608" s="4"/>
    </row>
    <row r="2609">
      <c r="A2609" s="2" t="s">
        <v>11154</v>
      </c>
      <c r="B2609" s="2" t="s">
        <v>1186</v>
      </c>
      <c r="C2609" s="2" t="s">
        <v>288</v>
      </c>
      <c r="D2609" s="2" t="s">
        <v>826</v>
      </c>
      <c r="E2609" s="2" t="s">
        <v>1060</v>
      </c>
      <c r="F2609" s="2" t="s">
        <v>11155</v>
      </c>
      <c r="G2609" s="2" t="s">
        <v>6117</v>
      </c>
      <c r="H2609" s="2" t="s">
        <v>11156</v>
      </c>
      <c r="I2609" s="2" t="s">
        <v>11157</v>
      </c>
      <c r="J2609" s="2" t="s">
        <v>658</v>
      </c>
      <c r="K2609" s="2" t="s">
        <v>2312</v>
      </c>
      <c r="L2609" s="3">
        <v>53.9</v>
      </c>
      <c r="M2609" s="3">
        <v>56.59</v>
      </c>
      <c r="N2609" s="3">
        <v>109.99</v>
      </c>
      <c r="O2609" s="2" t="s">
        <v>243</v>
      </c>
      <c r="P2609" s="2" t="s">
        <v>270</v>
      </c>
      <c r="Q2609" s="2" t="s">
        <v>237</v>
      </c>
      <c r="R2609" s="2" t="s">
        <v>231</v>
      </c>
      <c r="S2609" s="2" t="s">
        <v>11158</v>
      </c>
      <c r="T2609" s="2" t="s">
        <v>231</v>
      </c>
      <c r="U2609" s="2" t="s">
        <v>835</v>
      </c>
      <c r="V2609" s="2" t="s">
        <v>1828</v>
      </c>
      <c r="W2609" s="2" t="s">
        <v>2897</v>
      </c>
      <c r="X2609" s="2" t="s">
        <v>3404</v>
      </c>
      <c r="Y2609" s="2" t="s">
        <v>11159</v>
      </c>
      <c r="Z2609" s="4">
        <v>135</v>
      </c>
      <c r="AA2609" s="4">
        <f>=ROUNDDOWN(45,0)</f>
      </c>
      <c r="AB2609" s="5">
        <v>3</v>
      </c>
      <c r="AC2609" s="2" t="s">
        <v>2049</v>
      </c>
      <c r="AD2609" s="4">
        <v>30</v>
      </c>
      <c r="AE2609" s="4">
        <v>30</v>
      </c>
      <c r="AF2609" s="6">
        <v>69</v>
      </c>
      <c r="AG2609" s="6"/>
      <c r="AH2609" s="7">
        <v>1</v>
      </c>
      <c r="AI2609" s="4"/>
      <c r="AJ2609" s="4">
        <f>=ROUNDDOWN({0},0)</f>
      </c>
      <c r="AK2609" s="5"/>
      <c r="AL2609" s="2" t="s">
        <v>231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/>
      <c r="BD2609" s="8"/>
      <c r="BE2609" s="4"/>
      <c r="BF2609" s="8"/>
      <c r="BG2609" s="7"/>
      <c r="BH2609" s="7"/>
      <c r="BI2609" s="7"/>
      <c r="BJ2609" s="4">
        <v>3</v>
      </c>
      <c r="BK2609" s="8">
        <v>148.92</v>
      </c>
      <c r="BL2609" s="2" t="s">
        <v>349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11160</v>
      </c>
      <c r="BV2609" s="2" t="s">
        <v>231</v>
      </c>
      <c r="BW2609" s="2" t="s">
        <v>231</v>
      </c>
      <c r="BX2609" s="2" t="s">
        <v>231</v>
      </c>
      <c r="BY2609" s="2" t="s">
        <v>277</v>
      </c>
      <c r="BZ2609" s="2" t="s">
        <v>243</v>
      </c>
      <c r="CA2609" s="2" t="s">
        <v>11159</v>
      </c>
      <c r="CB2609" s="2" t="s">
        <v>2606</v>
      </c>
      <c r="CC2609" s="2" t="s">
        <v>244</v>
      </c>
      <c r="CD2609" s="2" t="s">
        <v>231</v>
      </c>
      <c r="CE2609" s="4">
        <v>135</v>
      </c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  <c r="DL2609" s="4"/>
      <c r="DM2609" s="4"/>
      <c r="DN2609" s="4"/>
      <c r="DO2609" s="4"/>
      <c r="DP2609" s="4"/>
      <c r="DQ2609" s="4"/>
      <c r="DR2609" s="4"/>
      <c r="DS2609" s="4"/>
      <c r="DT2609" s="4"/>
      <c r="DU2609" s="4"/>
      <c r="DV2609" s="4"/>
      <c r="DW2609" s="4"/>
      <c r="DX2609" s="4"/>
      <c r="DY2609" s="4"/>
      <c r="DZ2609" s="4"/>
      <c r="EA2609" s="4"/>
      <c r="EB2609" s="4"/>
      <c r="EC2609" s="4"/>
      <c r="ED2609" s="4"/>
      <c r="EE2609" s="4"/>
      <c r="EF2609" s="4"/>
      <c r="EG2609" s="4"/>
      <c r="EH2609" s="4"/>
      <c r="EI2609" s="4"/>
      <c r="EJ2609" s="4"/>
      <c r="EK2609" s="4"/>
      <c r="EL2609" s="4"/>
      <c r="EM2609" s="4"/>
      <c r="EN2609" s="4"/>
      <c r="EO2609" s="4"/>
      <c r="EP2609" s="4"/>
      <c r="EQ2609" s="4"/>
      <c r="ER2609" s="4"/>
      <c r="ES2609" s="4"/>
      <c r="ET2609" s="4"/>
      <c r="EU2609" s="4"/>
      <c r="EV2609" s="4"/>
      <c r="EW2609" s="4"/>
      <c r="EX2609" s="4"/>
      <c r="EY2609" s="4"/>
      <c r="EZ2609" s="4"/>
      <c r="FA2609" s="4"/>
      <c r="FB2609" s="4"/>
      <c r="FC2609" s="4"/>
      <c r="FD2609" s="4"/>
      <c r="FE2609" s="4"/>
      <c r="FF2609" s="4"/>
      <c r="FG2609" s="4"/>
      <c r="FH2609" s="4"/>
      <c r="FI2609" s="4"/>
      <c r="FJ2609" s="4"/>
      <c r="FK2609" s="4"/>
      <c r="FL2609" s="4"/>
      <c r="FM2609" s="4"/>
      <c r="FN2609" s="4"/>
      <c r="FO2609" s="4"/>
      <c r="FP2609" s="4"/>
      <c r="FQ2609" s="4"/>
      <c r="FR2609" s="4"/>
      <c r="FS2609" s="4"/>
      <c r="FT2609" s="4"/>
      <c r="FU2609" s="4"/>
      <c r="FV2609" s="4"/>
      <c r="FW2609" s="4"/>
      <c r="FX2609" s="4"/>
      <c r="FY2609" s="4"/>
      <c r="FZ2609" s="4"/>
      <c r="GA2609" s="4"/>
      <c r="GB2609" s="4"/>
      <c r="GC2609" s="4"/>
      <c r="GD2609" s="4"/>
      <c r="GE2609" s="4">
        <v>30</v>
      </c>
      <c r="GF2609" s="4"/>
      <c r="GG2609" s="4"/>
      <c r="GH2609" s="4"/>
      <c r="GI2609" s="4"/>
      <c r="GJ2609" s="4"/>
      <c r="GK2609" s="4"/>
      <c r="GL2609" s="4"/>
      <c r="GM2609" s="4"/>
      <c r="GN2609" s="4"/>
      <c r="GO2609" s="4"/>
      <c r="GP2609" s="4"/>
      <c r="GQ2609" s="4"/>
      <c r="GR2609" s="4"/>
      <c r="GS2609" s="4"/>
      <c r="GT2609" s="4"/>
      <c r="GU2609" s="4"/>
      <c r="GV2609" s="4"/>
      <c r="GW2609" s="4"/>
      <c r="GX2609" s="4"/>
      <c r="GY2609" s="4"/>
      <c r="GZ2609" s="4"/>
      <c r="HA2609" s="4"/>
      <c r="HB2609" s="4"/>
      <c r="HC2609" s="4"/>
      <c r="HD2609" s="4"/>
      <c r="HE2609" s="4"/>
      <c r="HF2609" s="4"/>
      <c r="HG2609" s="4"/>
      <c r="HH2609" s="4"/>
      <c r="HI2609" s="4"/>
      <c r="HJ2609" s="4"/>
      <c r="HK2609" s="4"/>
      <c r="HL2609" s="4"/>
    </row>
    <row r="2610">
      <c r="A2610" s="2" t="s">
        <v>11161</v>
      </c>
      <c r="B2610" s="2" t="s">
        <v>940</v>
      </c>
      <c r="C2610" s="2" t="s">
        <v>288</v>
      </c>
      <c r="D2610" s="2" t="s">
        <v>1533</v>
      </c>
      <c r="E2610" s="2" t="s">
        <v>1534</v>
      </c>
      <c r="F2610" s="2" t="s">
        <v>11162</v>
      </c>
      <c r="G2610" s="2" t="s">
        <v>11163</v>
      </c>
      <c r="H2610" s="2" t="s">
        <v>11164</v>
      </c>
      <c r="I2610" s="2" t="s">
        <v>11165</v>
      </c>
      <c r="J2610" s="2" t="s">
        <v>1536</v>
      </c>
      <c r="K2610" s="2" t="s">
        <v>253</v>
      </c>
      <c r="L2610" s="3">
        <v>15.75</v>
      </c>
      <c r="M2610" s="3">
        <v>16.54</v>
      </c>
      <c r="N2610" s="3">
        <v>34.99</v>
      </c>
      <c r="O2610" s="2" t="s">
        <v>250</v>
      </c>
      <c r="P2610" s="2" t="s">
        <v>341</v>
      </c>
      <c r="Q2610" s="2" t="s">
        <v>237</v>
      </c>
      <c r="R2610" s="2" t="s">
        <v>231</v>
      </c>
      <c r="S2610" s="2" t="s">
        <v>11166</v>
      </c>
      <c r="T2610" s="2" t="s">
        <v>231</v>
      </c>
      <c r="U2610" s="2" t="s">
        <v>327</v>
      </c>
      <c r="V2610" s="2" t="s">
        <v>1304</v>
      </c>
      <c r="W2610" s="2" t="s">
        <v>691</v>
      </c>
      <c r="X2610" s="2" t="s">
        <v>273</v>
      </c>
      <c r="Y2610" s="2" t="s">
        <v>4407</v>
      </c>
      <c r="Z2610" s="4"/>
      <c r="AA2610" s="4">
        <f>=ROUNDDOWN({0},0)</f>
      </c>
      <c r="AB2610" s="5"/>
      <c r="AC2610" s="2" t="s">
        <v>231</v>
      </c>
      <c r="AD2610" s="4"/>
      <c r="AE2610" s="4"/>
      <c r="AF2610" s="6"/>
      <c r="AG2610" s="6"/>
      <c r="AH2610" s="7">
        <v>0</v>
      </c>
      <c r="AI2610" s="4"/>
      <c r="AJ2610" s="4">
        <f>=ROUNDDOWN({0},0)</f>
      </c>
      <c r="AK2610" s="5"/>
      <c r="AL2610" s="2" t="s">
        <v>231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/>
      <c r="BD2610" s="8"/>
      <c r="BE2610" s="4"/>
      <c r="BF2610" s="8"/>
      <c r="BG2610" s="7"/>
      <c r="BH2610" s="7"/>
      <c r="BI2610" s="7"/>
      <c r="BJ2610" s="4"/>
      <c r="BK2610" s="8"/>
      <c r="BL2610" s="2" t="s">
        <v>1240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11167</v>
      </c>
      <c r="BV2610" s="2" t="s">
        <v>231</v>
      </c>
      <c r="BW2610" s="2" t="s">
        <v>231</v>
      </c>
      <c r="BX2610" s="2" t="s">
        <v>231</v>
      </c>
      <c r="BY2610" s="2" t="s">
        <v>277</v>
      </c>
      <c r="BZ2610" s="2" t="s">
        <v>243</v>
      </c>
      <c r="CA2610" s="2" t="s">
        <v>4407</v>
      </c>
      <c r="CB2610" s="2" t="s">
        <v>7974</v>
      </c>
      <c r="CC2610" s="2" t="s">
        <v>244</v>
      </c>
      <c r="CD2610" s="2" t="s">
        <v>231</v>
      </c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  <c r="DL2610" s="4"/>
      <c r="DM2610" s="4"/>
      <c r="DN2610" s="4"/>
      <c r="DO2610" s="4"/>
      <c r="DP2610" s="4"/>
      <c r="DQ2610" s="4"/>
      <c r="DR2610" s="4"/>
      <c r="DS2610" s="4"/>
      <c r="DT2610" s="4"/>
      <c r="DU2610" s="4"/>
      <c r="DV2610" s="4"/>
      <c r="DW2610" s="4"/>
      <c r="DX2610" s="4"/>
      <c r="DY2610" s="4"/>
      <c r="DZ2610" s="4"/>
      <c r="EA2610" s="4"/>
      <c r="EB2610" s="4"/>
      <c r="EC2610" s="4"/>
      <c r="ED2610" s="4"/>
      <c r="EE2610" s="4"/>
      <c r="EF2610" s="4"/>
      <c r="EG2610" s="4"/>
      <c r="EH2610" s="4"/>
      <c r="EI2610" s="4"/>
      <c r="EJ2610" s="4"/>
      <c r="EK2610" s="4"/>
      <c r="EL2610" s="4"/>
      <c r="EM2610" s="4"/>
      <c r="EN2610" s="4"/>
      <c r="EO2610" s="4"/>
      <c r="EP2610" s="4"/>
      <c r="EQ2610" s="4"/>
      <c r="ER2610" s="4"/>
      <c r="ES2610" s="4"/>
      <c r="ET2610" s="4"/>
      <c r="EU2610" s="4"/>
      <c r="EV2610" s="4"/>
      <c r="EW2610" s="4"/>
      <c r="EX2610" s="4"/>
      <c r="EY2610" s="4"/>
      <c r="EZ2610" s="4"/>
      <c r="FA2610" s="4"/>
      <c r="FB2610" s="4"/>
      <c r="FC2610" s="4"/>
      <c r="FD2610" s="4"/>
      <c r="FE2610" s="4"/>
      <c r="FF2610" s="4"/>
      <c r="FG2610" s="4"/>
      <c r="FH2610" s="4"/>
      <c r="FI2610" s="4"/>
      <c r="FJ2610" s="4"/>
      <c r="FK2610" s="4"/>
      <c r="FL2610" s="4"/>
      <c r="FM2610" s="4"/>
      <c r="FN2610" s="4"/>
      <c r="FO2610" s="4"/>
      <c r="FP2610" s="4"/>
      <c r="FQ2610" s="4"/>
      <c r="FR2610" s="4"/>
      <c r="FS2610" s="4"/>
      <c r="FT2610" s="4"/>
      <c r="FU2610" s="4"/>
      <c r="FV2610" s="4"/>
      <c r="FW2610" s="4"/>
      <c r="FX2610" s="4"/>
      <c r="FY2610" s="4"/>
      <c r="FZ2610" s="4"/>
      <c r="GA2610" s="4"/>
      <c r="GB2610" s="4"/>
      <c r="GC2610" s="4"/>
      <c r="GD2610" s="4"/>
      <c r="GE2610" s="4"/>
      <c r="GF2610" s="4"/>
      <c r="GG2610" s="4"/>
      <c r="GH2610" s="4"/>
      <c r="GI2610" s="4"/>
      <c r="GJ2610" s="4"/>
      <c r="GK2610" s="4"/>
      <c r="GL2610" s="4"/>
      <c r="GM2610" s="4"/>
      <c r="GN2610" s="4"/>
      <c r="GO2610" s="4"/>
      <c r="GP2610" s="4"/>
      <c r="GQ2610" s="4"/>
      <c r="GR2610" s="4"/>
      <c r="GS2610" s="4"/>
      <c r="GT2610" s="4"/>
      <c r="GU2610" s="4"/>
      <c r="GV2610" s="4"/>
      <c r="GW2610" s="4"/>
      <c r="GX2610" s="4"/>
      <c r="GY2610" s="4"/>
      <c r="GZ2610" s="4"/>
      <c r="HA2610" s="4"/>
      <c r="HB2610" s="4"/>
      <c r="HC2610" s="4"/>
      <c r="HD2610" s="4"/>
      <c r="HE2610" s="4"/>
      <c r="HF2610" s="4"/>
      <c r="HG2610" s="4"/>
      <c r="HH2610" s="4"/>
      <c r="HI2610" s="4"/>
      <c r="HJ2610" s="4"/>
      <c r="HK2610" s="4"/>
      <c r="HL2610" s="4"/>
    </row>
    <row r="2611">
      <c r="A2611" s="2" t="s">
        <v>11168</v>
      </c>
      <c r="B2611" s="2" t="s">
        <v>1004</v>
      </c>
      <c r="C2611" s="2" t="s">
        <v>867</v>
      </c>
      <c r="D2611" s="2" t="s">
        <v>2130</v>
      </c>
      <c r="E2611" s="2" t="s">
        <v>4359</v>
      </c>
      <c r="F2611" s="2" t="s">
        <v>11169</v>
      </c>
      <c r="G2611" s="2" t="s">
        <v>11169</v>
      </c>
      <c r="H2611" s="2" t="s">
        <v>11169</v>
      </c>
      <c r="I2611" s="2" t="s">
        <v>11170</v>
      </c>
      <c r="J2611" s="2" t="s">
        <v>807</v>
      </c>
      <c r="K2611" s="2" t="s">
        <v>11171</v>
      </c>
      <c r="L2611" s="3">
        <v>270</v>
      </c>
      <c r="M2611" s="3">
        <v>283.5</v>
      </c>
      <c r="N2611" s="3">
        <v>559</v>
      </c>
      <c r="O2611" s="2" t="s">
        <v>243</v>
      </c>
      <c r="P2611" s="2" t="s">
        <v>236</v>
      </c>
      <c r="Q2611" s="2" t="s">
        <v>237</v>
      </c>
      <c r="R2611" s="2" t="s">
        <v>231</v>
      </c>
      <c r="S2611" s="2" t="s">
        <v>231</v>
      </c>
      <c r="T2611" s="2" t="s">
        <v>231</v>
      </c>
      <c r="U2611" s="2" t="s">
        <v>327</v>
      </c>
      <c r="V2611" s="2" t="s">
        <v>662</v>
      </c>
      <c r="W2611" s="2" t="s">
        <v>273</v>
      </c>
      <c r="X2611" s="2" t="s">
        <v>5476</v>
      </c>
      <c r="Y2611" s="2" t="s">
        <v>1119</v>
      </c>
      <c r="Z2611" s="4">
        <v>100</v>
      </c>
      <c r="AA2611" s="4">
        <f>=ROUNDDOWN({0},0)</f>
      </c>
      <c r="AB2611" s="5"/>
      <c r="AC2611" s="2" t="s">
        <v>231</v>
      </c>
      <c r="AD2611" s="4"/>
      <c r="AE2611" s="4"/>
      <c r="AF2611" s="6">
        <v>74</v>
      </c>
      <c r="AG2611" s="6"/>
      <c r="AH2611" s="7">
        <v>1</v>
      </c>
      <c r="AI2611" s="4"/>
      <c r="AJ2611" s="4">
        <f>=ROUNDDOWN({0},0)</f>
      </c>
      <c r="AK2611" s="5"/>
      <c r="AL2611" s="2" t="s">
        <v>231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231</v>
      </c>
      <c r="AW2611" s="8" t="s">
        <v>231</v>
      </c>
      <c r="AX2611" s="4" t="s">
        <v>231</v>
      </c>
      <c r="AY2611" s="8" t="s">
        <v>231</v>
      </c>
      <c r="AZ2611" s="7" t="s">
        <v>231</v>
      </c>
      <c r="BA2611" s="7" t="s">
        <v>231</v>
      </c>
      <c r="BB2611" s="7" t="s">
        <v>231</v>
      </c>
      <c r="BC2611" s="4" t="s">
        <v>231</v>
      </c>
      <c r="BD2611" s="8" t="s">
        <v>231</v>
      </c>
      <c r="BE2611" s="4" t="s">
        <v>231</v>
      </c>
      <c r="BF2611" s="8" t="s">
        <v>231</v>
      </c>
      <c r="BG2611" s="7" t="s">
        <v>231</v>
      </c>
      <c r="BH2611" s="7" t="s">
        <v>231</v>
      </c>
      <c r="BI2611" s="7"/>
      <c r="BJ2611" s="4"/>
      <c r="BK2611" s="8"/>
      <c r="BL2611" s="2" t="s">
        <v>231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11172</v>
      </c>
      <c r="BV2611" s="2" t="s">
        <v>231</v>
      </c>
      <c r="BW2611" s="2" t="s">
        <v>231</v>
      </c>
      <c r="BX2611" s="2" t="s">
        <v>241</v>
      </c>
      <c r="BY2611" s="2" t="s">
        <v>277</v>
      </c>
      <c r="BZ2611" s="2" t="s">
        <v>243</v>
      </c>
      <c r="CA2611" s="2" t="s">
        <v>1978</v>
      </c>
      <c r="CB2611" s="2" t="s">
        <v>231</v>
      </c>
      <c r="CC2611" s="2" t="s">
        <v>244</v>
      </c>
      <c r="CD2611" s="2" t="s">
        <v>231</v>
      </c>
      <c r="CE2611" s="4"/>
      <c r="CF2611" s="4">
        <v>100</v>
      </c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  <c r="DL2611" s="4"/>
      <c r="DM2611" s="4"/>
      <c r="DN2611" s="4"/>
      <c r="DO2611" s="4"/>
      <c r="DP2611" s="4"/>
      <c r="DQ2611" s="4"/>
      <c r="DR2611" s="4"/>
      <c r="DS2611" s="4"/>
      <c r="DT2611" s="4"/>
      <c r="DU2611" s="4"/>
      <c r="DV2611" s="4"/>
      <c r="DW2611" s="4"/>
      <c r="DX2611" s="4"/>
      <c r="DY2611" s="4"/>
      <c r="DZ2611" s="4"/>
      <c r="EA2611" s="4"/>
      <c r="EB2611" s="4"/>
      <c r="EC2611" s="4"/>
      <c r="ED2611" s="4"/>
      <c r="EE2611" s="4"/>
      <c r="EF2611" s="4"/>
      <c r="EG2611" s="4"/>
      <c r="EH2611" s="4"/>
      <c r="EI2611" s="4"/>
      <c r="EJ2611" s="4"/>
      <c r="EK2611" s="4"/>
      <c r="EL2611" s="4"/>
      <c r="EM2611" s="4"/>
      <c r="EN2611" s="4"/>
      <c r="EO2611" s="4"/>
      <c r="EP2611" s="4"/>
      <c r="EQ2611" s="4"/>
      <c r="ER2611" s="4"/>
      <c r="ES2611" s="4"/>
      <c r="ET2611" s="4"/>
      <c r="EU2611" s="4"/>
      <c r="EV2611" s="4"/>
      <c r="EW2611" s="4"/>
      <c r="EX2611" s="4"/>
      <c r="EY2611" s="4"/>
      <c r="EZ2611" s="4"/>
      <c r="FA2611" s="4"/>
      <c r="FB2611" s="4"/>
      <c r="FC2611" s="4"/>
      <c r="FD2611" s="4"/>
      <c r="FE2611" s="4"/>
      <c r="FF2611" s="4"/>
      <c r="FG2611" s="4"/>
      <c r="FH2611" s="4"/>
      <c r="FI2611" s="4"/>
      <c r="FJ2611" s="4"/>
      <c r="FK2611" s="4"/>
      <c r="FL2611" s="4"/>
      <c r="FM2611" s="4"/>
      <c r="FN2611" s="4"/>
      <c r="FO2611" s="4"/>
      <c r="FP2611" s="4"/>
      <c r="FQ2611" s="4"/>
      <c r="FR2611" s="4"/>
      <c r="FS2611" s="4"/>
      <c r="FT2611" s="4"/>
      <c r="FU2611" s="4"/>
      <c r="FV2611" s="4"/>
      <c r="FW2611" s="4"/>
      <c r="FX2611" s="4"/>
      <c r="FY2611" s="4"/>
      <c r="FZ2611" s="4"/>
      <c r="GA2611" s="4"/>
      <c r="GB2611" s="4"/>
      <c r="GC2611" s="4"/>
      <c r="GD2611" s="4"/>
      <c r="GE2611" s="4"/>
      <c r="GF2611" s="4"/>
      <c r="GG2611" s="4"/>
      <c r="GH2611" s="4"/>
      <c r="GI2611" s="4"/>
      <c r="GJ2611" s="4"/>
      <c r="GK2611" s="4"/>
      <c r="GL2611" s="4"/>
      <c r="GM2611" s="4"/>
      <c r="GN2611" s="4"/>
      <c r="GO2611" s="4"/>
      <c r="GP2611" s="4"/>
      <c r="GQ2611" s="4"/>
      <c r="GR2611" s="4"/>
      <c r="GS2611" s="4"/>
      <c r="GT2611" s="4"/>
      <c r="GU2611" s="4"/>
      <c r="GV2611" s="4"/>
      <c r="GW2611" s="4"/>
      <c r="GX2611" s="4"/>
      <c r="GY2611" s="4"/>
      <c r="GZ2611" s="4"/>
      <c r="HA2611" s="4"/>
      <c r="HB2611" s="4"/>
      <c r="HC2611" s="4"/>
      <c r="HD2611" s="4"/>
      <c r="HE2611" s="4"/>
      <c r="HF2611" s="4"/>
      <c r="HG2611" s="4"/>
      <c r="HH2611" s="4"/>
      <c r="HI2611" s="4"/>
      <c r="HJ2611" s="4"/>
      <c r="HK2611" s="4"/>
      <c r="HL2611" s="4"/>
    </row>
    <row r="2612">
      <c r="A2612" s="2" t="s">
        <v>11173</v>
      </c>
      <c r="B2612" s="2" t="s">
        <v>1004</v>
      </c>
      <c r="C2612" s="2" t="s">
        <v>867</v>
      </c>
      <c r="D2612" s="2" t="s">
        <v>1295</v>
      </c>
      <c r="E2612" s="2" t="s">
        <v>2253</v>
      </c>
      <c r="F2612" s="2" t="s">
        <v>11169</v>
      </c>
      <c r="G2612" s="2" t="s">
        <v>11169</v>
      </c>
      <c r="H2612" s="2" t="s">
        <v>11169</v>
      </c>
      <c r="I2612" s="2" t="s">
        <v>11174</v>
      </c>
      <c r="J2612" s="2" t="s">
        <v>807</v>
      </c>
      <c r="K2612" s="2" t="s">
        <v>11171</v>
      </c>
      <c r="L2612" s="3">
        <v>530</v>
      </c>
      <c r="M2612" s="3">
        <v>556.5</v>
      </c>
      <c r="N2612" s="3">
        <v>1099</v>
      </c>
      <c r="O2612" s="2" t="s">
        <v>243</v>
      </c>
      <c r="P2612" s="2" t="s">
        <v>236</v>
      </c>
      <c r="Q2612" s="2" t="s">
        <v>237</v>
      </c>
      <c r="R2612" s="2" t="s">
        <v>231</v>
      </c>
      <c r="S2612" s="2" t="s">
        <v>231</v>
      </c>
      <c r="T2612" s="2" t="s">
        <v>231</v>
      </c>
      <c r="U2612" s="2" t="s">
        <v>327</v>
      </c>
      <c r="V2612" s="2" t="s">
        <v>662</v>
      </c>
      <c r="W2612" s="2" t="s">
        <v>273</v>
      </c>
      <c r="X2612" s="2" t="s">
        <v>5476</v>
      </c>
      <c r="Y2612" s="2" t="s">
        <v>1859</v>
      </c>
      <c r="Z2612" s="4">
        <v>96</v>
      </c>
      <c r="AA2612" s="4">
        <f>=ROUNDDOWN(192,0)</f>
      </c>
      <c r="AB2612" s="5">
        <v>0.5</v>
      </c>
      <c r="AC2612" s="2" t="s">
        <v>231</v>
      </c>
      <c r="AD2612" s="4"/>
      <c r="AE2612" s="4"/>
      <c r="AF2612" s="6">
        <v>74</v>
      </c>
      <c r="AG2612" s="6"/>
      <c r="AH2612" s="7">
        <v>1</v>
      </c>
      <c r="AI2612" s="4"/>
      <c r="AJ2612" s="4">
        <f>=ROUNDDOWN({0},0)</f>
      </c>
      <c r="AK2612" s="5"/>
      <c r="AL2612" s="2" t="s">
        <v>231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231</v>
      </c>
      <c r="AW2612" s="8" t="s">
        <v>231</v>
      </c>
      <c r="AX2612" s="4" t="s">
        <v>231</v>
      </c>
      <c r="AY2612" s="8" t="s">
        <v>231</v>
      </c>
      <c r="AZ2612" s="7" t="s">
        <v>231</v>
      </c>
      <c r="BA2612" s="7" t="s">
        <v>231</v>
      </c>
      <c r="BB2612" s="7" t="s">
        <v>231</v>
      </c>
      <c r="BC2612" s="4" t="s">
        <v>231</v>
      </c>
      <c r="BD2612" s="8" t="s">
        <v>231</v>
      </c>
      <c r="BE2612" s="4" t="s">
        <v>231</v>
      </c>
      <c r="BF2612" s="8" t="s">
        <v>231</v>
      </c>
      <c r="BG2612" s="7" t="s">
        <v>231</v>
      </c>
      <c r="BH2612" s="7" t="s">
        <v>231</v>
      </c>
      <c r="BI2612" s="7"/>
      <c r="BJ2612" s="4">
        <v>1</v>
      </c>
      <c r="BK2612" s="8">
        <v>556.5</v>
      </c>
      <c r="BL2612" s="2" t="s">
        <v>1306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11175</v>
      </c>
      <c r="BV2612" s="2" t="s">
        <v>231</v>
      </c>
      <c r="BW2612" s="2" t="s">
        <v>231</v>
      </c>
      <c r="BX2612" s="2" t="s">
        <v>241</v>
      </c>
      <c r="BY2612" s="2" t="s">
        <v>277</v>
      </c>
      <c r="BZ2612" s="2" t="s">
        <v>243</v>
      </c>
      <c r="CA2612" s="2" t="s">
        <v>1978</v>
      </c>
      <c r="CB2612" s="2" t="s">
        <v>231</v>
      </c>
      <c r="CC2612" s="2" t="s">
        <v>244</v>
      </c>
      <c r="CD2612" s="2" t="s">
        <v>231</v>
      </c>
      <c r="CE2612" s="4"/>
      <c r="CF2612" s="4">
        <v>96</v>
      </c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  <c r="DL2612" s="4"/>
      <c r="DM2612" s="4"/>
      <c r="DN2612" s="4"/>
      <c r="DO2612" s="4"/>
      <c r="DP2612" s="4"/>
      <c r="DQ2612" s="4"/>
      <c r="DR2612" s="4"/>
      <c r="DS2612" s="4"/>
      <c r="DT2612" s="4"/>
      <c r="DU2612" s="4"/>
      <c r="DV2612" s="4"/>
      <c r="DW2612" s="4"/>
      <c r="DX2612" s="4"/>
      <c r="DY2612" s="4"/>
      <c r="DZ2612" s="4"/>
      <c r="EA2612" s="4"/>
      <c r="EB2612" s="4"/>
      <c r="EC2612" s="4"/>
      <c r="ED2612" s="4"/>
      <c r="EE2612" s="4"/>
      <c r="EF2612" s="4"/>
      <c r="EG2612" s="4"/>
      <c r="EH2612" s="4"/>
      <c r="EI2612" s="4"/>
      <c r="EJ2612" s="4"/>
      <c r="EK2612" s="4"/>
      <c r="EL2612" s="4"/>
      <c r="EM2612" s="4"/>
      <c r="EN2612" s="4"/>
      <c r="EO2612" s="4"/>
      <c r="EP2612" s="4"/>
      <c r="EQ2612" s="4"/>
      <c r="ER2612" s="4"/>
      <c r="ES2612" s="4"/>
      <c r="ET2612" s="4"/>
      <c r="EU2612" s="4"/>
      <c r="EV2612" s="4"/>
      <c r="EW2612" s="4"/>
      <c r="EX2612" s="4"/>
      <c r="EY2612" s="4"/>
      <c r="EZ2612" s="4"/>
      <c r="FA2612" s="4"/>
      <c r="FB2612" s="4"/>
      <c r="FC2612" s="4"/>
      <c r="FD2612" s="4"/>
      <c r="FE2612" s="4"/>
      <c r="FF2612" s="4"/>
      <c r="FG2612" s="4"/>
      <c r="FH2612" s="4"/>
      <c r="FI2612" s="4"/>
      <c r="FJ2612" s="4"/>
      <c r="FK2612" s="4"/>
      <c r="FL2612" s="4"/>
      <c r="FM2612" s="4"/>
      <c r="FN2612" s="4"/>
      <c r="FO2612" s="4"/>
      <c r="FP2612" s="4"/>
      <c r="FQ2612" s="4"/>
      <c r="FR2612" s="4"/>
      <c r="FS2612" s="4"/>
      <c r="FT2612" s="4"/>
      <c r="FU2612" s="4"/>
      <c r="FV2612" s="4"/>
      <c r="FW2612" s="4"/>
      <c r="FX2612" s="4"/>
      <c r="FY2612" s="4"/>
      <c r="FZ2612" s="4"/>
      <c r="GA2612" s="4"/>
      <c r="GB2612" s="4"/>
      <c r="GC2612" s="4"/>
      <c r="GD2612" s="4"/>
      <c r="GE2612" s="4"/>
      <c r="GF2612" s="4"/>
      <c r="GG2612" s="4"/>
      <c r="GH2612" s="4"/>
      <c r="GI2612" s="4"/>
      <c r="GJ2612" s="4"/>
      <c r="GK2612" s="4"/>
      <c r="GL2612" s="4"/>
      <c r="GM2612" s="4"/>
      <c r="GN2612" s="4"/>
      <c r="GO2612" s="4"/>
      <c r="GP2612" s="4"/>
      <c r="GQ2612" s="4"/>
      <c r="GR2612" s="4"/>
      <c r="GS2612" s="4"/>
      <c r="GT2612" s="4"/>
      <c r="GU2612" s="4"/>
      <c r="GV2612" s="4"/>
      <c r="GW2612" s="4"/>
      <c r="GX2612" s="4"/>
      <c r="GY2612" s="4"/>
      <c r="GZ2612" s="4"/>
      <c r="HA2612" s="4"/>
      <c r="HB2612" s="4"/>
      <c r="HC2612" s="4"/>
      <c r="HD2612" s="4"/>
      <c r="HE2612" s="4"/>
      <c r="HF2612" s="4"/>
      <c r="HG2612" s="4"/>
      <c r="HH2612" s="4"/>
      <c r="HI2612" s="4"/>
      <c r="HJ2612" s="4"/>
      <c r="HK2612" s="4"/>
      <c r="HL2612" s="4"/>
    </row>
    <row r="2613">
      <c r="A2613" s="2" t="s">
        <v>11176</v>
      </c>
      <c r="B2613" s="2" t="s">
        <v>1004</v>
      </c>
      <c r="C2613" s="2" t="s">
        <v>288</v>
      </c>
      <c r="D2613" s="2" t="s">
        <v>1922</v>
      </c>
      <c r="E2613" s="2" t="s">
        <v>1923</v>
      </c>
      <c r="F2613" s="2" t="s">
        <v>11177</v>
      </c>
      <c r="G2613" s="2" t="s">
        <v>11177</v>
      </c>
      <c r="H2613" s="2" t="s">
        <v>11177</v>
      </c>
      <c r="I2613" s="2" t="s">
        <v>11178</v>
      </c>
      <c r="J2613" s="2" t="s">
        <v>807</v>
      </c>
      <c r="K2613" s="2" t="s">
        <v>1496</v>
      </c>
      <c r="L2613" s="3">
        <v>135</v>
      </c>
      <c r="M2613" s="3">
        <v>141.75</v>
      </c>
      <c r="N2613" s="3">
        <v>279</v>
      </c>
      <c r="O2613" s="2" t="s">
        <v>243</v>
      </c>
      <c r="P2613" s="2" t="s">
        <v>1915</v>
      </c>
      <c r="Q2613" s="2" t="s">
        <v>237</v>
      </c>
      <c r="R2613" s="2" t="s">
        <v>231</v>
      </c>
      <c r="S2613" s="2" t="s">
        <v>231</v>
      </c>
      <c r="T2613" s="2" t="s">
        <v>231</v>
      </c>
      <c r="U2613" s="2" t="s">
        <v>327</v>
      </c>
      <c r="V2613" s="2" t="s">
        <v>662</v>
      </c>
      <c r="W2613" s="2" t="s">
        <v>676</v>
      </c>
      <c r="X2613" s="2" t="s">
        <v>792</v>
      </c>
      <c r="Y2613" s="2" t="s">
        <v>231</v>
      </c>
      <c r="Z2613" s="4"/>
      <c r="AA2613" s="4">
        <f>=ROUNDDOWN({0},0)</f>
      </c>
      <c r="AB2613" s="5"/>
      <c r="AC2613" s="2" t="s">
        <v>1315</v>
      </c>
      <c r="AD2613" s="4">
        <v>100</v>
      </c>
      <c r="AE2613" s="4">
        <v>100</v>
      </c>
      <c r="AF2613" s="6">
        <v>66</v>
      </c>
      <c r="AG2613" s="6"/>
      <c r="AH2613" s="7">
        <v>0</v>
      </c>
      <c r="AI2613" s="4"/>
      <c r="AJ2613" s="4">
        <f>=ROUNDDOWN({0},0)</f>
      </c>
      <c r="AK2613" s="5"/>
      <c r="AL2613" s="2" t="s">
        <v>231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/>
      <c r="BD2613" s="8"/>
      <c r="BE2613" s="4"/>
      <c r="BF2613" s="8"/>
      <c r="BG2613" s="7"/>
      <c r="BH2613" s="7"/>
      <c r="BI2613" s="7"/>
      <c r="BJ2613" s="4"/>
      <c r="BK2613" s="8"/>
      <c r="BL2613" s="2" t="s">
        <v>231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241</v>
      </c>
      <c r="BV2613" s="2" t="s">
        <v>231</v>
      </c>
      <c r="BW2613" s="2" t="s">
        <v>231</v>
      </c>
      <c r="BX2613" s="2" t="s">
        <v>241</v>
      </c>
      <c r="BY2613" s="2" t="s">
        <v>242</v>
      </c>
      <c r="BZ2613" s="2" t="s">
        <v>243</v>
      </c>
      <c r="CA2613" s="2" t="s">
        <v>231</v>
      </c>
      <c r="CB2613" s="2" t="s">
        <v>231</v>
      </c>
      <c r="CC2613" s="2" t="s">
        <v>244</v>
      </c>
      <c r="CD2613" s="2" t="s">
        <v>231</v>
      </c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  <c r="DL2613" s="4"/>
      <c r="DM2613" s="4"/>
      <c r="DN2613" s="4"/>
      <c r="DO2613" s="4"/>
      <c r="DP2613" s="4"/>
      <c r="DQ2613" s="4"/>
      <c r="DR2613" s="4"/>
      <c r="DS2613" s="4"/>
      <c r="DT2613" s="4"/>
      <c r="DU2613" s="4"/>
      <c r="DV2613" s="4"/>
      <c r="DW2613" s="4"/>
      <c r="DX2613" s="4"/>
      <c r="DY2613" s="4"/>
      <c r="DZ2613" s="4"/>
      <c r="EA2613" s="4"/>
      <c r="EB2613" s="4"/>
      <c r="EC2613" s="4"/>
      <c r="ED2613" s="4"/>
      <c r="EE2613" s="4">
        <v>100</v>
      </c>
      <c r="EF2613" s="4"/>
      <c r="EG2613" s="4"/>
      <c r="EH2613" s="4"/>
      <c r="EI2613" s="4"/>
      <c r="EJ2613" s="4"/>
      <c r="EK2613" s="4"/>
      <c r="EL2613" s="4"/>
      <c r="EM2613" s="4"/>
      <c r="EN2613" s="4"/>
      <c r="EO2613" s="4"/>
      <c r="EP2613" s="4"/>
      <c r="EQ2613" s="4"/>
      <c r="ER2613" s="4"/>
      <c r="ES2613" s="4"/>
      <c r="ET2613" s="4"/>
      <c r="EU2613" s="4"/>
      <c r="EV2613" s="4"/>
      <c r="EW2613" s="4"/>
      <c r="EX2613" s="4"/>
      <c r="EY2613" s="4"/>
      <c r="EZ2613" s="4"/>
      <c r="FA2613" s="4"/>
      <c r="FB2613" s="4"/>
      <c r="FC2613" s="4"/>
      <c r="FD2613" s="4"/>
      <c r="FE2613" s="4"/>
      <c r="FF2613" s="4"/>
      <c r="FG2613" s="4"/>
      <c r="FH2613" s="4"/>
      <c r="FI2613" s="4"/>
      <c r="FJ2613" s="4"/>
      <c r="FK2613" s="4"/>
      <c r="FL2613" s="4"/>
      <c r="FM2613" s="4"/>
      <c r="FN2613" s="4"/>
      <c r="FO2613" s="4"/>
      <c r="FP2613" s="4"/>
      <c r="FQ2613" s="4"/>
      <c r="FR2613" s="4"/>
      <c r="FS2613" s="4"/>
      <c r="FT2613" s="4"/>
      <c r="FU2613" s="4"/>
      <c r="FV2613" s="4"/>
      <c r="FW2613" s="4"/>
      <c r="FX2613" s="4"/>
      <c r="FY2613" s="4"/>
      <c r="FZ2613" s="4"/>
      <c r="GA2613" s="4"/>
      <c r="GB2613" s="4"/>
      <c r="GC2613" s="4"/>
      <c r="GD2613" s="4"/>
      <c r="GE2613" s="4"/>
      <c r="GF2613" s="4"/>
      <c r="GG2613" s="4"/>
      <c r="GH2613" s="4"/>
      <c r="GI2613" s="4"/>
      <c r="GJ2613" s="4"/>
      <c r="GK2613" s="4"/>
      <c r="GL2613" s="4"/>
      <c r="GM2613" s="4"/>
      <c r="GN2613" s="4"/>
      <c r="GO2613" s="4"/>
      <c r="GP2613" s="4"/>
      <c r="GQ2613" s="4"/>
      <c r="GR2613" s="4"/>
      <c r="GS2613" s="4"/>
      <c r="GT2613" s="4"/>
      <c r="GU2613" s="4"/>
      <c r="GV2613" s="4"/>
      <c r="GW2613" s="4"/>
      <c r="GX2613" s="4"/>
      <c r="GY2613" s="4"/>
      <c r="GZ2613" s="4"/>
      <c r="HA2613" s="4"/>
      <c r="HB2613" s="4"/>
      <c r="HC2613" s="4"/>
      <c r="HD2613" s="4"/>
      <c r="HE2613" s="4"/>
      <c r="HF2613" s="4"/>
      <c r="HG2613" s="4"/>
      <c r="HH2613" s="4"/>
      <c r="HI2613" s="4"/>
      <c r="HJ2613" s="4"/>
      <c r="HK2613" s="4"/>
      <c r="HL2613" s="4"/>
    </row>
    <row r="2614">
      <c r="A2614" s="2" t="s">
        <v>11179</v>
      </c>
      <c r="B2614" s="2" t="s">
        <v>824</v>
      </c>
      <c r="C2614" s="2" t="s">
        <v>3567</v>
      </c>
      <c r="D2614" s="2" t="s">
        <v>1462</v>
      </c>
      <c r="E2614" s="2" t="s">
        <v>1463</v>
      </c>
      <c r="F2614" s="2" t="s">
        <v>11180</v>
      </c>
      <c r="G2614" s="2" t="s">
        <v>2506</v>
      </c>
      <c r="H2614" s="2" t="s">
        <v>8223</v>
      </c>
      <c r="I2614" s="2" t="s">
        <v>11181</v>
      </c>
      <c r="J2614" s="2" t="s">
        <v>318</v>
      </c>
      <c r="K2614" s="2" t="s">
        <v>2125</v>
      </c>
      <c r="L2614" s="3">
        <v>37</v>
      </c>
      <c r="M2614" s="3">
        <v>38.85</v>
      </c>
      <c r="N2614" s="3">
        <v>72.99</v>
      </c>
      <c r="O2614" s="2" t="s">
        <v>243</v>
      </c>
      <c r="P2614" s="2" t="s">
        <v>341</v>
      </c>
      <c r="Q2614" s="2" t="s">
        <v>237</v>
      </c>
      <c r="R2614" s="2" t="s">
        <v>231</v>
      </c>
      <c r="S2614" s="2" t="s">
        <v>11182</v>
      </c>
      <c r="T2614" s="2" t="s">
        <v>362</v>
      </c>
      <c r="U2614" s="2" t="s">
        <v>791</v>
      </c>
      <c r="V2614" s="2" t="s">
        <v>391</v>
      </c>
      <c r="W2614" s="2" t="s">
        <v>273</v>
      </c>
      <c r="X2614" s="2" t="s">
        <v>231</v>
      </c>
      <c r="Y2614" s="2" t="s">
        <v>7362</v>
      </c>
      <c r="Z2614" s="4">
        <v>64</v>
      </c>
      <c r="AA2614" s="4">
        <f>=ROUNDDOWN(40,0)</f>
      </c>
      <c r="AB2614" s="5">
        <v>1.6</v>
      </c>
      <c r="AC2614" s="2" t="s">
        <v>231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231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231</v>
      </c>
      <c r="AW2614" s="8" t="s">
        <v>231</v>
      </c>
      <c r="AX2614" s="4" t="s">
        <v>231</v>
      </c>
      <c r="AY2614" s="8" t="s">
        <v>231</v>
      </c>
      <c r="AZ2614" s="7" t="s">
        <v>231</v>
      </c>
      <c r="BA2614" s="7" t="s">
        <v>231</v>
      </c>
      <c r="BB2614" s="7"/>
      <c r="BC2614" s="4" t="s">
        <v>231</v>
      </c>
      <c r="BD2614" s="8" t="s">
        <v>231</v>
      </c>
      <c r="BE2614" s="4" t="s">
        <v>231</v>
      </c>
      <c r="BF2614" s="8" t="s">
        <v>231</v>
      </c>
      <c r="BG2614" s="7" t="s">
        <v>231</v>
      </c>
      <c r="BH2614" s="7" t="s">
        <v>231</v>
      </c>
      <c r="BI2614" s="7"/>
      <c r="BJ2614" s="4">
        <v>7</v>
      </c>
      <c r="BK2614" s="8">
        <v>210.11</v>
      </c>
      <c r="BL2614" s="2" t="s">
        <v>3584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11183</v>
      </c>
      <c r="BV2614" s="2" t="s">
        <v>231</v>
      </c>
      <c r="BW2614" s="2" t="s">
        <v>231</v>
      </c>
      <c r="BX2614" s="2" t="s">
        <v>231</v>
      </c>
      <c r="BY2614" s="2" t="s">
        <v>277</v>
      </c>
      <c r="BZ2614" s="2" t="s">
        <v>243</v>
      </c>
      <c r="CA2614" s="2" t="s">
        <v>9896</v>
      </c>
      <c r="CB2614" s="2" t="s">
        <v>1612</v>
      </c>
      <c r="CC2614" s="2" t="s">
        <v>244</v>
      </c>
      <c r="CD2614" s="2" t="s">
        <v>231</v>
      </c>
      <c r="CE2614" s="4">
        <v>64</v>
      </c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  <c r="DL2614" s="4"/>
      <c r="DM2614" s="4"/>
      <c r="DN2614" s="4"/>
      <c r="DO2614" s="4"/>
      <c r="DP2614" s="4"/>
      <c r="DQ2614" s="4"/>
      <c r="DR2614" s="4"/>
      <c r="DS2614" s="4"/>
      <c r="DT2614" s="4"/>
      <c r="DU2614" s="4"/>
      <c r="DV2614" s="4"/>
      <c r="DW2614" s="4"/>
      <c r="DX2614" s="4"/>
      <c r="DY2614" s="4"/>
      <c r="DZ2614" s="4"/>
      <c r="EA2614" s="4"/>
      <c r="EB2614" s="4"/>
      <c r="EC2614" s="4"/>
      <c r="ED2614" s="4"/>
      <c r="EE2614" s="4"/>
      <c r="EF2614" s="4"/>
      <c r="EG2614" s="4"/>
      <c r="EH2614" s="4"/>
      <c r="EI2614" s="4"/>
      <c r="EJ2614" s="4"/>
      <c r="EK2614" s="4"/>
      <c r="EL2614" s="4"/>
      <c r="EM2614" s="4"/>
      <c r="EN2614" s="4"/>
      <c r="EO2614" s="4"/>
      <c r="EP2614" s="4"/>
      <c r="EQ2614" s="4"/>
      <c r="ER2614" s="4"/>
      <c r="ES2614" s="4"/>
      <c r="ET2614" s="4"/>
      <c r="EU2614" s="4"/>
      <c r="EV2614" s="4"/>
      <c r="EW2614" s="4"/>
      <c r="EX2614" s="4"/>
      <c r="EY2614" s="4"/>
      <c r="EZ2614" s="4"/>
      <c r="FA2614" s="4"/>
      <c r="FB2614" s="4"/>
      <c r="FC2614" s="4"/>
      <c r="FD2614" s="4"/>
      <c r="FE2614" s="4"/>
      <c r="FF2614" s="4"/>
      <c r="FG2614" s="4"/>
      <c r="FH2614" s="4"/>
      <c r="FI2614" s="4"/>
      <c r="FJ2614" s="4"/>
      <c r="FK2614" s="4"/>
      <c r="FL2614" s="4"/>
      <c r="FM2614" s="4"/>
      <c r="FN2614" s="4"/>
      <c r="FO2614" s="4"/>
      <c r="FP2614" s="4"/>
      <c r="FQ2614" s="4"/>
      <c r="FR2614" s="4"/>
      <c r="FS2614" s="4"/>
      <c r="FT2614" s="4"/>
      <c r="FU2614" s="4"/>
      <c r="FV2614" s="4"/>
      <c r="FW2614" s="4"/>
      <c r="FX2614" s="4"/>
      <c r="FY2614" s="4"/>
      <c r="FZ2614" s="4"/>
      <c r="GA2614" s="4"/>
      <c r="GB2614" s="4"/>
      <c r="GC2614" s="4"/>
      <c r="GD2614" s="4"/>
      <c r="GE2614" s="4"/>
      <c r="GF2614" s="4"/>
      <c r="GG2614" s="4"/>
      <c r="GH2614" s="4"/>
      <c r="GI2614" s="4"/>
      <c r="GJ2614" s="4"/>
      <c r="GK2614" s="4"/>
      <c r="GL2614" s="4"/>
      <c r="GM2614" s="4"/>
      <c r="GN2614" s="4"/>
      <c r="GO2614" s="4"/>
      <c r="GP2614" s="4"/>
      <c r="GQ2614" s="4"/>
      <c r="GR2614" s="4"/>
      <c r="GS2614" s="4"/>
      <c r="GT2614" s="4"/>
      <c r="GU2614" s="4"/>
      <c r="GV2614" s="4"/>
      <c r="GW2614" s="4"/>
      <c r="GX2614" s="4"/>
      <c r="GY2614" s="4"/>
      <c r="GZ2614" s="4"/>
      <c r="HA2614" s="4"/>
      <c r="HB2614" s="4"/>
      <c r="HC2614" s="4"/>
      <c r="HD2614" s="4"/>
      <c r="HE2614" s="4"/>
      <c r="HF2614" s="4"/>
      <c r="HG2614" s="4"/>
      <c r="HH2614" s="4"/>
      <c r="HI2614" s="4"/>
      <c r="HJ2614" s="4"/>
      <c r="HK2614" s="4"/>
      <c r="HL2614" s="4"/>
    </row>
    <row r="2615">
      <c r="A2615" s="2" t="s">
        <v>11184</v>
      </c>
      <c r="B2615" s="2" t="s">
        <v>824</v>
      </c>
      <c r="C2615" s="2" t="s">
        <v>3567</v>
      </c>
      <c r="D2615" s="2" t="s">
        <v>1462</v>
      </c>
      <c r="E2615" s="2" t="s">
        <v>1463</v>
      </c>
      <c r="F2615" s="2" t="s">
        <v>11180</v>
      </c>
      <c r="G2615" s="2" t="s">
        <v>2506</v>
      </c>
      <c r="H2615" s="2" t="s">
        <v>8223</v>
      </c>
      <c r="I2615" s="2" t="s">
        <v>11181</v>
      </c>
      <c r="J2615" s="2" t="s">
        <v>658</v>
      </c>
      <c r="K2615" s="2" t="s">
        <v>2125</v>
      </c>
      <c r="L2615" s="3">
        <v>47</v>
      </c>
      <c r="M2615" s="3">
        <v>49.35</v>
      </c>
      <c r="N2615" s="3">
        <v>92.99</v>
      </c>
      <c r="O2615" s="2" t="s">
        <v>243</v>
      </c>
      <c r="P2615" s="2" t="s">
        <v>341</v>
      </c>
      <c r="Q2615" s="2" t="s">
        <v>237</v>
      </c>
      <c r="R2615" s="2" t="s">
        <v>231</v>
      </c>
      <c r="S2615" s="2" t="s">
        <v>11182</v>
      </c>
      <c r="T2615" s="2" t="s">
        <v>362</v>
      </c>
      <c r="U2615" s="2" t="s">
        <v>835</v>
      </c>
      <c r="V2615" s="2" t="s">
        <v>391</v>
      </c>
      <c r="W2615" s="2" t="s">
        <v>273</v>
      </c>
      <c r="X2615" s="2" t="s">
        <v>231</v>
      </c>
      <c r="Y2615" s="2" t="s">
        <v>7362</v>
      </c>
      <c r="Z2615" s="4">
        <v>56</v>
      </c>
      <c r="AA2615" s="4">
        <f>=ROUNDDOWN(280,0)</f>
      </c>
      <c r="AB2615" s="5">
        <v>0.2</v>
      </c>
      <c r="AC2615" s="2" t="s">
        <v>231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231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231</v>
      </c>
      <c r="AW2615" s="8" t="s">
        <v>231</v>
      </c>
      <c r="AX2615" s="4" t="s">
        <v>231</v>
      </c>
      <c r="AY2615" s="8" t="s">
        <v>231</v>
      </c>
      <c r="AZ2615" s="7" t="s">
        <v>231</v>
      </c>
      <c r="BA2615" s="7" t="s">
        <v>231</v>
      </c>
      <c r="BB2615" s="7"/>
      <c r="BC2615" s="4" t="s">
        <v>231</v>
      </c>
      <c r="BD2615" s="8" t="s">
        <v>231</v>
      </c>
      <c r="BE2615" s="4" t="s">
        <v>231</v>
      </c>
      <c r="BF2615" s="8" t="s">
        <v>231</v>
      </c>
      <c r="BG2615" s="7" t="s">
        <v>231</v>
      </c>
      <c r="BH2615" s="7" t="s">
        <v>231</v>
      </c>
      <c r="BI2615" s="7"/>
      <c r="BJ2615" s="4">
        <v>1</v>
      </c>
      <c r="BK2615" s="8">
        <v>29.61</v>
      </c>
      <c r="BL2615" s="2" t="s">
        <v>628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11185</v>
      </c>
      <c r="BV2615" s="2" t="s">
        <v>231</v>
      </c>
      <c r="BW2615" s="2" t="s">
        <v>231</v>
      </c>
      <c r="BX2615" s="2" t="s">
        <v>231</v>
      </c>
      <c r="BY2615" s="2" t="s">
        <v>277</v>
      </c>
      <c r="BZ2615" s="2" t="s">
        <v>243</v>
      </c>
      <c r="CA2615" s="2" t="s">
        <v>9896</v>
      </c>
      <c r="CB2615" s="2" t="s">
        <v>9720</v>
      </c>
      <c r="CC2615" s="2" t="s">
        <v>244</v>
      </c>
      <c r="CD2615" s="2" t="s">
        <v>231</v>
      </c>
      <c r="CE2615" s="4">
        <v>56</v>
      </c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/>
      <c r="DM2615" s="4"/>
      <c r="DN2615" s="4"/>
      <c r="DO2615" s="4"/>
      <c r="DP2615" s="4"/>
      <c r="DQ2615" s="4"/>
      <c r="DR2615" s="4"/>
      <c r="DS2615" s="4"/>
      <c r="DT2615" s="4"/>
      <c r="DU2615" s="4"/>
      <c r="DV2615" s="4"/>
      <c r="DW2615" s="4"/>
      <c r="DX2615" s="4"/>
      <c r="DY2615" s="4"/>
      <c r="DZ2615" s="4"/>
      <c r="EA2615" s="4"/>
      <c r="EB2615" s="4"/>
      <c r="EC2615" s="4"/>
      <c r="ED2615" s="4"/>
      <c r="EE2615" s="4"/>
      <c r="EF2615" s="4"/>
      <c r="EG2615" s="4"/>
      <c r="EH2615" s="4"/>
      <c r="EI2615" s="4"/>
      <c r="EJ2615" s="4"/>
      <c r="EK2615" s="4"/>
      <c r="EL2615" s="4"/>
      <c r="EM2615" s="4"/>
      <c r="EN2615" s="4"/>
      <c r="EO2615" s="4"/>
      <c r="EP2615" s="4"/>
      <c r="EQ2615" s="4"/>
      <c r="ER2615" s="4"/>
      <c r="ES2615" s="4"/>
      <c r="ET2615" s="4"/>
      <c r="EU2615" s="4"/>
      <c r="EV2615" s="4"/>
      <c r="EW2615" s="4"/>
      <c r="EX2615" s="4"/>
      <c r="EY2615" s="4"/>
      <c r="EZ2615" s="4"/>
      <c r="FA2615" s="4"/>
      <c r="FB2615" s="4"/>
      <c r="FC2615" s="4"/>
      <c r="FD2615" s="4"/>
      <c r="FE2615" s="4"/>
      <c r="FF2615" s="4"/>
      <c r="FG2615" s="4"/>
      <c r="FH2615" s="4"/>
      <c r="FI2615" s="4"/>
      <c r="FJ2615" s="4"/>
      <c r="FK2615" s="4"/>
      <c r="FL2615" s="4"/>
      <c r="FM2615" s="4"/>
      <c r="FN2615" s="4"/>
      <c r="FO2615" s="4"/>
      <c r="FP2615" s="4"/>
      <c r="FQ2615" s="4"/>
      <c r="FR2615" s="4"/>
      <c r="FS2615" s="4"/>
      <c r="FT2615" s="4"/>
      <c r="FU2615" s="4"/>
      <c r="FV2615" s="4"/>
      <c r="FW2615" s="4"/>
      <c r="FX2615" s="4"/>
      <c r="FY2615" s="4"/>
      <c r="FZ2615" s="4"/>
      <c r="GA2615" s="4"/>
      <c r="GB2615" s="4"/>
      <c r="GC2615" s="4"/>
      <c r="GD2615" s="4"/>
      <c r="GE2615" s="4"/>
      <c r="GF2615" s="4"/>
      <c r="GG2615" s="4"/>
      <c r="GH2615" s="4"/>
      <c r="GI2615" s="4"/>
      <c r="GJ2615" s="4"/>
      <c r="GK2615" s="4"/>
      <c r="GL2615" s="4"/>
      <c r="GM2615" s="4"/>
      <c r="GN2615" s="4"/>
      <c r="GO2615" s="4"/>
      <c r="GP2615" s="4"/>
      <c r="GQ2615" s="4"/>
      <c r="GR2615" s="4"/>
      <c r="GS2615" s="4"/>
      <c r="GT2615" s="4"/>
      <c r="GU2615" s="4"/>
      <c r="GV2615" s="4"/>
      <c r="GW2615" s="4"/>
      <c r="GX2615" s="4"/>
      <c r="GY2615" s="4"/>
      <c r="GZ2615" s="4"/>
      <c r="HA2615" s="4"/>
      <c r="HB2615" s="4"/>
      <c r="HC2615" s="4"/>
      <c r="HD2615" s="4"/>
      <c r="HE2615" s="4"/>
      <c r="HF2615" s="4"/>
      <c r="HG2615" s="4"/>
      <c r="HH2615" s="4"/>
      <c r="HI2615" s="4"/>
      <c r="HJ2615" s="4"/>
      <c r="HK2615" s="4"/>
      <c r="HL2615" s="4"/>
    </row>
    <row r="2616">
      <c r="A2616" s="2" t="s">
        <v>11186</v>
      </c>
      <c r="B2616" s="2" t="s">
        <v>226</v>
      </c>
      <c r="C2616" s="2" t="s">
        <v>288</v>
      </c>
      <c r="D2616" s="2" t="s">
        <v>654</v>
      </c>
      <c r="E2616" s="2" t="s">
        <v>890</v>
      </c>
      <c r="F2616" s="2" t="s">
        <v>11187</v>
      </c>
      <c r="G2616" s="2" t="s">
        <v>11188</v>
      </c>
      <c r="H2616" s="2" t="s">
        <v>11188</v>
      </c>
      <c r="I2616" s="2" t="s">
        <v>11189</v>
      </c>
      <c r="J2616" s="2" t="s">
        <v>669</v>
      </c>
      <c r="K2616" s="2" t="s">
        <v>306</v>
      </c>
      <c r="L2616" s="3">
        <v>32.2</v>
      </c>
      <c r="M2616" s="3">
        <v>33.81</v>
      </c>
      <c r="N2616" s="3">
        <v>69.99</v>
      </c>
      <c r="O2616" s="2" t="s">
        <v>243</v>
      </c>
      <c r="P2616" s="2" t="s">
        <v>341</v>
      </c>
      <c r="Q2616" s="2" t="s">
        <v>237</v>
      </c>
      <c r="R2616" s="2" t="s">
        <v>231</v>
      </c>
      <c r="S2616" s="2" t="s">
        <v>11190</v>
      </c>
      <c r="T2616" s="2" t="s">
        <v>472</v>
      </c>
      <c r="U2616" s="2" t="s">
        <v>231</v>
      </c>
      <c r="V2616" s="2" t="s">
        <v>239</v>
      </c>
      <c r="W2616" s="2" t="s">
        <v>273</v>
      </c>
      <c r="X2616" s="2" t="s">
        <v>231</v>
      </c>
      <c r="Y2616" s="2" t="s">
        <v>274</v>
      </c>
      <c r="Z2616" s="4">
        <v>335</v>
      </c>
      <c r="AA2616" s="4">
        <f>=ROUNDDOWN(37.2222222222222,0)</f>
      </c>
      <c r="AB2616" s="5">
        <v>9</v>
      </c>
      <c r="AC2616" s="2" t="s">
        <v>231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231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/>
      <c r="BD2616" s="8"/>
      <c r="BE2616" s="4"/>
      <c r="BF2616" s="8"/>
      <c r="BG2616" s="7"/>
      <c r="BH2616" s="7"/>
      <c r="BI2616" s="7"/>
      <c r="BJ2616" s="4">
        <v>38</v>
      </c>
      <c r="BK2616" s="8">
        <v>1246.25</v>
      </c>
      <c r="BL2616" s="2" t="s">
        <v>11191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11192</v>
      </c>
      <c r="BV2616" s="2" t="s">
        <v>231</v>
      </c>
      <c r="BW2616" s="2" t="s">
        <v>231</v>
      </c>
      <c r="BX2616" s="2" t="s">
        <v>231</v>
      </c>
      <c r="BY2616" s="2" t="s">
        <v>277</v>
      </c>
      <c r="BZ2616" s="2" t="s">
        <v>243</v>
      </c>
      <c r="CA2616" s="2" t="s">
        <v>284</v>
      </c>
      <c r="CB2616" s="2" t="s">
        <v>617</v>
      </c>
      <c r="CC2616" s="2" t="s">
        <v>244</v>
      </c>
      <c r="CD2616" s="2" t="s">
        <v>231</v>
      </c>
      <c r="CE2616" s="4">
        <v>335</v>
      </c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  <c r="DP2616" s="4"/>
      <c r="DQ2616" s="4"/>
      <c r="DR2616" s="4"/>
      <c r="DS2616" s="4"/>
      <c r="DT2616" s="4"/>
      <c r="DU2616" s="4"/>
      <c r="DV2616" s="4"/>
      <c r="DW2616" s="4"/>
      <c r="DX2616" s="4"/>
      <c r="DY2616" s="4"/>
      <c r="DZ2616" s="4"/>
      <c r="EA2616" s="4"/>
      <c r="EB2616" s="4"/>
      <c r="EC2616" s="4"/>
      <c r="ED2616" s="4"/>
      <c r="EE2616" s="4"/>
      <c r="EF2616" s="4"/>
      <c r="EG2616" s="4"/>
      <c r="EH2616" s="4"/>
      <c r="EI2616" s="4"/>
      <c r="EJ2616" s="4"/>
      <c r="EK2616" s="4"/>
      <c r="EL2616" s="4"/>
      <c r="EM2616" s="4"/>
      <c r="EN2616" s="4"/>
      <c r="EO2616" s="4"/>
      <c r="EP2616" s="4"/>
      <c r="EQ2616" s="4"/>
      <c r="ER2616" s="4"/>
      <c r="ES2616" s="4"/>
      <c r="ET2616" s="4"/>
      <c r="EU2616" s="4"/>
      <c r="EV2616" s="4"/>
      <c r="EW2616" s="4"/>
      <c r="EX2616" s="4"/>
      <c r="EY2616" s="4"/>
      <c r="EZ2616" s="4"/>
      <c r="FA2616" s="4"/>
      <c r="FB2616" s="4"/>
      <c r="FC2616" s="4"/>
      <c r="FD2616" s="4"/>
      <c r="FE2616" s="4"/>
      <c r="FF2616" s="4"/>
      <c r="FG2616" s="4"/>
      <c r="FH2616" s="4"/>
      <c r="FI2616" s="4"/>
      <c r="FJ2616" s="4"/>
      <c r="FK2616" s="4"/>
      <c r="FL2616" s="4"/>
      <c r="FM2616" s="4"/>
      <c r="FN2616" s="4"/>
      <c r="FO2616" s="4"/>
      <c r="FP2616" s="4"/>
      <c r="FQ2616" s="4"/>
      <c r="FR2616" s="4"/>
      <c r="FS2616" s="4"/>
      <c r="FT2616" s="4"/>
      <c r="FU2616" s="4"/>
      <c r="FV2616" s="4"/>
      <c r="FW2616" s="4"/>
      <c r="FX2616" s="4"/>
      <c r="FY2616" s="4"/>
      <c r="FZ2616" s="4"/>
      <c r="GA2616" s="4"/>
      <c r="GB2616" s="4"/>
      <c r="GC2616" s="4"/>
      <c r="GD2616" s="4"/>
      <c r="GE2616" s="4"/>
      <c r="GF2616" s="4"/>
      <c r="GG2616" s="4"/>
      <c r="GH2616" s="4"/>
      <c r="GI2616" s="4"/>
      <c r="GJ2616" s="4"/>
      <c r="GK2616" s="4"/>
      <c r="GL2616" s="4"/>
      <c r="GM2616" s="4"/>
      <c r="GN2616" s="4"/>
      <c r="GO2616" s="4"/>
      <c r="GP2616" s="4"/>
      <c r="GQ2616" s="4"/>
      <c r="GR2616" s="4"/>
      <c r="GS2616" s="4"/>
      <c r="GT2616" s="4"/>
      <c r="GU2616" s="4"/>
      <c r="GV2616" s="4"/>
      <c r="GW2616" s="4"/>
      <c r="GX2616" s="4"/>
      <c r="GY2616" s="4"/>
      <c r="GZ2616" s="4"/>
      <c r="HA2616" s="4"/>
      <c r="HB2616" s="4"/>
      <c r="HC2616" s="4"/>
      <c r="HD2616" s="4"/>
      <c r="HE2616" s="4"/>
      <c r="HF2616" s="4"/>
      <c r="HG2616" s="4"/>
      <c r="HH2616" s="4"/>
      <c r="HI2616" s="4"/>
      <c r="HJ2616" s="4"/>
      <c r="HK2616" s="4"/>
      <c r="HL2616" s="4"/>
    </row>
    <row r="2617">
      <c r="A2617" s="2" t="s">
        <v>11193</v>
      </c>
      <c r="B2617" s="2" t="s">
        <v>992</v>
      </c>
      <c r="C2617" s="2" t="s">
        <v>288</v>
      </c>
      <c r="D2617" s="2" t="s">
        <v>993</v>
      </c>
      <c r="E2617" s="2" t="s">
        <v>994</v>
      </c>
      <c r="F2617" s="2" t="s">
        <v>11194</v>
      </c>
      <c r="G2617" s="2" t="s">
        <v>11195</v>
      </c>
      <c r="H2617" s="2" t="s">
        <v>11196</v>
      </c>
      <c r="I2617" s="2" t="s">
        <v>11197</v>
      </c>
      <c r="J2617" s="2" t="s">
        <v>1450</v>
      </c>
      <c r="K2617" s="2" t="s">
        <v>11198</v>
      </c>
      <c r="L2617" s="3">
        <v>20.7</v>
      </c>
      <c r="M2617" s="3">
        <v>21.74</v>
      </c>
      <c r="N2617" s="3">
        <v>44.99</v>
      </c>
      <c r="O2617" s="2" t="s">
        <v>250</v>
      </c>
      <c r="P2617" s="2" t="s">
        <v>341</v>
      </c>
      <c r="Q2617" s="2" t="s">
        <v>237</v>
      </c>
      <c r="R2617" s="2" t="s">
        <v>231</v>
      </c>
      <c r="S2617" s="2" t="s">
        <v>11199</v>
      </c>
      <c r="T2617" s="2" t="s">
        <v>231</v>
      </c>
      <c r="U2617" s="2" t="s">
        <v>327</v>
      </c>
      <c r="V2617" s="2" t="s">
        <v>1685</v>
      </c>
      <c r="W2617" s="2" t="s">
        <v>691</v>
      </c>
      <c r="X2617" s="2" t="s">
        <v>231</v>
      </c>
      <c r="Y2617" s="2" t="s">
        <v>274</v>
      </c>
      <c r="Z2617" s="4">
        <v>70</v>
      </c>
      <c r="AA2617" s="4">
        <f>=ROUNDDOWN(46.6666666666667,0)</f>
      </c>
      <c r="AB2617" s="5">
        <v>1.5</v>
      </c>
      <c r="AC2617" s="2" t="s">
        <v>231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231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231</v>
      </c>
      <c r="BD2617" s="8" t="s">
        <v>231</v>
      </c>
      <c r="BE2617" s="4" t="s">
        <v>231</v>
      </c>
      <c r="BF2617" s="8" t="s">
        <v>231</v>
      </c>
      <c r="BG2617" s="7" t="s">
        <v>231</v>
      </c>
      <c r="BH2617" s="7" t="s">
        <v>231</v>
      </c>
      <c r="BI2617" s="7"/>
      <c r="BJ2617" s="4">
        <v>5</v>
      </c>
      <c r="BK2617" s="8">
        <v>63.08</v>
      </c>
      <c r="BL2617" s="2" t="s">
        <v>587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11200</v>
      </c>
      <c r="BV2617" s="2" t="s">
        <v>231</v>
      </c>
      <c r="BW2617" s="2" t="s">
        <v>231</v>
      </c>
      <c r="BX2617" s="2" t="s">
        <v>231</v>
      </c>
      <c r="BY2617" s="2" t="s">
        <v>277</v>
      </c>
      <c r="BZ2617" s="2" t="s">
        <v>243</v>
      </c>
      <c r="CA2617" s="2" t="s">
        <v>284</v>
      </c>
      <c r="CB2617" s="2" t="s">
        <v>11201</v>
      </c>
      <c r="CC2617" s="2" t="s">
        <v>244</v>
      </c>
      <c r="CD2617" s="2" t="s">
        <v>231</v>
      </c>
      <c r="CE2617" s="4">
        <v>70</v>
      </c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/>
      <c r="DM2617" s="4"/>
      <c r="DN2617" s="4"/>
      <c r="DO2617" s="4"/>
      <c r="DP2617" s="4"/>
      <c r="DQ2617" s="4"/>
      <c r="DR2617" s="4"/>
      <c r="DS2617" s="4"/>
      <c r="DT2617" s="4"/>
      <c r="DU2617" s="4"/>
      <c r="DV2617" s="4"/>
      <c r="DW2617" s="4"/>
      <c r="DX2617" s="4"/>
      <c r="DY2617" s="4"/>
      <c r="DZ2617" s="4"/>
      <c r="EA2617" s="4"/>
      <c r="EB2617" s="4"/>
      <c r="EC2617" s="4"/>
      <c r="ED2617" s="4"/>
      <c r="EE2617" s="4"/>
      <c r="EF2617" s="4"/>
      <c r="EG2617" s="4"/>
      <c r="EH2617" s="4"/>
      <c r="EI2617" s="4"/>
      <c r="EJ2617" s="4"/>
      <c r="EK2617" s="4"/>
      <c r="EL2617" s="4"/>
      <c r="EM2617" s="4"/>
      <c r="EN2617" s="4"/>
      <c r="EO2617" s="4"/>
      <c r="EP2617" s="4"/>
      <c r="EQ2617" s="4"/>
      <c r="ER2617" s="4"/>
      <c r="ES2617" s="4"/>
      <c r="ET2617" s="4"/>
      <c r="EU2617" s="4"/>
      <c r="EV2617" s="4"/>
      <c r="EW2617" s="4"/>
      <c r="EX2617" s="4"/>
      <c r="EY2617" s="4"/>
      <c r="EZ2617" s="4"/>
      <c r="FA2617" s="4"/>
      <c r="FB2617" s="4"/>
      <c r="FC2617" s="4"/>
      <c r="FD2617" s="4"/>
      <c r="FE2617" s="4"/>
      <c r="FF2617" s="4"/>
      <c r="FG2617" s="4"/>
      <c r="FH2617" s="4"/>
      <c r="FI2617" s="4"/>
      <c r="FJ2617" s="4"/>
      <c r="FK2617" s="4"/>
      <c r="FL2617" s="4"/>
      <c r="FM2617" s="4"/>
      <c r="FN2617" s="4"/>
      <c r="FO2617" s="4"/>
      <c r="FP2617" s="4"/>
      <c r="FQ2617" s="4"/>
      <c r="FR2617" s="4"/>
      <c r="FS2617" s="4"/>
      <c r="FT2617" s="4"/>
      <c r="FU2617" s="4"/>
      <c r="FV2617" s="4"/>
      <c r="FW2617" s="4"/>
      <c r="FX2617" s="4"/>
      <c r="FY2617" s="4"/>
      <c r="FZ2617" s="4"/>
      <c r="GA2617" s="4"/>
      <c r="GB2617" s="4"/>
      <c r="GC2617" s="4"/>
      <c r="GD2617" s="4"/>
      <c r="GE2617" s="4"/>
      <c r="GF2617" s="4"/>
      <c r="GG2617" s="4"/>
      <c r="GH2617" s="4"/>
      <c r="GI2617" s="4"/>
      <c r="GJ2617" s="4"/>
      <c r="GK2617" s="4"/>
      <c r="GL2617" s="4"/>
      <c r="GM2617" s="4"/>
      <c r="GN2617" s="4"/>
      <c r="GO2617" s="4"/>
      <c r="GP2617" s="4"/>
      <c r="GQ2617" s="4"/>
      <c r="GR2617" s="4"/>
      <c r="GS2617" s="4"/>
      <c r="GT2617" s="4"/>
      <c r="GU2617" s="4"/>
      <c r="GV2617" s="4"/>
      <c r="GW2617" s="4"/>
      <c r="GX2617" s="4"/>
      <c r="GY2617" s="4"/>
      <c r="GZ2617" s="4"/>
      <c r="HA2617" s="4"/>
      <c r="HB2617" s="4"/>
      <c r="HC2617" s="4"/>
      <c r="HD2617" s="4"/>
      <c r="HE2617" s="4"/>
      <c r="HF2617" s="4"/>
      <c r="HG2617" s="4"/>
      <c r="HH2617" s="4"/>
      <c r="HI2617" s="4"/>
      <c r="HJ2617" s="4"/>
      <c r="HK2617" s="4"/>
      <c r="HL2617" s="4"/>
    </row>
    <row r="2618">
      <c r="A2618" s="2" t="s">
        <v>11202</v>
      </c>
      <c r="B2618" s="2" t="s">
        <v>992</v>
      </c>
      <c r="C2618" s="2" t="s">
        <v>288</v>
      </c>
      <c r="D2618" s="2" t="s">
        <v>993</v>
      </c>
      <c r="E2618" s="2" t="s">
        <v>994</v>
      </c>
      <c r="F2618" s="2" t="s">
        <v>11194</v>
      </c>
      <c r="G2618" s="2" t="s">
        <v>11195</v>
      </c>
      <c r="H2618" s="2" t="s">
        <v>11196</v>
      </c>
      <c r="I2618" s="2" t="s">
        <v>11197</v>
      </c>
      <c r="J2618" s="2" t="s">
        <v>1703</v>
      </c>
      <c r="K2618" s="2" t="s">
        <v>11203</v>
      </c>
      <c r="L2618" s="3">
        <v>13.5</v>
      </c>
      <c r="M2618" s="3">
        <v>14.18</v>
      </c>
      <c r="N2618" s="3">
        <v>29.99</v>
      </c>
      <c r="O2618" s="2" t="s">
        <v>243</v>
      </c>
      <c r="P2618" s="2" t="s">
        <v>341</v>
      </c>
      <c r="Q2618" s="2" t="s">
        <v>237</v>
      </c>
      <c r="R2618" s="2" t="s">
        <v>231</v>
      </c>
      <c r="S2618" s="2" t="s">
        <v>11204</v>
      </c>
      <c r="T2618" s="2" t="s">
        <v>231</v>
      </c>
      <c r="U2618" s="2" t="s">
        <v>327</v>
      </c>
      <c r="V2618" s="2" t="s">
        <v>1685</v>
      </c>
      <c r="W2618" s="2" t="s">
        <v>691</v>
      </c>
      <c r="X2618" s="2" t="s">
        <v>1520</v>
      </c>
      <c r="Y2618" s="2" t="s">
        <v>274</v>
      </c>
      <c r="Z2618" s="4">
        <v>151</v>
      </c>
      <c r="AA2618" s="4">
        <f>=ROUNDDOWN(21.5714285714286,0)</f>
      </c>
      <c r="AB2618" s="5">
        <v>7</v>
      </c>
      <c r="AC2618" s="2" t="s">
        <v>231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231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231</v>
      </c>
      <c r="AW2618" s="8" t="s">
        <v>231</v>
      </c>
      <c r="AX2618" s="4" t="s">
        <v>231</v>
      </c>
      <c r="AY2618" s="8" t="s">
        <v>231</v>
      </c>
      <c r="AZ2618" s="7" t="s">
        <v>231</v>
      </c>
      <c r="BA2618" s="7" t="s">
        <v>231</v>
      </c>
      <c r="BB2618" s="7"/>
      <c r="BC2618" s="4" t="s">
        <v>231</v>
      </c>
      <c r="BD2618" s="8" t="s">
        <v>231</v>
      </c>
      <c r="BE2618" s="4" t="s">
        <v>231</v>
      </c>
      <c r="BF2618" s="8" t="s">
        <v>231</v>
      </c>
      <c r="BG2618" s="7" t="s">
        <v>231</v>
      </c>
      <c r="BH2618" s="7" t="s">
        <v>231</v>
      </c>
      <c r="BI2618" s="7"/>
      <c r="BJ2618" s="4">
        <v>19</v>
      </c>
      <c r="BK2618" s="8">
        <v>229.63</v>
      </c>
      <c r="BL2618" s="2" t="s">
        <v>578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11205</v>
      </c>
      <c r="BV2618" s="2" t="s">
        <v>231</v>
      </c>
      <c r="BW2618" s="2" t="s">
        <v>231</v>
      </c>
      <c r="BX2618" s="2" t="s">
        <v>241</v>
      </c>
      <c r="BY2618" s="2" t="s">
        <v>277</v>
      </c>
      <c r="BZ2618" s="2" t="s">
        <v>243</v>
      </c>
      <c r="CA2618" s="2" t="s">
        <v>284</v>
      </c>
      <c r="CB2618" s="2" t="s">
        <v>8913</v>
      </c>
      <c r="CC2618" s="2" t="s">
        <v>244</v>
      </c>
      <c r="CD2618" s="2" t="s">
        <v>231</v>
      </c>
      <c r="CE2618" s="4">
        <v>151</v>
      </c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/>
      <c r="DM2618" s="4"/>
      <c r="DN2618" s="4"/>
      <c r="DO2618" s="4"/>
      <c r="DP2618" s="4"/>
      <c r="DQ2618" s="4"/>
      <c r="DR2618" s="4"/>
      <c r="DS2618" s="4"/>
      <c r="DT2618" s="4"/>
      <c r="DU2618" s="4"/>
      <c r="DV2618" s="4"/>
      <c r="DW2618" s="4"/>
      <c r="DX2618" s="4"/>
      <c r="DY2618" s="4"/>
      <c r="DZ2618" s="4"/>
      <c r="EA2618" s="4"/>
      <c r="EB2618" s="4"/>
      <c r="EC2618" s="4"/>
      <c r="ED2618" s="4"/>
      <c r="EE2618" s="4"/>
      <c r="EF2618" s="4"/>
      <c r="EG2618" s="4"/>
      <c r="EH2618" s="4"/>
      <c r="EI2618" s="4"/>
      <c r="EJ2618" s="4"/>
      <c r="EK2618" s="4"/>
      <c r="EL2618" s="4"/>
      <c r="EM2618" s="4"/>
      <c r="EN2618" s="4"/>
      <c r="EO2618" s="4"/>
      <c r="EP2618" s="4"/>
      <c r="EQ2618" s="4"/>
      <c r="ER2618" s="4"/>
      <c r="ES2618" s="4"/>
      <c r="ET2618" s="4"/>
      <c r="EU2618" s="4"/>
      <c r="EV2618" s="4"/>
      <c r="EW2618" s="4"/>
      <c r="EX2618" s="4"/>
      <c r="EY2618" s="4"/>
      <c r="EZ2618" s="4"/>
      <c r="FA2618" s="4"/>
      <c r="FB2618" s="4"/>
      <c r="FC2618" s="4"/>
      <c r="FD2618" s="4"/>
      <c r="FE2618" s="4"/>
      <c r="FF2618" s="4"/>
      <c r="FG2618" s="4"/>
      <c r="FH2618" s="4"/>
      <c r="FI2618" s="4"/>
      <c r="FJ2618" s="4"/>
      <c r="FK2618" s="4"/>
      <c r="FL2618" s="4"/>
      <c r="FM2618" s="4"/>
      <c r="FN2618" s="4"/>
      <c r="FO2618" s="4"/>
      <c r="FP2618" s="4"/>
      <c r="FQ2618" s="4"/>
      <c r="FR2618" s="4"/>
      <c r="FS2618" s="4"/>
      <c r="FT2618" s="4"/>
      <c r="FU2618" s="4"/>
      <c r="FV2618" s="4"/>
      <c r="FW2618" s="4"/>
      <c r="FX2618" s="4"/>
      <c r="FY2618" s="4"/>
      <c r="FZ2618" s="4"/>
      <c r="GA2618" s="4"/>
      <c r="GB2618" s="4"/>
      <c r="GC2618" s="4"/>
      <c r="GD2618" s="4"/>
      <c r="GE2618" s="4"/>
      <c r="GF2618" s="4"/>
      <c r="GG2618" s="4"/>
      <c r="GH2618" s="4"/>
      <c r="GI2618" s="4"/>
      <c r="GJ2618" s="4"/>
      <c r="GK2618" s="4"/>
      <c r="GL2618" s="4"/>
      <c r="GM2618" s="4"/>
      <c r="GN2618" s="4"/>
      <c r="GO2618" s="4"/>
      <c r="GP2618" s="4"/>
      <c r="GQ2618" s="4"/>
      <c r="GR2618" s="4"/>
      <c r="GS2618" s="4"/>
      <c r="GT2618" s="4"/>
      <c r="GU2618" s="4"/>
      <c r="GV2618" s="4"/>
      <c r="GW2618" s="4"/>
      <c r="GX2618" s="4"/>
      <c r="GY2618" s="4"/>
      <c r="GZ2618" s="4"/>
      <c r="HA2618" s="4"/>
      <c r="HB2618" s="4"/>
      <c r="HC2618" s="4"/>
      <c r="HD2618" s="4"/>
      <c r="HE2618" s="4"/>
      <c r="HF2618" s="4"/>
      <c r="HG2618" s="4"/>
      <c r="HH2618" s="4"/>
      <c r="HI2618" s="4"/>
      <c r="HJ2618" s="4"/>
      <c r="HK2618" s="4"/>
      <c r="HL2618" s="4"/>
    </row>
    <row r="2619">
      <c r="A2619" s="2" t="s">
        <v>11206</v>
      </c>
      <c r="B2619" s="2" t="s">
        <v>992</v>
      </c>
      <c r="C2619" s="2" t="s">
        <v>288</v>
      </c>
      <c r="D2619" s="2" t="s">
        <v>993</v>
      </c>
      <c r="E2619" s="2" t="s">
        <v>994</v>
      </c>
      <c r="F2619" s="2" t="s">
        <v>11194</v>
      </c>
      <c r="G2619" s="2" t="s">
        <v>11195</v>
      </c>
      <c r="H2619" s="2" t="s">
        <v>11196</v>
      </c>
      <c r="I2619" s="2" t="s">
        <v>11197</v>
      </c>
      <c r="J2619" s="2" t="s">
        <v>1586</v>
      </c>
      <c r="K2619" s="2" t="s">
        <v>11203</v>
      </c>
      <c r="L2619" s="3">
        <v>18.4</v>
      </c>
      <c r="M2619" s="3">
        <v>19.32</v>
      </c>
      <c r="N2619" s="3">
        <v>39.99</v>
      </c>
      <c r="O2619" s="2" t="s">
        <v>243</v>
      </c>
      <c r="P2619" s="2" t="s">
        <v>341</v>
      </c>
      <c r="Q2619" s="2" t="s">
        <v>237</v>
      </c>
      <c r="R2619" s="2" t="s">
        <v>231</v>
      </c>
      <c r="S2619" s="2" t="s">
        <v>11204</v>
      </c>
      <c r="T2619" s="2" t="s">
        <v>231</v>
      </c>
      <c r="U2619" s="2" t="s">
        <v>327</v>
      </c>
      <c r="V2619" s="2" t="s">
        <v>1685</v>
      </c>
      <c r="W2619" s="2" t="s">
        <v>691</v>
      </c>
      <c r="X2619" s="2" t="s">
        <v>1520</v>
      </c>
      <c r="Y2619" s="2" t="s">
        <v>274</v>
      </c>
      <c r="Z2619" s="4">
        <v>114</v>
      </c>
      <c r="AA2619" s="4">
        <f>=ROUNDDOWN(14.25,0)</f>
      </c>
      <c r="AB2619" s="5">
        <v>8</v>
      </c>
      <c r="AC2619" s="2" t="s">
        <v>231</v>
      </c>
      <c r="AD2619" s="4"/>
      <c r="AE2619" s="4"/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231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231</v>
      </c>
      <c r="AW2619" s="8" t="s">
        <v>231</v>
      </c>
      <c r="AX2619" s="4" t="s">
        <v>231</v>
      </c>
      <c r="AY2619" s="8" t="s">
        <v>231</v>
      </c>
      <c r="AZ2619" s="7" t="s">
        <v>231</v>
      </c>
      <c r="BA2619" s="7" t="s">
        <v>231</v>
      </c>
      <c r="BB2619" s="7"/>
      <c r="BC2619" s="4" t="s">
        <v>231</v>
      </c>
      <c r="BD2619" s="8" t="s">
        <v>231</v>
      </c>
      <c r="BE2619" s="4" t="s">
        <v>231</v>
      </c>
      <c r="BF2619" s="8" t="s">
        <v>231</v>
      </c>
      <c r="BG2619" s="7" t="s">
        <v>231</v>
      </c>
      <c r="BH2619" s="7" t="s">
        <v>231</v>
      </c>
      <c r="BI2619" s="7"/>
      <c r="BJ2619" s="4">
        <v>13</v>
      </c>
      <c r="BK2619" s="8">
        <v>221.89</v>
      </c>
      <c r="BL2619" s="2" t="s">
        <v>11207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11208</v>
      </c>
      <c r="BV2619" s="2" t="s">
        <v>231</v>
      </c>
      <c r="BW2619" s="2" t="s">
        <v>231</v>
      </c>
      <c r="BX2619" s="2" t="s">
        <v>241</v>
      </c>
      <c r="BY2619" s="2" t="s">
        <v>277</v>
      </c>
      <c r="BZ2619" s="2" t="s">
        <v>243</v>
      </c>
      <c r="CA2619" s="2" t="s">
        <v>284</v>
      </c>
      <c r="CB2619" s="2" t="s">
        <v>11209</v>
      </c>
      <c r="CC2619" s="2" t="s">
        <v>244</v>
      </c>
      <c r="CD2619" s="2" t="s">
        <v>231</v>
      </c>
      <c r="CE2619" s="4">
        <v>114</v>
      </c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  <c r="DL2619" s="4"/>
      <c r="DM2619" s="4"/>
      <c r="DN2619" s="4"/>
      <c r="DO2619" s="4"/>
      <c r="DP2619" s="4"/>
      <c r="DQ2619" s="4"/>
      <c r="DR2619" s="4"/>
      <c r="DS2619" s="4"/>
      <c r="DT2619" s="4"/>
      <c r="DU2619" s="4"/>
      <c r="DV2619" s="4"/>
      <c r="DW2619" s="4"/>
      <c r="DX2619" s="4"/>
      <c r="DY2619" s="4"/>
      <c r="DZ2619" s="4"/>
      <c r="EA2619" s="4"/>
      <c r="EB2619" s="4"/>
      <c r="EC2619" s="4"/>
      <c r="ED2619" s="4"/>
      <c r="EE2619" s="4"/>
      <c r="EF2619" s="4"/>
      <c r="EG2619" s="4"/>
      <c r="EH2619" s="4"/>
      <c r="EI2619" s="4"/>
      <c r="EJ2619" s="4"/>
      <c r="EK2619" s="4"/>
      <c r="EL2619" s="4"/>
      <c r="EM2619" s="4"/>
      <c r="EN2619" s="4"/>
      <c r="EO2619" s="4"/>
      <c r="EP2619" s="4"/>
      <c r="EQ2619" s="4"/>
      <c r="ER2619" s="4"/>
      <c r="ES2619" s="4"/>
      <c r="ET2619" s="4"/>
      <c r="EU2619" s="4"/>
      <c r="EV2619" s="4"/>
      <c r="EW2619" s="4"/>
      <c r="EX2619" s="4"/>
      <c r="EY2619" s="4"/>
      <c r="EZ2619" s="4"/>
      <c r="FA2619" s="4"/>
      <c r="FB2619" s="4"/>
      <c r="FC2619" s="4"/>
      <c r="FD2619" s="4"/>
      <c r="FE2619" s="4"/>
      <c r="FF2619" s="4"/>
      <c r="FG2619" s="4"/>
      <c r="FH2619" s="4"/>
      <c r="FI2619" s="4"/>
      <c r="FJ2619" s="4"/>
      <c r="FK2619" s="4"/>
      <c r="FL2619" s="4"/>
      <c r="FM2619" s="4"/>
      <c r="FN2619" s="4"/>
      <c r="FO2619" s="4"/>
      <c r="FP2619" s="4"/>
      <c r="FQ2619" s="4"/>
      <c r="FR2619" s="4"/>
      <c r="FS2619" s="4"/>
      <c r="FT2619" s="4"/>
      <c r="FU2619" s="4"/>
      <c r="FV2619" s="4"/>
      <c r="FW2619" s="4"/>
      <c r="FX2619" s="4"/>
      <c r="FY2619" s="4"/>
      <c r="FZ2619" s="4"/>
      <c r="GA2619" s="4"/>
      <c r="GB2619" s="4"/>
      <c r="GC2619" s="4"/>
      <c r="GD2619" s="4"/>
      <c r="GE2619" s="4"/>
      <c r="GF2619" s="4"/>
      <c r="GG2619" s="4"/>
      <c r="GH2619" s="4"/>
      <c r="GI2619" s="4"/>
      <c r="GJ2619" s="4"/>
      <c r="GK2619" s="4"/>
      <c r="GL2619" s="4"/>
      <c r="GM2619" s="4"/>
      <c r="GN2619" s="4"/>
      <c r="GO2619" s="4"/>
      <c r="GP2619" s="4"/>
      <c r="GQ2619" s="4"/>
      <c r="GR2619" s="4"/>
      <c r="GS2619" s="4"/>
      <c r="GT2619" s="4"/>
      <c r="GU2619" s="4"/>
      <c r="GV2619" s="4"/>
      <c r="GW2619" s="4"/>
      <c r="GX2619" s="4"/>
      <c r="GY2619" s="4"/>
      <c r="GZ2619" s="4"/>
      <c r="HA2619" s="4"/>
      <c r="HB2619" s="4"/>
      <c r="HC2619" s="4"/>
      <c r="HD2619" s="4"/>
      <c r="HE2619" s="4"/>
      <c r="HF2619" s="4"/>
      <c r="HG2619" s="4"/>
      <c r="HH2619" s="4"/>
      <c r="HI2619" s="4"/>
      <c r="HJ2619" s="4"/>
      <c r="HK2619" s="4"/>
      <c r="HL2619" s="4"/>
    </row>
    <row r="2620">
      <c r="A2620" s="2" t="s">
        <v>11210</v>
      </c>
      <c r="B2620" s="2" t="s">
        <v>992</v>
      </c>
      <c r="C2620" s="2" t="s">
        <v>288</v>
      </c>
      <c r="D2620" s="2" t="s">
        <v>993</v>
      </c>
      <c r="E2620" s="2" t="s">
        <v>994</v>
      </c>
      <c r="F2620" s="2" t="s">
        <v>11194</v>
      </c>
      <c r="G2620" s="2" t="s">
        <v>11195</v>
      </c>
      <c r="H2620" s="2" t="s">
        <v>11196</v>
      </c>
      <c r="I2620" s="2" t="s">
        <v>11197</v>
      </c>
      <c r="J2620" s="2" t="s">
        <v>1450</v>
      </c>
      <c r="K2620" s="2" t="s">
        <v>11203</v>
      </c>
      <c r="L2620" s="3">
        <v>20.7</v>
      </c>
      <c r="M2620" s="3">
        <v>21.74</v>
      </c>
      <c r="N2620" s="3">
        <v>44.99</v>
      </c>
      <c r="O2620" s="2" t="s">
        <v>243</v>
      </c>
      <c r="P2620" s="2" t="s">
        <v>341</v>
      </c>
      <c r="Q2620" s="2" t="s">
        <v>237</v>
      </c>
      <c r="R2620" s="2" t="s">
        <v>231</v>
      </c>
      <c r="S2620" s="2" t="s">
        <v>11204</v>
      </c>
      <c r="T2620" s="2" t="s">
        <v>231</v>
      </c>
      <c r="U2620" s="2" t="s">
        <v>327</v>
      </c>
      <c r="V2620" s="2" t="s">
        <v>1685</v>
      </c>
      <c r="W2620" s="2" t="s">
        <v>691</v>
      </c>
      <c r="X2620" s="2" t="s">
        <v>1520</v>
      </c>
      <c r="Y2620" s="2" t="s">
        <v>274</v>
      </c>
      <c r="Z2620" s="4">
        <v>271</v>
      </c>
      <c r="AA2620" s="4">
        <f>=ROUNDDOWN(90.3333333333333,0)</f>
      </c>
      <c r="AB2620" s="5">
        <v>3</v>
      </c>
      <c r="AC2620" s="2" t="s">
        <v>231</v>
      </c>
      <c r="AD2620" s="4"/>
      <c r="AE2620" s="4"/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231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231</v>
      </c>
      <c r="AW2620" s="8" t="s">
        <v>231</v>
      </c>
      <c r="AX2620" s="4" t="s">
        <v>231</v>
      </c>
      <c r="AY2620" s="8" t="s">
        <v>231</v>
      </c>
      <c r="AZ2620" s="7" t="s">
        <v>231</v>
      </c>
      <c r="BA2620" s="7" t="s">
        <v>231</v>
      </c>
      <c r="BB2620" s="7"/>
      <c r="BC2620" s="4" t="s">
        <v>231</v>
      </c>
      <c r="BD2620" s="8" t="s">
        <v>231</v>
      </c>
      <c r="BE2620" s="4" t="s">
        <v>231</v>
      </c>
      <c r="BF2620" s="8" t="s">
        <v>231</v>
      </c>
      <c r="BG2620" s="7" t="s">
        <v>231</v>
      </c>
      <c r="BH2620" s="7" t="s">
        <v>231</v>
      </c>
      <c r="BI2620" s="7"/>
      <c r="BJ2620" s="4">
        <v>23</v>
      </c>
      <c r="BK2620" s="8">
        <v>367.95</v>
      </c>
      <c r="BL2620" s="2" t="s">
        <v>4084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11211</v>
      </c>
      <c r="BV2620" s="2" t="s">
        <v>231</v>
      </c>
      <c r="BW2620" s="2" t="s">
        <v>231</v>
      </c>
      <c r="BX2620" s="2" t="s">
        <v>241</v>
      </c>
      <c r="BY2620" s="2" t="s">
        <v>277</v>
      </c>
      <c r="BZ2620" s="2" t="s">
        <v>243</v>
      </c>
      <c r="CA2620" s="2" t="s">
        <v>284</v>
      </c>
      <c r="CB2620" s="2" t="s">
        <v>534</v>
      </c>
      <c r="CC2620" s="2" t="s">
        <v>244</v>
      </c>
      <c r="CD2620" s="2" t="s">
        <v>231</v>
      </c>
      <c r="CE2620" s="4">
        <v>271</v>
      </c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  <c r="DL2620" s="4"/>
      <c r="DM2620" s="4"/>
      <c r="DN2620" s="4"/>
      <c r="DO2620" s="4"/>
      <c r="DP2620" s="4"/>
      <c r="DQ2620" s="4"/>
      <c r="DR2620" s="4"/>
      <c r="DS2620" s="4"/>
      <c r="DT2620" s="4"/>
      <c r="DU2620" s="4"/>
      <c r="DV2620" s="4"/>
      <c r="DW2620" s="4"/>
      <c r="DX2620" s="4"/>
      <c r="DY2620" s="4"/>
      <c r="DZ2620" s="4"/>
      <c r="EA2620" s="4"/>
      <c r="EB2620" s="4"/>
      <c r="EC2620" s="4"/>
      <c r="ED2620" s="4"/>
      <c r="EE2620" s="4"/>
      <c r="EF2620" s="4"/>
      <c r="EG2620" s="4"/>
      <c r="EH2620" s="4"/>
      <c r="EI2620" s="4"/>
      <c r="EJ2620" s="4"/>
      <c r="EK2620" s="4"/>
      <c r="EL2620" s="4"/>
      <c r="EM2620" s="4"/>
      <c r="EN2620" s="4"/>
      <c r="EO2620" s="4"/>
      <c r="EP2620" s="4"/>
      <c r="EQ2620" s="4"/>
      <c r="ER2620" s="4"/>
      <c r="ES2620" s="4"/>
      <c r="ET2620" s="4"/>
      <c r="EU2620" s="4"/>
      <c r="EV2620" s="4"/>
      <c r="EW2620" s="4"/>
      <c r="EX2620" s="4"/>
      <c r="EY2620" s="4"/>
      <c r="EZ2620" s="4"/>
      <c r="FA2620" s="4"/>
      <c r="FB2620" s="4"/>
      <c r="FC2620" s="4"/>
      <c r="FD2620" s="4"/>
      <c r="FE2620" s="4"/>
      <c r="FF2620" s="4"/>
      <c r="FG2620" s="4"/>
      <c r="FH2620" s="4"/>
      <c r="FI2620" s="4"/>
      <c r="FJ2620" s="4"/>
      <c r="FK2620" s="4"/>
      <c r="FL2620" s="4"/>
      <c r="FM2620" s="4"/>
      <c r="FN2620" s="4"/>
      <c r="FO2620" s="4"/>
      <c r="FP2620" s="4"/>
      <c r="FQ2620" s="4"/>
      <c r="FR2620" s="4"/>
      <c r="FS2620" s="4"/>
      <c r="FT2620" s="4"/>
      <c r="FU2620" s="4"/>
      <c r="FV2620" s="4"/>
      <c r="FW2620" s="4"/>
      <c r="FX2620" s="4"/>
      <c r="FY2620" s="4"/>
      <c r="FZ2620" s="4"/>
      <c r="GA2620" s="4"/>
      <c r="GB2620" s="4"/>
      <c r="GC2620" s="4"/>
      <c r="GD2620" s="4"/>
      <c r="GE2620" s="4"/>
      <c r="GF2620" s="4"/>
      <c r="GG2620" s="4"/>
      <c r="GH2620" s="4"/>
      <c r="GI2620" s="4"/>
      <c r="GJ2620" s="4"/>
      <c r="GK2620" s="4"/>
      <c r="GL2620" s="4"/>
      <c r="GM2620" s="4"/>
      <c r="GN2620" s="4"/>
      <c r="GO2620" s="4"/>
      <c r="GP2620" s="4"/>
      <c r="GQ2620" s="4"/>
      <c r="GR2620" s="4"/>
      <c r="GS2620" s="4"/>
      <c r="GT2620" s="4"/>
      <c r="GU2620" s="4"/>
      <c r="GV2620" s="4"/>
      <c r="GW2620" s="4"/>
      <c r="GX2620" s="4"/>
      <c r="GY2620" s="4"/>
      <c r="GZ2620" s="4"/>
      <c r="HA2620" s="4"/>
      <c r="HB2620" s="4"/>
      <c r="HC2620" s="4"/>
      <c r="HD2620" s="4"/>
      <c r="HE2620" s="4"/>
      <c r="HF2620" s="4"/>
      <c r="HG2620" s="4"/>
      <c r="HH2620" s="4"/>
      <c r="HI2620" s="4"/>
      <c r="HJ2620" s="4"/>
      <c r="HK2620" s="4"/>
      <c r="HL2620" s="4"/>
    </row>
    <row r="2621">
      <c r="A2621" s="2" t="s">
        <v>11212</v>
      </c>
      <c r="B2621" s="2" t="s">
        <v>992</v>
      </c>
      <c r="C2621" s="2" t="s">
        <v>288</v>
      </c>
      <c r="D2621" s="2" t="s">
        <v>1525</v>
      </c>
      <c r="E2621" s="2" t="s">
        <v>1526</v>
      </c>
      <c r="F2621" s="2" t="s">
        <v>11194</v>
      </c>
      <c r="G2621" s="2" t="s">
        <v>11195</v>
      </c>
      <c r="H2621" s="2" t="s">
        <v>11196</v>
      </c>
      <c r="I2621" s="2" t="s">
        <v>11213</v>
      </c>
      <c r="J2621" s="2" t="s">
        <v>1528</v>
      </c>
      <c r="K2621" s="2" t="s">
        <v>11203</v>
      </c>
      <c r="L2621" s="3">
        <v>11.25</v>
      </c>
      <c r="M2621" s="3">
        <v>11.81</v>
      </c>
      <c r="N2621" s="3">
        <v>24.99</v>
      </c>
      <c r="O2621" s="2" t="s">
        <v>243</v>
      </c>
      <c r="P2621" s="2" t="s">
        <v>341</v>
      </c>
      <c r="Q2621" s="2" t="s">
        <v>237</v>
      </c>
      <c r="R2621" s="2" t="s">
        <v>231</v>
      </c>
      <c r="S2621" s="2" t="s">
        <v>11204</v>
      </c>
      <c r="T2621" s="2" t="s">
        <v>231</v>
      </c>
      <c r="U2621" s="2" t="s">
        <v>327</v>
      </c>
      <c r="V2621" s="2" t="s">
        <v>1685</v>
      </c>
      <c r="W2621" s="2" t="s">
        <v>691</v>
      </c>
      <c r="X2621" s="2" t="s">
        <v>231</v>
      </c>
      <c r="Y2621" s="2" t="s">
        <v>274</v>
      </c>
      <c r="Z2621" s="4">
        <v>166</v>
      </c>
      <c r="AA2621" s="4">
        <f>=ROUNDDOWN(17.1134020618557,0)</f>
      </c>
      <c r="AB2621" s="5">
        <v>9.7</v>
      </c>
      <c r="AC2621" s="2" t="s">
        <v>231</v>
      </c>
      <c r="AD2621" s="4"/>
      <c r="AE2621" s="4"/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231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231</v>
      </c>
      <c r="AW2621" s="8" t="s">
        <v>231</v>
      </c>
      <c r="AX2621" s="4" t="s">
        <v>231</v>
      </c>
      <c r="AY2621" s="8" t="s">
        <v>231</v>
      </c>
      <c r="AZ2621" s="7" t="s">
        <v>231</v>
      </c>
      <c r="BA2621" s="7" t="s">
        <v>231</v>
      </c>
      <c r="BB2621" s="7"/>
      <c r="BC2621" s="4" t="s">
        <v>231</v>
      </c>
      <c r="BD2621" s="8" t="s">
        <v>231</v>
      </c>
      <c r="BE2621" s="4" t="s">
        <v>231</v>
      </c>
      <c r="BF2621" s="8" t="s">
        <v>231</v>
      </c>
      <c r="BG2621" s="7" t="s">
        <v>231</v>
      </c>
      <c r="BH2621" s="7" t="s">
        <v>231</v>
      </c>
      <c r="BI2621" s="7"/>
      <c r="BJ2621" s="4">
        <v>41</v>
      </c>
      <c r="BK2621" s="8">
        <v>467.06</v>
      </c>
      <c r="BL2621" s="2" t="s">
        <v>11214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11215</v>
      </c>
      <c r="BV2621" s="2" t="s">
        <v>231</v>
      </c>
      <c r="BW2621" s="2" t="s">
        <v>231</v>
      </c>
      <c r="BX2621" s="2" t="s">
        <v>231</v>
      </c>
      <c r="BY2621" s="2" t="s">
        <v>277</v>
      </c>
      <c r="BZ2621" s="2" t="s">
        <v>243</v>
      </c>
      <c r="CA2621" s="2" t="s">
        <v>284</v>
      </c>
      <c r="CB2621" s="2" t="s">
        <v>561</v>
      </c>
      <c r="CC2621" s="2" t="s">
        <v>244</v>
      </c>
      <c r="CD2621" s="2" t="s">
        <v>231</v>
      </c>
      <c r="CE2621" s="4">
        <v>166</v>
      </c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/>
      <c r="DM2621" s="4"/>
      <c r="DN2621" s="4"/>
      <c r="DO2621" s="4"/>
      <c r="DP2621" s="4"/>
      <c r="DQ2621" s="4"/>
      <c r="DR2621" s="4"/>
      <c r="DS2621" s="4"/>
      <c r="DT2621" s="4"/>
      <c r="DU2621" s="4"/>
      <c r="DV2621" s="4"/>
      <c r="DW2621" s="4"/>
      <c r="DX2621" s="4"/>
      <c r="DY2621" s="4"/>
      <c r="DZ2621" s="4"/>
      <c r="EA2621" s="4"/>
      <c r="EB2621" s="4"/>
      <c r="EC2621" s="4"/>
      <c r="ED2621" s="4"/>
      <c r="EE2621" s="4"/>
      <c r="EF2621" s="4"/>
      <c r="EG2621" s="4"/>
      <c r="EH2621" s="4"/>
      <c r="EI2621" s="4"/>
      <c r="EJ2621" s="4"/>
      <c r="EK2621" s="4"/>
      <c r="EL2621" s="4"/>
      <c r="EM2621" s="4"/>
      <c r="EN2621" s="4"/>
      <c r="EO2621" s="4"/>
      <c r="EP2621" s="4"/>
      <c r="EQ2621" s="4"/>
      <c r="ER2621" s="4"/>
      <c r="ES2621" s="4"/>
      <c r="ET2621" s="4"/>
      <c r="EU2621" s="4"/>
      <c r="EV2621" s="4"/>
      <c r="EW2621" s="4"/>
      <c r="EX2621" s="4"/>
      <c r="EY2621" s="4"/>
      <c r="EZ2621" s="4"/>
      <c r="FA2621" s="4"/>
      <c r="FB2621" s="4"/>
      <c r="FC2621" s="4"/>
      <c r="FD2621" s="4"/>
      <c r="FE2621" s="4"/>
      <c r="FF2621" s="4"/>
      <c r="FG2621" s="4"/>
      <c r="FH2621" s="4"/>
      <c r="FI2621" s="4"/>
      <c r="FJ2621" s="4"/>
      <c r="FK2621" s="4"/>
      <c r="FL2621" s="4"/>
      <c r="FM2621" s="4"/>
      <c r="FN2621" s="4"/>
      <c r="FO2621" s="4"/>
      <c r="FP2621" s="4"/>
      <c r="FQ2621" s="4"/>
      <c r="FR2621" s="4"/>
      <c r="FS2621" s="4"/>
      <c r="FT2621" s="4"/>
      <c r="FU2621" s="4"/>
      <c r="FV2621" s="4"/>
      <c r="FW2621" s="4"/>
      <c r="FX2621" s="4"/>
      <c r="FY2621" s="4"/>
      <c r="FZ2621" s="4"/>
      <c r="GA2621" s="4"/>
      <c r="GB2621" s="4"/>
      <c r="GC2621" s="4"/>
      <c r="GD2621" s="4"/>
      <c r="GE2621" s="4"/>
      <c r="GF2621" s="4"/>
      <c r="GG2621" s="4"/>
      <c r="GH2621" s="4"/>
      <c r="GI2621" s="4"/>
      <c r="GJ2621" s="4"/>
      <c r="GK2621" s="4"/>
      <c r="GL2621" s="4"/>
      <c r="GM2621" s="4"/>
      <c r="GN2621" s="4"/>
      <c r="GO2621" s="4"/>
      <c r="GP2621" s="4"/>
      <c r="GQ2621" s="4"/>
      <c r="GR2621" s="4"/>
      <c r="GS2621" s="4"/>
      <c r="GT2621" s="4"/>
      <c r="GU2621" s="4"/>
      <c r="GV2621" s="4"/>
      <c r="GW2621" s="4"/>
      <c r="GX2621" s="4"/>
      <c r="GY2621" s="4"/>
      <c r="GZ2621" s="4"/>
      <c r="HA2621" s="4"/>
      <c r="HB2621" s="4"/>
      <c r="HC2621" s="4"/>
      <c r="HD2621" s="4"/>
      <c r="HE2621" s="4"/>
      <c r="HF2621" s="4"/>
      <c r="HG2621" s="4"/>
      <c r="HH2621" s="4"/>
      <c r="HI2621" s="4"/>
      <c r="HJ2621" s="4"/>
      <c r="HK2621" s="4"/>
      <c r="HL2621" s="4"/>
    </row>
    <row r="2622">
      <c r="A2622" s="2" t="s">
        <v>11216</v>
      </c>
      <c r="B2622" s="2" t="s">
        <v>992</v>
      </c>
      <c r="C2622" s="2" t="s">
        <v>288</v>
      </c>
      <c r="D2622" s="2" t="s">
        <v>993</v>
      </c>
      <c r="E2622" s="2" t="s">
        <v>994</v>
      </c>
      <c r="F2622" s="2" t="s">
        <v>11194</v>
      </c>
      <c r="G2622" s="2" t="s">
        <v>11195</v>
      </c>
      <c r="H2622" s="2" t="s">
        <v>11196</v>
      </c>
      <c r="I2622" s="2" t="s">
        <v>11197</v>
      </c>
      <c r="J2622" s="2" t="s">
        <v>1450</v>
      </c>
      <c r="K2622" s="2" t="s">
        <v>5261</v>
      </c>
      <c r="L2622" s="3">
        <v>20.7</v>
      </c>
      <c r="M2622" s="3">
        <v>21.74</v>
      </c>
      <c r="N2622" s="3">
        <v>44.99</v>
      </c>
      <c r="O2622" s="2" t="s">
        <v>243</v>
      </c>
      <c r="P2622" s="2" t="s">
        <v>270</v>
      </c>
      <c r="Q2622" s="2" t="s">
        <v>237</v>
      </c>
      <c r="R2622" s="2" t="s">
        <v>231</v>
      </c>
      <c r="S2622" s="2" t="s">
        <v>11217</v>
      </c>
      <c r="T2622" s="2" t="s">
        <v>231</v>
      </c>
      <c r="U2622" s="2" t="s">
        <v>327</v>
      </c>
      <c r="V2622" s="2" t="s">
        <v>1685</v>
      </c>
      <c r="W2622" s="2" t="s">
        <v>691</v>
      </c>
      <c r="X2622" s="2" t="s">
        <v>1520</v>
      </c>
      <c r="Y2622" s="2" t="s">
        <v>274</v>
      </c>
      <c r="Z2622" s="4">
        <v>414</v>
      </c>
      <c r="AA2622" s="4">
        <f>=ROUNDDOWN(34.5,0)</f>
      </c>
      <c r="AB2622" s="5">
        <v>12</v>
      </c>
      <c r="AC2622" s="2" t="s">
        <v>231</v>
      </c>
      <c r="AD2622" s="4"/>
      <c r="AE2622" s="4"/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231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231</v>
      </c>
      <c r="BD2622" s="8" t="s">
        <v>231</v>
      </c>
      <c r="BE2622" s="4" t="s">
        <v>231</v>
      </c>
      <c r="BF2622" s="8" t="s">
        <v>231</v>
      </c>
      <c r="BG2622" s="7" t="s">
        <v>231</v>
      </c>
      <c r="BH2622" s="7" t="s">
        <v>231</v>
      </c>
      <c r="BI2622" s="7"/>
      <c r="BJ2622" s="4">
        <v>38</v>
      </c>
      <c r="BK2622" s="8">
        <v>727.64</v>
      </c>
      <c r="BL2622" s="2" t="s">
        <v>3002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11218</v>
      </c>
      <c r="BV2622" s="2" t="s">
        <v>231</v>
      </c>
      <c r="BW2622" s="2" t="s">
        <v>231</v>
      </c>
      <c r="BX2622" s="2" t="s">
        <v>241</v>
      </c>
      <c r="BY2622" s="2" t="s">
        <v>277</v>
      </c>
      <c r="BZ2622" s="2" t="s">
        <v>243</v>
      </c>
      <c r="CA2622" s="2" t="s">
        <v>284</v>
      </c>
      <c r="CB2622" s="2" t="s">
        <v>4200</v>
      </c>
      <c r="CC2622" s="2" t="s">
        <v>244</v>
      </c>
      <c r="CD2622" s="2" t="s">
        <v>231</v>
      </c>
      <c r="CE2622" s="4">
        <v>414</v>
      </c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/>
      <c r="DM2622" s="4"/>
      <c r="DN2622" s="4"/>
      <c r="DO2622" s="4"/>
      <c r="DP2622" s="4"/>
      <c r="DQ2622" s="4"/>
      <c r="DR2622" s="4"/>
      <c r="DS2622" s="4"/>
      <c r="DT2622" s="4"/>
      <c r="DU2622" s="4"/>
      <c r="DV2622" s="4"/>
      <c r="DW2622" s="4"/>
      <c r="DX2622" s="4"/>
      <c r="DY2622" s="4"/>
      <c r="DZ2622" s="4"/>
      <c r="EA2622" s="4"/>
      <c r="EB2622" s="4"/>
      <c r="EC2622" s="4"/>
      <c r="ED2622" s="4"/>
      <c r="EE2622" s="4"/>
      <c r="EF2622" s="4"/>
      <c r="EG2622" s="4"/>
      <c r="EH2622" s="4"/>
      <c r="EI2622" s="4"/>
      <c r="EJ2622" s="4"/>
      <c r="EK2622" s="4"/>
      <c r="EL2622" s="4"/>
      <c r="EM2622" s="4"/>
      <c r="EN2622" s="4"/>
      <c r="EO2622" s="4"/>
      <c r="EP2622" s="4"/>
      <c r="EQ2622" s="4"/>
      <c r="ER2622" s="4"/>
      <c r="ES2622" s="4"/>
      <c r="ET2622" s="4"/>
      <c r="EU2622" s="4"/>
      <c r="EV2622" s="4"/>
      <c r="EW2622" s="4"/>
      <c r="EX2622" s="4"/>
      <c r="EY2622" s="4"/>
      <c r="EZ2622" s="4"/>
      <c r="FA2622" s="4"/>
      <c r="FB2622" s="4"/>
      <c r="FC2622" s="4"/>
      <c r="FD2622" s="4"/>
      <c r="FE2622" s="4"/>
      <c r="FF2622" s="4"/>
      <c r="FG2622" s="4"/>
      <c r="FH2622" s="4"/>
      <c r="FI2622" s="4"/>
      <c r="FJ2622" s="4"/>
      <c r="FK2622" s="4"/>
      <c r="FL2622" s="4"/>
      <c r="FM2622" s="4"/>
      <c r="FN2622" s="4"/>
      <c r="FO2622" s="4"/>
      <c r="FP2622" s="4"/>
      <c r="FQ2622" s="4"/>
      <c r="FR2622" s="4"/>
      <c r="FS2622" s="4"/>
      <c r="FT2622" s="4"/>
      <c r="FU2622" s="4"/>
      <c r="FV2622" s="4"/>
      <c r="FW2622" s="4"/>
      <c r="FX2622" s="4"/>
      <c r="FY2622" s="4"/>
      <c r="FZ2622" s="4"/>
      <c r="GA2622" s="4"/>
      <c r="GB2622" s="4"/>
      <c r="GC2622" s="4"/>
      <c r="GD2622" s="4"/>
      <c r="GE2622" s="4"/>
      <c r="GF2622" s="4"/>
      <c r="GG2622" s="4"/>
      <c r="GH2622" s="4"/>
      <c r="GI2622" s="4"/>
      <c r="GJ2622" s="4"/>
      <c r="GK2622" s="4"/>
      <c r="GL2622" s="4"/>
      <c r="GM2622" s="4"/>
      <c r="GN2622" s="4"/>
      <c r="GO2622" s="4"/>
      <c r="GP2622" s="4"/>
      <c r="GQ2622" s="4"/>
      <c r="GR2622" s="4"/>
      <c r="GS2622" s="4"/>
      <c r="GT2622" s="4"/>
      <c r="GU2622" s="4"/>
      <c r="GV2622" s="4"/>
      <c r="GW2622" s="4"/>
      <c r="GX2622" s="4"/>
      <c r="GY2622" s="4"/>
      <c r="GZ2622" s="4"/>
      <c r="HA2622" s="4"/>
      <c r="HB2622" s="4"/>
      <c r="HC2622" s="4"/>
      <c r="HD2622" s="4"/>
      <c r="HE2622" s="4"/>
      <c r="HF2622" s="4"/>
      <c r="HG2622" s="4"/>
      <c r="HH2622" s="4"/>
      <c r="HI2622" s="4"/>
      <c r="HJ2622" s="4"/>
      <c r="HK2622" s="4"/>
      <c r="HL2622" s="4"/>
    </row>
    <row r="2623">
      <c r="A2623" s="2" t="s">
        <v>11219</v>
      </c>
      <c r="B2623" s="2" t="s">
        <v>992</v>
      </c>
      <c r="C2623" s="2" t="s">
        <v>288</v>
      </c>
      <c r="D2623" s="2" t="s">
        <v>993</v>
      </c>
      <c r="E2623" s="2" t="s">
        <v>994</v>
      </c>
      <c r="F2623" s="2" t="s">
        <v>11194</v>
      </c>
      <c r="G2623" s="2" t="s">
        <v>11195</v>
      </c>
      <c r="H2623" s="2" t="s">
        <v>11196</v>
      </c>
      <c r="I2623" s="2" t="s">
        <v>11197</v>
      </c>
      <c r="J2623" s="2" t="s">
        <v>1703</v>
      </c>
      <c r="K2623" s="2" t="s">
        <v>11220</v>
      </c>
      <c r="L2623" s="3">
        <v>13.5</v>
      </c>
      <c r="M2623" s="3">
        <v>14.18</v>
      </c>
      <c r="N2623" s="3">
        <v>29.99</v>
      </c>
      <c r="O2623" s="2" t="s">
        <v>235</v>
      </c>
      <c r="P2623" s="2" t="s">
        <v>341</v>
      </c>
      <c r="Q2623" s="2" t="s">
        <v>237</v>
      </c>
      <c r="R2623" s="2" t="s">
        <v>231</v>
      </c>
      <c r="S2623" s="2" t="s">
        <v>11221</v>
      </c>
      <c r="T2623" s="2" t="s">
        <v>231</v>
      </c>
      <c r="U2623" s="2" t="s">
        <v>327</v>
      </c>
      <c r="V2623" s="2" t="s">
        <v>1685</v>
      </c>
      <c r="W2623" s="2" t="s">
        <v>691</v>
      </c>
      <c r="X2623" s="2" t="s">
        <v>231</v>
      </c>
      <c r="Y2623" s="2" t="s">
        <v>274</v>
      </c>
      <c r="Z2623" s="4">
        <v>64</v>
      </c>
      <c r="AA2623" s="4">
        <f>=ROUNDDOWN(12.0754716981132,0)</f>
      </c>
      <c r="AB2623" s="5">
        <v>5.3</v>
      </c>
      <c r="AC2623" s="2" t="s">
        <v>231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231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 t="s">
        <v>231</v>
      </c>
      <c r="AW2623" s="8" t="s">
        <v>231</v>
      </c>
      <c r="AX2623" s="4" t="s">
        <v>231</v>
      </c>
      <c r="AY2623" s="8" t="s">
        <v>231</v>
      </c>
      <c r="AZ2623" s="7" t="s">
        <v>231</v>
      </c>
      <c r="BA2623" s="7" t="s">
        <v>231</v>
      </c>
      <c r="BB2623" s="7"/>
      <c r="BC2623" s="4" t="s">
        <v>231</v>
      </c>
      <c r="BD2623" s="8" t="s">
        <v>231</v>
      </c>
      <c r="BE2623" s="4" t="s">
        <v>231</v>
      </c>
      <c r="BF2623" s="8" t="s">
        <v>231</v>
      </c>
      <c r="BG2623" s="7" t="s">
        <v>231</v>
      </c>
      <c r="BH2623" s="7" t="s">
        <v>231</v>
      </c>
      <c r="BI2623" s="7"/>
      <c r="BJ2623" s="4">
        <v>16</v>
      </c>
      <c r="BK2623" s="8">
        <v>114.88</v>
      </c>
      <c r="BL2623" s="2" t="s">
        <v>3882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11222</v>
      </c>
      <c r="BV2623" s="2" t="s">
        <v>231</v>
      </c>
      <c r="BW2623" s="2" t="s">
        <v>231</v>
      </c>
      <c r="BX2623" s="2" t="s">
        <v>231</v>
      </c>
      <c r="BY2623" s="2" t="s">
        <v>277</v>
      </c>
      <c r="BZ2623" s="2" t="s">
        <v>243</v>
      </c>
      <c r="CA2623" s="2" t="s">
        <v>284</v>
      </c>
      <c r="CB2623" s="2" t="s">
        <v>11201</v>
      </c>
      <c r="CC2623" s="2" t="s">
        <v>244</v>
      </c>
      <c r="CD2623" s="2" t="s">
        <v>231</v>
      </c>
      <c r="CE2623" s="4">
        <v>64</v>
      </c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/>
      <c r="DM2623" s="4"/>
      <c r="DN2623" s="4"/>
      <c r="DO2623" s="4"/>
      <c r="DP2623" s="4"/>
      <c r="DQ2623" s="4"/>
      <c r="DR2623" s="4"/>
      <c r="DS2623" s="4"/>
      <c r="DT2623" s="4"/>
      <c r="DU2623" s="4"/>
      <c r="DV2623" s="4"/>
      <c r="DW2623" s="4"/>
      <c r="DX2623" s="4"/>
      <c r="DY2623" s="4"/>
      <c r="DZ2623" s="4"/>
      <c r="EA2623" s="4"/>
      <c r="EB2623" s="4"/>
      <c r="EC2623" s="4"/>
      <c r="ED2623" s="4"/>
      <c r="EE2623" s="4"/>
      <c r="EF2623" s="4"/>
      <c r="EG2623" s="4"/>
      <c r="EH2623" s="4"/>
      <c r="EI2623" s="4"/>
      <c r="EJ2623" s="4"/>
      <c r="EK2623" s="4"/>
      <c r="EL2623" s="4"/>
      <c r="EM2623" s="4"/>
      <c r="EN2623" s="4"/>
      <c r="EO2623" s="4"/>
      <c r="EP2623" s="4"/>
      <c r="EQ2623" s="4"/>
      <c r="ER2623" s="4"/>
      <c r="ES2623" s="4"/>
      <c r="ET2623" s="4"/>
      <c r="EU2623" s="4"/>
      <c r="EV2623" s="4"/>
      <c r="EW2623" s="4"/>
      <c r="EX2623" s="4"/>
      <c r="EY2623" s="4"/>
      <c r="EZ2623" s="4"/>
      <c r="FA2623" s="4"/>
      <c r="FB2623" s="4"/>
      <c r="FC2623" s="4"/>
      <c r="FD2623" s="4"/>
      <c r="FE2623" s="4"/>
      <c r="FF2623" s="4"/>
      <c r="FG2623" s="4"/>
      <c r="FH2623" s="4"/>
      <c r="FI2623" s="4"/>
      <c r="FJ2623" s="4"/>
      <c r="FK2623" s="4"/>
      <c r="FL2623" s="4"/>
      <c r="FM2623" s="4"/>
      <c r="FN2623" s="4"/>
      <c r="FO2623" s="4"/>
      <c r="FP2623" s="4"/>
      <c r="FQ2623" s="4"/>
      <c r="FR2623" s="4"/>
      <c r="FS2623" s="4"/>
      <c r="FT2623" s="4"/>
      <c r="FU2623" s="4"/>
      <c r="FV2623" s="4"/>
      <c r="FW2623" s="4"/>
      <c r="FX2623" s="4"/>
      <c r="FY2623" s="4"/>
      <c r="FZ2623" s="4"/>
      <c r="GA2623" s="4"/>
      <c r="GB2623" s="4"/>
      <c r="GC2623" s="4"/>
      <c r="GD2623" s="4"/>
      <c r="GE2623" s="4"/>
      <c r="GF2623" s="4"/>
      <c r="GG2623" s="4"/>
      <c r="GH2623" s="4"/>
      <c r="GI2623" s="4"/>
      <c r="GJ2623" s="4"/>
      <c r="GK2623" s="4"/>
      <c r="GL2623" s="4"/>
      <c r="GM2623" s="4"/>
      <c r="GN2623" s="4"/>
      <c r="GO2623" s="4"/>
      <c r="GP2623" s="4"/>
      <c r="GQ2623" s="4"/>
      <c r="GR2623" s="4"/>
      <c r="GS2623" s="4"/>
      <c r="GT2623" s="4"/>
      <c r="GU2623" s="4"/>
      <c r="GV2623" s="4"/>
      <c r="GW2623" s="4"/>
      <c r="GX2623" s="4"/>
      <c r="GY2623" s="4"/>
      <c r="GZ2623" s="4"/>
      <c r="HA2623" s="4"/>
      <c r="HB2623" s="4"/>
      <c r="HC2623" s="4"/>
      <c r="HD2623" s="4"/>
      <c r="HE2623" s="4"/>
      <c r="HF2623" s="4"/>
      <c r="HG2623" s="4"/>
      <c r="HH2623" s="4"/>
      <c r="HI2623" s="4"/>
      <c r="HJ2623" s="4"/>
      <c r="HK2623" s="4"/>
      <c r="HL2623" s="4"/>
    </row>
    <row r="2624">
      <c r="A2624" s="2" t="s">
        <v>11223</v>
      </c>
      <c r="B2624" s="2" t="s">
        <v>992</v>
      </c>
      <c r="C2624" s="2" t="s">
        <v>288</v>
      </c>
      <c r="D2624" s="2" t="s">
        <v>993</v>
      </c>
      <c r="E2624" s="2" t="s">
        <v>994</v>
      </c>
      <c r="F2624" s="2" t="s">
        <v>11194</v>
      </c>
      <c r="G2624" s="2" t="s">
        <v>11195</v>
      </c>
      <c r="H2624" s="2" t="s">
        <v>11196</v>
      </c>
      <c r="I2624" s="2" t="s">
        <v>11197</v>
      </c>
      <c r="J2624" s="2" t="s">
        <v>1450</v>
      </c>
      <c r="K2624" s="2" t="s">
        <v>11220</v>
      </c>
      <c r="L2624" s="3">
        <v>20.7</v>
      </c>
      <c r="M2624" s="3">
        <v>21.74</v>
      </c>
      <c r="N2624" s="3">
        <v>44.99</v>
      </c>
      <c r="O2624" s="2" t="s">
        <v>235</v>
      </c>
      <c r="P2624" s="2" t="s">
        <v>341</v>
      </c>
      <c r="Q2624" s="2" t="s">
        <v>237</v>
      </c>
      <c r="R2624" s="2" t="s">
        <v>231</v>
      </c>
      <c r="S2624" s="2" t="s">
        <v>11221</v>
      </c>
      <c r="T2624" s="2" t="s">
        <v>231</v>
      </c>
      <c r="U2624" s="2" t="s">
        <v>327</v>
      </c>
      <c r="V2624" s="2" t="s">
        <v>1685</v>
      </c>
      <c r="W2624" s="2" t="s">
        <v>691</v>
      </c>
      <c r="X2624" s="2" t="s">
        <v>231</v>
      </c>
      <c r="Y2624" s="2" t="s">
        <v>274</v>
      </c>
      <c r="Z2624" s="4">
        <v>241</v>
      </c>
      <c r="AA2624" s="4">
        <f>=ROUNDDOWN(482,0)</f>
      </c>
      <c r="AB2624" s="5">
        <v>0.5</v>
      </c>
      <c r="AC2624" s="2" t="s">
        <v>231</v>
      </c>
      <c r="AD2624" s="4"/>
      <c r="AE2624" s="4"/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231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 t="s">
        <v>231</v>
      </c>
      <c r="AW2624" s="8" t="s">
        <v>231</v>
      </c>
      <c r="AX2624" s="4" t="s">
        <v>231</v>
      </c>
      <c r="AY2624" s="8" t="s">
        <v>231</v>
      </c>
      <c r="AZ2624" s="7" t="s">
        <v>231</v>
      </c>
      <c r="BA2624" s="7" t="s">
        <v>231</v>
      </c>
      <c r="BB2624" s="7"/>
      <c r="BC2624" s="4" t="s">
        <v>231</v>
      </c>
      <c r="BD2624" s="8" t="s">
        <v>231</v>
      </c>
      <c r="BE2624" s="4" t="s">
        <v>231</v>
      </c>
      <c r="BF2624" s="8" t="s">
        <v>231</v>
      </c>
      <c r="BG2624" s="7" t="s">
        <v>231</v>
      </c>
      <c r="BH2624" s="7" t="s">
        <v>231</v>
      </c>
      <c r="BI2624" s="7"/>
      <c r="BJ2624" s="4">
        <v>3</v>
      </c>
      <c r="BK2624" s="8">
        <v>33.51</v>
      </c>
      <c r="BL2624" s="2" t="s">
        <v>838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11224</v>
      </c>
      <c r="BV2624" s="2" t="s">
        <v>231</v>
      </c>
      <c r="BW2624" s="2" t="s">
        <v>231</v>
      </c>
      <c r="BX2624" s="2" t="s">
        <v>231</v>
      </c>
      <c r="BY2624" s="2" t="s">
        <v>277</v>
      </c>
      <c r="BZ2624" s="2" t="s">
        <v>243</v>
      </c>
      <c r="CA2624" s="2" t="s">
        <v>284</v>
      </c>
      <c r="CB2624" s="2" t="s">
        <v>4125</v>
      </c>
      <c r="CC2624" s="2" t="s">
        <v>244</v>
      </c>
      <c r="CD2624" s="2" t="s">
        <v>231</v>
      </c>
      <c r="CE2624" s="4">
        <v>241</v>
      </c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  <c r="DL2624" s="4"/>
      <c r="DM2624" s="4"/>
      <c r="DN2624" s="4"/>
      <c r="DO2624" s="4"/>
      <c r="DP2624" s="4"/>
      <c r="DQ2624" s="4"/>
      <c r="DR2624" s="4"/>
      <c r="DS2624" s="4"/>
      <c r="DT2624" s="4"/>
      <c r="DU2624" s="4"/>
      <c r="DV2624" s="4"/>
      <c r="DW2624" s="4"/>
      <c r="DX2624" s="4"/>
      <c r="DY2624" s="4"/>
      <c r="DZ2624" s="4"/>
      <c r="EA2624" s="4"/>
      <c r="EB2624" s="4"/>
      <c r="EC2624" s="4"/>
      <c r="ED2624" s="4"/>
      <c r="EE2624" s="4"/>
      <c r="EF2624" s="4"/>
      <c r="EG2624" s="4"/>
      <c r="EH2624" s="4"/>
      <c r="EI2624" s="4"/>
      <c r="EJ2624" s="4"/>
      <c r="EK2624" s="4"/>
      <c r="EL2624" s="4"/>
      <c r="EM2624" s="4"/>
      <c r="EN2624" s="4"/>
      <c r="EO2624" s="4"/>
      <c r="EP2624" s="4"/>
      <c r="EQ2624" s="4"/>
      <c r="ER2624" s="4"/>
      <c r="ES2624" s="4"/>
      <c r="ET2624" s="4"/>
      <c r="EU2624" s="4"/>
      <c r="EV2624" s="4"/>
      <c r="EW2624" s="4"/>
      <c r="EX2624" s="4"/>
      <c r="EY2624" s="4"/>
      <c r="EZ2624" s="4"/>
      <c r="FA2624" s="4"/>
      <c r="FB2624" s="4"/>
      <c r="FC2624" s="4"/>
      <c r="FD2624" s="4"/>
      <c r="FE2624" s="4"/>
      <c r="FF2624" s="4"/>
      <c r="FG2624" s="4"/>
      <c r="FH2624" s="4"/>
      <c r="FI2624" s="4"/>
      <c r="FJ2624" s="4"/>
      <c r="FK2624" s="4"/>
      <c r="FL2624" s="4"/>
      <c r="FM2624" s="4"/>
      <c r="FN2624" s="4"/>
      <c r="FO2624" s="4"/>
      <c r="FP2624" s="4"/>
      <c r="FQ2624" s="4"/>
      <c r="FR2624" s="4"/>
      <c r="FS2624" s="4"/>
      <c r="FT2624" s="4"/>
      <c r="FU2624" s="4"/>
      <c r="FV2624" s="4"/>
      <c r="FW2624" s="4"/>
      <c r="FX2624" s="4"/>
      <c r="FY2624" s="4"/>
      <c r="FZ2624" s="4"/>
      <c r="GA2624" s="4"/>
      <c r="GB2624" s="4"/>
      <c r="GC2624" s="4"/>
      <c r="GD2624" s="4"/>
      <c r="GE2624" s="4"/>
      <c r="GF2624" s="4"/>
      <c r="GG2624" s="4"/>
      <c r="GH2624" s="4"/>
      <c r="GI2624" s="4"/>
      <c r="GJ2624" s="4"/>
      <c r="GK2624" s="4"/>
      <c r="GL2624" s="4"/>
      <c r="GM2624" s="4"/>
      <c r="GN2624" s="4"/>
      <c r="GO2624" s="4"/>
      <c r="GP2624" s="4"/>
      <c r="GQ2624" s="4"/>
      <c r="GR2624" s="4"/>
      <c r="GS2624" s="4"/>
      <c r="GT2624" s="4"/>
      <c r="GU2624" s="4"/>
      <c r="GV2624" s="4"/>
      <c r="GW2624" s="4"/>
      <c r="GX2624" s="4"/>
      <c r="GY2624" s="4"/>
      <c r="GZ2624" s="4"/>
      <c r="HA2624" s="4"/>
      <c r="HB2624" s="4"/>
      <c r="HC2624" s="4"/>
      <c r="HD2624" s="4"/>
      <c r="HE2624" s="4"/>
      <c r="HF2624" s="4"/>
      <c r="HG2624" s="4"/>
      <c r="HH2624" s="4"/>
      <c r="HI2624" s="4"/>
      <c r="HJ2624" s="4"/>
      <c r="HK2624" s="4"/>
      <c r="HL2624" s="4"/>
    </row>
    <row r="2625">
      <c r="A2625" s="2" t="s">
        <v>11225</v>
      </c>
      <c r="B2625" s="2" t="s">
        <v>992</v>
      </c>
      <c r="C2625" s="2" t="s">
        <v>288</v>
      </c>
      <c r="D2625" s="2" t="s">
        <v>993</v>
      </c>
      <c r="E2625" s="2" t="s">
        <v>994</v>
      </c>
      <c r="F2625" s="2" t="s">
        <v>11194</v>
      </c>
      <c r="G2625" s="2" t="s">
        <v>11195</v>
      </c>
      <c r="H2625" s="2" t="s">
        <v>11196</v>
      </c>
      <c r="I2625" s="2" t="s">
        <v>11197</v>
      </c>
      <c r="J2625" s="2" t="s">
        <v>1450</v>
      </c>
      <c r="K2625" s="2" t="s">
        <v>11226</v>
      </c>
      <c r="L2625" s="3">
        <v>20.7</v>
      </c>
      <c r="M2625" s="3">
        <v>21.74</v>
      </c>
      <c r="N2625" s="3">
        <v>44.99</v>
      </c>
      <c r="O2625" s="2" t="s">
        <v>243</v>
      </c>
      <c r="P2625" s="2" t="s">
        <v>270</v>
      </c>
      <c r="Q2625" s="2" t="s">
        <v>237</v>
      </c>
      <c r="R2625" s="2" t="s">
        <v>231</v>
      </c>
      <c r="S2625" s="2" t="s">
        <v>11227</v>
      </c>
      <c r="T2625" s="2" t="s">
        <v>231</v>
      </c>
      <c r="U2625" s="2" t="s">
        <v>327</v>
      </c>
      <c r="V2625" s="2" t="s">
        <v>1685</v>
      </c>
      <c r="W2625" s="2" t="s">
        <v>691</v>
      </c>
      <c r="X2625" s="2" t="s">
        <v>1520</v>
      </c>
      <c r="Y2625" s="2" t="s">
        <v>274</v>
      </c>
      <c r="Z2625" s="4">
        <v>139</v>
      </c>
      <c r="AA2625" s="4">
        <f>=ROUNDDOWN(69.5,0)</f>
      </c>
      <c r="AB2625" s="5">
        <v>2</v>
      </c>
      <c r="AC2625" s="2" t="s">
        <v>2427</v>
      </c>
      <c r="AD2625" s="4">
        <v>52</v>
      </c>
      <c r="AE2625" s="4">
        <v>52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231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231</v>
      </c>
      <c r="BD2625" s="8" t="s">
        <v>231</v>
      </c>
      <c r="BE2625" s="4" t="s">
        <v>231</v>
      </c>
      <c r="BF2625" s="8" t="s">
        <v>231</v>
      </c>
      <c r="BG2625" s="7" t="s">
        <v>231</v>
      </c>
      <c r="BH2625" s="7" t="s">
        <v>231</v>
      </c>
      <c r="BI2625" s="7"/>
      <c r="BJ2625" s="4">
        <v>13</v>
      </c>
      <c r="BK2625" s="8">
        <v>267.19</v>
      </c>
      <c r="BL2625" s="2" t="s">
        <v>3758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11228</v>
      </c>
      <c r="BV2625" s="2" t="s">
        <v>231</v>
      </c>
      <c r="BW2625" s="2" t="s">
        <v>231</v>
      </c>
      <c r="BX2625" s="2" t="s">
        <v>241</v>
      </c>
      <c r="BY2625" s="2" t="s">
        <v>277</v>
      </c>
      <c r="BZ2625" s="2" t="s">
        <v>243</v>
      </c>
      <c r="CA2625" s="2" t="s">
        <v>284</v>
      </c>
      <c r="CB2625" s="2" t="s">
        <v>11229</v>
      </c>
      <c r="CC2625" s="2" t="s">
        <v>244</v>
      </c>
      <c r="CD2625" s="2" t="s">
        <v>231</v>
      </c>
      <c r="CE2625" s="4">
        <v>139</v>
      </c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  <c r="DL2625" s="4"/>
      <c r="DM2625" s="4"/>
      <c r="DN2625" s="4"/>
      <c r="DO2625" s="4"/>
      <c r="DP2625" s="4"/>
      <c r="DQ2625" s="4"/>
      <c r="DR2625" s="4"/>
      <c r="DS2625" s="4"/>
      <c r="DT2625" s="4"/>
      <c r="DU2625" s="4"/>
      <c r="DV2625" s="4"/>
      <c r="DW2625" s="4"/>
      <c r="DX2625" s="4"/>
      <c r="DY2625" s="4"/>
      <c r="DZ2625" s="4"/>
      <c r="EA2625" s="4"/>
      <c r="EB2625" s="4"/>
      <c r="EC2625" s="4"/>
      <c r="ED2625" s="4"/>
      <c r="EE2625" s="4"/>
      <c r="EF2625" s="4"/>
      <c r="EG2625" s="4"/>
      <c r="EH2625" s="4"/>
      <c r="EI2625" s="4"/>
      <c r="EJ2625" s="4"/>
      <c r="EK2625" s="4"/>
      <c r="EL2625" s="4"/>
      <c r="EM2625" s="4"/>
      <c r="EN2625" s="4"/>
      <c r="EO2625" s="4"/>
      <c r="EP2625" s="4"/>
      <c r="EQ2625" s="4"/>
      <c r="ER2625" s="4"/>
      <c r="ES2625" s="4"/>
      <c r="ET2625" s="4"/>
      <c r="EU2625" s="4"/>
      <c r="EV2625" s="4"/>
      <c r="EW2625" s="4"/>
      <c r="EX2625" s="4">
        <v>52</v>
      </c>
      <c r="EY2625" s="4"/>
      <c r="EZ2625" s="4"/>
      <c r="FA2625" s="4"/>
      <c r="FB2625" s="4"/>
      <c r="FC2625" s="4"/>
      <c r="FD2625" s="4"/>
      <c r="FE2625" s="4"/>
      <c r="FF2625" s="4"/>
      <c r="FG2625" s="4"/>
      <c r="FH2625" s="4"/>
      <c r="FI2625" s="4"/>
      <c r="FJ2625" s="4"/>
      <c r="FK2625" s="4"/>
      <c r="FL2625" s="4"/>
      <c r="FM2625" s="4"/>
      <c r="FN2625" s="4"/>
      <c r="FO2625" s="4"/>
      <c r="FP2625" s="4"/>
      <c r="FQ2625" s="4"/>
      <c r="FR2625" s="4"/>
      <c r="FS2625" s="4"/>
      <c r="FT2625" s="4"/>
      <c r="FU2625" s="4"/>
      <c r="FV2625" s="4"/>
      <c r="FW2625" s="4"/>
      <c r="FX2625" s="4"/>
      <c r="FY2625" s="4"/>
      <c r="FZ2625" s="4"/>
      <c r="GA2625" s="4"/>
      <c r="GB2625" s="4"/>
      <c r="GC2625" s="4"/>
      <c r="GD2625" s="4"/>
      <c r="GE2625" s="4"/>
      <c r="GF2625" s="4"/>
      <c r="GG2625" s="4"/>
      <c r="GH2625" s="4"/>
      <c r="GI2625" s="4"/>
      <c r="GJ2625" s="4"/>
      <c r="GK2625" s="4"/>
      <c r="GL2625" s="4"/>
      <c r="GM2625" s="4"/>
      <c r="GN2625" s="4"/>
      <c r="GO2625" s="4"/>
      <c r="GP2625" s="4"/>
      <c r="GQ2625" s="4"/>
      <c r="GR2625" s="4"/>
      <c r="GS2625" s="4"/>
      <c r="GT2625" s="4"/>
      <c r="GU2625" s="4"/>
      <c r="GV2625" s="4"/>
      <c r="GW2625" s="4"/>
      <c r="GX2625" s="4"/>
      <c r="GY2625" s="4"/>
      <c r="GZ2625" s="4"/>
      <c r="HA2625" s="4"/>
      <c r="HB2625" s="4"/>
      <c r="HC2625" s="4"/>
      <c r="HD2625" s="4"/>
      <c r="HE2625" s="4"/>
      <c r="HF2625" s="4"/>
      <c r="HG2625" s="4"/>
      <c r="HH2625" s="4"/>
      <c r="HI2625" s="4"/>
      <c r="HJ2625" s="4"/>
      <c r="HK2625" s="4"/>
      <c r="HL2625" s="4"/>
    </row>
    <row r="2626">
      <c r="A2626" s="2" t="s">
        <v>11230</v>
      </c>
      <c r="B2626" s="2" t="s">
        <v>992</v>
      </c>
      <c r="C2626" s="2" t="s">
        <v>288</v>
      </c>
      <c r="D2626" s="2" t="s">
        <v>993</v>
      </c>
      <c r="E2626" s="2" t="s">
        <v>994</v>
      </c>
      <c r="F2626" s="2" t="s">
        <v>11194</v>
      </c>
      <c r="G2626" s="2" t="s">
        <v>11195</v>
      </c>
      <c r="H2626" s="2" t="s">
        <v>11196</v>
      </c>
      <c r="I2626" s="2" t="s">
        <v>11197</v>
      </c>
      <c r="J2626" s="2" t="s">
        <v>1450</v>
      </c>
      <c r="K2626" s="2" t="s">
        <v>11231</v>
      </c>
      <c r="L2626" s="3">
        <v>20.7</v>
      </c>
      <c r="M2626" s="3">
        <v>21.74</v>
      </c>
      <c r="N2626" s="3">
        <v>44.99</v>
      </c>
      <c r="O2626" s="2" t="s">
        <v>243</v>
      </c>
      <c r="P2626" s="2" t="s">
        <v>341</v>
      </c>
      <c r="Q2626" s="2" t="s">
        <v>237</v>
      </c>
      <c r="R2626" s="2" t="s">
        <v>231</v>
      </c>
      <c r="S2626" s="2" t="s">
        <v>11232</v>
      </c>
      <c r="T2626" s="2" t="s">
        <v>231</v>
      </c>
      <c r="U2626" s="2" t="s">
        <v>327</v>
      </c>
      <c r="V2626" s="2" t="s">
        <v>1685</v>
      </c>
      <c r="W2626" s="2" t="s">
        <v>691</v>
      </c>
      <c r="X2626" s="2" t="s">
        <v>231</v>
      </c>
      <c r="Y2626" s="2" t="s">
        <v>274</v>
      </c>
      <c r="Z2626" s="4"/>
      <c r="AA2626" s="4">
        <f>=ROUNDDOWN({0},0)</f>
      </c>
      <c r="AB2626" s="5">
        <v>2</v>
      </c>
      <c r="AC2626" s="2" t="s">
        <v>231</v>
      </c>
      <c r="AD2626" s="4"/>
      <c r="AE2626" s="4"/>
      <c r="AF2626" s="6">
        <v>65</v>
      </c>
      <c r="AG2626" s="6"/>
      <c r="AH2626" s="7">
        <v>0</v>
      </c>
      <c r="AI2626" s="4"/>
      <c r="AJ2626" s="4">
        <f>=ROUNDDOWN({0},0)</f>
      </c>
      <c r="AK2626" s="5"/>
      <c r="AL2626" s="2" t="s">
        <v>231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231</v>
      </c>
      <c r="BD2626" s="8" t="s">
        <v>231</v>
      </c>
      <c r="BE2626" s="4" t="s">
        <v>231</v>
      </c>
      <c r="BF2626" s="8" t="s">
        <v>231</v>
      </c>
      <c r="BG2626" s="7" t="s">
        <v>231</v>
      </c>
      <c r="BH2626" s="7" t="s">
        <v>231</v>
      </c>
      <c r="BI2626" s="7"/>
      <c r="BJ2626" s="4"/>
      <c r="BK2626" s="8"/>
      <c r="BL2626" s="2" t="s">
        <v>2343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11233</v>
      </c>
      <c r="BV2626" s="2" t="s">
        <v>231</v>
      </c>
      <c r="BW2626" s="2" t="s">
        <v>231</v>
      </c>
      <c r="BX2626" s="2" t="s">
        <v>231</v>
      </c>
      <c r="BY2626" s="2" t="s">
        <v>277</v>
      </c>
      <c r="BZ2626" s="2" t="s">
        <v>243</v>
      </c>
      <c r="CA2626" s="2" t="s">
        <v>284</v>
      </c>
      <c r="CB2626" s="2" t="s">
        <v>4353</v>
      </c>
      <c r="CC2626" s="2" t="s">
        <v>244</v>
      </c>
      <c r="CD2626" s="2" t="s">
        <v>231</v>
      </c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  <c r="DL2626" s="4"/>
      <c r="DM2626" s="4"/>
      <c r="DN2626" s="4"/>
      <c r="DO2626" s="4"/>
      <c r="DP2626" s="4"/>
      <c r="DQ2626" s="4"/>
      <c r="DR2626" s="4"/>
      <c r="DS2626" s="4"/>
      <c r="DT2626" s="4"/>
      <c r="DU2626" s="4"/>
      <c r="DV2626" s="4"/>
      <c r="DW2626" s="4"/>
      <c r="DX2626" s="4"/>
      <c r="DY2626" s="4"/>
      <c r="DZ2626" s="4"/>
      <c r="EA2626" s="4"/>
      <c r="EB2626" s="4"/>
      <c r="EC2626" s="4"/>
      <c r="ED2626" s="4"/>
      <c r="EE2626" s="4"/>
      <c r="EF2626" s="4"/>
      <c r="EG2626" s="4"/>
      <c r="EH2626" s="4"/>
      <c r="EI2626" s="4"/>
      <c r="EJ2626" s="4"/>
      <c r="EK2626" s="4"/>
      <c r="EL2626" s="4"/>
      <c r="EM2626" s="4"/>
      <c r="EN2626" s="4"/>
      <c r="EO2626" s="4"/>
      <c r="EP2626" s="4"/>
      <c r="EQ2626" s="4"/>
      <c r="ER2626" s="4"/>
      <c r="ES2626" s="4"/>
      <c r="ET2626" s="4"/>
      <c r="EU2626" s="4"/>
      <c r="EV2626" s="4"/>
      <c r="EW2626" s="4"/>
      <c r="EX2626" s="4"/>
      <c r="EY2626" s="4"/>
      <c r="EZ2626" s="4"/>
      <c r="FA2626" s="4"/>
      <c r="FB2626" s="4"/>
      <c r="FC2626" s="4"/>
      <c r="FD2626" s="4"/>
      <c r="FE2626" s="4"/>
      <c r="FF2626" s="4"/>
      <c r="FG2626" s="4"/>
      <c r="FH2626" s="4"/>
      <c r="FI2626" s="4"/>
      <c r="FJ2626" s="4"/>
      <c r="FK2626" s="4"/>
      <c r="FL2626" s="4"/>
      <c r="FM2626" s="4"/>
      <c r="FN2626" s="4"/>
      <c r="FO2626" s="4"/>
      <c r="FP2626" s="4"/>
      <c r="FQ2626" s="4"/>
      <c r="FR2626" s="4"/>
      <c r="FS2626" s="4"/>
      <c r="FT2626" s="4"/>
      <c r="FU2626" s="4"/>
      <c r="FV2626" s="4"/>
      <c r="FW2626" s="4"/>
      <c r="FX2626" s="4"/>
      <c r="FY2626" s="4"/>
      <c r="FZ2626" s="4"/>
      <c r="GA2626" s="4"/>
      <c r="GB2626" s="4"/>
      <c r="GC2626" s="4"/>
      <c r="GD2626" s="4"/>
      <c r="GE2626" s="4"/>
      <c r="GF2626" s="4"/>
      <c r="GG2626" s="4"/>
      <c r="GH2626" s="4"/>
      <c r="GI2626" s="4"/>
      <c r="GJ2626" s="4"/>
      <c r="GK2626" s="4"/>
      <c r="GL2626" s="4"/>
      <c r="GM2626" s="4"/>
      <c r="GN2626" s="4"/>
      <c r="GO2626" s="4"/>
      <c r="GP2626" s="4"/>
      <c r="GQ2626" s="4"/>
      <c r="GR2626" s="4"/>
      <c r="GS2626" s="4"/>
      <c r="GT2626" s="4"/>
      <c r="GU2626" s="4"/>
      <c r="GV2626" s="4"/>
      <c r="GW2626" s="4"/>
      <c r="GX2626" s="4"/>
      <c r="GY2626" s="4"/>
      <c r="GZ2626" s="4"/>
      <c r="HA2626" s="4"/>
      <c r="HB2626" s="4"/>
      <c r="HC2626" s="4"/>
      <c r="HD2626" s="4"/>
      <c r="HE2626" s="4"/>
      <c r="HF2626" s="4"/>
      <c r="HG2626" s="4"/>
      <c r="HH2626" s="4"/>
      <c r="HI2626" s="4"/>
      <c r="HJ2626" s="4"/>
      <c r="HK2626" s="4"/>
      <c r="HL2626" s="4"/>
    </row>
    <row r="2627">
      <c r="A2627" s="2" t="s">
        <v>11234</v>
      </c>
      <c r="B2627" s="2" t="s">
        <v>287</v>
      </c>
      <c r="C2627" s="2" t="s">
        <v>357</v>
      </c>
      <c r="D2627" s="2" t="s">
        <v>289</v>
      </c>
      <c r="E2627" s="2" t="s">
        <v>290</v>
      </c>
      <c r="F2627" s="2" t="s">
        <v>10619</v>
      </c>
      <c r="G2627" s="2" t="s">
        <v>10619</v>
      </c>
      <c r="H2627" s="2" t="s">
        <v>10619</v>
      </c>
      <c r="I2627" s="2" t="s">
        <v>11235</v>
      </c>
      <c r="J2627" s="2" t="s">
        <v>304</v>
      </c>
      <c r="K2627" s="2" t="s">
        <v>486</v>
      </c>
      <c r="L2627" s="3">
        <v>21.5</v>
      </c>
      <c r="M2627" s="3">
        <v>22.58</v>
      </c>
      <c r="N2627" s="3">
        <v>42.99</v>
      </c>
      <c r="O2627" s="2" t="s">
        <v>243</v>
      </c>
      <c r="P2627" s="2" t="s">
        <v>270</v>
      </c>
      <c r="Q2627" s="2" t="s">
        <v>237</v>
      </c>
      <c r="R2627" s="2" t="s">
        <v>231</v>
      </c>
      <c r="S2627" s="2" t="s">
        <v>11236</v>
      </c>
      <c r="T2627" s="2" t="s">
        <v>10619</v>
      </c>
      <c r="U2627" s="2" t="s">
        <v>765</v>
      </c>
      <c r="V2627" s="2" t="s">
        <v>239</v>
      </c>
      <c r="W2627" s="2" t="s">
        <v>299</v>
      </c>
      <c r="X2627" s="2" t="s">
        <v>273</v>
      </c>
      <c r="Y2627" s="2" t="s">
        <v>9344</v>
      </c>
      <c r="Z2627" s="4">
        <v>421</v>
      </c>
      <c r="AA2627" s="4">
        <f>=ROUNDDOWN(28.0666666666667,0)</f>
      </c>
      <c r="AB2627" s="5">
        <v>15</v>
      </c>
      <c r="AC2627" s="2" t="s">
        <v>1315</v>
      </c>
      <c r="AD2627" s="4">
        <v>180</v>
      </c>
      <c r="AE2627" s="4">
        <v>180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231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231</v>
      </c>
      <c r="BD2627" s="8" t="s">
        <v>231</v>
      </c>
      <c r="BE2627" s="4" t="s">
        <v>231</v>
      </c>
      <c r="BF2627" s="8" t="s">
        <v>231</v>
      </c>
      <c r="BG2627" s="7" t="s">
        <v>231</v>
      </c>
      <c r="BH2627" s="7" t="s">
        <v>231</v>
      </c>
      <c r="BI2627" s="7"/>
      <c r="BJ2627" s="4">
        <v>46</v>
      </c>
      <c r="BK2627" s="8">
        <v>1257.33</v>
      </c>
      <c r="BL2627" s="2" t="s">
        <v>11237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11238</v>
      </c>
      <c r="BV2627" s="2" t="s">
        <v>231</v>
      </c>
      <c r="BW2627" s="2" t="s">
        <v>231</v>
      </c>
      <c r="BX2627" s="2" t="s">
        <v>312</v>
      </c>
      <c r="BY2627" s="2" t="s">
        <v>277</v>
      </c>
      <c r="BZ2627" s="2" t="s">
        <v>243</v>
      </c>
      <c r="CA2627" s="2" t="s">
        <v>1385</v>
      </c>
      <c r="CB2627" s="2" t="s">
        <v>11239</v>
      </c>
      <c r="CC2627" s="2" t="s">
        <v>244</v>
      </c>
      <c r="CD2627" s="2" t="s">
        <v>231</v>
      </c>
      <c r="CE2627" s="4">
        <v>183</v>
      </c>
      <c r="CF2627" s="4"/>
      <c r="CG2627" s="4"/>
      <c r="CH2627" s="4"/>
      <c r="CI2627" s="4">
        <v>238</v>
      </c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/>
      <c r="DM2627" s="4"/>
      <c r="DN2627" s="4"/>
      <c r="DO2627" s="4"/>
      <c r="DP2627" s="4"/>
      <c r="DQ2627" s="4"/>
      <c r="DR2627" s="4"/>
      <c r="DS2627" s="4"/>
      <c r="DT2627" s="4"/>
      <c r="DU2627" s="4"/>
      <c r="DV2627" s="4"/>
      <c r="DW2627" s="4"/>
      <c r="DX2627" s="4"/>
      <c r="DY2627" s="4"/>
      <c r="DZ2627" s="4"/>
      <c r="EA2627" s="4"/>
      <c r="EB2627" s="4"/>
      <c r="EC2627" s="4"/>
      <c r="ED2627" s="4"/>
      <c r="EE2627" s="4">
        <v>180</v>
      </c>
      <c r="EF2627" s="4"/>
      <c r="EG2627" s="4"/>
      <c r="EH2627" s="4"/>
      <c r="EI2627" s="4"/>
      <c r="EJ2627" s="4"/>
      <c r="EK2627" s="4"/>
      <c r="EL2627" s="4"/>
      <c r="EM2627" s="4"/>
      <c r="EN2627" s="4"/>
      <c r="EO2627" s="4"/>
      <c r="EP2627" s="4"/>
      <c r="EQ2627" s="4"/>
      <c r="ER2627" s="4"/>
      <c r="ES2627" s="4"/>
      <c r="ET2627" s="4"/>
      <c r="EU2627" s="4"/>
      <c r="EV2627" s="4"/>
      <c r="EW2627" s="4"/>
      <c r="EX2627" s="4"/>
      <c r="EY2627" s="4"/>
      <c r="EZ2627" s="4"/>
      <c r="FA2627" s="4"/>
      <c r="FB2627" s="4"/>
      <c r="FC2627" s="4"/>
      <c r="FD2627" s="4"/>
      <c r="FE2627" s="4"/>
      <c r="FF2627" s="4"/>
      <c r="FG2627" s="4"/>
      <c r="FH2627" s="4"/>
      <c r="FI2627" s="4"/>
      <c r="FJ2627" s="4"/>
      <c r="FK2627" s="4"/>
      <c r="FL2627" s="4"/>
      <c r="FM2627" s="4"/>
      <c r="FN2627" s="4"/>
      <c r="FO2627" s="4"/>
      <c r="FP2627" s="4"/>
      <c r="FQ2627" s="4"/>
      <c r="FR2627" s="4"/>
      <c r="FS2627" s="4"/>
      <c r="FT2627" s="4"/>
      <c r="FU2627" s="4"/>
      <c r="FV2627" s="4"/>
      <c r="FW2627" s="4"/>
      <c r="FX2627" s="4"/>
      <c r="FY2627" s="4"/>
      <c r="FZ2627" s="4"/>
      <c r="GA2627" s="4"/>
      <c r="GB2627" s="4"/>
      <c r="GC2627" s="4"/>
      <c r="GD2627" s="4"/>
      <c r="GE2627" s="4"/>
      <c r="GF2627" s="4"/>
      <c r="GG2627" s="4"/>
      <c r="GH2627" s="4"/>
      <c r="GI2627" s="4"/>
      <c r="GJ2627" s="4"/>
      <c r="GK2627" s="4"/>
      <c r="GL2627" s="4"/>
      <c r="GM2627" s="4"/>
      <c r="GN2627" s="4"/>
      <c r="GO2627" s="4"/>
      <c r="GP2627" s="4"/>
      <c r="GQ2627" s="4"/>
      <c r="GR2627" s="4"/>
      <c r="GS2627" s="4"/>
      <c r="GT2627" s="4"/>
      <c r="GU2627" s="4"/>
      <c r="GV2627" s="4"/>
      <c r="GW2627" s="4"/>
      <c r="GX2627" s="4"/>
      <c r="GY2627" s="4"/>
      <c r="GZ2627" s="4"/>
      <c r="HA2627" s="4"/>
      <c r="HB2627" s="4"/>
      <c r="HC2627" s="4"/>
      <c r="HD2627" s="4"/>
      <c r="HE2627" s="4"/>
      <c r="HF2627" s="4"/>
      <c r="HG2627" s="4"/>
      <c r="HH2627" s="4"/>
      <c r="HI2627" s="4"/>
      <c r="HJ2627" s="4"/>
      <c r="HK2627" s="4"/>
      <c r="HL2627" s="4"/>
    </row>
    <row r="2628">
      <c r="A2628" s="2" t="s">
        <v>11240</v>
      </c>
      <c r="B2628" s="2" t="s">
        <v>287</v>
      </c>
      <c r="C2628" s="2" t="s">
        <v>357</v>
      </c>
      <c r="D2628" s="2" t="s">
        <v>289</v>
      </c>
      <c r="E2628" s="2" t="s">
        <v>290</v>
      </c>
      <c r="F2628" s="2" t="s">
        <v>10619</v>
      </c>
      <c r="G2628" s="2" t="s">
        <v>10619</v>
      </c>
      <c r="H2628" s="2" t="s">
        <v>10619</v>
      </c>
      <c r="I2628" s="2" t="s">
        <v>11235</v>
      </c>
      <c r="J2628" s="2" t="s">
        <v>304</v>
      </c>
      <c r="K2628" s="2" t="s">
        <v>747</v>
      </c>
      <c r="L2628" s="3">
        <v>21.5</v>
      </c>
      <c r="M2628" s="3">
        <v>22.58</v>
      </c>
      <c r="N2628" s="3">
        <v>42.99</v>
      </c>
      <c r="O2628" s="2" t="s">
        <v>243</v>
      </c>
      <c r="P2628" s="2" t="s">
        <v>270</v>
      </c>
      <c r="Q2628" s="2" t="s">
        <v>237</v>
      </c>
      <c r="R2628" s="2" t="s">
        <v>231</v>
      </c>
      <c r="S2628" s="2" t="s">
        <v>11241</v>
      </c>
      <c r="T2628" s="2" t="s">
        <v>10619</v>
      </c>
      <c r="U2628" s="2" t="s">
        <v>765</v>
      </c>
      <c r="V2628" s="2" t="s">
        <v>239</v>
      </c>
      <c r="W2628" s="2" t="s">
        <v>273</v>
      </c>
      <c r="X2628" s="2" t="s">
        <v>691</v>
      </c>
      <c r="Y2628" s="2" t="s">
        <v>1311</v>
      </c>
      <c r="Z2628" s="4">
        <v>316</v>
      </c>
      <c r="AA2628" s="4">
        <f>=ROUNDDOWN(15.8,0)</f>
      </c>
      <c r="AB2628" s="5">
        <v>20</v>
      </c>
      <c r="AC2628" s="2" t="s">
        <v>1315</v>
      </c>
      <c r="AD2628" s="4">
        <v>250</v>
      </c>
      <c r="AE2628" s="4">
        <v>550</v>
      </c>
      <c r="AF2628" s="6">
        <v>65</v>
      </c>
      <c r="AG2628" s="6"/>
      <c r="AH2628" s="7">
        <v>0.7097</v>
      </c>
      <c r="AI2628" s="4"/>
      <c r="AJ2628" s="4">
        <f>=ROUNDDOWN({0},0)</f>
      </c>
      <c r="AK2628" s="5"/>
      <c r="AL2628" s="2" t="s">
        <v>231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231</v>
      </c>
      <c r="BD2628" s="8" t="s">
        <v>231</v>
      </c>
      <c r="BE2628" s="4" t="s">
        <v>231</v>
      </c>
      <c r="BF2628" s="8" t="s">
        <v>231</v>
      </c>
      <c r="BG2628" s="7" t="s">
        <v>231</v>
      </c>
      <c r="BH2628" s="7" t="s">
        <v>231</v>
      </c>
      <c r="BI2628" s="7"/>
      <c r="BJ2628" s="4">
        <v>53</v>
      </c>
      <c r="BK2628" s="8">
        <v>1728.9</v>
      </c>
      <c r="BL2628" s="2" t="s">
        <v>11242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11243</v>
      </c>
      <c r="BV2628" s="2" t="s">
        <v>231</v>
      </c>
      <c r="BW2628" s="2" t="s">
        <v>231</v>
      </c>
      <c r="BX2628" s="2" t="s">
        <v>312</v>
      </c>
      <c r="BY2628" s="2" t="s">
        <v>277</v>
      </c>
      <c r="BZ2628" s="2" t="s">
        <v>243</v>
      </c>
      <c r="CA2628" s="2" t="s">
        <v>8413</v>
      </c>
      <c r="CB2628" s="2" t="s">
        <v>6768</v>
      </c>
      <c r="CC2628" s="2" t="s">
        <v>244</v>
      </c>
      <c r="CD2628" s="2" t="s">
        <v>231</v>
      </c>
      <c r="CE2628" s="4">
        <v>85</v>
      </c>
      <c r="CF2628" s="4"/>
      <c r="CG2628" s="4"/>
      <c r="CH2628" s="4"/>
      <c r="CI2628" s="4">
        <v>231</v>
      </c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  <c r="DL2628" s="4"/>
      <c r="DM2628" s="4"/>
      <c r="DN2628" s="4"/>
      <c r="DO2628" s="4"/>
      <c r="DP2628" s="4"/>
      <c r="DQ2628" s="4"/>
      <c r="DR2628" s="4"/>
      <c r="DS2628" s="4"/>
      <c r="DT2628" s="4"/>
      <c r="DU2628" s="4"/>
      <c r="DV2628" s="4"/>
      <c r="DW2628" s="4"/>
      <c r="DX2628" s="4"/>
      <c r="DY2628" s="4"/>
      <c r="DZ2628" s="4"/>
      <c r="EA2628" s="4"/>
      <c r="EB2628" s="4"/>
      <c r="EC2628" s="4"/>
      <c r="ED2628" s="4"/>
      <c r="EE2628" s="4">
        <v>250</v>
      </c>
      <c r="EF2628" s="4"/>
      <c r="EG2628" s="4"/>
      <c r="EH2628" s="4"/>
      <c r="EI2628" s="4"/>
      <c r="EJ2628" s="4"/>
      <c r="EK2628" s="4"/>
      <c r="EL2628" s="4"/>
      <c r="EM2628" s="4"/>
      <c r="EN2628" s="4"/>
      <c r="EO2628" s="4"/>
      <c r="EP2628" s="4"/>
      <c r="EQ2628" s="4"/>
      <c r="ER2628" s="4"/>
      <c r="ES2628" s="4"/>
      <c r="ET2628" s="4"/>
      <c r="EU2628" s="4"/>
      <c r="EV2628" s="4"/>
      <c r="EW2628" s="4"/>
      <c r="EX2628" s="4"/>
      <c r="EY2628" s="4"/>
      <c r="EZ2628" s="4"/>
      <c r="FA2628" s="4"/>
      <c r="FB2628" s="4"/>
      <c r="FC2628" s="4"/>
      <c r="FD2628" s="4"/>
      <c r="FE2628" s="4"/>
      <c r="FF2628" s="4"/>
      <c r="FG2628" s="4"/>
      <c r="FH2628" s="4"/>
      <c r="FI2628" s="4"/>
      <c r="FJ2628" s="4"/>
      <c r="FK2628" s="4"/>
      <c r="FL2628" s="4"/>
      <c r="FM2628" s="4"/>
      <c r="FN2628" s="4"/>
      <c r="FO2628" s="4"/>
      <c r="FP2628" s="4"/>
      <c r="FQ2628" s="4"/>
      <c r="FR2628" s="4"/>
      <c r="FS2628" s="4"/>
      <c r="FT2628" s="4"/>
      <c r="FU2628" s="4"/>
      <c r="FV2628" s="4">
        <v>50</v>
      </c>
      <c r="FW2628" s="4"/>
      <c r="FX2628" s="4"/>
      <c r="FY2628" s="4"/>
      <c r="FZ2628" s="4"/>
      <c r="GA2628" s="4"/>
      <c r="GB2628" s="4"/>
      <c r="GC2628" s="4"/>
      <c r="GD2628" s="4"/>
      <c r="GE2628" s="4"/>
      <c r="GF2628" s="4"/>
      <c r="GG2628" s="4"/>
      <c r="GH2628" s="4"/>
      <c r="GI2628" s="4"/>
      <c r="GJ2628" s="4"/>
      <c r="GK2628" s="4"/>
      <c r="GL2628" s="4"/>
      <c r="GM2628" s="4"/>
      <c r="GN2628" s="4"/>
      <c r="GO2628" s="4"/>
      <c r="GP2628" s="4"/>
      <c r="GQ2628" s="4">
        <v>250</v>
      </c>
      <c r="GR2628" s="4"/>
      <c r="GS2628" s="4"/>
      <c r="GT2628" s="4"/>
      <c r="GU2628" s="4"/>
      <c r="GV2628" s="4"/>
      <c r="GW2628" s="4"/>
      <c r="GX2628" s="4"/>
      <c r="GY2628" s="4"/>
      <c r="GZ2628" s="4"/>
      <c r="HA2628" s="4"/>
      <c r="HB2628" s="4"/>
      <c r="HC2628" s="4"/>
      <c r="HD2628" s="4"/>
      <c r="HE2628" s="4"/>
      <c r="HF2628" s="4"/>
      <c r="HG2628" s="4"/>
      <c r="HH2628" s="4"/>
      <c r="HI2628" s="4"/>
      <c r="HJ2628" s="4"/>
      <c r="HK2628" s="4"/>
      <c r="HL2628" s="4"/>
    </row>
    <row r="2629">
      <c r="A2629" s="2" t="s">
        <v>11244</v>
      </c>
      <c r="B2629" s="2" t="s">
        <v>287</v>
      </c>
      <c r="C2629" s="2" t="s">
        <v>357</v>
      </c>
      <c r="D2629" s="2" t="s">
        <v>289</v>
      </c>
      <c r="E2629" s="2" t="s">
        <v>290</v>
      </c>
      <c r="F2629" s="2" t="s">
        <v>10619</v>
      </c>
      <c r="G2629" s="2" t="s">
        <v>10619</v>
      </c>
      <c r="H2629" s="2" t="s">
        <v>10619</v>
      </c>
      <c r="I2629" s="2" t="s">
        <v>11235</v>
      </c>
      <c r="J2629" s="2" t="s">
        <v>281</v>
      </c>
      <c r="K2629" s="2" t="s">
        <v>778</v>
      </c>
      <c r="L2629" s="3">
        <v>16.5</v>
      </c>
      <c r="M2629" s="3">
        <v>17.32</v>
      </c>
      <c r="N2629" s="3">
        <v>32.99</v>
      </c>
      <c r="O2629" s="2" t="s">
        <v>243</v>
      </c>
      <c r="P2629" s="2" t="s">
        <v>341</v>
      </c>
      <c r="Q2629" s="2" t="s">
        <v>237</v>
      </c>
      <c r="R2629" s="2" t="s">
        <v>231</v>
      </c>
      <c r="S2629" s="2" t="s">
        <v>11245</v>
      </c>
      <c r="T2629" s="2" t="s">
        <v>10619</v>
      </c>
      <c r="U2629" s="2" t="s">
        <v>231</v>
      </c>
      <c r="V2629" s="2" t="s">
        <v>239</v>
      </c>
      <c r="W2629" s="2" t="s">
        <v>273</v>
      </c>
      <c r="X2629" s="2" t="s">
        <v>231</v>
      </c>
      <c r="Y2629" s="2" t="s">
        <v>1078</v>
      </c>
      <c r="Z2629" s="4">
        <v>84</v>
      </c>
      <c r="AA2629" s="4">
        <f>=ROUNDDOWN(4.3298969072165,0)</f>
      </c>
      <c r="AB2629" s="5">
        <v>19.4</v>
      </c>
      <c r="AC2629" s="2" t="s">
        <v>231</v>
      </c>
      <c r="AD2629" s="4"/>
      <c r="AE2629" s="4"/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231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231</v>
      </c>
      <c r="BD2629" s="8" t="s">
        <v>231</v>
      </c>
      <c r="BE2629" s="4" t="s">
        <v>231</v>
      </c>
      <c r="BF2629" s="8" t="s">
        <v>231</v>
      </c>
      <c r="BG2629" s="7" t="s">
        <v>231</v>
      </c>
      <c r="BH2629" s="7" t="s">
        <v>231</v>
      </c>
      <c r="BI2629" s="7"/>
      <c r="BJ2629" s="4">
        <v>108</v>
      </c>
      <c r="BK2629" s="8">
        <v>2505.39</v>
      </c>
      <c r="BL2629" s="2" t="s">
        <v>11246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11247</v>
      </c>
      <c r="BV2629" s="2" t="s">
        <v>231</v>
      </c>
      <c r="BW2629" s="2" t="s">
        <v>231</v>
      </c>
      <c r="BX2629" s="2" t="s">
        <v>1360</v>
      </c>
      <c r="BY2629" s="2" t="s">
        <v>277</v>
      </c>
      <c r="BZ2629" s="2" t="s">
        <v>243</v>
      </c>
      <c r="CA2629" s="2" t="s">
        <v>11248</v>
      </c>
      <c r="CB2629" s="2" t="s">
        <v>11249</v>
      </c>
      <c r="CC2629" s="2" t="s">
        <v>244</v>
      </c>
      <c r="CD2629" s="2" t="s">
        <v>231</v>
      </c>
      <c r="CE2629" s="4">
        <v>84</v>
      </c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/>
      <c r="DI2629" s="4"/>
      <c r="DJ2629" s="4"/>
      <c r="DK2629" s="4"/>
      <c r="DL2629" s="4"/>
      <c r="DM2629" s="4"/>
      <c r="DN2629" s="4"/>
      <c r="DO2629" s="4"/>
      <c r="DP2629" s="4"/>
      <c r="DQ2629" s="4"/>
      <c r="DR2629" s="4"/>
      <c r="DS2629" s="4"/>
      <c r="DT2629" s="4"/>
      <c r="DU2629" s="4"/>
      <c r="DV2629" s="4"/>
      <c r="DW2629" s="4"/>
      <c r="DX2629" s="4"/>
      <c r="DY2629" s="4"/>
      <c r="DZ2629" s="4"/>
      <c r="EA2629" s="4"/>
      <c r="EB2629" s="4"/>
      <c r="EC2629" s="4"/>
      <c r="ED2629" s="4"/>
      <c r="EE2629" s="4"/>
      <c r="EF2629" s="4"/>
      <c r="EG2629" s="4"/>
      <c r="EH2629" s="4"/>
      <c r="EI2629" s="4"/>
      <c r="EJ2629" s="4"/>
      <c r="EK2629" s="4"/>
      <c r="EL2629" s="4"/>
      <c r="EM2629" s="4"/>
      <c r="EN2629" s="4"/>
      <c r="EO2629" s="4"/>
      <c r="EP2629" s="4"/>
      <c r="EQ2629" s="4"/>
      <c r="ER2629" s="4"/>
      <c r="ES2629" s="4"/>
      <c r="ET2629" s="4"/>
      <c r="EU2629" s="4"/>
      <c r="EV2629" s="4"/>
      <c r="EW2629" s="4"/>
      <c r="EX2629" s="4"/>
      <c r="EY2629" s="4"/>
      <c r="EZ2629" s="4"/>
      <c r="FA2629" s="4"/>
      <c r="FB2629" s="4"/>
      <c r="FC2629" s="4"/>
      <c r="FD2629" s="4"/>
      <c r="FE2629" s="4"/>
      <c r="FF2629" s="4"/>
      <c r="FG2629" s="4"/>
      <c r="FH2629" s="4"/>
      <c r="FI2629" s="4"/>
      <c r="FJ2629" s="4"/>
      <c r="FK2629" s="4"/>
      <c r="FL2629" s="4"/>
      <c r="FM2629" s="4"/>
      <c r="FN2629" s="4"/>
      <c r="FO2629" s="4"/>
      <c r="FP2629" s="4"/>
      <c r="FQ2629" s="4"/>
      <c r="FR2629" s="4"/>
      <c r="FS2629" s="4"/>
      <c r="FT2629" s="4"/>
      <c r="FU2629" s="4"/>
      <c r="FV2629" s="4"/>
      <c r="FW2629" s="4"/>
      <c r="FX2629" s="4"/>
      <c r="FY2629" s="4"/>
      <c r="FZ2629" s="4"/>
      <c r="GA2629" s="4"/>
      <c r="GB2629" s="4"/>
      <c r="GC2629" s="4"/>
      <c r="GD2629" s="4"/>
      <c r="GE2629" s="4"/>
      <c r="GF2629" s="4"/>
      <c r="GG2629" s="4"/>
      <c r="GH2629" s="4"/>
      <c r="GI2629" s="4"/>
      <c r="GJ2629" s="4"/>
      <c r="GK2629" s="4"/>
      <c r="GL2629" s="4"/>
      <c r="GM2629" s="4"/>
      <c r="GN2629" s="4"/>
      <c r="GO2629" s="4"/>
      <c r="GP2629" s="4"/>
      <c r="GQ2629" s="4"/>
      <c r="GR2629" s="4"/>
      <c r="GS2629" s="4"/>
      <c r="GT2629" s="4"/>
      <c r="GU2629" s="4"/>
      <c r="GV2629" s="4"/>
      <c r="GW2629" s="4"/>
      <c r="GX2629" s="4"/>
      <c r="GY2629" s="4"/>
      <c r="GZ2629" s="4"/>
      <c r="HA2629" s="4"/>
      <c r="HB2629" s="4"/>
      <c r="HC2629" s="4"/>
      <c r="HD2629" s="4"/>
      <c r="HE2629" s="4"/>
      <c r="HF2629" s="4"/>
      <c r="HG2629" s="4"/>
      <c r="HH2629" s="4"/>
      <c r="HI2629" s="4"/>
      <c r="HJ2629" s="4"/>
      <c r="HK2629" s="4"/>
      <c r="HL2629" s="4"/>
    </row>
    <row r="2630">
      <c r="A2630" s="2" t="s">
        <v>11250</v>
      </c>
      <c r="B2630" s="2" t="s">
        <v>287</v>
      </c>
      <c r="C2630" s="2" t="s">
        <v>357</v>
      </c>
      <c r="D2630" s="2" t="s">
        <v>289</v>
      </c>
      <c r="E2630" s="2" t="s">
        <v>290</v>
      </c>
      <c r="F2630" s="2" t="s">
        <v>10619</v>
      </c>
      <c r="G2630" s="2" t="s">
        <v>10619</v>
      </c>
      <c r="H2630" s="2" t="s">
        <v>10619</v>
      </c>
      <c r="I2630" s="2" t="s">
        <v>11235</v>
      </c>
      <c r="J2630" s="2" t="s">
        <v>281</v>
      </c>
      <c r="K2630" s="2" t="s">
        <v>1513</v>
      </c>
      <c r="L2630" s="3">
        <v>16.5</v>
      </c>
      <c r="M2630" s="3">
        <v>17.32</v>
      </c>
      <c r="N2630" s="3">
        <v>32.99</v>
      </c>
      <c r="O2630" s="2" t="s">
        <v>243</v>
      </c>
      <c r="P2630" s="2" t="s">
        <v>341</v>
      </c>
      <c r="Q2630" s="2" t="s">
        <v>237</v>
      </c>
      <c r="R2630" s="2" t="s">
        <v>231</v>
      </c>
      <c r="S2630" s="2" t="s">
        <v>11251</v>
      </c>
      <c r="T2630" s="2" t="s">
        <v>10619</v>
      </c>
      <c r="U2630" s="2" t="s">
        <v>231</v>
      </c>
      <c r="V2630" s="2" t="s">
        <v>239</v>
      </c>
      <c r="W2630" s="2" t="s">
        <v>273</v>
      </c>
      <c r="X2630" s="2" t="s">
        <v>231</v>
      </c>
      <c r="Y2630" s="2" t="s">
        <v>274</v>
      </c>
      <c r="Z2630" s="4">
        <v>126</v>
      </c>
      <c r="AA2630" s="4">
        <f>=ROUNDDOWN(7.41176470588235,0)</f>
      </c>
      <c r="AB2630" s="5">
        <v>17</v>
      </c>
      <c r="AC2630" s="2" t="s">
        <v>231</v>
      </c>
      <c r="AD2630" s="4"/>
      <c r="AE2630" s="4"/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231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231</v>
      </c>
      <c r="AW2630" s="8" t="s">
        <v>231</v>
      </c>
      <c r="AX2630" s="4" t="s">
        <v>231</v>
      </c>
      <c r="AY2630" s="8" t="s">
        <v>231</v>
      </c>
      <c r="AZ2630" s="7" t="s">
        <v>231</v>
      </c>
      <c r="BA2630" s="7" t="s">
        <v>231</v>
      </c>
      <c r="BB2630" s="7"/>
      <c r="BC2630" s="4" t="s">
        <v>231</v>
      </c>
      <c r="BD2630" s="8" t="s">
        <v>231</v>
      </c>
      <c r="BE2630" s="4" t="s">
        <v>231</v>
      </c>
      <c r="BF2630" s="8" t="s">
        <v>231</v>
      </c>
      <c r="BG2630" s="7" t="s">
        <v>231</v>
      </c>
      <c r="BH2630" s="7" t="s">
        <v>231</v>
      </c>
      <c r="BI2630" s="7"/>
      <c r="BJ2630" s="4">
        <v>88</v>
      </c>
      <c r="BK2630" s="8">
        <v>2111.28</v>
      </c>
      <c r="BL2630" s="2" t="s">
        <v>11252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11253</v>
      </c>
      <c r="BV2630" s="2" t="s">
        <v>231</v>
      </c>
      <c r="BW2630" s="2" t="s">
        <v>231</v>
      </c>
      <c r="BX2630" s="2" t="s">
        <v>1360</v>
      </c>
      <c r="BY2630" s="2" t="s">
        <v>277</v>
      </c>
      <c r="BZ2630" s="2" t="s">
        <v>243</v>
      </c>
      <c r="CA2630" s="2" t="s">
        <v>284</v>
      </c>
      <c r="CB2630" s="2" t="s">
        <v>551</v>
      </c>
      <c r="CC2630" s="2" t="s">
        <v>244</v>
      </c>
      <c r="CD2630" s="2" t="s">
        <v>231</v>
      </c>
      <c r="CE2630" s="4">
        <v>103</v>
      </c>
      <c r="CF2630" s="4"/>
      <c r="CG2630" s="4"/>
      <c r="CH2630" s="4"/>
      <c r="CI2630" s="4">
        <v>23</v>
      </c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/>
      <c r="DM2630" s="4"/>
      <c r="DN2630" s="4"/>
      <c r="DO2630" s="4"/>
      <c r="DP2630" s="4"/>
      <c r="DQ2630" s="4"/>
      <c r="DR2630" s="4"/>
      <c r="DS2630" s="4"/>
      <c r="DT2630" s="4"/>
      <c r="DU2630" s="4"/>
      <c r="DV2630" s="4"/>
      <c r="DW2630" s="4"/>
      <c r="DX2630" s="4"/>
      <c r="DY2630" s="4"/>
      <c r="DZ2630" s="4"/>
      <c r="EA2630" s="4"/>
      <c r="EB2630" s="4"/>
      <c r="EC2630" s="4"/>
      <c r="ED2630" s="4"/>
      <c r="EE2630" s="4"/>
      <c r="EF2630" s="4"/>
      <c r="EG2630" s="4"/>
      <c r="EH2630" s="4"/>
      <c r="EI2630" s="4"/>
      <c r="EJ2630" s="4"/>
      <c r="EK2630" s="4"/>
      <c r="EL2630" s="4"/>
      <c r="EM2630" s="4"/>
      <c r="EN2630" s="4"/>
      <c r="EO2630" s="4"/>
      <c r="EP2630" s="4"/>
      <c r="EQ2630" s="4"/>
      <c r="ER2630" s="4"/>
      <c r="ES2630" s="4"/>
      <c r="ET2630" s="4"/>
      <c r="EU2630" s="4"/>
      <c r="EV2630" s="4"/>
      <c r="EW2630" s="4"/>
      <c r="EX2630" s="4"/>
      <c r="EY2630" s="4"/>
      <c r="EZ2630" s="4"/>
      <c r="FA2630" s="4"/>
      <c r="FB2630" s="4"/>
      <c r="FC2630" s="4"/>
      <c r="FD2630" s="4"/>
      <c r="FE2630" s="4"/>
      <c r="FF2630" s="4"/>
      <c r="FG2630" s="4"/>
      <c r="FH2630" s="4"/>
      <c r="FI2630" s="4"/>
      <c r="FJ2630" s="4"/>
      <c r="FK2630" s="4"/>
      <c r="FL2630" s="4"/>
      <c r="FM2630" s="4"/>
      <c r="FN2630" s="4"/>
      <c r="FO2630" s="4"/>
      <c r="FP2630" s="4"/>
      <c r="FQ2630" s="4"/>
      <c r="FR2630" s="4"/>
      <c r="FS2630" s="4"/>
      <c r="FT2630" s="4"/>
      <c r="FU2630" s="4"/>
      <c r="FV2630" s="4"/>
      <c r="FW2630" s="4"/>
      <c r="FX2630" s="4"/>
      <c r="FY2630" s="4"/>
      <c r="FZ2630" s="4"/>
      <c r="GA2630" s="4"/>
      <c r="GB2630" s="4"/>
      <c r="GC2630" s="4"/>
      <c r="GD2630" s="4"/>
      <c r="GE2630" s="4"/>
      <c r="GF2630" s="4"/>
      <c r="GG2630" s="4"/>
      <c r="GH2630" s="4"/>
      <c r="GI2630" s="4"/>
      <c r="GJ2630" s="4"/>
      <c r="GK2630" s="4"/>
      <c r="GL2630" s="4"/>
      <c r="GM2630" s="4"/>
      <c r="GN2630" s="4"/>
      <c r="GO2630" s="4"/>
      <c r="GP2630" s="4"/>
      <c r="GQ2630" s="4"/>
      <c r="GR2630" s="4"/>
      <c r="GS2630" s="4"/>
      <c r="GT2630" s="4"/>
      <c r="GU2630" s="4"/>
      <c r="GV2630" s="4"/>
      <c r="GW2630" s="4"/>
      <c r="GX2630" s="4"/>
      <c r="GY2630" s="4"/>
      <c r="GZ2630" s="4"/>
      <c r="HA2630" s="4"/>
      <c r="HB2630" s="4"/>
      <c r="HC2630" s="4"/>
      <c r="HD2630" s="4"/>
      <c r="HE2630" s="4"/>
      <c r="HF2630" s="4"/>
      <c r="HG2630" s="4"/>
      <c r="HH2630" s="4"/>
      <c r="HI2630" s="4"/>
      <c r="HJ2630" s="4"/>
      <c r="HK2630" s="4"/>
      <c r="HL2630" s="4"/>
    </row>
    <row r="2631">
      <c r="A2631" s="2" t="s">
        <v>11254</v>
      </c>
      <c r="B2631" s="2" t="s">
        <v>287</v>
      </c>
      <c r="C2631" s="2" t="s">
        <v>357</v>
      </c>
      <c r="D2631" s="2" t="s">
        <v>458</v>
      </c>
      <c r="E2631" s="2" t="s">
        <v>459</v>
      </c>
      <c r="F2631" s="2" t="s">
        <v>10619</v>
      </c>
      <c r="G2631" s="2" t="s">
        <v>10619</v>
      </c>
      <c r="H2631" s="2" t="s">
        <v>10619</v>
      </c>
      <c r="I2631" s="2" t="s">
        <v>11255</v>
      </c>
      <c r="J2631" s="2" t="s">
        <v>302</v>
      </c>
      <c r="K2631" s="2" t="s">
        <v>1513</v>
      </c>
      <c r="L2631" s="3">
        <v>6.24</v>
      </c>
      <c r="M2631" s="3">
        <v>6.55</v>
      </c>
      <c r="N2631" s="3">
        <v>12.99</v>
      </c>
      <c r="O2631" s="2" t="s">
        <v>243</v>
      </c>
      <c r="P2631" s="2" t="s">
        <v>341</v>
      </c>
      <c r="Q2631" s="2" t="s">
        <v>237</v>
      </c>
      <c r="R2631" s="2" t="s">
        <v>231</v>
      </c>
      <c r="S2631" s="2" t="s">
        <v>11256</v>
      </c>
      <c r="T2631" s="2" t="s">
        <v>10619</v>
      </c>
      <c r="U2631" s="2" t="s">
        <v>791</v>
      </c>
      <c r="V2631" s="2" t="s">
        <v>239</v>
      </c>
      <c r="W2631" s="2" t="s">
        <v>299</v>
      </c>
      <c r="X2631" s="2" t="s">
        <v>273</v>
      </c>
      <c r="Y2631" s="2" t="s">
        <v>9053</v>
      </c>
      <c r="Z2631" s="4">
        <v>478</v>
      </c>
      <c r="AA2631" s="4">
        <f>=ROUNDDOWN(56.9047619047619,0)</f>
      </c>
      <c r="AB2631" s="5">
        <v>8.4</v>
      </c>
      <c r="AC2631" s="2" t="s">
        <v>231</v>
      </c>
      <c r="AD2631" s="4"/>
      <c r="AE2631" s="4"/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231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231</v>
      </c>
      <c r="AW2631" s="8" t="s">
        <v>231</v>
      </c>
      <c r="AX2631" s="4" t="s">
        <v>231</v>
      </c>
      <c r="AY2631" s="8" t="s">
        <v>231</v>
      </c>
      <c r="AZ2631" s="7" t="s">
        <v>231</v>
      </c>
      <c r="BA2631" s="7" t="s">
        <v>231</v>
      </c>
      <c r="BB2631" s="7"/>
      <c r="BC2631" s="4" t="s">
        <v>231</v>
      </c>
      <c r="BD2631" s="8" t="s">
        <v>231</v>
      </c>
      <c r="BE2631" s="4" t="s">
        <v>231</v>
      </c>
      <c r="BF2631" s="8" t="s">
        <v>231</v>
      </c>
      <c r="BG2631" s="7" t="s">
        <v>231</v>
      </c>
      <c r="BH2631" s="7" t="s">
        <v>231</v>
      </c>
      <c r="BI2631" s="7"/>
      <c r="BJ2631" s="4">
        <v>47</v>
      </c>
      <c r="BK2631" s="8">
        <v>311.02</v>
      </c>
      <c r="BL2631" s="2" t="s">
        <v>10290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11257</v>
      </c>
      <c r="BV2631" s="2" t="s">
        <v>231</v>
      </c>
      <c r="BW2631" s="2" t="s">
        <v>231</v>
      </c>
      <c r="BX2631" s="2" t="s">
        <v>231</v>
      </c>
      <c r="BY2631" s="2" t="s">
        <v>277</v>
      </c>
      <c r="BZ2631" s="2" t="s">
        <v>243</v>
      </c>
      <c r="CA2631" s="2" t="s">
        <v>11258</v>
      </c>
      <c r="CB2631" s="2" t="s">
        <v>11259</v>
      </c>
      <c r="CC2631" s="2" t="s">
        <v>244</v>
      </c>
      <c r="CD2631" s="2" t="s">
        <v>231</v>
      </c>
      <c r="CE2631" s="4">
        <v>353</v>
      </c>
      <c r="CF2631" s="4"/>
      <c r="CG2631" s="4"/>
      <c r="CH2631" s="4"/>
      <c r="CI2631" s="4">
        <v>125</v>
      </c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  <c r="DP2631" s="4"/>
      <c r="DQ2631" s="4"/>
      <c r="DR2631" s="4"/>
      <c r="DS2631" s="4"/>
      <c r="DT2631" s="4"/>
      <c r="DU2631" s="4"/>
      <c r="DV2631" s="4"/>
      <c r="DW2631" s="4"/>
      <c r="DX2631" s="4"/>
      <c r="DY2631" s="4"/>
      <c r="DZ2631" s="4"/>
      <c r="EA2631" s="4"/>
      <c r="EB2631" s="4"/>
      <c r="EC2631" s="4"/>
      <c r="ED2631" s="4"/>
      <c r="EE2631" s="4"/>
      <c r="EF2631" s="4"/>
      <c r="EG2631" s="4"/>
      <c r="EH2631" s="4"/>
      <c r="EI2631" s="4"/>
      <c r="EJ2631" s="4"/>
      <c r="EK2631" s="4"/>
      <c r="EL2631" s="4"/>
      <c r="EM2631" s="4"/>
      <c r="EN2631" s="4"/>
      <c r="EO2631" s="4"/>
      <c r="EP2631" s="4"/>
      <c r="EQ2631" s="4"/>
      <c r="ER2631" s="4"/>
      <c r="ES2631" s="4"/>
      <c r="ET2631" s="4"/>
      <c r="EU2631" s="4"/>
      <c r="EV2631" s="4"/>
      <c r="EW2631" s="4"/>
      <c r="EX2631" s="4"/>
      <c r="EY2631" s="4"/>
      <c r="EZ2631" s="4"/>
      <c r="FA2631" s="4"/>
      <c r="FB2631" s="4"/>
      <c r="FC2631" s="4"/>
      <c r="FD2631" s="4"/>
      <c r="FE2631" s="4"/>
      <c r="FF2631" s="4"/>
      <c r="FG2631" s="4"/>
      <c r="FH2631" s="4"/>
      <c r="FI2631" s="4"/>
      <c r="FJ2631" s="4"/>
      <c r="FK2631" s="4"/>
      <c r="FL2631" s="4"/>
      <c r="FM2631" s="4"/>
      <c r="FN2631" s="4"/>
      <c r="FO2631" s="4"/>
      <c r="FP2631" s="4"/>
      <c r="FQ2631" s="4"/>
      <c r="FR2631" s="4"/>
      <c r="FS2631" s="4"/>
      <c r="FT2631" s="4"/>
      <c r="FU2631" s="4"/>
      <c r="FV2631" s="4"/>
      <c r="FW2631" s="4"/>
      <c r="FX2631" s="4"/>
      <c r="FY2631" s="4"/>
      <c r="FZ2631" s="4"/>
      <c r="GA2631" s="4"/>
      <c r="GB2631" s="4"/>
      <c r="GC2631" s="4"/>
      <c r="GD2631" s="4"/>
      <c r="GE2631" s="4"/>
      <c r="GF2631" s="4"/>
      <c r="GG2631" s="4"/>
      <c r="GH2631" s="4"/>
      <c r="GI2631" s="4"/>
      <c r="GJ2631" s="4"/>
      <c r="GK2631" s="4"/>
      <c r="GL2631" s="4"/>
      <c r="GM2631" s="4"/>
      <c r="GN2631" s="4"/>
      <c r="GO2631" s="4"/>
      <c r="GP2631" s="4"/>
      <c r="GQ2631" s="4"/>
      <c r="GR2631" s="4"/>
      <c r="GS2631" s="4"/>
      <c r="GT2631" s="4"/>
      <c r="GU2631" s="4"/>
      <c r="GV2631" s="4"/>
      <c r="GW2631" s="4"/>
      <c r="GX2631" s="4"/>
      <c r="GY2631" s="4"/>
      <c r="GZ2631" s="4"/>
      <c r="HA2631" s="4"/>
      <c r="HB2631" s="4"/>
      <c r="HC2631" s="4"/>
      <c r="HD2631" s="4"/>
      <c r="HE2631" s="4"/>
      <c r="HF2631" s="4"/>
      <c r="HG2631" s="4"/>
      <c r="HH2631" s="4"/>
      <c r="HI2631" s="4"/>
      <c r="HJ2631" s="4"/>
      <c r="HK2631" s="4"/>
      <c r="HL2631" s="4"/>
    </row>
    <row r="2632">
      <c r="A2632" s="2" t="s">
        <v>11260</v>
      </c>
      <c r="B2632" s="2" t="s">
        <v>287</v>
      </c>
      <c r="C2632" s="2" t="s">
        <v>357</v>
      </c>
      <c r="D2632" s="2" t="s">
        <v>289</v>
      </c>
      <c r="E2632" s="2" t="s">
        <v>290</v>
      </c>
      <c r="F2632" s="2" t="s">
        <v>10619</v>
      </c>
      <c r="G2632" s="2" t="s">
        <v>10619</v>
      </c>
      <c r="H2632" s="2" t="s">
        <v>10619</v>
      </c>
      <c r="I2632" s="2" t="s">
        <v>11235</v>
      </c>
      <c r="J2632" s="2" t="s">
        <v>304</v>
      </c>
      <c r="K2632" s="2" t="s">
        <v>319</v>
      </c>
      <c r="L2632" s="3">
        <v>21.5</v>
      </c>
      <c r="M2632" s="3">
        <v>22.58</v>
      </c>
      <c r="N2632" s="3">
        <v>42.99</v>
      </c>
      <c r="O2632" s="2" t="s">
        <v>243</v>
      </c>
      <c r="P2632" s="2" t="s">
        <v>270</v>
      </c>
      <c r="Q2632" s="2" t="s">
        <v>237</v>
      </c>
      <c r="R2632" s="2" t="s">
        <v>231</v>
      </c>
      <c r="S2632" s="2" t="s">
        <v>11261</v>
      </c>
      <c r="T2632" s="2" t="s">
        <v>10619</v>
      </c>
      <c r="U2632" s="2" t="s">
        <v>765</v>
      </c>
      <c r="V2632" s="2" t="s">
        <v>239</v>
      </c>
      <c r="W2632" s="2" t="s">
        <v>363</v>
      </c>
      <c r="X2632" s="2" t="s">
        <v>691</v>
      </c>
      <c r="Y2632" s="2" t="s">
        <v>1311</v>
      </c>
      <c r="Z2632" s="4">
        <v>320</v>
      </c>
      <c r="AA2632" s="4">
        <f>=ROUNDDOWN(24.6153846153846,0)</f>
      </c>
      <c r="AB2632" s="5">
        <v>13</v>
      </c>
      <c r="AC2632" s="2" t="s">
        <v>1315</v>
      </c>
      <c r="AD2632" s="4">
        <v>160</v>
      </c>
      <c r="AE2632" s="4">
        <v>230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231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231</v>
      </c>
      <c r="BD2632" s="8" t="s">
        <v>231</v>
      </c>
      <c r="BE2632" s="4" t="s">
        <v>231</v>
      </c>
      <c r="BF2632" s="8" t="s">
        <v>231</v>
      </c>
      <c r="BG2632" s="7" t="s">
        <v>231</v>
      </c>
      <c r="BH2632" s="7" t="s">
        <v>231</v>
      </c>
      <c r="BI2632" s="7"/>
      <c r="BJ2632" s="4">
        <v>34</v>
      </c>
      <c r="BK2632" s="8">
        <v>969.09</v>
      </c>
      <c r="BL2632" s="2" t="s">
        <v>11262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11263</v>
      </c>
      <c r="BV2632" s="2" t="s">
        <v>231</v>
      </c>
      <c r="BW2632" s="2" t="s">
        <v>231</v>
      </c>
      <c r="BX2632" s="2" t="s">
        <v>312</v>
      </c>
      <c r="BY2632" s="2" t="s">
        <v>277</v>
      </c>
      <c r="BZ2632" s="2" t="s">
        <v>243</v>
      </c>
      <c r="CA2632" s="2" t="s">
        <v>8413</v>
      </c>
      <c r="CB2632" s="2" t="s">
        <v>4824</v>
      </c>
      <c r="CC2632" s="2" t="s">
        <v>244</v>
      </c>
      <c r="CD2632" s="2" t="s">
        <v>231</v>
      </c>
      <c r="CE2632" s="4">
        <v>270</v>
      </c>
      <c r="CF2632" s="4"/>
      <c r="CG2632" s="4"/>
      <c r="CH2632" s="4"/>
      <c r="CI2632" s="4">
        <v>50</v>
      </c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/>
      <c r="DM2632" s="4"/>
      <c r="DN2632" s="4"/>
      <c r="DO2632" s="4"/>
      <c r="DP2632" s="4"/>
      <c r="DQ2632" s="4"/>
      <c r="DR2632" s="4"/>
      <c r="DS2632" s="4"/>
      <c r="DT2632" s="4"/>
      <c r="DU2632" s="4"/>
      <c r="DV2632" s="4"/>
      <c r="DW2632" s="4"/>
      <c r="DX2632" s="4"/>
      <c r="DY2632" s="4"/>
      <c r="DZ2632" s="4"/>
      <c r="EA2632" s="4"/>
      <c r="EB2632" s="4"/>
      <c r="EC2632" s="4"/>
      <c r="ED2632" s="4"/>
      <c r="EE2632" s="4">
        <v>160</v>
      </c>
      <c r="EF2632" s="4"/>
      <c r="EG2632" s="4"/>
      <c r="EH2632" s="4"/>
      <c r="EI2632" s="4"/>
      <c r="EJ2632" s="4"/>
      <c r="EK2632" s="4"/>
      <c r="EL2632" s="4"/>
      <c r="EM2632" s="4"/>
      <c r="EN2632" s="4"/>
      <c r="EO2632" s="4"/>
      <c r="EP2632" s="4"/>
      <c r="EQ2632" s="4"/>
      <c r="ER2632" s="4"/>
      <c r="ES2632" s="4"/>
      <c r="ET2632" s="4"/>
      <c r="EU2632" s="4"/>
      <c r="EV2632" s="4"/>
      <c r="EW2632" s="4"/>
      <c r="EX2632" s="4"/>
      <c r="EY2632" s="4"/>
      <c r="EZ2632" s="4"/>
      <c r="FA2632" s="4"/>
      <c r="FB2632" s="4"/>
      <c r="FC2632" s="4"/>
      <c r="FD2632" s="4"/>
      <c r="FE2632" s="4"/>
      <c r="FF2632" s="4"/>
      <c r="FG2632" s="4"/>
      <c r="FH2632" s="4"/>
      <c r="FI2632" s="4"/>
      <c r="FJ2632" s="4"/>
      <c r="FK2632" s="4"/>
      <c r="FL2632" s="4"/>
      <c r="FM2632" s="4"/>
      <c r="FN2632" s="4"/>
      <c r="FO2632" s="4"/>
      <c r="FP2632" s="4"/>
      <c r="FQ2632" s="4"/>
      <c r="FR2632" s="4"/>
      <c r="FS2632" s="4"/>
      <c r="FT2632" s="4"/>
      <c r="FU2632" s="4"/>
      <c r="FV2632" s="4"/>
      <c r="FW2632" s="4"/>
      <c r="FX2632" s="4"/>
      <c r="FY2632" s="4"/>
      <c r="FZ2632" s="4"/>
      <c r="GA2632" s="4"/>
      <c r="GB2632" s="4"/>
      <c r="GC2632" s="4"/>
      <c r="GD2632" s="4"/>
      <c r="GE2632" s="4"/>
      <c r="GF2632" s="4"/>
      <c r="GG2632" s="4"/>
      <c r="GH2632" s="4"/>
      <c r="GI2632" s="4"/>
      <c r="GJ2632" s="4"/>
      <c r="GK2632" s="4"/>
      <c r="GL2632" s="4"/>
      <c r="GM2632" s="4"/>
      <c r="GN2632" s="4"/>
      <c r="GO2632" s="4"/>
      <c r="GP2632" s="4"/>
      <c r="GQ2632" s="4">
        <v>70</v>
      </c>
      <c r="GR2632" s="4"/>
      <c r="GS2632" s="4"/>
      <c r="GT2632" s="4"/>
      <c r="GU2632" s="4"/>
      <c r="GV2632" s="4"/>
      <c r="GW2632" s="4"/>
      <c r="GX2632" s="4"/>
      <c r="GY2632" s="4"/>
      <c r="GZ2632" s="4"/>
      <c r="HA2632" s="4"/>
      <c r="HB2632" s="4"/>
      <c r="HC2632" s="4"/>
      <c r="HD2632" s="4"/>
      <c r="HE2632" s="4"/>
      <c r="HF2632" s="4"/>
      <c r="HG2632" s="4"/>
      <c r="HH2632" s="4"/>
      <c r="HI2632" s="4"/>
      <c r="HJ2632" s="4"/>
      <c r="HK2632" s="4"/>
      <c r="HL2632" s="4"/>
    </row>
    <row r="2633">
      <c r="A2633" s="2" t="s">
        <v>11264</v>
      </c>
      <c r="B2633" s="2" t="s">
        <v>262</v>
      </c>
      <c r="C2633" s="2" t="s">
        <v>357</v>
      </c>
      <c r="D2633" s="2" t="s">
        <v>654</v>
      </c>
      <c r="E2633" s="2" t="s">
        <v>655</v>
      </c>
      <c r="F2633" s="2" t="s">
        <v>11265</v>
      </c>
      <c r="G2633" s="2" t="s">
        <v>11265</v>
      </c>
      <c r="H2633" s="2" t="s">
        <v>11265</v>
      </c>
      <c r="I2633" s="2" t="s">
        <v>984</v>
      </c>
      <c r="J2633" s="2" t="s">
        <v>658</v>
      </c>
      <c r="K2633" s="2" t="s">
        <v>294</v>
      </c>
      <c r="L2633" s="3">
        <v>33.33</v>
      </c>
      <c r="M2633" s="3">
        <v>35</v>
      </c>
      <c r="N2633" s="3">
        <v>69.99</v>
      </c>
      <c r="O2633" s="2" t="s">
        <v>243</v>
      </c>
      <c r="P2633" s="2" t="s">
        <v>236</v>
      </c>
      <c r="Q2633" s="2" t="s">
        <v>237</v>
      </c>
      <c r="R2633" s="2" t="s">
        <v>231</v>
      </c>
      <c r="S2633" s="2" t="s">
        <v>11266</v>
      </c>
      <c r="T2633" s="2" t="s">
        <v>10619</v>
      </c>
      <c r="U2633" s="2" t="s">
        <v>298</v>
      </c>
      <c r="V2633" s="2" t="s">
        <v>239</v>
      </c>
      <c r="W2633" s="2" t="s">
        <v>299</v>
      </c>
      <c r="X2633" s="2" t="s">
        <v>231</v>
      </c>
      <c r="Y2633" s="2" t="s">
        <v>11267</v>
      </c>
      <c r="Z2633" s="4">
        <v>170</v>
      </c>
      <c r="AA2633" s="4">
        <f>=ROUNDDOWN({0},0)</f>
      </c>
      <c r="AB2633" s="5"/>
      <c r="AC2633" s="2" t="s">
        <v>1315</v>
      </c>
      <c r="AD2633" s="4">
        <v>260</v>
      </c>
      <c r="AE2633" s="4">
        <v>260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231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231</v>
      </c>
      <c r="AW2633" s="8" t="s">
        <v>231</v>
      </c>
      <c r="AX2633" s="4" t="s">
        <v>231</v>
      </c>
      <c r="AY2633" s="8" t="s">
        <v>231</v>
      </c>
      <c r="AZ2633" s="7" t="s">
        <v>231</v>
      </c>
      <c r="BA2633" s="7" t="s">
        <v>231</v>
      </c>
      <c r="BB2633" s="7"/>
      <c r="BC2633" s="4" t="s">
        <v>231</v>
      </c>
      <c r="BD2633" s="8" t="s">
        <v>231</v>
      </c>
      <c r="BE2633" s="4" t="s">
        <v>231</v>
      </c>
      <c r="BF2633" s="8" t="s">
        <v>231</v>
      </c>
      <c r="BG2633" s="7" t="s">
        <v>231</v>
      </c>
      <c r="BH2633" s="7" t="s">
        <v>231</v>
      </c>
      <c r="BI2633" s="7"/>
      <c r="BJ2633" s="4"/>
      <c r="BK2633" s="8"/>
      <c r="BL2633" s="2" t="s">
        <v>231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11268</v>
      </c>
      <c r="BV2633" s="2" t="s">
        <v>231</v>
      </c>
      <c r="BW2633" s="2" t="s">
        <v>231</v>
      </c>
      <c r="BX2633" s="2" t="s">
        <v>241</v>
      </c>
      <c r="BY2633" s="2" t="s">
        <v>277</v>
      </c>
      <c r="BZ2633" s="2" t="s">
        <v>243</v>
      </c>
      <c r="CA2633" s="2" t="s">
        <v>3415</v>
      </c>
      <c r="CB2633" s="2" t="s">
        <v>231</v>
      </c>
      <c r="CC2633" s="2" t="s">
        <v>244</v>
      </c>
      <c r="CD2633" s="2" t="s">
        <v>231</v>
      </c>
      <c r="CE2633" s="4">
        <v>170</v>
      </c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/>
      <c r="DM2633" s="4"/>
      <c r="DN2633" s="4"/>
      <c r="DO2633" s="4"/>
      <c r="DP2633" s="4"/>
      <c r="DQ2633" s="4"/>
      <c r="DR2633" s="4"/>
      <c r="DS2633" s="4"/>
      <c r="DT2633" s="4"/>
      <c r="DU2633" s="4"/>
      <c r="DV2633" s="4"/>
      <c r="DW2633" s="4"/>
      <c r="DX2633" s="4"/>
      <c r="DY2633" s="4"/>
      <c r="DZ2633" s="4"/>
      <c r="EA2633" s="4"/>
      <c r="EB2633" s="4"/>
      <c r="EC2633" s="4"/>
      <c r="ED2633" s="4"/>
      <c r="EE2633" s="4">
        <v>260</v>
      </c>
      <c r="EF2633" s="4"/>
      <c r="EG2633" s="4"/>
      <c r="EH2633" s="4"/>
      <c r="EI2633" s="4"/>
      <c r="EJ2633" s="4"/>
      <c r="EK2633" s="4"/>
      <c r="EL2633" s="4"/>
      <c r="EM2633" s="4"/>
      <c r="EN2633" s="4"/>
      <c r="EO2633" s="4"/>
      <c r="EP2633" s="4"/>
      <c r="EQ2633" s="4"/>
      <c r="ER2633" s="4"/>
      <c r="ES2633" s="4"/>
      <c r="ET2633" s="4"/>
      <c r="EU2633" s="4"/>
      <c r="EV2633" s="4"/>
      <c r="EW2633" s="4"/>
      <c r="EX2633" s="4"/>
      <c r="EY2633" s="4"/>
      <c r="EZ2633" s="4"/>
      <c r="FA2633" s="4"/>
      <c r="FB2633" s="4"/>
      <c r="FC2633" s="4"/>
      <c r="FD2633" s="4"/>
      <c r="FE2633" s="4"/>
      <c r="FF2633" s="4"/>
      <c r="FG2633" s="4"/>
      <c r="FH2633" s="4"/>
      <c r="FI2633" s="4"/>
      <c r="FJ2633" s="4"/>
      <c r="FK2633" s="4"/>
      <c r="FL2633" s="4"/>
      <c r="FM2633" s="4"/>
      <c r="FN2633" s="4"/>
      <c r="FO2633" s="4"/>
      <c r="FP2633" s="4"/>
      <c r="FQ2633" s="4"/>
      <c r="FR2633" s="4"/>
      <c r="FS2633" s="4"/>
      <c r="FT2633" s="4"/>
      <c r="FU2633" s="4"/>
      <c r="FV2633" s="4"/>
      <c r="FW2633" s="4"/>
      <c r="FX2633" s="4"/>
      <c r="FY2633" s="4"/>
      <c r="FZ2633" s="4"/>
      <c r="GA2633" s="4"/>
      <c r="GB2633" s="4"/>
      <c r="GC2633" s="4"/>
      <c r="GD2633" s="4"/>
      <c r="GE2633" s="4"/>
      <c r="GF2633" s="4"/>
      <c r="GG2633" s="4"/>
      <c r="GH2633" s="4"/>
      <c r="GI2633" s="4"/>
      <c r="GJ2633" s="4"/>
      <c r="GK2633" s="4"/>
      <c r="GL2633" s="4"/>
      <c r="GM2633" s="4"/>
      <c r="GN2633" s="4"/>
      <c r="GO2633" s="4"/>
      <c r="GP2633" s="4"/>
      <c r="GQ2633" s="4"/>
      <c r="GR2633" s="4"/>
      <c r="GS2633" s="4"/>
      <c r="GT2633" s="4"/>
      <c r="GU2633" s="4"/>
      <c r="GV2633" s="4"/>
      <c r="GW2633" s="4"/>
      <c r="GX2633" s="4"/>
      <c r="GY2633" s="4"/>
      <c r="GZ2633" s="4"/>
      <c r="HA2633" s="4"/>
      <c r="HB2633" s="4"/>
      <c r="HC2633" s="4"/>
      <c r="HD2633" s="4"/>
      <c r="HE2633" s="4"/>
      <c r="HF2633" s="4"/>
      <c r="HG2633" s="4"/>
      <c r="HH2633" s="4"/>
      <c r="HI2633" s="4"/>
      <c r="HJ2633" s="4"/>
      <c r="HK2633" s="4"/>
      <c r="HL2633" s="4"/>
    </row>
    <row r="2634">
      <c r="A2634" s="2" t="s">
        <v>11269</v>
      </c>
      <c r="B2634" s="2" t="s">
        <v>262</v>
      </c>
      <c r="C2634" s="2" t="s">
        <v>357</v>
      </c>
      <c r="D2634" s="2" t="s">
        <v>654</v>
      </c>
      <c r="E2634" s="2" t="s">
        <v>655</v>
      </c>
      <c r="F2634" s="2" t="s">
        <v>11265</v>
      </c>
      <c r="G2634" s="2" t="s">
        <v>11265</v>
      </c>
      <c r="H2634" s="2" t="s">
        <v>11265</v>
      </c>
      <c r="I2634" s="2" t="s">
        <v>984</v>
      </c>
      <c r="J2634" s="2" t="s">
        <v>669</v>
      </c>
      <c r="K2634" s="2" t="s">
        <v>294</v>
      </c>
      <c r="L2634" s="3">
        <v>38.09</v>
      </c>
      <c r="M2634" s="3">
        <v>39.99</v>
      </c>
      <c r="N2634" s="3">
        <v>79.99</v>
      </c>
      <c r="O2634" s="2" t="s">
        <v>243</v>
      </c>
      <c r="P2634" s="2" t="s">
        <v>236</v>
      </c>
      <c r="Q2634" s="2" t="s">
        <v>237</v>
      </c>
      <c r="R2634" s="2" t="s">
        <v>231</v>
      </c>
      <c r="S2634" s="2" t="s">
        <v>11266</v>
      </c>
      <c r="T2634" s="2" t="s">
        <v>10619</v>
      </c>
      <c r="U2634" s="2" t="s">
        <v>298</v>
      </c>
      <c r="V2634" s="2" t="s">
        <v>239</v>
      </c>
      <c r="W2634" s="2" t="s">
        <v>299</v>
      </c>
      <c r="X2634" s="2" t="s">
        <v>231</v>
      </c>
      <c r="Y2634" s="2" t="s">
        <v>11267</v>
      </c>
      <c r="Z2634" s="4">
        <v>150</v>
      </c>
      <c r="AA2634" s="4">
        <f>=ROUNDDOWN({0},0)</f>
      </c>
      <c r="AB2634" s="5"/>
      <c r="AC2634" s="2" t="s">
        <v>1315</v>
      </c>
      <c r="AD2634" s="4">
        <v>220</v>
      </c>
      <c r="AE2634" s="4">
        <v>220</v>
      </c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231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231</v>
      </c>
      <c r="AW2634" s="8" t="s">
        <v>231</v>
      </c>
      <c r="AX2634" s="4" t="s">
        <v>231</v>
      </c>
      <c r="AY2634" s="8" t="s">
        <v>231</v>
      </c>
      <c r="AZ2634" s="7" t="s">
        <v>231</v>
      </c>
      <c r="BA2634" s="7" t="s">
        <v>231</v>
      </c>
      <c r="BB2634" s="7"/>
      <c r="BC2634" s="4" t="s">
        <v>231</v>
      </c>
      <c r="BD2634" s="8" t="s">
        <v>231</v>
      </c>
      <c r="BE2634" s="4" t="s">
        <v>231</v>
      </c>
      <c r="BF2634" s="8" t="s">
        <v>231</v>
      </c>
      <c r="BG2634" s="7" t="s">
        <v>231</v>
      </c>
      <c r="BH2634" s="7" t="s">
        <v>231</v>
      </c>
      <c r="BI2634" s="7"/>
      <c r="BJ2634" s="4"/>
      <c r="BK2634" s="8"/>
      <c r="BL2634" s="2" t="s">
        <v>231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11270</v>
      </c>
      <c r="BV2634" s="2" t="s">
        <v>231</v>
      </c>
      <c r="BW2634" s="2" t="s">
        <v>231</v>
      </c>
      <c r="BX2634" s="2" t="s">
        <v>241</v>
      </c>
      <c r="BY2634" s="2" t="s">
        <v>277</v>
      </c>
      <c r="BZ2634" s="2" t="s">
        <v>243</v>
      </c>
      <c r="CA2634" s="2" t="s">
        <v>3415</v>
      </c>
      <c r="CB2634" s="2" t="s">
        <v>231</v>
      </c>
      <c r="CC2634" s="2" t="s">
        <v>244</v>
      </c>
      <c r="CD2634" s="2" t="s">
        <v>231</v>
      </c>
      <c r="CE2634" s="4">
        <v>150</v>
      </c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/>
      <c r="DM2634" s="4"/>
      <c r="DN2634" s="4"/>
      <c r="DO2634" s="4"/>
      <c r="DP2634" s="4"/>
      <c r="DQ2634" s="4"/>
      <c r="DR2634" s="4"/>
      <c r="DS2634" s="4"/>
      <c r="DT2634" s="4"/>
      <c r="DU2634" s="4"/>
      <c r="DV2634" s="4"/>
      <c r="DW2634" s="4"/>
      <c r="DX2634" s="4"/>
      <c r="DY2634" s="4"/>
      <c r="DZ2634" s="4"/>
      <c r="EA2634" s="4"/>
      <c r="EB2634" s="4"/>
      <c r="EC2634" s="4"/>
      <c r="ED2634" s="4"/>
      <c r="EE2634" s="4">
        <v>220</v>
      </c>
      <c r="EF2634" s="4"/>
      <c r="EG2634" s="4"/>
      <c r="EH2634" s="4"/>
      <c r="EI2634" s="4"/>
      <c r="EJ2634" s="4"/>
      <c r="EK2634" s="4"/>
      <c r="EL2634" s="4"/>
      <c r="EM2634" s="4"/>
      <c r="EN2634" s="4"/>
      <c r="EO2634" s="4"/>
      <c r="EP2634" s="4"/>
      <c r="EQ2634" s="4"/>
      <c r="ER2634" s="4"/>
      <c r="ES2634" s="4"/>
      <c r="ET2634" s="4"/>
      <c r="EU2634" s="4"/>
      <c r="EV2634" s="4"/>
      <c r="EW2634" s="4"/>
      <c r="EX2634" s="4"/>
      <c r="EY2634" s="4"/>
      <c r="EZ2634" s="4"/>
      <c r="FA2634" s="4"/>
      <c r="FB2634" s="4"/>
      <c r="FC2634" s="4"/>
      <c r="FD2634" s="4"/>
      <c r="FE2634" s="4"/>
      <c r="FF2634" s="4"/>
      <c r="FG2634" s="4"/>
      <c r="FH2634" s="4"/>
      <c r="FI2634" s="4"/>
      <c r="FJ2634" s="4"/>
      <c r="FK2634" s="4"/>
      <c r="FL2634" s="4"/>
      <c r="FM2634" s="4"/>
      <c r="FN2634" s="4"/>
      <c r="FO2634" s="4"/>
      <c r="FP2634" s="4"/>
      <c r="FQ2634" s="4"/>
      <c r="FR2634" s="4"/>
      <c r="FS2634" s="4"/>
      <c r="FT2634" s="4"/>
      <c r="FU2634" s="4"/>
      <c r="FV2634" s="4"/>
      <c r="FW2634" s="4"/>
      <c r="FX2634" s="4"/>
      <c r="FY2634" s="4"/>
      <c r="FZ2634" s="4"/>
      <c r="GA2634" s="4"/>
      <c r="GB2634" s="4"/>
      <c r="GC2634" s="4"/>
      <c r="GD2634" s="4"/>
      <c r="GE2634" s="4"/>
      <c r="GF2634" s="4"/>
      <c r="GG2634" s="4"/>
      <c r="GH2634" s="4"/>
      <c r="GI2634" s="4"/>
      <c r="GJ2634" s="4"/>
      <c r="GK2634" s="4"/>
      <c r="GL2634" s="4"/>
      <c r="GM2634" s="4"/>
      <c r="GN2634" s="4"/>
      <c r="GO2634" s="4"/>
      <c r="GP2634" s="4"/>
      <c r="GQ2634" s="4"/>
      <c r="GR2634" s="4"/>
      <c r="GS2634" s="4"/>
      <c r="GT2634" s="4"/>
      <c r="GU2634" s="4"/>
      <c r="GV2634" s="4"/>
      <c r="GW2634" s="4"/>
      <c r="GX2634" s="4"/>
      <c r="GY2634" s="4"/>
      <c r="GZ2634" s="4"/>
      <c r="HA2634" s="4"/>
      <c r="HB2634" s="4"/>
      <c r="HC2634" s="4"/>
      <c r="HD2634" s="4"/>
      <c r="HE2634" s="4"/>
      <c r="HF2634" s="4"/>
      <c r="HG2634" s="4"/>
      <c r="HH2634" s="4"/>
      <c r="HI2634" s="4"/>
      <c r="HJ2634" s="4"/>
      <c r="HK2634" s="4"/>
      <c r="HL2634" s="4"/>
    </row>
    <row r="2635">
      <c r="A2635" s="2" t="s">
        <v>11271</v>
      </c>
      <c r="B2635" s="2" t="s">
        <v>262</v>
      </c>
      <c r="C2635" s="2" t="s">
        <v>357</v>
      </c>
      <c r="D2635" s="2" t="s">
        <v>654</v>
      </c>
      <c r="E2635" s="2" t="s">
        <v>655</v>
      </c>
      <c r="F2635" s="2" t="s">
        <v>11265</v>
      </c>
      <c r="G2635" s="2" t="s">
        <v>11265</v>
      </c>
      <c r="H2635" s="2" t="s">
        <v>11265</v>
      </c>
      <c r="I2635" s="2" t="s">
        <v>984</v>
      </c>
      <c r="J2635" s="2" t="s">
        <v>658</v>
      </c>
      <c r="K2635" s="2" t="s">
        <v>253</v>
      </c>
      <c r="L2635" s="3">
        <v>33.33</v>
      </c>
      <c r="M2635" s="3">
        <v>35</v>
      </c>
      <c r="N2635" s="3">
        <v>69.99</v>
      </c>
      <c r="O2635" s="2" t="s">
        <v>243</v>
      </c>
      <c r="P2635" s="2" t="s">
        <v>236</v>
      </c>
      <c r="Q2635" s="2" t="s">
        <v>237</v>
      </c>
      <c r="R2635" s="2" t="s">
        <v>231</v>
      </c>
      <c r="S2635" s="2" t="s">
        <v>11272</v>
      </c>
      <c r="T2635" s="2" t="s">
        <v>10619</v>
      </c>
      <c r="U2635" s="2" t="s">
        <v>298</v>
      </c>
      <c r="V2635" s="2" t="s">
        <v>239</v>
      </c>
      <c r="W2635" s="2" t="s">
        <v>299</v>
      </c>
      <c r="X2635" s="2" t="s">
        <v>231</v>
      </c>
      <c r="Y2635" s="2" t="s">
        <v>11267</v>
      </c>
      <c r="Z2635" s="4">
        <v>168</v>
      </c>
      <c r="AA2635" s="4">
        <f>=ROUNDDOWN({0},0)</f>
      </c>
      <c r="AB2635" s="5"/>
      <c r="AC2635" s="2" t="s">
        <v>1315</v>
      </c>
      <c r="AD2635" s="4">
        <v>260</v>
      </c>
      <c r="AE2635" s="4">
        <v>260</v>
      </c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231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 t="s">
        <v>231</v>
      </c>
      <c r="AW2635" s="8" t="s">
        <v>231</v>
      </c>
      <c r="AX2635" s="4" t="s">
        <v>231</v>
      </c>
      <c r="AY2635" s="8" t="s">
        <v>231</v>
      </c>
      <c r="AZ2635" s="7" t="s">
        <v>231</v>
      </c>
      <c r="BA2635" s="7" t="s">
        <v>231</v>
      </c>
      <c r="BB2635" s="7"/>
      <c r="BC2635" s="4" t="s">
        <v>231</v>
      </c>
      <c r="BD2635" s="8" t="s">
        <v>231</v>
      </c>
      <c r="BE2635" s="4" t="s">
        <v>231</v>
      </c>
      <c r="BF2635" s="8" t="s">
        <v>231</v>
      </c>
      <c r="BG2635" s="7" t="s">
        <v>231</v>
      </c>
      <c r="BH2635" s="7" t="s">
        <v>231</v>
      </c>
      <c r="BI2635" s="7"/>
      <c r="BJ2635" s="4"/>
      <c r="BK2635" s="8"/>
      <c r="BL2635" s="2" t="s">
        <v>231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11273</v>
      </c>
      <c r="BV2635" s="2" t="s">
        <v>231</v>
      </c>
      <c r="BW2635" s="2" t="s">
        <v>231</v>
      </c>
      <c r="BX2635" s="2" t="s">
        <v>241</v>
      </c>
      <c r="BY2635" s="2" t="s">
        <v>277</v>
      </c>
      <c r="BZ2635" s="2" t="s">
        <v>243</v>
      </c>
      <c r="CA2635" s="2" t="s">
        <v>3415</v>
      </c>
      <c r="CB2635" s="2" t="s">
        <v>231</v>
      </c>
      <c r="CC2635" s="2" t="s">
        <v>244</v>
      </c>
      <c r="CD2635" s="2" t="s">
        <v>231</v>
      </c>
      <c r="CE2635" s="4">
        <v>168</v>
      </c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/>
      <c r="DM2635" s="4"/>
      <c r="DN2635" s="4"/>
      <c r="DO2635" s="4"/>
      <c r="DP2635" s="4"/>
      <c r="DQ2635" s="4"/>
      <c r="DR2635" s="4"/>
      <c r="DS2635" s="4"/>
      <c r="DT2635" s="4"/>
      <c r="DU2635" s="4"/>
      <c r="DV2635" s="4"/>
      <c r="DW2635" s="4"/>
      <c r="DX2635" s="4"/>
      <c r="DY2635" s="4"/>
      <c r="DZ2635" s="4"/>
      <c r="EA2635" s="4"/>
      <c r="EB2635" s="4"/>
      <c r="EC2635" s="4"/>
      <c r="ED2635" s="4"/>
      <c r="EE2635" s="4">
        <v>260</v>
      </c>
      <c r="EF2635" s="4"/>
      <c r="EG2635" s="4"/>
      <c r="EH2635" s="4"/>
      <c r="EI2635" s="4"/>
      <c r="EJ2635" s="4"/>
      <c r="EK2635" s="4"/>
      <c r="EL2635" s="4"/>
      <c r="EM2635" s="4"/>
      <c r="EN2635" s="4"/>
      <c r="EO2635" s="4"/>
      <c r="EP2635" s="4"/>
      <c r="EQ2635" s="4"/>
      <c r="ER2635" s="4"/>
      <c r="ES2635" s="4"/>
      <c r="ET2635" s="4"/>
      <c r="EU2635" s="4"/>
      <c r="EV2635" s="4"/>
      <c r="EW2635" s="4"/>
      <c r="EX2635" s="4"/>
      <c r="EY2635" s="4"/>
      <c r="EZ2635" s="4"/>
      <c r="FA2635" s="4"/>
      <c r="FB2635" s="4"/>
      <c r="FC2635" s="4"/>
      <c r="FD2635" s="4"/>
      <c r="FE2635" s="4"/>
      <c r="FF2635" s="4"/>
      <c r="FG2635" s="4"/>
      <c r="FH2635" s="4"/>
      <c r="FI2635" s="4"/>
      <c r="FJ2635" s="4"/>
      <c r="FK2635" s="4"/>
      <c r="FL2635" s="4"/>
      <c r="FM2635" s="4"/>
      <c r="FN2635" s="4"/>
      <c r="FO2635" s="4"/>
      <c r="FP2635" s="4"/>
      <c r="FQ2635" s="4"/>
      <c r="FR2635" s="4"/>
      <c r="FS2635" s="4"/>
      <c r="FT2635" s="4"/>
      <c r="FU2635" s="4"/>
      <c r="FV2635" s="4"/>
      <c r="FW2635" s="4"/>
      <c r="FX2635" s="4"/>
      <c r="FY2635" s="4"/>
      <c r="FZ2635" s="4"/>
      <c r="GA2635" s="4"/>
      <c r="GB2635" s="4"/>
      <c r="GC2635" s="4"/>
      <c r="GD2635" s="4"/>
      <c r="GE2635" s="4"/>
      <c r="GF2635" s="4"/>
      <c r="GG2635" s="4"/>
      <c r="GH2635" s="4"/>
      <c r="GI2635" s="4"/>
      <c r="GJ2635" s="4"/>
      <c r="GK2635" s="4"/>
      <c r="GL2635" s="4"/>
      <c r="GM2635" s="4"/>
      <c r="GN2635" s="4"/>
      <c r="GO2635" s="4"/>
      <c r="GP2635" s="4"/>
      <c r="GQ2635" s="4"/>
      <c r="GR2635" s="4"/>
      <c r="GS2635" s="4"/>
      <c r="GT2635" s="4"/>
      <c r="GU2635" s="4"/>
      <c r="GV2635" s="4"/>
      <c r="GW2635" s="4"/>
      <c r="GX2635" s="4"/>
      <c r="GY2635" s="4"/>
      <c r="GZ2635" s="4"/>
      <c r="HA2635" s="4"/>
      <c r="HB2635" s="4"/>
      <c r="HC2635" s="4"/>
      <c r="HD2635" s="4"/>
      <c r="HE2635" s="4"/>
      <c r="HF2635" s="4"/>
      <c r="HG2635" s="4"/>
      <c r="HH2635" s="4"/>
      <c r="HI2635" s="4"/>
      <c r="HJ2635" s="4"/>
      <c r="HK2635" s="4"/>
      <c r="HL2635" s="4"/>
    </row>
    <row r="2636">
      <c r="A2636" s="2" t="s">
        <v>11274</v>
      </c>
      <c r="B2636" s="2" t="s">
        <v>262</v>
      </c>
      <c r="C2636" s="2" t="s">
        <v>357</v>
      </c>
      <c r="D2636" s="2" t="s">
        <v>654</v>
      </c>
      <c r="E2636" s="2" t="s">
        <v>655</v>
      </c>
      <c r="F2636" s="2" t="s">
        <v>11265</v>
      </c>
      <c r="G2636" s="2" t="s">
        <v>11265</v>
      </c>
      <c r="H2636" s="2" t="s">
        <v>11265</v>
      </c>
      <c r="I2636" s="2" t="s">
        <v>984</v>
      </c>
      <c r="J2636" s="2" t="s">
        <v>669</v>
      </c>
      <c r="K2636" s="2" t="s">
        <v>253</v>
      </c>
      <c r="L2636" s="3">
        <v>38.09</v>
      </c>
      <c r="M2636" s="3">
        <v>39.99</v>
      </c>
      <c r="N2636" s="3">
        <v>79.99</v>
      </c>
      <c r="O2636" s="2" t="s">
        <v>243</v>
      </c>
      <c r="P2636" s="2" t="s">
        <v>236</v>
      </c>
      <c r="Q2636" s="2" t="s">
        <v>237</v>
      </c>
      <c r="R2636" s="2" t="s">
        <v>231</v>
      </c>
      <c r="S2636" s="2" t="s">
        <v>11272</v>
      </c>
      <c r="T2636" s="2" t="s">
        <v>10619</v>
      </c>
      <c r="U2636" s="2" t="s">
        <v>298</v>
      </c>
      <c r="V2636" s="2" t="s">
        <v>239</v>
      </c>
      <c r="W2636" s="2" t="s">
        <v>299</v>
      </c>
      <c r="X2636" s="2" t="s">
        <v>231</v>
      </c>
      <c r="Y2636" s="2" t="s">
        <v>11267</v>
      </c>
      <c r="Z2636" s="4">
        <v>150</v>
      </c>
      <c r="AA2636" s="4">
        <f>=ROUNDDOWN({0},0)</f>
      </c>
      <c r="AB2636" s="5"/>
      <c r="AC2636" s="2" t="s">
        <v>1315</v>
      </c>
      <c r="AD2636" s="4">
        <v>217</v>
      </c>
      <c r="AE2636" s="4">
        <v>217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231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 t="s">
        <v>231</v>
      </c>
      <c r="AW2636" s="8" t="s">
        <v>231</v>
      </c>
      <c r="AX2636" s="4" t="s">
        <v>231</v>
      </c>
      <c r="AY2636" s="8" t="s">
        <v>231</v>
      </c>
      <c r="AZ2636" s="7" t="s">
        <v>231</v>
      </c>
      <c r="BA2636" s="7" t="s">
        <v>231</v>
      </c>
      <c r="BB2636" s="7"/>
      <c r="BC2636" s="4" t="s">
        <v>231</v>
      </c>
      <c r="BD2636" s="8" t="s">
        <v>231</v>
      </c>
      <c r="BE2636" s="4" t="s">
        <v>231</v>
      </c>
      <c r="BF2636" s="8" t="s">
        <v>231</v>
      </c>
      <c r="BG2636" s="7" t="s">
        <v>231</v>
      </c>
      <c r="BH2636" s="7" t="s">
        <v>231</v>
      </c>
      <c r="BI2636" s="7"/>
      <c r="BJ2636" s="4"/>
      <c r="BK2636" s="8"/>
      <c r="BL2636" s="2" t="s">
        <v>231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11275</v>
      </c>
      <c r="BV2636" s="2" t="s">
        <v>231</v>
      </c>
      <c r="BW2636" s="2" t="s">
        <v>231</v>
      </c>
      <c r="BX2636" s="2" t="s">
        <v>241</v>
      </c>
      <c r="BY2636" s="2" t="s">
        <v>277</v>
      </c>
      <c r="BZ2636" s="2" t="s">
        <v>243</v>
      </c>
      <c r="CA2636" s="2" t="s">
        <v>3415</v>
      </c>
      <c r="CB2636" s="2" t="s">
        <v>231</v>
      </c>
      <c r="CC2636" s="2" t="s">
        <v>244</v>
      </c>
      <c r="CD2636" s="2" t="s">
        <v>231</v>
      </c>
      <c r="CE2636" s="4">
        <v>150</v>
      </c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/>
      <c r="DM2636" s="4"/>
      <c r="DN2636" s="4"/>
      <c r="DO2636" s="4"/>
      <c r="DP2636" s="4"/>
      <c r="DQ2636" s="4"/>
      <c r="DR2636" s="4"/>
      <c r="DS2636" s="4"/>
      <c r="DT2636" s="4"/>
      <c r="DU2636" s="4"/>
      <c r="DV2636" s="4"/>
      <c r="DW2636" s="4"/>
      <c r="DX2636" s="4"/>
      <c r="DY2636" s="4"/>
      <c r="DZ2636" s="4"/>
      <c r="EA2636" s="4"/>
      <c r="EB2636" s="4"/>
      <c r="EC2636" s="4"/>
      <c r="ED2636" s="4"/>
      <c r="EE2636" s="4">
        <v>217</v>
      </c>
      <c r="EF2636" s="4"/>
      <c r="EG2636" s="4"/>
      <c r="EH2636" s="4"/>
      <c r="EI2636" s="4"/>
      <c r="EJ2636" s="4"/>
      <c r="EK2636" s="4"/>
      <c r="EL2636" s="4"/>
      <c r="EM2636" s="4"/>
      <c r="EN2636" s="4"/>
      <c r="EO2636" s="4"/>
      <c r="EP2636" s="4"/>
      <c r="EQ2636" s="4"/>
      <c r="ER2636" s="4"/>
      <c r="ES2636" s="4"/>
      <c r="ET2636" s="4"/>
      <c r="EU2636" s="4"/>
      <c r="EV2636" s="4"/>
      <c r="EW2636" s="4"/>
      <c r="EX2636" s="4"/>
      <c r="EY2636" s="4"/>
      <c r="EZ2636" s="4"/>
      <c r="FA2636" s="4"/>
      <c r="FB2636" s="4"/>
      <c r="FC2636" s="4"/>
      <c r="FD2636" s="4"/>
      <c r="FE2636" s="4"/>
      <c r="FF2636" s="4"/>
      <c r="FG2636" s="4"/>
      <c r="FH2636" s="4"/>
      <c r="FI2636" s="4"/>
      <c r="FJ2636" s="4"/>
      <c r="FK2636" s="4"/>
      <c r="FL2636" s="4"/>
      <c r="FM2636" s="4"/>
      <c r="FN2636" s="4"/>
      <c r="FO2636" s="4"/>
      <c r="FP2636" s="4"/>
      <c r="FQ2636" s="4"/>
      <c r="FR2636" s="4"/>
      <c r="FS2636" s="4"/>
      <c r="FT2636" s="4"/>
      <c r="FU2636" s="4"/>
      <c r="FV2636" s="4"/>
      <c r="FW2636" s="4"/>
      <c r="FX2636" s="4"/>
      <c r="FY2636" s="4"/>
      <c r="FZ2636" s="4"/>
      <c r="GA2636" s="4"/>
      <c r="GB2636" s="4"/>
      <c r="GC2636" s="4"/>
      <c r="GD2636" s="4"/>
      <c r="GE2636" s="4"/>
      <c r="GF2636" s="4"/>
      <c r="GG2636" s="4"/>
      <c r="GH2636" s="4"/>
      <c r="GI2636" s="4"/>
      <c r="GJ2636" s="4"/>
      <c r="GK2636" s="4"/>
      <c r="GL2636" s="4"/>
      <c r="GM2636" s="4"/>
      <c r="GN2636" s="4"/>
      <c r="GO2636" s="4"/>
      <c r="GP2636" s="4"/>
      <c r="GQ2636" s="4"/>
      <c r="GR2636" s="4"/>
      <c r="GS2636" s="4"/>
      <c r="GT2636" s="4"/>
      <c r="GU2636" s="4"/>
      <c r="GV2636" s="4"/>
      <c r="GW2636" s="4"/>
      <c r="GX2636" s="4"/>
      <c r="GY2636" s="4"/>
      <c r="GZ2636" s="4"/>
      <c r="HA2636" s="4"/>
      <c r="HB2636" s="4"/>
      <c r="HC2636" s="4"/>
      <c r="HD2636" s="4"/>
      <c r="HE2636" s="4"/>
      <c r="HF2636" s="4"/>
      <c r="HG2636" s="4"/>
      <c r="HH2636" s="4"/>
      <c r="HI2636" s="4"/>
      <c r="HJ2636" s="4"/>
      <c r="HK2636" s="4"/>
      <c r="HL2636" s="4"/>
    </row>
    <row r="2637">
      <c r="A2637" s="2" t="s">
        <v>11276</v>
      </c>
      <c r="B2637" s="2" t="s">
        <v>262</v>
      </c>
      <c r="C2637" s="2" t="s">
        <v>357</v>
      </c>
      <c r="D2637" s="2" t="s">
        <v>654</v>
      </c>
      <c r="E2637" s="2" t="s">
        <v>655</v>
      </c>
      <c r="F2637" s="2" t="s">
        <v>11265</v>
      </c>
      <c r="G2637" s="2" t="s">
        <v>11265</v>
      </c>
      <c r="H2637" s="2" t="s">
        <v>11265</v>
      </c>
      <c r="I2637" s="2" t="s">
        <v>984</v>
      </c>
      <c r="J2637" s="2" t="s">
        <v>658</v>
      </c>
      <c r="K2637" s="2" t="s">
        <v>306</v>
      </c>
      <c r="L2637" s="3">
        <v>33.33</v>
      </c>
      <c r="M2637" s="3">
        <v>35</v>
      </c>
      <c r="N2637" s="3">
        <v>69.99</v>
      </c>
      <c r="O2637" s="2" t="s">
        <v>243</v>
      </c>
      <c r="P2637" s="2" t="s">
        <v>236</v>
      </c>
      <c r="Q2637" s="2" t="s">
        <v>237</v>
      </c>
      <c r="R2637" s="2" t="s">
        <v>231</v>
      </c>
      <c r="S2637" s="2" t="s">
        <v>11277</v>
      </c>
      <c r="T2637" s="2" t="s">
        <v>10619</v>
      </c>
      <c r="U2637" s="2" t="s">
        <v>298</v>
      </c>
      <c r="V2637" s="2" t="s">
        <v>239</v>
      </c>
      <c r="W2637" s="2" t="s">
        <v>299</v>
      </c>
      <c r="X2637" s="2" t="s">
        <v>231</v>
      </c>
      <c r="Y2637" s="2" t="s">
        <v>11267</v>
      </c>
      <c r="Z2637" s="4">
        <v>168</v>
      </c>
      <c r="AA2637" s="4">
        <f>=ROUNDDOWN(140,0)</f>
      </c>
      <c r="AB2637" s="5">
        <v>1.2</v>
      </c>
      <c r="AC2637" s="2" t="s">
        <v>1315</v>
      </c>
      <c r="AD2637" s="4">
        <v>260</v>
      </c>
      <c r="AE2637" s="4">
        <v>260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231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 t="s">
        <v>231</v>
      </c>
      <c r="AW2637" s="8" t="s">
        <v>231</v>
      </c>
      <c r="AX2637" s="4" t="s">
        <v>231</v>
      </c>
      <c r="AY2637" s="8" t="s">
        <v>231</v>
      </c>
      <c r="AZ2637" s="7" t="s">
        <v>231</v>
      </c>
      <c r="BA2637" s="7" t="s">
        <v>231</v>
      </c>
      <c r="BB2637" s="7"/>
      <c r="BC2637" s="4" t="s">
        <v>231</v>
      </c>
      <c r="BD2637" s="8" t="s">
        <v>231</v>
      </c>
      <c r="BE2637" s="4" t="s">
        <v>231</v>
      </c>
      <c r="BF2637" s="8" t="s">
        <v>231</v>
      </c>
      <c r="BG2637" s="7" t="s">
        <v>231</v>
      </c>
      <c r="BH2637" s="7" t="s">
        <v>231</v>
      </c>
      <c r="BI2637" s="7"/>
      <c r="BJ2637" s="4">
        <v>1</v>
      </c>
      <c r="BK2637" s="8">
        <v>36.75</v>
      </c>
      <c r="BL2637" s="2" t="s">
        <v>1120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11278</v>
      </c>
      <c r="BV2637" s="2" t="s">
        <v>231</v>
      </c>
      <c r="BW2637" s="2" t="s">
        <v>231</v>
      </c>
      <c r="BX2637" s="2" t="s">
        <v>241</v>
      </c>
      <c r="BY2637" s="2" t="s">
        <v>277</v>
      </c>
      <c r="BZ2637" s="2" t="s">
        <v>243</v>
      </c>
      <c r="CA2637" s="2" t="s">
        <v>3415</v>
      </c>
      <c r="CB2637" s="2" t="s">
        <v>231</v>
      </c>
      <c r="CC2637" s="2" t="s">
        <v>244</v>
      </c>
      <c r="CD2637" s="2" t="s">
        <v>231</v>
      </c>
      <c r="CE2637" s="4">
        <v>168</v>
      </c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/>
      <c r="DM2637" s="4"/>
      <c r="DN2637" s="4"/>
      <c r="DO2637" s="4"/>
      <c r="DP2637" s="4"/>
      <c r="DQ2637" s="4"/>
      <c r="DR2637" s="4"/>
      <c r="DS2637" s="4"/>
      <c r="DT2637" s="4"/>
      <c r="DU2637" s="4"/>
      <c r="DV2637" s="4"/>
      <c r="DW2637" s="4"/>
      <c r="DX2637" s="4"/>
      <c r="DY2637" s="4"/>
      <c r="DZ2637" s="4"/>
      <c r="EA2637" s="4"/>
      <c r="EB2637" s="4"/>
      <c r="EC2637" s="4"/>
      <c r="ED2637" s="4"/>
      <c r="EE2637" s="4">
        <v>260</v>
      </c>
      <c r="EF2637" s="4"/>
      <c r="EG2637" s="4"/>
      <c r="EH2637" s="4"/>
      <c r="EI2637" s="4"/>
      <c r="EJ2637" s="4"/>
      <c r="EK2637" s="4"/>
      <c r="EL2637" s="4"/>
      <c r="EM2637" s="4"/>
      <c r="EN2637" s="4"/>
      <c r="EO2637" s="4"/>
      <c r="EP2637" s="4"/>
      <c r="EQ2637" s="4"/>
      <c r="ER2637" s="4"/>
      <c r="ES2637" s="4"/>
      <c r="ET2637" s="4"/>
      <c r="EU2637" s="4"/>
      <c r="EV2637" s="4"/>
      <c r="EW2637" s="4"/>
      <c r="EX2637" s="4"/>
      <c r="EY2637" s="4"/>
      <c r="EZ2637" s="4"/>
      <c r="FA2637" s="4"/>
      <c r="FB2637" s="4"/>
      <c r="FC2637" s="4"/>
      <c r="FD2637" s="4"/>
      <c r="FE2637" s="4"/>
      <c r="FF2637" s="4"/>
      <c r="FG2637" s="4"/>
      <c r="FH2637" s="4"/>
      <c r="FI2637" s="4"/>
      <c r="FJ2637" s="4"/>
      <c r="FK2637" s="4"/>
      <c r="FL2637" s="4"/>
      <c r="FM2637" s="4"/>
      <c r="FN2637" s="4"/>
      <c r="FO2637" s="4"/>
      <c r="FP2637" s="4"/>
      <c r="FQ2637" s="4"/>
      <c r="FR2637" s="4"/>
      <c r="FS2637" s="4"/>
      <c r="FT2637" s="4"/>
      <c r="FU2637" s="4"/>
      <c r="FV2637" s="4"/>
      <c r="FW2637" s="4"/>
      <c r="FX2637" s="4"/>
      <c r="FY2637" s="4"/>
      <c r="FZ2637" s="4"/>
      <c r="GA2637" s="4"/>
      <c r="GB2637" s="4"/>
      <c r="GC2637" s="4"/>
      <c r="GD2637" s="4"/>
      <c r="GE2637" s="4"/>
      <c r="GF2637" s="4"/>
      <c r="GG2637" s="4"/>
      <c r="GH2637" s="4"/>
      <c r="GI2637" s="4"/>
      <c r="GJ2637" s="4"/>
      <c r="GK2637" s="4"/>
      <c r="GL2637" s="4"/>
      <c r="GM2637" s="4"/>
      <c r="GN2637" s="4"/>
      <c r="GO2637" s="4"/>
      <c r="GP2637" s="4"/>
      <c r="GQ2637" s="4"/>
      <c r="GR2637" s="4"/>
      <c r="GS2637" s="4"/>
      <c r="GT2637" s="4"/>
      <c r="GU2637" s="4"/>
      <c r="GV2637" s="4"/>
      <c r="GW2637" s="4"/>
      <c r="GX2637" s="4"/>
      <c r="GY2637" s="4"/>
      <c r="GZ2637" s="4"/>
      <c r="HA2637" s="4"/>
      <c r="HB2637" s="4"/>
      <c r="HC2637" s="4"/>
      <c r="HD2637" s="4"/>
      <c r="HE2637" s="4"/>
      <c r="HF2637" s="4"/>
      <c r="HG2637" s="4"/>
      <c r="HH2637" s="4"/>
      <c r="HI2637" s="4"/>
      <c r="HJ2637" s="4"/>
      <c r="HK2637" s="4"/>
      <c r="HL2637" s="4"/>
    </row>
    <row r="2638">
      <c r="A2638" s="2" t="s">
        <v>11279</v>
      </c>
      <c r="B2638" s="2" t="s">
        <v>262</v>
      </c>
      <c r="C2638" s="2" t="s">
        <v>357</v>
      </c>
      <c r="D2638" s="2" t="s">
        <v>654</v>
      </c>
      <c r="E2638" s="2" t="s">
        <v>655</v>
      </c>
      <c r="F2638" s="2" t="s">
        <v>11265</v>
      </c>
      <c r="G2638" s="2" t="s">
        <v>11265</v>
      </c>
      <c r="H2638" s="2" t="s">
        <v>11265</v>
      </c>
      <c r="I2638" s="2" t="s">
        <v>984</v>
      </c>
      <c r="J2638" s="2" t="s">
        <v>669</v>
      </c>
      <c r="K2638" s="2" t="s">
        <v>306</v>
      </c>
      <c r="L2638" s="3">
        <v>38.09</v>
      </c>
      <c r="M2638" s="3">
        <v>39.99</v>
      </c>
      <c r="N2638" s="3">
        <v>79.99</v>
      </c>
      <c r="O2638" s="2" t="s">
        <v>243</v>
      </c>
      <c r="P2638" s="2" t="s">
        <v>236</v>
      </c>
      <c r="Q2638" s="2" t="s">
        <v>237</v>
      </c>
      <c r="R2638" s="2" t="s">
        <v>231</v>
      </c>
      <c r="S2638" s="2" t="s">
        <v>11277</v>
      </c>
      <c r="T2638" s="2" t="s">
        <v>10619</v>
      </c>
      <c r="U2638" s="2" t="s">
        <v>298</v>
      </c>
      <c r="V2638" s="2" t="s">
        <v>239</v>
      </c>
      <c r="W2638" s="2" t="s">
        <v>299</v>
      </c>
      <c r="X2638" s="2" t="s">
        <v>231</v>
      </c>
      <c r="Y2638" s="2" t="s">
        <v>6140</v>
      </c>
      <c r="Z2638" s="4">
        <v>149</v>
      </c>
      <c r="AA2638" s="4">
        <f>=ROUNDDOWN(124.166666666667,0)</f>
      </c>
      <c r="AB2638" s="5">
        <v>1.2</v>
      </c>
      <c r="AC2638" s="2" t="s">
        <v>1315</v>
      </c>
      <c r="AD2638" s="4">
        <v>220</v>
      </c>
      <c r="AE2638" s="4">
        <v>220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231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 t="s">
        <v>231</v>
      </c>
      <c r="AW2638" s="8" t="s">
        <v>231</v>
      </c>
      <c r="AX2638" s="4" t="s">
        <v>231</v>
      </c>
      <c r="AY2638" s="8" t="s">
        <v>231</v>
      </c>
      <c r="AZ2638" s="7" t="s">
        <v>231</v>
      </c>
      <c r="BA2638" s="7" t="s">
        <v>231</v>
      </c>
      <c r="BB2638" s="7"/>
      <c r="BC2638" s="4" t="s">
        <v>231</v>
      </c>
      <c r="BD2638" s="8" t="s">
        <v>231</v>
      </c>
      <c r="BE2638" s="4" t="s">
        <v>231</v>
      </c>
      <c r="BF2638" s="8" t="s">
        <v>231</v>
      </c>
      <c r="BG2638" s="7" t="s">
        <v>231</v>
      </c>
      <c r="BH2638" s="7" t="s">
        <v>231</v>
      </c>
      <c r="BI2638" s="7"/>
      <c r="BJ2638" s="4">
        <v>1</v>
      </c>
      <c r="BK2638" s="8">
        <v>41.99</v>
      </c>
      <c r="BL2638" s="2" t="s">
        <v>1120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11280</v>
      </c>
      <c r="BV2638" s="2" t="s">
        <v>231</v>
      </c>
      <c r="BW2638" s="2" t="s">
        <v>231</v>
      </c>
      <c r="BX2638" s="2" t="s">
        <v>241</v>
      </c>
      <c r="BY2638" s="2" t="s">
        <v>277</v>
      </c>
      <c r="BZ2638" s="2" t="s">
        <v>243</v>
      </c>
      <c r="CA2638" s="2" t="s">
        <v>3415</v>
      </c>
      <c r="CB2638" s="2" t="s">
        <v>231</v>
      </c>
      <c r="CC2638" s="2" t="s">
        <v>244</v>
      </c>
      <c r="CD2638" s="2" t="s">
        <v>231</v>
      </c>
      <c r="CE2638" s="4">
        <v>149</v>
      </c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  <c r="DL2638" s="4"/>
      <c r="DM2638" s="4"/>
      <c r="DN2638" s="4"/>
      <c r="DO2638" s="4"/>
      <c r="DP2638" s="4"/>
      <c r="DQ2638" s="4"/>
      <c r="DR2638" s="4"/>
      <c r="DS2638" s="4"/>
      <c r="DT2638" s="4"/>
      <c r="DU2638" s="4"/>
      <c r="DV2638" s="4"/>
      <c r="DW2638" s="4"/>
      <c r="DX2638" s="4"/>
      <c r="DY2638" s="4"/>
      <c r="DZ2638" s="4"/>
      <c r="EA2638" s="4"/>
      <c r="EB2638" s="4"/>
      <c r="EC2638" s="4"/>
      <c r="ED2638" s="4"/>
      <c r="EE2638" s="4">
        <v>220</v>
      </c>
      <c r="EF2638" s="4"/>
      <c r="EG2638" s="4"/>
      <c r="EH2638" s="4"/>
      <c r="EI2638" s="4"/>
      <c r="EJ2638" s="4"/>
      <c r="EK2638" s="4"/>
      <c r="EL2638" s="4"/>
      <c r="EM2638" s="4"/>
      <c r="EN2638" s="4"/>
      <c r="EO2638" s="4"/>
      <c r="EP2638" s="4"/>
      <c r="EQ2638" s="4"/>
      <c r="ER2638" s="4"/>
      <c r="ES2638" s="4"/>
      <c r="ET2638" s="4"/>
      <c r="EU2638" s="4"/>
      <c r="EV2638" s="4"/>
      <c r="EW2638" s="4"/>
      <c r="EX2638" s="4"/>
      <c r="EY2638" s="4"/>
      <c r="EZ2638" s="4"/>
      <c r="FA2638" s="4"/>
      <c r="FB2638" s="4"/>
      <c r="FC2638" s="4"/>
      <c r="FD2638" s="4"/>
      <c r="FE2638" s="4"/>
      <c r="FF2638" s="4"/>
      <c r="FG2638" s="4"/>
      <c r="FH2638" s="4"/>
      <c r="FI2638" s="4"/>
      <c r="FJ2638" s="4"/>
      <c r="FK2638" s="4"/>
      <c r="FL2638" s="4"/>
      <c r="FM2638" s="4"/>
      <c r="FN2638" s="4"/>
      <c r="FO2638" s="4"/>
      <c r="FP2638" s="4"/>
      <c r="FQ2638" s="4"/>
      <c r="FR2638" s="4"/>
      <c r="FS2638" s="4"/>
      <c r="FT2638" s="4"/>
      <c r="FU2638" s="4"/>
      <c r="FV2638" s="4"/>
      <c r="FW2638" s="4"/>
      <c r="FX2638" s="4"/>
      <c r="FY2638" s="4"/>
      <c r="FZ2638" s="4"/>
      <c r="GA2638" s="4"/>
      <c r="GB2638" s="4"/>
      <c r="GC2638" s="4"/>
      <c r="GD2638" s="4"/>
      <c r="GE2638" s="4"/>
      <c r="GF2638" s="4"/>
      <c r="GG2638" s="4"/>
      <c r="GH2638" s="4"/>
      <c r="GI2638" s="4"/>
      <c r="GJ2638" s="4"/>
      <c r="GK2638" s="4"/>
      <c r="GL2638" s="4"/>
      <c r="GM2638" s="4"/>
      <c r="GN2638" s="4"/>
      <c r="GO2638" s="4"/>
      <c r="GP2638" s="4"/>
      <c r="GQ2638" s="4"/>
      <c r="GR2638" s="4"/>
      <c r="GS2638" s="4"/>
      <c r="GT2638" s="4"/>
      <c r="GU2638" s="4"/>
      <c r="GV2638" s="4"/>
      <c r="GW2638" s="4"/>
      <c r="GX2638" s="4"/>
      <c r="GY2638" s="4"/>
      <c r="GZ2638" s="4"/>
      <c r="HA2638" s="4"/>
      <c r="HB2638" s="4"/>
      <c r="HC2638" s="4"/>
      <c r="HD2638" s="4"/>
      <c r="HE2638" s="4"/>
      <c r="HF2638" s="4"/>
      <c r="HG2638" s="4"/>
      <c r="HH2638" s="4"/>
      <c r="HI2638" s="4"/>
      <c r="HJ2638" s="4"/>
      <c r="HK2638" s="4"/>
      <c r="HL2638" s="4"/>
    </row>
    <row r="2639">
      <c r="A2639" s="2" t="s">
        <v>11281</v>
      </c>
      <c r="B2639" s="2" t="s">
        <v>801</v>
      </c>
      <c r="C2639" s="2" t="s">
        <v>802</v>
      </c>
      <c r="D2639" s="2" t="s">
        <v>803</v>
      </c>
      <c r="E2639" s="2" t="s">
        <v>804</v>
      </c>
      <c r="F2639" s="2" t="s">
        <v>11282</v>
      </c>
      <c r="G2639" s="2" t="s">
        <v>11282</v>
      </c>
      <c r="H2639" s="2" t="s">
        <v>11282</v>
      </c>
      <c r="I2639" s="2" t="s">
        <v>11283</v>
      </c>
      <c r="J2639" s="2" t="s">
        <v>807</v>
      </c>
      <c r="K2639" s="2" t="s">
        <v>698</v>
      </c>
      <c r="L2639" s="3">
        <v>105.3</v>
      </c>
      <c r="M2639" s="3">
        <v>110.56</v>
      </c>
      <c r="N2639" s="3">
        <v>244.99</v>
      </c>
      <c r="O2639" s="2" t="s">
        <v>243</v>
      </c>
      <c r="P2639" s="2" t="s">
        <v>341</v>
      </c>
      <c r="Q2639" s="2" t="s">
        <v>237</v>
      </c>
      <c r="R2639" s="2" t="s">
        <v>231</v>
      </c>
      <c r="S2639" s="2" t="s">
        <v>231</v>
      </c>
      <c r="T2639" s="2" t="s">
        <v>231</v>
      </c>
      <c r="U2639" s="2" t="s">
        <v>327</v>
      </c>
      <c r="V2639" s="2" t="s">
        <v>662</v>
      </c>
      <c r="W2639" s="2" t="s">
        <v>676</v>
      </c>
      <c r="X2639" s="2" t="s">
        <v>231</v>
      </c>
      <c r="Y2639" s="2" t="s">
        <v>2233</v>
      </c>
      <c r="Z2639" s="4">
        <v>43</v>
      </c>
      <c r="AA2639" s="4">
        <f>=ROUNDDOWN(21.5,0)</f>
      </c>
      <c r="AB2639" s="5">
        <v>2</v>
      </c>
      <c r="AC2639" s="2" t="s">
        <v>231</v>
      </c>
      <c r="AD2639" s="4"/>
      <c r="AE2639" s="4"/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231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/>
      <c r="BD2639" s="8"/>
      <c r="BE2639" s="4"/>
      <c r="BF2639" s="8"/>
      <c r="BG2639" s="7"/>
      <c r="BH2639" s="7"/>
      <c r="BI2639" s="7"/>
      <c r="BJ2639" s="4"/>
      <c r="BK2639" s="8"/>
      <c r="BL2639" s="2" t="s">
        <v>465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11284</v>
      </c>
      <c r="BV2639" s="2" t="s">
        <v>231</v>
      </c>
      <c r="BW2639" s="2" t="s">
        <v>231</v>
      </c>
      <c r="BX2639" s="2" t="s">
        <v>231</v>
      </c>
      <c r="BY2639" s="2" t="s">
        <v>277</v>
      </c>
      <c r="BZ2639" s="2" t="s">
        <v>243</v>
      </c>
      <c r="CA2639" s="2" t="s">
        <v>5832</v>
      </c>
      <c r="CB2639" s="2" t="s">
        <v>5043</v>
      </c>
      <c r="CC2639" s="2" t="s">
        <v>244</v>
      </c>
      <c r="CD2639" s="2" t="s">
        <v>231</v>
      </c>
      <c r="CE2639" s="4"/>
      <c r="CF2639" s="4">
        <v>43</v>
      </c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/>
      <c r="DM2639" s="4"/>
      <c r="DN2639" s="4"/>
      <c r="DO2639" s="4"/>
      <c r="DP2639" s="4"/>
      <c r="DQ2639" s="4"/>
      <c r="DR2639" s="4"/>
      <c r="DS2639" s="4"/>
      <c r="DT2639" s="4"/>
      <c r="DU2639" s="4"/>
      <c r="DV2639" s="4"/>
      <c r="DW2639" s="4"/>
      <c r="DX2639" s="4"/>
      <c r="DY2639" s="4"/>
      <c r="DZ2639" s="4"/>
      <c r="EA2639" s="4"/>
      <c r="EB2639" s="4"/>
      <c r="EC2639" s="4"/>
      <c r="ED2639" s="4"/>
      <c r="EE2639" s="4"/>
      <c r="EF2639" s="4"/>
      <c r="EG2639" s="4"/>
      <c r="EH2639" s="4"/>
      <c r="EI2639" s="4"/>
      <c r="EJ2639" s="4"/>
      <c r="EK2639" s="4"/>
      <c r="EL2639" s="4"/>
      <c r="EM2639" s="4"/>
      <c r="EN2639" s="4"/>
      <c r="EO2639" s="4"/>
      <c r="EP2639" s="4"/>
      <c r="EQ2639" s="4"/>
      <c r="ER2639" s="4"/>
      <c r="ES2639" s="4"/>
      <c r="ET2639" s="4"/>
      <c r="EU2639" s="4"/>
      <c r="EV2639" s="4"/>
      <c r="EW2639" s="4"/>
      <c r="EX2639" s="4"/>
      <c r="EY2639" s="4"/>
      <c r="EZ2639" s="4"/>
      <c r="FA2639" s="4"/>
      <c r="FB2639" s="4"/>
      <c r="FC2639" s="4"/>
      <c r="FD2639" s="4"/>
      <c r="FE2639" s="4"/>
      <c r="FF2639" s="4"/>
      <c r="FG2639" s="4"/>
      <c r="FH2639" s="4"/>
      <c r="FI2639" s="4"/>
      <c r="FJ2639" s="4"/>
      <c r="FK2639" s="4"/>
      <c r="FL2639" s="4"/>
      <c r="FM2639" s="4"/>
      <c r="FN2639" s="4"/>
      <c r="FO2639" s="4"/>
      <c r="FP2639" s="4"/>
      <c r="FQ2639" s="4"/>
      <c r="FR2639" s="4"/>
      <c r="FS2639" s="4"/>
      <c r="FT2639" s="4"/>
      <c r="FU2639" s="4"/>
      <c r="FV2639" s="4"/>
      <c r="FW2639" s="4"/>
      <c r="FX2639" s="4"/>
      <c r="FY2639" s="4"/>
      <c r="FZ2639" s="4"/>
      <c r="GA2639" s="4"/>
      <c r="GB2639" s="4"/>
      <c r="GC2639" s="4"/>
      <c r="GD2639" s="4"/>
      <c r="GE2639" s="4"/>
      <c r="GF2639" s="4"/>
      <c r="GG2639" s="4"/>
      <c r="GH2639" s="4"/>
      <c r="GI2639" s="4"/>
      <c r="GJ2639" s="4"/>
      <c r="GK2639" s="4"/>
      <c r="GL2639" s="4"/>
      <c r="GM2639" s="4"/>
      <c r="GN2639" s="4"/>
      <c r="GO2639" s="4"/>
      <c r="GP2639" s="4"/>
      <c r="GQ2639" s="4"/>
      <c r="GR2639" s="4"/>
      <c r="GS2639" s="4"/>
      <c r="GT2639" s="4"/>
      <c r="GU2639" s="4"/>
      <c r="GV2639" s="4"/>
      <c r="GW2639" s="4"/>
      <c r="GX2639" s="4"/>
      <c r="GY2639" s="4"/>
      <c r="GZ2639" s="4"/>
      <c r="HA2639" s="4"/>
      <c r="HB2639" s="4"/>
      <c r="HC2639" s="4"/>
      <c r="HD2639" s="4"/>
      <c r="HE2639" s="4"/>
      <c r="HF2639" s="4"/>
      <c r="HG2639" s="4"/>
      <c r="HH2639" s="4"/>
      <c r="HI2639" s="4"/>
      <c r="HJ2639" s="4"/>
      <c r="HK2639" s="4"/>
      <c r="HL2639" s="4"/>
    </row>
    <row r="2640">
      <c r="A2640" s="2" t="s">
        <v>11285</v>
      </c>
      <c r="B2640" s="2" t="s">
        <v>226</v>
      </c>
      <c r="C2640" s="2" t="s">
        <v>288</v>
      </c>
      <c r="D2640" s="2" t="s">
        <v>654</v>
      </c>
      <c r="E2640" s="2" t="s">
        <v>890</v>
      </c>
      <c r="F2640" s="2" t="s">
        <v>11286</v>
      </c>
      <c r="G2640" s="2" t="s">
        <v>11287</v>
      </c>
      <c r="H2640" s="2" t="s">
        <v>11287</v>
      </c>
      <c r="I2640" s="2" t="s">
        <v>11288</v>
      </c>
      <c r="J2640" s="2" t="s">
        <v>658</v>
      </c>
      <c r="K2640" s="2" t="s">
        <v>306</v>
      </c>
      <c r="L2640" s="3">
        <v>42.85</v>
      </c>
      <c r="M2640" s="3">
        <v>44.99</v>
      </c>
      <c r="N2640" s="3">
        <v>89.99</v>
      </c>
      <c r="O2640" s="2" t="s">
        <v>235</v>
      </c>
      <c r="P2640" s="2" t="s">
        <v>341</v>
      </c>
      <c r="Q2640" s="2" t="s">
        <v>237</v>
      </c>
      <c r="R2640" s="2" t="s">
        <v>231</v>
      </c>
      <c r="S2640" s="2" t="s">
        <v>11289</v>
      </c>
      <c r="T2640" s="2" t="s">
        <v>895</v>
      </c>
      <c r="U2640" s="2" t="s">
        <v>835</v>
      </c>
      <c r="V2640" s="2" t="s">
        <v>239</v>
      </c>
      <c r="W2640" s="2" t="s">
        <v>299</v>
      </c>
      <c r="X2640" s="2" t="s">
        <v>11290</v>
      </c>
      <c r="Y2640" s="2" t="s">
        <v>9913</v>
      </c>
      <c r="Z2640" s="4">
        <v>226</v>
      </c>
      <c r="AA2640" s="4">
        <f>=ROUNDDOWN(75.3333333333333,0)</f>
      </c>
      <c r="AB2640" s="5">
        <v>3</v>
      </c>
      <c r="AC2640" s="2" t="s">
        <v>231</v>
      </c>
      <c r="AD2640" s="4"/>
      <c r="AE2640" s="4"/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231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/>
      <c r="BD2640" s="8"/>
      <c r="BE2640" s="4"/>
      <c r="BF2640" s="8"/>
      <c r="BG2640" s="7"/>
      <c r="BH2640" s="7"/>
      <c r="BI2640" s="7"/>
      <c r="BJ2640" s="4">
        <v>7</v>
      </c>
      <c r="BK2640" s="8">
        <v>330.68</v>
      </c>
      <c r="BL2640" s="2" t="s">
        <v>4534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11291</v>
      </c>
      <c r="BV2640" s="2" t="s">
        <v>231</v>
      </c>
      <c r="BW2640" s="2" t="s">
        <v>231</v>
      </c>
      <c r="BX2640" s="2" t="s">
        <v>231</v>
      </c>
      <c r="BY2640" s="2" t="s">
        <v>277</v>
      </c>
      <c r="BZ2640" s="2" t="s">
        <v>243</v>
      </c>
      <c r="CA2640" s="2" t="s">
        <v>1326</v>
      </c>
      <c r="CB2640" s="2" t="s">
        <v>2097</v>
      </c>
      <c r="CC2640" s="2" t="s">
        <v>244</v>
      </c>
      <c r="CD2640" s="2" t="s">
        <v>231</v>
      </c>
      <c r="CE2640" s="4">
        <v>226</v>
      </c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  <c r="DP2640" s="4"/>
      <c r="DQ2640" s="4"/>
      <c r="DR2640" s="4"/>
      <c r="DS2640" s="4"/>
      <c r="DT2640" s="4"/>
      <c r="DU2640" s="4"/>
      <c r="DV2640" s="4"/>
      <c r="DW2640" s="4"/>
      <c r="DX2640" s="4"/>
      <c r="DY2640" s="4"/>
      <c r="DZ2640" s="4"/>
      <c r="EA2640" s="4"/>
      <c r="EB2640" s="4"/>
      <c r="EC2640" s="4"/>
      <c r="ED2640" s="4"/>
      <c r="EE2640" s="4"/>
      <c r="EF2640" s="4"/>
      <c r="EG2640" s="4"/>
      <c r="EH2640" s="4"/>
      <c r="EI2640" s="4"/>
      <c r="EJ2640" s="4"/>
      <c r="EK2640" s="4"/>
      <c r="EL2640" s="4"/>
      <c r="EM2640" s="4"/>
      <c r="EN2640" s="4"/>
      <c r="EO2640" s="4"/>
      <c r="EP2640" s="4"/>
      <c r="EQ2640" s="4"/>
      <c r="ER2640" s="4"/>
      <c r="ES2640" s="4"/>
      <c r="ET2640" s="4"/>
      <c r="EU2640" s="4"/>
      <c r="EV2640" s="4"/>
      <c r="EW2640" s="4"/>
      <c r="EX2640" s="4"/>
      <c r="EY2640" s="4"/>
      <c r="EZ2640" s="4"/>
      <c r="FA2640" s="4"/>
      <c r="FB2640" s="4"/>
      <c r="FC2640" s="4"/>
      <c r="FD2640" s="4"/>
      <c r="FE2640" s="4"/>
      <c r="FF2640" s="4"/>
      <c r="FG2640" s="4"/>
      <c r="FH2640" s="4"/>
      <c r="FI2640" s="4"/>
      <c r="FJ2640" s="4"/>
      <c r="FK2640" s="4"/>
      <c r="FL2640" s="4"/>
      <c r="FM2640" s="4"/>
      <c r="FN2640" s="4"/>
      <c r="FO2640" s="4"/>
      <c r="FP2640" s="4"/>
      <c r="FQ2640" s="4"/>
      <c r="FR2640" s="4"/>
      <c r="FS2640" s="4"/>
      <c r="FT2640" s="4"/>
      <c r="FU2640" s="4"/>
      <c r="FV2640" s="4"/>
      <c r="FW2640" s="4"/>
      <c r="FX2640" s="4"/>
      <c r="FY2640" s="4"/>
      <c r="FZ2640" s="4"/>
      <c r="GA2640" s="4"/>
      <c r="GB2640" s="4"/>
      <c r="GC2640" s="4"/>
      <c r="GD2640" s="4"/>
      <c r="GE2640" s="4"/>
      <c r="GF2640" s="4"/>
      <c r="GG2640" s="4"/>
      <c r="GH2640" s="4"/>
      <c r="GI2640" s="4"/>
      <c r="GJ2640" s="4"/>
      <c r="GK2640" s="4"/>
      <c r="GL2640" s="4"/>
      <c r="GM2640" s="4"/>
      <c r="GN2640" s="4"/>
      <c r="GO2640" s="4"/>
      <c r="GP2640" s="4"/>
      <c r="GQ2640" s="4"/>
      <c r="GR2640" s="4"/>
      <c r="GS2640" s="4"/>
      <c r="GT2640" s="4"/>
      <c r="GU2640" s="4"/>
      <c r="GV2640" s="4"/>
      <c r="GW2640" s="4"/>
      <c r="GX2640" s="4"/>
      <c r="GY2640" s="4"/>
      <c r="GZ2640" s="4"/>
      <c r="HA2640" s="4"/>
      <c r="HB2640" s="4"/>
      <c r="HC2640" s="4"/>
      <c r="HD2640" s="4"/>
      <c r="HE2640" s="4"/>
      <c r="HF2640" s="4"/>
      <c r="HG2640" s="4"/>
      <c r="HH2640" s="4"/>
      <c r="HI2640" s="4"/>
      <c r="HJ2640" s="4"/>
      <c r="HK2640" s="4"/>
      <c r="HL2640" s="4"/>
    </row>
    <row r="2641">
      <c r="A2641" s="2" t="s">
        <v>11292</v>
      </c>
      <c r="B2641" s="2" t="s">
        <v>801</v>
      </c>
      <c r="C2641" s="2" t="s">
        <v>1105</v>
      </c>
      <c r="D2641" s="2" t="s">
        <v>1114</v>
      </c>
      <c r="E2641" s="2" t="s">
        <v>1115</v>
      </c>
      <c r="F2641" s="2" t="s">
        <v>11293</v>
      </c>
      <c r="G2641" s="2" t="s">
        <v>11293</v>
      </c>
      <c r="H2641" s="2" t="s">
        <v>11293</v>
      </c>
      <c r="I2641" s="2" t="s">
        <v>11294</v>
      </c>
      <c r="J2641" s="2" t="s">
        <v>807</v>
      </c>
      <c r="K2641" s="2" t="s">
        <v>463</v>
      </c>
      <c r="L2641" s="3">
        <v>28.42</v>
      </c>
      <c r="M2641" s="3">
        <v>29.84</v>
      </c>
      <c r="N2641" s="3">
        <v>64.99</v>
      </c>
      <c r="O2641" s="2" t="s">
        <v>243</v>
      </c>
      <c r="P2641" s="2" t="s">
        <v>270</v>
      </c>
      <c r="Q2641" s="2" t="s">
        <v>237</v>
      </c>
      <c r="R2641" s="2" t="s">
        <v>231</v>
      </c>
      <c r="S2641" s="2" t="s">
        <v>231</v>
      </c>
      <c r="T2641" s="2" t="s">
        <v>231</v>
      </c>
      <c r="U2641" s="2" t="s">
        <v>327</v>
      </c>
      <c r="V2641" s="2" t="s">
        <v>239</v>
      </c>
      <c r="W2641" s="2" t="s">
        <v>273</v>
      </c>
      <c r="X2641" s="2" t="s">
        <v>231</v>
      </c>
      <c r="Y2641" s="2" t="s">
        <v>4676</v>
      </c>
      <c r="Z2641" s="4">
        <v>98</v>
      </c>
      <c r="AA2641" s="4">
        <f>=ROUNDDOWN(24.5,0)</f>
      </c>
      <c r="AB2641" s="5">
        <v>4</v>
      </c>
      <c r="AC2641" s="2" t="s">
        <v>3277</v>
      </c>
      <c r="AD2641" s="4">
        <v>60</v>
      </c>
      <c r="AE2641" s="4">
        <v>100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231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/>
      <c r="BD2641" s="8"/>
      <c r="BE2641" s="4"/>
      <c r="BF2641" s="8"/>
      <c r="BG2641" s="7"/>
      <c r="BH2641" s="7"/>
      <c r="BI2641" s="7"/>
      <c r="BJ2641" s="4">
        <v>8</v>
      </c>
      <c r="BK2641" s="8">
        <v>256.17</v>
      </c>
      <c r="BL2641" s="2" t="s">
        <v>11295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11296</v>
      </c>
      <c r="BV2641" s="2" t="s">
        <v>231</v>
      </c>
      <c r="BW2641" s="2" t="s">
        <v>231</v>
      </c>
      <c r="BX2641" s="2" t="s">
        <v>231</v>
      </c>
      <c r="BY2641" s="2" t="s">
        <v>277</v>
      </c>
      <c r="BZ2641" s="2" t="s">
        <v>243</v>
      </c>
      <c r="CA2641" s="2" t="s">
        <v>2288</v>
      </c>
      <c r="CB2641" s="2" t="s">
        <v>4384</v>
      </c>
      <c r="CC2641" s="2" t="s">
        <v>244</v>
      </c>
      <c r="CD2641" s="2" t="s">
        <v>231</v>
      </c>
      <c r="CE2641" s="4"/>
      <c r="CF2641" s="4">
        <v>98</v>
      </c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>
        <v>60</v>
      </c>
      <c r="DD2641" s="4"/>
      <c r="DE2641" s="4"/>
      <c r="DF2641" s="4"/>
      <c r="DG2641" s="4"/>
      <c r="DH2641" s="4"/>
      <c r="DI2641" s="4"/>
      <c r="DJ2641" s="4"/>
      <c r="DK2641" s="4">
        <v>40</v>
      </c>
      <c r="DL2641" s="4"/>
      <c r="DM2641" s="4"/>
      <c r="DN2641" s="4"/>
      <c r="DO2641" s="4"/>
      <c r="DP2641" s="4"/>
      <c r="DQ2641" s="4"/>
      <c r="DR2641" s="4"/>
      <c r="DS2641" s="4"/>
      <c r="DT2641" s="4"/>
      <c r="DU2641" s="4"/>
      <c r="DV2641" s="4"/>
      <c r="DW2641" s="4"/>
      <c r="DX2641" s="4"/>
      <c r="DY2641" s="4"/>
      <c r="DZ2641" s="4"/>
      <c r="EA2641" s="4"/>
      <c r="EB2641" s="4"/>
      <c r="EC2641" s="4"/>
      <c r="ED2641" s="4"/>
      <c r="EE2641" s="4"/>
      <c r="EF2641" s="4"/>
      <c r="EG2641" s="4"/>
      <c r="EH2641" s="4"/>
      <c r="EI2641" s="4"/>
      <c r="EJ2641" s="4"/>
      <c r="EK2641" s="4"/>
      <c r="EL2641" s="4"/>
      <c r="EM2641" s="4"/>
      <c r="EN2641" s="4"/>
      <c r="EO2641" s="4"/>
      <c r="EP2641" s="4"/>
      <c r="EQ2641" s="4"/>
      <c r="ER2641" s="4"/>
      <c r="ES2641" s="4"/>
      <c r="ET2641" s="4"/>
      <c r="EU2641" s="4"/>
      <c r="EV2641" s="4"/>
      <c r="EW2641" s="4"/>
      <c r="EX2641" s="4"/>
      <c r="EY2641" s="4"/>
      <c r="EZ2641" s="4"/>
      <c r="FA2641" s="4"/>
      <c r="FB2641" s="4"/>
      <c r="FC2641" s="4"/>
      <c r="FD2641" s="4"/>
      <c r="FE2641" s="4"/>
      <c r="FF2641" s="4"/>
      <c r="FG2641" s="4"/>
      <c r="FH2641" s="4"/>
      <c r="FI2641" s="4"/>
      <c r="FJ2641" s="4"/>
      <c r="FK2641" s="4"/>
      <c r="FL2641" s="4"/>
      <c r="FM2641" s="4"/>
      <c r="FN2641" s="4"/>
      <c r="FO2641" s="4"/>
      <c r="FP2641" s="4"/>
      <c r="FQ2641" s="4"/>
      <c r="FR2641" s="4"/>
      <c r="FS2641" s="4"/>
      <c r="FT2641" s="4"/>
      <c r="FU2641" s="4"/>
      <c r="FV2641" s="4"/>
      <c r="FW2641" s="4"/>
      <c r="FX2641" s="4"/>
      <c r="FY2641" s="4"/>
      <c r="FZ2641" s="4"/>
      <c r="GA2641" s="4"/>
      <c r="GB2641" s="4"/>
      <c r="GC2641" s="4"/>
      <c r="GD2641" s="4"/>
      <c r="GE2641" s="4"/>
      <c r="GF2641" s="4"/>
      <c r="GG2641" s="4"/>
      <c r="GH2641" s="4"/>
      <c r="GI2641" s="4"/>
      <c r="GJ2641" s="4"/>
      <c r="GK2641" s="4"/>
      <c r="GL2641" s="4"/>
      <c r="GM2641" s="4"/>
      <c r="GN2641" s="4"/>
      <c r="GO2641" s="4"/>
      <c r="GP2641" s="4"/>
      <c r="GQ2641" s="4"/>
      <c r="GR2641" s="4"/>
      <c r="GS2641" s="4"/>
      <c r="GT2641" s="4"/>
      <c r="GU2641" s="4"/>
      <c r="GV2641" s="4"/>
      <c r="GW2641" s="4"/>
      <c r="GX2641" s="4"/>
      <c r="GY2641" s="4"/>
      <c r="GZ2641" s="4"/>
      <c r="HA2641" s="4"/>
      <c r="HB2641" s="4"/>
      <c r="HC2641" s="4"/>
      <c r="HD2641" s="4"/>
      <c r="HE2641" s="4"/>
      <c r="HF2641" s="4"/>
      <c r="HG2641" s="4"/>
      <c r="HH2641" s="4"/>
      <c r="HI2641" s="4"/>
      <c r="HJ2641" s="4"/>
      <c r="HK2641" s="4"/>
      <c r="HL2641" s="4"/>
    </row>
    <row r="2642">
      <c r="A2642" s="2" t="s">
        <v>11297</v>
      </c>
      <c r="B2642" s="2" t="s">
        <v>1004</v>
      </c>
      <c r="C2642" s="2" t="s">
        <v>815</v>
      </c>
      <c r="D2642" s="2" t="s">
        <v>1689</v>
      </c>
      <c r="E2642" s="2" t="s">
        <v>1690</v>
      </c>
      <c r="F2642" s="2" t="s">
        <v>11298</v>
      </c>
      <c r="G2642" s="2" t="s">
        <v>11298</v>
      </c>
      <c r="H2642" s="2" t="s">
        <v>231</v>
      </c>
      <c r="I2642" s="2" t="s">
        <v>2651</v>
      </c>
      <c r="J2642" s="2" t="s">
        <v>807</v>
      </c>
      <c r="K2642" s="2" t="s">
        <v>11299</v>
      </c>
      <c r="L2642" s="3">
        <v>194.75</v>
      </c>
      <c r="M2642" s="3">
        <v>204.49</v>
      </c>
      <c r="N2642" s="3">
        <v>409</v>
      </c>
      <c r="O2642" s="2" t="s">
        <v>243</v>
      </c>
      <c r="P2642" s="2" t="s">
        <v>1985</v>
      </c>
      <c r="Q2642" s="2" t="s">
        <v>237</v>
      </c>
      <c r="R2642" s="2" t="s">
        <v>231</v>
      </c>
      <c r="S2642" s="2" t="s">
        <v>11300</v>
      </c>
      <c r="T2642" s="2" t="s">
        <v>231</v>
      </c>
      <c r="U2642" s="2" t="s">
        <v>231</v>
      </c>
      <c r="V2642" s="2" t="s">
        <v>239</v>
      </c>
      <c r="W2642" s="2" t="s">
        <v>676</v>
      </c>
      <c r="X2642" s="2" t="s">
        <v>231</v>
      </c>
      <c r="Y2642" s="2" t="s">
        <v>274</v>
      </c>
      <c r="Z2642" s="4">
        <v>131</v>
      </c>
      <c r="AA2642" s="4">
        <f>=ROUNDDOWN(65.5,0)</f>
      </c>
      <c r="AB2642" s="5">
        <v>2</v>
      </c>
      <c r="AC2642" s="2" t="s">
        <v>231</v>
      </c>
      <c r="AD2642" s="4"/>
      <c r="AE2642" s="4"/>
      <c r="AF2642" s="6">
        <v>66</v>
      </c>
      <c r="AG2642" s="6">
        <v>49</v>
      </c>
      <c r="AH2642" s="7">
        <v>1</v>
      </c>
      <c r="AI2642" s="4"/>
      <c r="AJ2642" s="4">
        <f>=ROUNDDOWN({0},0)</f>
      </c>
      <c r="AK2642" s="5"/>
      <c r="AL2642" s="2" t="s">
        <v>231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/>
      <c r="BD2642" s="8"/>
      <c r="BE2642" s="4"/>
      <c r="BF2642" s="8"/>
      <c r="BG2642" s="7"/>
      <c r="BH2642" s="7"/>
      <c r="BI2642" s="7"/>
      <c r="BJ2642" s="4">
        <v>14</v>
      </c>
      <c r="BK2642" s="8">
        <v>2597.4</v>
      </c>
      <c r="BL2642" s="2" t="s">
        <v>11301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11302</v>
      </c>
      <c r="BV2642" s="2" t="s">
        <v>231</v>
      </c>
      <c r="BW2642" s="2" t="s">
        <v>231</v>
      </c>
      <c r="BX2642" s="2" t="s">
        <v>231</v>
      </c>
      <c r="BY2642" s="2" t="s">
        <v>277</v>
      </c>
      <c r="BZ2642" s="2" t="s">
        <v>243</v>
      </c>
      <c r="CA2642" s="2" t="s">
        <v>11303</v>
      </c>
      <c r="CB2642" s="2" t="s">
        <v>11304</v>
      </c>
      <c r="CC2642" s="2" t="s">
        <v>244</v>
      </c>
      <c r="CD2642" s="2" t="s">
        <v>231</v>
      </c>
      <c r="CE2642" s="4"/>
      <c r="CF2642" s="4">
        <v>131</v>
      </c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  <c r="DP2642" s="4"/>
      <c r="DQ2642" s="4"/>
      <c r="DR2642" s="4"/>
      <c r="DS2642" s="4"/>
      <c r="DT2642" s="4"/>
      <c r="DU2642" s="4"/>
      <c r="DV2642" s="4"/>
      <c r="DW2642" s="4"/>
      <c r="DX2642" s="4"/>
      <c r="DY2642" s="4"/>
      <c r="DZ2642" s="4"/>
      <c r="EA2642" s="4"/>
      <c r="EB2642" s="4"/>
      <c r="EC2642" s="4"/>
      <c r="ED2642" s="4"/>
      <c r="EE2642" s="4"/>
      <c r="EF2642" s="4"/>
      <c r="EG2642" s="4"/>
      <c r="EH2642" s="4"/>
      <c r="EI2642" s="4"/>
      <c r="EJ2642" s="4"/>
      <c r="EK2642" s="4"/>
      <c r="EL2642" s="4"/>
      <c r="EM2642" s="4"/>
      <c r="EN2642" s="4"/>
      <c r="EO2642" s="4"/>
      <c r="EP2642" s="4"/>
      <c r="EQ2642" s="4"/>
      <c r="ER2642" s="4"/>
      <c r="ES2642" s="4"/>
      <c r="ET2642" s="4"/>
      <c r="EU2642" s="4"/>
      <c r="EV2642" s="4"/>
      <c r="EW2642" s="4"/>
      <c r="EX2642" s="4"/>
      <c r="EY2642" s="4"/>
      <c r="EZ2642" s="4"/>
      <c r="FA2642" s="4"/>
      <c r="FB2642" s="4"/>
      <c r="FC2642" s="4"/>
      <c r="FD2642" s="4"/>
      <c r="FE2642" s="4"/>
      <c r="FF2642" s="4"/>
      <c r="FG2642" s="4"/>
      <c r="FH2642" s="4"/>
      <c r="FI2642" s="4"/>
      <c r="FJ2642" s="4"/>
      <c r="FK2642" s="4"/>
      <c r="FL2642" s="4"/>
      <c r="FM2642" s="4"/>
      <c r="FN2642" s="4"/>
      <c r="FO2642" s="4"/>
      <c r="FP2642" s="4"/>
      <c r="FQ2642" s="4"/>
      <c r="FR2642" s="4"/>
      <c r="FS2642" s="4"/>
      <c r="FT2642" s="4"/>
      <c r="FU2642" s="4"/>
      <c r="FV2642" s="4"/>
      <c r="FW2642" s="4"/>
      <c r="FX2642" s="4"/>
      <c r="FY2642" s="4"/>
      <c r="FZ2642" s="4"/>
      <c r="GA2642" s="4"/>
      <c r="GB2642" s="4"/>
      <c r="GC2642" s="4"/>
      <c r="GD2642" s="4"/>
      <c r="GE2642" s="4"/>
      <c r="GF2642" s="4"/>
      <c r="GG2642" s="4"/>
      <c r="GH2642" s="4"/>
      <c r="GI2642" s="4"/>
      <c r="GJ2642" s="4"/>
      <c r="GK2642" s="4"/>
      <c r="GL2642" s="4"/>
      <c r="GM2642" s="4"/>
      <c r="GN2642" s="4"/>
      <c r="GO2642" s="4"/>
      <c r="GP2642" s="4"/>
      <c r="GQ2642" s="4"/>
      <c r="GR2642" s="4"/>
      <c r="GS2642" s="4"/>
      <c r="GT2642" s="4"/>
      <c r="GU2642" s="4"/>
      <c r="GV2642" s="4"/>
      <c r="GW2642" s="4"/>
      <c r="GX2642" s="4"/>
      <c r="GY2642" s="4"/>
      <c r="GZ2642" s="4"/>
      <c r="HA2642" s="4"/>
      <c r="HB2642" s="4"/>
      <c r="HC2642" s="4"/>
      <c r="HD2642" s="4"/>
      <c r="HE2642" s="4"/>
      <c r="HF2642" s="4"/>
      <c r="HG2642" s="4"/>
      <c r="HH2642" s="4"/>
      <c r="HI2642" s="4"/>
      <c r="HJ2642" s="4"/>
      <c r="HK2642" s="4"/>
      <c r="HL2642" s="4"/>
    </row>
    <row r="2643">
      <c r="A2643" s="2" t="s">
        <v>11305</v>
      </c>
      <c r="B2643" s="2" t="s">
        <v>1004</v>
      </c>
      <c r="C2643" s="2" t="s">
        <v>815</v>
      </c>
      <c r="D2643" s="2" t="s">
        <v>2130</v>
      </c>
      <c r="E2643" s="2" t="s">
        <v>4359</v>
      </c>
      <c r="F2643" s="2" t="s">
        <v>11306</v>
      </c>
      <c r="G2643" s="2" t="s">
        <v>11306</v>
      </c>
      <c r="H2643" s="2" t="s">
        <v>11306</v>
      </c>
      <c r="I2643" s="2" t="s">
        <v>11307</v>
      </c>
      <c r="J2643" s="2" t="s">
        <v>807</v>
      </c>
      <c r="K2643" s="2" t="s">
        <v>1496</v>
      </c>
      <c r="L2643" s="3">
        <v>270.75</v>
      </c>
      <c r="M2643" s="3">
        <v>284.29</v>
      </c>
      <c r="N2643" s="3">
        <v>579</v>
      </c>
      <c r="O2643" s="2" t="s">
        <v>243</v>
      </c>
      <c r="P2643" s="2" t="s">
        <v>1985</v>
      </c>
      <c r="Q2643" s="2" t="s">
        <v>237</v>
      </c>
      <c r="R2643" s="2" t="s">
        <v>231</v>
      </c>
      <c r="S2643" s="2" t="s">
        <v>231</v>
      </c>
      <c r="T2643" s="2" t="s">
        <v>231</v>
      </c>
      <c r="U2643" s="2" t="s">
        <v>327</v>
      </c>
      <c r="V2643" s="2" t="s">
        <v>662</v>
      </c>
      <c r="W2643" s="2" t="s">
        <v>792</v>
      </c>
      <c r="X2643" s="2" t="s">
        <v>2541</v>
      </c>
      <c r="Y2643" s="2" t="s">
        <v>2542</v>
      </c>
      <c r="Z2643" s="4">
        <v>135</v>
      </c>
      <c r="AA2643" s="4">
        <f>=ROUNDDOWN(45,0)</f>
      </c>
      <c r="AB2643" s="5">
        <v>3</v>
      </c>
      <c r="AC2643" s="2" t="s">
        <v>5730</v>
      </c>
      <c r="AD2643" s="4">
        <v>1</v>
      </c>
      <c r="AE2643" s="4">
        <v>1</v>
      </c>
      <c r="AF2643" s="6">
        <v>76</v>
      </c>
      <c r="AG2643" s="6"/>
      <c r="AH2643" s="7">
        <v>1</v>
      </c>
      <c r="AI2643" s="4"/>
      <c r="AJ2643" s="4">
        <f>=ROUNDDOWN({0},0)</f>
      </c>
      <c r="AK2643" s="5"/>
      <c r="AL2643" s="2" t="s">
        <v>231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 t="s">
        <v>231</v>
      </c>
      <c r="AW2643" s="8" t="s">
        <v>231</v>
      </c>
      <c r="AX2643" s="4" t="s">
        <v>231</v>
      </c>
      <c r="AY2643" s="8" t="s">
        <v>231</v>
      </c>
      <c r="AZ2643" s="7" t="s">
        <v>231</v>
      </c>
      <c r="BA2643" s="7" t="s">
        <v>231</v>
      </c>
      <c r="BB2643" s="7" t="s">
        <v>231</v>
      </c>
      <c r="BC2643" s="4" t="s">
        <v>231</v>
      </c>
      <c r="BD2643" s="8" t="s">
        <v>231</v>
      </c>
      <c r="BE2643" s="4" t="s">
        <v>231</v>
      </c>
      <c r="BF2643" s="8" t="s">
        <v>231</v>
      </c>
      <c r="BG2643" s="7" t="s">
        <v>231</v>
      </c>
      <c r="BH2643" s="7" t="s">
        <v>231</v>
      </c>
      <c r="BI2643" s="7"/>
      <c r="BJ2643" s="4">
        <v>12</v>
      </c>
      <c r="BK2643" s="8">
        <v>2971.68</v>
      </c>
      <c r="BL2643" s="2" t="s">
        <v>11308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11309</v>
      </c>
      <c r="BV2643" s="2" t="s">
        <v>231</v>
      </c>
      <c r="BW2643" s="2" t="s">
        <v>231</v>
      </c>
      <c r="BX2643" s="2" t="s">
        <v>241</v>
      </c>
      <c r="BY2643" s="2" t="s">
        <v>277</v>
      </c>
      <c r="BZ2643" s="2" t="s">
        <v>243</v>
      </c>
      <c r="CA2643" s="2" t="s">
        <v>7072</v>
      </c>
      <c r="CB2643" s="2" t="s">
        <v>11310</v>
      </c>
      <c r="CC2643" s="2" t="s">
        <v>244</v>
      </c>
      <c r="CD2643" s="2" t="s">
        <v>231</v>
      </c>
      <c r="CE2643" s="4"/>
      <c r="CF2643" s="4">
        <v>135</v>
      </c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  <c r="DP2643" s="4"/>
      <c r="DQ2643" s="4"/>
      <c r="DR2643" s="4"/>
      <c r="DS2643" s="4"/>
      <c r="DT2643" s="4"/>
      <c r="DU2643" s="4"/>
      <c r="DV2643" s="4"/>
      <c r="DW2643" s="4"/>
      <c r="DX2643" s="4"/>
      <c r="DY2643" s="4"/>
      <c r="DZ2643" s="4"/>
      <c r="EA2643" s="4"/>
      <c r="EB2643" s="4"/>
      <c r="EC2643" s="4"/>
      <c r="ED2643" s="4">
        <v>1</v>
      </c>
      <c r="EE2643" s="4"/>
      <c r="EF2643" s="4"/>
      <c r="EG2643" s="4"/>
      <c r="EH2643" s="4"/>
      <c r="EI2643" s="4"/>
      <c r="EJ2643" s="4"/>
      <c r="EK2643" s="4"/>
      <c r="EL2643" s="4"/>
      <c r="EM2643" s="4"/>
      <c r="EN2643" s="4"/>
      <c r="EO2643" s="4"/>
      <c r="EP2643" s="4"/>
      <c r="EQ2643" s="4"/>
      <c r="ER2643" s="4"/>
      <c r="ES2643" s="4"/>
      <c r="ET2643" s="4"/>
      <c r="EU2643" s="4"/>
      <c r="EV2643" s="4"/>
      <c r="EW2643" s="4"/>
      <c r="EX2643" s="4"/>
      <c r="EY2643" s="4"/>
      <c r="EZ2643" s="4"/>
      <c r="FA2643" s="4"/>
      <c r="FB2643" s="4"/>
      <c r="FC2643" s="4"/>
      <c r="FD2643" s="4"/>
      <c r="FE2643" s="4"/>
      <c r="FF2643" s="4"/>
      <c r="FG2643" s="4"/>
      <c r="FH2643" s="4"/>
      <c r="FI2643" s="4"/>
      <c r="FJ2643" s="4"/>
      <c r="FK2643" s="4"/>
      <c r="FL2643" s="4"/>
      <c r="FM2643" s="4"/>
      <c r="FN2643" s="4"/>
      <c r="FO2643" s="4"/>
      <c r="FP2643" s="4"/>
      <c r="FQ2643" s="4"/>
      <c r="FR2643" s="4"/>
      <c r="FS2643" s="4"/>
      <c r="FT2643" s="4"/>
      <c r="FU2643" s="4"/>
      <c r="FV2643" s="4"/>
      <c r="FW2643" s="4"/>
      <c r="FX2643" s="4"/>
      <c r="FY2643" s="4"/>
      <c r="FZ2643" s="4"/>
      <c r="GA2643" s="4"/>
      <c r="GB2643" s="4"/>
      <c r="GC2643" s="4"/>
      <c r="GD2643" s="4"/>
      <c r="GE2643" s="4"/>
      <c r="GF2643" s="4"/>
      <c r="GG2643" s="4"/>
      <c r="GH2643" s="4"/>
      <c r="GI2643" s="4"/>
      <c r="GJ2643" s="4"/>
      <c r="GK2643" s="4"/>
      <c r="GL2643" s="4"/>
      <c r="GM2643" s="4"/>
      <c r="GN2643" s="4"/>
      <c r="GO2643" s="4"/>
      <c r="GP2643" s="4"/>
      <c r="GQ2643" s="4"/>
      <c r="GR2643" s="4"/>
      <c r="GS2643" s="4"/>
      <c r="GT2643" s="4"/>
      <c r="GU2643" s="4"/>
      <c r="GV2643" s="4"/>
      <c r="GW2643" s="4"/>
      <c r="GX2643" s="4"/>
      <c r="GY2643" s="4"/>
      <c r="GZ2643" s="4"/>
      <c r="HA2643" s="4"/>
      <c r="HB2643" s="4"/>
      <c r="HC2643" s="4"/>
      <c r="HD2643" s="4"/>
      <c r="HE2643" s="4"/>
      <c r="HF2643" s="4"/>
      <c r="HG2643" s="4"/>
      <c r="HH2643" s="4"/>
      <c r="HI2643" s="4"/>
      <c r="HJ2643" s="4"/>
      <c r="HK2643" s="4"/>
      <c r="HL2643" s="4"/>
    </row>
    <row r="2644">
      <c r="A2644" s="2" t="s">
        <v>11311</v>
      </c>
      <c r="B2644" s="2" t="s">
        <v>1004</v>
      </c>
      <c r="C2644" s="2" t="s">
        <v>815</v>
      </c>
      <c r="D2644" s="2" t="s">
        <v>11312</v>
      </c>
      <c r="E2644" s="2" t="s">
        <v>11313</v>
      </c>
      <c r="F2644" s="2" t="s">
        <v>11306</v>
      </c>
      <c r="G2644" s="2" t="s">
        <v>11306</v>
      </c>
      <c r="H2644" s="2" t="s">
        <v>11306</v>
      </c>
      <c r="I2644" s="2" t="s">
        <v>11314</v>
      </c>
      <c r="J2644" s="2" t="s">
        <v>807</v>
      </c>
      <c r="K2644" s="2" t="s">
        <v>1496</v>
      </c>
      <c r="L2644" s="3">
        <v>192.78</v>
      </c>
      <c r="M2644" s="3">
        <v>202.42</v>
      </c>
      <c r="N2644" s="3">
        <v>399</v>
      </c>
      <c r="O2644" s="2" t="s">
        <v>243</v>
      </c>
      <c r="P2644" s="2" t="s">
        <v>341</v>
      </c>
      <c r="Q2644" s="2" t="s">
        <v>237</v>
      </c>
      <c r="R2644" s="2" t="s">
        <v>231</v>
      </c>
      <c r="S2644" s="2" t="s">
        <v>231</v>
      </c>
      <c r="T2644" s="2" t="s">
        <v>231</v>
      </c>
      <c r="U2644" s="2" t="s">
        <v>231</v>
      </c>
      <c r="V2644" s="2" t="s">
        <v>662</v>
      </c>
      <c r="W2644" s="2" t="s">
        <v>691</v>
      </c>
      <c r="X2644" s="2" t="s">
        <v>11315</v>
      </c>
      <c r="Y2644" s="2" t="s">
        <v>2542</v>
      </c>
      <c r="Z2644" s="4">
        <v>48</v>
      </c>
      <c r="AA2644" s="4">
        <f>=ROUNDDOWN(24,0)</f>
      </c>
      <c r="AB2644" s="5">
        <v>2</v>
      </c>
      <c r="AC2644" s="2" t="s">
        <v>231</v>
      </c>
      <c r="AD2644" s="4"/>
      <c r="AE2644" s="4"/>
      <c r="AF2644" s="6">
        <v>76</v>
      </c>
      <c r="AG2644" s="6"/>
      <c r="AH2644" s="7">
        <v>1</v>
      </c>
      <c r="AI2644" s="4"/>
      <c r="AJ2644" s="4">
        <f>=ROUNDDOWN({0},0)</f>
      </c>
      <c r="AK2644" s="5"/>
      <c r="AL2644" s="2" t="s">
        <v>231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 t="s">
        <v>231</v>
      </c>
      <c r="AW2644" s="8" t="s">
        <v>231</v>
      </c>
      <c r="AX2644" s="4" t="s">
        <v>231</v>
      </c>
      <c r="AY2644" s="8" t="s">
        <v>231</v>
      </c>
      <c r="AZ2644" s="7" t="s">
        <v>231</v>
      </c>
      <c r="BA2644" s="7" t="s">
        <v>231</v>
      </c>
      <c r="BB2644" s="7" t="s">
        <v>231</v>
      </c>
      <c r="BC2644" s="4" t="s">
        <v>231</v>
      </c>
      <c r="BD2644" s="8" t="s">
        <v>231</v>
      </c>
      <c r="BE2644" s="4" t="s">
        <v>231</v>
      </c>
      <c r="BF2644" s="8" t="s">
        <v>231</v>
      </c>
      <c r="BG2644" s="7" t="s">
        <v>231</v>
      </c>
      <c r="BH2644" s="7" t="s">
        <v>231</v>
      </c>
      <c r="BI2644" s="7"/>
      <c r="BJ2644" s="4">
        <v>10</v>
      </c>
      <c r="BK2644" s="8">
        <v>1781.62</v>
      </c>
      <c r="BL2644" s="2" t="s">
        <v>11316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11317</v>
      </c>
      <c r="BV2644" s="2" t="s">
        <v>231</v>
      </c>
      <c r="BW2644" s="2" t="s">
        <v>231</v>
      </c>
      <c r="BX2644" s="2" t="s">
        <v>241</v>
      </c>
      <c r="BY2644" s="2" t="s">
        <v>277</v>
      </c>
      <c r="BZ2644" s="2" t="s">
        <v>243</v>
      </c>
      <c r="CA2644" s="2" t="s">
        <v>10580</v>
      </c>
      <c r="CB2644" s="2" t="s">
        <v>7353</v>
      </c>
      <c r="CC2644" s="2" t="s">
        <v>244</v>
      </c>
      <c r="CD2644" s="2" t="s">
        <v>231</v>
      </c>
      <c r="CE2644" s="4"/>
      <c r="CF2644" s="4">
        <v>48</v>
      </c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  <c r="DP2644" s="4"/>
      <c r="DQ2644" s="4"/>
      <c r="DR2644" s="4"/>
      <c r="DS2644" s="4"/>
      <c r="DT2644" s="4"/>
      <c r="DU2644" s="4"/>
      <c r="DV2644" s="4"/>
      <c r="DW2644" s="4"/>
      <c r="DX2644" s="4"/>
      <c r="DY2644" s="4"/>
      <c r="DZ2644" s="4"/>
      <c r="EA2644" s="4"/>
      <c r="EB2644" s="4"/>
      <c r="EC2644" s="4"/>
      <c r="ED2644" s="4"/>
      <c r="EE2644" s="4"/>
      <c r="EF2644" s="4"/>
      <c r="EG2644" s="4"/>
      <c r="EH2644" s="4"/>
      <c r="EI2644" s="4"/>
      <c r="EJ2644" s="4"/>
      <c r="EK2644" s="4"/>
      <c r="EL2644" s="4"/>
      <c r="EM2644" s="4"/>
      <c r="EN2644" s="4"/>
      <c r="EO2644" s="4"/>
      <c r="EP2644" s="4"/>
      <c r="EQ2644" s="4"/>
      <c r="ER2644" s="4"/>
      <c r="ES2644" s="4"/>
      <c r="ET2644" s="4"/>
      <c r="EU2644" s="4"/>
      <c r="EV2644" s="4"/>
      <c r="EW2644" s="4"/>
      <c r="EX2644" s="4"/>
      <c r="EY2644" s="4"/>
      <c r="EZ2644" s="4"/>
      <c r="FA2644" s="4"/>
      <c r="FB2644" s="4"/>
      <c r="FC2644" s="4"/>
      <c r="FD2644" s="4"/>
      <c r="FE2644" s="4"/>
      <c r="FF2644" s="4"/>
      <c r="FG2644" s="4"/>
      <c r="FH2644" s="4"/>
      <c r="FI2644" s="4"/>
      <c r="FJ2644" s="4"/>
      <c r="FK2644" s="4"/>
      <c r="FL2644" s="4"/>
      <c r="FM2644" s="4"/>
      <c r="FN2644" s="4"/>
      <c r="FO2644" s="4"/>
      <c r="FP2644" s="4"/>
      <c r="FQ2644" s="4"/>
      <c r="FR2644" s="4"/>
      <c r="FS2644" s="4"/>
      <c r="FT2644" s="4"/>
      <c r="FU2644" s="4"/>
      <c r="FV2644" s="4"/>
      <c r="FW2644" s="4"/>
      <c r="FX2644" s="4"/>
      <c r="FY2644" s="4"/>
      <c r="FZ2644" s="4"/>
      <c r="GA2644" s="4"/>
      <c r="GB2644" s="4"/>
      <c r="GC2644" s="4"/>
      <c r="GD2644" s="4"/>
      <c r="GE2644" s="4"/>
      <c r="GF2644" s="4"/>
      <c r="GG2644" s="4"/>
      <c r="GH2644" s="4"/>
      <c r="GI2644" s="4"/>
      <c r="GJ2644" s="4"/>
      <c r="GK2644" s="4"/>
      <c r="GL2644" s="4"/>
      <c r="GM2644" s="4"/>
      <c r="GN2644" s="4"/>
      <c r="GO2644" s="4"/>
      <c r="GP2644" s="4"/>
      <c r="GQ2644" s="4"/>
      <c r="GR2644" s="4"/>
      <c r="GS2644" s="4"/>
      <c r="GT2644" s="4"/>
      <c r="GU2644" s="4"/>
      <c r="GV2644" s="4"/>
      <c r="GW2644" s="4"/>
      <c r="GX2644" s="4"/>
      <c r="GY2644" s="4"/>
      <c r="GZ2644" s="4"/>
      <c r="HA2644" s="4"/>
      <c r="HB2644" s="4"/>
      <c r="HC2644" s="4"/>
      <c r="HD2644" s="4"/>
      <c r="HE2644" s="4"/>
      <c r="HF2644" s="4"/>
      <c r="HG2644" s="4"/>
      <c r="HH2644" s="4"/>
      <c r="HI2644" s="4"/>
      <c r="HJ2644" s="4"/>
      <c r="HK2644" s="4"/>
      <c r="HL2644" s="4"/>
    </row>
    <row r="2645">
      <c r="A2645" s="2" t="s">
        <v>11318</v>
      </c>
      <c r="B2645" s="2" t="s">
        <v>847</v>
      </c>
      <c r="C2645" s="2" t="s">
        <v>288</v>
      </c>
      <c r="D2645" s="2" t="s">
        <v>882</v>
      </c>
      <c r="E2645" s="2" t="s">
        <v>849</v>
      </c>
      <c r="F2645" s="2" t="s">
        <v>11319</v>
      </c>
      <c r="G2645" s="2" t="s">
        <v>11319</v>
      </c>
      <c r="H2645" s="2" t="s">
        <v>11319</v>
      </c>
      <c r="I2645" s="2" t="s">
        <v>9833</v>
      </c>
      <c r="J2645" s="2" t="s">
        <v>807</v>
      </c>
      <c r="K2645" s="2" t="s">
        <v>269</v>
      </c>
      <c r="L2645" s="3">
        <v>55.77</v>
      </c>
      <c r="M2645" s="3">
        <v>58.56</v>
      </c>
      <c r="N2645" s="3">
        <v>118.99</v>
      </c>
      <c r="O2645" s="2" t="s">
        <v>243</v>
      </c>
      <c r="P2645" s="2" t="s">
        <v>270</v>
      </c>
      <c r="Q2645" s="2" t="s">
        <v>237</v>
      </c>
      <c r="R2645" s="2" t="s">
        <v>231</v>
      </c>
      <c r="S2645" s="2" t="s">
        <v>11320</v>
      </c>
      <c r="T2645" s="2" t="s">
        <v>231</v>
      </c>
      <c r="U2645" s="2" t="s">
        <v>298</v>
      </c>
      <c r="V2645" s="2" t="s">
        <v>363</v>
      </c>
      <c r="W2645" s="2" t="s">
        <v>363</v>
      </c>
      <c r="X2645" s="2" t="s">
        <v>231</v>
      </c>
      <c r="Y2645" s="2" t="s">
        <v>1078</v>
      </c>
      <c r="Z2645" s="4">
        <v>103</v>
      </c>
      <c r="AA2645" s="4">
        <f>=ROUNDDOWN(64.375,0)</f>
      </c>
      <c r="AB2645" s="5">
        <v>1.6</v>
      </c>
      <c r="AC2645" s="2" t="s">
        <v>231</v>
      </c>
      <c r="AD2645" s="4"/>
      <c r="AE2645" s="4"/>
      <c r="AF2645" s="6">
        <v>63</v>
      </c>
      <c r="AG2645" s="6"/>
      <c r="AH2645" s="7">
        <v>1</v>
      </c>
      <c r="AI2645" s="4"/>
      <c r="AJ2645" s="4">
        <f>=ROUNDDOWN({0},0)</f>
      </c>
      <c r="AK2645" s="5"/>
      <c r="AL2645" s="2" t="s">
        <v>231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/>
      <c r="BD2645" s="8"/>
      <c r="BE2645" s="4"/>
      <c r="BF2645" s="8"/>
      <c r="BG2645" s="7"/>
      <c r="BH2645" s="7"/>
      <c r="BI2645" s="7"/>
      <c r="BJ2645" s="4">
        <v>9</v>
      </c>
      <c r="BK2645" s="8">
        <v>642.79</v>
      </c>
      <c r="BL2645" s="2" t="s">
        <v>11321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11322</v>
      </c>
      <c r="BV2645" s="2" t="s">
        <v>231</v>
      </c>
      <c r="BW2645" s="2" t="s">
        <v>231</v>
      </c>
      <c r="BX2645" s="2" t="s">
        <v>231</v>
      </c>
      <c r="BY2645" s="2" t="s">
        <v>277</v>
      </c>
      <c r="BZ2645" s="2" t="s">
        <v>243</v>
      </c>
      <c r="CA2645" s="2" t="s">
        <v>8649</v>
      </c>
      <c r="CB2645" s="2" t="s">
        <v>2902</v>
      </c>
      <c r="CC2645" s="2" t="s">
        <v>244</v>
      </c>
      <c r="CD2645" s="2" t="s">
        <v>231</v>
      </c>
      <c r="CE2645" s="4"/>
      <c r="CF2645" s="4">
        <v>103</v>
      </c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  <c r="DP2645" s="4"/>
      <c r="DQ2645" s="4"/>
      <c r="DR2645" s="4"/>
      <c r="DS2645" s="4"/>
      <c r="DT2645" s="4"/>
      <c r="DU2645" s="4"/>
      <c r="DV2645" s="4"/>
      <c r="DW2645" s="4"/>
      <c r="DX2645" s="4"/>
      <c r="DY2645" s="4"/>
      <c r="DZ2645" s="4"/>
      <c r="EA2645" s="4"/>
      <c r="EB2645" s="4"/>
      <c r="EC2645" s="4"/>
      <c r="ED2645" s="4"/>
      <c r="EE2645" s="4"/>
      <c r="EF2645" s="4"/>
      <c r="EG2645" s="4"/>
      <c r="EH2645" s="4"/>
      <c r="EI2645" s="4"/>
      <c r="EJ2645" s="4"/>
      <c r="EK2645" s="4"/>
      <c r="EL2645" s="4"/>
      <c r="EM2645" s="4"/>
      <c r="EN2645" s="4"/>
      <c r="EO2645" s="4"/>
      <c r="EP2645" s="4"/>
      <c r="EQ2645" s="4"/>
      <c r="ER2645" s="4"/>
      <c r="ES2645" s="4"/>
      <c r="ET2645" s="4"/>
      <c r="EU2645" s="4"/>
      <c r="EV2645" s="4"/>
      <c r="EW2645" s="4"/>
      <c r="EX2645" s="4"/>
      <c r="EY2645" s="4"/>
      <c r="EZ2645" s="4"/>
      <c r="FA2645" s="4"/>
      <c r="FB2645" s="4"/>
      <c r="FC2645" s="4"/>
      <c r="FD2645" s="4"/>
      <c r="FE2645" s="4"/>
      <c r="FF2645" s="4"/>
      <c r="FG2645" s="4"/>
      <c r="FH2645" s="4"/>
      <c r="FI2645" s="4"/>
      <c r="FJ2645" s="4"/>
      <c r="FK2645" s="4"/>
      <c r="FL2645" s="4"/>
      <c r="FM2645" s="4"/>
      <c r="FN2645" s="4"/>
      <c r="FO2645" s="4"/>
      <c r="FP2645" s="4"/>
      <c r="FQ2645" s="4"/>
      <c r="FR2645" s="4"/>
      <c r="FS2645" s="4"/>
      <c r="FT2645" s="4"/>
      <c r="FU2645" s="4"/>
      <c r="FV2645" s="4"/>
      <c r="FW2645" s="4"/>
      <c r="FX2645" s="4"/>
      <c r="FY2645" s="4"/>
      <c r="FZ2645" s="4"/>
      <c r="GA2645" s="4"/>
      <c r="GB2645" s="4"/>
      <c r="GC2645" s="4"/>
      <c r="GD2645" s="4"/>
      <c r="GE2645" s="4"/>
      <c r="GF2645" s="4"/>
      <c r="GG2645" s="4"/>
      <c r="GH2645" s="4"/>
      <c r="GI2645" s="4"/>
      <c r="GJ2645" s="4"/>
      <c r="GK2645" s="4"/>
      <c r="GL2645" s="4"/>
      <c r="GM2645" s="4"/>
      <c r="GN2645" s="4"/>
      <c r="GO2645" s="4"/>
      <c r="GP2645" s="4"/>
      <c r="GQ2645" s="4"/>
      <c r="GR2645" s="4"/>
      <c r="GS2645" s="4"/>
      <c r="GT2645" s="4"/>
      <c r="GU2645" s="4"/>
      <c r="GV2645" s="4"/>
      <c r="GW2645" s="4"/>
      <c r="GX2645" s="4"/>
      <c r="GY2645" s="4"/>
      <c r="GZ2645" s="4"/>
      <c r="HA2645" s="4"/>
      <c r="HB2645" s="4"/>
      <c r="HC2645" s="4"/>
      <c r="HD2645" s="4"/>
      <c r="HE2645" s="4"/>
      <c r="HF2645" s="4"/>
      <c r="HG2645" s="4"/>
      <c r="HH2645" s="4"/>
      <c r="HI2645" s="4"/>
      <c r="HJ2645" s="4"/>
      <c r="HK2645" s="4"/>
      <c r="HL2645" s="4"/>
    </row>
    <row r="2646">
      <c r="A2646" s="2" t="s">
        <v>11323</v>
      </c>
      <c r="B2646" s="2" t="s">
        <v>1004</v>
      </c>
      <c r="C2646" s="2" t="s">
        <v>867</v>
      </c>
      <c r="D2646" s="2" t="s">
        <v>1912</v>
      </c>
      <c r="E2646" s="2" t="s">
        <v>2523</v>
      </c>
      <c r="F2646" s="2" t="s">
        <v>11324</v>
      </c>
      <c r="G2646" s="2" t="s">
        <v>11324</v>
      </c>
      <c r="H2646" s="2" t="s">
        <v>11324</v>
      </c>
      <c r="I2646" s="2" t="s">
        <v>11325</v>
      </c>
      <c r="J2646" s="2" t="s">
        <v>807</v>
      </c>
      <c r="K2646" s="2" t="s">
        <v>253</v>
      </c>
      <c r="L2646" s="3">
        <v>140.25</v>
      </c>
      <c r="M2646" s="3">
        <v>147.26</v>
      </c>
      <c r="N2646" s="3">
        <v>299</v>
      </c>
      <c r="O2646" s="2" t="s">
        <v>243</v>
      </c>
      <c r="P2646" s="2" t="s">
        <v>341</v>
      </c>
      <c r="Q2646" s="2" t="s">
        <v>237</v>
      </c>
      <c r="R2646" s="2" t="s">
        <v>231</v>
      </c>
      <c r="S2646" s="2" t="s">
        <v>231</v>
      </c>
      <c r="T2646" s="2" t="s">
        <v>231</v>
      </c>
      <c r="U2646" s="2" t="s">
        <v>327</v>
      </c>
      <c r="V2646" s="2" t="s">
        <v>239</v>
      </c>
      <c r="W2646" s="2" t="s">
        <v>691</v>
      </c>
      <c r="X2646" s="2" t="s">
        <v>1694</v>
      </c>
      <c r="Y2646" s="2" t="s">
        <v>11326</v>
      </c>
      <c r="Z2646" s="4">
        <v>60</v>
      </c>
      <c r="AA2646" s="4">
        <f>=ROUNDDOWN(20,0)</f>
      </c>
      <c r="AB2646" s="5">
        <v>3</v>
      </c>
      <c r="AC2646" s="2" t="s">
        <v>231</v>
      </c>
      <c r="AD2646" s="4"/>
      <c r="AE2646" s="4"/>
      <c r="AF2646" s="6">
        <v>66</v>
      </c>
      <c r="AG2646" s="6"/>
      <c r="AH2646" s="7">
        <v>1</v>
      </c>
      <c r="AI2646" s="4"/>
      <c r="AJ2646" s="4">
        <f>=ROUNDDOWN({0},0)</f>
      </c>
      <c r="AK2646" s="5"/>
      <c r="AL2646" s="2" t="s">
        <v>231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/>
      <c r="BD2646" s="8"/>
      <c r="BE2646" s="4"/>
      <c r="BF2646" s="8"/>
      <c r="BG2646" s="7"/>
      <c r="BH2646" s="7"/>
      <c r="BI2646" s="7"/>
      <c r="BJ2646" s="4">
        <v>13</v>
      </c>
      <c r="BK2646" s="8">
        <v>1889.97</v>
      </c>
      <c r="BL2646" s="2" t="s">
        <v>11327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11328</v>
      </c>
      <c r="BV2646" s="2" t="s">
        <v>231</v>
      </c>
      <c r="BW2646" s="2" t="s">
        <v>231</v>
      </c>
      <c r="BX2646" s="2" t="s">
        <v>231</v>
      </c>
      <c r="BY2646" s="2" t="s">
        <v>277</v>
      </c>
      <c r="BZ2646" s="2" t="s">
        <v>243</v>
      </c>
      <c r="CA2646" s="2" t="s">
        <v>11326</v>
      </c>
      <c r="CB2646" s="2" t="s">
        <v>11329</v>
      </c>
      <c r="CC2646" s="2" t="s">
        <v>244</v>
      </c>
      <c r="CD2646" s="2" t="s">
        <v>231</v>
      </c>
      <c r="CE2646" s="4"/>
      <c r="CF2646" s="4">
        <v>60</v>
      </c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  <c r="DP2646" s="4"/>
      <c r="DQ2646" s="4"/>
      <c r="DR2646" s="4"/>
      <c r="DS2646" s="4"/>
      <c r="DT2646" s="4"/>
      <c r="DU2646" s="4"/>
      <c r="DV2646" s="4"/>
      <c r="DW2646" s="4"/>
      <c r="DX2646" s="4"/>
      <c r="DY2646" s="4"/>
      <c r="DZ2646" s="4"/>
      <c r="EA2646" s="4"/>
      <c r="EB2646" s="4"/>
      <c r="EC2646" s="4"/>
      <c r="ED2646" s="4"/>
      <c r="EE2646" s="4"/>
      <c r="EF2646" s="4"/>
      <c r="EG2646" s="4"/>
      <c r="EH2646" s="4"/>
      <c r="EI2646" s="4"/>
      <c r="EJ2646" s="4"/>
      <c r="EK2646" s="4"/>
      <c r="EL2646" s="4"/>
      <c r="EM2646" s="4"/>
      <c r="EN2646" s="4"/>
      <c r="EO2646" s="4"/>
      <c r="EP2646" s="4"/>
      <c r="EQ2646" s="4"/>
      <c r="ER2646" s="4"/>
      <c r="ES2646" s="4"/>
      <c r="ET2646" s="4"/>
      <c r="EU2646" s="4"/>
      <c r="EV2646" s="4"/>
      <c r="EW2646" s="4"/>
      <c r="EX2646" s="4"/>
      <c r="EY2646" s="4"/>
      <c r="EZ2646" s="4"/>
      <c r="FA2646" s="4"/>
      <c r="FB2646" s="4"/>
      <c r="FC2646" s="4"/>
      <c r="FD2646" s="4"/>
      <c r="FE2646" s="4"/>
      <c r="FF2646" s="4"/>
      <c r="FG2646" s="4"/>
      <c r="FH2646" s="4"/>
      <c r="FI2646" s="4"/>
      <c r="FJ2646" s="4"/>
      <c r="FK2646" s="4"/>
      <c r="FL2646" s="4"/>
      <c r="FM2646" s="4"/>
      <c r="FN2646" s="4"/>
      <c r="FO2646" s="4"/>
      <c r="FP2646" s="4"/>
      <c r="FQ2646" s="4"/>
      <c r="FR2646" s="4"/>
      <c r="FS2646" s="4"/>
      <c r="FT2646" s="4"/>
      <c r="FU2646" s="4"/>
      <c r="FV2646" s="4"/>
      <c r="FW2646" s="4"/>
      <c r="FX2646" s="4"/>
      <c r="FY2646" s="4"/>
      <c r="FZ2646" s="4"/>
      <c r="GA2646" s="4"/>
      <c r="GB2646" s="4"/>
      <c r="GC2646" s="4"/>
      <c r="GD2646" s="4"/>
      <c r="GE2646" s="4"/>
      <c r="GF2646" s="4"/>
      <c r="GG2646" s="4"/>
      <c r="GH2646" s="4"/>
      <c r="GI2646" s="4"/>
      <c r="GJ2646" s="4"/>
      <c r="GK2646" s="4"/>
      <c r="GL2646" s="4"/>
      <c r="GM2646" s="4"/>
      <c r="GN2646" s="4"/>
      <c r="GO2646" s="4"/>
      <c r="GP2646" s="4"/>
      <c r="GQ2646" s="4"/>
      <c r="GR2646" s="4"/>
      <c r="GS2646" s="4"/>
      <c r="GT2646" s="4"/>
      <c r="GU2646" s="4"/>
      <c r="GV2646" s="4"/>
      <c r="GW2646" s="4"/>
      <c r="GX2646" s="4"/>
      <c r="GY2646" s="4"/>
      <c r="GZ2646" s="4"/>
      <c r="HA2646" s="4"/>
      <c r="HB2646" s="4"/>
      <c r="HC2646" s="4"/>
      <c r="HD2646" s="4"/>
      <c r="HE2646" s="4"/>
      <c r="HF2646" s="4"/>
      <c r="HG2646" s="4"/>
      <c r="HH2646" s="4"/>
      <c r="HI2646" s="4"/>
      <c r="HJ2646" s="4"/>
      <c r="HK2646" s="4"/>
      <c r="HL2646" s="4"/>
    </row>
    <row r="2647">
      <c r="A2647" s="2" t="s">
        <v>11330</v>
      </c>
      <c r="B2647" s="2" t="s">
        <v>824</v>
      </c>
      <c r="C2647" s="2" t="s">
        <v>825</v>
      </c>
      <c r="D2647" s="2" t="s">
        <v>654</v>
      </c>
      <c r="E2647" s="2" t="s">
        <v>655</v>
      </c>
      <c r="F2647" s="2" t="s">
        <v>11331</v>
      </c>
      <c r="G2647" s="2" t="s">
        <v>11155</v>
      </c>
      <c r="H2647" s="2" t="s">
        <v>11332</v>
      </c>
      <c r="I2647" s="2" t="s">
        <v>984</v>
      </c>
      <c r="J2647" s="2" t="s">
        <v>832</v>
      </c>
      <c r="K2647" s="2" t="s">
        <v>985</v>
      </c>
      <c r="L2647" s="3">
        <v>32.2</v>
      </c>
      <c r="M2647" s="3">
        <v>33.81</v>
      </c>
      <c r="N2647" s="3">
        <v>79.99</v>
      </c>
      <c r="O2647" s="2" t="s">
        <v>243</v>
      </c>
      <c r="P2647" s="2" t="s">
        <v>341</v>
      </c>
      <c r="Q2647" s="2" t="s">
        <v>237</v>
      </c>
      <c r="R2647" s="2" t="s">
        <v>231</v>
      </c>
      <c r="S2647" s="2" t="s">
        <v>11333</v>
      </c>
      <c r="T2647" s="2" t="s">
        <v>472</v>
      </c>
      <c r="U2647" s="2" t="s">
        <v>298</v>
      </c>
      <c r="V2647" s="2" t="s">
        <v>1444</v>
      </c>
      <c r="W2647" s="2" t="s">
        <v>792</v>
      </c>
      <c r="X2647" s="2" t="s">
        <v>273</v>
      </c>
      <c r="Y2647" s="2" t="s">
        <v>274</v>
      </c>
      <c r="Z2647" s="4">
        <v>226</v>
      </c>
      <c r="AA2647" s="4">
        <f>=ROUNDDOWN(51.3636363636364,0)</f>
      </c>
      <c r="AB2647" s="5">
        <v>4.4</v>
      </c>
      <c r="AC2647" s="2" t="s">
        <v>231</v>
      </c>
      <c r="AD2647" s="4"/>
      <c r="AE2647" s="4"/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231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231</v>
      </c>
      <c r="AW2647" s="8" t="s">
        <v>231</v>
      </c>
      <c r="AX2647" s="4" t="s">
        <v>231</v>
      </c>
      <c r="AY2647" s="8" t="s">
        <v>231</v>
      </c>
      <c r="AZ2647" s="7" t="s">
        <v>231</v>
      </c>
      <c r="BA2647" s="7" t="s">
        <v>231</v>
      </c>
      <c r="BB2647" s="7"/>
      <c r="BC2647" s="4" t="s">
        <v>231</v>
      </c>
      <c r="BD2647" s="8" t="s">
        <v>231</v>
      </c>
      <c r="BE2647" s="4" t="s">
        <v>231</v>
      </c>
      <c r="BF2647" s="8" t="s">
        <v>231</v>
      </c>
      <c r="BG2647" s="7" t="s">
        <v>231</v>
      </c>
      <c r="BH2647" s="7" t="s">
        <v>231</v>
      </c>
      <c r="BI2647" s="7"/>
      <c r="BJ2647" s="4">
        <v>28</v>
      </c>
      <c r="BK2647" s="8">
        <v>730.52</v>
      </c>
      <c r="BL2647" s="2" t="s">
        <v>11334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11335</v>
      </c>
      <c r="BV2647" s="2" t="s">
        <v>231</v>
      </c>
      <c r="BW2647" s="2" t="s">
        <v>231</v>
      </c>
      <c r="BX2647" s="2" t="s">
        <v>231</v>
      </c>
      <c r="BY2647" s="2" t="s">
        <v>277</v>
      </c>
      <c r="BZ2647" s="2" t="s">
        <v>243</v>
      </c>
      <c r="CA2647" s="2" t="s">
        <v>284</v>
      </c>
      <c r="CB2647" s="2" t="s">
        <v>6723</v>
      </c>
      <c r="CC2647" s="2" t="s">
        <v>244</v>
      </c>
      <c r="CD2647" s="2" t="s">
        <v>231</v>
      </c>
      <c r="CE2647" s="4">
        <v>20</v>
      </c>
      <c r="CF2647" s="4"/>
      <c r="CG2647" s="4"/>
      <c r="CH2647" s="4"/>
      <c r="CI2647" s="4">
        <v>206</v>
      </c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  <c r="DP2647" s="4"/>
      <c r="DQ2647" s="4"/>
      <c r="DR2647" s="4"/>
      <c r="DS2647" s="4"/>
      <c r="DT2647" s="4"/>
      <c r="DU2647" s="4"/>
      <c r="DV2647" s="4"/>
      <c r="DW2647" s="4"/>
      <c r="DX2647" s="4"/>
      <c r="DY2647" s="4"/>
      <c r="DZ2647" s="4"/>
      <c r="EA2647" s="4"/>
      <c r="EB2647" s="4"/>
      <c r="EC2647" s="4"/>
      <c r="ED2647" s="4"/>
      <c r="EE2647" s="4"/>
      <c r="EF2647" s="4"/>
      <c r="EG2647" s="4"/>
      <c r="EH2647" s="4"/>
      <c r="EI2647" s="4"/>
      <c r="EJ2647" s="4"/>
      <c r="EK2647" s="4"/>
      <c r="EL2647" s="4"/>
      <c r="EM2647" s="4"/>
      <c r="EN2647" s="4"/>
      <c r="EO2647" s="4"/>
      <c r="EP2647" s="4"/>
      <c r="EQ2647" s="4"/>
      <c r="ER2647" s="4"/>
      <c r="ES2647" s="4"/>
      <c r="ET2647" s="4"/>
      <c r="EU2647" s="4"/>
      <c r="EV2647" s="4"/>
      <c r="EW2647" s="4"/>
      <c r="EX2647" s="4"/>
      <c r="EY2647" s="4"/>
      <c r="EZ2647" s="4"/>
      <c r="FA2647" s="4"/>
      <c r="FB2647" s="4"/>
      <c r="FC2647" s="4"/>
      <c r="FD2647" s="4"/>
      <c r="FE2647" s="4"/>
      <c r="FF2647" s="4"/>
      <c r="FG2647" s="4"/>
      <c r="FH2647" s="4"/>
      <c r="FI2647" s="4"/>
      <c r="FJ2647" s="4"/>
      <c r="FK2647" s="4"/>
      <c r="FL2647" s="4"/>
      <c r="FM2647" s="4"/>
      <c r="FN2647" s="4"/>
      <c r="FO2647" s="4"/>
      <c r="FP2647" s="4"/>
      <c r="FQ2647" s="4"/>
      <c r="FR2647" s="4"/>
      <c r="FS2647" s="4"/>
      <c r="FT2647" s="4"/>
      <c r="FU2647" s="4"/>
      <c r="FV2647" s="4"/>
      <c r="FW2647" s="4"/>
      <c r="FX2647" s="4"/>
      <c r="FY2647" s="4"/>
      <c r="FZ2647" s="4"/>
      <c r="GA2647" s="4"/>
      <c r="GB2647" s="4"/>
      <c r="GC2647" s="4"/>
      <c r="GD2647" s="4"/>
      <c r="GE2647" s="4"/>
      <c r="GF2647" s="4"/>
      <c r="GG2647" s="4"/>
      <c r="GH2647" s="4"/>
      <c r="GI2647" s="4"/>
      <c r="GJ2647" s="4"/>
      <c r="GK2647" s="4"/>
      <c r="GL2647" s="4"/>
      <c r="GM2647" s="4"/>
      <c r="GN2647" s="4"/>
      <c r="GO2647" s="4"/>
      <c r="GP2647" s="4"/>
      <c r="GQ2647" s="4"/>
      <c r="GR2647" s="4"/>
      <c r="GS2647" s="4"/>
      <c r="GT2647" s="4"/>
      <c r="GU2647" s="4"/>
      <c r="GV2647" s="4"/>
      <c r="GW2647" s="4"/>
      <c r="GX2647" s="4"/>
      <c r="GY2647" s="4"/>
      <c r="GZ2647" s="4"/>
      <c r="HA2647" s="4"/>
      <c r="HB2647" s="4"/>
      <c r="HC2647" s="4"/>
      <c r="HD2647" s="4"/>
      <c r="HE2647" s="4"/>
      <c r="HF2647" s="4"/>
      <c r="HG2647" s="4"/>
      <c r="HH2647" s="4"/>
      <c r="HI2647" s="4"/>
      <c r="HJ2647" s="4"/>
      <c r="HK2647" s="4"/>
      <c r="HL2647" s="4"/>
    </row>
    <row r="2648">
      <c r="A2648" s="2" t="s">
        <v>11336</v>
      </c>
      <c r="B2648" s="2" t="s">
        <v>824</v>
      </c>
      <c r="C2648" s="2" t="s">
        <v>825</v>
      </c>
      <c r="D2648" s="2" t="s">
        <v>654</v>
      </c>
      <c r="E2648" s="2" t="s">
        <v>655</v>
      </c>
      <c r="F2648" s="2" t="s">
        <v>11331</v>
      </c>
      <c r="G2648" s="2" t="s">
        <v>11155</v>
      </c>
      <c r="H2648" s="2" t="s">
        <v>11332</v>
      </c>
      <c r="I2648" s="2" t="s">
        <v>984</v>
      </c>
      <c r="J2648" s="2" t="s">
        <v>658</v>
      </c>
      <c r="K2648" s="2" t="s">
        <v>985</v>
      </c>
      <c r="L2648" s="3">
        <v>36.8</v>
      </c>
      <c r="M2648" s="3">
        <v>38.64</v>
      </c>
      <c r="N2648" s="3">
        <v>89.99</v>
      </c>
      <c r="O2648" s="2" t="s">
        <v>243</v>
      </c>
      <c r="P2648" s="2" t="s">
        <v>341</v>
      </c>
      <c r="Q2648" s="2" t="s">
        <v>237</v>
      </c>
      <c r="R2648" s="2" t="s">
        <v>231</v>
      </c>
      <c r="S2648" s="2" t="s">
        <v>11333</v>
      </c>
      <c r="T2648" s="2" t="s">
        <v>472</v>
      </c>
      <c r="U2648" s="2" t="s">
        <v>661</v>
      </c>
      <c r="V2648" s="2" t="s">
        <v>1444</v>
      </c>
      <c r="W2648" s="2" t="s">
        <v>792</v>
      </c>
      <c r="X2648" s="2" t="s">
        <v>273</v>
      </c>
      <c r="Y2648" s="2" t="s">
        <v>274</v>
      </c>
      <c r="Z2648" s="4">
        <v>233</v>
      </c>
      <c r="AA2648" s="4">
        <f>=ROUNDDOWN(29.8717948717949,0)</f>
      </c>
      <c r="AB2648" s="5">
        <v>7.8</v>
      </c>
      <c r="AC2648" s="2" t="s">
        <v>231</v>
      </c>
      <c r="AD2648" s="4"/>
      <c r="AE2648" s="4"/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231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231</v>
      </c>
      <c r="AW2648" s="8" t="s">
        <v>231</v>
      </c>
      <c r="AX2648" s="4" t="s">
        <v>231</v>
      </c>
      <c r="AY2648" s="8" t="s">
        <v>231</v>
      </c>
      <c r="AZ2648" s="7" t="s">
        <v>231</v>
      </c>
      <c r="BA2648" s="7" t="s">
        <v>231</v>
      </c>
      <c r="BB2648" s="7"/>
      <c r="BC2648" s="4" t="s">
        <v>231</v>
      </c>
      <c r="BD2648" s="8" t="s">
        <v>231</v>
      </c>
      <c r="BE2648" s="4" t="s">
        <v>231</v>
      </c>
      <c r="BF2648" s="8" t="s">
        <v>231</v>
      </c>
      <c r="BG2648" s="7" t="s">
        <v>231</v>
      </c>
      <c r="BH2648" s="7" t="s">
        <v>231</v>
      </c>
      <c r="BI2648" s="7"/>
      <c r="BJ2648" s="4">
        <v>51</v>
      </c>
      <c r="BK2648" s="8">
        <v>1674.04</v>
      </c>
      <c r="BL2648" s="2" t="s">
        <v>11337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11338</v>
      </c>
      <c r="BV2648" s="2" t="s">
        <v>231</v>
      </c>
      <c r="BW2648" s="2" t="s">
        <v>231</v>
      </c>
      <c r="BX2648" s="2" t="s">
        <v>231</v>
      </c>
      <c r="BY2648" s="2" t="s">
        <v>277</v>
      </c>
      <c r="BZ2648" s="2" t="s">
        <v>243</v>
      </c>
      <c r="CA2648" s="2" t="s">
        <v>284</v>
      </c>
      <c r="CB2648" s="2" t="s">
        <v>11339</v>
      </c>
      <c r="CC2648" s="2" t="s">
        <v>244</v>
      </c>
      <c r="CD2648" s="2" t="s">
        <v>231</v>
      </c>
      <c r="CE2648" s="4">
        <v>98</v>
      </c>
      <c r="CF2648" s="4">
        <v>16</v>
      </c>
      <c r="CG2648" s="4"/>
      <c r="CH2648" s="4"/>
      <c r="CI2648" s="4">
        <v>119</v>
      </c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  <c r="DP2648" s="4"/>
      <c r="DQ2648" s="4"/>
      <c r="DR2648" s="4"/>
      <c r="DS2648" s="4"/>
      <c r="DT2648" s="4"/>
      <c r="DU2648" s="4"/>
      <c r="DV2648" s="4"/>
      <c r="DW2648" s="4"/>
      <c r="DX2648" s="4"/>
      <c r="DY2648" s="4"/>
      <c r="DZ2648" s="4"/>
      <c r="EA2648" s="4"/>
      <c r="EB2648" s="4"/>
      <c r="EC2648" s="4"/>
      <c r="ED2648" s="4"/>
      <c r="EE2648" s="4"/>
      <c r="EF2648" s="4"/>
      <c r="EG2648" s="4"/>
      <c r="EH2648" s="4"/>
      <c r="EI2648" s="4"/>
      <c r="EJ2648" s="4"/>
      <c r="EK2648" s="4"/>
      <c r="EL2648" s="4"/>
      <c r="EM2648" s="4"/>
      <c r="EN2648" s="4"/>
      <c r="EO2648" s="4"/>
      <c r="EP2648" s="4"/>
      <c r="EQ2648" s="4"/>
      <c r="ER2648" s="4"/>
      <c r="ES2648" s="4"/>
      <c r="ET2648" s="4"/>
      <c r="EU2648" s="4"/>
      <c r="EV2648" s="4"/>
      <c r="EW2648" s="4"/>
      <c r="EX2648" s="4"/>
      <c r="EY2648" s="4"/>
      <c r="EZ2648" s="4"/>
      <c r="FA2648" s="4"/>
      <c r="FB2648" s="4"/>
      <c r="FC2648" s="4"/>
      <c r="FD2648" s="4"/>
      <c r="FE2648" s="4"/>
      <c r="FF2648" s="4"/>
      <c r="FG2648" s="4"/>
      <c r="FH2648" s="4"/>
      <c r="FI2648" s="4"/>
      <c r="FJ2648" s="4"/>
      <c r="FK2648" s="4"/>
      <c r="FL2648" s="4"/>
      <c r="FM2648" s="4"/>
      <c r="FN2648" s="4"/>
      <c r="FO2648" s="4"/>
      <c r="FP2648" s="4"/>
      <c r="FQ2648" s="4"/>
      <c r="FR2648" s="4"/>
      <c r="FS2648" s="4"/>
      <c r="FT2648" s="4"/>
      <c r="FU2648" s="4"/>
      <c r="FV2648" s="4"/>
      <c r="FW2648" s="4"/>
      <c r="FX2648" s="4"/>
      <c r="FY2648" s="4"/>
      <c r="FZ2648" s="4"/>
      <c r="GA2648" s="4"/>
      <c r="GB2648" s="4"/>
      <c r="GC2648" s="4"/>
      <c r="GD2648" s="4"/>
      <c r="GE2648" s="4"/>
      <c r="GF2648" s="4"/>
      <c r="GG2648" s="4"/>
      <c r="GH2648" s="4"/>
      <c r="GI2648" s="4"/>
      <c r="GJ2648" s="4"/>
      <c r="GK2648" s="4"/>
      <c r="GL2648" s="4"/>
      <c r="GM2648" s="4"/>
      <c r="GN2648" s="4"/>
      <c r="GO2648" s="4"/>
      <c r="GP2648" s="4"/>
      <c r="GQ2648" s="4"/>
      <c r="GR2648" s="4"/>
      <c r="GS2648" s="4"/>
      <c r="GT2648" s="4"/>
      <c r="GU2648" s="4"/>
      <c r="GV2648" s="4"/>
      <c r="GW2648" s="4"/>
      <c r="GX2648" s="4"/>
      <c r="GY2648" s="4"/>
      <c r="GZ2648" s="4"/>
      <c r="HA2648" s="4"/>
      <c r="HB2648" s="4"/>
      <c r="HC2648" s="4"/>
      <c r="HD2648" s="4"/>
      <c r="HE2648" s="4"/>
      <c r="HF2648" s="4"/>
      <c r="HG2648" s="4"/>
      <c r="HH2648" s="4"/>
      <c r="HI2648" s="4"/>
      <c r="HJ2648" s="4"/>
      <c r="HK2648" s="4"/>
      <c r="HL2648" s="4"/>
    </row>
    <row r="2649">
      <c r="A2649" s="2" t="s">
        <v>11340</v>
      </c>
      <c r="B2649" s="2" t="s">
        <v>847</v>
      </c>
      <c r="C2649" s="2" t="s">
        <v>825</v>
      </c>
      <c r="D2649" s="2" t="s">
        <v>882</v>
      </c>
      <c r="E2649" s="2" t="s">
        <v>2191</v>
      </c>
      <c r="F2649" s="2" t="s">
        <v>11341</v>
      </c>
      <c r="G2649" s="2" t="s">
        <v>11341</v>
      </c>
      <c r="H2649" s="2" t="s">
        <v>11341</v>
      </c>
      <c r="I2649" s="2" t="s">
        <v>11342</v>
      </c>
      <c r="J2649" s="2" t="s">
        <v>807</v>
      </c>
      <c r="K2649" s="2" t="s">
        <v>269</v>
      </c>
      <c r="L2649" s="3">
        <v>13.5</v>
      </c>
      <c r="M2649" s="3">
        <v>14.18</v>
      </c>
      <c r="N2649" s="3">
        <v>29.99</v>
      </c>
      <c r="O2649" s="2" t="s">
        <v>250</v>
      </c>
      <c r="P2649" s="2" t="s">
        <v>341</v>
      </c>
      <c r="Q2649" s="2" t="s">
        <v>237</v>
      </c>
      <c r="R2649" s="2" t="s">
        <v>231</v>
      </c>
      <c r="S2649" s="2" t="s">
        <v>11343</v>
      </c>
      <c r="T2649" s="2" t="s">
        <v>231</v>
      </c>
      <c r="U2649" s="2" t="s">
        <v>835</v>
      </c>
      <c r="V2649" s="2" t="s">
        <v>4046</v>
      </c>
      <c r="W2649" s="2" t="s">
        <v>273</v>
      </c>
      <c r="X2649" s="2" t="s">
        <v>231</v>
      </c>
      <c r="Y2649" s="2" t="s">
        <v>492</v>
      </c>
      <c r="Z2649" s="4"/>
      <c r="AA2649" s="4">
        <f>=ROUNDDOWN({0},0)</f>
      </c>
      <c r="AB2649" s="5"/>
      <c r="AC2649" s="2" t="s">
        <v>231</v>
      </c>
      <c r="AD2649" s="4"/>
      <c r="AE2649" s="4"/>
      <c r="AF2649" s="6"/>
      <c r="AG2649" s="6"/>
      <c r="AH2649" s="7">
        <v>0</v>
      </c>
      <c r="AI2649" s="4"/>
      <c r="AJ2649" s="4">
        <f>=ROUNDDOWN({0},0)</f>
      </c>
      <c r="AK2649" s="5"/>
      <c r="AL2649" s="2" t="s">
        <v>231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/>
      <c r="BD2649" s="8"/>
      <c r="BE2649" s="4"/>
      <c r="BF2649" s="8"/>
      <c r="BG2649" s="7"/>
      <c r="BH2649" s="7"/>
      <c r="BI2649" s="7"/>
      <c r="BJ2649" s="4"/>
      <c r="BK2649" s="8"/>
      <c r="BL2649" s="2" t="s">
        <v>231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11344</v>
      </c>
      <c r="BV2649" s="2" t="s">
        <v>231</v>
      </c>
      <c r="BW2649" s="2" t="s">
        <v>231</v>
      </c>
      <c r="BX2649" s="2" t="s">
        <v>231</v>
      </c>
      <c r="BY2649" s="2" t="s">
        <v>277</v>
      </c>
      <c r="BZ2649" s="2" t="s">
        <v>243</v>
      </c>
      <c r="CA2649" s="2" t="s">
        <v>1021</v>
      </c>
      <c r="CB2649" s="2" t="s">
        <v>8110</v>
      </c>
      <c r="CC2649" s="2" t="s">
        <v>244</v>
      </c>
      <c r="CD2649" s="2" t="s">
        <v>231</v>
      </c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  <c r="DP2649" s="4"/>
      <c r="DQ2649" s="4"/>
      <c r="DR2649" s="4"/>
      <c r="DS2649" s="4"/>
      <c r="DT2649" s="4"/>
      <c r="DU2649" s="4"/>
      <c r="DV2649" s="4"/>
      <c r="DW2649" s="4"/>
      <c r="DX2649" s="4"/>
      <c r="DY2649" s="4"/>
      <c r="DZ2649" s="4"/>
      <c r="EA2649" s="4"/>
      <c r="EB2649" s="4"/>
      <c r="EC2649" s="4"/>
      <c r="ED2649" s="4"/>
      <c r="EE2649" s="4"/>
      <c r="EF2649" s="4"/>
      <c r="EG2649" s="4"/>
      <c r="EH2649" s="4"/>
      <c r="EI2649" s="4"/>
      <c r="EJ2649" s="4"/>
      <c r="EK2649" s="4"/>
      <c r="EL2649" s="4"/>
      <c r="EM2649" s="4"/>
      <c r="EN2649" s="4"/>
      <c r="EO2649" s="4"/>
      <c r="EP2649" s="4"/>
      <c r="EQ2649" s="4"/>
      <c r="ER2649" s="4"/>
      <c r="ES2649" s="4"/>
      <c r="ET2649" s="4"/>
      <c r="EU2649" s="4"/>
      <c r="EV2649" s="4"/>
      <c r="EW2649" s="4"/>
      <c r="EX2649" s="4"/>
      <c r="EY2649" s="4"/>
      <c r="EZ2649" s="4"/>
      <c r="FA2649" s="4"/>
      <c r="FB2649" s="4"/>
      <c r="FC2649" s="4"/>
      <c r="FD2649" s="4"/>
      <c r="FE2649" s="4"/>
      <c r="FF2649" s="4"/>
      <c r="FG2649" s="4"/>
      <c r="FH2649" s="4"/>
      <c r="FI2649" s="4"/>
      <c r="FJ2649" s="4"/>
      <c r="FK2649" s="4"/>
      <c r="FL2649" s="4"/>
      <c r="FM2649" s="4"/>
      <c r="FN2649" s="4"/>
      <c r="FO2649" s="4"/>
      <c r="FP2649" s="4"/>
      <c r="FQ2649" s="4"/>
      <c r="FR2649" s="4"/>
      <c r="FS2649" s="4"/>
      <c r="FT2649" s="4"/>
      <c r="FU2649" s="4"/>
      <c r="FV2649" s="4"/>
      <c r="FW2649" s="4"/>
      <c r="FX2649" s="4"/>
      <c r="FY2649" s="4"/>
      <c r="FZ2649" s="4"/>
      <c r="GA2649" s="4"/>
      <c r="GB2649" s="4"/>
      <c r="GC2649" s="4"/>
      <c r="GD2649" s="4"/>
      <c r="GE2649" s="4"/>
      <c r="GF2649" s="4"/>
      <c r="GG2649" s="4"/>
      <c r="GH2649" s="4"/>
      <c r="GI2649" s="4"/>
      <c r="GJ2649" s="4"/>
      <c r="GK2649" s="4"/>
      <c r="GL2649" s="4"/>
      <c r="GM2649" s="4"/>
      <c r="GN2649" s="4"/>
      <c r="GO2649" s="4"/>
      <c r="GP2649" s="4"/>
      <c r="GQ2649" s="4"/>
      <c r="GR2649" s="4"/>
      <c r="GS2649" s="4"/>
      <c r="GT2649" s="4"/>
      <c r="GU2649" s="4"/>
      <c r="GV2649" s="4"/>
      <c r="GW2649" s="4"/>
      <c r="GX2649" s="4"/>
      <c r="GY2649" s="4"/>
      <c r="GZ2649" s="4"/>
      <c r="HA2649" s="4"/>
      <c r="HB2649" s="4"/>
      <c r="HC2649" s="4"/>
      <c r="HD2649" s="4"/>
      <c r="HE2649" s="4"/>
      <c r="HF2649" s="4"/>
      <c r="HG2649" s="4"/>
      <c r="HH2649" s="4"/>
      <c r="HI2649" s="4"/>
      <c r="HJ2649" s="4"/>
      <c r="HK2649" s="4"/>
      <c r="HL2649" s="4"/>
    </row>
    <row r="2650">
      <c r="A2650" s="2" t="s">
        <v>11345</v>
      </c>
      <c r="B2650" s="2" t="s">
        <v>1186</v>
      </c>
      <c r="C2650" s="2" t="s">
        <v>288</v>
      </c>
      <c r="D2650" s="2" t="s">
        <v>826</v>
      </c>
      <c r="E2650" s="2" t="s">
        <v>827</v>
      </c>
      <c r="F2650" s="2" t="s">
        <v>7988</v>
      </c>
      <c r="G2650" s="2" t="s">
        <v>11346</v>
      </c>
      <c r="H2650" s="2" t="s">
        <v>7380</v>
      </c>
      <c r="I2650" s="2" t="s">
        <v>8096</v>
      </c>
      <c r="J2650" s="2" t="s">
        <v>302</v>
      </c>
      <c r="K2650" s="2" t="s">
        <v>253</v>
      </c>
      <c r="L2650" s="3">
        <v>59.99</v>
      </c>
      <c r="M2650" s="3">
        <v>62.99</v>
      </c>
      <c r="N2650" s="3">
        <v>119.99</v>
      </c>
      <c r="O2650" s="2" t="s">
        <v>243</v>
      </c>
      <c r="P2650" s="2" t="s">
        <v>341</v>
      </c>
      <c r="Q2650" s="2" t="s">
        <v>237</v>
      </c>
      <c r="R2650" s="2" t="s">
        <v>231</v>
      </c>
      <c r="S2650" s="2" t="s">
        <v>11347</v>
      </c>
      <c r="T2650" s="2" t="s">
        <v>231</v>
      </c>
      <c r="U2650" s="2" t="s">
        <v>765</v>
      </c>
      <c r="V2650" s="2" t="s">
        <v>1192</v>
      </c>
      <c r="W2650" s="2" t="s">
        <v>792</v>
      </c>
      <c r="X2650" s="2" t="s">
        <v>1486</v>
      </c>
      <c r="Y2650" s="2" t="s">
        <v>274</v>
      </c>
      <c r="Z2650" s="4">
        <v>52</v>
      </c>
      <c r="AA2650" s="4">
        <f>=ROUNDDOWN(20.8,0)</f>
      </c>
      <c r="AB2650" s="5">
        <v>2.5</v>
      </c>
      <c r="AC2650" s="2" t="s">
        <v>231</v>
      </c>
      <c r="AD2650" s="4"/>
      <c r="AE2650" s="4"/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231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231</v>
      </c>
      <c r="BD2650" s="8" t="s">
        <v>231</v>
      </c>
      <c r="BE2650" s="4" t="s">
        <v>231</v>
      </c>
      <c r="BF2650" s="8" t="s">
        <v>231</v>
      </c>
      <c r="BG2650" s="7" t="s">
        <v>231</v>
      </c>
      <c r="BH2650" s="7" t="s">
        <v>231</v>
      </c>
      <c r="BI2650" s="7"/>
      <c r="BJ2650" s="4">
        <v>13</v>
      </c>
      <c r="BK2650" s="8">
        <v>812.94</v>
      </c>
      <c r="BL2650" s="2" t="s">
        <v>2900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11348</v>
      </c>
      <c r="BV2650" s="2" t="s">
        <v>231</v>
      </c>
      <c r="BW2650" s="2" t="s">
        <v>231</v>
      </c>
      <c r="BX2650" s="2" t="s">
        <v>241</v>
      </c>
      <c r="BY2650" s="2" t="s">
        <v>277</v>
      </c>
      <c r="BZ2650" s="2" t="s">
        <v>243</v>
      </c>
      <c r="CA2650" s="2" t="s">
        <v>284</v>
      </c>
      <c r="CB2650" s="2" t="s">
        <v>467</v>
      </c>
      <c r="CC2650" s="2" t="s">
        <v>244</v>
      </c>
      <c r="CD2650" s="2" t="s">
        <v>231</v>
      </c>
      <c r="CE2650" s="4">
        <v>52</v>
      </c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  <c r="DP2650" s="4"/>
      <c r="DQ2650" s="4"/>
      <c r="DR2650" s="4"/>
      <c r="DS2650" s="4"/>
      <c r="DT2650" s="4"/>
      <c r="DU2650" s="4"/>
      <c r="DV2650" s="4"/>
      <c r="DW2650" s="4"/>
      <c r="DX2650" s="4"/>
      <c r="DY2650" s="4"/>
      <c r="DZ2650" s="4"/>
      <c r="EA2650" s="4"/>
      <c r="EB2650" s="4"/>
      <c r="EC2650" s="4"/>
      <c r="ED2650" s="4"/>
      <c r="EE2650" s="4"/>
      <c r="EF2650" s="4"/>
      <c r="EG2650" s="4"/>
      <c r="EH2650" s="4"/>
      <c r="EI2650" s="4"/>
      <c r="EJ2650" s="4"/>
      <c r="EK2650" s="4"/>
      <c r="EL2650" s="4"/>
      <c r="EM2650" s="4"/>
      <c r="EN2650" s="4"/>
      <c r="EO2650" s="4"/>
      <c r="EP2650" s="4"/>
      <c r="EQ2650" s="4"/>
      <c r="ER2650" s="4"/>
      <c r="ES2650" s="4"/>
      <c r="ET2650" s="4"/>
      <c r="EU2650" s="4"/>
      <c r="EV2650" s="4"/>
      <c r="EW2650" s="4"/>
      <c r="EX2650" s="4"/>
      <c r="EY2650" s="4"/>
      <c r="EZ2650" s="4"/>
      <c r="FA2650" s="4"/>
      <c r="FB2650" s="4"/>
      <c r="FC2650" s="4"/>
      <c r="FD2650" s="4"/>
      <c r="FE2650" s="4"/>
      <c r="FF2650" s="4"/>
      <c r="FG2650" s="4"/>
      <c r="FH2650" s="4"/>
      <c r="FI2650" s="4"/>
      <c r="FJ2650" s="4"/>
      <c r="FK2650" s="4"/>
      <c r="FL2650" s="4"/>
      <c r="FM2650" s="4"/>
      <c r="FN2650" s="4"/>
      <c r="FO2650" s="4"/>
      <c r="FP2650" s="4"/>
      <c r="FQ2650" s="4"/>
      <c r="FR2650" s="4"/>
      <c r="FS2650" s="4"/>
      <c r="FT2650" s="4"/>
      <c r="FU2650" s="4"/>
      <c r="FV2650" s="4"/>
      <c r="FW2650" s="4"/>
      <c r="FX2650" s="4"/>
      <c r="FY2650" s="4"/>
      <c r="FZ2650" s="4"/>
      <c r="GA2650" s="4"/>
      <c r="GB2650" s="4"/>
      <c r="GC2650" s="4"/>
      <c r="GD2650" s="4"/>
      <c r="GE2650" s="4"/>
      <c r="GF2650" s="4"/>
      <c r="GG2650" s="4"/>
      <c r="GH2650" s="4"/>
      <c r="GI2650" s="4"/>
      <c r="GJ2650" s="4"/>
      <c r="GK2650" s="4"/>
      <c r="GL2650" s="4"/>
      <c r="GM2650" s="4"/>
      <c r="GN2650" s="4"/>
      <c r="GO2650" s="4"/>
      <c r="GP2650" s="4"/>
      <c r="GQ2650" s="4"/>
      <c r="GR2650" s="4"/>
      <c r="GS2650" s="4"/>
      <c r="GT2650" s="4"/>
      <c r="GU2650" s="4"/>
      <c r="GV2650" s="4"/>
      <c r="GW2650" s="4"/>
      <c r="GX2650" s="4"/>
      <c r="GY2650" s="4"/>
      <c r="GZ2650" s="4"/>
      <c r="HA2650" s="4"/>
      <c r="HB2650" s="4"/>
      <c r="HC2650" s="4"/>
      <c r="HD2650" s="4"/>
      <c r="HE2650" s="4"/>
      <c r="HF2650" s="4"/>
      <c r="HG2650" s="4"/>
      <c r="HH2650" s="4"/>
      <c r="HI2650" s="4"/>
      <c r="HJ2650" s="4"/>
      <c r="HK2650" s="4"/>
      <c r="HL2650" s="4"/>
    </row>
    <row r="2651">
      <c r="A2651" s="2" t="s">
        <v>11349</v>
      </c>
      <c r="B2651" s="2" t="s">
        <v>1186</v>
      </c>
      <c r="C2651" s="2" t="s">
        <v>815</v>
      </c>
      <c r="D2651" s="2" t="s">
        <v>654</v>
      </c>
      <c r="E2651" s="2" t="s">
        <v>890</v>
      </c>
      <c r="F2651" s="2" t="s">
        <v>7988</v>
      </c>
      <c r="G2651" s="2" t="s">
        <v>7988</v>
      </c>
      <c r="H2651" s="2" t="s">
        <v>7988</v>
      </c>
      <c r="I2651" s="2" t="s">
        <v>11350</v>
      </c>
      <c r="J2651" s="2" t="s">
        <v>658</v>
      </c>
      <c r="K2651" s="2" t="s">
        <v>255</v>
      </c>
      <c r="L2651" s="3">
        <v>62.4</v>
      </c>
      <c r="M2651" s="3">
        <v>65.52</v>
      </c>
      <c r="N2651" s="3">
        <v>129.99</v>
      </c>
      <c r="O2651" s="2" t="s">
        <v>235</v>
      </c>
      <c r="P2651" s="2" t="s">
        <v>341</v>
      </c>
      <c r="Q2651" s="2" t="s">
        <v>237</v>
      </c>
      <c r="R2651" s="2" t="s">
        <v>231</v>
      </c>
      <c r="S2651" s="2" t="s">
        <v>11351</v>
      </c>
      <c r="T2651" s="2" t="s">
        <v>231</v>
      </c>
      <c r="U2651" s="2" t="s">
        <v>835</v>
      </c>
      <c r="V2651" s="2" t="s">
        <v>5672</v>
      </c>
      <c r="W2651" s="2" t="s">
        <v>808</v>
      </c>
      <c r="X2651" s="2" t="s">
        <v>273</v>
      </c>
      <c r="Y2651" s="2" t="s">
        <v>3439</v>
      </c>
      <c r="Z2651" s="4">
        <v>438</v>
      </c>
      <c r="AA2651" s="4">
        <f>=ROUNDDOWN(146,0)</f>
      </c>
      <c r="AB2651" s="5">
        <v>3</v>
      </c>
      <c r="AC2651" s="2" t="s">
        <v>231</v>
      </c>
      <c r="AD2651" s="4"/>
      <c r="AE2651" s="4"/>
      <c r="AF2651" s="6">
        <v>67</v>
      </c>
      <c r="AG2651" s="6"/>
      <c r="AH2651" s="7">
        <v>1</v>
      </c>
      <c r="AI2651" s="4"/>
      <c r="AJ2651" s="4">
        <f>=ROUNDDOWN({0},0)</f>
      </c>
      <c r="AK2651" s="5"/>
      <c r="AL2651" s="2" t="s">
        <v>231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231</v>
      </c>
      <c r="BD2651" s="8" t="s">
        <v>231</v>
      </c>
      <c r="BE2651" s="4" t="s">
        <v>231</v>
      </c>
      <c r="BF2651" s="8" t="s">
        <v>231</v>
      </c>
      <c r="BG2651" s="7" t="s">
        <v>231</v>
      </c>
      <c r="BH2651" s="7" t="s">
        <v>231</v>
      </c>
      <c r="BI2651" s="7"/>
      <c r="BJ2651" s="4">
        <v>6</v>
      </c>
      <c r="BK2651" s="8">
        <v>304.9</v>
      </c>
      <c r="BL2651" s="2" t="s">
        <v>810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11352</v>
      </c>
      <c r="BV2651" s="2" t="s">
        <v>231</v>
      </c>
      <c r="BW2651" s="2" t="s">
        <v>231</v>
      </c>
      <c r="BX2651" s="2" t="s">
        <v>231</v>
      </c>
      <c r="BY2651" s="2" t="s">
        <v>277</v>
      </c>
      <c r="BZ2651" s="2" t="s">
        <v>243</v>
      </c>
      <c r="CA2651" s="2" t="s">
        <v>6260</v>
      </c>
      <c r="CB2651" s="2" t="s">
        <v>6465</v>
      </c>
      <c r="CC2651" s="2" t="s">
        <v>244</v>
      </c>
      <c r="CD2651" s="2" t="s">
        <v>231</v>
      </c>
      <c r="CE2651" s="4">
        <v>438</v>
      </c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  <c r="DP2651" s="4"/>
      <c r="DQ2651" s="4"/>
      <c r="DR2651" s="4"/>
      <c r="DS2651" s="4"/>
      <c r="DT2651" s="4"/>
      <c r="DU2651" s="4"/>
      <c r="DV2651" s="4"/>
      <c r="DW2651" s="4"/>
      <c r="DX2651" s="4"/>
      <c r="DY2651" s="4"/>
      <c r="DZ2651" s="4"/>
      <c r="EA2651" s="4"/>
      <c r="EB2651" s="4"/>
      <c r="EC2651" s="4"/>
      <c r="ED2651" s="4"/>
      <c r="EE2651" s="4"/>
      <c r="EF2651" s="4"/>
      <c r="EG2651" s="4"/>
      <c r="EH2651" s="4"/>
      <c r="EI2651" s="4"/>
      <c r="EJ2651" s="4"/>
      <c r="EK2651" s="4"/>
      <c r="EL2651" s="4"/>
      <c r="EM2651" s="4"/>
      <c r="EN2651" s="4"/>
      <c r="EO2651" s="4"/>
      <c r="EP2651" s="4"/>
      <c r="EQ2651" s="4"/>
      <c r="ER2651" s="4"/>
      <c r="ES2651" s="4"/>
      <c r="ET2651" s="4"/>
      <c r="EU2651" s="4"/>
      <c r="EV2651" s="4"/>
      <c r="EW2651" s="4"/>
      <c r="EX2651" s="4"/>
      <c r="EY2651" s="4"/>
      <c r="EZ2651" s="4"/>
      <c r="FA2651" s="4"/>
      <c r="FB2651" s="4"/>
      <c r="FC2651" s="4"/>
      <c r="FD2651" s="4"/>
      <c r="FE2651" s="4"/>
      <c r="FF2651" s="4"/>
      <c r="FG2651" s="4"/>
      <c r="FH2651" s="4"/>
      <c r="FI2651" s="4"/>
      <c r="FJ2651" s="4"/>
      <c r="FK2651" s="4"/>
      <c r="FL2651" s="4"/>
      <c r="FM2651" s="4"/>
      <c r="FN2651" s="4"/>
      <c r="FO2651" s="4"/>
      <c r="FP2651" s="4"/>
      <c r="FQ2651" s="4"/>
      <c r="FR2651" s="4"/>
      <c r="FS2651" s="4"/>
      <c r="FT2651" s="4"/>
      <c r="FU2651" s="4"/>
      <c r="FV2651" s="4"/>
      <c r="FW2651" s="4"/>
      <c r="FX2651" s="4"/>
      <c r="FY2651" s="4"/>
      <c r="FZ2651" s="4"/>
      <c r="GA2651" s="4"/>
      <c r="GB2651" s="4"/>
      <c r="GC2651" s="4"/>
      <c r="GD2651" s="4"/>
      <c r="GE2651" s="4"/>
      <c r="GF2651" s="4"/>
      <c r="GG2651" s="4"/>
      <c r="GH2651" s="4"/>
      <c r="GI2651" s="4"/>
      <c r="GJ2651" s="4"/>
      <c r="GK2651" s="4"/>
      <c r="GL2651" s="4"/>
      <c r="GM2651" s="4"/>
      <c r="GN2651" s="4"/>
      <c r="GO2651" s="4"/>
      <c r="GP2651" s="4"/>
      <c r="GQ2651" s="4"/>
      <c r="GR2651" s="4"/>
      <c r="GS2651" s="4"/>
      <c r="GT2651" s="4"/>
      <c r="GU2651" s="4"/>
      <c r="GV2651" s="4"/>
      <c r="GW2651" s="4"/>
      <c r="GX2651" s="4"/>
      <c r="GY2651" s="4"/>
      <c r="GZ2651" s="4"/>
      <c r="HA2651" s="4"/>
      <c r="HB2651" s="4"/>
      <c r="HC2651" s="4"/>
      <c r="HD2651" s="4"/>
      <c r="HE2651" s="4"/>
      <c r="HF2651" s="4"/>
      <c r="HG2651" s="4"/>
      <c r="HH2651" s="4"/>
      <c r="HI2651" s="4"/>
      <c r="HJ2651" s="4"/>
      <c r="HK2651" s="4"/>
      <c r="HL2651" s="4"/>
    </row>
    <row r="2652">
      <c r="A2652" s="2" t="s">
        <v>11353</v>
      </c>
      <c r="B2652" s="2" t="s">
        <v>1186</v>
      </c>
      <c r="C2652" s="2" t="s">
        <v>288</v>
      </c>
      <c r="D2652" s="2" t="s">
        <v>654</v>
      </c>
      <c r="E2652" s="2" t="s">
        <v>655</v>
      </c>
      <c r="F2652" s="2" t="s">
        <v>11354</v>
      </c>
      <c r="G2652" s="2" t="s">
        <v>11355</v>
      </c>
      <c r="H2652" s="2" t="s">
        <v>11356</v>
      </c>
      <c r="I2652" s="2" t="s">
        <v>11357</v>
      </c>
      <c r="J2652" s="2" t="s">
        <v>832</v>
      </c>
      <c r="K2652" s="2" t="s">
        <v>11358</v>
      </c>
      <c r="L2652" s="3">
        <v>72</v>
      </c>
      <c r="M2652" s="3">
        <v>75.59</v>
      </c>
      <c r="N2652" s="3">
        <v>149.99</v>
      </c>
      <c r="O2652" s="2" t="s">
        <v>243</v>
      </c>
      <c r="P2652" s="2" t="s">
        <v>341</v>
      </c>
      <c r="Q2652" s="2" t="s">
        <v>237</v>
      </c>
      <c r="R2652" s="2" t="s">
        <v>231</v>
      </c>
      <c r="S2652" s="2" t="s">
        <v>11359</v>
      </c>
      <c r="T2652" s="2" t="s">
        <v>231</v>
      </c>
      <c r="U2652" s="2" t="s">
        <v>700</v>
      </c>
      <c r="V2652" s="2" t="s">
        <v>1192</v>
      </c>
      <c r="W2652" s="2" t="s">
        <v>971</v>
      </c>
      <c r="X2652" s="2" t="s">
        <v>5057</v>
      </c>
      <c r="Y2652" s="2" t="s">
        <v>274</v>
      </c>
      <c r="Z2652" s="4">
        <v>88</v>
      </c>
      <c r="AA2652" s="4">
        <f>=ROUNDDOWN(29.3333333333333,0)</f>
      </c>
      <c r="AB2652" s="5">
        <v>3</v>
      </c>
      <c r="AC2652" s="2" t="s">
        <v>231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231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231</v>
      </c>
      <c r="AW2652" s="8" t="s">
        <v>231</v>
      </c>
      <c r="AX2652" s="4" t="s">
        <v>231</v>
      </c>
      <c r="AY2652" s="8" t="s">
        <v>231</v>
      </c>
      <c r="AZ2652" s="7" t="s">
        <v>231</v>
      </c>
      <c r="BA2652" s="7" t="s">
        <v>231</v>
      </c>
      <c r="BB2652" s="7"/>
      <c r="BC2652" s="4" t="s">
        <v>231</v>
      </c>
      <c r="BD2652" s="8" t="s">
        <v>231</v>
      </c>
      <c r="BE2652" s="4" t="s">
        <v>231</v>
      </c>
      <c r="BF2652" s="8" t="s">
        <v>231</v>
      </c>
      <c r="BG2652" s="7" t="s">
        <v>231</v>
      </c>
      <c r="BH2652" s="7" t="s">
        <v>231</v>
      </c>
      <c r="BI2652" s="7"/>
      <c r="BJ2652" s="4">
        <v>19</v>
      </c>
      <c r="BK2652" s="8">
        <v>1362.78</v>
      </c>
      <c r="BL2652" s="2" t="s">
        <v>4084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11360</v>
      </c>
      <c r="BV2652" s="2" t="s">
        <v>231</v>
      </c>
      <c r="BW2652" s="2" t="s">
        <v>231</v>
      </c>
      <c r="BX2652" s="2" t="s">
        <v>231</v>
      </c>
      <c r="BY2652" s="2" t="s">
        <v>277</v>
      </c>
      <c r="BZ2652" s="2" t="s">
        <v>243</v>
      </c>
      <c r="CA2652" s="2" t="s">
        <v>10300</v>
      </c>
      <c r="CB2652" s="2" t="s">
        <v>1709</v>
      </c>
      <c r="CC2652" s="2" t="s">
        <v>244</v>
      </c>
      <c r="CD2652" s="2" t="s">
        <v>231</v>
      </c>
      <c r="CE2652" s="4">
        <v>88</v>
      </c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  <c r="DP2652" s="4"/>
      <c r="DQ2652" s="4"/>
      <c r="DR2652" s="4"/>
      <c r="DS2652" s="4"/>
      <c r="DT2652" s="4"/>
      <c r="DU2652" s="4"/>
      <c r="DV2652" s="4"/>
      <c r="DW2652" s="4"/>
      <c r="DX2652" s="4"/>
      <c r="DY2652" s="4"/>
      <c r="DZ2652" s="4"/>
      <c r="EA2652" s="4"/>
      <c r="EB2652" s="4"/>
      <c r="EC2652" s="4"/>
      <c r="ED2652" s="4"/>
      <c r="EE2652" s="4"/>
      <c r="EF2652" s="4"/>
      <c r="EG2652" s="4"/>
      <c r="EH2652" s="4"/>
      <c r="EI2652" s="4"/>
      <c r="EJ2652" s="4"/>
      <c r="EK2652" s="4"/>
      <c r="EL2652" s="4"/>
      <c r="EM2652" s="4"/>
      <c r="EN2652" s="4"/>
      <c r="EO2652" s="4"/>
      <c r="EP2652" s="4"/>
      <c r="EQ2652" s="4"/>
      <c r="ER2652" s="4"/>
      <c r="ES2652" s="4"/>
      <c r="ET2652" s="4"/>
      <c r="EU2652" s="4"/>
      <c r="EV2652" s="4"/>
      <c r="EW2652" s="4"/>
      <c r="EX2652" s="4"/>
      <c r="EY2652" s="4"/>
      <c r="EZ2652" s="4"/>
      <c r="FA2652" s="4"/>
      <c r="FB2652" s="4"/>
      <c r="FC2652" s="4"/>
      <c r="FD2652" s="4"/>
      <c r="FE2652" s="4"/>
      <c r="FF2652" s="4"/>
      <c r="FG2652" s="4"/>
      <c r="FH2652" s="4"/>
      <c r="FI2652" s="4"/>
      <c r="FJ2652" s="4"/>
      <c r="FK2652" s="4"/>
      <c r="FL2652" s="4"/>
      <c r="FM2652" s="4"/>
      <c r="FN2652" s="4"/>
      <c r="FO2652" s="4"/>
      <c r="FP2652" s="4"/>
      <c r="FQ2652" s="4"/>
      <c r="FR2652" s="4"/>
      <c r="FS2652" s="4"/>
      <c r="FT2652" s="4"/>
      <c r="FU2652" s="4"/>
      <c r="FV2652" s="4"/>
      <c r="FW2652" s="4"/>
      <c r="FX2652" s="4"/>
      <c r="FY2652" s="4"/>
      <c r="FZ2652" s="4"/>
      <c r="GA2652" s="4"/>
      <c r="GB2652" s="4"/>
      <c r="GC2652" s="4"/>
      <c r="GD2652" s="4"/>
      <c r="GE2652" s="4"/>
      <c r="GF2652" s="4"/>
      <c r="GG2652" s="4"/>
      <c r="GH2652" s="4"/>
      <c r="GI2652" s="4"/>
      <c r="GJ2652" s="4"/>
      <c r="GK2652" s="4"/>
      <c r="GL2652" s="4"/>
      <c r="GM2652" s="4"/>
      <c r="GN2652" s="4"/>
      <c r="GO2652" s="4"/>
      <c r="GP2652" s="4"/>
      <c r="GQ2652" s="4"/>
      <c r="GR2652" s="4"/>
      <c r="GS2652" s="4"/>
      <c r="GT2652" s="4"/>
      <c r="GU2652" s="4"/>
      <c r="GV2652" s="4"/>
      <c r="GW2652" s="4"/>
      <c r="GX2652" s="4"/>
      <c r="GY2652" s="4"/>
      <c r="GZ2652" s="4"/>
      <c r="HA2652" s="4"/>
      <c r="HB2652" s="4"/>
      <c r="HC2652" s="4"/>
      <c r="HD2652" s="4"/>
      <c r="HE2652" s="4"/>
      <c r="HF2652" s="4"/>
      <c r="HG2652" s="4"/>
      <c r="HH2652" s="4"/>
      <c r="HI2652" s="4"/>
      <c r="HJ2652" s="4"/>
      <c r="HK2652" s="4"/>
      <c r="HL2652" s="4"/>
    </row>
    <row r="2653">
      <c r="A2653" s="2" t="s">
        <v>11361</v>
      </c>
      <c r="B2653" s="2" t="s">
        <v>1186</v>
      </c>
      <c r="C2653" s="2" t="s">
        <v>288</v>
      </c>
      <c r="D2653" s="2" t="s">
        <v>654</v>
      </c>
      <c r="E2653" s="2" t="s">
        <v>655</v>
      </c>
      <c r="F2653" s="2" t="s">
        <v>11354</v>
      </c>
      <c r="G2653" s="2" t="s">
        <v>11355</v>
      </c>
      <c r="H2653" s="2" t="s">
        <v>11356</v>
      </c>
      <c r="I2653" s="2" t="s">
        <v>11357</v>
      </c>
      <c r="J2653" s="2" t="s">
        <v>293</v>
      </c>
      <c r="K2653" s="2" t="s">
        <v>11358</v>
      </c>
      <c r="L2653" s="3">
        <v>81.6</v>
      </c>
      <c r="M2653" s="3">
        <v>85.67</v>
      </c>
      <c r="N2653" s="3">
        <v>169.99</v>
      </c>
      <c r="O2653" s="2" t="s">
        <v>243</v>
      </c>
      <c r="P2653" s="2" t="s">
        <v>341</v>
      </c>
      <c r="Q2653" s="2" t="s">
        <v>237</v>
      </c>
      <c r="R2653" s="2" t="s">
        <v>231</v>
      </c>
      <c r="S2653" s="2" t="s">
        <v>11359</v>
      </c>
      <c r="T2653" s="2" t="s">
        <v>231</v>
      </c>
      <c r="U2653" s="2" t="s">
        <v>1196</v>
      </c>
      <c r="V2653" s="2" t="s">
        <v>1192</v>
      </c>
      <c r="W2653" s="2" t="s">
        <v>971</v>
      </c>
      <c r="X2653" s="2" t="s">
        <v>5057</v>
      </c>
      <c r="Y2653" s="2" t="s">
        <v>274</v>
      </c>
      <c r="Z2653" s="4">
        <v>188</v>
      </c>
      <c r="AA2653" s="4">
        <f>=ROUNDDOWN(26.8571428571429,0)</f>
      </c>
      <c r="AB2653" s="5">
        <v>7</v>
      </c>
      <c r="AC2653" s="2" t="s">
        <v>231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231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231</v>
      </c>
      <c r="AW2653" s="8" t="s">
        <v>231</v>
      </c>
      <c r="AX2653" s="4" t="s">
        <v>231</v>
      </c>
      <c r="AY2653" s="8" t="s">
        <v>231</v>
      </c>
      <c r="AZ2653" s="7" t="s">
        <v>231</v>
      </c>
      <c r="BA2653" s="7" t="s">
        <v>231</v>
      </c>
      <c r="BB2653" s="7"/>
      <c r="BC2653" s="4" t="s">
        <v>231</v>
      </c>
      <c r="BD2653" s="8" t="s">
        <v>231</v>
      </c>
      <c r="BE2653" s="4" t="s">
        <v>231</v>
      </c>
      <c r="BF2653" s="8" t="s">
        <v>231</v>
      </c>
      <c r="BG2653" s="7" t="s">
        <v>231</v>
      </c>
      <c r="BH2653" s="7" t="s">
        <v>231</v>
      </c>
      <c r="BI2653" s="7"/>
      <c r="BJ2653" s="4">
        <v>36</v>
      </c>
      <c r="BK2653" s="8">
        <v>2815.96</v>
      </c>
      <c r="BL2653" s="2" t="s">
        <v>2865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11362</v>
      </c>
      <c r="BV2653" s="2" t="s">
        <v>231</v>
      </c>
      <c r="BW2653" s="2" t="s">
        <v>231</v>
      </c>
      <c r="BX2653" s="2" t="s">
        <v>231</v>
      </c>
      <c r="BY2653" s="2" t="s">
        <v>277</v>
      </c>
      <c r="BZ2653" s="2" t="s">
        <v>243</v>
      </c>
      <c r="CA2653" s="2" t="s">
        <v>10300</v>
      </c>
      <c r="CB2653" s="2" t="s">
        <v>6898</v>
      </c>
      <c r="CC2653" s="2" t="s">
        <v>244</v>
      </c>
      <c r="CD2653" s="2" t="s">
        <v>231</v>
      </c>
      <c r="CE2653" s="4">
        <v>188</v>
      </c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  <c r="DP2653" s="4"/>
      <c r="DQ2653" s="4"/>
      <c r="DR2653" s="4"/>
      <c r="DS2653" s="4"/>
      <c r="DT2653" s="4"/>
      <c r="DU2653" s="4"/>
      <c r="DV2653" s="4"/>
      <c r="DW2653" s="4"/>
      <c r="DX2653" s="4"/>
      <c r="DY2653" s="4"/>
      <c r="DZ2653" s="4"/>
      <c r="EA2653" s="4"/>
      <c r="EB2653" s="4"/>
      <c r="EC2653" s="4"/>
      <c r="ED2653" s="4"/>
      <c r="EE2653" s="4"/>
      <c r="EF2653" s="4"/>
      <c r="EG2653" s="4"/>
      <c r="EH2653" s="4"/>
      <c r="EI2653" s="4"/>
      <c r="EJ2653" s="4"/>
      <c r="EK2653" s="4"/>
      <c r="EL2653" s="4"/>
      <c r="EM2653" s="4"/>
      <c r="EN2653" s="4"/>
      <c r="EO2653" s="4"/>
      <c r="EP2653" s="4"/>
      <c r="EQ2653" s="4"/>
      <c r="ER2653" s="4"/>
      <c r="ES2653" s="4"/>
      <c r="ET2653" s="4"/>
      <c r="EU2653" s="4"/>
      <c r="EV2653" s="4"/>
      <c r="EW2653" s="4"/>
      <c r="EX2653" s="4"/>
      <c r="EY2653" s="4"/>
      <c r="EZ2653" s="4"/>
      <c r="FA2653" s="4"/>
      <c r="FB2653" s="4"/>
      <c r="FC2653" s="4"/>
      <c r="FD2653" s="4"/>
      <c r="FE2653" s="4"/>
      <c r="FF2653" s="4"/>
      <c r="FG2653" s="4"/>
      <c r="FH2653" s="4"/>
      <c r="FI2653" s="4"/>
      <c r="FJ2653" s="4"/>
      <c r="FK2653" s="4"/>
      <c r="FL2653" s="4"/>
      <c r="FM2653" s="4"/>
      <c r="FN2653" s="4"/>
      <c r="FO2653" s="4"/>
      <c r="FP2653" s="4"/>
      <c r="FQ2653" s="4"/>
      <c r="FR2653" s="4"/>
      <c r="FS2653" s="4"/>
      <c r="FT2653" s="4"/>
      <c r="FU2653" s="4"/>
      <c r="FV2653" s="4"/>
      <c r="FW2653" s="4"/>
      <c r="FX2653" s="4"/>
      <c r="FY2653" s="4"/>
      <c r="FZ2653" s="4"/>
      <c r="GA2653" s="4"/>
      <c r="GB2653" s="4"/>
      <c r="GC2653" s="4"/>
      <c r="GD2653" s="4"/>
      <c r="GE2653" s="4"/>
      <c r="GF2653" s="4"/>
      <c r="GG2653" s="4"/>
      <c r="GH2653" s="4"/>
      <c r="GI2653" s="4"/>
      <c r="GJ2653" s="4"/>
      <c r="GK2653" s="4"/>
      <c r="GL2653" s="4"/>
      <c r="GM2653" s="4"/>
      <c r="GN2653" s="4"/>
      <c r="GO2653" s="4"/>
      <c r="GP2653" s="4"/>
      <c r="GQ2653" s="4"/>
      <c r="GR2653" s="4"/>
      <c r="GS2653" s="4"/>
      <c r="GT2653" s="4"/>
      <c r="GU2653" s="4"/>
      <c r="GV2653" s="4"/>
      <c r="GW2653" s="4"/>
      <c r="GX2653" s="4"/>
      <c r="GY2653" s="4"/>
      <c r="GZ2653" s="4"/>
      <c r="HA2653" s="4"/>
      <c r="HB2653" s="4"/>
      <c r="HC2653" s="4"/>
      <c r="HD2653" s="4"/>
      <c r="HE2653" s="4"/>
      <c r="HF2653" s="4"/>
      <c r="HG2653" s="4"/>
      <c r="HH2653" s="4"/>
      <c r="HI2653" s="4"/>
      <c r="HJ2653" s="4"/>
      <c r="HK2653" s="4"/>
      <c r="HL2653" s="4"/>
    </row>
    <row r="2654">
      <c r="A2654" s="2" t="s">
        <v>11363</v>
      </c>
      <c r="B2654" s="2" t="s">
        <v>992</v>
      </c>
      <c r="C2654" s="2" t="s">
        <v>288</v>
      </c>
      <c r="D2654" s="2" t="s">
        <v>993</v>
      </c>
      <c r="E2654" s="2" t="s">
        <v>994</v>
      </c>
      <c r="F2654" s="2" t="s">
        <v>11364</v>
      </c>
      <c r="G2654" s="2" t="s">
        <v>11365</v>
      </c>
      <c r="H2654" s="2" t="s">
        <v>8139</v>
      </c>
      <c r="I2654" s="2" t="s">
        <v>11366</v>
      </c>
      <c r="J2654" s="2" t="s">
        <v>996</v>
      </c>
      <c r="K2654" s="2" t="s">
        <v>269</v>
      </c>
      <c r="L2654" s="3">
        <v>16.45</v>
      </c>
      <c r="M2654" s="3">
        <v>17.27</v>
      </c>
      <c r="N2654" s="3">
        <v>34.99</v>
      </c>
      <c r="O2654" s="2" t="s">
        <v>243</v>
      </c>
      <c r="P2654" s="2" t="s">
        <v>341</v>
      </c>
      <c r="Q2654" s="2" t="s">
        <v>237</v>
      </c>
      <c r="R2654" s="2" t="s">
        <v>231</v>
      </c>
      <c r="S2654" s="2" t="s">
        <v>11367</v>
      </c>
      <c r="T2654" s="2" t="s">
        <v>231</v>
      </c>
      <c r="U2654" s="2" t="s">
        <v>231</v>
      </c>
      <c r="V2654" s="2" t="s">
        <v>1433</v>
      </c>
      <c r="W2654" s="2" t="s">
        <v>792</v>
      </c>
      <c r="X2654" s="2" t="s">
        <v>1520</v>
      </c>
      <c r="Y2654" s="2" t="s">
        <v>274</v>
      </c>
      <c r="Z2654" s="4">
        <v>250</v>
      </c>
      <c r="AA2654" s="4">
        <f>=ROUNDDOWN(12.8205128205128,0)</f>
      </c>
      <c r="AB2654" s="5">
        <v>19.5</v>
      </c>
      <c r="AC2654" s="2" t="s">
        <v>231</v>
      </c>
      <c r="AD2654" s="4"/>
      <c r="AE2654" s="4"/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231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231</v>
      </c>
      <c r="BD2654" s="8" t="s">
        <v>231</v>
      </c>
      <c r="BE2654" s="4" t="s">
        <v>231</v>
      </c>
      <c r="BF2654" s="8" t="s">
        <v>231</v>
      </c>
      <c r="BG2654" s="7" t="s">
        <v>231</v>
      </c>
      <c r="BH2654" s="7" t="s">
        <v>231</v>
      </c>
      <c r="BI2654" s="7"/>
      <c r="BJ2654" s="4">
        <v>22</v>
      </c>
      <c r="BK2654" s="8">
        <v>324.67</v>
      </c>
      <c r="BL2654" s="2" t="s">
        <v>11368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11369</v>
      </c>
      <c r="BV2654" s="2" t="s">
        <v>231</v>
      </c>
      <c r="BW2654" s="2" t="s">
        <v>231</v>
      </c>
      <c r="BX2654" s="2" t="s">
        <v>241</v>
      </c>
      <c r="BY2654" s="2" t="s">
        <v>277</v>
      </c>
      <c r="BZ2654" s="2" t="s">
        <v>243</v>
      </c>
      <c r="CA2654" s="2" t="s">
        <v>2052</v>
      </c>
      <c r="CB2654" s="2" t="s">
        <v>11370</v>
      </c>
      <c r="CC2654" s="2" t="s">
        <v>244</v>
      </c>
      <c r="CD2654" s="2" t="s">
        <v>231</v>
      </c>
      <c r="CE2654" s="4">
        <v>250</v>
      </c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  <c r="DL2654" s="4"/>
      <c r="DM2654" s="4"/>
      <c r="DN2654" s="4"/>
      <c r="DO2654" s="4"/>
      <c r="DP2654" s="4"/>
      <c r="DQ2654" s="4"/>
      <c r="DR2654" s="4"/>
      <c r="DS2654" s="4"/>
      <c r="DT2654" s="4"/>
      <c r="DU2654" s="4"/>
      <c r="DV2654" s="4"/>
      <c r="DW2654" s="4"/>
      <c r="DX2654" s="4"/>
      <c r="DY2654" s="4"/>
      <c r="DZ2654" s="4"/>
      <c r="EA2654" s="4"/>
      <c r="EB2654" s="4"/>
      <c r="EC2654" s="4"/>
      <c r="ED2654" s="4"/>
      <c r="EE2654" s="4"/>
      <c r="EF2654" s="4"/>
      <c r="EG2654" s="4"/>
      <c r="EH2654" s="4"/>
      <c r="EI2654" s="4"/>
      <c r="EJ2654" s="4"/>
      <c r="EK2654" s="4"/>
      <c r="EL2654" s="4"/>
      <c r="EM2654" s="4"/>
      <c r="EN2654" s="4"/>
      <c r="EO2654" s="4"/>
      <c r="EP2654" s="4"/>
      <c r="EQ2654" s="4"/>
      <c r="ER2654" s="4"/>
      <c r="ES2654" s="4"/>
      <c r="ET2654" s="4"/>
      <c r="EU2654" s="4"/>
      <c r="EV2654" s="4"/>
      <c r="EW2654" s="4"/>
      <c r="EX2654" s="4"/>
      <c r="EY2654" s="4"/>
      <c r="EZ2654" s="4"/>
      <c r="FA2654" s="4"/>
      <c r="FB2654" s="4"/>
      <c r="FC2654" s="4"/>
      <c r="FD2654" s="4"/>
      <c r="FE2654" s="4"/>
      <c r="FF2654" s="4"/>
      <c r="FG2654" s="4"/>
      <c r="FH2654" s="4"/>
      <c r="FI2654" s="4"/>
      <c r="FJ2654" s="4"/>
      <c r="FK2654" s="4"/>
      <c r="FL2654" s="4"/>
      <c r="FM2654" s="4"/>
      <c r="FN2654" s="4"/>
      <c r="FO2654" s="4"/>
      <c r="FP2654" s="4"/>
      <c r="FQ2654" s="4"/>
      <c r="FR2654" s="4"/>
      <c r="FS2654" s="4"/>
      <c r="FT2654" s="4"/>
      <c r="FU2654" s="4"/>
      <c r="FV2654" s="4"/>
      <c r="FW2654" s="4"/>
      <c r="FX2654" s="4"/>
      <c r="FY2654" s="4"/>
      <c r="FZ2654" s="4"/>
      <c r="GA2654" s="4"/>
      <c r="GB2654" s="4"/>
      <c r="GC2654" s="4"/>
      <c r="GD2654" s="4"/>
      <c r="GE2654" s="4"/>
      <c r="GF2654" s="4"/>
      <c r="GG2654" s="4"/>
      <c r="GH2654" s="4"/>
      <c r="GI2654" s="4"/>
      <c r="GJ2654" s="4"/>
      <c r="GK2654" s="4"/>
      <c r="GL2654" s="4"/>
      <c r="GM2654" s="4"/>
      <c r="GN2654" s="4"/>
      <c r="GO2654" s="4"/>
      <c r="GP2654" s="4"/>
      <c r="GQ2654" s="4"/>
      <c r="GR2654" s="4"/>
      <c r="GS2654" s="4"/>
      <c r="GT2654" s="4"/>
      <c r="GU2654" s="4"/>
      <c r="GV2654" s="4"/>
      <c r="GW2654" s="4"/>
      <c r="GX2654" s="4"/>
      <c r="GY2654" s="4"/>
      <c r="GZ2654" s="4"/>
      <c r="HA2654" s="4"/>
      <c r="HB2654" s="4"/>
      <c r="HC2654" s="4"/>
      <c r="HD2654" s="4"/>
      <c r="HE2654" s="4"/>
      <c r="HF2654" s="4"/>
      <c r="HG2654" s="4"/>
      <c r="HH2654" s="4"/>
      <c r="HI2654" s="4"/>
      <c r="HJ2654" s="4"/>
      <c r="HK2654" s="4"/>
      <c r="HL2654" s="4"/>
    </row>
    <row r="2655">
      <c r="A2655" s="2" t="s">
        <v>11371</v>
      </c>
      <c r="B2655" s="2" t="s">
        <v>992</v>
      </c>
      <c r="C2655" s="2" t="s">
        <v>288</v>
      </c>
      <c r="D2655" s="2" t="s">
        <v>1525</v>
      </c>
      <c r="E2655" s="2" t="s">
        <v>1526</v>
      </c>
      <c r="F2655" s="2" t="s">
        <v>11364</v>
      </c>
      <c r="G2655" s="2" t="s">
        <v>11365</v>
      </c>
      <c r="H2655" s="2" t="s">
        <v>8139</v>
      </c>
      <c r="I2655" s="2" t="s">
        <v>11372</v>
      </c>
      <c r="J2655" s="2" t="s">
        <v>1528</v>
      </c>
      <c r="K2655" s="2" t="s">
        <v>1491</v>
      </c>
      <c r="L2655" s="3">
        <v>11.25</v>
      </c>
      <c r="M2655" s="3">
        <v>11.81</v>
      </c>
      <c r="N2655" s="3">
        <v>24.99</v>
      </c>
      <c r="O2655" s="2" t="s">
        <v>243</v>
      </c>
      <c r="P2655" s="2" t="s">
        <v>341</v>
      </c>
      <c r="Q2655" s="2" t="s">
        <v>237</v>
      </c>
      <c r="R2655" s="2" t="s">
        <v>231</v>
      </c>
      <c r="S2655" s="2" t="s">
        <v>11373</v>
      </c>
      <c r="T2655" s="2" t="s">
        <v>231</v>
      </c>
      <c r="U2655" s="2" t="s">
        <v>231</v>
      </c>
      <c r="V2655" s="2" t="s">
        <v>1433</v>
      </c>
      <c r="W2655" s="2" t="s">
        <v>792</v>
      </c>
      <c r="X2655" s="2" t="s">
        <v>231</v>
      </c>
      <c r="Y2655" s="2" t="s">
        <v>11374</v>
      </c>
      <c r="Z2655" s="4">
        <v>267</v>
      </c>
      <c r="AA2655" s="4">
        <f>=ROUNDDOWN(42.3809523809524,0)</f>
      </c>
      <c r="AB2655" s="5">
        <v>6.3</v>
      </c>
      <c r="AC2655" s="2" t="s">
        <v>231</v>
      </c>
      <c r="AD2655" s="4"/>
      <c r="AE2655" s="4"/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231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231</v>
      </c>
      <c r="BD2655" s="8" t="s">
        <v>231</v>
      </c>
      <c r="BE2655" s="4" t="s">
        <v>231</v>
      </c>
      <c r="BF2655" s="8" t="s">
        <v>231</v>
      </c>
      <c r="BG2655" s="7" t="s">
        <v>231</v>
      </c>
      <c r="BH2655" s="7" t="s">
        <v>231</v>
      </c>
      <c r="BI2655" s="7"/>
      <c r="BJ2655" s="4">
        <v>29</v>
      </c>
      <c r="BK2655" s="8">
        <v>331.37</v>
      </c>
      <c r="BL2655" s="2" t="s">
        <v>1657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11375</v>
      </c>
      <c r="BV2655" s="2" t="s">
        <v>231</v>
      </c>
      <c r="BW2655" s="2" t="s">
        <v>231</v>
      </c>
      <c r="BX2655" s="2" t="s">
        <v>231</v>
      </c>
      <c r="BY2655" s="2" t="s">
        <v>277</v>
      </c>
      <c r="BZ2655" s="2" t="s">
        <v>243</v>
      </c>
      <c r="CA2655" s="2" t="s">
        <v>2052</v>
      </c>
      <c r="CB2655" s="2" t="s">
        <v>5335</v>
      </c>
      <c r="CC2655" s="2" t="s">
        <v>244</v>
      </c>
      <c r="CD2655" s="2" t="s">
        <v>231</v>
      </c>
      <c r="CE2655" s="4">
        <v>267</v>
      </c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  <c r="DP2655" s="4"/>
      <c r="DQ2655" s="4"/>
      <c r="DR2655" s="4"/>
      <c r="DS2655" s="4"/>
      <c r="DT2655" s="4"/>
      <c r="DU2655" s="4"/>
      <c r="DV2655" s="4"/>
      <c r="DW2655" s="4"/>
      <c r="DX2655" s="4"/>
      <c r="DY2655" s="4"/>
      <c r="DZ2655" s="4"/>
      <c r="EA2655" s="4"/>
      <c r="EB2655" s="4"/>
      <c r="EC2655" s="4"/>
      <c r="ED2655" s="4"/>
      <c r="EE2655" s="4"/>
      <c r="EF2655" s="4"/>
      <c r="EG2655" s="4"/>
      <c r="EH2655" s="4"/>
      <c r="EI2655" s="4"/>
      <c r="EJ2655" s="4"/>
      <c r="EK2655" s="4"/>
      <c r="EL2655" s="4"/>
      <c r="EM2655" s="4"/>
      <c r="EN2655" s="4"/>
      <c r="EO2655" s="4"/>
      <c r="EP2655" s="4"/>
      <c r="EQ2655" s="4"/>
      <c r="ER2655" s="4"/>
      <c r="ES2655" s="4"/>
      <c r="ET2655" s="4"/>
      <c r="EU2655" s="4"/>
      <c r="EV2655" s="4"/>
      <c r="EW2655" s="4"/>
      <c r="EX2655" s="4"/>
      <c r="EY2655" s="4"/>
      <c r="EZ2655" s="4"/>
      <c r="FA2655" s="4"/>
      <c r="FB2655" s="4"/>
      <c r="FC2655" s="4"/>
      <c r="FD2655" s="4"/>
      <c r="FE2655" s="4"/>
      <c r="FF2655" s="4"/>
      <c r="FG2655" s="4"/>
      <c r="FH2655" s="4"/>
      <c r="FI2655" s="4"/>
      <c r="FJ2655" s="4"/>
      <c r="FK2655" s="4"/>
      <c r="FL2655" s="4"/>
      <c r="FM2655" s="4"/>
      <c r="FN2655" s="4"/>
      <c r="FO2655" s="4"/>
      <c r="FP2655" s="4"/>
      <c r="FQ2655" s="4"/>
      <c r="FR2655" s="4"/>
      <c r="FS2655" s="4"/>
      <c r="FT2655" s="4"/>
      <c r="FU2655" s="4"/>
      <c r="FV2655" s="4"/>
      <c r="FW2655" s="4"/>
      <c r="FX2655" s="4"/>
      <c r="FY2655" s="4"/>
      <c r="FZ2655" s="4"/>
      <c r="GA2655" s="4"/>
      <c r="GB2655" s="4"/>
      <c r="GC2655" s="4"/>
      <c r="GD2655" s="4"/>
      <c r="GE2655" s="4"/>
      <c r="GF2655" s="4"/>
      <c r="GG2655" s="4"/>
      <c r="GH2655" s="4"/>
      <c r="GI2655" s="4"/>
      <c r="GJ2655" s="4"/>
      <c r="GK2655" s="4"/>
      <c r="GL2655" s="4"/>
      <c r="GM2655" s="4"/>
      <c r="GN2655" s="4"/>
      <c r="GO2655" s="4"/>
      <c r="GP2655" s="4"/>
      <c r="GQ2655" s="4"/>
      <c r="GR2655" s="4"/>
      <c r="GS2655" s="4"/>
      <c r="GT2655" s="4"/>
      <c r="GU2655" s="4"/>
      <c r="GV2655" s="4"/>
      <c r="GW2655" s="4"/>
      <c r="GX2655" s="4"/>
      <c r="GY2655" s="4"/>
      <c r="GZ2655" s="4"/>
      <c r="HA2655" s="4"/>
      <c r="HB2655" s="4"/>
      <c r="HC2655" s="4"/>
      <c r="HD2655" s="4"/>
      <c r="HE2655" s="4"/>
      <c r="HF2655" s="4"/>
      <c r="HG2655" s="4"/>
      <c r="HH2655" s="4"/>
      <c r="HI2655" s="4"/>
      <c r="HJ2655" s="4"/>
      <c r="HK2655" s="4"/>
      <c r="HL2655" s="4"/>
    </row>
    <row r="2656">
      <c r="A2656" s="2" t="s">
        <v>11376</v>
      </c>
      <c r="B2656" s="2" t="s">
        <v>992</v>
      </c>
      <c r="C2656" s="2" t="s">
        <v>288</v>
      </c>
      <c r="D2656" s="2" t="s">
        <v>993</v>
      </c>
      <c r="E2656" s="2" t="s">
        <v>994</v>
      </c>
      <c r="F2656" s="2" t="s">
        <v>11364</v>
      </c>
      <c r="G2656" s="2" t="s">
        <v>11365</v>
      </c>
      <c r="H2656" s="2" t="s">
        <v>8139</v>
      </c>
      <c r="I2656" s="2" t="s">
        <v>11366</v>
      </c>
      <c r="J2656" s="2" t="s">
        <v>996</v>
      </c>
      <c r="K2656" s="2" t="s">
        <v>255</v>
      </c>
      <c r="L2656" s="3">
        <v>16.45</v>
      </c>
      <c r="M2656" s="3">
        <v>17.27</v>
      </c>
      <c r="N2656" s="3">
        <v>34.99</v>
      </c>
      <c r="O2656" s="2" t="s">
        <v>243</v>
      </c>
      <c r="P2656" s="2" t="s">
        <v>1985</v>
      </c>
      <c r="Q2656" s="2" t="s">
        <v>237</v>
      </c>
      <c r="R2656" s="2" t="s">
        <v>231</v>
      </c>
      <c r="S2656" s="2" t="s">
        <v>11377</v>
      </c>
      <c r="T2656" s="2" t="s">
        <v>231</v>
      </c>
      <c r="U2656" s="2" t="s">
        <v>231</v>
      </c>
      <c r="V2656" s="2" t="s">
        <v>1433</v>
      </c>
      <c r="W2656" s="2" t="s">
        <v>676</v>
      </c>
      <c r="X2656" s="2" t="s">
        <v>1520</v>
      </c>
      <c r="Y2656" s="2" t="s">
        <v>4224</v>
      </c>
      <c r="Z2656" s="4">
        <v>207</v>
      </c>
      <c r="AA2656" s="4">
        <f>=ROUNDDOWN(29.5714285714286,0)</f>
      </c>
      <c r="AB2656" s="5">
        <v>7</v>
      </c>
      <c r="AC2656" s="2" t="s">
        <v>1651</v>
      </c>
      <c r="AD2656" s="4">
        <v>280</v>
      </c>
      <c r="AE2656" s="4">
        <v>280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231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231</v>
      </c>
      <c r="BD2656" s="8" t="s">
        <v>231</v>
      </c>
      <c r="BE2656" s="4" t="s">
        <v>231</v>
      </c>
      <c r="BF2656" s="8" t="s">
        <v>231</v>
      </c>
      <c r="BG2656" s="7" t="s">
        <v>231</v>
      </c>
      <c r="BH2656" s="7" t="s">
        <v>231</v>
      </c>
      <c r="BI2656" s="7"/>
      <c r="BJ2656" s="4">
        <v>26</v>
      </c>
      <c r="BK2656" s="8">
        <v>463.22</v>
      </c>
      <c r="BL2656" s="2" t="s">
        <v>11378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11379</v>
      </c>
      <c r="BV2656" s="2" t="s">
        <v>231</v>
      </c>
      <c r="BW2656" s="2" t="s">
        <v>231</v>
      </c>
      <c r="BX2656" s="2" t="s">
        <v>241</v>
      </c>
      <c r="BY2656" s="2" t="s">
        <v>277</v>
      </c>
      <c r="BZ2656" s="2" t="s">
        <v>243</v>
      </c>
      <c r="CA2656" s="2" t="s">
        <v>11380</v>
      </c>
      <c r="CB2656" s="2" t="s">
        <v>614</v>
      </c>
      <c r="CC2656" s="2" t="s">
        <v>244</v>
      </c>
      <c r="CD2656" s="2" t="s">
        <v>231</v>
      </c>
      <c r="CE2656" s="4">
        <v>207</v>
      </c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  <c r="DP2656" s="4"/>
      <c r="DQ2656" s="4"/>
      <c r="DR2656" s="4"/>
      <c r="DS2656" s="4"/>
      <c r="DT2656" s="4"/>
      <c r="DU2656" s="4"/>
      <c r="DV2656" s="4"/>
      <c r="DW2656" s="4"/>
      <c r="DX2656" s="4"/>
      <c r="DY2656" s="4"/>
      <c r="DZ2656" s="4"/>
      <c r="EA2656" s="4"/>
      <c r="EB2656" s="4"/>
      <c r="EC2656" s="4"/>
      <c r="ED2656" s="4"/>
      <c r="EE2656" s="4"/>
      <c r="EF2656" s="4"/>
      <c r="EG2656" s="4"/>
      <c r="EH2656" s="4"/>
      <c r="EI2656" s="4"/>
      <c r="EJ2656" s="4"/>
      <c r="EK2656" s="4"/>
      <c r="EL2656" s="4"/>
      <c r="EM2656" s="4"/>
      <c r="EN2656" s="4"/>
      <c r="EO2656" s="4"/>
      <c r="EP2656" s="4"/>
      <c r="EQ2656" s="4"/>
      <c r="ER2656" s="4"/>
      <c r="ES2656" s="4"/>
      <c r="ET2656" s="4"/>
      <c r="EU2656" s="4"/>
      <c r="EV2656" s="4"/>
      <c r="EW2656" s="4"/>
      <c r="EX2656" s="4"/>
      <c r="EY2656" s="4"/>
      <c r="EZ2656" s="4"/>
      <c r="FA2656" s="4"/>
      <c r="FB2656" s="4"/>
      <c r="FC2656" s="4"/>
      <c r="FD2656" s="4"/>
      <c r="FE2656" s="4"/>
      <c r="FF2656" s="4"/>
      <c r="FG2656" s="4"/>
      <c r="FH2656" s="4"/>
      <c r="FI2656" s="4"/>
      <c r="FJ2656" s="4"/>
      <c r="FK2656" s="4"/>
      <c r="FL2656" s="4"/>
      <c r="FM2656" s="4"/>
      <c r="FN2656" s="4"/>
      <c r="FO2656" s="4"/>
      <c r="FP2656" s="4"/>
      <c r="FQ2656" s="4"/>
      <c r="FR2656" s="4"/>
      <c r="FS2656" s="4"/>
      <c r="FT2656" s="4"/>
      <c r="FU2656" s="4"/>
      <c r="FV2656" s="4"/>
      <c r="FW2656" s="4"/>
      <c r="FX2656" s="4"/>
      <c r="FY2656" s="4"/>
      <c r="FZ2656" s="4"/>
      <c r="GA2656" s="4"/>
      <c r="GB2656" s="4"/>
      <c r="GC2656" s="4"/>
      <c r="GD2656" s="4"/>
      <c r="GE2656" s="4"/>
      <c r="GF2656" s="4"/>
      <c r="GG2656" s="4"/>
      <c r="GH2656" s="4"/>
      <c r="GI2656" s="4"/>
      <c r="GJ2656" s="4"/>
      <c r="GK2656" s="4"/>
      <c r="GL2656" s="4"/>
      <c r="GM2656" s="4"/>
      <c r="GN2656" s="4"/>
      <c r="GO2656" s="4"/>
      <c r="GP2656" s="4"/>
      <c r="GQ2656" s="4">
        <v>280</v>
      </c>
      <c r="GR2656" s="4"/>
      <c r="GS2656" s="4"/>
      <c r="GT2656" s="4"/>
      <c r="GU2656" s="4"/>
      <c r="GV2656" s="4"/>
      <c r="GW2656" s="4"/>
      <c r="GX2656" s="4"/>
      <c r="GY2656" s="4"/>
      <c r="GZ2656" s="4"/>
      <c r="HA2656" s="4"/>
      <c r="HB2656" s="4"/>
      <c r="HC2656" s="4"/>
      <c r="HD2656" s="4"/>
      <c r="HE2656" s="4"/>
      <c r="HF2656" s="4"/>
      <c r="HG2656" s="4"/>
      <c r="HH2656" s="4"/>
      <c r="HI2656" s="4"/>
      <c r="HJ2656" s="4"/>
      <c r="HK2656" s="4"/>
      <c r="HL2656" s="4"/>
    </row>
    <row r="2657">
      <c r="A2657" s="2" t="s">
        <v>11381</v>
      </c>
      <c r="B2657" s="2" t="s">
        <v>992</v>
      </c>
      <c r="C2657" s="2" t="s">
        <v>288</v>
      </c>
      <c r="D2657" s="2" t="s">
        <v>993</v>
      </c>
      <c r="E2657" s="2" t="s">
        <v>994</v>
      </c>
      <c r="F2657" s="2" t="s">
        <v>11364</v>
      </c>
      <c r="G2657" s="2" t="s">
        <v>11365</v>
      </c>
      <c r="H2657" s="2" t="s">
        <v>8139</v>
      </c>
      <c r="I2657" s="2" t="s">
        <v>11366</v>
      </c>
      <c r="J2657" s="2" t="s">
        <v>996</v>
      </c>
      <c r="K2657" s="2" t="s">
        <v>1169</v>
      </c>
      <c r="L2657" s="3">
        <v>16.45</v>
      </c>
      <c r="M2657" s="3">
        <v>17.27</v>
      </c>
      <c r="N2657" s="3">
        <v>34.99</v>
      </c>
      <c r="O2657" s="2" t="s">
        <v>243</v>
      </c>
      <c r="P2657" s="2" t="s">
        <v>270</v>
      </c>
      <c r="Q2657" s="2" t="s">
        <v>237</v>
      </c>
      <c r="R2657" s="2" t="s">
        <v>231</v>
      </c>
      <c r="S2657" s="2" t="s">
        <v>11382</v>
      </c>
      <c r="T2657" s="2" t="s">
        <v>231</v>
      </c>
      <c r="U2657" s="2" t="s">
        <v>327</v>
      </c>
      <c r="V2657" s="2" t="s">
        <v>1433</v>
      </c>
      <c r="W2657" s="2" t="s">
        <v>676</v>
      </c>
      <c r="X2657" s="2" t="s">
        <v>1520</v>
      </c>
      <c r="Y2657" s="2" t="s">
        <v>11383</v>
      </c>
      <c r="Z2657" s="4">
        <v>233</v>
      </c>
      <c r="AA2657" s="4">
        <f>=ROUNDDOWN(16.6428571428571,0)</f>
      </c>
      <c r="AB2657" s="5">
        <v>14</v>
      </c>
      <c r="AC2657" s="2" t="s">
        <v>321</v>
      </c>
      <c r="AD2657" s="4">
        <v>100</v>
      </c>
      <c r="AE2657" s="4">
        <v>356</v>
      </c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231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231</v>
      </c>
      <c r="BD2657" s="8" t="s">
        <v>231</v>
      </c>
      <c r="BE2657" s="4" t="s">
        <v>231</v>
      </c>
      <c r="BF2657" s="8" t="s">
        <v>231</v>
      </c>
      <c r="BG2657" s="7" t="s">
        <v>231</v>
      </c>
      <c r="BH2657" s="7" t="s">
        <v>231</v>
      </c>
      <c r="BI2657" s="7"/>
      <c r="BJ2657" s="4">
        <v>58</v>
      </c>
      <c r="BK2657" s="8">
        <v>979.1</v>
      </c>
      <c r="BL2657" s="2" t="s">
        <v>11384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11385</v>
      </c>
      <c r="BV2657" s="2" t="s">
        <v>231</v>
      </c>
      <c r="BW2657" s="2" t="s">
        <v>231</v>
      </c>
      <c r="BX2657" s="2" t="s">
        <v>241</v>
      </c>
      <c r="BY2657" s="2" t="s">
        <v>277</v>
      </c>
      <c r="BZ2657" s="2" t="s">
        <v>243</v>
      </c>
      <c r="CA2657" s="2" t="s">
        <v>9086</v>
      </c>
      <c r="CB2657" s="2" t="s">
        <v>4836</v>
      </c>
      <c r="CC2657" s="2" t="s">
        <v>244</v>
      </c>
      <c r="CD2657" s="2" t="s">
        <v>231</v>
      </c>
      <c r="CE2657" s="4">
        <v>233</v>
      </c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  <c r="DP2657" s="4"/>
      <c r="DQ2657" s="4"/>
      <c r="DR2657" s="4"/>
      <c r="DS2657" s="4"/>
      <c r="DT2657" s="4"/>
      <c r="DU2657" s="4"/>
      <c r="DV2657" s="4"/>
      <c r="DW2657" s="4"/>
      <c r="DX2657" s="4"/>
      <c r="DY2657" s="4"/>
      <c r="DZ2657" s="4"/>
      <c r="EA2657" s="4"/>
      <c r="EB2657" s="4"/>
      <c r="EC2657" s="4"/>
      <c r="ED2657" s="4"/>
      <c r="EE2657" s="4"/>
      <c r="EF2657" s="4"/>
      <c r="EG2657" s="4"/>
      <c r="EH2657" s="4"/>
      <c r="EI2657" s="4"/>
      <c r="EJ2657" s="4"/>
      <c r="EK2657" s="4"/>
      <c r="EL2657" s="4"/>
      <c r="EM2657" s="4"/>
      <c r="EN2657" s="4"/>
      <c r="EO2657" s="4"/>
      <c r="EP2657" s="4">
        <v>100</v>
      </c>
      <c r="EQ2657" s="4"/>
      <c r="ER2657" s="4"/>
      <c r="ES2657" s="4"/>
      <c r="ET2657" s="4"/>
      <c r="EU2657" s="4"/>
      <c r="EV2657" s="4"/>
      <c r="EW2657" s="4"/>
      <c r="EX2657" s="4"/>
      <c r="EY2657" s="4"/>
      <c r="EZ2657" s="4"/>
      <c r="FA2657" s="4"/>
      <c r="FB2657" s="4"/>
      <c r="FC2657" s="4"/>
      <c r="FD2657" s="4"/>
      <c r="FE2657" s="4"/>
      <c r="FF2657" s="4"/>
      <c r="FG2657" s="4"/>
      <c r="FH2657" s="4"/>
      <c r="FI2657" s="4"/>
      <c r="FJ2657" s="4"/>
      <c r="FK2657" s="4"/>
      <c r="FL2657" s="4"/>
      <c r="FM2657" s="4"/>
      <c r="FN2657" s="4"/>
      <c r="FO2657" s="4"/>
      <c r="FP2657" s="4"/>
      <c r="FQ2657" s="4"/>
      <c r="FR2657" s="4"/>
      <c r="FS2657" s="4"/>
      <c r="FT2657" s="4"/>
      <c r="FU2657" s="4"/>
      <c r="FV2657" s="4"/>
      <c r="FW2657" s="4"/>
      <c r="FX2657" s="4"/>
      <c r="FY2657" s="4"/>
      <c r="FZ2657" s="4"/>
      <c r="GA2657" s="4"/>
      <c r="GB2657" s="4"/>
      <c r="GC2657" s="4"/>
      <c r="GD2657" s="4"/>
      <c r="GE2657" s="4"/>
      <c r="GF2657" s="4"/>
      <c r="GG2657" s="4"/>
      <c r="GH2657" s="4"/>
      <c r="GI2657" s="4"/>
      <c r="GJ2657" s="4"/>
      <c r="GK2657" s="4"/>
      <c r="GL2657" s="4"/>
      <c r="GM2657" s="4"/>
      <c r="GN2657" s="4"/>
      <c r="GO2657" s="4"/>
      <c r="GP2657" s="4"/>
      <c r="GQ2657" s="4">
        <v>256</v>
      </c>
      <c r="GR2657" s="4"/>
      <c r="GS2657" s="4"/>
      <c r="GT2657" s="4"/>
      <c r="GU2657" s="4"/>
      <c r="GV2657" s="4"/>
      <c r="GW2657" s="4"/>
      <c r="GX2657" s="4"/>
      <c r="GY2657" s="4"/>
      <c r="GZ2657" s="4"/>
      <c r="HA2657" s="4"/>
      <c r="HB2657" s="4"/>
      <c r="HC2657" s="4"/>
      <c r="HD2657" s="4"/>
      <c r="HE2657" s="4"/>
      <c r="HF2657" s="4"/>
      <c r="HG2657" s="4"/>
      <c r="HH2657" s="4"/>
      <c r="HI2657" s="4"/>
      <c r="HJ2657" s="4"/>
      <c r="HK2657" s="4"/>
      <c r="HL2657" s="4"/>
    </row>
    <row r="2658">
      <c r="A2658" s="2" t="s">
        <v>11386</v>
      </c>
      <c r="B2658" s="2" t="s">
        <v>801</v>
      </c>
      <c r="C2658" s="2" t="s">
        <v>815</v>
      </c>
      <c r="D2658" s="2" t="s">
        <v>803</v>
      </c>
      <c r="E2658" s="2" t="s">
        <v>804</v>
      </c>
      <c r="F2658" s="2" t="s">
        <v>11387</v>
      </c>
      <c r="G2658" s="2" t="s">
        <v>11387</v>
      </c>
      <c r="H2658" s="2" t="s">
        <v>11387</v>
      </c>
      <c r="I2658" s="2" t="s">
        <v>11388</v>
      </c>
      <c r="J2658" s="2" t="s">
        <v>807</v>
      </c>
      <c r="K2658" s="2" t="s">
        <v>5084</v>
      </c>
      <c r="L2658" s="3">
        <v>132</v>
      </c>
      <c r="M2658" s="3">
        <v>138.6</v>
      </c>
      <c r="N2658" s="3">
        <v>279.99</v>
      </c>
      <c r="O2658" s="2" t="s">
        <v>243</v>
      </c>
      <c r="P2658" s="2" t="s">
        <v>236</v>
      </c>
      <c r="Q2658" s="2" t="s">
        <v>237</v>
      </c>
      <c r="R2658" s="2" t="s">
        <v>231</v>
      </c>
      <c r="S2658" s="2" t="s">
        <v>231</v>
      </c>
      <c r="T2658" s="2" t="s">
        <v>231</v>
      </c>
      <c r="U2658" s="2" t="s">
        <v>327</v>
      </c>
      <c r="V2658" s="2" t="s">
        <v>662</v>
      </c>
      <c r="W2658" s="2" t="s">
        <v>896</v>
      </c>
      <c r="X2658" s="2" t="s">
        <v>273</v>
      </c>
      <c r="Y2658" s="2" t="s">
        <v>2821</v>
      </c>
      <c r="Z2658" s="4">
        <v>89</v>
      </c>
      <c r="AA2658" s="4">
        <f>=ROUNDDOWN(89,0)</f>
      </c>
      <c r="AB2658" s="5">
        <v>1</v>
      </c>
      <c r="AC2658" s="2" t="s">
        <v>231</v>
      </c>
      <c r="AD2658" s="4"/>
      <c r="AE2658" s="4"/>
      <c r="AF2658" s="6">
        <v>63</v>
      </c>
      <c r="AG2658" s="6"/>
      <c r="AH2658" s="7">
        <v>1</v>
      </c>
      <c r="AI2658" s="4"/>
      <c r="AJ2658" s="4">
        <f>=ROUNDDOWN({0},0)</f>
      </c>
      <c r="AK2658" s="5"/>
      <c r="AL2658" s="2" t="s">
        <v>231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/>
      <c r="BD2658" s="8"/>
      <c r="BE2658" s="4"/>
      <c r="BF2658" s="8"/>
      <c r="BG2658" s="7"/>
      <c r="BH2658" s="7"/>
      <c r="BI2658" s="7"/>
      <c r="BJ2658" s="4">
        <v>2</v>
      </c>
      <c r="BK2658" s="8">
        <v>277.2</v>
      </c>
      <c r="BL2658" s="2" t="s">
        <v>1306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11389</v>
      </c>
      <c r="BV2658" s="2" t="s">
        <v>231</v>
      </c>
      <c r="BW2658" s="2" t="s">
        <v>231</v>
      </c>
      <c r="BX2658" s="2" t="s">
        <v>241</v>
      </c>
      <c r="BY2658" s="2" t="s">
        <v>277</v>
      </c>
      <c r="BZ2658" s="2" t="s">
        <v>243</v>
      </c>
      <c r="CA2658" s="2" t="s">
        <v>1598</v>
      </c>
      <c r="CB2658" s="2" t="s">
        <v>2991</v>
      </c>
      <c r="CC2658" s="2" t="s">
        <v>244</v>
      </c>
      <c r="CD2658" s="2" t="s">
        <v>231</v>
      </c>
      <c r="CE2658" s="4"/>
      <c r="CF2658" s="4">
        <v>89</v>
      </c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  <c r="DP2658" s="4"/>
      <c r="DQ2658" s="4"/>
      <c r="DR2658" s="4"/>
      <c r="DS2658" s="4"/>
      <c r="DT2658" s="4"/>
      <c r="DU2658" s="4"/>
      <c r="DV2658" s="4"/>
      <c r="DW2658" s="4"/>
      <c r="DX2658" s="4"/>
      <c r="DY2658" s="4"/>
      <c r="DZ2658" s="4"/>
      <c r="EA2658" s="4"/>
      <c r="EB2658" s="4"/>
      <c r="EC2658" s="4"/>
      <c r="ED2658" s="4"/>
      <c r="EE2658" s="4"/>
      <c r="EF2658" s="4"/>
      <c r="EG2658" s="4"/>
      <c r="EH2658" s="4"/>
      <c r="EI2658" s="4"/>
      <c r="EJ2658" s="4"/>
      <c r="EK2658" s="4"/>
      <c r="EL2658" s="4"/>
      <c r="EM2658" s="4"/>
      <c r="EN2658" s="4"/>
      <c r="EO2658" s="4"/>
      <c r="EP2658" s="4"/>
      <c r="EQ2658" s="4"/>
      <c r="ER2658" s="4"/>
      <c r="ES2658" s="4"/>
      <c r="ET2658" s="4"/>
      <c r="EU2658" s="4"/>
      <c r="EV2658" s="4"/>
      <c r="EW2658" s="4"/>
      <c r="EX2658" s="4"/>
      <c r="EY2658" s="4"/>
      <c r="EZ2658" s="4"/>
      <c r="FA2658" s="4"/>
      <c r="FB2658" s="4"/>
      <c r="FC2658" s="4"/>
      <c r="FD2658" s="4"/>
      <c r="FE2658" s="4"/>
      <c r="FF2658" s="4"/>
      <c r="FG2658" s="4"/>
      <c r="FH2658" s="4"/>
      <c r="FI2658" s="4"/>
      <c r="FJ2658" s="4"/>
      <c r="FK2658" s="4"/>
      <c r="FL2658" s="4"/>
      <c r="FM2658" s="4"/>
      <c r="FN2658" s="4"/>
      <c r="FO2658" s="4"/>
      <c r="FP2658" s="4"/>
      <c r="FQ2658" s="4"/>
      <c r="FR2658" s="4"/>
      <c r="FS2658" s="4"/>
      <c r="FT2658" s="4"/>
      <c r="FU2658" s="4"/>
      <c r="FV2658" s="4"/>
      <c r="FW2658" s="4"/>
      <c r="FX2658" s="4"/>
      <c r="FY2658" s="4"/>
      <c r="FZ2658" s="4"/>
      <c r="GA2658" s="4"/>
      <c r="GB2658" s="4"/>
      <c r="GC2658" s="4"/>
      <c r="GD2658" s="4"/>
      <c r="GE2658" s="4"/>
      <c r="GF2658" s="4"/>
      <c r="GG2658" s="4"/>
      <c r="GH2658" s="4"/>
      <c r="GI2658" s="4"/>
      <c r="GJ2658" s="4"/>
      <c r="GK2658" s="4"/>
      <c r="GL2658" s="4"/>
      <c r="GM2658" s="4"/>
      <c r="GN2658" s="4"/>
      <c r="GO2658" s="4"/>
      <c r="GP2658" s="4"/>
      <c r="GQ2658" s="4"/>
      <c r="GR2658" s="4"/>
      <c r="GS2658" s="4"/>
      <c r="GT2658" s="4"/>
      <c r="GU2658" s="4"/>
      <c r="GV2658" s="4"/>
      <c r="GW2658" s="4"/>
      <c r="GX2658" s="4"/>
      <c r="GY2658" s="4"/>
      <c r="GZ2658" s="4"/>
      <c r="HA2658" s="4"/>
      <c r="HB2658" s="4"/>
      <c r="HC2658" s="4"/>
      <c r="HD2658" s="4"/>
      <c r="HE2658" s="4"/>
      <c r="HF2658" s="4"/>
      <c r="HG2658" s="4"/>
      <c r="HH2658" s="4"/>
      <c r="HI2658" s="4"/>
      <c r="HJ2658" s="4"/>
      <c r="HK2658" s="4"/>
      <c r="HL2658" s="4"/>
    </row>
    <row r="2659">
      <c r="A2659" s="2" t="s">
        <v>11390</v>
      </c>
      <c r="B2659" s="2" t="s">
        <v>1186</v>
      </c>
      <c r="C2659" s="2" t="s">
        <v>357</v>
      </c>
      <c r="D2659" s="2" t="s">
        <v>654</v>
      </c>
      <c r="E2659" s="2" t="s">
        <v>1187</v>
      </c>
      <c r="F2659" s="2" t="s">
        <v>11391</v>
      </c>
      <c r="G2659" s="2" t="s">
        <v>11392</v>
      </c>
      <c r="H2659" s="2" t="s">
        <v>11393</v>
      </c>
      <c r="I2659" s="2" t="s">
        <v>11394</v>
      </c>
      <c r="J2659" s="2" t="s">
        <v>318</v>
      </c>
      <c r="K2659" s="2" t="s">
        <v>452</v>
      </c>
      <c r="L2659" s="3">
        <v>49.39</v>
      </c>
      <c r="M2659" s="3">
        <v>51.86</v>
      </c>
      <c r="N2659" s="3">
        <v>89.99</v>
      </c>
      <c r="O2659" s="2" t="s">
        <v>243</v>
      </c>
      <c r="P2659" s="2" t="s">
        <v>1985</v>
      </c>
      <c r="Q2659" s="2" t="s">
        <v>237</v>
      </c>
      <c r="R2659" s="2" t="s">
        <v>231</v>
      </c>
      <c r="S2659" s="2" t="s">
        <v>11395</v>
      </c>
      <c r="T2659" s="2" t="s">
        <v>231</v>
      </c>
      <c r="U2659" s="2" t="s">
        <v>700</v>
      </c>
      <c r="V2659" s="2" t="s">
        <v>1828</v>
      </c>
      <c r="W2659" s="2" t="s">
        <v>2541</v>
      </c>
      <c r="X2659" s="2" t="s">
        <v>11396</v>
      </c>
      <c r="Y2659" s="2" t="s">
        <v>274</v>
      </c>
      <c r="Z2659" s="4">
        <v>134</v>
      </c>
      <c r="AA2659" s="4">
        <f>=ROUNDDOWN(67,0)</f>
      </c>
      <c r="AB2659" s="5">
        <v>2</v>
      </c>
      <c r="AC2659" s="2" t="s">
        <v>2672</v>
      </c>
      <c r="AD2659" s="4">
        <v>60</v>
      </c>
      <c r="AE2659" s="4">
        <v>60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231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231</v>
      </c>
      <c r="AW2659" s="8" t="s">
        <v>231</v>
      </c>
      <c r="AX2659" s="4" t="s">
        <v>231</v>
      </c>
      <c r="AY2659" s="8" t="s">
        <v>231</v>
      </c>
      <c r="AZ2659" s="7" t="s">
        <v>231</v>
      </c>
      <c r="BA2659" s="7" t="s">
        <v>231</v>
      </c>
      <c r="BB2659" s="7"/>
      <c r="BC2659" s="4" t="s">
        <v>231</v>
      </c>
      <c r="BD2659" s="8" t="s">
        <v>231</v>
      </c>
      <c r="BE2659" s="4" t="s">
        <v>231</v>
      </c>
      <c r="BF2659" s="8" t="s">
        <v>231</v>
      </c>
      <c r="BG2659" s="7" t="s">
        <v>231</v>
      </c>
      <c r="BH2659" s="7" t="s">
        <v>231</v>
      </c>
      <c r="BI2659" s="7"/>
      <c r="BJ2659" s="4">
        <v>6</v>
      </c>
      <c r="BK2659" s="8">
        <v>289.01</v>
      </c>
      <c r="BL2659" s="2" t="s">
        <v>11397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11398</v>
      </c>
      <c r="BV2659" s="2" t="s">
        <v>231</v>
      </c>
      <c r="BW2659" s="2" t="s">
        <v>231</v>
      </c>
      <c r="BX2659" s="2" t="s">
        <v>231</v>
      </c>
      <c r="BY2659" s="2" t="s">
        <v>277</v>
      </c>
      <c r="BZ2659" s="2" t="s">
        <v>243</v>
      </c>
      <c r="CA2659" s="2" t="s">
        <v>284</v>
      </c>
      <c r="CB2659" s="2" t="s">
        <v>11399</v>
      </c>
      <c r="CC2659" s="2" t="s">
        <v>244</v>
      </c>
      <c r="CD2659" s="2" t="s">
        <v>231</v>
      </c>
      <c r="CE2659" s="4">
        <v>134</v>
      </c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  <c r="DP2659" s="4"/>
      <c r="DQ2659" s="4"/>
      <c r="DR2659" s="4"/>
      <c r="DS2659" s="4"/>
      <c r="DT2659" s="4"/>
      <c r="DU2659" s="4"/>
      <c r="DV2659" s="4"/>
      <c r="DW2659" s="4"/>
      <c r="DX2659" s="4"/>
      <c r="DY2659" s="4"/>
      <c r="DZ2659" s="4"/>
      <c r="EA2659" s="4"/>
      <c r="EB2659" s="4"/>
      <c r="EC2659" s="4"/>
      <c r="ED2659" s="4"/>
      <c r="EE2659" s="4"/>
      <c r="EF2659" s="4"/>
      <c r="EG2659" s="4"/>
      <c r="EH2659" s="4"/>
      <c r="EI2659" s="4"/>
      <c r="EJ2659" s="4"/>
      <c r="EK2659" s="4">
        <v>60</v>
      </c>
      <c r="EL2659" s="4"/>
      <c r="EM2659" s="4"/>
      <c r="EN2659" s="4"/>
      <c r="EO2659" s="4"/>
      <c r="EP2659" s="4"/>
      <c r="EQ2659" s="4"/>
      <c r="ER2659" s="4"/>
      <c r="ES2659" s="4"/>
      <c r="ET2659" s="4"/>
      <c r="EU2659" s="4"/>
      <c r="EV2659" s="4"/>
      <c r="EW2659" s="4"/>
      <c r="EX2659" s="4"/>
      <c r="EY2659" s="4"/>
      <c r="EZ2659" s="4"/>
      <c r="FA2659" s="4"/>
      <c r="FB2659" s="4"/>
      <c r="FC2659" s="4"/>
      <c r="FD2659" s="4"/>
      <c r="FE2659" s="4"/>
      <c r="FF2659" s="4"/>
      <c r="FG2659" s="4"/>
      <c r="FH2659" s="4"/>
      <c r="FI2659" s="4"/>
      <c r="FJ2659" s="4"/>
      <c r="FK2659" s="4"/>
      <c r="FL2659" s="4"/>
      <c r="FM2659" s="4"/>
      <c r="FN2659" s="4"/>
      <c r="FO2659" s="4"/>
      <c r="FP2659" s="4"/>
      <c r="FQ2659" s="4"/>
      <c r="FR2659" s="4"/>
      <c r="FS2659" s="4"/>
      <c r="FT2659" s="4"/>
      <c r="FU2659" s="4"/>
      <c r="FV2659" s="4"/>
      <c r="FW2659" s="4"/>
      <c r="FX2659" s="4"/>
      <c r="FY2659" s="4"/>
      <c r="FZ2659" s="4"/>
      <c r="GA2659" s="4"/>
      <c r="GB2659" s="4"/>
      <c r="GC2659" s="4"/>
      <c r="GD2659" s="4"/>
      <c r="GE2659" s="4"/>
      <c r="GF2659" s="4"/>
      <c r="GG2659" s="4"/>
      <c r="GH2659" s="4"/>
      <c r="GI2659" s="4"/>
      <c r="GJ2659" s="4"/>
      <c r="GK2659" s="4"/>
      <c r="GL2659" s="4"/>
      <c r="GM2659" s="4"/>
      <c r="GN2659" s="4"/>
      <c r="GO2659" s="4"/>
      <c r="GP2659" s="4"/>
      <c r="GQ2659" s="4"/>
      <c r="GR2659" s="4"/>
      <c r="GS2659" s="4"/>
      <c r="GT2659" s="4"/>
      <c r="GU2659" s="4"/>
      <c r="GV2659" s="4"/>
      <c r="GW2659" s="4"/>
      <c r="GX2659" s="4"/>
      <c r="GY2659" s="4"/>
      <c r="GZ2659" s="4"/>
      <c r="HA2659" s="4"/>
      <c r="HB2659" s="4"/>
      <c r="HC2659" s="4"/>
      <c r="HD2659" s="4"/>
      <c r="HE2659" s="4"/>
      <c r="HF2659" s="4"/>
      <c r="HG2659" s="4"/>
      <c r="HH2659" s="4"/>
      <c r="HI2659" s="4"/>
      <c r="HJ2659" s="4"/>
      <c r="HK2659" s="4"/>
      <c r="HL2659" s="4"/>
    </row>
    <row r="2660">
      <c r="A2660" s="2" t="s">
        <v>11400</v>
      </c>
      <c r="B2660" s="2" t="s">
        <v>1186</v>
      </c>
      <c r="C2660" s="2" t="s">
        <v>357</v>
      </c>
      <c r="D2660" s="2" t="s">
        <v>654</v>
      </c>
      <c r="E2660" s="2" t="s">
        <v>1187</v>
      </c>
      <c r="F2660" s="2" t="s">
        <v>11391</v>
      </c>
      <c r="G2660" s="2" t="s">
        <v>11392</v>
      </c>
      <c r="H2660" s="2" t="s">
        <v>11393</v>
      </c>
      <c r="I2660" s="2" t="s">
        <v>8378</v>
      </c>
      <c r="J2660" s="2" t="s">
        <v>304</v>
      </c>
      <c r="K2660" s="2" t="s">
        <v>452</v>
      </c>
      <c r="L2660" s="3">
        <v>64.21</v>
      </c>
      <c r="M2660" s="3">
        <v>67.42</v>
      </c>
      <c r="N2660" s="3">
        <v>119.99</v>
      </c>
      <c r="O2660" s="2" t="s">
        <v>243</v>
      </c>
      <c r="P2660" s="2" t="s">
        <v>341</v>
      </c>
      <c r="Q2660" s="2" t="s">
        <v>237</v>
      </c>
      <c r="R2660" s="2" t="s">
        <v>231</v>
      </c>
      <c r="S2660" s="2" t="s">
        <v>11395</v>
      </c>
      <c r="T2660" s="2" t="s">
        <v>231</v>
      </c>
      <c r="U2660" s="2" t="s">
        <v>1196</v>
      </c>
      <c r="V2660" s="2" t="s">
        <v>1828</v>
      </c>
      <c r="W2660" s="2" t="s">
        <v>2541</v>
      </c>
      <c r="X2660" s="2" t="s">
        <v>11396</v>
      </c>
      <c r="Y2660" s="2" t="s">
        <v>274</v>
      </c>
      <c r="Z2660" s="4">
        <v>606</v>
      </c>
      <c r="AA2660" s="4">
        <f>=ROUNDDOWN(121.2,0)</f>
      </c>
      <c r="AB2660" s="5">
        <v>5</v>
      </c>
      <c r="AC2660" s="2" t="s">
        <v>231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231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231</v>
      </c>
      <c r="AW2660" s="8" t="s">
        <v>231</v>
      </c>
      <c r="AX2660" s="4" t="s">
        <v>231</v>
      </c>
      <c r="AY2660" s="8" t="s">
        <v>231</v>
      </c>
      <c r="AZ2660" s="7" t="s">
        <v>231</v>
      </c>
      <c r="BA2660" s="7" t="s">
        <v>231</v>
      </c>
      <c r="BB2660" s="7"/>
      <c r="BC2660" s="4" t="s">
        <v>231</v>
      </c>
      <c r="BD2660" s="8" t="s">
        <v>231</v>
      </c>
      <c r="BE2660" s="4" t="s">
        <v>231</v>
      </c>
      <c r="BF2660" s="8" t="s">
        <v>231</v>
      </c>
      <c r="BG2660" s="7" t="s">
        <v>231</v>
      </c>
      <c r="BH2660" s="7" t="s">
        <v>231</v>
      </c>
      <c r="BI2660" s="7"/>
      <c r="BJ2660" s="4">
        <v>17</v>
      </c>
      <c r="BK2660" s="8">
        <v>934.14</v>
      </c>
      <c r="BL2660" s="2" t="s">
        <v>3632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11401</v>
      </c>
      <c r="BV2660" s="2" t="s">
        <v>231</v>
      </c>
      <c r="BW2660" s="2" t="s">
        <v>231</v>
      </c>
      <c r="BX2660" s="2" t="s">
        <v>231</v>
      </c>
      <c r="BY2660" s="2" t="s">
        <v>277</v>
      </c>
      <c r="BZ2660" s="2" t="s">
        <v>243</v>
      </c>
      <c r="CA2660" s="2" t="s">
        <v>284</v>
      </c>
      <c r="CB2660" s="2" t="s">
        <v>8849</v>
      </c>
      <c r="CC2660" s="2" t="s">
        <v>244</v>
      </c>
      <c r="CD2660" s="2" t="s">
        <v>231</v>
      </c>
      <c r="CE2660" s="4">
        <v>1</v>
      </c>
      <c r="CF2660" s="4">
        <v>427</v>
      </c>
      <c r="CG2660" s="4"/>
      <c r="CH2660" s="4"/>
      <c r="CI2660" s="4">
        <v>178</v>
      </c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  <c r="DP2660" s="4"/>
      <c r="DQ2660" s="4"/>
      <c r="DR2660" s="4"/>
      <c r="DS2660" s="4"/>
      <c r="DT2660" s="4"/>
      <c r="DU2660" s="4"/>
      <c r="DV2660" s="4"/>
      <c r="DW2660" s="4"/>
      <c r="DX2660" s="4"/>
      <c r="DY2660" s="4"/>
      <c r="DZ2660" s="4"/>
      <c r="EA2660" s="4"/>
      <c r="EB2660" s="4"/>
      <c r="EC2660" s="4"/>
      <c r="ED2660" s="4"/>
      <c r="EE2660" s="4"/>
      <c r="EF2660" s="4"/>
      <c r="EG2660" s="4"/>
      <c r="EH2660" s="4"/>
      <c r="EI2660" s="4"/>
      <c r="EJ2660" s="4"/>
      <c r="EK2660" s="4"/>
      <c r="EL2660" s="4"/>
      <c r="EM2660" s="4"/>
      <c r="EN2660" s="4"/>
      <c r="EO2660" s="4"/>
      <c r="EP2660" s="4"/>
      <c r="EQ2660" s="4"/>
      <c r="ER2660" s="4"/>
      <c r="ES2660" s="4"/>
      <c r="ET2660" s="4"/>
      <c r="EU2660" s="4"/>
      <c r="EV2660" s="4"/>
      <c r="EW2660" s="4"/>
      <c r="EX2660" s="4"/>
      <c r="EY2660" s="4"/>
      <c r="EZ2660" s="4"/>
      <c r="FA2660" s="4"/>
      <c r="FB2660" s="4"/>
      <c r="FC2660" s="4"/>
      <c r="FD2660" s="4"/>
      <c r="FE2660" s="4"/>
      <c r="FF2660" s="4"/>
      <c r="FG2660" s="4"/>
      <c r="FH2660" s="4"/>
      <c r="FI2660" s="4"/>
      <c r="FJ2660" s="4"/>
      <c r="FK2660" s="4"/>
      <c r="FL2660" s="4"/>
      <c r="FM2660" s="4"/>
      <c r="FN2660" s="4"/>
      <c r="FO2660" s="4"/>
      <c r="FP2660" s="4"/>
      <c r="FQ2660" s="4"/>
      <c r="FR2660" s="4"/>
      <c r="FS2660" s="4"/>
      <c r="FT2660" s="4"/>
      <c r="FU2660" s="4"/>
      <c r="FV2660" s="4"/>
      <c r="FW2660" s="4"/>
      <c r="FX2660" s="4"/>
      <c r="FY2660" s="4"/>
      <c r="FZ2660" s="4"/>
      <c r="GA2660" s="4"/>
      <c r="GB2660" s="4"/>
      <c r="GC2660" s="4"/>
      <c r="GD2660" s="4"/>
      <c r="GE2660" s="4"/>
      <c r="GF2660" s="4"/>
      <c r="GG2660" s="4"/>
      <c r="GH2660" s="4"/>
      <c r="GI2660" s="4"/>
      <c r="GJ2660" s="4"/>
      <c r="GK2660" s="4"/>
      <c r="GL2660" s="4"/>
      <c r="GM2660" s="4"/>
      <c r="GN2660" s="4"/>
      <c r="GO2660" s="4"/>
      <c r="GP2660" s="4"/>
      <c r="GQ2660" s="4"/>
      <c r="GR2660" s="4"/>
      <c r="GS2660" s="4"/>
      <c r="GT2660" s="4"/>
      <c r="GU2660" s="4"/>
      <c r="GV2660" s="4"/>
      <c r="GW2660" s="4"/>
      <c r="GX2660" s="4"/>
      <c r="GY2660" s="4"/>
      <c r="GZ2660" s="4"/>
      <c r="HA2660" s="4"/>
      <c r="HB2660" s="4"/>
      <c r="HC2660" s="4"/>
      <c r="HD2660" s="4"/>
      <c r="HE2660" s="4"/>
      <c r="HF2660" s="4"/>
      <c r="HG2660" s="4"/>
      <c r="HH2660" s="4"/>
      <c r="HI2660" s="4"/>
      <c r="HJ2660" s="4"/>
      <c r="HK2660" s="4"/>
      <c r="HL2660" s="4"/>
    </row>
    <row r="2661">
      <c r="A2661" s="2" t="s">
        <v>11402</v>
      </c>
      <c r="B2661" s="2" t="s">
        <v>940</v>
      </c>
      <c r="C2661" s="2" t="s">
        <v>913</v>
      </c>
      <c r="D2661" s="2" t="s">
        <v>3996</v>
      </c>
      <c r="E2661" s="2" t="s">
        <v>3997</v>
      </c>
      <c r="F2661" s="2" t="s">
        <v>11403</v>
      </c>
      <c r="G2661" s="2" t="s">
        <v>11403</v>
      </c>
      <c r="H2661" s="2" t="s">
        <v>11403</v>
      </c>
      <c r="I2661" s="2" t="s">
        <v>11404</v>
      </c>
      <c r="J2661" s="2" t="s">
        <v>3125</v>
      </c>
      <c r="K2661" s="2" t="s">
        <v>463</v>
      </c>
      <c r="L2661" s="3">
        <v>9.28</v>
      </c>
      <c r="M2661" s="3">
        <v>9.74</v>
      </c>
      <c r="N2661" s="3">
        <v>29.99</v>
      </c>
      <c r="O2661" s="2" t="s">
        <v>243</v>
      </c>
      <c r="P2661" s="2" t="s">
        <v>270</v>
      </c>
      <c r="Q2661" s="2" t="s">
        <v>237</v>
      </c>
      <c r="R2661" s="2" t="s">
        <v>231</v>
      </c>
      <c r="S2661" s="2" t="s">
        <v>231</v>
      </c>
      <c r="T2661" s="2" t="s">
        <v>231</v>
      </c>
      <c r="U2661" s="2" t="s">
        <v>327</v>
      </c>
      <c r="V2661" s="2" t="s">
        <v>987</v>
      </c>
      <c r="W2661" s="2" t="s">
        <v>299</v>
      </c>
      <c r="X2661" s="2" t="s">
        <v>231</v>
      </c>
      <c r="Y2661" s="2" t="s">
        <v>1617</v>
      </c>
      <c r="Z2661" s="4"/>
      <c r="AA2661" s="4">
        <f>=ROUNDDOWN({0},0)</f>
      </c>
      <c r="AB2661" s="5">
        <v>14</v>
      </c>
      <c r="AC2661" s="2" t="s">
        <v>406</v>
      </c>
      <c r="AD2661" s="4">
        <v>360</v>
      </c>
      <c r="AE2661" s="4">
        <v>792</v>
      </c>
      <c r="AF2661" s="6">
        <v>65</v>
      </c>
      <c r="AG2661" s="6"/>
      <c r="AH2661" s="7">
        <v>0.0323</v>
      </c>
      <c r="AI2661" s="4"/>
      <c r="AJ2661" s="4">
        <f>=ROUNDDOWN({0},0)</f>
      </c>
      <c r="AK2661" s="5"/>
      <c r="AL2661" s="2" t="s">
        <v>231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/>
      <c r="BD2661" s="8"/>
      <c r="BE2661" s="4"/>
      <c r="BF2661" s="8"/>
      <c r="BG2661" s="7"/>
      <c r="BH2661" s="7"/>
      <c r="BI2661" s="7"/>
      <c r="BJ2661" s="4">
        <v>6</v>
      </c>
      <c r="BK2661" s="8">
        <v>72.03</v>
      </c>
      <c r="BL2661" s="2" t="s">
        <v>1013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11405</v>
      </c>
      <c r="BV2661" s="2" t="s">
        <v>231</v>
      </c>
      <c r="BW2661" s="2" t="s">
        <v>231</v>
      </c>
      <c r="BX2661" s="2" t="s">
        <v>241</v>
      </c>
      <c r="BY2661" s="2" t="s">
        <v>277</v>
      </c>
      <c r="BZ2661" s="2" t="s">
        <v>243</v>
      </c>
      <c r="CA2661" s="2" t="s">
        <v>4002</v>
      </c>
      <c r="CB2661" s="2" t="s">
        <v>445</v>
      </c>
      <c r="CC2661" s="2" t="s">
        <v>244</v>
      </c>
      <c r="CD2661" s="2" t="s">
        <v>231</v>
      </c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  <c r="DP2661" s="4"/>
      <c r="DQ2661" s="4"/>
      <c r="DR2661" s="4"/>
      <c r="DS2661" s="4"/>
      <c r="DT2661" s="4"/>
      <c r="DU2661" s="4"/>
      <c r="DV2661" s="4"/>
      <c r="DW2661" s="4"/>
      <c r="DX2661" s="4"/>
      <c r="DY2661" s="4"/>
      <c r="DZ2661" s="4"/>
      <c r="EA2661" s="4"/>
      <c r="EB2661" s="4"/>
      <c r="EC2661" s="4"/>
      <c r="ED2661" s="4"/>
      <c r="EE2661" s="4"/>
      <c r="EF2661" s="4"/>
      <c r="EG2661" s="4"/>
      <c r="EH2661" s="4"/>
      <c r="EI2661" s="4"/>
      <c r="EJ2661" s="4"/>
      <c r="EK2661" s="4"/>
      <c r="EL2661" s="4"/>
      <c r="EM2661" s="4"/>
      <c r="EN2661" s="4"/>
      <c r="EO2661" s="4"/>
      <c r="EP2661" s="4"/>
      <c r="EQ2661" s="4"/>
      <c r="ER2661" s="4"/>
      <c r="ES2661" s="4">
        <v>360</v>
      </c>
      <c r="ET2661" s="4"/>
      <c r="EU2661" s="4"/>
      <c r="EV2661" s="4"/>
      <c r="EW2661" s="4"/>
      <c r="EX2661" s="4"/>
      <c r="EY2661" s="4"/>
      <c r="EZ2661" s="4"/>
      <c r="FA2661" s="4"/>
      <c r="FB2661" s="4"/>
      <c r="FC2661" s="4"/>
      <c r="FD2661" s="4"/>
      <c r="FE2661" s="4"/>
      <c r="FF2661" s="4"/>
      <c r="FG2661" s="4"/>
      <c r="FH2661" s="4"/>
      <c r="FI2661" s="4"/>
      <c r="FJ2661" s="4"/>
      <c r="FK2661" s="4"/>
      <c r="FL2661" s="4"/>
      <c r="FM2661" s="4"/>
      <c r="FN2661" s="4"/>
      <c r="FO2661" s="4"/>
      <c r="FP2661" s="4"/>
      <c r="FQ2661" s="4"/>
      <c r="FR2661" s="4"/>
      <c r="FS2661" s="4"/>
      <c r="FT2661" s="4"/>
      <c r="FU2661" s="4"/>
      <c r="FV2661" s="4"/>
      <c r="FW2661" s="4"/>
      <c r="FX2661" s="4"/>
      <c r="FY2661" s="4"/>
      <c r="FZ2661" s="4"/>
      <c r="GA2661" s="4"/>
      <c r="GB2661" s="4"/>
      <c r="GC2661" s="4"/>
      <c r="GD2661" s="4"/>
      <c r="GE2661" s="4"/>
      <c r="GF2661" s="4"/>
      <c r="GG2661" s="4"/>
      <c r="GH2661" s="4"/>
      <c r="GI2661" s="4"/>
      <c r="GJ2661" s="4"/>
      <c r="GK2661" s="4"/>
      <c r="GL2661" s="4"/>
      <c r="GM2661" s="4"/>
      <c r="GN2661" s="4"/>
      <c r="GO2661" s="4"/>
      <c r="GP2661" s="4"/>
      <c r="GQ2661" s="4"/>
      <c r="GR2661" s="4"/>
      <c r="GS2661" s="4"/>
      <c r="GT2661" s="4"/>
      <c r="GU2661" s="4"/>
      <c r="GV2661" s="4"/>
      <c r="GW2661" s="4"/>
      <c r="GX2661" s="4"/>
      <c r="GY2661" s="4"/>
      <c r="GZ2661" s="4"/>
      <c r="HA2661" s="4"/>
      <c r="HB2661" s="4">
        <v>432</v>
      </c>
      <c r="HC2661" s="4"/>
      <c r="HD2661" s="4"/>
      <c r="HE2661" s="4"/>
      <c r="HF2661" s="4"/>
      <c r="HG2661" s="4"/>
      <c r="HH2661" s="4"/>
      <c r="HI2661" s="4"/>
      <c r="HJ2661" s="4"/>
      <c r="HK2661" s="4"/>
      <c r="HL2661" s="4"/>
    </row>
    <row r="2662">
      <c r="A2662" s="2" t="s">
        <v>11406</v>
      </c>
      <c r="B2662" s="2" t="s">
        <v>1004</v>
      </c>
      <c r="C2662" s="2" t="s">
        <v>288</v>
      </c>
      <c r="D2662" s="2" t="s">
        <v>5034</v>
      </c>
      <c r="E2662" s="2" t="s">
        <v>5035</v>
      </c>
      <c r="F2662" s="2" t="s">
        <v>11407</v>
      </c>
      <c r="G2662" s="2" t="s">
        <v>11408</v>
      </c>
      <c r="H2662" s="2" t="s">
        <v>11409</v>
      </c>
      <c r="I2662" s="2" t="s">
        <v>5035</v>
      </c>
      <c r="J2662" s="2" t="s">
        <v>807</v>
      </c>
      <c r="K2662" s="2" t="s">
        <v>11410</v>
      </c>
      <c r="L2662" s="3">
        <v>225</v>
      </c>
      <c r="M2662" s="3">
        <v>236.25</v>
      </c>
      <c r="N2662" s="3">
        <v>469</v>
      </c>
      <c r="O2662" s="2" t="s">
        <v>235</v>
      </c>
      <c r="P2662" s="2" t="s">
        <v>341</v>
      </c>
      <c r="Q2662" s="2" t="s">
        <v>237</v>
      </c>
      <c r="R2662" s="2" t="s">
        <v>231</v>
      </c>
      <c r="S2662" s="2" t="s">
        <v>231</v>
      </c>
      <c r="T2662" s="2" t="s">
        <v>231</v>
      </c>
      <c r="U2662" s="2" t="s">
        <v>327</v>
      </c>
      <c r="V2662" s="2" t="s">
        <v>239</v>
      </c>
      <c r="W2662" s="2" t="s">
        <v>2500</v>
      </c>
      <c r="X2662" s="2" t="s">
        <v>231</v>
      </c>
      <c r="Y2662" s="2" t="s">
        <v>2938</v>
      </c>
      <c r="Z2662" s="4">
        <v>8</v>
      </c>
      <c r="AA2662" s="4">
        <f>=ROUNDDOWN(80,0)</f>
      </c>
      <c r="AB2662" s="5">
        <v>0.1</v>
      </c>
      <c r="AC2662" s="2" t="s">
        <v>231</v>
      </c>
      <c r="AD2662" s="4"/>
      <c r="AE2662" s="4"/>
      <c r="AF2662" s="6">
        <v>74</v>
      </c>
      <c r="AG2662" s="6"/>
      <c r="AH2662" s="7">
        <v>1</v>
      </c>
      <c r="AI2662" s="4"/>
      <c r="AJ2662" s="4">
        <f>=ROUNDDOWN({0},0)</f>
      </c>
      <c r="AK2662" s="5"/>
      <c r="AL2662" s="2" t="s">
        <v>231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/>
      <c r="BD2662" s="8"/>
      <c r="BE2662" s="4"/>
      <c r="BF2662" s="8"/>
      <c r="BG2662" s="7"/>
      <c r="BH2662" s="7"/>
      <c r="BI2662" s="7"/>
      <c r="BJ2662" s="4"/>
      <c r="BK2662" s="8"/>
      <c r="BL2662" s="2" t="s">
        <v>1306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11411</v>
      </c>
      <c r="BV2662" s="2" t="s">
        <v>231</v>
      </c>
      <c r="BW2662" s="2" t="s">
        <v>231</v>
      </c>
      <c r="BX2662" s="2" t="s">
        <v>231</v>
      </c>
      <c r="BY2662" s="2" t="s">
        <v>277</v>
      </c>
      <c r="BZ2662" s="2" t="s">
        <v>243</v>
      </c>
      <c r="CA2662" s="2" t="s">
        <v>6280</v>
      </c>
      <c r="CB2662" s="2" t="s">
        <v>6760</v>
      </c>
      <c r="CC2662" s="2" t="s">
        <v>244</v>
      </c>
      <c r="CD2662" s="2" t="s">
        <v>231</v>
      </c>
      <c r="CE2662" s="4"/>
      <c r="CF2662" s="4">
        <v>8</v>
      </c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  <c r="DP2662" s="4"/>
      <c r="DQ2662" s="4"/>
      <c r="DR2662" s="4"/>
      <c r="DS2662" s="4"/>
      <c r="DT2662" s="4"/>
      <c r="DU2662" s="4"/>
      <c r="DV2662" s="4"/>
      <c r="DW2662" s="4"/>
      <c r="DX2662" s="4"/>
      <c r="DY2662" s="4"/>
      <c r="DZ2662" s="4"/>
      <c r="EA2662" s="4"/>
      <c r="EB2662" s="4"/>
      <c r="EC2662" s="4"/>
      <c r="ED2662" s="4"/>
      <c r="EE2662" s="4"/>
      <c r="EF2662" s="4"/>
      <c r="EG2662" s="4"/>
      <c r="EH2662" s="4"/>
      <c r="EI2662" s="4"/>
      <c r="EJ2662" s="4"/>
      <c r="EK2662" s="4"/>
      <c r="EL2662" s="4"/>
      <c r="EM2662" s="4"/>
      <c r="EN2662" s="4"/>
      <c r="EO2662" s="4"/>
      <c r="EP2662" s="4"/>
      <c r="EQ2662" s="4"/>
      <c r="ER2662" s="4"/>
      <c r="ES2662" s="4"/>
      <c r="ET2662" s="4"/>
      <c r="EU2662" s="4"/>
      <c r="EV2662" s="4"/>
      <c r="EW2662" s="4"/>
      <c r="EX2662" s="4"/>
      <c r="EY2662" s="4"/>
      <c r="EZ2662" s="4"/>
      <c r="FA2662" s="4"/>
      <c r="FB2662" s="4"/>
      <c r="FC2662" s="4"/>
      <c r="FD2662" s="4"/>
      <c r="FE2662" s="4"/>
      <c r="FF2662" s="4"/>
      <c r="FG2662" s="4"/>
      <c r="FH2662" s="4"/>
      <c r="FI2662" s="4"/>
      <c r="FJ2662" s="4"/>
      <c r="FK2662" s="4"/>
      <c r="FL2662" s="4"/>
      <c r="FM2662" s="4"/>
      <c r="FN2662" s="4"/>
      <c r="FO2662" s="4"/>
      <c r="FP2662" s="4"/>
      <c r="FQ2662" s="4"/>
      <c r="FR2662" s="4"/>
      <c r="FS2662" s="4"/>
      <c r="FT2662" s="4"/>
      <c r="FU2662" s="4"/>
      <c r="FV2662" s="4"/>
      <c r="FW2662" s="4"/>
      <c r="FX2662" s="4"/>
      <c r="FY2662" s="4"/>
      <c r="FZ2662" s="4"/>
      <c r="GA2662" s="4"/>
      <c r="GB2662" s="4"/>
      <c r="GC2662" s="4"/>
      <c r="GD2662" s="4"/>
      <c r="GE2662" s="4"/>
      <c r="GF2662" s="4"/>
      <c r="GG2662" s="4"/>
      <c r="GH2662" s="4"/>
      <c r="GI2662" s="4"/>
      <c r="GJ2662" s="4"/>
      <c r="GK2662" s="4"/>
      <c r="GL2662" s="4"/>
      <c r="GM2662" s="4"/>
      <c r="GN2662" s="4"/>
      <c r="GO2662" s="4"/>
      <c r="GP2662" s="4"/>
      <c r="GQ2662" s="4"/>
      <c r="GR2662" s="4"/>
      <c r="GS2662" s="4"/>
      <c r="GT2662" s="4"/>
      <c r="GU2662" s="4"/>
      <c r="GV2662" s="4"/>
      <c r="GW2662" s="4"/>
      <c r="GX2662" s="4"/>
      <c r="GY2662" s="4"/>
      <c r="GZ2662" s="4"/>
      <c r="HA2662" s="4"/>
      <c r="HB2662" s="4"/>
      <c r="HC2662" s="4"/>
      <c r="HD2662" s="4"/>
      <c r="HE2662" s="4"/>
      <c r="HF2662" s="4"/>
      <c r="HG2662" s="4"/>
      <c r="HH2662" s="4"/>
      <c r="HI2662" s="4"/>
      <c r="HJ2662" s="4"/>
      <c r="HK2662" s="4"/>
      <c r="HL2662" s="4"/>
    </row>
    <row r="2663">
      <c r="A2663" s="2" t="s">
        <v>11412</v>
      </c>
      <c r="B2663" s="2" t="s">
        <v>1004</v>
      </c>
      <c r="C2663" s="2" t="s">
        <v>288</v>
      </c>
      <c r="D2663" s="2" t="s">
        <v>1912</v>
      </c>
      <c r="E2663" s="2" t="s">
        <v>1913</v>
      </c>
      <c r="F2663" s="2" t="s">
        <v>11413</v>
      </c>
      <c r="G2663" s="2" t="s">
        <v>8140</v>
      </c>
      <c r="H2663" s="2" t="s">
        <v>11414</v>
      </c>
      <c r="I2663" s="2" t="s">
        <v>11415</v>
      </c>
      <c r="J2663" s="2" t="s">
        <v>807</v>
      </c>
      <c r="K2663" s="2" t="s">
        <v>452</v>
      </c>
      <c r="L2663" s="3">
        <v>85.5</v>
      </c>
      <c r="M2663" s="3">
        <v>89.78</v>
      </c>
      <c r="N2663" s="3">
        <v>179</v>
      </c>
      <c r="O2663" s="2" t="s">
        <v>243</v>
      </c>
      <c r="P2663" s="2" t="s">
        <v>270</v>
      </c>
      <c r="Q2663" s="2" t="s">
        <v>237</v>
      </c>
      <c r="R2663" s="2" t="s">
        <v>231</v>
      </c>
      <c r="S2663" s="2" t="s">
        <v>11416</v>
      </c>
      <c r="T2663" s="2" t="s">
        <v>231</v>
      </c>
      <c r="U2663" s="2" t="s">
        <v>231</v>
      </c>
      <c r="V2663" s="2" t="s">
        <v>239</v>
      </c>
      <c r="W2663" s="2" t="s">
        <v>691</v>
      </c>
      <c r="X2663" s="2" t="s">
        <v>231</v>
      </c>
      <c r="Y2663" s="2" t="s">
        <v>274</v>
      </c>
      <c r="Z2663" s="4">
        <v>129</v>
      </c>
      <c r="AA2663" s="4">
        <f>=ROUNDDOWN(32.25,0)</f>
      </c>
      <c r="AB2663" s="5">
        <v>4</v>
      </c>
      <c r="AC2663" s="2" t="s">
        <v>2427</v>
      </c>
      <c r="AD2663" s="4">
        <v>62</v>
      </c>
      <c r="AE2663" s="4">
        <v>167</v>
      </c>
      <c r="AF2663" s="6">
        <v>76</v>
      </c>
      <c r="AG2663" s="6">
        <v>67</v>
      </c>
      <c r="AH2663" s="7">
        <v>1</v>
      </c>
      <c r="AI2663" s="4"/>
      <c r="AJ2663" s="4">
        <f>=ROUNDDOWN({0},0)</f>
      </c>
      <c r="AK2663" s="5"/>
      <c r="AL2663" s="2" t="s">
        <v>231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/>
      <c r="BD2663" s="8"/>
      <c r="BE2663" s="4"/>
      <c r="BF2663" s="8"/>
      <c r="BG2663" s="7"/>
      <c r="BH2663" s="7"/>
      <c r="BI2663" s="7"/>
      <c r="BJ2663" s="4">
        <v>18</v>
      </c>
      <c r="BK2663" s="8">
        <v>1516.74</v>
      </c>
      <c r="BL2663" s="2" t="s">
        <v>11417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11418</v>
      </c>
      <c r="BV2663" s="2" t="s">
        <v>231</v>
      </c>
      <c r="BW2663" s="2" t="s">
        <v>231</v>
      </c>
      <c r="BX2663" s="2" t="s">
        <v>241</v>
      </c>
      <c r="BY2663" s="2" t="s">
        <v>277</v>
      </c>
      <c r="BZ2663" s="2" t="s">
        <v>243</v>
      </c>
      <c r="CA2663" s="2" t="s">
        <v>284</v>
      </c>
      <c r="CB2663" s="2" t="s">
        <v>11419</v>
      </c>
      <c r="CC2663" s="2" t="s">
        <v>244</v>
      </c>
      <c r="CD2663" s="2" t="s">
        <v>231</v>
      </c>
      <c r="CE2663" s="4"/>
      <c r="CF2663" s="4">
        <v>129</v>
      </c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  <c r="DP2663" s="4"/>
      <c r="DQ2663" s="4"/>
      <c r="DR2663" s="4"/>
      <c r="DS2663" s="4"/>
      <c r="DT2663" s="4"/>
      <c r="DU2663" s="4"/>
      <c r="DV2663" s="4"/>
      <c r="DW2663" s="4"/>
      <c r="DX2663" s="4"/>
      <c r="DY2663" s="4"/>
      <c r="DZ2663" s="4"/>
      <c r="EA2663" s="4"/>
      <c r="EB2663" s="4"/>
      <c r="EC2663" s="4"/>
      <c r="ED2663" s="4"/>
      <c r="EE2663" s="4"/>
      <c r="EF2663" s="4"/>
      <c r="EG2663" s="4"/>
      <c r="EH2663" s="4"/>
      <c r="EI2663" s="4"/>
      <c r="EJ2663" s="4"/>
      <c r="EK2663" s="4"/>
      <c r="EL2663" s="4"/>
      <c r="EM2663" s="4"/>
      <c r="EN2663" s="4"/>
      <c r="EO2663" s="4"/>
      <c r="EP2663" s="4"/>
      <c r="EQ2663" s="4"/>
      <c r="ER2663" s="4"/>
      <c r="ES2663" s="4"/>
      <c r="ET2663" s="4"/>
      <c r="EU2663" s="4"/>
      <c r="EV2663" s="4"/>
      <c r="EW2663" s="4"/>
      <c r="EX2663" s="4">
        <v>62</v>
      </c>
      <c r="EY2663" s="4"/>
      <c r="EZ2663" s="4"/>
      <c r="FA2663" s="4"/>
      <c r="FB2663" s="4"/>
      <c r="FC2663" s="4"/>
      <c r="FD2663" s="4"/>
      <c r="FE2663" s="4"/>
      <c r="FF2663" s="4"/>
      <c r="FG2663" s="4"/>
      <c r="FH2663" s="4"/>
      <c r="FI2663" s="4"/>
      <c r="FJ2663" s="4">
        <v>105</v>
      </c>
      <c r="FK2663" s="4"/>
      <c r="FL2663" s="4"/>
      <c r="FM2663" s="4"/>
      <c r="FN2663" s="4"/>
      <c r="FO2663" s="4"/>
      <c r="FP2663" s="4"/>
      <c r="FQ2663" s="4"/>
      <c r="FR2663" s="4"/>
      <c r="FS2663" s="4"/>
      <c r="FT2663" s="4"/>
      <c r="FU2663" s="4"/>
      <c r="FV2663" s="4"/>
      <c r="FW2663" s="4"/>
      <c r="FX2663" s="4"/>
      <c r="FY2663" s="4"/>
      <c r="FZ2663" s="4"/>
      <c r="GA2663" s="4"/>
      <c r="GB2663" s="4"/>
      <c r="GC2663" s="4"/>
      <c r="GD2663" s="4"/>
      <c r="GE2663" s="4"/>
      <c r="GF2663" s="4"/>
      <c r="GG2663" s="4"/>
      <c r="GH2663" s="4"/>
      <c r="GI2663" s="4"/>
      <c r="GJ2663" s="4"/>
      <c r="GK2663" s="4"/>
      <c r="GL2663" s="4"/>
      <c r="GM2663" s="4"/>
      <c r="GN2663" s="4"/>
      <c r="GO2663" s="4"/>
      <c r="GP2663" s="4"/>
      <c r="GQ2663" s="4"/>
      <c r="GR2663" s="4"/>
      <c r="GS2663" s="4"/>
      <c r="GT2663" s="4"/>
      <c r="GU2663" s="4"/>
      <c r="GV2663" s="4"/>
      <c r="GW2663" s="4"/>
      <c r="GX2663" s="4"/>
      <c r="GY2663" s="4"/>
      <c r="GZ2663" s="4"/>
      <c r="HA2663" s="4"/>
      <c r="HB2663" s="4"/>
      <c r="HC2663" s="4"/>
      <c r="HD2663" s="4"/>
      <c r="HE2663" s="4"/>
      <c r="HF2663" s="4"/>
      <c r="HG2663" s="4"/>
      <c r="HH2663" s="4"/>
      <c r="HI2663" s="4"/>
      <c r="HJ2663" s="4"/>
      <c r="HK2663" s="4"/>
      <c r="HL2663" s="4"/>
    </row>
    <row r="2664">
      <c r="A2664" s="2" t="s">
        <v>11420</v>
      </c>
      <c r="B2664" s="2" t="s">
        <v>940</v>
      </c>
      <c r="C2664" s="2" t="s">
        <v>1105</v>
      </c>
      <c r="D2664" s="2" t="s">
        <v>1533</v>
      </c>
      <c r="E2664" s="2" t="s">
        <v>1534</v>
      </c>
      <c r="F2664" s="2" t="s">
        <v>11421</v>
      </c>
      <c r="G2664" s="2" t="s">
        <v>11422</v>
      </c>
      <c r="H2664" s="2" t="s">
        <v>11423</v>
      </c>
      <c r="I2664" s="2" t="s">
        <v>11424</v>
      </c>
      <c r="J2664" s="2" t="s">
        <v>1536</v>
      </c>
      <c r="K2664" s="2" t="s">
        <v>269</v>
      </c>
      <c r="L2664" s="3">
        <v>11.17</v>
      </c>
      <c r="M2664" s="3">
        <v>11.73</v>
      </c>
      <c r="N2664" s="3">
        <v>24.99</v>
      </c>
      <c r="O2664" s="2" t="s">
        <v>243</v>
      </c>
      <c r="P2664" s="2" t="s">
        <v>270</v>
      </c>
      <c r="Q2664" s="2" t="s">
        <v>237</v>
      </c>
      <c r="R2664" s="2" t="s">
        <v>231</v>
      </c>
      <c r="S2664" s="2" t="s">
        <v>11425</v>
      </c>
      <c r="T2664" s="2" t="s">
        <v>472</v>
      </c>
      <c r="U2664" s="2" t="s">
        <v>327</v>
      </c>
      <c r="V2664" s="2" t="s">
        <v>1433</v>
      </c>
      <c r="W2664" s="2" t="s">
        <v>676</v>
      </c>
      <c r="X2664" s="2" t="s">
        <v>231</v>
      </c>
      <c r="Y2664" s="2" t="s">
        <v>2233</v>
      </c>
      <c r="Z2664" s="4">
        <v>559</v>
      </c>
      <c r="AA2664" s="4">
        <f>=ROUNDDOWN(27.95,0)</f>
      </c>
      <c r="AB2664" s="5">
        <v>20</v>
      </c>
      <c r="AC2664" s="2" t="s">
        <v>2049</v>
      </c>
      <c r="AD2664" s="4">
        <v>228</v>
      </c>
      <c r="AE2664" s="4">
        <v>228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231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/>
      <c r="BD2664" s="8"/>
      <c r="BE2664" s="4"/>
      <c r="BF2664" s="8"/>
      <c r="BG2664" s="7"/>
      <c r="BH2664" s="7"/>
      <c r="BI2664" s="7"/>
      <c r="BJ2664" s="4">
        <v>71</v>
      </c>
      <c r="BK2664" s="8">
        <v>839.97</v>
      </c>
      <c r="BL2664" s="2" t="s">
        <v>1538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11426</v>
      </c>
      <c r="BV2664" s="2" t="s">
        <v>231</v>
      </c>
      <c r="BW2664" s="2" t="s">
        <v>231</v>
      </c>
      <c r="BX2664" s="2" t="s">
        <v>231</v>
      </c>
      <c r="BY2664" s="2" t="s">
        <v>277</v>
      </c>
      <c r="BZ2664" s="2" t="s">
        <v>243</v>
      </c>
      <c r="CA2664" s="2" t="s">
        <v>6483</v>
      </c>
      <c r="CB2664" s="2" t="s">
        <v>5031</v>
      </c>
      <c r="CC2664" s="2" t="s">
        <v>244</v>
      </c>
      <c r="CD2664" s="2" t="s">
        <v>231</v>
      </c>
      <c r="CE2664" s="4">
        <v>559</v>
      </c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  <c r="DP2664" s="4"/>
      <c r="DQ2664" s="4"/>
      <c r="DR2664" s="4"/>
      <c r="DS2664" s="4"/>
      <c r="DT2664" s="4"/>
      <c r="DU2664" s="4"/>
      <c r="DV2664" s="4"/>
      <c r="DW2664" s="4"/>
      <c r="DX2664" s="4"/>
      <c r="DY2664" s="4"/>
      <c r="DZ2664" s="4"/>
      <c r="EA2664" s="4"/>
      <c r="EB2664" s="4"/>
      <c r="EC2664" s="4"/>
      <c r="ED2664" s="4"/>
      <c r="EE2664" s="4"/>
      <c r="EF2664" s="4"/>
      <c r="EG2664" s="4"/>
      <c r="EH2664" s="4"/>
      <c r="EI2664" s="4"/>
      <c r="EJ2664" s="4"/>
      <c r="EK2664" s="4"/>
      <c r="EL2664" s="4"/>
      <c r="EM2664" s="4"/>
      <c r="EN2664" s="4"/>
      <c r="EO2664" s="4"/>
      <c r="EP2664" s="4"/>
      <c r="EQ2664" s="4"/>
      <c r="ER2664" s="4"/>
      <c r="ES2664" s="4"/>
      <c r="ET2664" s="4"/>
      <c r="EU2664" s="4"/>
      <c r="EV2664" s="4"/>
      <c r="EW2664" s="4"/>
      <c r="EX2664" s="4"/>
      <c r="EY2664" s="4"/>
      <c r="EZ2664" s="4"/>
      <c r="FA2664" s="4"/>
      <c r="FB2664" s="4"/>
      <c r="FC2664" s="4"/>
      <c r="FD2664" s="4"/>
      <c r="FE2664" s="4"/>
      <c r="FF2664" s="4"/>
      <c r="FG2664" s="4"/>
      <c r="FH2664" s="4"/>
      <c r="FI2664" s="4"/>
      <c r="FJ2664" s="4"/>
      <c r="FK2664" s="4"/>
      <c r="FL2664" s="4"/>
      <c r="FM2664" s="4"/>
      <c r="FN2664" s="4"/>
      <c r="FO2664" s="4"/>
      <c r="FP2664" s="4"/>
      <c r="FQ2664" s="4"/>
      <c r="FR2664" s="4"/>
      <c r="FS2664" s="4"/>
      <c r="FT2664" s="4"/>
      <c r="FU2664" s="4"/>
      <c r="FV2664" s="4"/>
      <c r="FW2664" s="4"/>
      <c r="FX2664" s="4"/>
      <c r="FY2664" s="4"/>
      <c r="FZ2664" s="4"/>
      <c r="GA2664" s="4"/>
      <c r="GB2664" s="4"/>
      <c r="GC2664" s="4"/>
      <c r="GD2664" s="4"/>
      <c r="GE2664" s="4">
        <v>228</v>
      </c>
      <c r="GF2664" s="4"/>
      <c r="GG2664" s="4"/>
      <c r="GH2664" s="4"/>
      <c r="GI2664" s="4"/>
      <c r="GJ2664" s="4"/>
      <c r="GK2664" s="4"/>
      <c r="GL2664" s="4"/>
      <c r="GM2664" s="4"/>
      <c r="GN2664" s="4"/>
      <c r="GO2664" s="4"/>
      <c r="GP2664" s="4"/>
      <c r="GQ2664" s="4"/>
      <c r="GR2664" s="4"/>
      <c r="GS2664" s="4"/>
      <c r="GT2664" s="4"/>
      <c r="GU2664" s="4"/>
      <c r="GV2664" s="4"/>
      <c r="GW2664" s="4"/>
      <c r="GX2664" s="4"/>
      <c r="GY2664" s="4"/>
      <c r="GZ2664" s="4"/>
      <c r="HA2664" s="4"/>
      <c r="HB2664" s="4"/>
      <c r="HC2664" s="4"/>
      <c r="HD2664" s="4"/>
      <c r="HE2664" s="4"/>
      <c r="HF2664" s="4"/>
      <c r="HG2664" s="4"/>
      <c r="HH2664" s="4"/>
      <c r="HI2664" s="4"/>
      <c r="HJ2664" s="4"/>
      <c r="HK2664" s="4"/>
      <c r="HL2664" s="4"/>
    </row>
    <row r="2665">
      <c r="A2665" s="2" t="s">
        <v>11427</v>
      </c>
      <c r="B2665" s="2" t="s">
        <v>824</v>
      </c>
      <c r="C2665" s="2" t="s">
        <v>825</v>
      </c>
      <c r="D2665" s="2" t="s">
        <v>654</v>
      </c>
      <c r="E2665" s="2" t="s">
        <v>890</v>
      </c>
      <c r="F2665" s="2" t="s">
        <v>11428</v>
      </c>
      <c r="G2665" s="2" t="s">
        <v>11429</v>
      </c>
      <c r="H2665" s="2" t="s">
        <v>7530</v>
      </c>
      <c r="I2665" s="2" t="s">
        <v>11430</v>
      </c>
      <c r="J2665" s="2" t="s">
        <v>832</v>
      </c>
      <c r="K2665" s="2" t="s">
        <v>2125</v>
      </c>
      <c r="L2665" s="3">
        <v>23.8</v>
      </c>
      <c r="M2665" s="3">
        <v>24.99</v>
      </c>
      <c r="N2665" s="3">
        <v>49.99</v>
      </c>
      <c r="O2665" s="2" t="s">
        <v>243</v>
      </c>
      <c r="P2665" s="2" t="s">
        <v>236</v>
      </c>
      <c r="Q2665" s="2" t="s">
        <v>237</v>
      </c>
      <c r="R2665" s="2" t="s">
        <v>231</v>
      </c>
      <c r="S2665" s="2" t="s">
        <v>11431</v>
      </c>
      <c r="T2665" s="2" t="s">
        <v>1432</v>
      </c>
      <c r="U2665" s="2" t="s">
        <v>791</v>
      </c>
      <c r="V2665" s="2" t="s">
        <v>1485</v>
      </c>
      <c r="W2665" s="2" t="s">
        <v>273</v>
      </c>
      <c r="X2665" s="2" t="s">
        <v>792</v>
      </c>
      <c r="Y2665" s="2" t="s">
        <v>231</v>
      </c>
      <c r="Z2665" s="4"/>
      <c r="AA2665" s="4">
        <f>=ROUNDDOWN({0},0)</f>
      </c>
      <c r="AB2665" s="5"/>
      <c r="AC2665" s="2" t="s">
        <v>392</v>
      </c>
      <c r="AD2665" s="4">
        <v>75</v>
      </c>
      <c r="AE2665" s="4">
        <v>150</v>
      </c>
      <c r="AF2665" s="6">
        <v>64</v>
      </c>
      <c r="AG2665" s="6"/>
      <c r="AH2665" s="7">
        <v>0</v>
      </c>
      <c r="AI2665" s="4"/>
      <c r="AJ2665" s="4">
        <f>=ROUNDDOWN({0},0)</f>
      </c>
      <c r="AK2665" s="5"/>
      <c r="AL2665" s="2" t="s">
        <v>231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 t="s">
        <v>231</v>
      </c>
      <c r="AW2665" s="8" t="s">
        <v>231</v>
      </c>
      <c r="AX2665" s="4" t="s">
        <v>231</v>
      </c>
      <c r="AY2665" s="8" t="s">
        <v>231</v>
      </c>
      <c r="AZ2665" s="7" t="s">
        <v>231</v>
      </c>
      <c r="BA2665" s="7" t="s">
        <v>231</v>
      </c>
      <c r="BB2665" s="7" t="s">
        <v>231</v>
      </c>
      <c r="BC2665" s="4" t="s">
        <v>231</v>
      </c>
      <c r="BD2665" s="8" t="s">
        <v>231</v>
      </c>
      <c r="BE2665" s="4" t="s">
        <v>231</v>
      </c>
      <c r="BF2665" s="8" t="s">
        <v>231</v>
      </c>
      <c r="BG2665" s="7" t="s">
        <v>231</v>
      </c>
      <c r="BH2665" s="7" t="s">
        <v>231</v>
      </c>
      <c r="BI2665" s="7"/>
      <c r="BJ2665" s="4"/>
      <c r="BK2665" s="8"/>
      <c r="BL2665" s="2" t="s">
        <v>231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241</v>
      </c>
      <c r="BV2665" s="2" t="s">
        <v>231</v>
      </c>
      <c r="BW2665" s="2" t="s">
        <v>231</v>
      </c>
      <c r="BX2665" s="2" t="s">
        <v>241</v>
      </c>
      <c r="BY2665" s="2" t="s">
        <v>242</v>
      </c>
      <c r="BZ2665" s="2" t="s">
        <v>243</v>
      </c>
      <c r="CA2665" s="2" t="s">
        <v>231</v>
      </c>
      <c r="CB2665" s="2" t="s">
        <v>231</v>
      </c>
      <c r="CC2665" s="2" t="s">
        <v>244</v>
      </c>
      <c r="CD2665" s="2" t="s">
        <v>231</v>
      </c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  <c r="DP2665" s="4"/>
      <c r="DQ2665" s="4"/>
      <c r="DR2665" s="4"/>
      <c r="DS2665" s="4"/>
      <c r="DT2665" s="4"/>
      <c r="DU2665" s="4"/>
      <c r="DV2665" s="4"/>
      <c r="DW2665" s="4"/>
      <c r="DX2665" s="4"/>
      <c r="DY2665" s="4"/>
      <c r="DZ2665" s="4"/>
      <c r="EA2665" s="4"/>
      <c r="EB2665" s="4"/>
      <c r="EC2665" s="4"/>
      <c r="ED2665" s="4"/>
      <c r="EE2665" s="4"/>
      <c r="EF2665" s="4"/>
      <c r="EG2665" s="4"/>
      <c r="EH2665" s="4"/>
      <c r="EI2665" s="4"/>
      <c r="EJ2665" s="4"/>
      <c r="EK2665" s="4"/>
      <c r="EL2665" s="4"/>
      <c r="EM2665" s="4"/>
      <c r="EN2665" s="4"/>
      <c r="EO2665" s="4"/>
      <c r="EP2665" s="4"/>
      <c r="EQ2665" s="4"/>
      <c r="ER2665" s="4">
        <v>75</v>
      </c>
      <c r="ES2665" s="4"/>
      <c r="ET2665" s="4"/>
      <c r="EU2665" s="4"/>
      <c r="EV2665" s="4"/>
      <c r="EW2665" s="4"/>
      <c r="EX2665" s="4"/>
      <c r="EY2665" s="4"/>
      <c r="EZ2665" s="4"/>
      <c r="FA2665" s="4"/>
      <c r="FB2665" s="4"/>
      <c r="FC2665" s="4"/>
      <c r="FD2665" s="4"/>
      <c r="FE2665" s="4"/>
      <c r="FF2665" s="4"/>
      <c r="FG2665" s="4"/>
      <c r="FH2665" s="4"/>
      <c r="FI2665" s="4">
        <v>75</v>
      </c>
      <c r="FJ2665" s="4"/>
      <c r="FK2665" s="4"/>
      <c r="FL2665" s="4"/>
      <c r="FM2665" s="4"/>
      <c r="FN2665" s="4"/>
      <c r="FO2665" s="4"/>
      <c r="FP2665" s="4"/>
      <c r="FQ2665" s="4"/>
      <c r="FR2665" s="4"/>
      <c r="FS2665" s="4"/>
      <c r="FT2665" s="4"/>
      <c r="FU2665" s="4"/>
      <c r="FV2665" s="4"/>
      <c r="FW2665" s="4"/>
      <c r="FX2665" s="4"/>
      <c r="FY2665" s="4"/>
      <c r="FZ2665" s="4"/>
      <c r="GA2665" s="4"/>
      <c r="GB2665" s="4"/>
      <c r="GC2665" s="4"/>
      <c r="GD2665" s="4"/>
      <c r="GE2665" s="4"/>
      <c r="GF2665" s="4"/>
      <c r="GG2665" s="4"/>
      <c r="GH2665" s="4"/>
      <c r="GI2665" s="4"/>
      <c r="GJ2665" s="4"/>
      <c r="GK2665" s="4"/>
      <c r="GL2665" s="4"/>
      <c r="GM2665" s="4"/>
      <c r="GN2665" s="4"/>
      <c r="GO2665" s="4"/>
      <c r="GP2665" s="4"/>
      <c r="GQ2665" s="4"/>
      <c r="GR2665" s="4"/>
      <c r="GS2665" s="4"/>
      <c r="GT2665" s="4"/>
      <c r="GU2665" s="4"/>
      <c r="GV2665" s="4"/>
      <c r="GW2665" s="4"/>
      <c r="GX2665" s="4"/>
      <c r="GY2665" s="4"/>
      <c r="GZ2665" s="4"/>
      <c r="HA2665" s="4"/>
      <c r="HB2665" s="4"/>
      <c r="HC2665" s="4"/>
      <c r="HD2665" s="4"/>
      <c r="HE2665" s="4"/>
      <c r="HF2665" s="4"/>
      <c r="HG2665" s="4"/>
      <c r="HH2665" s="4"/>
      <c r="HI2665" s="4"/>
      <c r="HJ2665" s="4"/>
      <c r="HK2665" s="4"/>
      <c r="HL2665" s="4"/>
    </row>
    <row r="2666">
      <c r="A2666" s="2" t="s">
        <v>11432</v>
      </c>
      <c r="B2666" s="2" t="s">
        <v>824</v>
      </c>
      <c r="C2666" s="2" t="s">
        <v>825</v>
      </c>
      <c r="D2666" s="2" t="s">
        <v>826</v>
      </c>
      <c r="E2666" s="2" t="s">
        <v>1060</v>
      </c>
      <c r="F2666" s="2" t="s">
        <v>11428</v>
      </c>
      <c r="G2666" s="2" t="s">
        <v>11429</v>
      </c>
      <c r="H2666" s="2" t="s">
        <v>7530</v>
      </c>
      <c r="I2666" s="2" t="s">
        <v>11433</v>
      </c>
      <c r="J2666" s="2" t="s">
        <v>832</v>
      </c>
      <c r="K2666" s="2" t="s">
        <v>2125</v>
      </c>
      <c r="L2666" s="3">
        <v>19.04</v>
      </c>
      <c r="M2666" s="3">
        <v>19.99</v>
      </c>
      <c r="N2666" s="3">
        <v>39.99</v>
      </c>
      <c r="O2666" s="2" t="s">
        <v>243</v>
      </c>
      <c r="P2666" s="2" t="s">
        <v>236</v>
      </c>
      <c r="Q2666" s="2" t="s">
        <v>237</v>
      </c>
      <c r="R2666" s="2" t="s">
        <v>231</v>
      </c>
      <c r="S2666" s="2" t="s">
        <v>11431</v>
      </c>
      <c r="T2666" s="2" t="s">
        <v>1432</v>
      </c>
      <c r="U2666" s="2" t="s">
        <v>791</v>
      </c>
      <c r="V2666" s="2" t="s">
        <v>1485</v>
      </c>
      <c r="W2666" s="2" t="s">
        <v>273</v>
      </c>
      <c r="X2666" s="2" t="s">
        <v>792</v>
      </c>
      <c r="Y2666" s="2" t="s">
        <v>231</v>
      </c>
      <c r="Z2666" s="4"/>
      <c r="AA2666" s="4">
        <f>=ROUNDDOWN({0},0)</f>
      </c>
      <c r="AB2666" s="5"/>
      <c r="AC2666" s="2" t="s">
        <v>392</v>
      </c>
      <c r="AD2666" s="4">
        <v>35</v>
      </c>
      <c r="AE2666" s="4">
        <v>70</v>
      </c>
      <c r="AF2666" s="6">
        <v>64</v>
      </c>
      <c r="AG2666" s="6"/>
      <c r="AH2666" s="7">
        <v>0</v>
      </c>
      <c r="AI2666" s="4"/>
      <c r="AJ2666" s="4">
        <f>=ROUNDDOWN({0},0)</f>
      </c>
      <c r="AK2666" s="5"/>
      <c r="AL2666" s="2" t="s">
        <v>231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231</v>
      </c>
      <c r="AW2666" s="8" t="s">
        <v>231</v>
      </c>
      <c r="AX2666" s="4" t="s">
        <v>231</v>
      </c>
      <c r="AY2666" s="8" t="s">
        <v>231</v>
      </c>
      <c r="AZ2666" s="7" t="s">
        <v>231</v>
      </c>
      <c r="BA2666" s="7" t="s">
        <v>231</v>
      </c>
      <c r="BB2666" s="7" t="s">
        <v>231</v>
      </c>
      <c r="BC2666" s="4" t="s">
        <v>231</v>
      </c>
      <c r="BD2666" s="8" t="s">
        <v>231</v>
      </c>
      <c r="BE2666" s="4" t="s">
        <v>231</v>
      </c>
      <c r="BF2666" s="8" t="s">
        <v>231</v>
      </c>
      <c r="BG2666" s="7" t="s">
        <v>231</v>
      </c>
      <c r="BH2666" s="7" t="s">
        <v>231</v>
      </c>
      <c r="BI2666" s="7"/>
      <c r="BJ2666" s="4"/>
      <c r="BK2666" s="8"/>
      <c r="BL2666" s="2" t="s">
        <v>231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241</v>
      </c>
      <c r="BV2666" s="2" t="s">
        <v>231</v>
      </c>
      <c r="BW2666" s="2" t="s">
        <v>231</v>
      </c>
      <c r="BX2666" s="2" t="s">
        <v>241</v>
      </c>
      <c r="BY2666" s="2" t="s">
        <v>242</v>
      </c>
      <c r="BZ2666" s="2" t="s">
        <v>243</v>
      </c>
      <c r="CA2666" s="2" t="s">
        <v>231</v>
      </c>
      <c r="CB2666" s="2" t="s">
        <v>231</v>
      </c>
      <c r="CC2666" s="2" t="s">
        <v>244</v>
      </c>
      <c r="CD2666" s="2" t="s">
        <v>231</v>
      </c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  <c r="DP2666" s="4"/>
      <c r="DQ2666" s="4"/>
      <c r="DR2666" s="4"/>
      <c r="DS2666" s="4"/>
      <c r="DT2666" s="4"/>
      <c r="DU2666" s="4"/>
      <c r="DV2666" s="4"/>
      <c r="DW2666" s="4"/>
      <c r="DX2666" s="4"/>
      <c r="DY2666" s="4"/>
      <c r="DZ2666" s="4"/>
      <c r="EA2666" s="4"/>
      <c r="EB2666" s="4"/>
      <c r="EC2666" s="4"/>
      <c r="ED2666" s="4"/>
      <c r="EE2666" s="4"/>
      <c r="EF2666" s="4"/>
      <c r="EG2666" s="4"/>
      <c r="EH2666" s="4"/>
      <c r="EI2666" s="4"/>
      <c r="EJ2666" s="4"/>
      <c r="EK2666" s="4"/>
      <c r="EL2666" s="4"/>
      <c r="EM2666" s="4"/>
      <c r="EN2666" s="4"/>
      <c r="EO2666" s="4"/>
      <c r="EP2666" s="4"/>
      <c r="EQ2666" s="4"/>
      <c r="ER2666" s="4">
        <v>35</v>
      </c>
      <c r="ES2666" s="4"/>
      <c r="ET2666" s="4"/>
      <c r="EU2666" s="4"/>
      <c r="EV2666" s="4"/>
      <c r="EW2666" s="4"/>
      <c r="EX2666" s="4"/>
      <c r="EY2666" s="4"/>
      <c r="EZ2666" s="4"/>
      <c r="FA2666" s="4"/>
      <c r="FB2666" s="4"/>
      <c r="FC2666" s="4"/>
      <c r="FD2666" s="4"/>
      <c r="FE2666" s="4"/>
      <c r="FF2666" s="4"/>
      <c r="FG2666" s="4"/>
      <c r="FH2666" s="4"/>
      <c r="FI2666" s="4">
        <v>35</v>
      </c>
      <c r="FJ2666" s="4"/>
      <c r="FK2666" s="4"/>
      <c r="FL2666" s="4"/>
      <c r="FM2666" s="4"/>
      <c r="FN2666" s="4"/>
      <c r="FO2666" s="4"/>
      <c r="FP2666" s="4"/>
      <c r="FQ2666" s="4"/>
      <c r="FR2666" s="4"/>
      <c r="FS2666" s="4"/>
      <c r="FT2666" s="4"/>
      <c r="FU2666" s="4"/>
      <c r="FV2666" s="4"/>
      <c r="FW2666" s="4"/>
      <c r="FX2666" s="4"/>
      <c r="FY2666" s="4"/>
      <c r="FZ2666" s="4"/>
      <c r="GA2666" s="4"/>
      <c r="GB2666" s="4"/>
      <c r="GC2666" s="4"/>
      <c r="GD2666" s="4"/>
      <c r="GE2666" s="4"/>
      <c r="GF2666" s="4"/>
      <c r="GG2666" s="4"/>
      <c r="GH2666" s="4"/>
      <c r="GI2666" s="4"/>
      <c r="GJ2666" s="4"/>
      <c r="GK2666" s="4"/>
      <c r="GL2666" s="4"/>
      <c r="GM2666" s="4"/>
      <c r="GN2666" s="4"/>
      <c r="GO2666" s="4"/>
      <c r="GP2666" s="4"/>
      <c r="GQ2666" s="4"/>
      <c r="GR2666" s="4"/>
      <c r="GS2666" s="4"/>
      <c r="GT2666" s="4"/>
      <c r="GU2666" s="4"/>
      <c r="GV2666" s="4"/>
      <c r="GW2666" s="4"/>
      <c r="GX2666" s="4"/>
      <c r="GY2666" s="4"/>
      <c r="GZ2666" s="4"/>
      <c r="HA2666" s="4"/>
      <c r="HB2666" s="4"/>
      <c r="HC2666" s="4"/>
      <c r="HD2666" s="4"/>
      <c r="HE2666" s="4"/>
      <c r="HF2666" s="4"/>
      <c r="HG2666" s="4"/>
      <c r="HH2666" s="4"/>
      <c r="HI2666" s="4"/>
      <c r="HJ2666" s="4"/>
      <c r="HK2666" s="4"/>
      <c r="HL2666" s="4"/>
    </row>
    <row r="2667">
      <c r="A2667" s="2" t="s">
        <v>11434</v>
      </c>
      <c r="B2667" s="2" t="s">
        <v>824</v>
      </c>
      <c r="C2667" s="2" t="s">
        <v>825</v>
      </c>
      <c r="D2667" s="2" t="s">
        <v>654</v>
      </c>
      <c r="E2667" s="2" t="s">
        <v>890</v>
      </c>
      <c r="F2667" s="2" t="s">
        <v>11428</v>
      </c>
      <c r="G2667" s="2" t="s">
        <v>11429</v>
      </c>
      <c r="H2667" s="2" t="s">
        <v>7530</v>
      </c>
      <c r="I2667" s="2" t="s">
        <v>11430</v>
      </c>
      <c r="J2667" s="2" t="s">
        <v>658</v>
      </c>
      <c r="K2667" s="2" t="s">
        <v>2125</v>
      </c>
      <c r="L2667" s="3">
        <v>28.57</v>
      </c>
      <c r="M2667" s="3">
        <v>30</v>
      </c>
      <c r="N2667" s="3">
        <v>59.99</v>
      </c>
      <c r="O2667" s="2" t="s">
        <v>243</v>
      </c>
      <c r="P2667" s="2" t="s">
        <v>236</v>
      </c>
      <c r="Q2667" s="2" t="s">
        <v>237</v>
      </c>
      <c r="R2667" s="2" t="s">
        <v>231</v>
      </c>
      <c r="S2667" s="2" t="s">
        <v>11431</v>
      </c>
      <c r="T2667" s="2" t="s">
        <v>1432</v>
      </c>
      <c r="U2667" s="2" t="s">
        <v>835</v>
      </c>
      <c r="V2667" s="2" t="s">
        <v>1485</v>
      </c>
      <c r="W2667" s="2" t="s">
        <v>273</v>
      </c>
      <c r="X2667" s="2" t="s">
        <v>792</v>
      </c>
      <c r="Y2667" s="2" t="s">
        <v>1041</v>
      </c>
      <c r="Z2667" s="4">
        <v>3</v>
      </c>
      <c r="AA2667" s="4">
        <f>=ROUNDDOWN({0},0)</f>
      </c>
      <c r="AB2667" s="5"/>
      <c r="AC2667" s="2" t="s">
        <v>392</v>
      </c>
      <c r="AD2667" s="4">
        <v>135</v>
      </c>
      <c r="AE2667" s="4">
        <v>270</v>
      </c>
      <c r="AF2667" s="6">
        <v>64</v>
      </c>
      <c r="AG2667" s="6"/>
      <c r="AH2667" s="7">
        <v>0</v>
      </c>
      <c r="AI2667" s="4"/>
      <c r="AJ2667" s="4">
        <f>=ROUNDDOWN({0},0)</f>
      </c>
      <c r="AK2667" s="5"/>
      <c r="AL2667" s="2" t="s">
        <v>231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231</v>
      </c>
      <c r="AW2667" s="8" t="s">
        <v>231</v>
      </c>
      <c r="AX2667" s="4" t="s">
        <v>231</v>
      </c>
      <c r="AY2667" s="8" t="s">
        <v>231</v>
      </c>
      <c r="AZ2667" s="7" t="s">
        <v>231</v>
      </c>
      <c r="BA2667" s="7" t="s">
        <v>231</v>
      </c>
      <c r="BB2667" s="7" t="s">
        <v>231</v>
      </c>
      <c r="BC2667" s="4" t="s">
        <v>231</v>
      </c>
      <c r="BD2667" s="8" t="s">
        <v>231</v>
      </c>
      <c r="BE2667" s="4" t="s">
        <v>231</v>
      </c>
      <c r="BF2667" s="8" t="s">
        <v>231</v>
      </c>
      <c r="BG2667" s="7" t="s">
        <v>231</v>
      </c>
      <c r="BH2667" s="7" t="s">
        <v>231</v>
      </c>
      <c r="BI2667" s="7"/>
      <c r="BJ2667" s="4"/>
      <c r="BK2667" s="8"/>
      <c r="BL2667" s="2" t="s">
        <v>231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241</v>
      </c>
      <c r="BV2667" s="2" t="s">
        <v>231</v>
      </c>
      <c r="BW2667" s="2" t="s">
        <v>231</v>
      </c>
      <c r="BX2667" s="2" t="s">
        <v>241</v>
      </c>
      <c r="BY2667" s="2" t="s">
        <v>242</v>
      </c>
      <c r="BZ2667" s="2" t="s">
        <v>243</v>
      </c>
      <c r="CA2667" s="2" t="s">
        <v>231</v>
      </c>
      <c r="CB2667" s="2" t="s">
        <v>231</v>
      </c>
      <c r="CC2667" s="2" t="s">
        <v>244</v>
      </c>
      <c r="CD2667" s="2" t="s">
        <v>231</v>
      </c>
      <c r="CE2667" s="4"/>
      <c r="CF2667" s="4"/>
      <c r="CG2667" s="4"/>
      <c r="CH2667" s="4"/>
      <c r="CI2667" s="4">
        <v>3</v>
      </c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  <c r="DP2667" s="4"/>
      <c r="DQ2667" s="4"/>
      <c r="DR2667" s="4"/>
      <c r="DS2667" s="4"/>
      <c r="DT2667" s="4"/>
      <c r="DU2667" s="4"/>
      <c r="DV2667" s="4"/>
      <c r="DW2667" s="4"/>
      <c r="DX2667" s="4"/>
      <c r="DY2667" s="4"/>
      <c r="DZ2667" s="4"/>
      <c r="EA2667" s="4"/>
      <c r="EB2667" s="4"/>
      <c r="EC2667" s="4"/>
      <c r="ED2667" s="4"/>
      <c r="EE2667" s="4"/>
      <c r="EF2667" s="4"/>
      <c r="EG2667" s="4"/>
      <c r="EH2667" s="4"/>
      <c r="EI2667" s="4"/>
      <c r="EJ2667" s="4"/>
      <c r="EK2667" s="4"/>
      <c r="EL2667" s="4"/>
      <c r="EM2667" s="4"/>
      <c r="EN2667" s="4"/>
      <c r="EO2667" s="4"/>
      <c r="EP2667" s="4"/>
      <c r="EQ2667" s="4"/>
      <c r="ER2667" s="4">
        <v>135</v>
      </c>
      <c r="ES2667" s="4"/>
      <c r="ET2667" s="4"/>
      <c r="EU2667" s="4"/>
      <c r="EV2667" s="4"/>
      <c r="EW2667" s="4"/>
      <c r="EX2667" s="4"/>
      <c r="EY2667" s="4"/>
      <c r="EZ2667" s="4"/>
      <c r="FA2667" s="4"/>
      <c r="FB2667" s="4"/>
      <c r="FC2667" s="4"/>
      <c r="FD2667" s="4"/>
      <c r="FE2667" s="4"/>
      <c r="FF2667" s="4"/>
      <c r="FG2667" s="4"/>
      <c r="FH2667" s="4"/>
      <c r="FI2667" s="4">
        <v>135</v>
      </c>
      <c r="FJ2667" s="4"/>
      <c r="FK2667" s="4"/>
      <c r="FL2667" s="4"/>
      <c r="FM2667" s="4"/>
      <c r="FN2667" s="4"/>
      <c r="FO2667" s="4"/>
      <c r="FP2667" s="4"/>
      <c r="FQ2667" s="4"/>
      <c r="FR2667" s="4"/>
      <c r="FS2667" s="4"/>
      <c r="FT2667" s="4"/>
      <c r="FU2667" s="4"/>
      <c r="FV2667" s="4"/>
      <c r="FW2667" s="4"/>
      <c r="FX2667" s="4"/>
      <c r="FY2667" s="4"/>
      <c r="FZ2667" s="4"/>
      <c r="GA2667" s="4"/>
      <c r="GB2667" s="4"/>
      <c r="GC2667" s="4"/>
      <c r="GD2667" s="4"/>
      <c r="GE2667" s="4"/>
      <c r="GF2667" s="4"/>
      <c r="GG2667" s="4"/>
      <c r="GH2667" s="4"/>
      <c r="GI2667" s="4"/>
      <c r="GJ2667" s="4"/>
      <c r="GK2667" s="4"/>
      <c r="GL2667" s="4"/>
      <c r="GM2667" s="4"/>
      <c r="GN2667" s="4"/>
      <c r="GO2667" s="4"/>
      <c r="GP2667" s="4"/>
      <c r="GQ2667" s="4"/>
      <c r="GR2667" s="4"/>
      <c r="GS2667" s="4"/>
      <c r="GT2667" s="4"/>
      <c r="GU2667" s="4"/>
      <c r="GV2667" s="4"/>
      <c r="GW2667" s="4"/>
      <c r="GX2667" s="4"/>
      <c r="GY2667" s="4"/>
      <c r="GZ2667" s="4"/>
      <c r="HA2667" s="4"/>
      <c r="HB2667" s="4"/>
      <c r="HC2667" s="4"/>
      <c r="HD2667" s="4"/>
      <c r="HE2667" s="4"/>
      <c r="HF2667" s="4"/>
      <c r="HG2667" s="4"/>
      <c r="HH2667" s="4"/>
      <c r="HI2667" s="4"/>
      <c r="HJ2667" s="4"/>
      <c r="HK2667" s="4"/>
      <c r="HL2667" s="4"/>
    </row>
    <row r="2668">
      <c r="A2668" s="2" t="s">
        <v>11435</v>
      </c>
      <c r="B2668" s="2" t="s">
        <v>824</v>
      </c>
      <c r="C2668" s="2" t="s">
        <v>825</v>
      </c>
      <c r="D2668" s="2" t="s">
        <v>826</v>
      </c>
      <c r="E2668" s="2" t="s">
        <v>1060</v>
      </c>
      <c r="F2668" s="2" t="s">
        <v>11428</v>
      </c>
      <c r="G2668" s="2" t="s">
        <v>11429</v>
      </c>
      <c r="H2668" s="2" t="s">
        <v>7530</v>
      </c>
      <c r="I2668" s="2" t="s">
        <v>11433</v>
      </c>
      <c r="J2668" s="2" t="s">
        <v>658</v>
      </c>
      <c r="K2668" s="2" t="s">
        <v>2125</v>
      </c>
      <c r="L2668" s="3">
        <v>23.8</v>
      </c>
      <c r="M2668" s="3">
        <v>24.99</v>
      </c>
      <c r="N2668" s="3">
        <v>49.99</v>
      </c>
      <c r="O2668" s="2" t="s">
        <v>243</v>
      </c>
      <c r="P2668" s="2" t="s">
        <v>236</v>
      </c>
      <c r="Q2668" s="2" t="s">
        <v>237</v>
      </c>
      <c r="R2668" s="2" t="s">
        <v>231</v>
      </c>
      <c r="S2668" s="2" t="s">
        <v>11431</v>
      </c>
      <c r="T2668" s="2" t="s">
        <v>1432</v>
      </c>
      <c r="U2668" s="2" t="s">
        <v>835</v>
      </c>
      <c r="V2668" s="2" t="s">
        <v>1485</v>
      </c>
      <c r="W2668" s="2" t="s">
        <v>273</v>
      </c>
      <c r="X2668" s="2" t="s">
        <v>792</v>
      </c>
      <c r="Y2668" s="2" t="s">
        <v>1041</v>
      </c>
      <c r="Z2668" s="4">
        <v>3</v>
      </c>
      <c r="AA2668" s="4">
        <f>=ROUNDDOWN({0},0)</f>
      </c>
      <c r="AB2668" s="5"/>
      <c r="AC2668" s="2" t="s">
        <v>392</v>
      </c>
      <c r="AD2668" s="4">
        <v>115</v>
      </c>
      <c r="AE2668" s="4">
        <v>230</v>
      </c>
      <c r="AF2668" s="6">
        <v>64</v>
      </c>
      <c r="AG2668" s="6"/>
      <c r="AH2668" s="7">
        <v>0</v>
      </c>
      <c r="AI2668" s="4"/>
      <c r="AJ2668" s="4">
        <f>=ROUNDDOWN({0},0)</f>
      </c>
      <c r="AK2668" s="5"/>
      <c r="AL2668" s="2" t="s">
        <v>231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231</v>
      </c>
      <c r="AW2668" s="8" t="s">
        <v>231</v>
      </c>
      <c r="AX2668" s="4" t="s">
        <v>231</v>
      </c>
      <c r="AY2668" s="8" t="s">
        <v>231</v>
      </c>
      <c r="AZ2668" s="7" t="s">
        <v>231</v>
      </c>
      <c r="BA2668" s="7" t="s">
        <v>231</v>
      </c>
      <c r="BB2668" s="7" t="s">
        <v>231</v>
      </c>
      <c r="BC2668" s="4" t="s">
        <v>231</v>
      </c>
      <c r="BD2668" s="8" t="s">
        <v>231</v>
      </c>
      <c r="BE2668" s="4" t="s">
        <v>231</v>
      </c>
      <c r="BF2668" s="8" t="s">
        <v>231</v>
      </c>
      <c r="BG2668" s="7" t="s">
        <v>231</v>
      </c>
      <c r="BH2668" s="7" t="s">
        <v>231</v>
      </c>
      <c r="BI2668" s="7"/>
      <c r="BJ2668" s="4"/>
      <c r="BK2668" s="8"/>
      <c r="BL2668" s="2" t="s">
        <v>231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241</v>
      </c>
      <c r="BV2668" s="2" t="s">
        <v>231</v>
      </c>
      <c r="BW2668" s="2" t="s">
        <v>231</v>
      </c>
      <c r="BX2668" s="2" t="s">
        <v>241</v>
      </c>
      <c r="BY2668" s="2" t="s">
        <v>242</v>
      </c>
      <c r="BZ2668" s="2" t="s">
        <v>243</v>
      </c>
      <c r="CA2668" s="2" t="s">
        <v>231</v>
      </c>
      <c r="CB2668" s="2" t="s">
        <v>231</v>
      </c>
      <c r="CC2668" s="2" t="s">
        <v>244</v>
      </c>
      <c r="CD2668" s="2" t="s">
        <v>231</v>
      </c>
      <c r="CE2668" s="4"/>
      <c r="CF2668" s="4"/>
      <c r="CG2668" s="4"/>
      <c r="CH2668" s="4"/>
      <c r="CI2668" s="4">
        <v>3</v>
      </c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  <c r="DP2668" s="4"/>
      <c r="DQ2668" s="4"/>
      <c r="DR2668" s="4"/>
      <c r="DS2668" s="4"/>
      <c r="DT2668" s="4"/>
      <c r="DU2668" s="4"/>
      <c r="DV2668" s="4"/>
      <c r="DW2668" s="4"/>
      <c r="DX2668" s="4"/>
      <c r="DY2668" s="4"/>
      <c r="DZ2668" s="4"/>
      <c r="EA2668" s="4"/>
      <c r="EB2668" s="4"/>
      <c r="EC2668" s="4"/>
      <c r="ED2668" s="4"/>
      <c r="EE2668" s="4"/>
      <c r="EF2668" s="4"/>
      <c r="EG2668" s="4"/>
      <c r="EH2668" s="4"/>
      <c r="EI2668" s="4"/>
      <c r="EJ2668" s="4"/>
      <c r="EK2668" s="4"/>
      <c r="EL2668" s="4"/>
      <c r="EM2668" s="4"/>
      <c r="EN2668" s="4"/>
      <c r="EO2668" s="4"/>
      <c r="EP2668" s="4"/>
      <c r="EQ2668" s="4"/>
      <c r="ER2668" s="4">
        <v>115</v>
      </c>
      <c r="ES2668" s="4"/>
      <c r="ET2668" s="4"/>
      <c r="EU2668" s="4"/>
      <c r="EV2668" s="4"/>
      <c r="EW2668" s="4"/>
      <c r="EX2668" s="4"/>
      <c r="EY2668" s="4"/>
      <c r="EZ2668" s="4"/>
      <c r="FA2668" s="4"/>
      <c r="FB2668" s="4"/>
      <c r="FC2668" s="4"/>
      <c r="FD2668" s="4"/>
      <c r="FE2668" s="4"/>
      <c r="FF2668" s="4"/>
      <c r="FG2668" s="4"/>
      <c r="FH2668" s="4"/>
      <c r="FI2668" s="4">
        <v>115</v>
      </c>
      <c r="FJ2668" s="4"/>
      <c r="FK2668" s="4"/>
      <c r="FL2668" s="4"/>
      <c r="FM2668" s="4"/>
      <c r="FN2668" s="4"/>
      <c r="FO2668" s="4"/>
      <c r="FP2668" s="4"/>
      <c r="FQ2668" s="4"/>
      <c r="FR2668" s="4"/>
      <c r="FS2668" s="4"/>
      <c r="FT2668" s="4"/>
      <c r="FU2668" s="4"/>
      <c r="FV2668" s="4"/>
      <c r="FW2668" s="4"/>
      <c r="FX2668" s="4"/>
      <c r="FY2668" s="4"/>
      <c r="FZ2668" s="4"/>
      <c r="GA2668" s="4"/>
      <c r="GB2668" s="4"/>
      <c r="GC2668" s="4"/>
      <c r="GD2668" s="4"/>
      <c r="GE2668" s="4"/>
      <c r="GF2668" s="4"/>
      <c r="GG2668" s="4"/>
      <c r="GH2668" s="4"/>
      <c r="GI2668" s="4"/>
      <c r="GJ2668" s="4"/>
      <c r="GK2668" s="4"/>
      <c r="GL2668" s="4"/>
      <c r="GM2668" s="4"/>
      <c r="GN2668" s="4"/>
      <c r="GO2668" s="4"/>
      <c r="GP2668" s="4"/>
      <c r="GQ2668" s="4"/>
      <c r="GR2668" s="4"/>
      <c r="GS2668" s="4"/>
      <c r="GT2668" s="4"/>
      <c r="GU2668" s="4"/>
      <c r="GV2668" s="4"/>
      <c r="GW2668" s="4"/>
      <c r="GX2668" s="4"/>
      <c r="GY2668" s="4"/>
      <c r="GZ2668" s="4"/>
      <c r="HA2668" s="4"/>
      <c r="HB2668" s="4"/>
      <c r="HC2668" s="4"/>
      <c r="HD2668" s="4"/>
      <c r="HE2668" s="4"/>
      <c r="HF2668" s="4"/>
      <c r="HG2668" s="4"/>
      <c r="HH2668" s="4"/>
      <c r="HI2668" s="4"/>
      <c r="HJ2668" s="4"/>
      <c r="HK2668" s="4"/>
      <c r="HL2668" s="4"/>
    </row>
    <row r="2669">
      <c r="A2669" s="2" t="s">
        <v>11436</v>
      </c>
      <c r="B2669" s="2" t="s">
        <v>824</v>
      </c>
      <c r="C2669" s="2" t="s">
        <v>825</v>
      </c>
      <c r="D2669" s="2" t="s">
        <v>654</v>
      </c>
      <c r="E2669" s="2" t="s">
        <v>890</v>
      </c>
      <c r="F2669" s="2" t="s">
        <v>11428</v>
      </c>
      <c r="G2669" s="2" t="s">
        <v>11429</v>
      </c>
      <c r="H2669" s="2" t="s">
        <v>7530</v>
      </c>
      <c r="I2669" s="2" t="s">
        <v>11430</v>
      </c>
      <c r="J2669" s="2" t="s">
        <v>669</v>
      </c>
      <c r="K2669" s="2" t="s">
        <v>2125</v>
      </c>
      <c r="L2669" s="3">
        <v>30.95</v>
      </c>
      <c r="M2669" s="3">
        <v>32.5</v>
      </c>
      <c r="N2669" s="3">
        <v>64.99</v>
      </c>
      <c r="O2669" s="2" t="s">
        <v>243</v>
      </c>
      <c r="P2669" s="2" t="s">
        <v>236</v>
      </c>
      <c r="Q2669" s="2" t="s">
        <v>237</v>
      </c>
      <c r="R2669" s="2" t="s">
        <v>231</v>
      </c>
      <c r="S2669" s="2" t="s">
        <v>11431</v>
      </c>
      <c r="T2669" s="2" t="s">
        <v>1432</v>
      </c>
      <c r="U2669" s="2" t="s">
        <v>835</v>
      </c>
      <c r="V2669" s="2" t="s">
        <v>1485</v>
      </c>
      <c r="W2669" s="2" t="s">
        <v>273</v>
      </c>
      <c r="X2669" s="2" t="s">
        <v>792</v>
      </c>
      <c r="Y2669" s="2" t="s">
        <v>231</v>
      </c>
      <c r="Z2669" s="4"/>
      <c r="AA2669" s="4">
        <f>=ROUNDDOWN({0},0)</f>
      </c>
      <c r="AB2669" s="5"/>
      <c r="AC2669" s="2" t="s">
        <v>392</v>
      </c>
      <c r="AD2669" s="4">
        <v>50</v>
      </c>
      <c r="AE2669" s="4">
        <v>100</v>
      </c>
      <c r="AF2669" s="6">
        <v>64</v>
      </c>
      <c r="AG2669" s="6"/>
      <c r="AH2669" s="7">
        <v>0</v>
      </c>
      <c r="AI2669" s="4"/>
      <c r="AJ2669" s="4">
        <f>=ROUNDDOWN({0},0)</f>
      </c>
      <c r="AK2669" s="5"/>
      <c r="AL2669" s="2" t="s">
        <v>231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231</v>
      </c>
      <c r="AW2669" s="8" t="s">
        <v>231</v>
      </c>
      <c r="AX2669" s="4" t="s">
        <v>231</v>
      </c>
      <c r="AY2669" s="8" t="s">
        <v>231</v>
      </c>
      <c r="AZ2669" s="7" t="s">
        <v>231</v>
      </c>
      <c r="BA2669" s="7" t="s">
        <v>231</v>
      </c>
      <c r="BB2669" s="7" t="s">
        <v>231</v>
      </c>
      <c r="BC2669" s="4" t="s">
        <v>231</v>
      </c>
      <c r="BD2669" s="8" t="s">
        <v>231</v>
      </c>
      <c r="BE2669" s="4" t="s">
        <v>231</v>
      </c>
      <c r="BF2669" s="8" t="s">
        <v>231</v>
      </c>
      <c r="BG2669" s="7" t="s">
        <v>231</v>
      </c>
      <c r="BH2669" s="7" t="s">
        <v>231</v>
      </c>
      <c r="BI2669" s="7"/>
      <c r="BJ2669" s="4"/>
      <c r="BK2669" s="8"/>
      <c r="BL2669" s="2" t="s">
        <v>231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241</v>
      </c>
      <c r="BV2669" s="2" t="s">
        <v>231</v>
      </c>
      <c r="BW2669" s="2" t="s">
        <v>231</v>
      </c>
      <c r="BX2669" s="2" t="s">
        <v>241</v>
      </c>
      <c r="BY2669" s="2" t="s">
        <v>242</v>
      </c>
      <c r="BZ2669" s="2" t="s">
        <v>243</v>
      </c>
      <c r="CA2669" s="2" t="s">
        <v>231</v>
      </c>
      <c r="CB2669" s="2" t="s">
        <v>231</v>
      </c>
      <c r="CC2669" s="2" t="s">
        <v>244</v>
      </c>
      <c r="CD2669" s="2" t="s">
        <v>231</v>
      </c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  <c r="DL2669" s="4"/>
      <c r="DM2669" s="4"/>
      <c r="DN2669" s="4"/>
      <c r="DO2669" s="4"/>
      <c r="DP2669" s="4"/>
      <c r="DQ2669" s="4"/>
      <c r="DR2669" s="4"/>
      <c r="DS2669" s="4"/>
      <c r="DT2669" s="4"/>
      <c r="DU2669" s="4"/>
      <c r="DV2669" s="4"/>
      <c r="DW2669" s="4"/>
      <c r="DX2669" s="4"/>
      <c r="DY2669" s="4"/>
      <c r="DZ2669" s="4"/>
      <c r="EA2669" s="4"/>
      <c r="EB2669" s="4"/>
      <c r="EC2669" s="4"/>
      <c r="ED2669" s="4"/>
      <c r="EE2669" s="4"/>
      <c r="EF2669" s="4"/>
      <c r="EG2669" s="4"/>
      <c r="EH2669" s="4"/>
      <c r="EI2669" s="4"/>
      <c r="EJ2669" s="4"/>
      <c r="EK2669" s="4"/>
      <c r="EL2669" s="4"/>
      <c r="EM2669" s="4"/>
      <c r="EN2669" s="4"/>
      <c r="EO2669" s="4"/>
      <c r="EP2669" s="4"/>
      <c r="EQ2669" s="4"/>
      <c r="ER2669" s="4">
        <v>50</v>
      </c>
      <c r="ES2669" s="4"/>
      <c r="ET2669" s="4"/>
      <c r="EU2669" s="4"/>
      <c r="EV2669" s="4"/>
      <c r="EW2669" s="4"/>
      <c r="EX2669" s="4"/>
      <c r="EY2669" s="4"/>
      <c r="EZ2669" s="4"/>
      <c r="FA2669" s="4"/>
      <c r="FB2669" s="4"/>
      <c r="FC2669" s="4"/>
      <c r="FD2669" s="4"/>
      <c r="FE2669" s="4"/>
      <c r="FF2669" s="4"/>
      <c r="FG2669" s="4"/>
      <c r="FH2669" s="4"/>
      <c r="FI2669" s="4">
        <v>50</v>
      </c>
      <c r="FJ2669" s="4"/>
      <c r="FK2669" s="4"/>
      <c r="FL2669" s="4"/>
      <c r="FM2669" s="4"/>
      <c r="FN2669" s="4"/>
      <c r="FO2669" s="4"/>
      <c r="FP2669" s="4"/>
      <c r="FQ2669" s="4"/>
      <c r="FR2669" s="4"/>
      <c r="FS2669" s="4"/>
      <c r="FT2669" s="4"/>
      <c r="FU2669" s="4"/>
      <c r="FV2669" s="4"/>
      <c r="FW2669" s="4"/>
      <c r="FX2669" s="4"/>
      <c r="FY2669" s="4"/>
      <c r="FZ2669" s="4"/>
      <c r="GA2669" s="4"/>
      <c r="GB2669" s="4"/>
      <c r="GC2669" s="4"/>
      <c r="GD2669" s="4"/>
      <c r="GE2669" s="4"/>
      <c r="GF2669" s="4"/>
      <c r="GG2669" s="4"/>
      <c r="GH2669" s="4"/>
      <c r="GI2669" s="4"/>
      <c r="GJ2669" s="4"/>
      <c r="GK2669" s="4"/>
      <c r="GL2669" s="4"/>
      <c r="GM2669" s="4"/>
      <c r="GN2669" s="4"/>
      <c r="GO2669" s="4"/>
      <c r="GP2669" s="4"/>
      <c r="GQ2669" s="4"/>
      <c r="GR2669" s="4"/>
      <c r="GS2669" s="4"/>
      <c r="GT2669" s="4"/>
      <c r="GU2669" s="4"/>
      <c r="GV2669" s="4"/>
      <c r="GW2669" s="4"/>
      <c r="GX2669" s="4"/>
      <c r="GY2669" s="4"/>
      <c r="GZ2669" s="4"/>
      <c r="HA2669" s="4"/>
      <c r="HB2669" s="4"/>
      <c r="HC2669" s="4"/>
      <c r="HD2669" s="4"/>
      <c r="HE2669" s="4"/>
      <c r="HF2669" s="4"/>
      <c r="HG2669" s="4"/>
      <c r="HH2669" s="4"/>
      <c r="HI2669" s="4"/>
      <c r="HJ2669" s="4"/>
      <c r="HK2669" s="4"/>
      <c r="HL2669" s="4"/>
    </row>
    <row r="2670">
      <c r="A2670" s="2" t="s">
        <v>11437</v>
      </c>
      <c r="B2670" s="2" t="s">
        <v>824</v>
      </c>
      <c r="C2670" s="2" t="s">
        <v>825</v>
      </c>
      <c r="D2670" s="2" t="s">
        <v>826</v>
      </c>
      <c r="E2670" s="2" t="s">
        <v>1060</v>
      </c>
      <c r="F2670" s="2" t="s">
        <v>11428</v>
      </c>
      <c r="G2670" s="2" t="s">
        <v>11429</v>
      </c>
      <c r="H2670" s="2" t="s">
        <v>7530</v>
      </c>
      <c r="I2670" s="2" t="s">
        <v>11433</v>
      </c>
      <c r="J2670" s="2" t="s">
        <v>669</v>
      </c>
      <c r="K2670" s="2" t="s">
        <v>2125</v>
      </c>
      <c r="L2670" s="3">
        <v>26.19</v>
      </c>
      <c r="M2670" s="3">
        <v>27.5</v>
      </c>
      <c r="N2670" s="3">
        <v>54.99</v>
      </c>
      <c r="O2670" s="2" t="s">
        <v>243</v>
      </c>
      <c r="P2670" s="2" t="s">
        <v>236</v>
      </c>
      <c r="Q2670" s="2" t="s">
        <v>237</v>
      </c>
      <c r="R2670" s="2" t="s">
        <v>231</v>
      </c>
      <c r="S2670" s="2" t="s">
        <v>11431</v>
      </c>
      <c r="T2670" s="2" t="s">
        <v>1432</v>
      </c>
      <c r="U2670" s="2" t="s">
        <v>835</v>
      </c>
      <c r="V2670" s="2" t="s">
        <v>1485</v>
      </c>
      <c r="W2670" s="2" t="s">
        <v>273</v>
      </c>
      <c r="X2670" s="2" t="s">
        <v>792</v>
      </c>
      <c r="Y2670" s="2" t="s">
        <v>231</v>
      </c>
      <c r="Z2670" s="4"/>
      <c r="AA2670" s="4">
        <f>=ROUNDDOWN({0},0)</f>
      </c>
      <c r="AB2670" s="5"/>
      <c r="AC2670" s="2" t="s">
        <v>392</v>
      </c>
      <c r="AD2670" s="4">
        <v>40</v>
      </c>
      <c r="AE2670" s="4">
        <v>80</v>
      </c>
      <c r="AF2670" s="6">
        <v>64</v>
      </c>
      <c r="AG2670" s="6"/>
      <c r="AH2670" s="7">
        <v>0</v>
      </c>
      <c r="AI2670" s="4"/>
      <c r="AJ2670" s="4">
        <f>=ROUNDDOWN({0},0)</f>
      </c>
      <c r="AK2670" s="5"/>
      <c r="AL2670" s="2" t="s">
        <v>231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231</v>
      </c>
      <c r="AW2670" s="8" t="s">
        <v>231</v>
      </c>
      <c r="AX2670" s="4" t="s">
        <v>231</v>
      </c>
      <c r="AY2670" s="8" t="s">
        <v>231</v>
      </c>
      <c r="AZ2670" s="7" t="s">
        <v>231</v>
      </c>
      <c r="BA2670" s="7" t="s">
        <v>231</v>
      </c>
      <c r="BB2670" s="7" t="s">
        <v>231</v>
      </c>
      <c r="BC2670" s="4" t="s">
        <v>231</v>
      </c>
      <c r="BD2670" s="8" t="s">
        <v>231</v>
      </c>
      <c r="BE2670" s="4" t="s">
        <v>231</v>
      </c>
      <c r="BF2670" s="8" t="s">
        <v>231</v>
      </c>
      <c r="BG2670" s="7" t="s">
        <v>231</v>
      </c>
      <c r="BH2670" s="7" t="s">
        <v>231</v>
      </c>
      <c r="BI2670" s="7"/>
      <c r="BJ2670" s="4"/>
      <c r="BK2670" s="8"/>
      <c r="BL2670" s="2" t="s">
        <v>231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241</v>
      </c>
      <c r="BV2670" s="2" t="s">
        <v>231</v>
      </c>
      <c r="BW2670" s="2" t="s">
        <v>231</v>
      </c>
      <c r="BX2670" s="2" t="s">
        <v>241</v>
      </c>
      <c r="BY2670" s="2" t="s">
        <v>242</v>
      </c>
      <c r="BZ2670" s="2" t="s">
        <v>243</v>
      </c>
      <c r="CA2670" s="2" t="s">
        <v>231</v>
      </c>
      <c r="CB2670" s="2" t="s">
        <v>231</v>
      </c>
      <c r="CC2670" s="2" t="s">
        <v>244</v>
      </c>
      <c r="CD2670" s="2" t="s">
        <v>231</v>
      </c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  <c r="DL2670" s="4"/>
      <c r="DM2670" s="4"/>
      <c r="DN2670" s="4"/>
      <c r="DO2670" s="4"/>
      <c r="DP2670" s="4"/>
      <c r="DQ2670" s="4"/>
      <c r="DR2670" s="4"/>
      <c r="DS2670" s="4"/>
      <c r="DT2670" s="4"/>
      <c r="DU2670" s="4"/>
      <c r="DV2670" s="4"/>
      <c r="DW2670" s="4"/>
      <c r="DX2670" s="4"/>
      <c r="DY2670" s="4"/>
      <c r="DZ2670" s="4"/>
      <c r="EA2670" s="4"/>
      <c r="EB2670" s="4"/>
      <c r="EC2670" s="4"/>
      <c r="ED2670" s="4"/>
      <c r="EE2670" s="4"/>
      <c r="EF2670" s="4"/>
      <c r="EG2670" s="4"/>
      <c r="EH2670" s="4"/>
      <c r="EI2670" s="4"/>
      <c r="EJ2670" s="4"/>
      <c r="EK2670" s="4"/>
      <c r="EL2670" s="4"/>
      <c r="EM2670" s="4"/>
      <c r="EN2670" s="4"/>
      <c r="EO2670" s="4"/>
      <c r="EP2670" s="4"/>
      <c r="EQ2670" s="4"/>
      <c r="ER2670" s="4">
        <v>40</v>
      </c>
      <c r="ES2670" s="4"/>
      <c r="ET2670" s="4"/>
      <c r="EU2670" s="4"/>
      <c r="EV2670" s="4"/>
      <c r="EW2670" s="4"/>
      <c r="EX2670" s="4"/>
      <c r="EY2670" s="4"/>
      <c r="EZ2670" s="4"/>
      <c r="FA2670" s="4"/>
      <c r="FB2670" s="4"/>
      <c r="FC2670" s="4"/>
      <c r="FD2670" s="4"/>
      <c r="FE2670" s="4"/>
      <c r="FF2670" s="4"/>
      <c r="FG2670" s="4"/>
      <c r="FH2670" s="4"/>
      <c r="FI2670" s="4">
        <v>40</v>
      </c>
      <c r="FJ2670" s="4"/>
      <c r="FK2670" s="4"/>
      <c r="FL2670" s="4"/>
      <c r="FM2670" s="4"/>
      <c r="FN2670" s="4"/>
      <c r="FO2670" s="4"/>
      <c r="FP2670" s="4"/>
      <c r="FQ2670" s="4"/>
      <c r="FR2670" s="4"/>
      <c r="FS2670" s="4"/>
      <c r="FT2670" s="4"/>
      <c r="FU2670" s="4"/>
      <c r="FV2670" s="4"/>
      <c r="FW2670" s="4"/>
      <c r="FX2670" s="4"/>
      <c r="FY2670" s="4"/>
      <c r="FZ2670" s="4"/>
      <c r="GA2670" s="4"/>
      <c r="GB2670" s="4"/>
      <c r="GC2670" s="4"/>
      <c r="GD2670" s="4"/>
      <c r="GE2670" s="4"/>
      <c r="GF2670" s="4"/>
      <c r="GG2670" s="4"/>
      <c r="GH2670" s="4"/>
      <c r="GI2670" s="4"/>
      <c r="GJ2670" s="4"/>
      <c r="GK2670" s="4"/>
      <c r="GL2670" s="4"/>
      <c r="GM2670" s="4"/>
      <c r="GN2670" s="4"/>
      <c r="GO2670" s="4"/>
      <c r="GP2670" s="4"/>
      <c r="GQ2670" s="4"/>
      <c r="GR2670" s="4"/>
      <c r="GS2670" s="4"/>
      <c r="GT2670" s="4"/>
      <c r="GU2670" s="4"/>
      <c r="GV2670" s="4"/>
      <c r="GW2670" s="4"/>
      <c r="GX2670" s="4"/>
      <c r="GY2670" s="4"/>
      <c r="GZ2670" s="4"/>
      <c r="HA2670" s="4"/>
      <c r="HB2670" s="4"/>
      <c r="HC2670" s="4"/>
      <c r="HD2670" s="4"/>
      <c r="HE2670" s="4"/>
      <c r="HF2670" s="4"/>
      <c r="HG2670" s="4"/>
      <c r="HH2670" s="4"/>
      <c r="HI2670" s="4"/>
      <c r="HJ2670" s="4"/>
      <c r="HK2670" s="4"/>
      <c r="HL2670" s="4"/>
    </row>
    <row r="2671">
      <c r="A2671" s="2" t="s">
        <v>11438</v>
      </c>
      <c r="B2671" s="2" t="s">
        <v>1186</v>
      </c>
      <c r="C2671" s="2" t="s">
        <v>815</v>
      </c>
      <c r="D2671" s="2" t="s">
        <v>654</v>
      </c>
      <c r="E2671" s="2" t="s">
        <v>890</v>
      </c>
      <c r="F2671" s="2" t="s">
        <v>11428</v>
      </c>
      <c r="G2671" s="2" t="s">
        <v>11428</v>
      </c>
      <c r="H2671" s="2" t="s">
        <v>11428</v>
      </c>
      <c r="I2671" s="2" t="s">
        <v>11439</v>
      </c>
      <c r="J2671" s="2" t="s">
        <v>658</v>
      </c>
      <c r="K2671" s="2" t="s">
        <v>1800</v>
      </c>
      <c r="L2671" s="3">
        <v>54.85</v>
      </c>
      <c r="M2671" s="3">
        <v>57.59</v>
      </c>
      <c r="N2671" s="3">
        <v>119.99</v>
      </c>
      <c r="O2671" s="2" t="s">
        <v>243</v>
      </c>
      <c r="P2671" s="2" t="s">
        <v>236</v>
      </c>
      <c r="Q2671" s="2" t="s">
        <v>237</v>
      </c>
      <c r="R2671" s="2" t="s">
        <v>231</v>
      </c>
      <c r="S2671" s="2" t="s">
        <v>11440</v>
      </c>
      <c r="T2671" s="2" t="s">
        <v>362</v>
      </c>
      <c r="U2671" s="2" t="s">
        <v>835</v>
      </c>
      <c r="V2671" s="2" t="s">
        <v>391</v>
      </c>
      <c r="W2671" s="2" t="s">
        <v>1829</v>
      </c>
      <c r="X2671" s="2" t="s">
        <v>273</v>
      </c>
      <c r="Y2671" s="2" t="s">
        <v>6979</v>
      </c>
      <c r="Z2671" s="4"/>
      <c r="AA2671" s="4">
        <f>=ROUNDDOWN({0},0)</f>
      </c>
      <c r="AB2671" s="5"/>
      <c r="AC2671" s="2" t="s">
        <v>3415</v>
      </c>
      <c r="AD2671" s="4">
        <v>110</v>
      </c>
      <c r="AE2671" s="4">
        <v>220</v>
      </c>
      <c r="AF2671" s="6">
        <v>65</v>
      </c>
      <c r="AG2671" s="6"/>
      <c r="AH2671" s="7">
        <v>0</v>
      </c>
      <c r="AI2671" s="4"/>
      <c r="AJ2671" s="4">
        <f>=ROUNDDOWN({0},0)</f>
      </c>
      <c r="AK2671" s="5"/>
      <c r="AL2671" s="2" t="s">
        <v>231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231</v>
      </c>
      <c r="AW2671" s="8" t="s">
        <v>231</v>
      </c>
      <c r="AX2671" s="4" t="s">
        <v>231</v>
      </c>
      <c r="AY2671" s="8" t="s">
        <v>231</v>
      </c>
      <c r="AZ2671" s="7" t="s">
        <v>231</v>
      </c>
      <c r="BA2671" s="7" t="s">
        <v>231</v>
      </c>
      <c r="BB2671" s="7" t="s">
        <v>231</v>
      </c>
      <c r="BC2671" s="4" t="s">
        <v>231</v>
      </c>
      <c r="BD2671" s="8" t="s">
        <v>231</v>
      </c>
      <c r="BE2671" s="4" t="s">
        <v>231</v>
      </c>
      <c r="BF2671" s="8" t="s">
        <v>231</v>
      </c>
      <c r="BG2671" s="7" t="s">
        <v>231</v>
      </c>
      <c r="BH2671" s="7" t="s">
        <v>231</v>
      </c>
      <c r="BI2671" s="7"/>
      <c r="BJ2671" s="4"/>
      <c r="BK2671" s="8"/>
      <c r="BL2671" s="2" t="s">
        <v>231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241</v>
      </c>
      <c r="BV2671" s="2" t="s">
        <v>231</v>
      </c>
      <c r="BW2671" s="2" t="s">
        <v>231</v>
      </c>
      <c r="BX2671" s="2" t="s">
        <v>241</v>
      </c>
      <c r="BY2671" s="2" t="s">
        <v>242</v>
      </c>
      <c r="BZ2671" s="2" t="s">
        <v>243</v>
      </c>
      <c r="CA2671" s="2" t="s">
        <v>231</v>
      </c>
      <c r="CB2671" s="2" t="s">
        <v>231</v>
      </c>
      <c r="CC2671" s="2" t="s">
        <v>244</v>
      </c>
      <c r="CD2671" s="2" t="s">
        <v>231</v>
      </c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>
        <v>110</v>
      </c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  <c r="DL2671" s="4"/>
      <c r="DM2671" s="4"/>
      <c r="DN2671" s="4"/>
      <c r="DO2671" s="4"/>
      <c r="DP2671" s="4"/>
      <c r="DQ2671" s="4"/>
      <c r="DR2671" s="4"/>
      <c r="DS2671" s="4"/>
      <c r="DT2671" s="4"/>
      <c r="DU2671" s="4"/>
      <c r="DV2671" s="4"/>
      <c r="DW2671" s="4"/>
      <c r="DX2671" s="4"/>
      <c r="DY2671" s="4"/>
      <c r="DZ2671" s="4"/>
      <c r="EA2671" s="4"/>
      <c r="EB2671" s="4"/>
      <c r="EC2671" s="4"/>
      <c r="ED2671" s="4"/>
      <c r="EE2671" s="4"/>
      <c r="EF2671" s="4"/>
      <c r="EG2671" s="4">
        <v>110</v>
      </c>
      <c r="EH2671" s="4"/>
      <c r="EI2671" s="4"/>
      <c r="EJ2671" s="4"/>
      <c r="EK2671" s="4"/>
      <c r="EL2671" s="4"/>
      <c r="EM2671" s="4"/>
      <c r="EN2671" s="4"/>
      <c r="EO2671" s="4"/>
      <c r="EP2671" s="4"/>
      <c r="EQ2671" s="4"/>
      <c r="ER2671" s="4"/>
      <c r="ES2671" s="4"/>
      <c r="ET2671" s="4"/>
      <c r="EU2671" s="4"/>
      <c r="EV2671" s="4"/>
      <c r="EW2671" s="4"/>
      <c r="EX2671" s="4"/>
      <c r="EY2671" s="4"/>
      <c r="EZ2671" s="4"/>
      <c r="FA2671" s="4"/>
      <c r="FB2671" s="4"/>
      <c r="FC2671" s="4"/>
      <c r="FD2671" s="4"/>
      <c r="FE2671" s="4"/>
      <c r="FF2671" s="4"/>
      <c r="FG2671" s="4"/>
      <c r="FH2671" s="4"/>
      <c r="FI2671" s="4"/>
      <c r="FJ2671" s="4"/>
      <c r="FK2671" s="4"/>
      <c r="FL2671" s="4"/>
      <c r="FM2671" s="4"/>
      <c r="FN2671" s="4"/>
      <c r="FO2671" s="4"/>
      <c r="FP2671" s="4"/>
      <c r="FQ2671" s="4"/>
      <c r="FR2671" s="4"/>
      <c r="FS2671" s="4"/>
      <c r="FT2671" s="4"/>
      <c r="FU2671" s="4"/>
      <c r="FV2671" s="4"/>
      <c r="FW2671" s="4"/>
      <c r="FX2671" s="4"/>
      <c r="FY2671" s="4"/>
      <c r="FZ2671" s="4"/>
      <c r="GA2671" s="4"/>
      <c r="GB2671" s="4"/>
      <c r="GC2671" s="4"/>
      <c r="GD2671" s="4"/>
      <c r="GE2671" s="4"/>
      <c r="GF2671" s="4"/>
      <c r="GG2671" s="4"/>
      <c r="GH2671" s="4"/>
      <c r="GI2671" s="4"/>
      <c r="GJ2671" s="4"/>
      <c r="GK2671" s="4"/>
      <c r="GL2671" s="4"/>
      <c r="GM2671" s="4"/>
      <c r="GN2671" s="4"/>
      <c r="GO2671" s="4"/>
      <c r="GP2671" s="4"/>
      <c r="GQ2671" s="4"/>
      <c r="GR2671" s="4"/>
      <c r="GS2671" s="4"/>
      <c r="GT2671" s="4"/>
      <c r="GU2671" s="4"/>
      <c r="GV2671" s="4"/>
      <c r="GW2671" s="4"/>
      <c r="GX2671" s="4"/>
      <c r="GY2671" s="4"/>
      <c r="GZ2671" s="4"/>
      <c r="HA2671" s="4"/>
      <c r="HB2671" s="4"/>
      <c r="HC2671" s="4"/>
      <c r="HD2671" s="4"/>
      <c r="HE2671" s="4"/>
      <c r="HF2671" s="4"/>
      <c r="HG2671" s="4"/>
      <c r="HH2671" s="4"/>
      <c r="HI2671" s="4"/>
      <c r="HJ2671" s="4"/>
      <c r="HK2671" s="4"/>
      <c r="HL2671" s="4"/>
    </row>
    <row r="2672">
      <c r="A2672" s="2" t="s">
        <v>11441</v>
      </c>
      <c r="B2672" s="2" t="s">
        <v>1186</v>
      </c>
      <c r="C2672" s="2" t="s">
        <v>815</v>
      </c>
      <c r="D2672" s="2" t="s">
        <v>826</v>
      </c>
      <c r="E2672" s="2" t="s">
        <v>1060</v>
      </c>
      <c r="F2672" s="2" t="s">
        <v>11428</v>
      </c>
      <c r="G2672" s="2" t="s">
        <v>11428</v>
      </c>
      <c r="H2672" s="2" t="s">
        <v>11428</v>
      </c>
      <c r="I2672" s="2" t="s">
        <v>11442</v>
      </c>
      <c r="J2672" s="2" t="s">
        <v>658</v>
      </c>
      <c r="K2672" s="2" t="s">
        <v>1800</v>
      </c>
      <c r="L2672" s="3">
        <v>45.71</v>
      </c>
      <c r="M2672" s="3">
        <v>48</v>
      </c>
      <c r="N2672" s="3">
        <v>99.99</v>
      </c>
      <c r="O2672" s="2" t="s">
        <v>243</v>
      </c>
      <c r="P2672" s="2" t="s">
        <v>236</v>
      </c>
      <c r="Q2672" s="2" t="s">
        <v>237</v>
      </c>
      <c r="R2672" s="2" t="s">
        <v>231</v>
      </c>
      <c r="S2672" s="2" t="s">
        <v>11440</v>
      </c>
      <c r="T2672" s="2" t="s">
        <v>362</v>
      </c>
      <c r="U2672" s="2" t="s">
        <v>835</v>
      </c>
      <c r="V2672" s="2" t="s">
        <v>391</v>
      </c>
      <c r="W2672" s="2" t="s">
        <v>1829</v>
      </c>
      <c r="X2672" s="2" t="s">
        <v>273</v>
      </c>
      <c r="Y2672" s="2" t="s">
        <v>6979</v>
      </c>
      <c r="Z2672" s="4"/>
      <c r="AA2672" s="4">
        <f>=ROUNDDOWN({0},0)</f>
      </c>
      <c r="AB2672" s="5"/>
      <c r="AC2672" s="2" t="s">
        <v>3415</v>
      </c>
      <c r="AD2672" s="4">
        <v>100</v>
      </c>
      <c r="AE2672" s="4">
        <v>189</v>
      </c>
      <c r="AF2672" s="6">
        <v>65</v>
      </c>
      <c r="AG2672" s="6"/>
      <c r="AH2672" s="7">
        <v>0</v>
      </c>
      <c r="AI2672" s="4"/>
      <c r="AJ2672" s="4">
        <f>=ROUNDDOWN({0},0)</f>
      </c>
      <c r="AK2672" s="5"/>
      <c r="AL2672" s="2" t="s">
        <v>231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231</v>
      </c>
      <c r="AW2672" s="8" t="s">
        <v>231</v>
      </c>
      <c r="AX2672" s="4" t="s">
        <v>231</v>
      </c>
      <c r="AY2672" s="8" t="s">
        <v>231</v>
      </c>
      <c r="AZ2672" s="7" t="s">
        <v>231</v>
      </c>
      <c r="BA2672" s="7" t="s">
        <v>231</v>
      </c>
      <c r="BB2672" s="7" t="s">
        <v>231</v>
      </c>
      <c r="BC2672" s="4" t="s">
        <v>231</v>
      </c>
      <c r="BD2672" s="8" t="s">
        <v>231</v>
      </c>
      <c r="BE2672" s="4" t="s">
        <v>231</v>
      </c>
      <c r="BF2672" s="8" t="s">
        <v>231</v>
      </c>
      <c r="BG2672" s="7" t="s">
        <v>231</v>
      </c>
      <c r="BH2672" s="7" t="s">
        <v>231</v>
      </c>
      <c r="BI2672" s="7"/>
      <c r="BJ2672" s="4"/>
      <c r="BK2672" s="8"/>
      <c r="BL2672" s="2" t="s">
        <v>231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241</v>
      </c>
      <c r="BV2672" s="2" t="s">
        <v>231</v>
      </c>
      <c r="BW2672" s="2" t="s">
        <v>231</v>
      </c>
      <c r="BX2672" s="2" t="s">
        <v>241</v>
      </c>
      <c r="BY2672" s="2" t="s">
        <v>242</v>
      </c>
      <c r="BZ2672" s="2" t="s">
        <v>243</v>
      </c>
      <c r="CA2672" s="2" t="s">
        <v>231</v>
      </c>
      <c r="CB2672" s="2" t="s">
        <v>231</v>
      </c>
      <c r="CC2672" s="2" t="s">
        <v>244</v>
      </c>
      <c r="CD2672" s="2" t="s">
        <v>231</v>
      </c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>
        <v>100</v>
      </c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  <c r="DL2672" s="4"/>
      <c r="DM2672" s="4"/>
      <c r="DN2672" s="4"/>
      <c r="DO2672" s="4"/>
      <c r="DP2672" s="4"/>
      <c r="DQ2672" s="4"/>
      <c r="DR2672" s="4"/>
      <c r="DS2672" s="4"/>
      <c r="DT2672" s="4"/>
      <c r="DU2672" s="4"/>
      <c r="DV2672" s="4"/>
      <c r="DW2672" s="4"/>
      <c r="DX2672" s="4"/>
      <c r="DY2672" s="4"/>
      <c r="DZ2672" s="4"/>
      <c r="EA2672" s="4"/>
      <c r="EB2672" s="4"/>
      <c r="EC2672" s="4"/>
      <c r="ED2672" s="4"/>
      <c r="EE2672" s="4"/>
      <c r="EF2672" s="4"/>
      <c r="EG2672" s="4">
        <v>89</v>
      </c>
      <c r="EH2672" s="4"/>
      <c r="EI2672" s="4"/>
      <c r="EJ2672" s="4"/>
      <c r="EK2672" s="4"/>
      <c r="EL2672" s="4"/>
      <c r="EM2672" s="4"/>
      <c r="EN2672" s="4"/>
      <c r="EO2672" s="4"/>
      <c r="EP2672" s="4"/>
      <c r="EQ2672" s="4"/>
      <c r="ER2672" s="4"/>
      <c r="ES2672" s="4"/>
      <c r="ET2672" s="4"/>
      <c r="EU2672" s="4"/>
      <c r="EV2672" s="4"/>
      <c r="EW2672" s="4"/>
      <c r="EX2672" s="4"/>
      <c r="EY2672" s="4"/>
      <c r="EZ2672" s="4"/>
      <c r="FA2672" s="4"/>
      <c r="FB2672" s="4"/>
      <c r="FC2672" s="4"/>
      <c r="FD2672" s="4"/>
      <c r="FE2672" s="4"/>
      <c r="FF2672" s="4"/>
      <c r="FG2672" s="4"/>
      <c r="FH2672" s="4"/>
      <c r="FI2672" s="4"/>
      <c r="FJ2672" s="4"/>
      <c r="FK2672" s="4"/>
      <c r="FL2672" s="4"/>
      <c r="FM2672" s="4"/>
      <c r="FN2672" s="4"/>
      <c r="FO2672" s="4"/>
      <c r="FP2672" s="4"/>
      <c r="FQ2672" s="4"/>
      <c r="FR2672" s="4"/>
      <c r="FS2672" s="4"/>
      <c r="FT2672" s="4"/>
      <c r="FU2672" s="4"/>
      <c r="FV2672" s="4"/>
      <c r="FW2672" s="4"/>
      <c r="FX2672" s="4"/>
      <c r="FY2672" s="4"/>
      <c r="FZ2672" s="4"/>
      <c r="GA2672" s="4"/>
      <c r="GB2672" s="4"/>
      <c r="GC2672" s="4"/>
      <c r="GD2672" s="4"/>
      <c r="GE2672" s="4"/>
      <c r="GF2672" s="4"/>
      <c r="GG2672" s="4"/>
      <c r="GH2672" s="4"/>
      <c r="GI2672" s="4"/>
      <c r="GJ2672" s="4"/>
      <c r="GK2672" s="4"/>
      <c r="GL2672" s="4"/>
      <c r="GM2672" s="4"/>
      <c r="GN2672" s="4"/>
      <c r="GO2672" s="4"/>
      <c r="GP2672" s="4"/>
      <c r="GQ2672" s="4"/>
      <c r="GR2672" s="4"/>
      <c r="GS2672" s="4"/>
      <c r="GT2672" s="4"/>
      <c r="GU2672" s="4"/>
      <c r="GV2672" s="4"/>
      <c r="GW2672" s="4"/>
      <c r="GX2672" s="4"/>
      <c r="GY2672" s="4"/>
      <c r="GZ2672" s="4"/>
      <c r="HA2672" s="4"/>
      <c r="HB2672" s="4"/>
      <c r="HC2672" s="4"/>
      <c r="HD2672" s="4"/>
      <c r="HE2672" s="4"/>
      <c r="HF2672" s="4"/>
      <c r="HG2672" s="4"/>
      <c r="HH2672" s="4"/>
      <c r="HI2672" s="4"/>
      <c r="HJ2672" s="4"/>
      <c r="HK2672" s="4"/>
      <c r="HL2672" s="4"/>
    </row>
    <row r="2673">
      <c r="A2673" s="2" t="s">
        <v>11443</v>
      </c>
      <c r="B2673" s="2" t="s">
        <v>1186</v>
      </c>
      <c r="C2673" s="2" t="s">
        <v>815</v>
      </c>
      <c r="D2673" s="2" t="s">
        <v>654</v>
      </c>
      <c r="E2673" s="2" t="s">
        <v>890</v>
      </c>
      <c r="F2673" s="2" t="s">
        <v>11428</v>
      </c>
      <c r="G2673" s="2" t="s">
        <v>11428</v>
      </c>
      <c r="H2673" s="2" t="s">
        <v>11428</v>
      </c>
      <c r="I2673" s="2" t="s">
        <v>11439</v>
      </c>
      <c r="J2673" s="2" t="s">
        <v>669</v>
      </c>
      <c r="K2673" s="2" t="s">
        <v>1800</v>
      </c>
      <c r="L2673" s="3">
        <v>64</v>
      </c>
      <c r="M2673" s="3">
        <v>67.2</v>
      </c>
      <c r="N2673" s="3">
        <v>139.99</v>
      </c>
      <c r="O2673" s="2" t="s">
        <v>243</v>
      </c>
      <c r="P2673" s="2" t="s">
        <v>236</v>
      </c>
      <c r="Q2673" s="2" t="s">
        <v>237</v>
      </c>
      <c r="R2673" s="2" t="s">
        <v>231</v>
      </c>
      <c r="S2673" s="2" t="s">
        <v>11440</v>
      </c>
      <c r="T2673" s="2" t="s">
        <v>362</v>
      </c>
      <c r="U2673" s="2" t="s">
        <v>835</v>
      </c>
      <c r="V2673" s="2" t="s">
        <v>391</v>
      </c>
      <c r="W2673" s="2" t="s">
        <v>1829</v>
      </c>
      <c r="X2673" s="2" t="s">
        <v>273</v>
      </c>
      <c r="Y2673" s="2" t="s">
        <v>6979</v>
      </c>
      <c r="Z2673" s="4"/>
      <c r="AA2673" s="4">
        <f>=ROUNDDOWN({0},0)</f>
      </c>
      <c r="AB2673" s="5"/>
      <c r="AC2673" s="2" t="s">
        <v>3415</v>
      </c>
      <c r="AD2673" s="4">
        <v>100</v>
      </c>
      <c r="AE2673" s="4">
        <v>200</v>
      </c>
      <c r="AF2673" s="6">
        <v>65</v>
      </c>
      <c r="AG2673" s="6"/>
      <c r="AH2673" s="7">
        <v>0</v>
      </c>
      <c r="AI2673" s="4"/>
      <c r="AJ2673" s="4">
        <f>=ROUNDDOWN({0},0)</f>
      </c>
      <c r="AK2673" s="5"/>
      <c r="AL2673" s="2" t="s">
        <v>231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231</v>
      </c>
      <c r="AW2673" s="8" t="s">
        <v>231</v>
      </c>
      <c r="AX2673" s="4" t="s">
        <v>231</v>
      </c>
      <c r="AY2673" s="8" t="s">
        <v>231</v>
      </c>
      <c r="AZ2673" s="7" t="s">
        <v>231</v>
      </c>
      <c r="BA2673" s="7" t="s">
        <v>231</v>
      </c>
      <c r="BB2673" s="7" t="s">
        <v>231</v>
      </c>
      <c r="BC2673" s="4" t="s">
        <v>231</v>
      </c>
      <c r="BD2673" s="8" t="s">
        <v>231</v>
      </c>
      <c r="BE2673" s="4" t="s">
        <v>231</v>
      </c>
      <c r="BF2673" s="8" t="s">
        <v>231</v>
      </c>
      <c r="BG2673" s="7" t="s">
        <v>231</v>
      </c>
      <c r="BH2673" s="7" t="s">
        <v>231</v>
      </c>
      <c r="BI2673" s="7"/>
      <c r="BJ2673" s="4"/>
      <c r="BK2673" s="8"/>
      <c r="BL2673" s="2" t="s">
        <v>231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241</v>
      </c>
      <c r="BV2673" s="2" t="s">
        <v>231</v>
      </c>
      <c r="BW2673" s="2" t="s">
        <v>231</v>
      </c>
      <c r="BX2673" s="2" t="s">
        <v>241</v>
      </c>
      <c r="BY2673" s="2" t="s">
        <v>242</v>
      </c>
      <c r="BZ2673" s="2" t="s">
        <v>243</v>
      </c>
      <c r="CA2673" s="2" t="s">
        <v>231</v>
      </c>
      <c r="CB2673" s="2" t="s">
        <v>231</v>
      </c>
      <c r="CC2673" s="2" t="s">
        <v>244</v>
      </c>
      <c r="CD2673" s="2" t="s">
        <v>231</v>
      </c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>
        <v>100</v>
      </c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  <c r="DL2673" s="4"/>
      <c r="DM2673" s="4"/>
      <c r="DN2673" s="4"/>
      <c r="DO2673" s="4"/>
      <c r="DP2673" s="4"/>
      <c r="DQ2673" s="4"/>
      <c r="DR2673" s="4"/>
      <c r="DS2673" s="4"/>
      <c r="DT2673" s="4"/>
      <c r="DU2673" s="4"/>
      <c r="DV2673" s="4"/>
      <c r="DW2673" s="4"/>
      <c r="DX2673" s="4"/>
      <c r="DY2673" s="4"/>
      <c r="DZ2673" s="4"/>
      <c r="EA2673" s="4"/>
      <c r="EB2673" s="4"/>
      <c r="EC2673" s="4"/>
      <c r="ED2673" s="4"/>
      <c r="EE2673" s="4"/>
      <c r="EF2673" s="4"/>
      <c r="EG2673" s="4">
        <v>100</v>
      </c>
      <c r="EH2673" s="4"/>
      <c r="EI2673" s="4"/>
      <c r="EJ2673" s="4"/>
      <c r="EK2673" s="4"/>
      <c r="EL2673" s="4"/>
      <c r="EM2673" s="4"/>
      <c r="EN2673" s="4"/>
      <c r="EO2673" s="4"/>
      <c r="EP2673" s="4"/>
      <c r="EQ2673" s="4"/>
      <c r="ER2673" s="4"/>
      <c r="ES2673" s="4"/>
      <c r="ET2673" s="4"/>
      <c r="EU2673" s="4"/>
      <c r="EV2673" s="4"/>
      <c r="EW2673" s="4"/>
      <c r="EX2673" s="4"/>
      <c r="EY2673" s="4"/>
      <c r="EZ2673" s="4"/>
      <c r="FA2673" s="4"/>
      <c r="FB2673" s="4"/>
      <c r="FC2673" s="4"/>
      <c r="FD2673" s="4"/>
      <c r="FE2673" s="4"/>
      <c r="FF2673" s="4"/>
      <c r="FG2673" s="4"/>
      <c r="FH2673" s="4"/>
      <c r="FI2673" s="4"/>
      <c r="FJ2673" s="4"/>
      <c r="FK2673" s="4"/>
      <c r="FL2673" s="4"/>
      <c r="FM2673" s="4"/>
      <c r="FN2673" s="4"/>
      <c r="FO2673" s="4"/>
      <c r="FP2673" s="4"/>
      <c r="FQ2673" s="4"/>
      <c r="FR2673" s="4"/>
      <c r="FS2673" s="4"/>
      <c r="FT2673" s="4"/>
      <c r="FU2673" s="4"/>
      <c r="FV2673" s="4"/>
      <c r="FW2673" s="4"/>
      <c r="FX2673" s="4"/>
      <c r="FY2673" s="4"/>
      <c r="FZ2673" s="4"/>
      <c r="GA2673" s="4"/>
      <c r="GB2673" s="4"/>
      <c r="GC2673" s="4"/>
      <c r="GD2673" s="4"/>
      <c r="GE2673" s="4"/>
      <c r="GF2673" s="4"/>
      <c r="GG2673" s="4"/>
      <c r="GH2673" s="4"/>
      <c r="GI2673" s="4"/>
      <c r="GJ2673" s="4"/>
      <c r="GK2673" s="4"/>
      <c r="GL2673" s="4"/>
      <c r="GM2673" s="4"/>
      <c r="GN2673" s="4"/>
      <c r="GO2673" s="4"/>
      <c r="GP2673" s="4"/>
      <c r="GQ2673" s="4"/>
      <c r="GR2673" s="4"/>
      <c r="GS2673" s="4"/>
      <c r="GT2673" s="4"/>
      <c r="GU2673" s="4"/>
      <c r="GV2673" s="4"/>
      <c r="GW2673" s="4"/>
      <c r="GX2673" s="4"/>
      <c r="GY2673" s="4"/>
      <c r="GZ2673" s="4"/>
      <c r="HA2673" s="4"/>
      <c r="HB2673" s="4"/>
      <c r="HC2673" s="4"/>
      <c r="HD2673" s="4"/>
      <c r="HE2673" s="4"/>
      <c r="HF2673" s="4"/>
      <c r="HG2673" s="4"/>
      <c r="HH2673" s="4"/>
      <c r="HI2673" s="4"/>
      <c r="HJ2673" s="4"/>
      <c r="HK2673" s="4"/>
      <c r="HL2673" s="4"/>
    </row>
    <row r="2674">
      <c r="A2674" s="2" t="s">
        <v>11444</v>
      </c>
      <c r="B2674" s="2" t="s">
        <v>1186</v>
      </c>
      <c r="C2674" s="2" t="s">
        <v>815</v>
      </c>
      <c r="D2674" s="2" t="s">
        <v>826</v>
      </c>
      <c r="E2674" s="2" t="s">
        <v>1060</v>
      </c>
      <c r="F2674" s="2" t="s">
        <v>11428</v>
      </c>
      <c r="G2674" s="2" t="s">
        <v>11428</v>
      </c>
      <c r="H2674" s="2" t="s">
        <v>11428</v>
      </c>
      <c r="I2674" s="2" t="s">
        <v>11442</v>
      </c>
      <c r="J2674" s="2" t="s">
        <v>669</v>
      </c>
      <c r="K2674" s="2" t="s">
        <v>1800</v>
      </c>
      <c r="L2674" s="3">
        <v>54.85</v>
      </c>
      <c r="M2674" s="3">
        <v>57.59</v>
      </c>
      <c r="N2674" s="3">
        <v>119.99</v>
      </c>
      <c r="O2674" s="2" t="s">
        <v>243</v>
      </c>
      <c r="P2674" s="2" t="s">
        <v>236</v>
      </c>
      <c r="Q2674" s="2" t="s">
        <v>237</v>
      </c>
      <c r="R2674" s="2" t="s">
        <v>231</v>
      </c>
      <c r="S2674" s="2" t="s">
        <v>11440</v>
      </c>
      <c r="T2674" s="2" t="s">
        <v>362</v>
      </c>
      <c r="U2674" s="2" t="s">
        <v>835</v>
      </c>
      <c r="V2674" s="2" t="s">
        <v>391</v>
      </c>
      <c r="W2674" s="2" t="s">
        <v>1829</v>
      </c>
      <c r="X2674" s="2" t="s">
        <v>273</v>
      </c>
      <c r="Y2674" s="2" t="s">
        <v>6979</v>
      </c>
      <c r="Z2674" s="4"/>
      <c r="AA2674" s="4">
        <f>=ROUNDDOWN({0},0)</f>
      </c>
      <c r="AB2674" s="5"/>
      <c r="AC2674" s="2" t="s">
        <v>3415</v>
      </c>
      <c r="AD2674" s="4">
        <v>90</v>
      </c>
      <c r="AE2674" s="4">
        <v>179</v>
      </c>
      <c r="AF2674" s="6">
        <v>65</v>
      </c>
      <c r="AG2674" s="6"/>
      <c r="AH2674" s="7">
        <v>0</v>
      </c>
      <c r="AI2674" s="4"/>
      <c r="AJ2674" s="4">
        <f>=ROUNDDOWN({0},0)</f>
      </c>
      <c r="AK2674" s="5"/>
      <c r="AL2674" s="2" t="s">
        <v>231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231</v>
      </c>
      <c r="AW2674" s="8" t="s">
        <v>231</v>
      </c>
      <c r="AX2674" s="4" t="s">
        <v>231</v>
      </c>
      <c r="AY2674" s="8" t="s">
        <v>231</v>
      </c>
      <c r="AZ2674" s="7" t="s">
        <v>231</v>
      </c>
      <c r="BA2674" s="7" t="s">
        <v>231</v>
      </c>
      <c r="BB2674" s="7" t="s">
        <v>231</v>
      </c>
      <c r="BC2674" s="4" t="s">
        <v>231</v>
      </c>
      <c r="BD2674" s="8" t="s">
        <v>231</v>
      </c>
      <c r="BE2674" s="4" t="s">
        <v>231</v>
      </c>
      <c r="BF2674" s="8" t="s">
        <v>231</v>
      </c>
      <c r="BG2674" s="7" t="s">
        <v>231</v>
      </c>
      <c r="BH2674" s="7" t="s">
        <v>231</v>
      </c>
      <c r="BI2674" s="7"/>
      <c r="BJ2674" s="4"/>
      <c r="BK2674" s="8"/>
      <c r="BL2674" s="2" t="s">
        <v>231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241</v>
      </c>
      <c r="BV2674" s="2" t="s">
        <v>231</v>
      </c>
      <c r="BW2674" s="2" t="s">
        <v>231</v>
      </c>
      <c r="BX2674" s="2" t="s">
        <v>241</v>
      </c>
      <c r="BY2674" s="2" t="s">
        <v>242</v>
      </c>
      <c r="BZ2674" s="2" t="s">
        <v>243</v>
      </c>
      <c r="CA2674" s="2" t="s">
        <v>231</v>
      </c>
      <c r="CB2674" s="2" t="s">
        <v>231</v>
      </c>
      <c r="CC2674" s="2" t="s">
        <v>244</v>
      </c>
      <c r="CD2674" s="2" t="s">
        <v>231</v>
      </c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>
        <v>90</v>
      </c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  <c r="DL2674" s="4"/>
      <c r="DM2674" s="4"/>
      <c r="DN2674" s="4"/>
      <c r="DO2674" s="4"/>
      <c r="DP2674" s="4"/>
      <c r="DQ2674" s="4"/>
      <c r="DR2674" s="4"/>
      <c r="DS2674" s="4"/>
      <c r="DT2674" s="4"/>
      <c r="DU2674" s="4"/>
      <c r="DV2674" s="4"/>
      <c r="DW2674" s="4"/>
      <c r="DX2674" s="4"/>
      <c r="DY2674" s="4"/>
      <c r="DZ2674" s="4"/>
      <c r="EA2674" s="4"/>
      <c r="EB2674" s="4"/>
      <c r="EC2674" s="4"/>
      <c r="ED2674" s="4"/>
      <c r="EE2674" s="4"/>
      <c r="EF2674" s="4"/>
      <c r="EG2674" s="4">
        <v>89</v>
      </c>
      <c r="EH2674" s="4"/>
      <c r="EI2674" s="4"/>
      <c r="EJ2674" s="4"/>
      <c r="EK2674" s="4"/>
      <c r="EL2674" s="4"/>
      <c r="EM2674" s="4"/>
      <c r="EN2674" s="4"/>
      <c r="EO2674" s="4"/>
      <c r="EP2674" s="4"/>
      <c r="EQ2674" s="4"/>
      <c r="ER2674" s="4"/>
      <c r="ES2674" s="4"/>
      <c r="ET2674" s="4"/>
      <c r="EU2674" s="4"/>
      <c r="EV2674" s="4"/>
      <c r="EW2674" s="4"/>
      <c r="EX2674" s="4"/>
      <c r="EY2674" s="4"/>
      <c r="EZ2674" s="4"/>
      <c r="FA2674" s="4"/>
      <c r="FB2674" s="4"/>
      <c r="FC2674" s="4"/>
      <c r="FD2674" s="4"/>
      <c r="FE2674" s="4"/>
      <c r="FF2674" s="4"/>
      <c r="FG2674" s="4"/>
      <c r="FH2674" s="4"/>
      <c r="FI2674" s="4"/>
      <c r="FJ2674" s="4"/>
      <c r="FK2674" s="4"/>
      <c r="FL2674" s="4"/>
      <c r="FM2674" s="4"/>
      <c r="FN2674" s="4"/>
      <c r="FO2674" s="4"/>
      <c r="FP2674" s="4"/>
      <c r="FQ2674" s="4"/>
      <c r="FR2674" s="4"/>
      <c r="FS2674" s="4"/>
      <c r="FT2674" s="4"/>
      <c r="FU2674" s="4"/>
      <c r="FV2674" s="4"/>
      <c r="FW2674" s="4"/>
      <c r="FX2674" s="4"/>
      <c r="FY2674" s="4"/>
      <c r="FZ2674" s="4"/>
      <c r="GA2674" s="4"/>
      <c r="GB2674" s="4"/>
      <c r="GC2674" s="4"/>
      <c r="GD2674" s="4"/>
      <c r="GE2674" s="4"/>
      <c r="GF2674" s="4"/>
      <c r="GG2674" s="4"/>
      <c r="GH2674" s="4"/>
      <c r="GI2674" s="4"/>
      <c r="GJ2674" s="4"/>
      <c r="GK2674" s="4"/>
      <c r="GL2674" s="4"/>
      <c r="GM2674" s="4"/>
      <c r="GN2674" s="4"/>
      <c r="GO2674" s="4"/>
      <c r="GP2674" s="4"/>
      <c r="GQ2674" s="4"/>
      <c r="GR2674" s="4"/>
      <c r="GS2674" s="4"/>
      <c r="GT2674" s="4"/>
      <c r="GU2674" s="4"/>
      <c r="GV2674" s="4"/>
      <c r="GW2674" s="4"/>
      <c r="GX2674" s="4"/>
      <c r="GY2674" s="4"/>
      <c r="GZ2674" s="4"/>
      <c r="HA2674" s="4"/>
      <c r="HB2674" s="4"/>
      <c r="HC2674" s="4"/>
      <c r="HD2674" s="4"/>
      <c r="HE2674" s="4"/>
      <c r="HF2674" s="4"/>
      <c r="HG2674" s="4"/>
      <c r="HH2674" s="4"/>
      <c r="HI2674" s="4"/>
      <c r="HJ2674" s="4"/>
      <c r="HK2674" s="4"/>
      <c r="HL2674" s="4"/>
    </row>
    <row r="2675">
      <c r="A2675" s="2" t="s">
        <v>11445</v>
      </c>
      <c r="B2675" s="2" t="s">
        <v>1186</v>
      </c>
      <c r="C2675" s="2" t="s">
        <v>815</v>
      </c>
      <c r="D2675" s="2" t="s">
        <v>654</v>
      </c>
      <c r="E2675" s="2" t="s">
        <v>890</v>
      </c>
      <c r="F2675" s="2" t="s">
        <v>11428</v>
      </c>
      <c r="G2675" s="2" t="s">
        <v>11428</v>
      </c>
      <c r="H2675" s="2" t="s">
        <v>11428</v>
      </c>
      <c r="I2675" s="2" t="s">
        <v>11439</v>
      </c>
      <c r="J2675" s="2" t="s">
        <v>658</v>
      </c>
      <c r="K2675" s="2" t="s">
        <v>452</v>
      </c>
      <c r="L2675" s="3">
        <v>54.85</v>
      </c>
      <c r="M2675" s="3">
        <v>57.59</v>
      </c>
      <c r="N2675" s="3">
        <v>119.99</v>
      </c>
      <c r="O2675" s="2" t="s">
        <v>243</v>
      </c>
      <c r="P2675" s="2" t="s">
        <v>236</v>
      </c>
      <c r="Q2675" s="2" t="s">
        <v>237</v>
      </c>
      <c r="R2675" s="2" t="s">
        <v>231</v>
      </c>
      <c r="S2675" s="2" t="s">
        <v>11446</v>
      </c>
      <c r="T2675" s="2" t="s">
        <v>362</v>
      </c>
      <c r="U2675" s="2" t="s">
        <v>835</v>
      </c>
      <c r="V2675" s="2" t="s">
        <v>391</v>
      </c>
      <c r="W2675" s="2" t="s">
        <v>1829</v>
      </c>
      <c r="X2675" s="2" t="s">
        <v>273</v>
      </c>
      <c r="Y2675" s="2" t="s">
        <v>6979</v>
      </c>
      <c r="Z2675" s="4"/>
      <c r="AA2675" s="4">
        <f>=ROUNDDOWN({0},0)</f>
      </c>
      <c r="AB2675" s="5"/>
      <c r="AC2675" s="2" t="s">
        <v>3415</v>
      </c>
      <c r="AD2675" s="4">
        <v>110</v>
      </c>
      <c r="AE2675" s="4">
        <v>220</v>
      </c>
      <c r="AF2675" s="6">
        <v>65</v>
      </c>
      <c r="AG2675" s="6"/>
      <c r="AH2675" s="7">
        <v>0</v>
      </c>
      <c r="AI2675" s="4"/>
      <c r="AJ2675" s="4">
        <f>=ROUNDDOWN({0},0)</f>
      </c>
      <c r="AK2675" s="5"/>
      <c r="AL2675" s="2" t="s">
        <v>231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231</v>
      </c>
      <c r="AW2675" s="8" t="s">
        <v>231</v>
      </c>
      <c r="AX2675" s="4" t="s">
        <v>231</v>
      </c>
      <c r="AY2675" s="8" t="s">
        <v>231</v>
      </c>
      <c r="AZ2675" s="7" t="s">
        <v>231</v>
      </c>
      <c r="BA2675" s="7" t="s">
        <v>231</v>
      </c>
      <c r="BB2675" s="7" t="s">
        <v>231</v>
      </c>
      <c r="BC2675" s="4" t="s">
        <v>231</v>
      </c>
      <c r="BD2675" s="8" t="s">
        <v>231</v>
      </c>
      <c r="BE2675" s="4" t="s">
        <v>231</v>
      </c>
      <c r="BF2675" s="8" t="s">
        <v>231</v>
      </c>
      <c r="BG2675" s="7" t="s">
        <v>231</v>
      </c>
      <c r="BH2675" s="7" t="s">
        <v>231</v>
      </c>
      <c r="BI2675" s="7"/>
      <c r="BJ2675" s="4"/>
      <c r="BK2675" s="8"/>
      <c r="BL2675" s="2" t="s">
        <v>231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241</v>
      </c>
      <c r="BV2675" s="2" t="s">
        <v>231</v>
      </c>
      <c r="BW2675" s="2" t="s">
        <v>231</v>
      </c>
      <c r="BX2675" s="2" t="s">
        <v>241</v>
      </c>
      <c r="BY2675" s="2" t="s">
        <v>242</v>
      </c>
      <c r="BZ2675" s="2" t="s">
        <v>243</v>
      </c>
      <c r="CA2675" s="2" t="s">
        <v>231</v>
      </c>
      <c r="CB2675" s="2" t="s">
        <v>231</v>
      </c>
      <c r="CC2675" s="2" t="s">
        <v>244</v>
      </c>
      <c r="CD2675" s="2" t="s">
        <v>231</v>
      </c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>
        <v>110</v>
      </c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  <c r="DL2675" s="4"/>
      <c r="DM2675" s="4"/>
      <c r="DN2675" s="4"/>
      <c r="DO2675" s="4"/>
      <c r="DP2675" s="4"/>
      <c r="DQ2675" s="4"/>
      <c r="DR2675" s="4"/>
      <c r="DS2675" s="4"/>
      <c r="DT2675" s="4"/>
      <c r="DU2675" s="4"/>
      <c r="DV2675" s="4"/>
      <c r="DW2675" s="4"/>
      <c r="DX2675" s="4"/>
      <c r="DY2675" s="4"/>
      <c r="DZ2675" s="4"/>
      <c r="EA2675" s="4"/>
      <c r="EB2675" s="4"/>
      <c r="EC2675" s="4"/>
      <c r="ED2675" s="4"/>
      <c r="EE2675" s="4"/>
      <c r="EF2675" s="4"/>
      <c r="EG2675" s="4">
        <v>110</v>
      </c>
      <c r="EH2675" s="4"/>
      <c r="EI2675" s="4"/>
      <c r="EJ2675" s="4"/>
      <c r="EK2675" s="4"/>
      <c r="EL2675" s="4"/>
      <c r="EM2675" s="4"/>
      <c r="EN2675" s="4"/>
      <c r="EO2675" s="4"/>
      <c r="EP2675" s="4"/>
      <c r="EQ2675" s="4"/>
      <c r="ER2675" s="4"/>
      <c r="ES2675" s="4"/>
      <c r="ET2675" s="4"/>
      <c r="EU2675" s="4"/>
      <c r="EV2675" s="4"/>
      <c r="EW2675" s="4"/>
      <c r="EX2675" s="4"/>
      <c r="EY2675" s="4"/>
      <c r="EZ2675" s="4"/>
      <c r="FA2675" s="4"/>
      <c r="FB2675" s="4"/>
      <c r="FC2675" s="4"/>
      <c r="FD2675" s="4"/>
      <c r="FE2675" s="4"/>
      <c r="FF2675" s="4"/>
      <c r="FG2675" s="4"/>
      <c r="FH2675" s="4"/>
      <c r="FI2675" s="4"/>
      <c r="FJ2675" s="4"/>
      <c r="FK2675" s="4"/>
      <c r="FL2675" s="4"/>
      <c r="FM2675" s="4"/>
      <c r="FN2675" s="4"/>
      <c r="FO2675" s="4"/>
      <c r="FP2675" s="4"/>
      <c r="FQ2675" s="4"/>
      <c r="FR2675" s="4"/>
      <c r="FS2675" s="4"/>
      <c r="FT2675" s="4"/>
      <c r="FU2675" s="4"/>
      <c r="FV2675" s="4"/>
      <c r="FW2675" s="4"/>
      <c r="FX2675" s="4"/>
      <c r="FY2675" s="4"/>
      <c r="FZ2675" s="4"/>
      <c r="GA2675" s="4"/>
      <c r="GB2675" s="4"/>
      <c r="GC2675" s="4"/>
      <c r="GD2675" s="4"/>
      <c r="GE2675" s="4"/>
      <c r="GF2675" s="4"/>
      <c r="GG2675" s="4"/>
      <c r="GH2675" s="4"/>
      <c r="GI2675" s="4"/>
      <c r="GJ2675" s="4"/>
      <c r="GK2675" s="4"/>
      <c r="GL2675" s="4"/>
      <c r="GM2675" s="4"/>
      <c r="GN2675" s="4"/>
      <c r="GO2675" s="4"/>
      <c r="GP2675" s="4"/>
      <c r="GQ2675" s="4"/>
      <c r="GR2675" s="4"/>
      <c r="GS2675" s="4"/>
      <c r="GT2675" s="4"/>
      <c r="GU2675" s="4"/>
      <c r="GV2675" s="4"/>
      <c r="GW2675" s="4"/>
      <c r="GX2675" s="4"/>
      <c r="GY2675" s="4"/>
      <c r="GZ2675" s="4"/>
      <c r="HA2675" s="4"/>
      <c r="HB2675" s="4"/>
      <c r="HC2675" s="4"/>
      <c r="HD2675" s="4"/>
      <c r="HE2675" s="4"/>
      <c r="HF2675" s="4"/>
      <c r="HG2675" s="4"/>
      <c r="HH2675" s="4"/>
      <c r="HI2675" s="4"/>
      <c r="HJ2675" s="4"/>
      <c r="HK2675" s="4"/>
      <c r="HL2675" s="4"/>
    </row>
    <row r="2676">
      <c r="A2676" s="2" t="s">
        <v>11447</v>
      </c>
      <c r="B2676" s="2" t="s">
        <v>1186</v>
      </c>
      <c r="C2676" s="2" t="s">
        <v>815</v>
      </c>
      <c r="D2676" s="2" t="s">
        <v>826</v>
      </c>
      <c r="E2676" s="2" t="s">
        <v>1060</v>
      </c>
      <c r="F2676" s="2" t="s">
        <v>11428</v>
      </c>
      <c r="G2676" s="2" t="s">
        <v>11428</v>
      </c>
      <c r="H2676" s="2" t="s">
        <v>11428</v>
      </c>
      <c r="I2676" s="2" t="s">
        <v>11442</v>
      </c>
      <c r="J2676" s="2" t="s">
        <v>658</v>
      </c>
      <c r="K2676" s="2" t="s">
        <v>452</v>
      </c>
      <c r="L2676" s="3">
        <v>45.71</v>
      </c>
      <c r="M2676" s="3">
        <v>48</v>
      </c>
      <c r="N2676" s="3">
        <v>99.99</v>
      </c>
      <c r="O2676" s="2" t="s">
        <v>243</v>
      </c>
      <c r="P2676" s="2" t="s">
        <v>236</v>
      </c>
      <c r="Q2676" s="2" t="s">
        <v>237</v>
      </c>
      <c r="R2676" s="2" t="s">
        <v>231</v>
      </c>
      <c r="S2676" s="2" t="s">
        <v>11446</v>
      </c>
      <c r="T2676" s="2" t="s">
        <v>362</v>
      </c>
      <c r="U2676" s="2" t="s">
        <v>835</v>
      </c>
      <c r="V2676" s="2" t="s">
        <v>391</v>
      </c>
      <c r="W2676" s="2" t="s">
        <v>1829</v>
      </c>
      <c r="X2676" s="2" t="s">
        <v>273</v>
      </c>
      <c r="Y2676" s="2" t="s">
        <v>6979</v>
      </c>
      <c r="Z2676" s="4"/>
      <c r="AA2676" s="4">
        <f>=ROUNDDOWN({0},0)</f>
      </c>
      <c r="AB2676" s="5"/>
      <c r="AC2676" s="2" t="s">
        <v>3415</v>
      </c>
      <c r="AD2676" s="4">
        <v>100</v>
      </c>
      <c r="AE2676" s="4">
        <v>200</v>
      </c>
      <c r="AF2676" s="6">
        <v>65</v>
      </c>
      <c r="AG2676" s="6"/>
      <c r="AH2676" s="7">
        <v>0</v>
      </c>
      <c r="AI2676" s="4"/>
      <c r="AJ2676" s="4">
        <f>=ROUNDDOWN({0},0)</f>
      </c>
      <c r="AK2676" s="5"/>
      <c r="AL2676" s="2" t="s">
        <v>231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231</v>
      </c>
      <c r="AW2676" s="8" t="s">
        <v>231</v>
      </c>
      <c r="AX2676" s="4" t="s">
        <v>231</v>
      </c>
      <c r="AY2676" s="8" t="s">
        <v>231</v>
      </c>
      <c r="AZ2676" s="7" t="s">
        <v>231</v>
      </c>
      <c r="BA2676" s="7" t="s">
        <v>231</v>
      </c>
      <c r="BB2676" s="7" t="s">
        <v>231</v>
      </c>
      <c r="BC2676" s="4" t="s">
        <v>231</v>
      </c>
      <c r="BD2676" s="8" t="s">
        <v>231</v>
      </c>
      <c r="BE2676" s="4" t="s">
        <v>231</v>
      </c>
      <c r="BF2676" s="8" t="s">
        <v>231</v>
      </c>
      <c r="BG2676" s="7" t="s">
        <v>231</v>
      </c>
      <c r="BH2676" s="7" t="s">
        <v>231</v>
      </c>
      <c r="BI2676" s="7"/>
      <c r="BJ2676" s="4"/>
      <c r="BK2676" s="8"/>
      <c r="BL2676" s="2" t="s">
        <v>231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241</v>
      </c>
      <c r="BV2676" s="2" t="s">
        <v>231</v>
      </c>
      <c r="BW2676" s="2" t="s">
        <v>231</v>
      </c>
      <c r="BX2676" s="2" t="s">
        <v>241</v>
      </c>
      <c r="BY2676" s="2" t="s">
        <v>242</v>
      </c>
      <c r="BZ2676" s="2" t="s">
        <v>243</v>
      </c>
      <c r="CA2676" s="2" t="s">
        <v>231</v>
      </c>
      <c r="CB2676" s="2" t="s">
        <v>231</v>
      </c>
      <c r="CC2676" s="2" t="s">
        <v>244</v>
      </c>
      <c r="CD2676" s="2" t="s">
        <v>231</v>
      </c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>
        <v>100</v>
      </c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  <c r="DL2676" s="4"/>
      <c r="DM2676" s="4"/>
      <c r="DN2676" s="4"/>
      <c r="DO2676" s="4"/>
      <c r="DP2676" s="4"/>
      <c r="DQ2676" s="4"/>
      <c r="DR2676" s="4"/>
      <c r="DS2676" s="4"/>
      <c r="DT2676" s="4"/>
      <c r="DU2676" s="4"/>
      <c r="DV2676" s="4"/>
      <c r="DW2676" s="4"/>
      <c r="DX2676" s="4"/>
      <c r="DY2676" s="4"/>
      <c r="DZ2676" s="4"/>
      <c r="EA2676" s="4"/>
      <c r="EB2676" s="4"/>
      <c r="EC2676" s="4"/>
      <c r="ED2676" s="4"/>
      <c r="EE2676" s="4"/>
      <c r="EF2676" s="4"/>
      <c r="EG2676" s="4">
        <v>100</v>
      </c>
      <c r="EH2676" s="4"/>
      <c r="EI2676" s="4"/>
      <c r="EJ2676" s="4"/>
      <c r="EK2676" s="4"/>
      <c r="EL2676" s="4"/>
      <c r="EM2676" s="4"/>
      <c r="EN2676" s="4"/>
      <c r="EO2676" s="4"/>
      <c r="EP2676" s="4"/>
      <c r="EQ2676" s="4"/>
      <c r="ER2676" s="4"/>
      <c r="ES2676" s="4"/>
      <c r="ET2676" s="4"/>
      <c r="EU2676" s="4"/>
      <c r="EV2676" s="4"/>
      <c r="EW2676" s="4"/>
      <c r="EX2676" s="4"/>
      <c r="EY2676" s="4"/>
      <c r="EZ2676" s="4"/>
      <c r="FA2676" s="4"/>
      <c r="FB2676" s="4"/>
      <c r="FC2676" s="4"/>
      <c r="FD2676" s="4"/>
      <c r="FE2676" s="4"/>
      <c r="FF2676" s="4"/>
      <c r="FG2676" s="4"/>
      <c r="FH2676" s="4"/>
      <c r="FI2676" s="4"/>
      <c r="FJ2676" s="4"/>
      <c r="FK2676" s="4"/>
      <c r="FL2676" s="4"/>
      <c r="FM2676" s="4"/>
      <c r="FN2676" s="4"/>
      <c r="FO2676" s="4"/>
      <c r="FP2676" s="4"/>
      <c r="FQ2676" s="4"/>
      <c r="FR2676" s="4"/>
      <c r="FS2676" s="4"/>
      <c r="FT2676" s="4"/>
      <c r="FU2676" s="4"/>
      <c r="FV2676" s="4"/>
      <c r="FW2676" s="4"/>
      <c r="FX2676" s="4"/>
      <c r="FY2676" s="4"/>
      <c r="FZ2676" s="4"/>
      <c r="GA2676" s="4"/>
      <c r="GB2676" s="4"/>
      <c r="GC2676" s="4"/>
      <c r="GD2676" s="4"/>
      <c r="GE2676" s="4"/>
      <c r="GF2676" s="4"/>
      <c r="GG2676" s="4"/>
      <c r="GH2676" s="4"/>
      <c r="GI2676" s="4"/>
      <c r="GJ2676" s="4"/>
      <c r="GK2676" s="4"/>
      <c r="GL2676" s="4"/>
      <c r="GM2676" s="4"/>
      <c r="GN2676" s="4"/>
      <c r="GO2676" s="4"/>
      <c r="GP2676" s="4"/>
      <c r="GQ2676" s="4"/>
      <c r="GR2676" s="4"/>
      <c r="GS2676" s="4"/>
      <c r="GT2676" s="4"/>
      <c r="GU2676" s="4"/>
      <c r="GV2676" s="4"/>
      <c r="GW2676" s="4"/>
      <c r="GX2676" s="4"/>
      <c r="GY2676" s="4"/>
      <c r="GZ2676" s="4"/>
      <c r="HA2676" s="4"/>
      <c r="HB2676" s="4"/>
      <c r="HC2676" s="4"/>
      <c r="HD2676" s="4"/>
      <c r="HE2676" s="4"/>
      <c r="HF2676" s="4"/>
      <c r="HG2676" s="4"/>
      <c r="HH2676" s="4"/>
      <c r="HI2676" s="4"/>
      <c r="HJ2676" s="4"/>
      <c r="HK2676" s="4"/>
      <c r="HL2676" s="4"/>
    </row>
    <row r="2677">
      <c r="A2677" s="2" t="s">
        <v>11448</v>
      </c>
      <c r="B2677" s="2" t="s">
        <v>1186</v>
      </c>
      <c r="C2677" s="2" t="s">
        <v>815</v>
      </c>
      <c r="D2677" s="2" t="s">
        <v>654</v>
      </c>
      <c r="E2677" s="2" t="s">
        <v>890</v>
      </c>
      <c r="F2677" s="2" t="s">
        <v>11428</v>
      </c>
      <c r="G2677" s="2" t="s">
        <v>11428</v>
      </c>
      <c r="H2677" s="2" t="s">
        <v>11428</v>
      </c>
      <c r="I2677" s="2" t="s">
        <v>11439</v>
      </c>
      <c r="J2677" s="2" t="s">
        <v>669</v>
      </c>
      <c r="K2677" s="2" t="s">
        <v>452</v>
      </c>
      <c r="L2677" s="3">
        <v>64</v>
      </c>
      <c r="M2677" s="3">
        <v>67.2</v>
      </c>
      <c r="N2677" s="3">
        <v>139.99</v>
      </c>
      <c r="O2677" s="2" t="s">
        <v>243</v>
      </c>
      <c r="P2677" s="2" t="s">
        <v>236</v>
      </c>
      <c r="Q2677" s="2" t="s">
        <v>237</v>
      </c>
      <c r="R2677" s="2" t="s">
        <v>231</v>
      </c>
      <c r="S2677" s="2" t="s">
        <v>11446</v>
      </c>
      <c r="T2677" s="2" t="s">
        <v>362</v>
      </c>
      <c r="U2677" s="2" t="s">
        <v>835</v>
      </c>
      <c r="V2677" s="2" t="s">
        <v>391</v>
      </c>
      <c r="W2677" s="2" t="s">
        <v>1829</v>
      </c>
      <c r="X2677" s="2" t="s">
        <v>273</v>
      </c>
      <c r="Y2677" s="2" t="s">
        <v>6979</v>
      </c>
      <c r="Z2677" s="4"/>
      <c r="AA2677" s="4">
        <f>=ROUNDDOWN({0},0)</f>
      </c>
      <c r="AB2677" s="5"/>
      <c r="AC2677" s="2" t="s">
        <v>3415</v>
      </c>
      <c r="AD2677" s="4">
        <v>100</v>
      </c>
      <c r="AE2677" s="4">
        <v>200</v>
      </c>
      <c r="AF2677" s="6">
        <v>65</v>
      </c>
      <c r="AG2677" s="6"/>
      <c r="AH2677" s="7">
        <v>0</v>
      </c>
      <c r="AI2677" s="4"/>
      <c r="AJ2677" s="4">
        <f>=ROUNDDOWN({0},0)</f>
      </c>
      <c r="AK2677" s="5"/>
      <c r="AL2677" s="2" t="s">
        <v>231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231</v>
      </c>
      <c r="AW2677" s="8" t="s">
        <v>231</v>
      </c>
      <c r="AX2677" s="4" t="s">
        <v>231</v>
      </c>
      <c r="AY2677" s="8" t="s">
        <v>231</v>
      </c>
      <c r="AZ2677" s="7" t="s">
        <v>231</v>
      </c>
      <c r="BA2677" s="7" t="s">
        <v>231</v>
      </c>
      <c r="BB2677" s="7" t="s">
        <v>231</v>
      </c>
      <c r="BC2677" s="4" t="s">
        <v>231</v>
      </c>
      <c r="BD2677" s="8" t="s">
        <v>231</v>
      </c>
      <c r="BE2677" s="4" t="s">
        <v>231</v>
      </c>
      <c r="BF2677" s="8" t="s">
        <v>231</v>
      </c>
      <c r="BG2677" s="7" t="s">
        <v>231</v>
      </c>
      <c r="BH2677" s="7" t="s">
        <v>231</v>
      </c>
      <c r="BI2677" s="7"/>
      <c r="BJ2677" s="4"/>
      <c r="BK2677" s="8"/>
      <c r="BL2677" s="2" t="s">
        <v>231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241</v>
      </c>
      <c r="BV2677" s="2" t="s">
        <v>231</v>
      </c>
      <c r="BW2677" s="2" t="s">
        <v>231</v>
      </c>
      <c r="BX2677" s="2" t="s">
        <v>241</v>
      </c>
      <c r="BY2677" s="2" t="s">
        <v>242</v>
      </c>
      <c r="BZ2677" s="2" t="s">
        <v>243</v>
      </c>
      <c r="CA2677" s="2" t="s">
        <v>231</v>
      </c>
      <c r="CB2677" s="2" t="s">
        <v>231</v>
      </c>
      <c r="CC2677" s="2" t="s">
        <v>244</v>
      </c>
      <c r="CD2677" s="2" t="s">
        <v>231</v>
      </c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>
        <v>100</v>
      </c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  <c r="DL2677" s="4"/>
      <c r="DM2677" s="4"/>
      <c r="DN2677" s="4"/>
      <c r="DO2677" s="4"/>
      <c r="DP2677" s="4"/>
      <c r="DQ2677" s="4"/>
      <c r="DR2677" s="4"/>
      <c r="DS2677" s="4"/>
      <c r="DT2677" s="4"/>
      <c r="DU2677" s="4"/>
      <c r="DV2677" s="4"/>
      <c r="DW2677" s="4"/>
      <c r="DX2677" s="4"/>
      <c r="DY2677" s="4"/>
      <c r="DZ2677" s="4"/>
      <c r="EA2677" s="4"/>
      <c r="EB2677" s="4"/>
      <c r="EC2677" s="4"/>
      <c r="ED2677" s="4"/>
      <c r="EE2677" s="4"/>
      <c r="EF2677" s="4"/>
      <c r="EG2677" s="4">
        <v>100</v>
      </c>
      <c r="EH2677" s="4"/>
      <c r="EI2677" s="4"/>
      <c r="EJ2677" s="4"/>
      <c r="EK2677" s="4"/>
      <c r="EL2677" s="4"/>
      <c r="EM2677" s="4"/>
      <c r="EN2677" s="4"/>
      <c r="EO2677" s="4"/>
      <c r="EP2677" s="4"/>
      <c r="EQ2677" s="4"/>
      <c r="ER2677" s="4"/>
      <c r="ES2677" s="4"/>
      <c r="ET2677" s="4"/>
      <c r="EU2677" s="4"/>
      <c r="EV2677" s="4"/>
      <c r="EW2677" s="4"/>
      <c r="EX2677" s="4"/>
      <c r="EY2677" s="4"/>
      <c r="EZ2677" s="4"/>
      <c r="FA2677" s="4"/>
      <c r="FB2677" s="4"/>
      <c r="FC2677" s="4"/>
      <c r="FD2677" s="4"/>
      <c r="FE2677" s="4"/>
      <c r="FF2677" s="4"/>
      <c r="FG2677" s="4"/>
      <c r="FH2677" s="4"/>
      <c r="FI2677" s="4"/>
      <c r="FJ2677" s="4"/>
      <c r="FK2677" s="4"/>
      <c r="FL2677" s="4"/>
      <c r="FM2677" s="4"/>
      <c r="FN2677" s="4"/>
      <c r="FO2677" s="4"/>
      <c r="FP2677" s="4"/>
      <c r="FQ2677" s="4"/>
      <c r="FR2677" s="4"/>
      <c r="FS2677" s="4"/>
      <c r="FT2677" s="4"/>
      <c r="FU2677" s="4"/>
      <c r="FV2677" s="4"/>
      <c r="FW2677" s="4"/>
      <c r="FX2677" s="4"/>
      <c r="FY2677" s="4"/>
      <c r="FZ2677" s="4"/>
      <c r="GA2677" s="4"/>
      <c r="GB2677" s="4"/>
      <c r="GC2677" s="4"/>
      <c r="GD2677" s="4"/>
      <c r="GE2677" s="4"/>
      <c r="GF2677" s="4"/>
      <c r="GG2677" s="4"/>
      <c r="GH2677" s="4"/>
      <c r="GI2677" s="4"/>
      <c r="GJ2677" s="4"/>
      <c r="GK2677" s="4"/>
      <c r="GL2677" s="4"/>
      <c r="GM2677" s="4"/>
      <c r="GN2677" s="4"/>
      <c r="GO2677" s="4"/>
      <c r="GP2677" s="4"/>
      <c r="GQ2677" s="4"/>
      <c r="GR2677" s="4"/>
      <c r="GS2677" s="4"/>
      <c r="GT2677" s="4"/>
      <c r="GU2677" s="4"/>
      <c r="GV2677" s="4"/>
      <c r="GW2677" s="4"/>
      <c r="GX2677" s="4"/>
      <c r="GY2677" s="4"/>
      <c r="GZ2677" s="4"/>
      <c r="HA2677" s="4"/>
      <c r="HB2677" s="4"/>
      <c r="HC2677" s="4"/>
      <c r="HD2677" s="4"/>
      <c r="HE2677" s="4"/>
      <c r="HF2677" s="4"/>
      <c r="HG2677" s="4"/>
      <c r="HH2677" s="4"/>
      <c r="HI2677" s="4"/>
      <c r="HJ2677" s="4"/>
      <c r="HK2677" s="4"/>
      <c r="HL2677" s="4"/>
    </row>
    <row r="2678">
      <c r="A2678" s="2" t="s">
        <v>11449</v>
      </c>
      <c r="B2678" s="2" t="s">
        <v>1186</v>
      </c>
      <c r="C2678" s="2" t="s">
        <v>815</v>
      </c>
      <c r="D2678" s="2" t="s">
        <v>826</v>
      </c>
      <c r="E2678" s="2" t="s">
        <v>1060</v>
      </c>
      <c r="F2678" s="2" t="s">
        <v>11428</v>
      </c>
      <c r="G2678" s="2" t="s">
        <v>11428</v>
      </c>
      <c r="H2678" s="2" t="s">
        <v>11428</v>
      </c>
      <c r="I2678" s="2" t="s">
        <v>11442</v>
      </c>
      <c r="J2678" s="2" t="s">
        <v>669</v>
      </c>
      <c r="K2678" s="2" t="s">
        <v>452</v>
      </c>
      <c r="L2678" s="3">
        <v>54.85</v>
      </c>
      <c r="M2678" s="3">
        <v>57.59</v>
      </c>
      <c r="N2678" s="3">
        <v>119.99</v>
      </c>
      <c r="O2678" s="2" t="s">
        <v>243</v>
      </c>
      <c r="P2678" s="2" t="s">
        <v>236</v>
      </c>
      <c r="Q2678" s="2" t="s">
        <v>237</v>
      </c>
      <c r="R2678" s="2" t="s">
        <v>231</v>
      </c>
      <c r="S2678" s="2" t="s">
        <v>11446</v>
      </c>
      <c r="T2678" s="2" t="s">
        <v>362</v>
      </c>
      <c r="U2678" s="2" t="s">
        <v>835</v>
      </c>
      <c r="V2678" s="2" t="s">
        <v>391</v>
      </c>
      <c r="W2678" s="2" t="s">
        <v>1829</v>
      </c>
      <c r="X2678" s="2" t="s">
        <v>273</v>
      </c>
      <c r="Y2678" s="2" t="s">
        <v>6979</v>
      </c>
      <c r="Z2678" s="4"/>
      <c r="AA2678" s="4">
        <f>=ROUNDDOWN({0},0)</f>
      </c>
      <c r="AB2678" s="5"/>
      <c r="AC2678" s="2" t="s">
        <v>3415</v>
      </c>
      <c r="AD2678" s="4">
        <v>90</v>
      </c>
      <c r="AE2678" s="4">
        <v>180</v>
      </c>
      <c r="AF2678" s="6">
        <v>65</v>
      </c>
      <c r="AG2678" s="6"/>
      <c r="AH2678" s="7">
        <v>0</v>
      </c>
      <c r="AI2678" s="4"/>
      <c r="AJ2678" s="4">
        <f>=ROUNDDOWN({0},0)</f>
      </c>
      <c r="AK2678" s="5"/>
      <c r="AL2678" s="2" t="s">
        <v>231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231</v>
      </c>
      <c r="AW2678" s="8" t="s">
        <v>231</v>
      </c>
      <c r="AX2678" s="4" t="s">
        <v>231</v>
      </c>
      <c r="AY2678" s="8" t="s">
        <v>231</v>
      </c>
      <c r="AZ2678" s="7" t="s">
        <v>231</v>
      </c>
      <c r="BA2678" s="7" t="s">
        <v>231</v>
      </c>
      <c r="BB2678" s="7" t="s">
        <v>231</v>
      </c>
      <c r="BC2678" s="4" t="s">
        <v>231</v>
      </c>
      <c r="BD2678" s="8" t="s">
        <v>231</v>
      </c>
      <c r="BE2678" s="4" t="s">
        <v>231</v>
      </c>
      <c r="BF2678" s="8" t="s">
        <v>231</v>
      </c>
      <c r="BG2678" s="7" t="s">
        <v>231</v>
      </c>
      <c r="BH2678" s="7" t="s">
        <v>231</v>
      </c>
      <c r="BI2678" s="7"/>
      <c r="BJ2678" s="4"/>
      <c r="BK2678" s="8"/>
      <c r="BL2678" s="2" t="s">
        <v>231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241</v>
      </c>
      <c r="BV2678" s="2" t="s">
        <v>231</v>
      </c>
      <c r="BW2678" s="2" t="s">
        <v>231</v>
      </c>
      <c r="BX2678" s="2" t="s">
        <v>241</v>
      </c>
      <c r="BY2678" s="2" t="s">
        <v>242</v>
      </c>
      <c r="BZ2678" s="2" t="s">
        <v>243</v>
      </c>
      <c r="CA2678" s="2" t="s">
        <v>231</v>
      </c>
      <c r="CB2678" s="2" t="s">
        <v>231</v>
      </c>
      <c r="CC2678" s="2" t="s">
        <v>244</v>
      </c>
      <c r="CD2678" s="2" t="s">
        <v>231</v>
      </c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>
        <v>90</v>
      </c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  <c r="DP2678" s="4"/>
      <c r="DQ2678" s="4"/>
      <c r="DR2678" s="4"/>
      <c r="DS2678" s="4"/>
      <c r="DT2678" s="4"/>
      <c r="DU2678" s="4"/>
      <c r="DV2678" s="4"/>
      <c r="DW2678" s="4"/>
      <c r="DX2678" s="4"/>
      <c r="DY2678" s="4"/>
      <c r="DZ2678" s="4"/>
      <c r="EA2678" s="4"/>
      <c r="EB2678" s="4"/>
      <c r="EC2678" s="4"/>
      <c r="ED2678" s="4"/>
      <c r="EE2678" s="4"/>
      <c r="EF2678" s="4"/>
      <c r="EG2678" s="4">
        <v>90</v>
      </c>
      <c r="EH2678" s="4"/>
      <c r="EI2678" s="4"/>
      <c r="EJ2678" s="4"/>
      <c r="EK2678" s="4"/>
      <c r="EL2678" s="4"/>
      <c r="EM2678" s="4"/>
      <c r="EN2678" s="4"/>
      <c r="EO2678" s="4"/>
      <c r="EP2678" s="4"/>
      <c r="EQ2678" s="4"/>
      <c r="ER2678" s="4"/>
      <c r="ES2678" s="4"/>
      <c r="ET2678" s="4"/>
      <c r="EU2678" s="4"/>
      <c r="EV2678" s="4"/>
      <c r="EW2678" s="4"/>
      <c r="EX2678" s="4"/>
      <c r="EY2678" s="4"/>
      <c r="EZ2678" s="4"/>
      <c r="FA2678" s="4"/>
      <c r="FB2678" s="4"/>
      <c r="FC2678" s="4"/>
      <c r="FD2678" s="4"/>
      <c r="FE2678" s="4"/>
      <c r="FF2678" s="4"/>
      <c r="FG2678" s="4"/>
      <c r="FH2678" s="4"/>
      <c r="FI2678" s="4"/>
      <c r="FJ2678" s="4"/>
      <c r="FK2678" s="4"/>
      <c r="FL2678" s="4"/>
      <c r="FM2678" s="4"/>
      <c r="FN2678" s="4"/>
      <c r="FO2678" s="4"/>
      <c r="FP2678" s="4"/>
      <c r="FQ2678" s="4"/>
      <c r="FR2678" s="4"/>
      <c r="FS2678" s="4"/>
      <c r="FT2678" s="4"/>
      <c r="FU2678" s="4"/>
      <c r="FV2678" s="4"/>
      <c r="FW2678" s="4"/>
      <c r="FX2678" s="4"/>
      <c r="FY2678" s="4"/>
      <c r="FZ2678" s="4"/>
      <c r="GA2678" s="4"/>
      <c r="GB2678" s="4"/>
      <c r="GC2678" s="4"/>
      <c r="GD2678" s="4"/>
      <c r="GE2678" s="4"/>
      <c r="GF2678" s="4"/>
      <c r="GG2678" s="4"/>
      <c r="GH2678" s="4"/>
      <c r="GI2678" s="4"/>
      <c r="GJ2678" s="4"/>
      <c r="GK2678" s="4"/>
      <c r="GL2678" s="4"/>
      <c r="GM2678" s="4"/>
      <c r="GN2678" s="4"/>
      <c r="GO2678" s="4"/>
      <c r="GP2678" s="4"/>
      <c r="GQ2678" s="4"/>
      <c r="GR2678" s="4"/>
      <c r="GS2678" s="4"/>
      <c r="GT2678" s="4"/>
      <c r="GU2678" s="4"/>
      <c r="GV2678" s="4"/>
      <c r="GW2678" s="4"/>
      <c r="GX2678" s="4"/>
      <c r="GY2678" s="4"/>
      <c r="GZ2678" s="4"/>
      <c r="HA2678" s="4"/>
      <c r="HB2678" s="4"/>
      <c r="HC2678" s="4"/>
      <c r="HD2678" s="4"/>
      <c r="HE2678" s="4"/>
      <c r="HF2678" s="4"/>
      <c r="HG2678" s="4"/>
      <c r="HH2678" s="4"/>
      <c r="HI2678" s="4"/>
      <c r="HJ2678" s="4"/>
      <c r="HK2678" s="4"/>
      <c r="HL2678" s="4"/>
    </row>
    <row r="2679">
      <c r="A2679" s="2" t="s">
        <v>11450</v>
      </c>
      <c r="B2679" s="2" t="s">
        <v>1004</v>
      </c>
      <c r="C2679" s="2" t="s">
        <v>288</v>
      </c>
      <c r="D2679" s="2" t="s">
        <v>2411</v>
      </c>
      <c r="E2679" s="2" t="s">
        <v>2412</v>
      </c>
      <c r="F2679" s="2" t="s">
        <v>11451</v>
      </c>
      <c r="G2679" s="2" t="s">
        <v>1222</v>
      </c>
      <c r="H2679" s="2" t="s">
        <v>11452</v>
      </c>
      <c r="I2679" s="2" t="s">
        <v>11453</v>
      </c>
      <c r="J2679" s="2" t="s">
        <v>807</v>
      </c>
      <c r="K2679" s="2" t="s">
        <v>1513</v>
      </c>
      <c r="L2679" s="3">
        <v>90</v>
      </c>
      <c r="M2679" s="3">
        <v>94.5</v>
      </c>
      <c r="N2679" s="3">
        <v>189</v>
      </c>
      <c r="O2679" s="2" t="s">
        <v>243</v>
      </c>
      <c r="P2679" s="2" t="s">
        <v>341</v>
      </c>
      <c r="Q2679" s="2" t="s">
        <v>237</v>
      </c>
      <c r="R2679" s="2" t="s">
        <v>231</v>
      </c>
      <c r="S2679" s="2" t="s">
        <v>11454</v>
      </c>
      <c r="T2679" s="2" t="s">
        <v>231</v>
      </c>
      <c r="U2679" s="2" t="s">
        <v>231</v>
      </c>
      <c r="V2679" s="2" t="s">
        <v>1685</v>
      </c>
      <c r="W2679" s="2" t="s">
        <v>691</v>
      </c>
      <c r="X2679" s="2" t="s">
        <v>231</v>
      </c>
      <c r="Y2679" s="2" t="s">
        <v>274</v>
      </c>
      <c r="Z2679" s="4"/>
      <c r="AA2679" s="4">
        <f>=ROUNDDOWN({0},0)</f>
      </c>
      <c r="AB2679" s="5"/>
      <c r="AC2679" s="2" t="s">
        <v>231</v>
      </c>
      <c r="AD2679" s="4"/>
      <c r="AE2679" s="4"/>
      <c r="AF2679" s="6">
        <v>67</v>
      </c>
      <c r="AG2679" s="6"/>
      <c r="AH2679" s="7">
        <v>0</v>
      </c>
      <c r="AI2679" s="4"/>
      <c r="AJ2679" s="4">
        <f>=ROUNDDOWN({0},0)</f>
      </c>
      <c r="AK2679" s="5"/>
      <c r="AL2679" s="2" t="s">
        <v>231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/>
      <c r="BD2679" s="8"/>
      <c r="BE2679" s="4"/>
      <c r="BF2679" s="8"/>
      <c r="BG2679" s="7"/>
      <c r="BH2679" s="7"/>
      <c r="BI2679" s="7"/>
      <c r="BJ2679" s="4"/>
      <c r="BK2679" s="8"/>
      <c r="BL2679" s="2" t="s">
        <v>231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11455</v>
      </c>
      <c r="BV2679" s="2" t="s">
        <v>231</v>
      </c>
      <c r="BW2679" s="2" t="s">
        <v>231</v>
      </c>
      <c r="BX2679" s="2" t="s">
        <v>231</v>
      </c>
      <c r="BY2679" s="2" t="s">
        <v>277</v>
      </c>
      <c r="BZ2679" s="2" t="s">
        <v>243</v>
      </c>
      <c r="CA2679" s="2" t="s">
        <v>9233</v>
      </c>
      <c r="CB2679" s="2" t="s">
        <v>11456</v>
      </c>
      <c r="CC2679" s="2" t="s">
        <v>244</v>
      </c>
      <c r="CD2679" s="2" t="s">
        <v>231</v>
      </c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/>
      <c r="DF2679" s="4"/>
      <c r="DG2679" s="4"/>
      <c r="DH2679" s="4"/>
      <c r="DI2679" s="4"/>
      <c r="DJ2679" s="4"/>
      <c r="DK2679" s="4"/>
      <c r="DL2679" s="4"/>
      <c r="DM2679" s="4"/>
      <c r="DN2679" s="4"/>
      <c r="DO2679" s="4"/>
      <c r="DP2679" s="4"/>
      <c r="DQ2679" s="4"/>
      <c r="DR2679" s="4"/>
      <c r="DS2679" s="4"/>
      <c r="DT2679" s="4"/>
      <c r="DU2679" s="4"/>
      <c r="DV2679" s="4"/>
      <c r="DW2679" s="4"/>
      <c r="DX2679" s="4"/>
      <c r="DY2679" s="4"/>
      <c r="DZ2679" s="4"/>
      <c r="EA2679" s="4"/>
      <c r="EB2679" s="4"/>
      <c r="EC2679" s="4"/>
      <c r="ED2679" s="4"/>
      <c r="EE2679" s="4"/>
      <c r="EF2679" s="4"/>
      <c r="EG2679" s="4"/>
      <c r="EH2679" s="4"/>
      <c r="EI2679" s="4"/>
      <c r="EJ2679" s="4"/>
      <c r="EK2679" s="4"/>
      <c r="EL2679" s="4"/>
      <c r="EM2679" s="4"/>
      <c r="EN2679" s="4"/>
      <c r="EO2679" s="4"/>
      <c r="EP2679" s="4"/>
      <c r="EQ2679" s="4"/>
      <c r="ER2679" s="4"/>
      <c r="ES2679" s="4"/>
      <c r="ET2679" s="4"/>
      <c r="EU2679" s="4"/>
      <c r="EV2679" s="4"/>
      <c r="EW2679" s="4"/>
      <c r="EX2679" s="4"/>
      <c r="EY2679" s="4"/>
      <c r="EZ2679" s="4"/>
      <c r="FA2679" s="4"/>
      <c r="FB2679" s="4"/>
      <c r="FC2679" s="4"/>
      <c r="FD2679" s="4"/>
      <c r="FE2679" s="4"/>
      <c r="FF2679" s="4"/>
      <c r="FG2679" s="4"/>
      <c r="FH2679" s="4"/>
      <c r="FI2679" s="4"/>
      <c r="FJ2679" s="4"/>
      <c r="FK2679" s="4"/>
      <c r="FL2679" s="4"/>
      <c r="FM2679" s="4"/>
      <c r="FN2679" s="4"/>
      <c r="FO2679" s="4"/>
      <c r="FP2679" s="4"/>
      <c r="FQ2679" s="4"/>
      <c r="FR2679" s="4"/>
      <c r="FS2679" s="4"/>
      <c r="FT2679" s="4"/>
      <c r="FU2679" s="4"/>
      <c r="FV2679" s="4"/>
      <c r="FW2679" s="4"/>
      <c r="FX2679" s="4"/>
      <c r="FY2679" s="4"/>
      <c r="FZ2679" s="4"/>
      <c r="GA2679" s="4"/>
      <c r="GB2679" s="4"/>
      <c r="GC2679" s="4"/>
      <c r="GD2679" s="4"/>
      <c r="GE2679" s="4"/>
      <c r="GF2679" s="4"/>
      <c r="GG2679" s="4"/>
      <c r="GH2679" s="4"/>
      <c r="GI2679" s="4"/>
      <c r="GJ2679" s="4"/>
      <c r="GK2679" s="4"/>
      <c r="GL2679" s="4"/>
      <c r="GM2679" s="4"/>
      <c r="GN2679" s="4"/>
      <c r="GO2679" s="4"/>
      <c r="GP2679" s="4"/>
      <c r="GQ2679" s="4"/>
      <c r="GR2679" s="4"/>
      <c r="GS2679" s="4"/>
      <c r="GT2679" s="4"/>
      <c r="GU2679" s="4"/>
      <c r="GV2679" s="4"/>
      <c r="GW2679" s="4"/>
      <c r="GX2679" s="4"/>
      <c r="GY2679" s="4"/>
      <c r="GZ2679" s="4"/>
      <c r="HA2679" s="4"/>
      <c r="HB2679" s="4"/>
      <c r="HC2679" s="4"/>
      <c r="HD2679" s="4"/>
      <c r="HE2679" s="4"/>
      <c r="HF2679" s="4"/>
      <c r="HG2679" s="4"/>
      <c r="HH2679" s="4"/>
      <c r="HI2679" s="4"/>
      <c r="HJ2679" s="4"/>
      <c r="HK2679" s="4"/>
      <c r="HL2679" s="4"/>
    </row>
    <row r="2680">
      <c r="A2680" s="2" t="s">
        <v>11457</v>
      </c>
      <c r="B2680" s="2" t="s">
        <v>1004</v>
      </c>
      <c r="C2680" s="2" t="s">
        <v>288</v>
      </c>
      <c r="D2680" s="2" t="s">
        <v>1922</v>
      </c>
      <c r="E2680" s="2" t="s">
        <v>1923</v>
      </c>
      <c r="F2680" s="2" t="s">
        <v>11458</v>
      </c>
      <c r="G2680" s="2" t="s">
        <v>11459</v>
      </c>
      <c r="H2680" s="2" t="s">
        <v>11460</v>
      </c>
      <c r="I2680" s="2" t="s">
        <v>11461</v>
      </c>
      <c r="J2680" s="2" t="s">
        <v>807</v>
      </c>
      <c r="K2680" s="2" t="s">
        <v>253</v>
      </c>
      <c r="L2680" s="3">
        <v>256.5</v>
      </c>
      <c r="M2680" s="3">
        <v>269.32</v>
      </c>
      <c r="N2680" s="3">
        <v>549</v>
      </c>
      <c r="O2680" s="2" t="s">
        <v>243</v>
      </c>
      <c r="P2680" s="2" t="s">
        <v>341</v>
      </c>
      <c r="Q2680" s="2" t="s">
        <v>237</v>
      </c>
      <c r="R2680" s="2" t="s">
        <v>231</v>
      </c>
      <c r="S2680" s="2" t="s">
        <v>231</v>
      </c>
      <c r="T2680" s="2" t="s">
        <v>231</v>
      </c>
      <c r="U2680" s="2" t="s">
        <v>791</v>
      </c>
      <c r="V2680" s="2" t="s">
        <v>662</v>
      </c>
      <c r="W2680" s="2" t="s">
        <v>691</v>
      </c>
      <c r="X2680" s="2" t="s">
        <v>299</v>
      </c>
      <c r="Y2680" s="2" t="s">
        <v>2294</v>
      </c>
      <c r="Z2680" s="4">
        <v>98</v>
      </c>
      <c r="AA2680" s="4">
        <f>=ROUNDDOWN(49,0)</f>
      </c>
      <c r="AB2680" s="5">
        <v>2</v>
      </c>
      <c r="AC2680" s="2" t="s">
        <v>231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231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/>
      <c r="BD2680" s="8"/>
      <c r="BE2680" s="4"/>
      <c r="BF2680" s="8"/>
      <c r="BG2680" s="7"/>
      <c r="BH2680" s="7"/>
      <c r="BI2680" s="7"/>
      <c r="BJ2680" s="4">
        <v>9</v>
      </c>
      <c r="BK2680" s="8">
        <v>1955.67</v>
      </c>
      <c r="BL2680" s="2" t="s">
        <v>11462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11463</v>
      </c>
      <c r="BV2680" s="2" t="s">
        <v>231</v>
      </c>
      <c r="BW2680" s="2" t="s">
        <v>231</v>
      </c>
      <c r="BX2680" s="2" t="s">
        <v>231</v>
      </c>
      <c r="BY2680" s="2" t="s">
        <v>277</v>
      </c>
      <c r="BZ2680" s="2" t="s">
        <v>243</v>
      </c>
      <c r="CA2680" s="2" t="s">
        <v>2521</v>
      </c>
      <c r="CB2680" s="2" t="s">
        <v>4000</v>
      </c>
      <c r="CC2680" s="2" t="s">
        <v>244</v>
      </c>
      <c r="CD2680" s="2" t="s">
        <v>231</v>
      </c>
      <c r="CE2680" s="4"/>
      <c r="CF2680" s="4">
        <v>98</v>
      </c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/>
      <c r="DF2680" s="4"/>
      <c r="DG2680" s="4"/>
      <c r="DH2680" s="4"/>
      <c r="DI2680" s="4"/>
      <c r="DJ2680" s="4"/>
      <c r="DK2680" s="4"/>
      <c r="DL2680" s="4"/>
      <c r="DM2680" s="4"/>
      <c r="DN2680" s="4"/>
      <c r="DO2680" s="4"/>
      <c r="DP2680" s="4"/>
      <c r="DQ2680" s="4"/>
      <c r="DR2680" s="4"/>
      <c r="DS2680" s="4"/>
      <c r="DT2680" s="4"/>
      <c r="DU2680" s="4"/>
      <c r="DV2680" s="4"/>
      <c r="DW2680" s="4"/>
      <c r="DX2680" s="4"/>
      <c r="DY2680" s="4"/>
      <c r="DZ2680" s="4"/>
      <c r="EA2680" s="4"/>
      <c r="EB2680" s="4"/>
      <c r="EC2680" s="4"/>
      <c r="ED2680" s="4"/>
      <c r="EE2680" s="4"/>
      <c r="EF2680" s="4"/>
      <c r="EG2680" s="4"/>
      <c r="EH2680" s="4"/>
      <c r="EI2680" s="4"/>
      <c r="EJ2680" s="4"/>
      <c r="EK2680" s="4"/>
      <c r="EL2680" s="4"/>
      <c r="EM2680" s="4"/>
      <c r="EN2680" s="4"/>
      <c r="EO2680" s="4"/>
      <c r="EP2680" s="4"/>
      <c r="EQ2680" s="4"/>
      <c r="ER2680" s="4"/>
      <c r="ES2680" s="4"/>
      <c r="ET2680" s="4"/>
      <c r="EU2680" s="4"/>
      <c r="EV2680" s="4"/>
      <c r="EW2680" s="4"/>
      <c r="EX2680" s="4"/>
      <c r="EY2680" s="4"/>
      <c r="EZ2680" s="4"/>
      <c r="FA2680" s="4"/>
      <c r="FB2680" s="4"/>
      <c r="FC2680" s="4"/>
      <c r="FD2680" s="4"/>
      <c r="FE2680" s="4"/>
      <c r="FF2680" s="4"/>
      <c r="FG2680" s="4"/>
      <c r="FH2680" s="4"/>
      <c r="FI2680" s="4"/>
      <c r="FJ2680" s="4"/>
      <c r="FK2680" s="4"/>
      <c r="FL2680" s="4"/>
      <c r="FM2680" s="4"/>
      <c r="FN2680" s="4"/>
      <c r="FO2680" s="4"/>
      <c r="FP2680" s="4"/>
      <c r="FQ2680" s="4"/>
      <c r="FR2680" s="4"/>
      <c r="FS2680" s="4"/>
      <c r="FT2680" s="4"/>
      <c r="FU2680" s="4"/>
      <c r="FV2680" s="4"/>
      <c r="FW2680" s="4"/>
      <c r="FX2680" s="4"/>
      <c r="FY2680" s="4"/>
      <c r="FZ2680" s="4"/>
      <c r="GA2680" s="4"/>
      <c r="GB2680" s="4"/>
      <c r="GC2680" s="4"/>
      <c r="GD2680" s="4"/>
      <c r="GE2680" s="4"/>
      <c r="GF2680" s="4"/>
      <c r="GG2680" s="4"/>
      <c r="GH2680" s="4"/>
      <c r="GI2680" s="4"/>
      <c r="GJ2680" s="4"/>
      <c r="GK2680" s="4"/>
      <c r="GL2680" s="4"/>
      <c r="GM2680" s="4"/>
      <c r="GN2680" s="4"/>
      <c r="GO2680" s="4"/>
      <c r="GP2680" s="4"/>
      <c r="GQ2680" s="4"/>
      <c r="GR2680" s="4"/>
      <c r="GS2680" s="4"/>
      <c r="GT2680" s="4"/>
      <c r="GU2680" s="4"/>
      <c r="GV2680" s="4"/>
      <c r="GW2680" s="4"/>
      <c r="GX2680" s="4"/>
      <c r="GY2680" s="4"/>
      <c r="GZ2680" s="4"/>
      <c r="HA2680" s="4"/>
      <c r="HB2680" s="4"/>
      <c r="HC2680" s="4"/>
      <c r="HD2680" s="4"/>
      <c r="HE2680" s="4"/>
      <c r="HF2680" s="4"/>
      <c r="HG2680" s="4"/>
      <c r="HH2680" s="4"/>
      <c r="HI2680" s="4"/>
      <c r="HJ2680" s="4"/>
      <c r="HK2680" s="4"/>
      <c r="HL2680" s="4"/>
    </row>
    <row r="2681">
      <c r="A2681" s="2" t="s">
        <v>11464</v>
      </c>
      <c r="B2681" s="2" t="s">
        <v>226</v>
      </c>
      <c r="C2681" s="2" t="s">
        <v>965</v>
      </c>
      <c r="D2681" s="2" t="s">
        <v>1549</v>
      </c>
      <c r="E2681" s="2" t="s">
        <v>3949</v>
      </c>
      <c r="F2681" s="2" t="s">
        <v>11465</v>
      </c>
      <c r="G2681" s="2" t="s">
        <v>11465</v>
      </c>
      <c r="H2681" s="2" t="s">
        <v>11465</v>
      </c>
      <c r="I2681" s="2" t="s">
        <v>3951</v>
      </c>
      <c r="J2681" s="2" t="s">
        <v>281</v>
      </c>
      <c r="K2681" s="2" t="s">
        <v>269</v>
      </c>
      <c r="L2681" s="3">
        <v>50</v>
      </c>
      <c r="M2681" s="3">
        <v>52.5</v>
      </c>
      <c r="N2681" s="3">
        <v>104.99</v>
      </c>
      <c r="O2681" s="2" t="s">
        <v>243</v>
      </c>
      <c r="P2681" s="2" t="s">
        <v>270</v>
      </c>
      <c r="Q2681" s="2" t="s">
        <v>237</v>
      </c>
      <c r="R2681" s="2" t="s">
        <v>231</v>
      </c>
      <c r="S2681" s="2" t="s">
        <v>11466</v>
      </c>
      <c r="T2681" s="2" t="s">
        <v>970</v>
      </c>
      <c r="U2681" s="2" t="s">
        <v>327</v>
      </c>
      <c r="V2681" s="2" t="s">
        <v>239</v>
      </c>
      <c r="W2681" s="2" t="s">
        <v>273</v>
      </c>
      <c r="X2681" s="2" t="s">
        <v>897</v>
      </c>
      <c r="Y2681" s="2" t="s">
        <v>3955</v>
      </c>
      <c r="Z2681" s="4">
        <v>180</v>
      </c>
      <c r="AA2681" s="4">
        <f>=ROUNDDOWN(20,0)</f>
      </c>
      <c r="AB2681" s="5">
        <v>9</v>
      </c>
      <c r="AC2681" s="2" t="s">
        <v>2049</v>
      </c>
      <c r="AD2681" s="4">
        <v>170</v>
      </c>
      <c r="AE2681" s="4">
        <v>170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231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231</v>
      </c>
      <c r="AW2681" s="8" t="s">
        <v>231</v>
      </c>
      <c r="AX2681" s="4" t="s">
        <v>231</v>
      </c>
      <c r="AY2681" s="8" t="s">
        <v>231</v>
      </c>
      <c r="AZ2681" s="7" t="s">
        <v>231</v>
      </c>
      <c r="BA2681" s="7" t="s">
        <v>231</v>
      </c>
      <c r="BB2681" s="7"/>
      <c r="BC2681" s="4" t="s">
        <v>231</v>
      </c>
      <c r="BD2681" s="8" t="s">
        <v>231</v>
      </c>
      <c r="BE2681" s="4" t="s">
        <v>231</v>
      </c>
      <c r="BF2681" s="8" t="s">
        <v>231</v>
      </c>
      <c r="BG2681" s="7" t="s">
        <v>231</v>
      </c>
      <c r="BH2681" s="7" t="s">
        <v>231</v>
      </c>
      <c r="BI2681" s="7"/>
      <c r="BJ2681" s="4">
        <v>6</v>
      </c>
      <c r="BK2681" s="8">
        <v>336.02</v>
      </c>
      <c r="BL2681" s="2" t="s">
        <v>11467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11468</v>
      </c>
      <c r="BV2681" s="2" t="s">
        <v>231</v>
      </c>
      <c r="BW2681" s="2" t="s">
        <v>231</v>
      </c>
      <c r="BX2681" s="2" t="s">
        <v>241</v>
      </c>
      <c r="BY2681" s="2" t="s">
        <v>277</v>
      </c>
      <c r="BZ2681" s="2" t="s">
        <v>243</v>
      </c>
      <c r="CA2681" s="2" t="s">
        <v>640</v>
      </c>
      <c r="CB2681" s="2" t="s">
        <v>1593</v>
      </c>
      <c r="CC2681" s="2" t="s">
        <v>244</v>
      </c>
      <c r="CD2681" s="2" t="s">
        <v>231</v>
      </c>
      <c r="CE2681" s="4">
        <v>180</v>
      </c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/>
      <c r="DF2681" s="4"/>
      <c r="DG2681" s="4"/>
      <c r="DH2681" s="4"/>
      <c r="DI2681" s="4"/>
      <c r="DJ2681" s="4"/>
      <c r="DK2681" s="4"/>
      <c r="DL2681" s="4"/>
      <c r="DM2681" s="4"/>
      <c r="DN2681" s="4"/>
      <c r="DO2681" s="4"/>
      <c r="DP2681" s="4"/>
      <c r="DQ2681" s="4"/>
      <c r="DR2681" s="4"/>
      <c r="DS2681" s="4"/>
      <c r="DT2681" s="4"/>
      <c r="DU2681" s="4"/>
      <c r="DV2681" s="4"/>
      <c r="DW2681" s="4"/>
      <c r="DX2681" s="4"/>
      <c r="DY2681" s="4"/>
      <c r="DZ2681" s="4"/>
      <c r="EA2681" s="4"/>
      <c r="EB2681" s="4"/>
      <c r="EC2681" s="4"/>
      <c r="ED2681" s="4"/>
      <c r="EE2681" s="4"/>
      <c r="EF2681" s="4"/>
      <c r="EG2681" s="4"/>
      <c r="EH2681" s="4"/>
      <c r="EI2681" s="4"/>
      <c r="EJ2681" s="4"/>
      <c r="EK2681" s="4"/>
      <c r="EL2681" s="4"/>
      <c r="EM2681" s="4"/>
      <c r="EN2681" s="4"/>
      <c r="EO2681" s="4"/>
      <c r="EP2681" s="4"/>
      <c r="EQ2681" s="4"/>
      <c r="ER2681" s="4"/>
      <c r="ES2681" s="4"/>
      <c r="ET2681" s="4"/>
      <c r="EU2681" s="4"/>
      <c r="EV2681" s="4"/>
      <c r="EW2681" s="4"/>
      <c r="EX2681" s="4"/>
      <c r="EY2681" s="4"/>
      <c r="EZ2681" s="4"/>
      <c r="FA2681" s="4"/>
      <c r="FB2681" s="4"/>
      <c r="FC2681" s="4"/>
      <c r="FD2681" s="4"/>
      <c r="FE2681" s="4"/>
      <c r="FF2681" s="4"/>
      <c r="FG2681" s="4"/>
      <c r="FH2681" s="4"/>
      <c r="FI2681" s="4"/>
      <c r="FJ2681" s="4"/>
      <c r="FK2681" s="4"/>
      <c r="FL2681" s="4"/>
      <c r="FM2681" s="4"/>
      <c r="FN2681" s="4"/>
      <c r="FO2681" s="4"/>
      <c r="FP2681" s="4"/>
      <c r="FQ2681" s="4"/>
      <c r="FR2681" s="4"/>
      <c r="FS2681" s="4"/>
      <c r="FT2681" s="4"/>
      <c r="FU2681" s="4"/>
      <c r="FV2681" s="4"/>
      <c r="FW2681" s="4"/>
      <c r="FX2681" s="4"/>
      <c r="FY2681" s="4"/>
      <c r="FZ2681" s="4"/>
      <c r="GA2681" s="4"/>
      <c r="GB2681" s="4"/>
      <c r="GC2681" s="4"/>
      <c r="GD2681" s="4"/>
      <c r="GE2681" s="4">
        <v>170</v>
      </c>
      <c r="GF2681" s="4"/>
      <c r="GG2681" s="4"/>
      <c r="GH2681" s="4"/>
      <c r="GI2681" s="4"/>
      <c r="GJ2681" s="4"/>
      <c r="GK2681" s="4"/>
      <c r="GL2681" s="4"/>
      <c r="GM2681" s="4"/>
      <c r="GN2681" s="4"/>
      <c r="GO2681" s="4"/>
      <c r="GP2681" s="4"/>
      <c r="GQ2681" s="4"/>
      <c r="GR2681" s="4"/>
      <c r="GS2681" s="4"/>
      <c r="GT2681" s="4"/>
      <c r="GU2681" s="4"/>
      <c r="GV2681" s="4"/>
      <c r="GW2681" s="4"/>
      <c r="GX2681" s="4"/>
      <c r="GY2681" s="4"/>
      <c r="GZ2681" s="4"/>
      <c r="HA2681" s="4"/>
      <c r="HB2681" s="4"/>
      <c r="HC2681" s="4"/>
      <c r="HD2681" s="4"/>
      <c r="HE2681" s="4"/>
      <c r="HF2681" s="4"/>
      <c r="HG2681" s="4"/>
      <c r="HH2681" s="4"/>
      <c r="HI2681" s="4"/>
      <c r="HJ2681" s="4"/>
      <c r="HK2681" s="4"/>
      <c r="HL2681" s="4"/>
    </row>
    <row r="2682">
      <c r="A2682" s="2" t="s">
        <v>11469</v>
      </c>
      <c r="B2682" s="2" t="s">
        <v>226</v>
      </c>
      <c r="C2682" s="2" t="s">
        <v>965</v>
      </c>
      <c r="D2682" s="2" t="s">
        <v>1549</v>
      </c>
      <c r="E2682" s="2" t="s">
        <v>3949</v>
      </c>
      <c r="F2682" s="2" t="s">
        <v>11465</v>
      </c>
      <c r="G2682" s="2" t="s">
        <v>11465</v>
      </c>
      <c r="H2682" s="2" t="s">
        <v>11465</v>
      </c>
      <c r="I2682" s="2" t="s">
        <v>3951</v>
      </c>
      <c r="J2682" s="2" t="s">
        <v>302</v>
      </c>
      <c r="K2682" s="2" t="s">
        <v>269</v>
      </c>
      <c r="L2682" s="3">
        <v>78.57</v>
      </c>
      <c r="M2682" s="3">
        <v>82.5</v>
      </c>
      <c r="N2682" s="3">
        <v>164.99</v>
      </c>
      <c r="O2682" s="2" t="s">
        <v>243</v>
      </c>
      <c r="P2682" s="2" t="s">
        <v>270</v>
      </c>
      <c r="Q2682" s="2" t="s">
        <v>237</v>
      </c>
      <c r="R2682" s="2" t="s">
        <v>231</v>
      </c>
      <c r="S2682" s="2" t="s">
        <v>11466</v>
      </c>
      <c r="T2682" s="2" t="s">
        <v>970</v>
      </c>
      <c r="U2682" s="2" t="s">
        <v>327</v>
      </c>
      <c r="V2682" s="2" t="s">
        <v>239</v>
      </c>
      <c r="W2682" s="2" t="s">
        <v>273</v>
      </c>
      <c r="X2682" s="2" t="s">
        <v>897</v>
      </c>
      <c r="Y2682" s="2" t="s">
        <v>3955</v>
      </c>
      <c r="Z2682" s="4">
        <v>127</v>
      </c>
      <c r="AA2682" s="4">
        <f>=ROUNDDOWN(9.76923076923077,0)</f>
      </c>
      <c r="AB2682" s="5">
        <v>13</v>
      </c>
      <c r="AC2682" s="2" t="s">
        <v>3723</v>
      </c>
      <c r="AD2682" s="4">
        <v>160</v>
      </c>
      <c r="AE2682" s="4">
        <v>380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231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231</v>
      </c>
      <c r="AW2682" s="8" t="s">
        <v>231</v>
      </c>
      <c r="AX2682" s="4" t="s">
        <v>231</v>
      </c>
      <c r="AY2682" s="8" t="s">
        <v>231</v>
      </c>
      <c r="AZ2682" s="7" t="s">
        <v>231</v>
      </c>
      <c r="BA2682" s="7" t="s">
        <v>231</v>
      </c>
      <c r="BB2682" s="7"/>
      <c r="BC2682" s="4" t="s">
        <v>231</v>
      </c>
      <c r="BD2682" s="8" t="s">
        <v>231</v>
      </c>
      <c r="BE2682" s="4" t="s">
        <v>231</v>
      </c>
      <c r="BF2682" s="8" t="s">
        <v>231</v>
      </c>
      <c r="BG2682" s="7" t="s">
        <v>231</v>
      </c>
      <c r="BH2682" s="7" t="s">
        <v>231</v>
      </c>
      <c r="BI2682" s="7"/>
      <c r="BJ2682" s="4">
        <v>5</v>
      </c>
      <c r="BK2682" s="8">
        <v>438.06</v>
      </c>
      <c r="BL2682" s="2" t="s">
        <v>532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11470</v>
      </c>
      <c r="BV2682" s="2" t="s">
        <v>231</v>
      </c>
      <c r="BW2682" s="2" t="s">
        <v>231</v>
      </c>
      <c r="BX2682" s="2" t="s">
        <v>241</v>
      </c>
      <c r="BY2682" s="2" t="s">
        <v>277</v>
      </c>
      <c r="BZ2682" s="2" t="s">
        <v>243</v>
      </c>
      <c r="CA2682" s="2" t="s">
        <v>640</v>
      </c>
      <c r="CB2682" s="2" t="s">
        <v>11471</v>
      </c>
      <c r="CC2682" s="2" t="s">
        <v>244</v>
      </c>
      <c r="CD2682" s="2" t="s">
        <v>231</v>
      </c>
      <c r="CE2682" s="4">
        <v>127</v>
      </c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  <c r="DP2682" s="4"/>
      <c r="DQ2682" s="4"/>
      <c r="DR2682" s="4"/>
      <c r="DS2682" s="4"/>
      <c r="DT2682" s="4"/>
      <c r="DU2682" s="4"/>
      <c r="DV2682" s="4"/>
      <c r="DW2682" s="4"/>
      <c r="DX2682" s="4"/>
      <c r="DY2682" s="4"/>
      <c r="DZ2682" s="4"/>
      <c r="EA2682" s="4"/>
      <c r="EB2682" s="4"/>
      <c r="EC2682" s="4"/>
      <c r="ED2682" s="4"/>
      <c r="EE2682" s="4"/>
      <c r="EF2682" s="4"/>
      <c r="EG2682" s="4"/>
      <c r="EH2682" s="4"/>
      <c r="EI2682" s="4"/>
      <c r="EJ2682" s="4">
        <v>160</v>
      </c>
      <c r="EK2682" s="4"/>
      <c r="EL2682" s="4"/>
      <c r="EM2682" s="4"/>
      <c r="EN2682" s="4"/>
      <c r="EO2682" s="4"/>
      <c r="EP2682" s="4"/>
      <c r="EQ2682" s="4"/>
      <c r="ER2682" s="4"/>
      <c r="ES2682" s="4"/>
      <c r="ET2682" s="4"/>
      <c r="EU2682" s="4"/>
      <c r="EV2682" s="4"/>
      <c r="EW2682" s="4"/>
      <c r="EX2682" s="4"/>
      <c r="EY2682" s="4"/>
      <c r="EZ2682" s="4"/>
      <c r="FA2682" s="4"/>
      <c r="FB2682" s="4"/>
      <c r="FC2682" s="4"/>
      <c r="FD2682" s="4"/>
      <c r="FE2682" s="4"/>
      <c r="FF2682" s="4"/>
      <c r="FG2682" s="4"/>
      <c r="FH2682" s="4"/>
      <c r="FI2682" s="4"/>
      <c r="FJ2682" s="4"/>
      <c r="FK2682" s="4"/>
      <c r="FL2682" s="4"/>
      <c r="FM2682" s="4"/>
      <c r="FN2682" s="4"/>
      <c r="FO2682" s="4"/>
      <c r="FP2682" s="4"/>
      <c r="FQ2682" s="4"/>
      <c r="FR2682" s="4"/>
      <c r="FS2682" s="4"/>
      <c r="FT2682" s="4"/>
      <c r="FU2682" s="4"/>
      <c r="FV2682" s="4"/>
      <c r="FW2682" s="4"/>
      <c r="FX2682" s="4"/>
      <c r="FY2682" s="4"/>
      <c r="FZ2682" s="4"/>
      <c r="GA2682" s="4"/>
      <c r="GB2682" s="4"/>
      <c r="GC2682" s="4"/>
      <c r="GD2682" s="4"/>
      <c r="GE2682" s="4"/>
      <c r="GF2682" s="4"/>
      <c r="GG2682" s="4"/>
      <c r="GH2682" s="4"/>
      <c r="GI2682" s="4"/>
      <c r="GJ2682" s="4"/>
      <c r="GK2682" s="4"/>
      <c r="GL2682" s="4"/>
      <c r="GM2682" s="4"/>
      <c r="GN2682" s="4"/>
      <c r="GO2682" s="4"/>
      <c r="GP2682" s="4"/>
      <c r="GQ2682" s="4"/>
      <c r="GR2682" s="4"/>
      <c r="GS2682" s="4"/>
      <c r="GT2682" s="4"/>
      <c r="GU2682" s="4"/>
      <c r="GV2682" s="4"/>
      <c r="GW2682" s="4"/>
      <c r="GX2682" s="4"/>
      <c r="GY2682" s="4"/>
      <c r="GZ2682" s="4">
        <v>220</v>
      </c>
      <c r="HA2682" s="4"/>
      <c r="HB2682" s="4"/>
      <c r="HC2682" s="4"/>
      <c r="HD2682" s="4"/>
      <c r="HE2682" s="4"/>
      <c r="HF2682" s="4"/>
      <c r="HG2682" s="4"/>
      <c r="HH2682" s="4"/>
      <c r="HI2682" s="4"/>
      <c r="HJ2682" s="4"/>
      <c r="HK2682" s="4"/>
      <c r="HL2682" s="4"/>
    </row>
    <row r="2683">
      <c r="A2683" s="2" t="s">
        <v>11472</v>
      </c>
      <c r="B2683" s="2" t="s">
        <v>226</v>
      </c>
      <c r="C2683" s="2" t="s">
        <v>965</v>
      </c>
      <c r="D2683" s="2" t="s">
        <v>1549</v>
      </c>
      <c r="E2683" s="2" t="s">
        <v>3949</v>
      </c>
      <c r="F2683" s="2" t="s">
        <v>11465</v>
      </c>
      <c r="G2683" s="2" t="s">
        <v>11465</v>
      </c>
      <c r="H2683" s="2" t="s">
        <v>11465</v>
      </c>
      <c r="I2683" s="2" t="s">
        <v>3951</v>
      </c>
      <c r="J2683" s="2" t="s">
        <v>281</v>
      </c>
      <c r="K2683" s="2" t="s">
        <v>901</v>
      </c>
      <c r="L2683" s="3">
        <v>50</v>
      </c>
      <c r="M2683" s="3">
        <v>52.5</v>
      </c>
      <c r="N2683" s="3">
        <v>104.99</v>
      </c>
      <c r="O2683" s="2" t="s">
        <v>243</v>
      </c>
      <c r="P2683" s="2" t="s">
        <v>270</v>
      </c>
      <c r="Q2683" s="2" t="s">
        <v>237</v>
      </c>
      <c r="R2683" s="2" t="s">
        <v>231</v>
      </c>
      <c r="S2683" s="2" t="s">
        <v>11473</v>
      </c>
      <c r="T2683" s="2" t="s">
        <v>970</v>
      </c>
      <c r="U2683" s="2" t="s">
        <v>327</v>
      </c>
      <c r="V2683" s="2" t="s">
        <v>239</v>
      </c>
      <c r="W2683" s="2" t="s">
        <v>273</v>
      </c>
      <c r="X2683" s="2" t="s">
        <v>897</v>
      </c>
      <c r="Y2683" s="2" t="s">
        <v>3955</v>
      </c>
      <c r="Z2683" s="4">
        <v>217</v>
      </c>
      <c r="AA2683" s="4">
        <f>=ROUNDDOWN(31,0)</f>
      </c>
      <c r="AB2683" s="5">
        <v>7</v>
      </c>
      <c r="AC2683" s="2" t="s">
        <v>2049</v>
      </c>
      <c r="AD2683" s="4">
        <v>180</v>
      </c>
      <c r="AE2683" s="4">
        <v>180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231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231</v>
      </c>
      <c r="AW2683" s="8" t="s">
        <v>231</v>
      </c>
      <c r="AX2683" s="4" t="s">
        <v>231</v>
      </c>
      <c r="AY2683" s="8" t="s">
        <v>231</v>
      </c>
      <c r="AZ2683" s="7" t="s">
        <v>231</v>
      </c>
      <c r="BA2683" s="7" t="s">
        <v>231</v>
      </c>
      <c r="BB2683" s="7"/>
      <c r="BC2683" s="4" t="s">
        <v>231</v>
      </c>
      <c r="BD2683" s="8" t="s">
        <v>231</v>
      </c>
      <c r="BE2683" s="4" t="s">
        <v>231</v>
      </c>
      <c r="BF2683" s="8" t="s">
        <v>231</v>
      </c>
      <c r="BG2683" s="7" t="s">
        <v>231</v>
      </c>
      <c r="BH2683" s="7" t="s">
        <v>231</v>
      </c>
      <c r="BI2683" s="7"/>
      <c r="BJ2683" s="4">
        <v>6</v>
      </c>
      <c r="BK2683" s="8">
        <v>340.24</v>
      </c>
      <c r="BL2683" s="2" t="s">
        <v>3890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11474</v>
      </c>
      <c r="BV2683" s="2" t="s">
        <v>231</v>
      </c>
      <c r="BW2683" s="2" t="s">
        <v>231</v>
      </c>
      <c r="BX2683" s="2" t="s">
        <v>241</v>
      </c>
      <c r="BY2683" s="2" t="s">
        <v>277</v>
      </c>
      <c r="BZ2683" s="2" t="s">
        <v>243</v>
      </c>
      <c r="CA2683" s="2" t="s">
        <v>640</v>
      </c>
      <c r="CB2683" s="2" t="s">
        <v>231</v>
      </c>
      <c r="CC2683" s="2" t="s">
        <v>244</v>
      </c>
      <c r="CD2683" s="2" t="s">
        <v>231</v>
      </c>
      <c r="CE2683" s="4">
        <v>217</v>
      </c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  <c r="DP2683" s="4"/>
      <c r="DQ2683" s="4"/>
      <c r="DR2683" s="4"/>
      <c r="DS2683" s="4"/>
      <c r="DT2683" s="4"/>
      <c r="DU2683" s="4"/>
      <c r="DV2683" s="4"/>
      <c r="DW2683" s="4"/>
      <c r="DX2683" s="4"/>
      <c r="DY2683" s="4"/>
      <c r="DZ2683" s="4"/>
      <c r="EA2683" s="4"/>
      <c r="EB2683" s="4"/>
      <c r="EC2683" s="4"/>
      <c r="ED2683" s="4"/>
      <c r="EE2683" s="4"/>
      <c r="EF2683" s="4"/>
      <c r="EG2683" s="4"/>
      <c r="EH2683" s="4"/>
      <c r="EI2683" s="4"/>
      <c r="EJ2683" s="4"/>
      <c r="EK2683" s="4"/>
      <c r="EL2683" s="4"/>
      <c r="EM2683" s="4"/>
      <c r="EN2683" s="4"/>
      <c r="EO2683" s="4"/>
      <c r="EP2683" s="4"/>
      <c r="EQ2683" s="4"/>
      <c r="ER2683" s="4"/>
      <c r="ES2683" s="4"/>
      <c r="ET2683" s="4"/>
      <c r="EU2683" s="4"/>
      <c r="EV2683" s="4"/>
      <c r="EW2683" s="4"/>
      <c r="EX2683" s="4"/>
      <c r="EY2683" s="4"/>
      <c r="EZ2683" s="4"/>
      <c r="FA2683" s="4"/>
      <c r="FB2683" s="4"/>
      <c r="FC2683" s="4"/>
      <c r="FD2683" s="4"/>
      <c r="FE2683" s="4"/>
      <c r="FF2683" s="4"/>
      <c r="FG2683" s="4"/>
      <c r="FH2683" s="4"/>
      <c r="FI2683" s="4"/>
      <c r="FJ2683" s="4"/>
      <c r="FK2683" s="4"/>
      <c r="FL2683" s="4"/>
      <c r="FM2683" s="4"/>
      <c r="FN2683" s="4"/>
      <c r="FO2683" s="4"/>
      <c r="FP2683" s="4"/>
      <c r="FQ2683" s="4"/>
      <c r="FR2683" s="4"/>
      <c r="FS2683" s="4"/>
      <c r="FT2683" s="4"/>
      <c r="FU2683" s="4"/>
      <c r="FV2683" s="4"/>
      <c r="FW2683" s="4"/>
      <c r="FX2683" s="4"/>
      <c r="FY2683" s="4"/>
      <c r="FZ2683" s="4"/>
      <c r="GA2683" s="4"/>
      <c r="GB2683" s="4"/>
      <c r="GC2683" s="4"/>
      <c r="GD2683" s="4"/>
      <c r="GE2683" s="4">
        <v>180</v>
      </c>
      <c r="GF2683" s="4"/>
      <c r="GG2683" s="4"/>
      <c r="GH2683" s="4"/>
      <c r="GI2683" s="4"/>
      <c r="GJ2683" s="4"/>
      <c r="GK2683" s="4"/>
      <c r="GL2683" s="4"/>
      <c r="GM2683" s="4"/>
      <c r="GN2683" s="4"/>
      <c r="GO2683" s="4"/>
      <c r="GP2683" s="4"/>
      <c r="GQ2683" s="4"/>
      <c r="GR2683" s="4"/>
      <c r="GS2683" s="4"/>
      <c r="GT2683" s="4"/>
      <c r="GU2683" s="4"/>
      <c r="GV2683" s="4"/>
      <c r="GW2683" s="4"/>
      <c r="GX2683" s="4"/>
      <c r="GY2683" s="4"/>
      <c r="GZ2683" s="4"/>
      <c r="HA2683" s="4"/>
      <c r="HB2683" s="4"/>
      <c r="HC2683" s="4"/>
      <c r="HD2683" s="4"/>
      <c r="HE2683" s="4"/>
      <c r="HF2683" s="4"/>
      <c r="HG2683" s="4"/>
      <c r="HH2683" s="4"/>
      <c r="HI2683" s="4"/>
      <c r="HJ2683" s="4"/>
      <c r="HK2683" s="4"/>
      <c r="HL2683" s="4"/>
    </row>
    <row r="2684">
      <c r="A2684" s="2" t="s">
        <v>11475</v>
      </c>
      <c r="B2684" s="2" t="s">
        <v>226</v>
      </c>
      <c r="C2684" s="2" t="s">
        <v>965</v>
      </c>
      <c r="D2684" s="2" t="s">
        <v>1549</v>
      </c>
      <c r="E2684" s="2" t="s">
        <v>3949</v>
      </c>
      <c r="F2684" s="2" t="s">
        <v>11465</v>
      </c>
      <c r="G2684" s="2" t="s">
        <v>11465</v>
      </c>
      <c r="H2684" s="2" t="s">
        <v>11465</v>
      </c>
      <c r="I2684" s="2" t="s">
        <v>3951</v>
      </c>
      <c r="J2684" s="2" t="s">
        <v>293</v>
      </c>
      <c r="K2684" s="2" t="s">
        <v>901</v>
      </c>
      <c r="L2684" s="3">
        <v>69.04</v>
      </c>
      <c r="M2684" s="3">
        <v>72.49</v>
      </c>
      <c r="N2684" s="3">
        <v>144.99</v>
      </c>
      <c r="O2684" s="2" t="s">
        <v>243</v>
      </c>
      <c r="P2684" s="2" t="s">
        <v>270</v>
      </c>
      <c r="Q2684" s="2" t="s">
        <v>237</v>
      </c>
      <c r="R2684" s="2" t="s">
        <v>231</v>
      </c>
      <c r="S2684" s="2" t="s">
        <v>11473</v>
      </c>
      <c r="T2684" s="2" t="s">
        <v>970</v>
      </c>
      <c r="U2684" s="2" t="s">
        <v>327</v>
      </c>
      <c r="V2684" s="2" t="s">
        <v>239</v>
      </c>
      <c r="W2684" s="2" t="s">
        <v>273</v>
      </c>
      <c r="X2684" s="2" t="s">
        <v>897</v>
      </c>
      <c r="Y2684" s="2" t="s">
        <v>3955</v>
      </c>
      <c r="Z2684" s="4">
        <v>196</v>
      </c>
      <c r="AA2684" s="4">
        <f>=ROUNDDOWN(28,0)</f>
      </c>
      <c r="AB2684" s="5">
        <v>7</v>
      </c>
      <c r="AC2684" s="2" t="s">
        <v>2049</v>
      </c>
      <c r="AD2684" s="4">
        <v>180</v>
      </c>
      <c r="AE2684" s="4">
        <v>180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231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231</v>
      </c>
      <c r="AW2684" s="8" t="s">
        <v>231</v>
      </c>
      <c r="AX2684" s="4" t="s">
        <v>231</v>
      </c>
      <c r="AY2684" s="8" t="s">
        <v>231</v>
      </c>
      <c r="AZ2684" s="7" t="s">
        <v>231</v>
      </c>
      <c r="BA2684" s="7" t="s">
        <v>231</v>
      </c>
      <c r="BB2684" s="7"/>
      <c r="BC2684" s="4" t="s">
        <v>231</v>
      </c>
      <c r="BD2684" s="8" t="s">
        <v>231</v>
      </c>
      <c r="BE2684" s="4" t="s">
        <v>231</v>
      </c>
      <c r="BF2684" s="8" t="s">
        <v>231</v>
      </c>
      <c r="BG2684" s="7" t="s">
        <v>231</v>
      </c>
      <c r="BH2684" s="7" t="s">
        <v>231</v>
      </c>
      <c r="BI2684" s="7"/>
      <c r="BJ2684" s="4">
        <v>5</v>
      </c>
      <c r="BK2684" s="8">
        <v>395.89</v>
      </c>
      <c r="BL2684" s="2" t="s">
        <v>4229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11476</v>
      </c>
      <c r="BV2684" s="2" t="s">
        <v>231</v>
      </c>
      <c r="BW2684" s="2" t="s">
        <v>231</v>
      </c>
      <c r="BX2684" s="2" t="s">
        <v>241</v>
      </c>
      <c r="BY2684" s="2" t="s">
        <v>277</v>
      </c>
      <c r="BZ2684" s="2" t="s">
        <v>243</v>
      </c>
      <c r="CA2684" s="2" t="s">
        <v>640</v>
      </c>
      <c r="CB2684" s="2" t="s">
        <v>450</v>
      </c>
      <c r="CC2684" s="2" t="s">
        <v>244</v>
      </c>
      <c r="CD2684" s="2" t="s">
        <v>231</v>
      </c>
      <c r="CE2684" s="4">
        <v>196</v>
      </c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/>
      <c r="DF2684" s="4"/>
      <c r="DG2684" s="4"/>
      <c r="DH2684" s="4"/>
      <c r="DI2684" s="4"/>
      <c r="DJ2684" s="4"/>
      <c r="DK2684" s="4"/>
      <c r="DL2684" s="4"/>
      <c r="DM2684" s="4"/>
      <c r="DN2684" s="4"/>
      <c r="DO2684" s="4"/>
      <c r="DP2684" s="4"/>
      <c r="DQ2684" s="4"/>
      <c r="DR2684" s="4"/>
      <c r="DS2684" s="4"/>
      <c r="DT2684" s="4"/>
      <c r="DU2684" s="4"/>
      <c r="DV2684" s="4"/>
      <c r="DW2684" s="4"/>
      <c r="DX2684" s="4"/>
      <c r="DY2684" s="4"/>
      <c r="DZ2684" s="4"/>
      <c r="EA2684" s="4"/>
      <c r="EB2684" s="4"/>
      <c r="EC2684" s="4"/>
      <c r="ED2684" s="4"/>
      <c r="EE2684" s="4"/>
      <c r="EF2684" s="4"/>
      <c r="EG2684" s="4"/>
      <c r="EH2684" s="4"/>
      <c r="EI2684" s="4"/>
      <c r="EJ2684" s="4"/>
      <c r="EK2684" s="4"/>
      <c r="EL2684" s="4"/>
      <c r="EM2684" s="4"/>
      <c r="EN2684" s="4"/>
      <c r="EO2684" s="4"/>
      <c r="EP2684" s="4"/>
      <c r="EQ2684" s="4"/>
      <c r="ER2684" s="4"/>
      <c r="ES2684" s="4"/>
      <c r="ET2684" s="4"/>
      <c r="EU2684" s="4"/>
      <c r="EV2684" s="4"/>
      <c r="EW2684" s="4"/>
      <c r="EX2684" s="4"/>
      <c r="EY2684" s="4"/>
      <c r="EZ2684" s="4"/>
      <c r="FA2684" s="4"/>
      <c r="FB2684" s="4"/>
      <c r="FC2684" s="4"/>
      <c r="FD2684" s="4"/>
      <c r="FE2684" s="4"/>
      <c r="FF2684" s="4"/>
      <c r="FG2684" s="4"/>
      <c r="FH2684" s="4"/>
      <c r="FI2684" s="4"/>
      <c r="FJ2684" s="4"/>
      <c r="FK2684" s="4"/>
      <c r="FL2684" s="4"/>
      <c r="FM2684" s="4"/>
      <c r="FN2684" s="4"/>
      <c r="FO2684" s="4"/>
      <c r="FP2684" s="4"/>
      <c r="FQ2684" s="4"/>
      <c r="FR2684" s="4"/>
      <c r="FS2684" s="4"/>
      <c r="FT2684" s="4"/>
      <c r="FU2684" s="4"/>
      <c r="FV2684" s="4"/>
      <c r="FW2684" s="4"/>
      <c r="FX2684" s="4"/>
      <c r="FY2684" s="4"/>
      <c r="FZ2684" s="4"/>
      <c r="GA2684" s="4"/>
      <c r="GB2684" s="4"/>
      <c r="GC2684" s="4"/>
      <c r="GD2684" s="4"/>
      <c r="GE2684" s="4">
        <v>180</v>
      </c>
      <c r="GF2684" s="4"/>
      <c r="GG2684" s="4"/>
      <c r="GH2684" s="4"/>
      <c r="GI2684" s="4"/>
      <c r="GJ2684" s="4"/>
      <c r="GK2684" s="4"/>
      <c r="GL2684" s="4"/>
      <c r="GM2684" s="4"/>
      <c r="GN2684" s="4"/>
      <c r="GO2684" s="4"/>
      <c r="GP2684" s="4"/>
      <c r="GQ2684" s="4"/>
      <c r="GR2684" s="4"/>
      <c r="GS2684" s="4"/>
      <c r="GT2684" s="4"/>
      <c r="GU2684" s="4"/>
      <c r="GV2684" s="4"/>
      <c r="GW2684" s="4"/>
      <c r="GX2684" s="4"/>
      <c r="GY2684" s="4"/>
      <c r="GZ2684" s="4"/>
      <c r="HA2684" s="4"/>
      <c r="HB2684" s="4"/>
      <c r="HC2684" s="4"/>
      <c r="HD2684" s="4"/>
      <c r="HE2684" s="4"/>
      <c r="HF2684" s="4"/>
      <c r="HG2684" s="4"/>
      <c r="HH2684" s="4"/>
      <c r="HI2684" s="4"/>
      <c r="HJ2684" s="4"/>
      <c r="HK2684" s="4"/>
      <c r="HL2684" s="4"/>
    </row>
    <row r="2685">
      <c r="A2685" s="2" t="s">
        <v>11477</v>
      </c>
      <c r="B2685" s="2" t="s">
        <v>226</v>
      </c>
      <c r="C2685" s="2" t="s">
        <v>965</v>
      </c>
      <c r="D2685" s="2" t="s">
        <v>1549</v>
      </c>
      <c r="E2685" s="2" t="s">
        <v>3949</v>
      </c>
      <c r="F2685" s="2" t="s">
        <v>11465</v>
      </c>
      <c r="G2685" s="2" t="s">
        <v>11465</v>
      </c>
      <c r="H2685" s="2" t="s">
        <v>11465</v>
      </c>
      <c r="I2685" s="2" t="s">
        <v>3951</v>
      </c>
      <c r="J2685" s="2" t="s">
        <v>302</v>
      </c>
      <c r="K2685" s="2" t="s">
        <v>901</v>
      </c>
      <c r="L2685" s="3">
        <v>78.57</v>
      </c>
      <c r="M2685" s="3">
        <v>82.5</v>
      </c>
      <c r="N2685" s="3">
        <v>164.99</v>
      </c>
      <c r="O2685" s="2" t="s">
        <v>243</v>
      </c>
      <c r="P2685" s="2" t="s">
        <v>270</v>
      </c>
      <c r="Q2685" s="2" t="s">
        <v>237</v>
      </c>
      <c r="R2685" s="2" t="s">
        <v>231</v>
      </c>
      <c r="S2685" s="2" t="s">
        <v>11473</v>
      </c>
      <c r="T2685" s="2" t="s">
        <v>970</v>
      </c>
      <c r="U2685" s="2" t="s">
        <v>327</v>
      </c>
      <c r="V2685" s="2" t="s">
        <v>239</v>
      </c>
      <c r="W2685" s="2" t="s">
        <v>273</v>
      </c>
      <c r="X2685" s="2" t="s">
        <v>897</v>
      </c>
      <c r="Y2685" s="2" t="s">
        <v>3955</v>
      </c>
      <c r="Z2685" s="4">
        <v>276</v>
      </c>
      <c r="AA2685" s="4">
        <f>=ROUNDDOWN(39.4285714285714,0)</f>
      </c>
      <c r="AB2685" s="5">
        <v>7</v>
      </c>
      <c r="AC2685" s="2" t="s">
        <v>231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231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231</v>
      </c>
      <c r="AW2685" s="8" t="s">
        <v>231</v>
      </c>
      <c r="AX2685" s="4" t="s">
        <v>231</v>
      </c>
      <c r="AY2685" s="8" t="s">
        <v>231</v>
      </c>
      <c r="AZ2685" s="7" t="s">
        <v>231</v>
      </c>
      <c r="BA2685" s="7" t="s">
        <v>231</v>
      </c>
      <c r="BB2685" s="7"/>
      <c r="BC2685" s="4" t="s">
        <v>231</v>
      </c>
      <c r="BD2685" s="8" t="s">
        <v>231</v>
      </c>
      <c r="BE2685" s="4" t="s">
        <v>231</v>
      </c>
      <c r="BF2685" s="8" t="s">
        <v>231</v>
      </c>
      <c r="BG2685" s="7" t="s">
        <v>231</v>
      </c>
      <c r="BH2685" s="7" t="s">
        <v>231</v>
      </c>
      <c r="BI2685" s="7"/>
      <c r="BJ2685" s="4">
        <v>5</v>
      </c>
      <c r="BK2685" s="8">
        <v>443.02</v>
      </c>
      <c r="BL2685" s="2" t="s">
        <v>8475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11478</v>
      </c>
      <c r="BV2685" s="2" t="s">
        <v>231</v>
      </c>
      <c r="BW2685" s="2" t="s">
        <v>231</v>
      </c>
      <c r="BX2685" s="2" t="s">
        <v>241</v>
      </c>
      <c r="BY2685" s="2" t="s">
        <v>277</v>
      </c>
      <c r="BZ2685" s="2" t="s">
        <v>243</v>
      </c>
      <c r="CA2685" s="2" t="s">
        <v>640</v>
      </c>
      <c r="CB2685" s="2" t="s">
        <v>2335</v>
      </c>
      <c r="CC2685" s="2" t="s">
        <v>244</v>
      </c>
      <c r="CD2685" s="2" t="s">
        <v>231</v>
      </c>
      <c r="CE2685" s="4">
        <v>276</v>
      </c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  <c r="DL2685" s="4"/>
      <c r="DM2685" s="4"/>
      <c r="DN2685" s="4"/>
      <c r="DO2685" s="4"/>
      <c r="DP2685" s="4"/>
      <c r="DQ2685" s="4"/>
      <c r="DR2685" s="4"/>
      <c r="DS2685" s="4"/>
      <c r="DT2685" s="4"/>
      <c r="DU2685" s="4"/>
      <c r="DV2685" s="4"/>
      <c r="DW2685" s="4"/>
      <c r="DX2685" s="4"/>
      <c r="DY2685" s="4"/>
      <c r="DZ2685" s="4"/>
      <c r="EA2685" s="4"/>
      <c r="EB2685" s="4"/>
      <c r="EC2685" s="4"/>
      <c r="ED2685" s="4"/>
      <c r="EE2685" s="4"/>
      <c r="EF2685" s="4"/>
      <c r="EG2685" s="4"/>
      <c r="EH2685" s="4"/>
      <c r="EI2685" s="4"/>
      <c r="EJ2685" s="4"/>
      <c r="EK2685" s="4"/>
      <c r="EL2685" s="4"/>
      <c r="EM2685" s="4"/>
      <c r="EN2685" s="4"/>
      <c r="EO2685" s="4"/>
      <c r="EP2685" s="4"/>
      <c r="EQ2685" s="4"/>
      <c r="ER2685" s="4"/>
      <c r="ES2685" s="4"/>
      <c r="ET2685" s="4"/>
      <c r="EU2685" s="4"/>
      <c r="EV2685" s="4"/>
      <c r="EW2685" s="4"/>
      <c r="EX2685" s="4"/>
      <c r="EY2685" s="4"/>
      <c r="EZ2685" s="4"/>
      <c r="FA2685" s="4"/>
      <c r="FB2685" s="4"/>
      <c r="FC2685" s="4"/>
      <c r="FD2685" s="4"/>
      <c r="FE2685" s="4"/>
      <c r="FF2685" s="4"/>
      <c r="FG2685" s="4"/>
      <c r="FH2685" s="4"/>
      <c r="FI2685" s="4"/>
      <c r="FJ2685" s="4"/>
      <c r="FK2685" s="4"/>
      <c r="FL2685" s="4"/>
      <c r="FM2685" s="4"/>
      <c r="FN2685" s="4"/>
      <c r="FO2685" s="4"/>
      <c r="FP2685" s="4"/>
      <c r="FQ2685" s="4"/>
      <c r="FR2685" s="4"/>
      <c r="FS2685" s="4"/>
      <c r="FT2685" s="4"/>
      <c r="FU2685" s="4"/>
      <c r="FV2685" s="4"/>
      <c r="FW2685" s="4"/>
      <c r="FX2685" s="4"/>
      <c r="FY2685" s="4"/>
      <c r="FZ2685" s="4"/>
      <c r="GA2685" s="4"/>
      <c r="GB2685" s="4"/>
      <c r="GC2685" s="4"/>
      <c r="GD2685" s="4"/>
      <c r="GE2685" s="4"/>
      <c r="GF2685" s="4"/>
      <c r="GG2685" s="4"/>
      <c r="GH2685" s="4"/>
      <c r="GI2685" s="4"/>
      <c r="GJ2685" s="4"/>
      <c r="GK2685" s="4"/>
      <c r="GL2685" s="4"/>
      <c r="GM2685" s="4"/>
      <c r="GN2685" s="4"/>
      <c r="GO2685" s="4"/>
      <c r="GP2685" s="4"/>
      <c r="GQ2685" s="4"/>
      <c r="GR2685" s="4"/>
      <c r="GS2685" s="4"/>
      <c r="GT2685" s="4"/>
      <c r="GU2685" s="4"/>
      <c r="GV2685" s="4"/>
      <c r="GW2685" s="4"/>
      <c r="GX2685" s="4"/>
      <c r="GY2685" s="4"/>
      <c r="GZ2685" s="4"/>
      <c r="HA2685" s="4"/>
      <c r="HB2685" s="4"/>
      <c r="HC2685" s="4"/>
      <c r="HD2685" s="4"/>
      <c r="HE2685" s="4"/>
      <c r="HF2685" s="4"/>
      <c r="HG2685" s="4"/>
      <c r="HH2685" s="4"/>
      <c r="HI2685" s="4"/>
      <c r="HJ2685" s="4"/>
      <c r="HK2685" s="4"/>
      <c r="HL2685" s="4"/>
    </row>
    <row r="2686">
      <c r="A2686" s="2" t="s">
        <v>11479</v>
      </c>
      <c r="B2686" s="2" t="s">
        <v>226</v>
      </c>
      <c r="C2686" s="2" t="s">
        <v>965</v>
      </c>
      <c r="D2686" s="2" t="s">
        <v>1549</v>
      </c>
      <c r="E2686" s="2" t="s">
        <v>3949</v>
      </c>
      <c r="F2686" s="2" t="s">
        <v>11465</v>
      </c>
      <c r="G2686" s="2" t="s">
        <v>11465</v>
      </c>
      <c r="H2686" s="2" t="s">
        <v>11465</v>
      </c>
      <c r="I2686" s="2" t="s">
        <v>3951</v>
      </c>
      <c r="J2686" s="2" t="s">
        <v>281</v>
      </c>
      <c r="K2686" s="2" t="s">
        <v>253</v>
      </c>
      <c r="L2686" s="3">
        <v>50</v>
      </c>
      <c r="M2686" s="3">
        <v>52.5</v>
      </c>
      <c r="N2686" s="3">
        <v>104.99</v>
      </c>
      <c r="O2686" s="2" t="s">
        <v>243</v>
      </c>
      <c r="P2686" s="2" t="s">
        <v>270</v>
      </c>
      <c r="Q2686" s="2" t="s">
        <v>237</v>
      </c>
      <c r="R2686" s="2" t="s">
        <v>231</v>
      </c>
      <c r="S2686" s="2" t="s">
        <v>11480</v>
      </c>
      <c r="T2686" s="2" t="s">
        <v>970</v>
      </c>
      <c r="U2686" s="2" t="s">
        <v>327</v>
      </c>
      <c r="V2686" s="2" t="s">
        <v>239</v>
      </c>
      <c r="W2686" s="2" t="s">
        <v>273</v>
      </c>
      <c r="X2686" s="2" t="s">
        <v>897</v>
      </c>
      <c r="Y2686" s="2" t="s">
        <v>3955</v>
      </c>
      <c r="Z2686" s="4">
        <v>142</v>
      </c>
      <c r="AA2686" s="4">
        <f>=ROUNDDOWN(11.8333333333333,0)</f>
      </c>
      <c r="AB2686" s="5">
        <v>12</v>
      </c>
      <c r="AC2686" s="2" t="s">
        <v>3723</v>
      </c>
      <c r="AD2686" s="4">
        <v>150</v>
      </c>
      <c r="AE2686" s="4">
        <v>390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231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231</v>
      </c>
      <c r="AW2686" s="8" t="s">
        <v>231</v>
      </c>
      <c r="AX2686" s="4" t="s">
        <v>231</v>
      </c>
      <c r="AY2686" s="8" t="s">
        <v>231</v>
      </c>
      <c r="AZ2686" s="7" t="s">
        <v>231</v>
      </c>
      <c r="BA2686" s="7" t="s">
        <v>231</v>
      </c>
      <c r="BB2686" s="7"/>
      <c r="BC2686" s="4" t="s">
        <v>231</v>
      </c>
      <c r="BD2686" s="8" t="s">
        <v>231</v>
      </c>
      <c r="BE2686" s="4" t="s">
        <v>231</v>
      </c>
      <c r="BF2686" s="8" t="s">
        <v>231</v>
      </c>
      <c r="BG2686" s="7" t="s">
        <v>231</v>
      </c>
      <c r="BH2686" s="7" t="s">
        <v>231</v>
      </c>
      <c r="BI2686" s="7"/>
      <c r="BJ2686" s="4">
        <v>6</v>
      </c>
      <c r="BK2686" s="8">
        <v>336.26</v>
      </c>
      <c r="BL2686" s="2" t="s">
        <v>3894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11481</v>
      </c>
      <c r="BV2686" s="2" t="s">
        <v>231</v>
      </c>
      <c r="BW2686" s="2" t="s">
        <v>231</v>
      </c>
      <c r="BX2686" s="2" t="s">
        <v>241</v>
      </c>
      <c r="BY2686" s="2" t="s">
        <v>277</v>
      </c>
      <c r="BZ2686" s="2" t="s">
        <v>243</v>
      </c>
      <c r="CA2686" s="2" t="s">
        <v>640</v>
      </c>
      <c r="CB2686" s="2" t="s">
        <v>2335</v>
      </c>
      <c r="CC2686" s="2" t="s">
        <v>244</v>
      </c>
      <c r="CD2686" s="2" t="s">
        <v>231</v>
      </c>
      <c r="CE2686" s="4">
        <v>142</v>
      </c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4"/>
      <c r="CX2686" s="4"/>
      <c r="CY2686" s="4"/>
      <c r="CZ2686" s="4"/>
      <c r="DA2686" s="4"/>
      <c r="DB2686" s="4"/>
      <c r="DC2686" s="4"/>
      <c r="DD2686" s="4"/>
      <c r="DE2686" s="4"/>
      <c r="DF2686" s="4"/>
      <c r="DG2686" s="4"/>
      <c r="DH2686" s="4"/>
      <c r="DI2686" s="4"/>
      <c r="DJ2686" s="4"/>
      <c r="DK2686" s="4"/>
      <c r="DL2686" s="4"/>
      <c r="DM2686" s="4"/>
      <c r="DN2686" s="4"/>
      <c r="DO2686" s="4"/>
      <c r="DP2686" s="4"/>
      <c r="DQ2686" s="4"/>
      <c r="DR2686" s="4"/>
      <c r="DS2686" s="4"/>
      <c r="DT2686" s="4"/>
      <c r="DU2686" s="4"/>
      <c r="DV2686" s="4"/>
      <c r="DW2686" s="4"/>
      <c r="DX2686" s="4"/>
      <c r="DY2686" s="4"/>
      <c r="DZ2686" s="4"/>
      <c r="EA2686" s="4"/>
      <c r="EB2686" s="4"/>
      <c r="EC2686" s="4"/>
      <c r="ED2686" s="4"/>
      <c r="EE2686" s="4"/>
      <c r="EF2686" s="4"/>
      <c r="EG2686" s="4"/>
      <c r="EH2686" s="4"/>
      <c r="EI2686" s="4"/>
      <c r="EJ2686" s="4">
        <v>150</v>
      </c>
      <c r="EK2686" s="4"/>
      <c r="EL2686" s="4"/>
      <c r="EM2686" s="4"/>
      <c r="EN2686" s="4"/>
      <c r="EO2686" s="4"/>
      <c r="EP2686" s="4"/>
      <c r="EQ2686" s="4"/>
      <c r="ER2686" s="4"/>
      <c r="ES2686" s="4"/>
      <c r="ET2686" s="4"/>
      <c r="EU2686" s="4"/>
      <c r="EV2686" s="4"/>
      <c r="EW2686" s="4"/>
      <c r="EX2686" s="4"/>
      <c r="EY2686" s="4"/>
      <c r="EZ2686" s="4"/>
      <c r="FA2686" s="4"/>
      <c r="FB2686" s="4"/>
      <c r="FC2686" s="4"/>
      <c r="FD2686" s="4"/>
      <c r="FE2686" s="4"/>
      <c r="FF2686" s="4"/>
      <c r="FG2686" s="4"/>
      <c r="FH2686" s="4"/>
      <c r="FI2686" s="4"/>
      <c r="FJ2686" s="4"/>
      <c r="FK2686" s="4"/>
      <c r="FL2686" s="4"/>
      <c r="FM2686" s="4"/>
      <c r="FN2686" s="4"/>
      <c r="FO2686" s="4"/>
      <c r="FP2686" s="4"/>
      <c r="FQ2686" s="4"/>
      <c r="FR2686" s="4"/>
      <c r="FS2686" s="4"/>
      <c r="FT2686" s="4"/>
      <c r="FU2686" s="4"/>
      <c r="FV2686" s="4"/>
      <c r="FW2686" s="4"/>
      <c r="FX2686" s="4"/>
      <c r="FY2686" s="4"/>
      <c r="FZ2686" s="4"/>
      <c r="GA2686" s="4"/>
      <c r="GB2686" s="4"/>
      <c r="GC2686" s="4"/>
      <c r="GD2686" s="4"/>
      <c r="GE2686" s="4"/>
      <c r="GF2686" s="4"/>
      <c r="GG2686" s="4"/>
      <c r="GH2686" s="4"/>
      <c r="GI2686" s="4"/>
      <c r="GJ2686" s="4"/>
      <c r="GK2686" s="4"/>
      <c r="GL2686" s="4"/>
      <c r="GM2686" s="4"/>
      <c r="GN2686" s="4"/>
      <c r="GO2686" s="4"/>
      <c r="GP2686" s="4"/>
      <c r="GQ2686" s="4"/>
      <c r="GR2686" s="4"/>
      <c r="GS2686" s="4"/>
      <c r="GT2686" s="4"/>
      <c r="GU2686" s="4"/>
      <c r="GV2686" s="4"/>
      <c r="GW2686" s="4"/>
      <c r="GX2686" s="4"/>
      <c r="GY2686" s="4"/>
      <c r="GZ2686" s="4">
        <v>240</v>
      </c>
      <c r="HA2686" s="4"/>
      <c r="HB2686" s="4"/>
      <c r="HC2686" s="4"/>
      <c r="HD2686" s="4"/>
      <c r="HE2686" s="4"/>
      <c r="HF2686" s="4"/>
      <c r="HG2686" s="4"/>
      <c r="HH2686" s="4"/>
      <c r="HI2686" s="4"/>
      <c r="HJ2686" s="4"/>
      <c r="HK2686" s="4"/>
      <c r="HL2686" s="4"/>
    </row>
    <row r="2687">
      <c r="A2687" s="2" t="s">
        <v>11482</v>
      </c>
      <c r="B2687" s="2" t="s">
        <v>226</v>
      </c>
      <c r="C2687" s="2" t="s">
        <v>965</v>
      </c>
      <c r="D2687" s="2" t="s">
        <v>1549</v>
      </c>
      <c r="E2687" s="2" t="s">
        <v>3949</v>
      </c>
      <c r="F2687" s="2" t="s">
        <v>11465</v>
      </c>
      <c r="G2687" s="2" t="s">
        <v>11465</v>
      </c>
      <c r="H2687" s="2" t="s">
        <v>11465</v>
      </c>
      <c r="I2687" s="2" t="s">
        <v>3951</v>
      </c>
      <c r="J2687" s="2" t="s">
        <v>293</v>
      </c>
      <c r="K2687" s="2" t="s">
        <v>253</v>
      </c>
      <c r="L2687" s="3">
        <v>69.04</v>
      </c>
      <c r="M2687" s="3">
        <v>72.49</v>
      </c>
      <c r="N2687" s="3">
        <v>144.99</v>
      </c>
      <c r="O2687" s="2" t="s">
        <v>243</v>
      </c>
      <c r="P2687" s="2" t="s">
        <v>270</v>
      </c>
      <c r="Q2687" s="2" t="s">
        <v>237</v>
      </c>
      <c r="R2687" s="2" t="s">
        <v>231</v>
      </c>
      <c r="S2687" s="2" t="s">
        <v>11480</v>
      </c>
      <c r="T2687" s="2" t="s">
        <v>970</v>
      </c>
      <c r="U2687" s="2" t="s">
        <v>327</v>
      </c>
      <c r="V2687" s="2" t="s">
        <v>239</v>
      </c>
      <c r="W2687" s="2" t="s">
        <v>273</v>
      </c>
      <c r="X2687" s="2" t="s">
        <v>897</v>
      </c>
      <c r="Y2687" s="2" t="s">
        <v>948</v>
      </c>
      <c r="Z2687" s="4">
        <v>115</v>
      </c>
      <c r="AA2687" s="4">
        <f>=ROUNDDOWN(8.21428571428572,0)</f>
      </c>
      <c r="AB2687" s="5">
        <v>14</v>
      </c>
      <c r="AC2687" s="2" t="s">
        <v>3723</v>
      </c>
      <c r="AD2687" s="4">
        <v>150</v>
      </c>
      <c r="AE2687" s="4">
        <v>360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231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231</v>
      </c>
      <c r="AW2687" s="8" t="s">
        <v>231</v>
      </c>
      <c r="AX2687" s="4" t="s">
        <v>231</v>
      </c>
      <c r="AY2687" s="8" t="s">
        <v>231</v>
      </c>
      <c r="AZ2687" s="7" t="s">
        <v>231</v>
      </c>
      <c r="BA2687" s="7" t="s">
        <v>231</v>
      </c>
      <c r="BB2687" s="7"/>
      <c r="BC2687" s="4" t="s">
        <v>231</v>
      </c>
      <c r="BD2687" s="8" t="s">
        <v>231</v>
      </c>
      <c r="BE2687" s="4" t="s">
        <v>231</v>
      </c>
      <c r="BF2687" s="8" t="s">
        <v>231</v>
      </c>
      <c r="BG2687" s="7" t="s">
        <v>231</v>
      </c>
      <c r="BH2687" s="7" t="s">
        <v>231</v>
      </c>
      <c r="BI2687" s="7"/>
      <c r="BJ2687" s="4">
        <v>4</v>
      </c>
      <c r="BK2687" s="8">
        <v>309.93</v>
      </c>
      <c r="BL2687" s="2" t="s">
        <v>4492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11483</v>
      </c>
      <c r="BV2687" s="2" t="s">
        <v>231</v>
      </c>
      <c r="BW2687" s="2" t="s">
        <v>231</v>
      </c>
      <c r="BX2687" s="2" t="s">
        <v>241</v>
      </c>
      <c r="BY2687" s="2" t="s">
        <v>277</v>
      </c>
      <c r="BZ2687" s="2" t="s">
        <v>243</v>
      </c>
      <c r="CA2687" s="2" t="s">
        <v>640</v>
      </c>
      <c r="CB2687" s="2" t="s">
        <v>926</v>
      </c>
      <c r="CC2687" s="2" t="s">
        <v>244</v>
      </c>
      <c r="CD2687" s="2" t="s">
        <v>231</v>
      </c>
      <c r="CE2687" s="4">
        <v>115</v>
      </c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4"/>
      <c r="CX2687" s="4"/>
      <c r="CY2687" s="4"/>
      <c r="CZ2687" s="4"/>
      <c r="DA2687" s="4"/>
      <c r="DB2687" s="4"/>
      <c r="DC2687" s="4"/>
      <c r="DD2687" s="4"/>
      <c r="DE2687" s="4"/>
      <c r="DF2687" s="4"/>
      <c r="DG2687" s="4"/>
      <c r="DH2687" s="4"/>
      <c r="DI2687" s="4"/>
      <c r="DJ2687" s="4"/>
      <c r="DK2687" s="4"/>
      <c r="DL2687" s="4"/>
      <c r="DM2687" s="4"/>
      <c r="DN2687" s="4"/>
      <c r="DO2687" s="4"/>
      <c r="DP2687" s="4"/>
      <c r="DQ2687" s="4"/>
      <c r="DR2687" s="4"/>
      <c r="DS2687" s="4"/>
      <c r="DT2687" s="4"/>
      <c r="DU2687" s="4"/>
      <c r="DV2687" s="4"/>
      <c r="DW2687" s="4"/>
      <c r="DX2687" s="4"/>
      <c r="DY2687" s="4"/>
      <c r="DZ2687" s="4"/>
      <c r="EA2687" s="4"/>
      <c r="EB2687" s="4"/>
      <c r="EC2687" s="4"/>
      <c r="ED2687" s="4"/>
      <c r="EE2687" s="4"/>
      <c r="EF2687" s="4"/>
      <c r="EG2687" s="4"/>
      <c r="EH2687" s="4"/>
      <c r="EI2687" s="4"/>
      <c r="EJ2687" s="4">
        <v>150</v>
      </c>
      <c r="EK2687" s="4"/>
      <c r="EL2687" s="4"/>
      <c r="EM2687" s="4"/>
      <c r="EN2687" s="4"/>
      <c r="EO2687" s="4"/>
      <c r="EP2687" s="4"/>
      <c r="EQ2687" s="4"/>
      <c r="ER2687" s="4"/>
      <c r="ES2687" s="4"/>
      <c r="ET2687" s="4"/>
      <c r="EU2687" s="4"/>
      <c r="EV2687" s="4"/>
      <c r="EW2687" s="4"/>
      <c r="EX2687" s="4"/>
      <c r="EY2687" s="4"/>
      <c r="EZ2687" s="4"/>
      <c r="FA2687" s="4"/>
      <c r="FB2687" s="4"/>
      <c r="FC2687" s="4"/>
      <c r="FD2687" s="4"/>
      <c r="FE2687" s="4"/>
      <c r="FF2687" s="4"/>
      <c r="FG2687" s="4"/>
      <c r="FH2687" s="4"/>
      <c r="FI2687" s="4"/>
      <c r="FJ2687" s="4"/>
      <c r="FK2687" s="4"/>
      <c r="FL2687" s="4"/>
      <c r="FM2687" s="4"/>
      <c r="FN2687" s="4"/>
      <c r="FO2687" s="4"/>
      <c r="FP2687" s="4"/>
      <c r="FQ2687" s="4"/>
      <c r="FR2687" s="4"/>
      <c r="FS2687" s="4"/>
      <c r="FT2687" s="4"/>
      <c r="FU2687" s="4"/>
      <c r="FV2687" s="4"/>
      <c r="FW2687" s="4"/>
      <c r="FX2687" s="4"/>
      <c r="FY2687" s="4"/>
      <c r="FZ2687" s="4"/>
      <c r="GA2687" s="4"/>
      <c r="GB2687" s="4"/>
      <c r="GC2687" s="4"/>
      <c r="GD2687" s="4"/>
      <c r="GE2687" s="4"/>
      <c r="GF2687" s="4"/>
      <c r="GG2687" s="4"/>
      <c r="GH2687" s="4"/>
      <c r="GI2687" s="4"/>
      <c r="GJ2687" s="4"/>
      <c r="GK2687" s="4"/>
      <c r="GL2687" s="4"/>
      <c r="GM2687" s="4"/>
      <c r="GN2687" s="4"/>
      <c r="GO2687" s="4"/>
      <c r="GP2687" s="4"/>
      <c r="GQ2687" s="4"/>
      <c r="GR2687" s="4"/>
      <c r="GS2687" s="4"/>
      <c r="GT2687" s="4"/>
      <c r="GU2687" s="4"/>
      <c r="GV2687" s="4"/>
      <c r="GW2687" s="4"/>
      <c r="GX2687" s="4"/>
      <c r="GY2687" s="4"/>
      <c r="GZ2687" s="4">
        <v>210</v>
      </c>
      <c r="HA2687" s="4"/>
      <c r="HB2687" s="4"/>
      <c r="HC2687" s="4"/>
      <c r="HD2687" s="4"/>
      <c r="HE2687" s="4"/>
      <c r="HF2687" s="4"/>
      <c r="HG2687" s="4"/>
      <c r="HH2687" s="4"/>
      <c r="HI2687" s="4"/>
      <c r="HJ2687" s="4"/>
      <c r="HK2687" s="4"/>
      <c r="HL2687" s="4"/>
    </row>
    <row r="2688">
      <c r="A2688" s="2" t="s">
        <v>11484</v>
      </c>
      <c r="B2688" s="2" t="s">
        <v>226</v>
      </c>
      <c r="C2688" s="2" t="s">
        <v>965</v>
      </c>
      <c r="D2688" s="2" t="s">
        <v>1549</v>
      </c>
      <c r="E2688" s="2" t="s">
        <v>3949</v>
      </c>
      <c r="F2688" s="2" t="s">
        <v>11465</v>
      </c>
      <c r="G2688" s="2" t="s">
        <v>11465</v>
      </c>
      <c r="H2688" s="2" t="s">
        <v>11465</v>
      </c>
      <c r="I2688" s="2" t="s">
        <v>3951</v>
      </c>
      <c r="J2688" s="2" t="s">
        <v>302</v>
      </c>
      <c r="K2688" s="2" t="s">
        <v>253</v>
      </c>
      <c r="L2688" s="3">
        <v>78.57</v>
      </c>
      <c r="M2688" s="3">
        <v>82.5</v>
      </c>
      <c r="N2688" s="3">
        <v>164.99</v>
      </c>
      <c r="O2688" s="2" t="s">
        <v>243</v>
      </c>
      <c r="P2688" s="2" t="s">
        <v>270</v>
      </c>
      <c r="Q2688" s="2" t="s">
        <v>237</v>
      </c>
      <c r="R2688" s="2" t="s">
        <v>231</v>
      </c>
      <c r="S2688" s="2" t="s">
        <v>11480</v>
      </c>
      <c r="T2688" s="2" t="s">
        <v>970</v>
      </c>
      <c r="U2688" s="2" t="s">
        <v>327</v>
      </c>
      <c r="V2688" s="2" t="s">
        <v>239</v>
      </c>
      <c r="W2688" s="2" t="s">
        <v>273</v>
      </c>
      <c r="X2688" s="2" t="s">
        <v>897</v>
      </c>
      <c r="Y2688" s="2" t="s">
        <v>3955</v>
      </c>
      <c r="Z2688" s="4">
        <v>229</v>
      </c>
      <c r="AA2688" s="4">
        <f>=ROUNDDOWN(12.7222222222222,0)</f>
      </c>
      <c r="AB2688" s="5">
        <v>18</v>
      </c>
      <c r="AC2688" s="2" t="s">
        <v>2049</v>
      </c>
      <c r="AD2688" s="4">
        <v>160</v>
      </c>
      <c r="AE2688" s="4">
        <v>310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231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231</v>
      </c>
      <c r="AW2688" s="8" t="s">
        <v>231</v>
      </c>
      <c r="AX2688" s="4" t="s">
        <v>231</v>
      </c>
      <c r="AY2688" s="8" t="s">
        <v>231</v>
      </c>
      <c r="AZ2688" s="7" t="s">
        <v>231</v>
      </c>
      <c r="BA2688" s="7" t="s">
        <v>231</v>
      </c>
      <c r="BB2688" s="7"/>
      <c r="BC2688" s="4" t="s">
        <v>231</v>
      </c>
      <c r="BD2688" s="8" t="s">
        <v>231</v>
      </c>
      <c r="BE2688" s="4" t="s">
        <v>231</v>
      </c>
      <c r="BF2688" s="8" t="s">
        <v>231</v>
      </c>
      <c r="BG2688" s="7" t="s">
        <v>231</v>
      </c>
      <c r="BH2688" s="7" t="s">
        <v>231</v>
      </c>
      <c r="BI2688" s="7"/>
      <c r="BJ2688" s="4">
        <v>15</v>
      </c>
      <c r="BK2688" s="8">
        <v>1330.02</v>
      </c>
      <c r="BL2688" s="2" t="s">
        <v>988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11485</v>
      </c>
      <c r="BV2688" s="2" t="s">
        <v>231</v>
      </c>
      <c r="BW2688" s="2" t="s">
        <v>231</v>
      </c>
      <c r="BX2688" s="2" t="s">
        <v>241</v>
      </c>
      <c r="BY2688" s="2" t="s">
        <v>277</v>
      </c>
      <c r="BZ2688" s="2" t="s">
        <v>243</v>
      </c>
      <c r="CA2688" s="2" t="s">
        <v>640</v>
      </c>
      <c r="CB2688" s="2" t="s">
        <v>2387</v>
      </c>
      <c r="CC2688" s="2" t="s">
        <v>244</v>
      </c>
      <c r="CD2688" s="2" t="s">
        <v>231</v>
      </c>
      <c r="CE2688" s="4">
        <v>229</v>
      </c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4"/>
      <c r="CX2688" s="4"/>
      <c r="CY2688" s="4"/>
      <c r="CZ2688" s="4"/>
      <c r="DA2688" s="4"/>
      <c r="DB2688" s="4"/>
      <c r="DC2688" s="4"/>
      <c r="DD2688" s="4"/>
      <c r="DE2688" s="4"/>
      <c r="DF2688" s="4"/>
      <c r="DG2688" s="4"/>
      <c r="DH2688" s="4"/>
      <c r="DI2688" s="4"/>
      <c r="DJ2688" s="4"/>
      <c r="DK2688" s="4"/>
      <c r="DL2688" s="4"/>
      <c r="DM2688" s="4"/>
      <c r="DN2688" s="4"/>
      <c r="DO2688" s="4"/>
      <c r="DP2688" s="4"/>
      <c r="DQ2688" s="4"/>
      <c r="DR2688" s="4"/>
      <c r="DS2688" s="4"/>
      <c r="DT2688" s="4"/>
      <c r="DU2688" s="4"/>
      <c r="DV2688" s="4"/>
      <c r="DW2688" s="4"/>
      <c r="DX2688" s="4"/>
      <c r="DY2688" s="4"/>
      <c r="DZ2688" s="4"/>
      <c r="EA2688" s="4"/>
      <c r="EB2688" s="4"/>
      <c r="EC2688" s="4"/>
      <c r="ED2688" s="4"/>
      <c r="EE2688" s="4"/>
      <c r="EF2688" s="4"/>
      <c r="EG2688" s="4"/>
      <c r="EH2688" s="4"/>
      <c r="EI2688" s="4"/>
      <c r="EJ2688" s="4"/>
      <c r="EK2688" s="4"/>
      <c r="EL2688" s="4"/>
      <c r="EM2688" s="4"/>
      <c r="EN2688" s="4"/>
      <c r="EO2688" s="4"/>
      <c r="EP2688" s="4"/>
      <c r="EQ2688" s="4"/>
      <c r="ER2688" s="4"/>
      <c r="ES2688" s="4"/>
      <c r="ET2688" s="4"/>
      <c r="EU2688" s="4"/>
      <c r="EV2688" s="4"/>
      <c r="EW2688" s="4"/>
      <c r="EX2688" s="4"/>
      <c r="EY2688" s="4"/>
      <c r="EZ2688" s="4"/>
      <c r="FA2688" s="4"/>
      <c r="FB2688" s="4"/>
      <c r="FC2688" s="4"/>
      <c r="FD2688" s="4"/>
      <c r="FE2688" s="4"/>
      <c r="FF2688" s="4"/>
      <c r="FG2688" s="4"/>
      <c r="FH2688" s="4"/>
      <c r="FI2688" s="4"/>
      <c r="FJ2688" s="4"/>
      <c r="FK2688" s="4"/>
      <c r="FL2688" s="4"/>
      <c r="FM2688" s="4"/>
      <c r="FN2688" s="4"/>
      <c r="FO2688" s="4"/>
      <c r="FP2688" s="4"/>
      <c r="FQ2688" s="4"/>
      <c r="FR2688" s="4"/>
      <c r="FS2688" s="4"/>
      <c r="FT2688" s="4"/>
      <c r="FU2688" s="4"/>
      <c r="FV2688" s="4"/>
      <c r="FW2688" s="4"/>
      <c r="FX2688" s="4"/>
      <c r="FY2688" s="4"/>
      <c r="FZ2688" s="4"/>
      <c r="GA2688" s="4"/>
      <c r="GB2688" s="4"/>
      <c r="GC2688" s="4"/>
      <c r="GD2688" s="4"/>
      <c r="GE2688" s="4">
        <v>160</v>
      </c>
      <c r="GF2688" s="4"/>
      <c r="GG2688" s="4"/>
      <c r="GH2688" s="4"/>
      <c r="GI2688" s="4"/>
      <c r="GJ2688" s="4"/>
      <c r="GK2688" s="4"/>
      <c r="GL2688" s="4"/>
      <c r="GM2688" s="4"/>
      <c r="GN2688" s="4"/>
      <c r="GO2688" s="4"/>
      <c r="GP2688" s="4"/>
      <c r="GQ2688" s="4"/>
      <c r="GR2688" s="4"/>
      <c r="GS2688" s="4"/>
      <c r="GT2688" s="4"/>
      <c r="GU2688" s="4"/>
      <c r="GV2688" s="4"/>
      <c r="GW2688" s="4"/>
      <c r="GX2688" s="4"/>
      <c r="GY2688" s="4"/>
      <c r="GZ2688" s="4">
        <v>150</v>
      </c>
      <c r="HA2688" s="4"/>
      <c r="HB2688" s="4"/>
      <c r="HC2688" s="4"/>
      <c r="HD2688" s="4"/>
      <c r="HE2688" s="4"/>
      <c r="HF2688" s="4"/>
      <c r="HG2688" s="4"/>
      <c r="HH2688" s="4"/>
      <c r="HI2688" s="4"/>
      <c r="HJ2688" s="4"/>
      <c r="HK2688" s="4"/>
      <c r="HL2688" s="4"/>
    </row>
    <row r="2689">
      <c r="A2689" s="2" t="s">
        <v>11486</v>
      </c>
      <c r="B2689" s="2" t="s">
        <v>226</v>
      </c>
      <c r="C2689" s="2" t="s">
        <v>965</v>
      </c>
      <c r="D2689" s="2" t="s">
        <v>1549</v>
      </c>
      <c r="E2689" s="2" t="s">
        <v>3949</v>
      </c>
      <c r="F2689" s="2" t="s">
        <v>11465</v>
      </c>
      <c r="G2689" s="2" t="s">
        <v>11465</v>
      </c>
      <c r="H2689" s="2" t="s">
        <v>11465</v>
      </c>
      <c r="I2689" s="2" t="s">
        <v>3951</v>
      </c>
      <c r="J2689" s="2" t="s">
        <v>281</v>
      </c>
      <c r="K2689" s="2" t="s">
        <v>306</v>
      </c>
      <c r="L2689" s="3">
        <v>50</v>
      </c>
      <c r="M2689" s="3">
        <v>52.5</v>
      </c>
      <c r="N2689" s="3">
        <v>104.99</v>
      </c>
      <c r="O2689" s="2" t="s">
        <v>243</v>
      </c>
      <c r="P2689" s="2" t="s">
        <v>270</v>
      </c>
      <c r="Q2689" s="2" t="s">
        <v>237</v>
      </c>
      <c r="R2689" s="2" t="s">
        <v>231</v>
      </c>
      <c r="S2689" s="2" t="s">
        <v>11487</v>
      </c>
      <c r="T2689" s="2" t="s">
        <v>970</v>
      </c>
      <c r="U2689" s="2" t="s">
        <v>327</v>
      </c>
      <c r="V2689" s="2" t="s">
        <v>239</v>
      </c>
      <c r="W2689" s="2" t="s">
        <v>273</v>
      </c>
      <c r="X2689" s="2" t="s">
        <v>897</v>
      </c>
      <c r="Y2689" s="2" t="s">
        <v>948</v>
      </c>
      <c r="Z2689" s="4">
        <v>163</v>
      </c>
      <c r="AA2689" s="4">
        <f>=ROUNDDOWN(16.3,0)</f>
      </c>
      <c r="AB2689" s="5">
        <v>10</v>
      </c>
      <c r="AC2689" s="2" t="s">
        <v>2049</v>
      </c>
      <c r="AD2689" s="4">
        <v>170</v>
      </c>
      <c r="AE2689" s="4">
        <v>170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231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231</v>
      </c>
      <c r="AW2689" s="8" t="s">
        <v>231</v>
      </c>
      <c r="AX2689" s="4" t="s">
        <v>231</v>
      </c>
      <c r="AY2689" s="8" t="s">
        <v>231</v>
      </c>
      <c r="AZ2689" s="7" t="s">
        <v>231</v>
      </c>
      <c r="BA2689" s="7" t="s">
        <v>231</v>
      </c>
      <c r="BB2689" s="7"/>
      <c r="BC2689" s="4" t="s">
        <v>231</v>
      </c>
      <c r="BD2689" s="8" t="s">
        <v>231</v>
      </c>
      <c r="BE2689" s="4" t="s">
        <v>231</v>
      </c>
      <c r="BF2689" s="8" t="s">
        <v>231</v>
      </c>
      <c r="BG2689" s="7" t="s">
        <v>231</v>
      </c>
      <c r="BH2689" s="7" t="s">
        <v>231</v>
      </c>
      <c r="BI2689" s="7"/>
      <c r="BJ2689" s="4">
        <v>4</v>
      </c>
      <c r="BK2689" s="8">
        <v>226.02</v>
      </c>
      <c r="BL2689" s="2" t="s">
        <v>3894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11488</v>
      </c>
      <c r="BV2689" s="2" t="s">
        <v>231</v>
      </c>
      <c r="BW2689" s="2" t="s">
        <v>231</v>
      </c>
      <c r="BX2689" s="2" t="s">
        <v>241</v>
      </c>
      <c r="BY2689" s="2" t="s">
        <v>277</v>
      </c>
      <c r="BZ2689" s="2" t="s">
        <v>243</v>
      </c>
      <c r="CA2689" s="2" t="s">
        <v>640</v>
      </c>
      <c r="CB2689" s="2" t="s">
        <v>450</v>
      </c>
      <c r="CC2689" s="2" t="s">
        <v>244</v>
      </c>
      <c r="CD2689" s="2" t="s">
        <v>231</v>
      </c>
      <c r="CE2689" s="4">
        <v>163</v>
      </c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4"/>
      <c r="CX2689" s="4"/>
      <c r="CY2689" s="4"/>
      <c r="CZ2689" s="4"/>
      <c r="DA2689" s="4"/>
      <c r="DB2689" s="4"/>
      <c r="DC2689" s="4"/>
      <c r="DD2689" s="4"/>
      <c r="DE2689" s="4"/>
      <c r="DF2689" s="4"/>
      <c r="DG2689" s="4"/>
      <c r="DH2689" s="4"/>
      <c r="DI2689" s="4"/>
      <c r="DJ2689" s="4"/>
      <c r="DK2689" s="4"/>
      <c r="DL2689" s="4"/>
      <c r="DM2689" s="4"/>
      <c r="DN2689" s="4"/>
      <c r="DO2689" s="4"/>
      <c r="DP2689" s="4"/>
      <c r="DQ2689" s="4"/>
      <c r="DR2689" s="4"/>
      <c r="DS2689" s="4"/>
      <c r="DT2689" s="4"/>
      <c r="DU2689" s="4"/>
      <c r="DV2689" s="4"/>
      <c r="DW2689" s="4"/>
      <c r="DX2689" s="4"/>
      <c r="DY2689" s="4"/>
      <c r="DZ2689" s="4"/>
      <c r="EA2689" s="4"/>
      <c r="EB2689" s="4"/>
      <c r="EC2689" s="4"/>
      <c r="ED2689" s="4"/>
      <c r="EE2689" s="4"/>
      <c r="EF2689" s="4"/>
      <c r="EG2689" s="4"/>
      <c r="EH2689" s="4"/>
      <c r="EI2689" s="4"/>
      <c r="EJ2689" s="4"/>
      <c r="EK2689" s="4"/>
      <c r="EL2689" s="4"/>
      <c r="EM2689" s="4"/>
      <c r="EN2689" s="4"/>
      <c r="EO2689" s="4"/>
      <c r="EP2689" s="4"/>
      <c r="EQ2689" s="4"/>
      <c r="ER2689" s="4"/>
      <c r="ES2689" s="4"/>
      <c r="ET2689" s="4"/>
      <c r="EU2689" s="4"/>
      <c r="EV2689" s="4"/>
      <c r="EW2689" s="4"/>
      <c r="EX2689" s="4"/>
      <c r="EY2689" s="4"/>
      <c r="EZ2689" s="4"/>
      <c r="FA2689" s="4"/>
      <c r="FB2689" s="4"/>
      <c r="FC2689" s="4"/>
      <c r="FD2689" s="4"/>
      <c r="FE2689" s="4"/>
      <c r="FF2689" s="4"/>
      <c r="FG2689" s="4"/>
      <c r="FH2689" s="4"/>
      <c r="FI2689" s="4"/>
      <c r="FJ2689" s="4"/>
      <c r="FK2689" s="4"/>
      <c r="FL2689" s="4"/>
      <c r="FM2689" s="4"/>
      <c r="FN2689" s="4"/>
      <c r="FO2689" s="4"/>
      <c r="FP2689" s="4"/>
      <c r="FQ2689" s="4"/>
      <c r="FR2689" s="4"/>
      <c r="FS2689" s="4"/>
      <c r="FT2689" s="4"/>
      <c r="FU2689" s="4"/>
      <c r="FV2689" s="4"/>
      <c r="FW2689" s="4"/>
      <c r="FX2689" s="4"/>
      <c r="FY2689" s="4"/>
      <c r="FZ2689" s="4"/>
      <c r="GA2689" s="4"/>
      <c r="GB2689" s="4"/>
      <c r="GC2689" s="4"/>
      <c r="GD2689" s="4"/>
      <c r="GE2689" s="4">
        <v>170</v>
      </c>
      <c r="GF2689" s="4"/>
      <c r="GG2689" s="4"/>
      <c r="GH2689" s="4"/>
      <c r="GI2689" s="4"/>
      <c r="GJ2689" s="4"/>
      <c r="GK2689" s="4"/>
      <c r="GL2689" s="4"/>
      <c r="GM2689" s="4"/>
      <c r="GN2689" s="4"/>
      <c r="GO2689" s="4"/>
      <c r="GP2689" s="4"/>
      <c r="GQ2689" s="4"/>
      <c r="GR2689" s="4"/>
      <c r="GS2689" s="4"/>
      <c r="GT2689" s="4"/>
      <c r="GU2689" s="4"/>
      <c r="GV2689" s="4"/>
      <c r="GW2689" s="4"/>
      <c r="GX2689" s="4"/>
      <c r="GY2689" s="4"/>
      <c r="GZ2689" s="4"/>
      <c r="HA2689" s="4"/>
      <c r="HB2689" s="4"/>
      <c r="HC2689" s="4"/>
      <c r="HD2689" s="4"/>
      <c r="HE2689" s="4"/>
      <c r="HF2689" s="4"/>
      <c r="HG2689" s="4"/>
      <c r="HH2689" s="4"/>
      <c r="HI2689" s="4"/>
      <c r="HJ2689" s="4"/>
      <c r="HK2689" s="4"/>
      <c r="HL2689" s="4"/>
    </row>
    <row r="2690">
      <c r="A2690" s="2" t="s">
        <v>11489</v>
      </c>
      <c r="B2690" s="2" t="s">
        <v>226</v>
      </c>
      <c r="C2690" s="2" t="s">
        <v>965</v>
      </c>
      <c r="D2690" s="2" t="s">
        <v>1549</v>
      </c>
      <c r="E2690" s="2" t="s">
        <v>3949</v>
      </c>
      <c r="F2690" s="2" t="s">
        <v>11465</v>
      </c>
      <c r="G2690" s="2" t="s">
        <v>11465</v>
      </c>
      <c r="H2690" s="2" t="s">
        <v>11465</v>
      </c>
      <c r="I2690" s="2" t="s">
        <v>3951</v>
      </c>
      <c r="J2690" s="2" t="s">
        <v>302</v>
      </c>
      <c r="K2690" s="2" t="s">
        <v>306</v>
      </c>
      <c r="L2690" s="3">
        <v>78.57</v>
      </c>
      <c r="M2690" s="3">
        <v>82.5</v>
      </c>
      <c r="N2690" s="3">
        <v>164.99</v>
      </c>
      <c r="O2690" s="2" t="s">
        <v>243</v>
      </c>
      <c r="P2690" s="2" t="s">
        <v>270</v>
      </c>
      <c r="Q2690" s="2" t="s">
        <v>237</v>
      </c>
      <c r="R2690" s="2" t="s">
        <v>231</v>
      </c>
      <c r="S2690" s="2" t="s">
        <v>11487</v>
      </c>
      <c r="T2690" s="2" t="s">
        <v>970</v>
      </c>
      <c r="U2690" s="2" t="s">
        <v>327</v>
      </c>
      <c r="V2690" s="2" t="s">
        <v>239</v>
      </c>
      <c r="W2690" s="2" t="s">
        <v>273</v>
      </c>
      <c r="X2690" s="2" t="s">
        <v>897</v>
      </c>
      <c r="Y2690" s="2" t="s">
        <v>3955</v>
      </c>
      <c r="Z2690" s="4">
        <v>252</v>
      </c>
      <c r="AA2690" s="4">
        <f>=ROUNDDOWN(25.2,0)</f>
      </c>
      <c r="AB2690" s="5">
        <v>10</v>
      </c>
      <c r="AC2690" s="2" t="s">
        <v>2049</v>
      </c>
      <c r="AD2690" s="4">
        <v>160</v>
      </c>
      <c r="AE2690" s="4">
        <v>160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231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231</v>
      </c>
      <c r="AW2690" s="8" t="s">
        <v>231</v>
      </c>
      <c r="AX2690" s="4" t="s">
        <v>231</v>
      </c>
      <c r="AY2690" s="8" t="s">
        <v>231</v>
      </c>
      <c r="AZ2690" s="7" t="s">
        <v>231</v>
      </c>
      <c r="BA2690" s="7" t="s">
        <v>231</v>
      </c>
      <c r="BB2690" s="7"/>
      <c r="BC2690" s="4" t="s">
        <v>231</v>
      </c>
      <c r="BD2690" s="8" t="s">
        <v>231</v>
      </c>
      <c r="BE2690" s="4" t="s">
        <v>231</v>
      </c>
      <c r="BF2690" s="8" t="s">
        <v>231</v>
      </c>
      <c r="BG2690" s="7" t="s">
        <v>231</v>
      </c>
      <c r="BH2690" s="7" t="s">
        <v>231</v>
      </c>
      <c r="BI2690" s="7"/>
      <c r="BJ2690" s="4">
        <v>10</v>
      </c>
      <c r="BK2690" s="8">
        <v>883.56</v>
      </c>
      <c r="BL2690" s="2" t="s">
        <v>8475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11490</v>
      </c>
      <c r="BV2690" s="2" t="s">
        <v>231</v>
      </c>
      <c r="BW2690" s="2" t="s">
        <v>231</v>
      </c>
      <c r="BX2690" s="2" t="s">
        <v>241</v>
      </c>
      <c r="BY2690" s="2" t="s">
        <v>277</v>
      </c>
      <c r="BZ2690" s="2" t="s">
        <v>243</v>
      </c>
      <c r="CA2690" s="2" t="s">
        <v>640</v>
      </c>
      <c r="CB2690" s="2" t="s">
        <v>3859</v>
      </c>
      <c r="CC2690" s="2" t="s">
        <v>244</v>
      </c>
      <c r="CD2690" s="2" t="s">
        <v>231</v>
      </c>
      <c r="CE2690" s="4">
        <v>252</v>
      </c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4"/>
      <c r="CX2690" s="4"/>
      <c r="CY2690" s="4"/>
      <c r="CZ2690" s="4"/>
      <c r="DA2690" s="4"/>
      <c r="DB2690" s="4"/>
      <c r="DC2690" s="4"/>
      <c r="DD2690" s="4"/>
      <c r="DE2690" s="4"/>
      <c r="DF2690" s="4"/>
      <c r="DG2690" s="4"/>
      <c r="DH2690" s="4"/>
      <c r="DI2690" s="4"/>
      <c r="DJ2690" s="4"/>
      <c r="DK2690" s="4"/>
      <c r="DL2690" s="4"/>
      <c r="DM2690" s="4"/>
      <c r="DN2690" s="4"/>
      <c r="DO2690" s="4"/>
      <c r="DP2690" s="4"/>
      <c r="DQ2690" s="4"/>
      <c r="DR2690" s="4"/>
      <c r="DS2690" s="4"/>
      <c r="DT2690" s="4"/>
      <c r="DU2690" s="4"/>
      <c r="DV2690" s="4"/>
      <c r="DW2690" s="4"/>
      <c r="DX2690" s="4"/>
      <c r="DY2690" s="4"/>
      <c r="DZ2690" s="4"/>
      <c r="EA2690" s="4"/>
      <c r="EB2690" s="4"/>
      <c r="EC2690" s="4"/>
      <c r="ED2690" s="4"/>
      <c r="EE2690" s="4"/>
      <c r="EF2690" s="4"/>
      <c r="EG2690" s="4"/>
      <c r="EH2690" s="4"/>
      <c r="EI2690" s="4"/>
      <c r="EJ2690" s="4"/>
      <c r="EK2690" s="4"/>
      <c r="EL2690" s="4"/>
      <c r="EM2690" s="4"/>
      <c r="EN2690" s="4"/>
      <c r="EO2690" s="4"/>
      <c r="EP2690" s="4"/>
      <c r="EQ2690" s="4"/>
      <c r="ER2690" s="4"/>
      <c r="ES2690" s="4"/>
      <c r="ET2690" s="4"/>
      <c r="EU2690" s="4"/>
      <c r="EV2690" s="4"/>
      <c r="EW2690" s="4"/>
      <c r="EX2690" s="4"/>
      <c r="EY2690" s="4"/>
      <c r="EZ2690" s="4"/>
      <c r="FA2690" s="4"/>
      <c r="FB2690" s="4"/>
      <c r="FC2690" s="4"/>
      <c r="FD2690" s="4"/>
      <c r="FE2690" s="4"/>
      <c r="FF2690" s="4"/>
      <c r="FG2690" s="4"/>
      <c r="FH2690" s="4"/>
      <c r="FI2690" s="4"/>
      <c r="FJ2690" s="4"/>
      <c r="FK2690" s="4"/>
      <c r="FL2690" s="4"/>
      <c r="FM2690" s="4"/>
      <c r="FN2690" s="4"/>
      <c r="FO2690" s="4"/>
      <c r="FP2690" s="4"/>
      <c r="FQ2690" s="4"/>
      <c r="FR2690" s="4"/>
      <c r="FS2690" s="4"/>
      <c r="FT2690" s="4"/>
      <c r="FU2690" s="4"/>
      <c r="FV2690" s="4"/>
      <c r="FW2690" s="4"/>
      <c r="FX2690" s="4"/>
      <c r="FY2690" s="4"/>
      <c r="FZ2690" s="4"/>
      <c r="GA2690" s="4"/>
      <c r="GB2690" s="4"/>
      <c r="GC2690" s="4"/>
      <c r="GD2690" s="4"/>
      <c r="GE2690" s="4">
        <v>160</v>
      </c>
      <c r="GF2690" s="4"/>
      <c r="GG2690" s="4"/>
      <c r="GH2690" s="4"/>
      <c r="GI2690" s="4"/>
      <c r="GJ2690" s="4"/>
      <c r="GK2690" s="4"/>
      <c r="GL2690" s="4"/>
      <c r="GM2690" s="4"/>
      <c r="GN2690" s="4"/>
      <c r="GO2690" s="4"/>
      <c r="GP2690" s="4"/>
      <c r="GQ2690" s="4"/>
      <c r="GR2690" s="4"/>
      <c r="GS2690" s="4"/>
      <c r="GT2690" s="4"/>
      <c r="GU2690" s="4"/>
      <c r="GV2690" s="4"/>
      <c r="GW2690" s="4"/>
      <c r="GX2690" s="4"/>
      <c r="GY2690" s="4"/>
      <c r="GZ2690" s="4"/>
      <c r="HA2690" s="4"/>
      <c r="HB2690" s="4"/>
      <c r="HC2690" s="4"/>
      <c r="HD2690" s="4"/>
      <c r="HE2690" s="4"/>
      <c r="HF2690" s="4"/>
      <c r="HG2690" s="4"/>
      <c r="HH2690" s="4"/>
      <c r="HI2690" s="4"/>
      <c r="HJ2690" s="4"/>
      <c r="HK2690" s="4"/>
      <c r="HL2690" s="4"/>
    </row>
    <row r="2691">
      <c r="A2691" s="2" t="s">
        <v>11491</v>
      </c>
      <c r="B2691" s="2" t="s">
        <v>847</v>
      </c>
      <c r="C2691" s="2" t="s">
        <v>288</v>
      </c>
      <c r="D2691" s="2" t="s">
        <v>882</v>
      </c>
      <c r="E2691" s="2" t="s">
        <v>2191</v>
      </c>
      <c r="F2691" s="2" t="s">
        <v>11492</v>
      </c>
      <c r="G2691" s="2" t="s">
        <v>11492</v>
      </c>
      <c r="H2691" s="2" t="s">
        <v>11492</v>
      </c>
      <c r="I2691" s="2" t="s">
        <v>11493</v>
      </c>
      <c r="J2691" s="2" t="s">
        <v>807</v>
      </c>
      <c r="K2691" s="2" t="s">
        <v>870</v>
      </c>
      <c r="L2691" s="3">
        <v>36.42</v>
      </c>
      <c r="M2691" s="3">
        <v>38.24</v>
      </c>
      <c r="N2691" s="3">
        <v>76.49</v>
      </c>
      <c r="O2691" s="2" t="s">
        <v>243</v>
      </c>
      <c r="P2691" s="2" t="s">
        <v>236</v>
      </c>
      <c r="Q2691" s="2" t="s">
        <v>237</v>
      </c>
      <c r="R2691" s="2" t="s">
        <v>231</v>
      </c>
      <c r="S2691" s="2" t="s">
        <v>231</v>
      </c>
      <c r="T2691" s="2" t="s">
        <v>231</v>
      </c>
      <c r="U2691" s="2" t="s">
        <v>835</v>
      </c>
      <c r="V2691" s="2" t="s">
        <v>836</v>
      </c>
      <c r="W2691" s="2" t="s">
        <v>299</v>
      </c>
      <c r="X2691" s="2" t="s">
        <v>691</v>
      </c>
      <c r="Y2691" s="2" t="s">
        <v>2100</v>
      </c>
      <c r="Z2691" s="4">
        <v>50</v>
      </c>
      <c r="AA2691" s="4">
        <f>=ROUNDDOWN(50,0)</f>
      </c>
      <c r="AB2691" s="5">
        <v>1</v>
      </c>
      <c r="AC2691" s="2" t="s">
        <v>231</v>
      </c>
      <c r="AD2691" s="4"/>
      <c r="AE2691" s="4"/>
      <c r="AF2691" s="6">
        <v>63</v>
      </c>
      <c r="AG2691" s="6"/>
      <c r="AH2691" s="7">
        <v>1</v>
      </c>
      <c r="AI2691" s="4"/>
      <c r="AJ2691" s="4">
        <f>=ROUNDDOWN({0},0)</f>
      </c>
      <c r="AK2691" s="5"/>
      <c r="AL2691" s="2" t="s">
        <v>231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/>
      <c r="BD2691" s="8"/>
      <c r="BE2691" s="4"/>
      <c r="BF2691" s="8"/>
      <c r="BG2691" s="7"/>
      <c r="BH2691" s="7"/>
      <c r="BI2691" s="7"/>
      <c r="BJ2691" s="4">
        <v>31</v>
      </c>
      <c r="BK2691" s="8">
        <v>1130.05</v>
      </c>
      <c r="BL2691" s="2" t="s">
        <v>1618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11494</v>
      </c>
      <c r="BV2691" s="2" t="s">
        <v>231</v>
      </c>
      <c r="BW2691" s="2" t="s">
        <v>231</v>
      </c>
      <c r="BX2691" s="2" t="s">
        <v>231</v>
      </c>
      <c r="BY2691" s="2" t="s">
        <v>277</v>
      </c>
      <c r="BZ2691" s="2" t="s">
        <v>243</v>
      </c>
      <c r="CA2691" s="2" t="s">
        <v>3955</v>
      </c>
      <c r="CB2691" s="2" t="s">
        <v>7020</v>
      </c>
      <c r="CC2691" s="2" t="s">
        <v>244</v>
      </c>
      <c r="CD2691" s="2" t="s">
        <v>231</v>
      </c>
      <c r="CE2691" s="4"/>
      <c r="CF2691" s="4">
        <v>50</v>
      </c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4"/>
      <c r="CX2691" s="4"/>
      <c r="CY2691" s="4"/>
      <c r="CZ2691" s="4"/>
      <c r="DA2691" s="4"/>
      <c r="DB2691" s="4"/>
      <c r="DC2691" s="4"/>
      <c r="DD2691" s="4"/>
      <c r="DE2691" s="4"/>
      <c r="DF2691" s="4"/>
      <c r="DG2691" s="4"/>
      <c r="DH2691" s="4"/>
      <c r="DI2691" s="4"/>
      <c r="DJ2691" s="4"/>
      <c r="DK2691" s="4"/>
      <c r="DL2691" s="4"/>
      <c r="DM2691" s="4"/>
      <c r="DN2691" s="4"/>
      <c r="DO2691" s="4"/>
      <c r="DP2691" s="4"/>
      <c r="DQ2691" s="4"/>
      <c r="DR2691" s="4"/>
      <c r="DS2691" s="4"/>
      <c r="DT2691" s="4"/>
      <c r="DU2691" s="4"/>
      <c r="DV2691" s="4"/>
      <c r="DW2691" s="4"/>
      <c r="DX2691" s="4"/>
      <c r="DY2691" s="4"/>
      <c r="DZ2691" s="4"/>
      <c r="EA2691" s="4"/>
      <c r="EB2691" s="4"/>
      <c r="EC2691" s="4"/>
      <c r="ED2691" s="4"/>
      <c r="EE2691" s="4"/>
      <c r="EF2691" s="4"/>
      <c r="EG2691" s="4"/>
      <c r="EH2691" s="4"/>
      <c r="EI2691" s="4"/>
      <c r="EJ2691" s="4"/>
      <c r="EK2691" s="4"/>
      <c r="EL2691" s="4"/>
      <c r="EM2691" s="4"/>
      <c r="EN2691" s="4"/>
      <c r="EO2691" s="4"/>
      <c r="EP2691" s="4"/>
      <c r="EQ2691" s="4"/>
      <c r="ER2691" s="4"/>
      <c r="ES2691" s="4"/>
      <c r="ET2691" s="4"/>
      <c r="EU2691" s="4"/>
      <c r="EV2691" s="4"/>
      <c r="EW2691" s="4"/>
      <c r="EX2691" s="4"/>
      <c r="EY2691" s="4"/>
      <c r="EZ2691" s="4"/>
      <c r="FA2691" s="4"/>
      <c r="FB2691" s="4"/>
      <c r="FC2691" s="4"/>
      <c r="FD2691" s="4"/>
      <c r="FE2691" s="4"/>
      <c r="FF2691" s="4"/>
      <c r="FG2691" s="4"/>
      <c r="FH2691" s="4"/>
      <c r="FI2691" s="4"/>
      <c r="FJ2691" s="4"/>
      <c r="FK2691" s="4"/>
      <c r="FL2691" s="4"/>
      <c r="FM2691" s="4"/>
      <c r="FN2691" s="4"/>
      <c r="FO2691" s="4"/>
      <c r="FP2691" s="4"/>
      <c r="FQ2691" s="4"/>
      <c r="FR2691" s="4"/>
      <c r="FS2691" s="4"/>
      <c r="FT2691" s="4"/>
      <c r="FU2691" s="4"/>
      <c r="FV2691" s="4"/>
      <c r="FW2691" s="4"/>
      <c r="FX2691" s="4"/>
      <c r="FY2691" s="4"/>
      <c r="FZ2691" s="4"/>
      <c r="GA2691" s="4"/>
      <c r="GB2691" s="4"/>
      <c r="GC2691" s="4"/>
      <c r="GD2691" s="4"/>
      <c r="GE2691" s="4"/>
      <c r="GF2691" s="4"/>
      <c r="GG2691" s="4"/>
      <c r="GH2691" s="4"/>
      <c r="GI2691" s="4"/>
      <c r="GJ2691" s="4"/>
      <c r="GK2691" s="4"/>
      <c r="GL2691" s="4"/>
      <c r="GM2691" s="4"/>
      <c r="GN2691" s="4"/>
      <c r="GO2691" s="4"/>
      <c r="GP2691" s="4"/>
      <c r="GQ2691" s="4"/>
      <c r="GR2691" s="4"/>
      <c r="GS2691" s="4"/>
      <c r="GT2691" s="4"/>
      <c r="GU2691" s="4"/>
      <c r="GV2691" s="4"/>
      <c r="GW2691" s="4"/>
      <c r="GX2691" s="4"/>
      <c r="GY2691" s="4"/>
      <c r="GZ2691" s="4"/>
      <c r="HA2691" s="4"/>
      <c r="HB2691" s="4"/>
      <c r="HC2691" s="4"/>
      <c r="HD2691" s="4"/>
      <c r="HE2691" s="4"/>
      <c r="HF2691" s="4"/>
      <c r="HG2691" s="4"/>
      <c r="HH2691" s="4"/>
      <c r="HI2691" s="4"/>
      <c r="HJ2691" s="4"/>
      <c r="HK2691" s="4"/>
      <c r="HL2691" s="4"/>
    </row>
    <row r="2692">
      <c r="A2692" s="2" t="s">
        <v>11495</v>
      </c>
      <c r="B2692" s="2" t="s">
        <v>262</v>
      </c>
      <c r="C2692" s="2" t="s">
        <v>913</v>
      </c>
      <c r="D2692" s="2" t="s">
        <v>654</v>
      </c>
      <c r="E2692" s="2" t="s">
        <v>1212</v>
      </c>
      <c r="F2692" s="2" t="s">
        <v>11496</v>
      </c>
      <c r="G2692" s="2" t="s">
        <v>11496</v>
      </c>
      <c r="H2692" s="2" t="s">
        <v>11496</v>
      </c>
      <c r="I2692" s="2" t="s">
        <v>11497</v>
      </c>
      <c r="J2692" s="2" t="s">
        <v>658</v>
      </c>
      <c r="K2692" s="2" t="s">
        <v>319</v>
      </c>
      <c r="L2692" s="3">
        <v>51.99</v>
      </c>
      <c r="M2692" s="3">
        <v>54.59</v>
      </c>
      <c r="N2692" s="3">
        <v>139.99</v>
      </c>
      <c r="O2692" s="2" t="s">
        <v>243</v>
      </c>
      <c r="P2692" s="2" t="s">
        <v>270</v>
      </c>
      <c r="Q2692" s="2" t="s">
        <v>237</v>
      </c>
      <c r="R2692" s="2" t="s">
        <v>231</v>
      </c>
      <c r="S2692" s="2" t="s">
        <v>231</v>
      </c>
      <c r="T2692" s="2" t="s">
        <v>231</v>
      </c>
      <c r="U2692" s="2" t="s">
        <v>327</v>
      </c>
      <c r="V2692" s="2" t="s">
        <v>239</v>
      </c>
      <c r="W2692" s="2" t="s">
        <v>691</v>
      </c>
      <c r="X2692" s="2" t="s">
        <v>231</v>
      </c>
      <c r="Y2692" s="2" t="s">
        <v>1324</v>
      </c>
      <c r="Z2692" s="4">
        <v>198</v>
      </c>
      <c r="AA2692" s="4">
        <f>=ROUNDDOWN(24.75,0)</f>
      </c>
      <c r="AB2692" s="5">
        <v>8</v>
      </c>
      <c r="AC2692" s="2" t="s">
        <v>3415</v>
      </c>
      <c r="AD2692" s="4">
        <v>40</v>
      </c>
      <c r="AE2692" s="4">
        <v>200</v>
      </c>
      <c r="AF2692" s="6">
        <v>67</v>
      </c>
      <c r="AG2692" s="6"/>
      <c r="AH2692" s="7">
        <v>1</v>
      </c>
      <c r="AI2692" s="4"/>
      <c r="AJ2692" s="4">
        <f>=ROUNDDOWN({0},0)</f>
      </c>
      <c r="AK2692" s="5"/>
      <c r="AL2692" s="2" t="s">
        <v>231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231</v>
      </c>
      <c r="AW2692" s="8" t="s">
        <v>231</v>
      </c>
      <c r="AX2692" s="4" t="s">
        <v>231</v>
      </c>
      <c r="AY2692" s="8" t="s">
        <v>231</v>
      </c>
      <c r="AZ2692" s="7" t="s">
        <v>231</v>
      </c>
      <c r="BA2692" s="7" t="s">
        <v>231</v>
      </c>
      <c r="BB2692" s="7"/>
      <c r="BC2692" s="4" t="s">
        <v>231</v>
      </c>
      <c r="BD2692" s="8" t="s">
        <v>231</v>
      </c>
      <c r="BE2692" s="4" t="s">
        <v>231</v>
      </c>
      <c r="BF2692" s="8" t="s">
        <v>231</v>
      </c>
      <c r="BG2692" s="7" t="s">
        <v>231</v>
      </c>
      <c r="BH2692" s="7" t="s">
        <v>231</v>
      </c>
      <c r="BI2692" s="7"/>
      <c r="BJ2692" s="4">
        <v>9</v>
      </c>
      <c r="BK2692" s="8">
        <v>583.22</v>
      </c>
      <c r="BL2692" s="2" t="s">
        <v>6004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11498</v>
      </c>
      <c r="BV2692" s="2" t="s">
        <v>231</v>
      </c>
      <c r="BW2692" s="2" t="s">
        <v>231</v>
      </c>
      <c r="BX2692" s="2" t="s">
        <v>231</v>
      </c>
      <c r="BY2692" s="2" t="s">
        <v>277</v>
      </c>
      <c r="BZ2692" s="2" t="s">
        <v>243</v>
      </c>
      <c r="CA2692" s="2" t="s">
        <v>667</v>
      </c>
      <c r="CB2692" s="2" t="s">
        <v>1583</v>
      </c>
      <c r="CC2692" s="2" t="s">
        <v>244</v>
      </c>
      <c r="CD2692" s="2" t="s">
        <v>231</v>
      </c>
      <c r="CE2692" s="4">
        <v>198</v>
      </c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4"/>
      <c r="CX2692" s="4">
        <v>40</v>
      </c>
      <c r="CY2692" s="4"/>
      <c r="CZ2692" s="4"/>
      <c r="DA2692" s="4"/>
      <c r="DB2692" s="4"/>
      <c r="DC2692" s="4"/>
      <c r="DD2692" s="4"/>
      <c r="DE2692" s="4"/>
      <c r="DF2692" s="4"/>
      <c r="DG2692" s="4"/>
      <c r="DH2692" s="4"/>
      <c r="DI2692" s="4"/>
      <c r="DJ2692" s="4"/>
      <c r="DK2692" s="4"/>
      <c r="DL2692" s="4"/>
      <c r="DM2692" s="4"/>
      <c r="DN2692" s="4"/>
      <c r="DO2692" s="4"/>
      <c r="DP2692" s="4"/>
      <c r="DQ2692" s="4"/>
      <c r="DR2692" s="4"/>
      <c r="DS2692" s="4"/>
      <c r="DT2692" s="4"/>
      <c r="DU2692" s="4"/>
      <c r="DV2692" s="4"/>
      <c r="DW2692" s="4"/>
      <c r="DX2692" s="4"/>
      <c r="DY2692" s="4"/>
      <c r="DZ2692" s="4"/>
      <c r="EA2692" s="4"/>
      <c r="EB2692" s="4"/>
      <c r="EC2692" s="4"/>
      <c r="ED2692" s="4"/>
      <c r="EE2692" s="4"/>
      <c r="EF2692" s="4"/>
      <c r="EG2692" s="4"/>
      <c r="EH2692" s="4"/>
      <c r="EI2692" s="4"/>
      <c r="EJ2692" s="4"/>
      <c r="EK2692" s="4"/>
      <c r="EL2692" s="4"/>
      <c r="EM2692" s="4"/>
      <c r="EN2692" s="4"/>
      <c r="EO2692" s="4"/>
      <c r="EP2692" s="4"/>
      <c r="EQ2692" s="4"/>
      <c r="ER2692" s="4"/>
      <c r="ES2692" s="4"/>
      <c r="ET2692" s="4"/>
      <c r="EU2692" s="4"/>
      <c r="EV2692" s="4"/>
      <c r="EW2692" s="4"/>
      <c r="EX2692" s="4"/>
      <c r="EY2692" s="4"/>
      <c r="EZ2692" s="4"/>
      <c r="FA2692" s="4"/>
      <c r="FB2692" s="4"/>
      <c r="FC2692" s="4"/>
      <c r="FD2692" s="4"/>
      <c r="FE2692" s="4"/>
      <c r="FF2692" s="4"/>
      <c r="FG2692" s="4"/>
      <c r="FH2692" s="4"/>
      <c r="FI2692" s="4"/>
      <c r="FJ2692" s="4"/>
      <c r="FK2692" s="4"/>
      <c r="FL2692" s="4"/>
      <c r="FM2692" s="4"/>
      <c r="FN2692" s="4"/>
      <c r="FO2692" s="4"/>
      <c r="FP2692" s="4"/>
      <c r="FQ2692" s="4"/>
      <c r="FR2692" s="4"/>
      <c r="FS2692" s="4"/>
      <c r="FT2692" s="4"/>
      <c r="FU2692" s="4"/>
      <c r="FV2692" s="4"/>
      <c r="FW2692" s="4"/>
      <c r="FX2692" s="4"/>
      <c r="FY2692" s="4"/>
      <c r="FZ2692" s="4"/>
      <c r="GA2692" s="4"/>
      <c r="GB2692" s="4"/>
      <c r="GC2692" s="4"/>
      <c r="GD2692" s="4"/>
      <c r="GE2692" s="4"/>
      <c r="GF2692" s="4"/>
      <c r="GG2692" s="4"/>
      <c r="GH2692" s="4"/>
      <c r="GI2692" s="4"/>
      <c r="GJ2692" s="4"/>
      <c r="GK2692" s="4"/>
      <c r="GL2692" s="4"/>
      <c r="GM2692" s="4"/>
      <c r="GN2692" s="4"/>
      <c r="GO2692" s="4"/>
      <c r="GP2692" s="4"/>
      <c r="GQ2692" s="4">
        <v>40</v>
      </c>
      <c r="GR2692" s="4"/>
      <c r="GS2692" s="4"/>
      <c r="GT2692" s="4"/>
      <c r="GU2692" s="4"/>
      <c r="GV2692" s="4"/>
      <c r="GW2692" s="4"/>
      <c r="GX2692" s="4"/>
      <c r="GY2692" s="4"/>
      <c r="GZ2692" s="4"/>
      <c r="HA2692" s="4"/>
      <c r="HB2692" s="4"/>
      <c r="HC2692" s="4"/>
      <c r="HD2692" s="4"/>
      <c r="HE2692" s="4">
        <v>120</v>
      </c>
      <c r="HF2692" s="4"/>
      <c r="HG2692" s="4"/>
      <c r="HH2692" s="4"/>
      <c r="HI2692" s="4"/>
      <c r="HJ2692" s="4"/>
      <c r="HK2692" s="4"/>
      <c r="HL2692" s="4"/>
    </row>
    <row r="2693">
      <c r="A2693" s="2" t="s">
        <v>11499</v>
      </c>
      <c r="B2693" s="2" t="s">
        <v>262</v>
      </c>
      <c r="C2693" s="2" t="s">
        <v>913</v>
      </c>
      <c r="D2693" s="2" t="s">
        <v>654</v>
      </c>
      <c r="E2693" s="2" t="s">
        <v>1212</v>
      </c>
      <c r="F2693" s="2" t="s">
        <v>11496</v>
      </c>
      <c r="G2693" s="2" t="s">
        <v>11496</v>
      </c>
      <c r="H2693" s="2" t="s">
        <v>11496</v>
      </c>
      <c r="I2693" s="2" t="s">
        <v>11497</v>
      </c>
      <c r="J2693" s="2" t="s">
        <v>669</v>
      </c>
      <c r="K2693" s="2" t="s">
        <v>319</v>
      </c>
      <c r="L2693" s="3">
        <v>59.42</v>
      </c>
      <c r="M2693" s="3">
        <v>62.39</v>
      </c>
      <c r="N2693" s="3">
        <v>159.99</v>
      </c>
      <c r="O2693" s="2" t="s">
        <v>243</v>
      </c>
      <c r="P2693" s="2" t="s">
        <v>270</v>
      </c>
      <c r="Q2693" s="2" t="s">
        <v>237</v>
      </c>
      <c r="R2693" s="2" t="s">
        <v>231</v>
      </c>
      <c r="S2693" s="2" t="s">
        <v>231</v>
      </c>
      <c r="T2693" s="2" t="s">
        <v>231</v>
      </c>
      <c r="U2693" s="2" t="s">
        <v>327</v>
      </c>
      <c r="V2693" s="2" t="s">
        <v>239</v>
      </c>
      <c r="W2693" s="2" t="s">
        <v>691</v>
      </c>
      <c r="X2693" s="2" t="s">
        <v>231</v>
      </c>
      <c r="Y2693" s="2" t="s">
        <v>1324</v>
      </c>
      <c r="Z2693" s="4">
        <v>47</v>
      </c>
      <c r="AA2693" s="4">
        <f>=ROUNDDOWN(4.7,0)</f>
      </c>
      <c r="AB2693" s="5">
        <v>10</v>
      </c>
      <c r="AC2693" s="2" t="s">
        <v>3415</v>
      </c>
      <c r="AD2693" s="4">
        <v>150</v>
      </c>
      <c r="AE2693" s="4">
        <v>390</v>
      </c>
      <c r="AF2693" s="6">
        <v>67</v>
      </c>
      <c r="AG2693" s="6"/>
      <c r="AH2693" s="7">
        <v>1</v>
      </c>
      <c r="AI2693" s="4"/>
      <c r="AJ2693" s="4">
        <f>=ROUNDDOWN({0},0)</f>
      </c>
      <c r="AK2693" s="5"/>
      <c r="AL2693" s="2" t="s">
        <v>231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231</v>
      </c>
      <c r="AW2693" s="8" t="s">
        <v>231</v>
      </c>
      <c r="AX2693" s="4" t="s">
        <v>231</v>
      </c>
      <c r="AY2693" s="8" t="s">
        <v>231</v>
      </c>
      <c r="AZ2693" s="7" t="s">
        <v>231</v>
      </c>
      <c r="BA2693" s="7" t="s">
        <v>231</v>
      </c>
      <c r="BB2693" s="7"/>
      <c r="BC2693" s="4" t="s">
        <v>231</v>
      </c>
      <c r="BD2693" s="8" t="s">
        <v>231</v>
      </c>
      <c r="BE2693" s="4" t="s">
        <v>231</v>
      </c>
      <c r="BF2693" s="8" t="s">
        <v>231</v>
      </c>
      <c r="BG2693" s="7" t="s">
        <v>231</v>
      </c>
      <c r="BH2693" s="7" t="s">
        <v>231</v>
      </c>
      <c r="BI2693" s="7"/>
      <c r="BJ2693" s="4">
        <v>22</v>
      </c>
      <c r="BK2693" s="8">
        <v>1490</v>
      </c>
      <c r="BL2693" s="2" t="s">
        <v>7012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11500</v>
      </c>
      <c r="BV2693" s="2" t="s">
        <v>231</v>
      </c>
      <c r="BW2693" s="2" t="s">
        <v>231</v>
      </c>
      <c r="BX2693" s="2" t="s">
        <v>231</v>
      </c>
      <c r="BY2693" s="2" t="s">
        <v>277</v>
      </c>
      <c r="BZ2693" s="2" t="s">
        <v>243</v>
      </c>
      <c r="CA2693" s="2" t="s">
        <v>667</v>
      </c>
      <c r="CB2693" s="2" t="s">
        <v>2826</v>
      </c>
      <c r="CC2693" s="2" t="s">
        <v>244</v>
      </c>
      <c r="CD2693" s="2" t="s">
        <v>231</v>
      </c>
      <c r="CE2693" s="4">
        <v>47</v>
      </c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4"/>
      <c r="CX2693" s="4">
        <v>150</v>
      </c>
      <c r="CY2693" s="4"/>
      <c r="CZ2693" s="4"/>
      <c r="DA2693" s="4"/>
      <c r="DB2693" s="4"/>
      <c r="DC2693" s="4"/>
      <c r="DD2693" s="4"/>
      <c r="DE2693" s="4"/>
      <c r="DF2693" s="4"/>
      <c r="DG2693" s="4"/>
      <c r="DH2693" s="4"/>
      <c r="DI2693" s="4"/>
      <c r="DJ2693" s="4"/>
      <c r="DK2693" s="4"/>
      <c r="DL2693" s="4"/>
      <c r="DM2693" s="4"/>
      <c r="DN2693" s="4"/>
      <c r="DO2693" s="4"/>
      <c r="DP2693" s="4"/>
      <c r="DQ2693" s="4"/>
      <c r="DR2693" s="4"/>
      <c r="DS2693" s="4"/>
      <c r="DT2693" s="4"/>
      <c r="DU2693" s="4"/>
      <c r="DV2693" s="4"/>
      <c r="DW2693" s="4"/>
      <c r="DX2693" s="4"/>
      <c r="DY2693" s="4"/>
      <c r="DZ2693" s="4"/>
      <c r="EA2693" s="4"/>
      <c r="EB2693" s="4"/>
      <c r="EC2693" s="4"/>
      <c r="ED2693" s="4"/>
      <c r="EE2693" s="4"/>
      <c r="EF2693" s="4"/>
      <c r="EG2693" s="4"/>
      <c r="EH2693" s="4"/>
      <c r="EI2693" s="4"/>
      <c r="EJ2693" s="4"/>
      <c r="EK2693" s="4"/>
      <c r="EL2693" s="4"/>
      <c r="EM2693" s="4"/>
      <c r="EN2693" s="4"/>
      <c r="EO2693" s="4"/>
      <c r="EP2693" s="4"/>
      <c r="EQ2693" s="4"/>
      <c r="ER2693" s="4"/>
      <c r="ES2693" s="4"/>
      <c r="ET2693" s="4"/>
      <c r="EU2693" s="4"/>
      <c r="EV2693" s="4"/>
      <c r="EW2693" s="4"/>
      <c r="EX2693" s="4"/>
      <c r="EY2693" s="4"/>
      <c r="EZ2693" s="4"/>
      <c r="FA2693" s="4"/>
      <c r="FB2693" s="4"/>
      <c r="FC2693" s="4"/>
      <c r="FD2693" s="4"/>
      <c r="FE2693" s="4"/>
      <c r="FF2693" s="4"/>
      <c r="FG2693" s="4"/>
      <c r="FH2693" s="4"/>
      <c r="FI2693" s="4"/>
      <c r="FJ2693" s="4"/>
      <c r="FK2693" s="4"/>
      <c r="FL2693" s="4"/>
      <c r="FM2693" s="4"/>
      <c r="FN2693" s="4"/>
      <c r="FO2693" s="4"/>
      <c r="FP2693" s="4"/>
      <c r="FQ2693" s="4"/>
      <c r="FR2693" s="4"/>
      <c r="FS2693" s="4"/>
      <c r="FT2693" s="4"/>
      <c r="FU2693" s="4"/>
      <c r="FV2693" s="4"/>
      <c r="FW2693" s="4"/>
      <c r="FX2693" s="4"/>
      <c r="FY2693" s="4"/>
      <c r="FZ2693" s="4"/>
      <c r="GA2693" s="4"/>
      <c r="GB2693" s="4"/>
      <c r="GC2693" s="4"/>
      <c r="GD2693" s="4"/>
      <c r="GE2693" s="4"/>
      <c r="GF2693" s="4"/>
      <c r="GG2693" s="4"/>
      <c r="GH2693" s="4"/>
      <c r="GI2693" s="4"/>
      <c r="GJ2693" s="4"/>
      <c r="GK2693" s="4"/>
      <c r="GL2693" s="4"/>
      <c r="GM2693" s="4"/>
      <c r="GN2693" s="4"/>
      <c r="GO2693" s="4"/>
      <c r="GP2693" s="4"/>
      <c r="GQ2693" s="4">
        <v>100</v>
      </c>
      <c r="GR2693" s="4"/>
      <c r="GS2693" s="4"/>
      <c r="GT2693" s="4"/>
      <c r="GU2693" s="4"/>
      <c r="GV2693" s="4"/>
      <c r="GW2693" s="4"/>
      <c r="GX2693" s="4"/>
      <c r="GY2693" s="4"/>
      <c r="GZ2693" s="4"/>
      <c r="HA2693" s="4"/>
      <c r="HB2693" s="4"/>
      <c r="HC2693" s="4"/>
      <c r="HD2693" s="4"/>
      <c r="HE2693" s="4">
        <v>140</v>
      </c>
      <c r="HF2693" s="4"/>
      <c r="HG2693" s="4"/>
      <c r="HH2693" s="4"/>
      <c r="HI2693" s="4"/>
      <c r="HJ2693" s="4"/>
      <c r="HK2693" s="4"/>
      <c r="HL2693" s="4"/>
    </row>
    <row r="2694">
      <c r="A2694" s="2" t="s">
        <v>11501</v>
      </c>
      <c r="B2694" s="2" t="s">
        <v>287</v>
      </c>
      <c r="C2694" s="2" t="s">
        <v>913</v>
      </c>
      <c r="D2694" s="2" t="s">
        <v>289</v>
      </c>
      <c r="E2694" s="2" t="s">
        <v>290</v>
      </c>
      <c r="F2694" s="2" t="s">
        <v>11502</v>
      </c>
      <c r="G2694" s="2" t="s">
        <v>11502</v>
      </c>
      <c r="H2694" s="2" t="s">
        <v>11502</v>
      </c>
      <c r="I2694" s="2" t="s">
        <v>11503</v>
      </c>
      <c r="J2694" s="2" t="s">
        <v>293</v>
      </c>
      <c r="K2694" s="2" t="s">
        <v>253</v>
      </c>
      <c r="L2694" s="3">
        <v>48.28</v>
      </c>
      <c r="M2694" s="3">
        <v>50.69</v>
      </c>
      <c r="N2694" s="3">
        <v>129.99</v>
      </c>
      <c r="O2694" s="2" t="s">
        <v>243</v>
      </c>
      <c r="P2694" s="2" t="s">
        <v>341</v>
      </c>
      <c r="Q2694" s="2" t="s">
        <v>237</v>
      </c>
      <c r="R2694" s="2" t="s">
        <v>231</v>
      </c>
      <c r="S2694" s="2" t="s">
        <v>231</v>
      </c>
      <c r="T2694" s="2" t="s">
        <v>362</v>
      </c>
      <c r="U2694" s="2" t="s">
        <v>231</v>
      </c>
      <c r="V2694" s="2" t="s">
        <v>987</v>
      </c>
      <c r="W2694" s="2" t="s">
        <v>299</v>
      </c>
      <c r="X2694" s="2" t="s">
        <v>231</v>
      </c>
      <c r="Y2694" s="2" t="s">
        <v>9896</v>
      </c>
      <c r="Z2694" s="4">
        <v>246</v>
      </c>
      <c r="AA2694" s="4">
        <f>=ROUNDDOWN(123,0)</f>
      </c>
      <c r="AB2694" s="5">
        <v>2</v>
      </c>
      <c r="AC2694" s="2" t="s">
        <v>231</v>
      </c>
      <c r="AD2694" s="4"/>
      <c r="AE2694" s="4"/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231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231</v>
      </c>
      <c r="AW2694" s="8" t="s">
        <v>231</v>
      </c>
      <c r="AX2694" s="4" t="s">
        <v>231</v>
      </c>
      <c r="AY2694" s="8" t="s">
        <v>231</v>
      </c>
      <c r="AZ2694" s="7" t="s">
        <v>231</v>
      </c>
      <c r="BA2694" s="7" t="s">
        <v>231</v>
      </c>
      <c r="BB2694" s="7"/>
      <c r="BC2694" s="4" t="s">
        <v>231</v>
      </c>
      <c r="BD2694" s="8" t="s">
        <v>231</v>
      </c>
      <c r="BE2694" s="4" t="s">
        <v>231</v>
      </c>
      <c r="BF2694" s="8" t="s">
        <v>231</v>
      </c>
      <c r="BG2694" s="7" t="s">
        <v>231</v>
      </c>
      <c r="BH2694" s="7" t="s">
        <v>231</v>
      </c>
      <c r="BI2694" s="7"/>
      <c r="BJ2694" s="4">
        <v>5</v>
      </c>
      <c r="BK2694" s="8">
        <v>230.65</v>
      </c>
      <c r="BL2694" s="2" t="s">
        <v>6349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11504</v>
      </c>
      <c r="BV2694" s="2" t="s">
        <v>231</v>
      </c>
      <c r="BW2694" s="2" t="s">
        <v>231</v>
      </c>
      <c r="BX2694" s="2" t="s">
        <v>231</v>
      </c>
      <c r="BY2694" s="2" t="s">
        <v>277</v>
      </c>
      <c r="BZ2694" s="2" t="s">
        <v>243</v>
      </c>
      <c r="CA2694" s="2" t="s">
        <v>7986</v>
      </c>
      <c r="CB2694" s="2" t="s">
        <v>4143</v>
      </c>
      <c r="CC2694" s="2" t="s">
        <v>244</v>
      </c>
      <c r="CD2694" s="2" t="s">
        <v>231</v>
      </c>
      <c r="CE2694" s="4">
        <v>245</v>
      </c>
      <c r="CF2694" s="4">
        <v>1</v>
      </c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4"/>
      <c r="CX2694" s="4"/>
      <c r="CY2694" s="4"/>
      <c r="CZ2694" s="4"/>
      <c r="DA2694" s="4"/>
      <c r="DB2694" s="4"/>
      <c r="DC2694" s="4"/>
      <c r="DD2694" s="4"/>
      <c r="DE2694" s="4"/>
      <c r="DF2694" s="4"/>
      <c r="DG2694" s="4"/>
      <c r="DH2694" s="4"/>
      <c r="DI2694" s="4"/>
      <c r="DJ2694" s="4"/>
      <c r="DK2694" s="4"/>
      <c r="DL2694" s="4"/>
      <c r="DM2694" s="4"/>
      <c r="DN2694" s="4"/>
      <c r="DO2694" s="4"/>
      <c r="DP2694" s="4"/>
      <c r="DQ2694" s="4"/>
      <c r="DR2694" s="4"/>
      <c r="DS2694" s="4"/>
      <c r="DT2694" s="4"/>
      <c r="DU2694" s="4"/>
      <c r="DV2694" s="4"/>
      <c r="DW2694" s="4"/>
      <c r="DX2694" s="4"/>
      <c r="DY2694" s="4"/>
      <c r="DZ2694" s="4"/>
      <c r="EA2694" s="4"/>
      <c r="EB2694" s="4"/>
      <c r="EC2694" s="4"/>
      <c r="ED2694" s="4"/>
      <c r="EE2694" s="4"/>
      <c r="EF2694" s="4"/>
      <c r="EG2694" s="4"/>
      <c r="EH2694" s="4"/>
      <c r="EI2694" s="4"/>
      <c r="EJ2694" s="4"/>
      <c r="EK2694" s="4"/>
      <c r="EL2694" s="4"/>
      <c r="EM2694" s="4"/>
      <c r="EN2694" s="4"/>
      <c r="EO2694" s="4"/>
      <c r="EP2694" s="4"/>
      <c r="EQ2694" s="4"/>
      <c r="ER2694" s="4"/>
      <c r="ES2694" s="4"/>
      <c r="ET2694" s="4"/>
      <c r="EU2694" s="4"/>
      <c r="EV2694" s="4"/>
      <c r="EW2694" s="4"/>
      <c r="EX2694" s="4"/>
      <c r="EY2694" s="4"/>
      <c r="EZ2694" s="4"/>
      <c r="FA2694" s="4"/>
      <c r="FB2694" s="4"/>
      <c r="FC2694" s="4"/>
      <c r="FD2694" s="4"/>
      <c r="FE2694" s="4"/>
      <c r="FF2694" s="4"/>
      <c r="FG2694" s="4"/>
      <c r="FH2694" s="4"/>
      <c r="FI2694" s="4"/>
      <c r="FJ2694" s="4"/>
      <c r="FK2694" s="4"/>
      <c r="FL2694" s="4"/>
      <c r="FM2694" s="4"/>
      <c r="FN2694" s="4"/>
      <c r="FO2694" s="4"/>
      <c r="FP2694" s="4"/>
      <c r="FQ2694" s="4"/>
      <c r="FR2694" s="4"/>
      <c r="FS2694" s="4"/>
      <c r="FT2694" s="4"/>
      <c r="FU2694" s="4"/>
      <c r="FV2694" s="4"/>
      <c r="FW2694" s="4"/>
      <c r="FX2694" s="4"/>
      <c r="FY2694" s="4"/>
      <c r="FZ2694" s="4"/>
      <c r="GA2694" s="4"/>
      <c r="GB2694" s="4"/>
      <c r="GC2694" s="4"/>
      <c r="GD2694" s="4"/>
      <c r="GE2694" s="4"/>
      <c r="GF2694" s="4"/>
      <c r="GG2694" s="4"/>
      <c r="GH2694" s="4"/>
      <c r="GI2694" s="4"/>
      <c r="GJ2694" s="4"/>
      <c r="GK2694" s="4"/>
      <c r="GL2694" s="4"/>
      <c r="GM2694" s="4"/>
      <c r="GN2694" s="4"/>
      <c r="GO2694" s="4"/>
      <c r="GP2694" s="4"/>
      <c r="GQ2694" s="4"/>
      <c r="GR2694" s="4"/>
      <c r="GS2694" s="4"/>
      <c r="GT2694" s="4"/>
      <c r="GU2694" s="4"/>
      <c r="GV2694" s="4"/>
      <c r="GW2694" s="4"/>
      <c r="GX2694" s="4"/>
      <c r="GY2694" s="4"/>
      <c r="GZ2694" s="4"/>
      <c r="HA2694" s="4"/>
      <c r="HB2694" s="4"/>
      <c r="HC2694" s="4"/>
      <c r="HD2694" s="4"/>
      <c r="HE2694" s="4"/>
      <c r="HF2694" s="4"/>
      <c r="HG2694" s="4"/>
      <c r="HH2694" s="4"/>
      <c r="HI2694" s="4"/>
      <c r="HJ2694" s="4"/>
      <c r="HK2694" s="4"/>
      <c r="HL2694" s="4"/>
    </row>
    <row r="2695">
      <c r="A2695" s="2" t="s">
        <v>11505</v>
      </c>
      <c r="B2695" s="2" t="s">
        <v>287</v>
      </c>
      <c r="C2695" s="2" t="s">
        <v>913</v>
      </c>
      <c r="D2695" s="2" t="s">
        <v>289</v>
      </c>
      <c r="E2695" s="2" t="s">
        <v>290</v>
      </c>
      <c r="F2695" s="2" t="s">
        <v>11502</v>
      </c>
      <c r="G2695" s="2" t="s">
        <v>11502</v>
      </c>
      <c r="H2695" s="2" t="s">
        <v>11502</v>
      </c>
      <c r="I2695" s="2" t="s">
        <v>11503</v>
      </c>
      <c r="J2695" s="2" t="s">
        <v>302</v>
      </c>
      <c r="K2695" s="2" t="s">
        <v>253</v>
      </c>
      <c r="L2695" s="3">
        <v>55.71</v>
      </c>
      <c r="M2695" s="3">
        <v>58.5</v>
      </c>
      <c r="N2695" s="3">
        <v>149.99</v>
      </c>
      <c r="O2695" s="2" t="s">
        <v>243</v>
      </c>
      <c r="P2695" s="2" t="s">
        <v>341</v>
      </c>
      <c r="Q2695" s="2" t="s">
        <v>237</v>
      </c>
      <c r="R2695" s="2" t="s">
        <v>231</v>
      </c>
      <c r="S2695" s="2" t="s">
        <v>231</v>
      </c>
      <c r="T2695" s="2" t="s">
        <v>362</v>
      </c>
      <c r="U2695" s="2" t="s">
        <v>231</v>
      </c>
      <c r="V2695" s="2" t="s">
        <v>987</v>
      </c>
      <c r="W2695" s="2" t="s">
        <v>299</v>
      </c>
      <c r="X2695" s="2" t="s">
        <v>231</v>
      </c>
      <c r="Y2695" s="2" t="s">
        <v>9896</v>
      </c>
      <c r="Z2695" s="4">
        <v>329</v>
      </c>
      <c r="AA2695" s="4">
        <f>=ROUNDDOWN(329,0)</f>
      </c>
      <c r="AB2695" s="5">
        <v>1</v>
      </c>
      <c r="AC2695" s="2" t="s">
        <v>231</v>
      </c>
      <c r="AD2695" s="4"/>
      <c r="AE2695" s="4"/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231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231</v>
      </c>
      <c r="AW2695" s="8" t="s">
        <v>231</v>
      </c>
      <c r="AX2695" s="4" t="s">
        <v>231</v>
      </c>
      <c r="AY2695" s="8" t="s">
        <v>231</v>
      </c>
      <c r="AZ2695" s="7" t="s">
        <v>231</v>
      </c>
      <c r="BA2695" s="7" t="s">
        <v>231</v>
      </c>
      <c r="BB2695" s="7" t="s">
        <v>231</v>
      </c>
      <c r="BC2695" s="4" t="s">
        <v>231</v>
      </c>
      <c r="BD2695" s="8" t="s">
        <v>231</v>
      </c>
      <c r="BE2695" s="4" t="s">
        <v>231</v>
      </c>
      <c r="BF2695" s="8" t="s">
        <v>231</v>
      </c>
      <c r="BG2695" s="7" t="s">
        <v>231</v>
      </c>
      <c r="BH2695" s="7" t="s">
        <v>231</v>
      </c>
      <c r="BI2695" s="7"/>
      <c r="BJ2695" s="4">
        <v>3</v>
      </c>
      <c r="BK2695" s="8">
        <v>163.79</v>
      </c>
      <c r="BL2695" s="2" t="s">
        <v>11506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11507</v>
      </c>
      <c r="BV2695" s="2" t="s">
        <v>231</v>
      </c>
      <c r="BW2695" s="2" t="s">
        <v>231</v>
      </c>
      <c r="BX2695" s="2" t="s">
        <v>231</v>
      </c>
      <c r="BY2695" s="2" t="s">
        <v>277</v>
      </c>
      <c r="BZ2695" s="2" t="s">
        <v>243</v>
      </c>
      <c r="CA2695" s="2" t="s">
        <v>7986</v>
      </c>
      <c r="CB2695" s="2" t="s">
        <v>2821</v>
      </c>
      <c r="CC2695" s="2" t="s">
        <v>244</v>
      </c>
      <c r="CD2695" s="2" t="s">
        <v>231</v>
      </c>
      <c r="CE2695" s="4">
        <v>324</v>
      </c>
      <c r="CF2695" s="4">
        <v>5</v>
      </c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4"/>
      <c r="CX2695" s="4"/>
      <c r="CY2695" s="4"/>
      <c r="CZ2695" s="4"/>
      <c r="DA2695" s="4"/>
      <c r="DB2695" s="4"/>
      <c r="DC2695" s="4"/>
      <c r="DD2695" s="4"/>
      <c r="DE2695" s="4"/>
      <c r="DF2695" s="4"/>
      <c r="DG2695" s="4"/>
      <c r="DH2695" s="4"/>
      <c r="DI2695" s="4"/>
      <c r="DJ2695" s="4"/>
      <c r="DK2695" s="4"/>
      <c r="DL2695" s="4"/>
      <c r="DM2695" s="4"/>
      <c r="DN2695" s="4"/>
      <c r="DO2695" s="4"/>
      <c r="DP2695" s="4"/>
      <c r="DQ2695" s="4"/>
      <c r="DR2695" s="4"/>
      <c r="DS2695" s="4"/>
      <c r="DT2695" s="4"/>
      <c r="DU2695" s="4"/>
      <c r="DV2695" s="4"/>
      <c r="DW2695" s="4"/>
      <c r="DX2695" s="4"/>
      <c r="DY2695" s="4"/>
      <c r="DZ2695" s="4"/>
      <c r="EA2695" s="4"/>
      <c r="EB2695" s="4"/>
      <c r="EC2695" s="4"/>
      <c r="ED2695" s="4"/>
      <c r="EE2695" s="4"/>
      <c r="EF2695" s="4"/>
      <c r="EG2695" s="4"/>
      <c r="EH2695" s="4"/>
      <c r="EI2695" s="4"/>
      <c r="EJ2695" s="4"/>
      <c r="EK2695" s="4"/>
      <c r="EL2695" s="4"/>
      <c r="EM2695" s="4"/>
      <c r="EN2695" s="4"/>
      <c r="EO2695" s="4"/>
      <c r="EP2695" s="4"/>
      <c r="EQ2695" s="4"/>
      <c r="ER2695" s="4"/>
      <c r="ES2695" s="4"/>
      <c r="ET2695" s="4"/>
      <c r="EU2695" s="4"/>
      <c r="EV2695" s="4"/>
      <c r="EW2695" s="4"/>
      <c r="EX2695" s="4"/>
      <c r="EY2695" s="4"/>
      <c r="EZ2695" s="4"/>
      <c r="FA2695" s="4"/>
      <c r="FB2695" s="4"/>
      <c r="FC2695" s="4"/>
      <c r="FD2695" s="4"/>
      <c r="FE2695" s="4"/>
      <c r="FF2695" s="4"/>
      <c r="FG2695" s="4"/>
      <c r="FH2695" s="4"/>
      <c r="FI2695" s="4"/>
      <c r="FJ2695" s="4"/>
      <c r="FK2695" s="4"/>
      <c r="FL2695" s="4"/>
      <c r="FM2695" s="4"/>
      <c r="FN2695" s="4"/>
      <c r="FO2695" s="4"/>
      <c r="FP2695" s="4"/>
      <c r="FQ2695" s="4"/>
      <c r="FR2695" s="4"/>
      <c r="FS2695" s="4"/>
      <c r="FT2695" s="4"/>
      <c r="FU2695" s="4"/>
      <c r="FV2695" s="4"/>
      <c r="FW2695" s="4"/>
      <c r="FX2695" s="4"/>
      <c r="FY2695" s="4"/>
      <c r="FZ2695" s="4"/>
      <c r="GA2695" s="4"/>
      <c r="GB2695" s="4"/>
      <c r="GC2695" s="4"/>
      <c r="GD2695" s="4"/>
      <c r="GE2695" s="4"/>
      <c r="GF2695" s="4"/>
      <c r="GG2695" s="4"/>
      <c r="GH2695" s="4"/>
      <c r="GI2695" s="4"/>
      <c r="GJ2695" s="4"/>
      <c r="GK2695" s="4"/>
      <c r="GL2695" s="4"/>
      <c r="GM2695" s="4"/>
      <c r="GN2695" s="4"/>
      <c r="GO2695" s="4"/>
      <c r="GP2695" s="4"/>
      <c r="GQ2695" s="4"/>
      <c r="GR2695" s="4"/>
      <c r="GS2695" s="4"/>
      <c r="GT2695" s="4"/>
      <c r="GU2695" s="4"/>
      <c r="GV2695" s="4"/>
      <c r="GW2695" s="4"/>
      <c r="GX2695" s="4"/>
      <c r="GY2695" s="4"/>
      <c r="GZ2695" s="4"/>
      <c r="HA2695" s="4"/>
      <c r="HB2695" s="4"/>
      <c r="HC2695" s="4"/>
      <c r="HD2695" s="4"/>
      <c r="HE2695" s="4"/>
      <c r="HF2695" s="4"/>
      <c r="HG2695" s="4"/>
      <c r="HH2695" s="4"/>
      <c r="HI2695" s="4"/>
      <c r="HJ2695" s="4"/>
      <c r="HK2695" s="4"/>
      <c r="HL2695" s="4"/>
    </row>
    <row r="2696">
      <c r="A2696" s="2" t="s">
        <v>11508</v>
      </c>
      <c r="B2696" s="2" t="s">
        <v>287</v>
      </c>
      <c r="C2696" s="2" t="s">
        <v>913</v>
      </c>
      <c r="D2696" s="2" t="s">
        <v>289</v>
      </c>
      <c r="E2696" s="2" t="s">
        <v>290</v>
      </c>
      <c r="F2696" s="2" t="s">
        <v>11502</v>
      </c>
      <c r="G2696" s="2" t="s">
        <v>11502</v>
      </c>
      <c r="H2696" s="2" t="s">
        <v>11502</v>
      </c>
      <c r="I2696" s="2" t="s">
        <v>11509</v>
      </c>
      <c r="J2696" s="2" t="s">
        <v>302</v>
      </c>
      <c r="K2696" s="2" t="s">
        <v>253</v>
      </c>
      <c r="L2696" s="3">
        <v>18.57</v>
      </c>
      <c r="M2696" s="3">
        <v>19.5</v>
      </c>
      <c r="N2696" s="3">
        <v>49.99</v>
      </c>
      <c r="O2696" s="2" t="s">
        <v>243</v>
      </c>
      <c r="P2696" s="2" t="s">
        <v>341</v>
      </c>
      <c r="Q2696" s="2" t="s">
        <v>237</v>
      </c>
      <c r="R2696" s="2" t="s">
        <v>231</v>
      </c>
      <c r="S2696" s="2" t="s">
        <v>231</v>
      </c>
      <c r="T2696" s="2" t="s">
        <v>362</v>
      </c>
      <c r="U2696" s="2" t="s">
        <v>231</v>
      </c>
      <c r="V2696" s="2" t="s">
        <v>987</v>
      </c>
      <c r="W2696" s="2" t="s">
        <v>299</v>
      </c>
      <c r="X2696" s="2" t="s">
        <v>231</v>
      </c>
      <c r="Y2696" s="2" t="s">
        <v>9896</v>
      </c>
      <c r="Z2696" s="4">
        <v>23</v>
      </c>
      <c r="AA2696" s="4">
        <f>=ROUNDDOWN(23,0)</f>
      </c>
      <c r="AB2696" s="5">
        <v>1</v>
      </c>
      <c r="AC2696" s="2" t="s">
        <v>231</v>
      </c>
      <c r="AD2696" s="4"/>
      <c r="AE2696" s="4"/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231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231</v>
      </c>
      <c r="AW2696" s="8" t="s">
        <v>231</v>
      </c>
      <c r="AX2696" s="4" t="s">
        <v>231</v>
      </c>
      <c r="AY2696" s="8" t="s">
        <v>231</v>
      </c>
      <c r="AZ2696" s="7" t="s">
        <v>231</v>
      </c>
      <c r="BA2696" s="7" t="s">
        <v>231</v>
      </c>
      <c r="BB2696" s="7" t="s">
        <v>231</v>
      </c>
      <c r="BC2696" s="4" t="s">
        <v>231</v>
      </c>
      <c r="BD2696" s="8" t="s">
        <v>231</v>
      </c>
      <c r="BE2696" s="4" t="s">
        <v>231</v>
      </c>
      <c r="BF2696" s="8" t="s">
        <v>231</v>
      </c>
      <c r="BG2696" s="7" t="s">
        <v>231</v>
      </c>
      <c r="BH2696" s="7" t="s">
        <v>231</v>
      </c>
      <c r="BI2696" s="7"/>
      <c r="BJ2696" s="4">
        <v>2</v>
      </c>
      <c r="BK2696" s="8">
        <v>40.94</v>
      </c>
      <c r="BL2696" s="2" t="s">
        <v>937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11510</v>
      </c>
      <c r="BV2696" s="2" t="s">
        <v>231</v>
      </c>
      <c r="BW2696" s="2" t="s">
        <v>231</v>
      </c>
      <c r="BX2696" s="2" t="s">
        <v>231</v>
      </c>
      <c r="BY2696" s="2" t="s">
        <v>277</v>
      </c>
      <c r="BZ2696" s="2" t="s">
        <v>243</v>
      </c>
      <c r="CA2696" s="2" t="s">
        <v>7986</v>
      </c>
      <c r="CB2696" s="2" t="s">
        <v>11511</v>
      </c>
      <c r="CC2696" s="2" t="s">
        <v>244</v>
      </c>
      <c r="CD2696" s="2" t="s">
        <v>231</v>
      </c>
      <c r="CE2696" s="4">
        <v>23</v>
      </c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4"/>
      <c r="CX2696" s="4"/>
      <c r="CY2696" s="4"/>
      <c r="CZ2696" s="4"/>
      <c r="DA2696" s="4"/>
      <c r="DB2696" s="4"/>
      <c r="DC2696" s="4"/>
      <c r="DD2696" s="4"/>
      <c r="DE2696" s="4"/>
      <c r="DF2696" s="4"/>
      <c r="DG2696" s="4"/>
      <c r="DH2696" s="4"/>
      <c r="DI2696" s="4"/>
      <c r="DJ2696" s="4"/>
      <c r="DK2696" s="4"/>
      <c r="DL2696" s="4"/>
      <c r="DM2696" s="4"/>
      <c r="DN2696" s="4"/>
      <c r="DO2696" s="4"/>
      <c r="DP2696" s="4"/>
      <c r="DQ2696" s="4"/>
      <c r="DR2696" s="4"/>
      <c r="DS2696" s="4"/>
      <c r="DT2696" s="4"/>
      <c r="DU2696" s="4"/>
      <c r="DV2696" s="4"/>
      <c r="DW2696" s="4"/>
      <c r="DX2696" s="4"/>
      <c r="DY2696" s="4"/>
      <c r="DZ2696" s="4"/>
      <c r="EA2696" s="4"/>
      <c r="EB2696" s="4"/>
      <c r="EC2696" s="4"/>
      <c r="ED2696" s="4"/>
      <c r="EE2696" s="4"/>
      <c r="EF2696" s="4"/>
      <c r="EG2696" s="4"/>
      <c r="EH2696" s="4"/>
      <c r="EI2696" s="4"/>
      <c r="EJ2696" s="4"/>
      <c r="EK2696" s="4"/>
      <c r="EL2696" s="4"/>
      <c r="EM2696" s="4"/>
      <c r="EN2696" s="4"/>
      <c r="EO2696" s="4"/>
      <c r="EP2696" s="4"/>
      <c r="EQ2696" s="4"/>
      <c r="ER2696" s="4"/>
      <c r="ES2696" s="4"/>
      <c r="ET2696" s="4"/>
      <c r="EU2696" s="4"/>
      <c r="EV2696" s="4"/>
      <c r="EW2696" s="4"/>
      <c r="EX2696" s="4"/>
      <c r="EY2696" s="4"/>
      <c r="EZ2696" s="4"/>
      <c r="FA2696" s="4"/>
      <c r="FB2696" s="4"/>
      <c r="FC2696" s="4"/>
      <c r="FD2696" s="4"/>
      <c r="FE2696" s="4"/>
      <c r="FF2696" s="4"/>
      <c r="FG2696" s="4"/>
      <c r="FH2696" s="4"/>
      <c r="FI2696" s="4"/>
      <c r="FJ2696" s="4"/>
      <c r="FK2696" s="4"/>
      <c r="FL2696" s="4"/>
      <c r="FM2696" s="4"/>
      <c r="FN2696" s="4"/>
      <c r="FO2696" s="4"/>
      <c r="FP2696" s="4"/>
      <c r="FQ2696" s="4"/>
      <c r="FR2696" s="4"/>
      <c r="FS2696" s="4"/>
      <c r="FT2696" s="4"/>
      <c r="FU2696" s="4"/>
      <c r="FV2696" s="4"/>
      <c r="FW2696" s="4"/>
      <c r="FX2696" s="4"/>
      <c r="FY2696" s="4"/>
      <c r="FZ2696" s="4"/>
      <c r="GA2696" s="4"/>
      <c r="GB2696" s="4"/>
      <c r="GC2696" s="4"/>
      <c r="GD2696" s="4"/>
      <c r="GE2696" s="4"/>
      <c r="GF2696" s="4"/>
      <c r="GG2696" s="4"/>
      <c r="GH2696" s="4"/>
      <c r="GI2696" s="4"/>
      <c r="GJ2696" s="4"/>
      <c r="GK2696" s="4"/>
      <c r="GL2696" s="4"/>
      <c r="GM2696" s="4"/>
      <c r="GN2696" s="4"/>
      <c r="GO2696" s="4"/>
      <c r="GP2696" s="4"/>
      <c r="GQ2696" s="4"/>
      <c r="GR2696" s="4"/>
      <c r="GS2696" s="4"/>
      <c r="GT2696" s="4"/>
      <c r="GU2696" s="4"/>
      <c r="GV2696" s="4"/>
      <c r="GW2696" s="4"/>
      <c r="GX2696" s="4"/>
      <c r="GY2696" s="4"/>
      <c r="GZ2696" s="4"/>
      <c r="HA2696" s="4"/>
      <c r="HB2696" s="4"/>
      <c r="HC2696" s="4"/>
      <c r="HD2696" s="4"/>
      <c r="HE2696" s="4"/>
      <c r="HF2696" s="4"/>
      <c r="HG2696" s="4"/>
      <c r="HH2696" s="4"/>
      <c r="HI2696" s="4"/>
      <c r="HJ2696" s="4"/>
      <c r="HK2696" s="4"/>
      <c r="HL2696" s="4"/>
    </row>
    <row r="2697">
      <c r="A2697" s="2" t="s">
        <v>11512</v>
      </c>
      <c r="B2697" s="2" t="s">
        <v>287</v>
      </c>
      <c r="C2697" s="2" t="s">
        <v>913</v>
      </c>
      <c r="D2697" s="2" t="s">
        <v>289</v>
      </c>
      <c r="E2697" s="2" t="s">
        <v>290</v>
      </c>
      <c r="F2697" s="2" t="s">
        <v>11502</v>
      </c>
      <c r="G2697" s="2" t="s">
        <v>11502</v>
      </c>
      <c r="H2697" s="2" t="s">
        <v>11502</v>
      </c>
      <c r="I2697" s="2" t="s">
        <v>11503</v>
      </c>
      <c r="J2697" s="2" t="s">
        <v>304</v>
      </c>
      <c r="K2697" s="2" t="s">
        <v>253</v>
      </c>
      <c r="L2697" s="3">
        <v>55.71</v>
      </c>
      <c r="M2697" s="3">
        <v>58.5</v>
      </c>
      <c r="N2697" s="3">
        <v>149.99</v>
      </c>
      <c r="O2697" s="2" t="s">
        <v>243</v>
      </c>
      <c r="P2697" s="2" t="s">
        <v>341</v>
      </c>
      <c r="Q2697" s="2" t="s">
        <v>237</v>
      </c>
      <c r="R2697" s="2" t="s">
        <v>231</v>
      </c>
      <c r="S2697" s="2" t="s">
        <v>231</v>
      </c>
      <c r="T2697" s="2" t="s">
        <v>362</v>
      </c>
      <c r="U2697" s="2" t="s">
        <v>231</v>
      </c>
      <c r="V2697" s="2" t="s">
        <v>987</v>
      </c>
      <c r="W2697" s="2" t="s">
        <v>299</v>
      </c>
      <c r="X2697" s="2" t="s">
        <v>231</v>
      </c>
      <c r="Y2697" s="2" t="s">
        <v>3869</v>
      </c>
      <c r="Z2697" s="4">
        <v>83</v>
      </c>
      <c r="AA2697" s="4">
        <f>=ROUNDDOWN(83,0)</f>
      </c>
      <c r="AB2697" s="5">
        <v>1</v>
      </c>
      <c r="AC2697" s="2" t="s">
        <v>231</v>
      </c>
      <c r="AD2697" s="4"/>
      <c r="AE2697" s="4"/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231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231</v>
      </c>
      <c r="AW2697" s="8" t="s">
        <v>231</v>
      </c>
      <c r="AX2697" s="4" t="s">
        <v>231</v>
      </c>
      <c r="AY2697" s="8" t="s">
        <v>231</v>
      </c>
      <c r="AZ2697" s="7" t="s">
        <v>231</v>
      </c>
      <c r="BA2697" s="7" t="s">
        <v>231</v>
      </c>
      <c r="BB2697" s="7"/>
      <c r="BC2697" s="4" t="s">
        <v>231</v>
      </c>
      <c r="BD2697" s="8" t="s">
        <v>231</v>
      </c>
      <c r="BE2697" s="4" t="s">
        <v>231</v>
      </c>
      <c r="BF2697" s="8" t="s">
        <v>231</v>
      </c>
      <c r="BG2697" s="7" t="s">
        <v>231</v>
      </c>
      <c r="BH2697" s="7" t="s">
        <v>231</v>
      </c>
      <c r="BI2697" s="7"/>
      <c r="BJ2697" s="4">
        <v>1</v>
      </c>
      <c r="BK2697" s="8">
        <v>61.42</v>
      </c>
      <c r="BL2697" s="2" t="s">
        <v>937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11513</v>
      </c>
      <c r="BV2697" s="2" t="s">
        <v>231</v>
      </c>
      <c r="BW2697" s="2" t="s">
        <v>231</v>
      </c>
      <c r="BX2697" s="2" t="s">
        <v>231</v>
      </c>
      <c r="BY2697" s="2" t="s">
        <v>277</v>
      </c>
      <c r="BZ2697" s="2" t="s">
        <v>243</v>
      </c>
      <c r="CA2697" s="2" t="s">
        <v>7986</v>
      </c>
      <c r="CB2697" s="2" t="s">
        <v>2675</v>
      </c>
      <c r="CC2697" s="2" t="s">
        <v>244</v>
      </c>
      <c r="CD2697" s="2" t="s">
        <v>231</v>
      </c>
      <c r="CE2697" s="4">
        <v>83</v>
      </c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4"/>
      <c r="CX2697" s="4"/>
      <c r="CY2697" s="4"/>
      <c r="CZ2697" s="4"/>
      <c r="DA2697" s="4"/>
      <c r="DB2697" s="4"/>
      <c r="DC2697" s="4"/>
      <c r="DD2697" s="4"/>
      <c r="DE2697" s="4"/>
      <c r="DF2697" s="4"/>
      <c r="DG2697" s="4"/>
      <c r="DH2697" s="4"/>
      <c r="DI2697" s="4"/>
      <c r="DJ2697" s="4"/>
      <c r="DK2697" s="4"/>
      <c r="DL2697" s="4"/>
      <c r="DM2697" s="4"/>
      <c r="DN2697" s="4"/>
      <c r="DO2697" s="4"/>
      <c r="DP2697" s="4"/>
      <c r="DQ2697" s="4"/>
      <c r="DR2697" s="4"/>
      <c r="DS2697" s="4"/>
      <c r="DT2697" s="4"/>
      <c r="DU2697" s="4"/>
      <c r="DV2697" s="4"/>
      <c r="DW2697" s="4"/>
      <c r="DX2697" s="4"/>
      <c r="DY2697" s="4"/>
      <c r="DZ2697" s="4"/>
      <c r="EA2697" s="4"/>
      <c r="EB2697" s="4"/>
      <c r="EC2697" s="4"/>
      <c r="ED2697" s="4"/>
      <c r="EE2697" s="4"/>
      <c r="EF2697" s="4"/>
      <c r="EG2697" s="4"/>
      <c r="EH2697" s="4"/>
      <c r="EI2697" s="4"/>
      <c r="EJ2697" s="4"/>
      <c r="EK2697" s="4"/>
      <c r="EL2697" s="4"/>
      <c r="EM2697" s="4"/>
      <c r="EN2697" s="4"/>
      <c r="EO2697" s="4"/>
      <c r="EP2697" s="4"/>
      <c r="EQ2697" s="4"/>
      <c r="ER2697" s="4"/>
      <c r="ES2697" s="4"/>
      <c r="ET2697" s="4"/>
      <c r="EU2697" s="4"/>
      <c r="EV2697" s="4"/>
      <c r="EW2697" s="4"/>
      <c r="EX2697" s="4"/>
      <c r="EY2697" s="4"/>
      <c r="EZ2697" s="4"/>
      <c r="FA2697" s="4"/>
      <c r="FB2697" s="4"/>
      <c r="FC2697" s="4"/>
      <c r="FD2697" s="4"/>
      <c r="FE2697" s="4"/>
      <c r="FF2697" s="4"/>
      <c r="FG2697" s="4"/>
      <c r="FH2697" s="4"/>
      <c r="FI2697" s="4"/>
      <c r="FJ2697" s="4"/>
      <c r="FK2697" s="4"/>
      <c r="FL2697" s="4"/>
      <c r="FM2697" s="4"/>
      <c r="FN2697" s="4"/>
      <c r="FO2697" s="4"/>
      <c r="FP2697" s="4"/>
      <c r="FQ2697" s="4"/>
      <c r="FR2697" s="4"/>
      <c r="FS2697" s="4"/>
      <c r="FT2697" s="4"/>
      <c r="FU2697" s="4"/>
      <c r="FV2697" s="4"/>
      <c r="FW2697" s="4"/>
      <c r="FX2697" s="4"/>
      <c r="FY2697" s="4"/>
      <c r="FZ2697" s="4"/>
      <c r="GA2697" s="4"/>
      <c r="GB2697" s="4"/>
      <c r="GC2697" s="4"/>
      <c r="GD2697" s="4"/>
      <c r="GE2697" s="4"/>
      <c r="GF2697" s="4"/>
      <c r="GG2697" s="4"/>
      <c r="GH2697" s="4"/>
      <c r="GI2697" s="4"/>
      <c r="GJ2697" s="4"/>
      <c r="GK2697" s="4"/>
      <c r="GL2697" s="4"/>
      <c r="GM2697" s="4"/>
      <c r="GN2697" s="4"/>
      <c r="GO2697" s="4"/>
      <c r="GP2697" s="4"/>
      <c r="GQ2697" s="4"/>
      <c r="GR2697" s="4"/>
      <c r="GS2697" s="4"/>
      <c r="GT2697" s="4"/>
      <c r="GU2697" s="4"/>
      <c r="GV2697" s="4"/>
      <c r="GW2697" s="4"/>
      <c r="GX2697" s="4"/>
      <c r="GY2697" s="4"/>
      <c r="GZ2697" s="4"/>
      <c r="HA2697" s="4"/>
      <c r="HB2697" s="4"/>
      <c r="HC2697" s="4"/>
      <c r="HD2697" s="4"/>
      <c r="HE2697" s="4"/>
      <c r="HF2697" s="4"/>
      <c r="HG2697" s="4"/>
      <c r="HH2697" s="4"/>
      <c r="HI2697" s="4"/>
      <c r="HJ2697" s="4"/>
      <c r="HK2697" s="4"/>
      <c r="HL2697" s="4"/>
    </row>
    <row r="2698">
      <c r="A2698" s="2" t="s">
        <v>11514</v>
      </c>
      <c r="B2698" s="2" t="s">
        <v>287</v>
      </c>
      <c r="C2698" s="2" t="s">
        <v>913</v>
      </c>
      <c r="D2698" s="2" t="s">
        <v>289</v>
      </c>
      <c r="E2698" s="2" t="s">
        <v>290</v>
      </c>
      <c r="F2698" s="2" t="s">
        <v>11502</v>
      </c>
      <c r="G2698" s="2" t="s">
        <v>11502</v>
      </c>
      <c r="H2698" s="2" t="s">
        <v>11502</v>
      </c>
      <c r="I2698" s="2" t="s">
        <v>11503</v>
      </c>
      <c r="J2698" s="2" t="s">
        <v>293</v>
      </c>
      <c r="K2698" s="2" t="s">
        <v>452</v>
      </c>
      <c r="L2698" s="3">
        <v>48.28</v>
      </c>
      <c r="M2698" s="3">
        <v>50.69</v>
      </c>
      <c r="N2698" s="3">
        <v>129.99</v>
      </c>
      <c r="O2698" s="2" t="s">
        <v>243</v>
      </c>
      <c r="P2698" s="2" t="s">
        <v>341</v>
      </c>
      <c r="Q2698" s="2" t="s">
        <v>237</v>
      </c>
      <c r="R2698" s="2" t="s">
        <v>231</v>
      </c>
      <c r="S2698" s="2" t="s">
        <v>231</v>
      </c>
      <c r="T2698" s="2" t="s">
        <v>362</v>
      </c>
      <c r="U2698" s="2" t="s">
        <v>231</v>
      </c>
      <c r="V2698" s="2" t="s">
        <v>987</v>
      </c>
      <c r="W2698" s="2" t="s">
        <v>299</v>
      </c>
      <c r="X2698" s="2" t="s">
        <v>231</v>
      </c>
      <c r="Y2698" s="2" t="s">
        <v>9896</v>
      </c>
      <c r="Z2698" s="4">
        <v>230</v>
      </c>
      <c r="AA2698" s="4">
        <f>=ROUNDDOWN(76.6666666666667,0)</f>
      </c>
      <c r="AB2698" s="5">
        <v>3</v>
      </c>
      <c r="AC2698" s="2" t="s">
        <v>231</v>
      </c>
      <c r="AD2698" s="4"/>
      <c r="AE2698" s="4"/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231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231</v>
      </c>
      <c r="AW2698" s="8" t="s">
        <v>231</v>
      </c>
      <c r="AX2698" s="4" t="s">
        <v>231</v>
      </c>
      <c r="AY2698" s="8" t="s">
        <v>231</v>
      </c>
      <c r="AZ2698" s="7" t="s">
        <v>231</v>
      </c>
      <c r="BA2698" s="7" t="s">
        <v>231</v>
      </c>
      <c r="BB2698" s="7"/>
      <c r="BC2698" s="4" t="s">
        <v>231</v>
      </c>
      <c r="BD2698" s="8" t="s">
        <v>231</v>
      </c>
      <c r="BE2698" s="4" t="s">
        <v>231</v>
      </c>
      <c r="BF2698" s="8" t="s">
        <v>231</v>
      </c>
      <c r="BG2698" s="7" t="s">
        <v>231</v>
      </c>
      <c r="BH2698" s="7" t="s">
        <v>231</v>
      </c>
      <c r="BI2698" s="7"/>
      <c r="BJ2698" s="4">
        <v>6</v>
      </c>
      <c r="BK2698" s="8">
        <v>375.62</v>
      </c>
      <c r="BL2698" s="2" t="s">
        <v>11515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11516</v>
      </c>
      <c r="BV2698" s="2" t="s">
        <v>231</v>
      </c>
      <c r="BW2698" s="2" t="s">
        <v>231</v>
      </c>
      <c r="BX2698" s="2" t="s">
        <v>231</v>
      </c>
      <c r="BY2698" s="2" t="s">
        <v>277</v>
      </c>
      <c r="BZ2698" s="2" t="s">
        <v>243</v>
      </c>
      <c r="CA2698" s="2" t="s">
        <v>7986</v>
      </c>
      <c r="CB2698" s="2" t="s">
        <v>2515</v>
      </c>
      <c r="CC2698" s="2" t="s">
        <v>244</v>
      </c>
      <c r="CD2698" s="2" t="s">
        <v>231</v>
      </c>
      <c r="CE2698" s="4">
        <v>230</v>
      </c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4"/>
      <c r="CX2698" s="4"/>
      <c r="CY2698" s="4"/>
      <c r="CZ2698" s="4"/>
      <c r="DA2698" s="4"/>
      <c r="DB2698" s="4"/>
      <c r="DC2698" s="4"/>
      <c r="DD2698" s="4"/>
      <c r="DE2698" s="4"/>
      <c r="DF2698" s="4"/>
      <c r="DG2698" s="4"/>
      <c r="DH2698" s="4"/>
      <c r="DI2698" s="4"/>
      <c r="DJ2698" s="4"/>
      <c r="DK2698" s="4"/>
      <c r="DL2698" s="4"/>
      <c r="DM2698" s="4"/>
      <c r="DN2698" s="4"/>
      <c r="DO2698" s="4"/>
      <c r="DP2698" s="4"/>
      <c r="DQ2698" s="4"/>
      <c r="DR2698" s="4"/>
      <c r="DS2698" s="4"/>
      <c r="DT2698" s="4"/>
      <c r="DU2698" s="4"/>
      <c r="DV2698" s="4"/>
      <c r="DW2698" s="4"/>
      <c r="DX2698" s="4"/>
      <c r="DY2698" s="4"/>
      <c r="DZ2698" s="4"/>
      <c r="EA2698" s="4"/>
      <c r="EB2698" s="4"/>
      <c r="EC2698" s="4"/>
      <c r="ED2698" s="4"/>
      <c r="EE2698" s="4"/>
      <c r="EF2698" s="4"/>
      <c r="EG2698" s="4"/>
      <c r="EH2698" s="4"/>
      <c r="EI2698" s="4"/>
      <c r="EJ2698" s="4"/>
      <c r="EK2698" s="4"/>
      <c r="EL2698" s="4"/>
      <c r="EM2698" s="4"/>
      <c r="EN2698" s="4"/>
      <c r="EO2698" s="4"/>
      <c r="EP2698" s="4"/>
      <c r="EQ2698" s="4"/>
      <c r="ER2698" s="4"/>
      <c r="ES2698" s="4"/>
      <c r="ET2698" s="4"/>
      <c r="EU2698" s="4"/>
      <c r="EV2698" s="4"/>
      <c r="EW2698" s="4"/>
      <c r="EX2698" s="4"/>
      <c r="EY2698" s="4"/>
      <c r="EZ2698" s="4"/>
      <c r="FA2698" s="4"/>
      <c r="FB2698" s="4"/>
      <c r="FC2698" s="4"/>
      <c r="FD2698" s="4"/>
      <c r="FE2698" s="4"/>
      <c r="FF2698" s="4"/>
      <c r="FG2698" s="4"/>
      <c r="FH2698" s="4"/>
      <c r="FI2698" s="4"/>
      <c r="FJ2698" s="4"/>
      <c r="FK2698" s="4"/>
      <c r="FL2698" s="4"/>
      <c r="FM2698" s="4"/>
      <c r="FN2698" s="4"/>
      <c r="FO2698" s="4"/>
      <c r="FP2698" s="4"/>
      <c r="FQ2698" s="4"/>
      <c r="FR2698" s="4"/>
      <c r="FS2698" s="4"/>
      <c r="FT2698" s="4"/>
      <c r="FU2698" s="4"/>
      <c r="FV2698" s="4"/>
      <c r="FW2698" s="4"/>
      <c r="FX2698" s="4"/>
      <c r="FY2698" s="4"/>
      <c r="FZ2698" s="4"/>
      <c r="GA2698" s="4"/>
      <c r="GB2698" s="4"/>
      <c r="GC2698" s="4"/>
      <c r="GD2698" s="4"/>
      <c r="GE2698" s="4"/>
      <c r="GF2698" s="4"/>
      <c r="GG2698" s="4"/>
      <c r="GH2698" s="4"/>
      <c r="GI2698" s="4"/>
      <c r="GJ2698" s="4"/>
      <c r="GK2698" s="4"/>
      <c r="GL2698" s="4"/>
      <c r="GM2698" s="4"/>
      <c r="GN2698" s="4"/>
      <c r="GO2698" s="4"/>
      <c r="GP2698" s="4"/>
      <c r="GQ2698" s="4"/>
      <c r="GR2698" s="4"/>
      <c r="GS2698" s="4"/>
      <c r="GT2698" s="4"/>
      <c r="GU2698" s="4"/>
      <c r="GV2698" s="4"/>
      <c r="GW2698" s="4"/>
      <c r="GX2698" s="4"/>
      <c r="GY2698" s="4"/>
      <c r="GZ2698" s="4"/>
      <c r="HA2698" s="4"/>
      <c r="HB2698" s="4"/>
      <c r="HC2698" s="4"/>
      <c r="HD2698" s="4"/>
      <c r="HE2698" s="4"/>
      <c r="HF2698" s="4"/>
      <c r="HG2698" s="4"/>
      <c r="HH2698" s="4"/>
      <c r="HI2698" s="4"/>
      <c r="HJ2698" s="4"/>
      <c r="HK2698" s="4"/>
      <c r="HL2698" s="4"/>
    </row>
    <row r="2699">
      <c r="A2699" s="2" t="s">
        <v>11517</v>
      </c>
      <c r="B2699" s="2" t="s">
        <v>287</v>
      </c>
      <c r="C2699" s="2" t="s">
        <v>913</v>
      </c>
      <c r="D2699" s="2" t="s">
        <v>289</v>
      </c>
      <c r="E2699" s="2" t="s">
        <v>290</v>
      </c>
      <c r="F2699" s="2" t="s">
        <v>11502</v>
      </c>
      <c r="G2699" s="2" t="s">
        <v>11502</v>
      </c>
      <c r="H2699" s="2" t="s">
        <v>11502</v>
      </c>
      <c r="I2699" s="2" t="s">
        <v>11503</v>
      </c>
      <c r="J2699" s="2" t="s">
        <v>302</v>
      </c>
      <c r="K2699" s="2" t="s">
        <v>452</v>
      </c>
      <c r="L2699" s="3">
        <v>55.71</v>
      </c>
      <c r="M2699" s="3">
        <v>58.5</v>
      </c>
      <c r="N2699" s="3">
        <v>149.99</v>
      </c>
      <c r="O2699" s="2" t="s">
        <v>243</v>
      </c>
      <c r="P2699" s="2" t="s">
        <v>341</v>
      </c>
      <c r="Q2699" s="2" t="s">
        <v>237</v>
      </c>
      <c r="R2699" s="2" t="s">
        <v>231</v>
      </c>
      <c r="S2699" s="2" t="s">
        <v>231</v>
      </c>
      <c r="T2699" s="2" t="s">
        <v>362</v>
      </c>
      <c r="U2699" s="2" t="s">
        <v>231</v>
      </c>
      <c r="V2699" s="2" t="s">
        <v>987</v>
      </c>
      <c r="W2699" s="2" t="s">
        <v>299</v>
      </c>
      <c r="X2699" s="2" t="s">
        <v>231</v>
      </c>
      <c r="Y2699" s="2" t="s">
        <v>9896</v>
      </c>
      <c r="Z2699" s="4">
        <v>290</v>
      </c>
      <c r="AA2699" s="4">
        <f>=ROUNDDOWN(145,0)</f>
      </c>
      <c r="AB2699" s="5">
        <v>2</v>
      </c>
      <c r="AC2699" s="2" t="s">
        <v>231</v>
      </c>
      <c r="AD2699" s="4"/>
      <c r="AE2699" s="4"/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231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231</v>
      </c>
      <c r="AW2699" s="8" t="s">
        <v>231</v>
      </c>
      <c r="AX2699" s="4" t="s">
        <v>231</v>
      </c>
      <c r="AY2699" s="8" t="s">
        <v>231</v>
      </c>
      <c r="AZ2699" s="7" t="s">
        <v>231</v>
      </c>
      <c r="BA2699" s="7" t="s">
        <v>231</v>
      </c>
      <c r="BB2699" s="7" t="s">
        <v>231</v>
      </c>
      <c r="BC2699" s="4" t="s">
        <v>231</v>
      </c>
      <c r="BD2699" s="8" t="s">
        <v>231</v>
      </c>
      <c r="BE2699" s="4" t="s">
        <v>231</v>
      </c>
      <c r="BF2699" s="8" t="s">
        <v>231</v>
      </c>
      <c r="BG2699" s="7" t="s">
        <v>231</v>
      </c>
      <c r="BH2699" s="7" t="s">
        <v>231</v>
      </c>
      <c r="BI2699" s="7"/>
      <c r="BJ2699" s="4">
        <v>6</v>
      </c>
      <c r="BK2699" s="8">
        <v>345.13</v>
      </c>
      <c r="BL2699" s="2" t="s">
        <v>11518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11519</v>
      </c>
      <c r="BV2699" s="2" t="s">
        <v>231</v>
      </c>
      <c r="BW2699" s="2" t="s">
        <v>231</v>
      </c>
      <c r="BX2699" s="2" t="s">
        <v>231</v>
      </c>
      <c r="BY2699" s="2" t="s">
        <v>277</v>
      </c>
      <c r="BZ2699" s="2" t="s">
        <v>243</v>
      </c>
      <c r="CA2699" s="2" t="s">
        <v>7986</v>
      </c>
      <c r="CB2699" s="2" t="s">
        <v>1737</v>
      </c>
      <c r="CC2699" s="2" t="s">
        <v>244</v>
      </c>
      <c r="CD2699" s="2" t="s">
        <v>231</v>
      </c>
      <c r="CE2699" s="4">
        <v>290</v>
      </c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4"/>
      <c r="CX2699" s="4"/>
      <c r="CY2699" s="4"/>
      <c r="CZ2699" s="4"/>
      <c r="DA2699" s="4"/>
      <c r="DB2699" s="4"/>
      <c r="DC2699" s="4"/>
      <c r="DD2699" s="4"/>
      <c r="DE2699" s="4"/>
      <c r="DF2699" s="4"/>
      <c r="DG2699" s="4"/>
      <c r="DH2699" s="4"/>
      <c r="DI2699" s="4"/>
      <c r="DJ2699" s="4"/>
      <c r="DK2699" s="4"/>
      <c r="DL2699" s="4"/>
      <c r="DM2699" s="4"/>
      <c r="DN2699" s="4"/>
      <c r="DO2699" s="4"/>
      <c r="DP2699" s="4"/>
      <c r="DQ2699" s="4"/>
      <c r="DR2699" s="4"/>
      <c r="DS2699" s="4"/>
      <c r="DT2699" s="4"/>
      <c r="DU2699" s="4"/>
      <c r="DV2699" s="4"/>
      <c r="DW2699" s="4"/>
      <c r="DX2699" s="4"/>
      <c r="DY2699" s="4"/>
      <c r="DZ2699" s="4"/>
      <c r="EA2699" s="4"/>
      <c r="EB2699" s="4"/>
      <c r="EC2699" s="4"/>
      <c r="ED2699" s="4"/>
      <c r="EE2699" s="4"/>
      <c r="EF2699" s="4"/>
      <c r="EG2699" s="4"/>
      <c r="EH2699" s="4"/>
      <c r="EI2699" s="4"/>
      <c r="EJ2699" s="4"/>
      <c r="EK2699" s="4"/>
      <c r="EL2699" s="4"/>
      <c r="EM2699" s="4"/>
      <c r="EN2699" s="4"/>
      <c r="EO2699" s="4"/>
      <c r="EP2699" s="4"/>
      <c r="EQ2699" s="4"/>
      <c r="ER2699" s="4"/>
      <c r="ES2699" s="4"/>
      <c r="ET2699" s="4"/>
      <c r="EU2699" s="4"/>
      <c r="EV2699" s="4"/>
      <c r="EW2699" s="4"/>
      <c r="EX2699" s="4"/>
      <c r="EY2699" s="4"/>
      <c r="EZ2699" s="4"/>
      <c r="FA2699" s="4"/>
      <c r="FB2699" s="4"/>
      <c r="FC2699" s="4"/>
      <c r="FD2699" s="4"/>
      <c r="FE2699" s="4"/>
      <c r="FF2699" s="4"/>
      <c r="FG2699" s="4"/>
      <c r="FH2699" s="4"/>
      <c r="FI2699" s="4"/>
      <c r="FJ2699" s="4"/>
      <c r="FK2699" s="4"/>
      <c r="FL2699" s="4"/>
      <c r="FM2699" s="4"/>
      <c r="FN2699" s="4"/>
      <c r="FO2699" s="4"/>
      <c r="FP2699" s="4"/>
      <c r="FQ2699" s="4"/>
      <c r="FR2699" s="4"/>
      <c r="FS2699" s="4"/>
      <c r="FT2699" s="4"/>
      <c r="FU2699" s="4"/>
      <c r="FV2699" s="4"/>
      <c r="FW2699" s="4"/>
      <c r="FX2699" s="4"/>
      <c r="FY2699" s="4"/>
      <c r="FZ2699" s="4"/>
      <c r="GA2699" s="4"/>
      <c r="GB2699" s="4"/>
      <c r="GC2699" s="4"/>
      <c r="GD2699" s="4"/>
      <c r="GE2699" s="4"/>
      <c r="GF2699" s="4"/>
      <c r="GG2699" s="4"/>
      <c r="GH2699" s="4"/>
      <c r="GI2699" s="4"/>
      <c r="GJ2699" s="4"/>
      <c r="GK2699" s="4"/>
      <c r="GL2699" s="4"/>
      <c r="GM2699" s="4"/>
      <c r="GN2699" s="4"/>
      <c r="GO2699" s="4"/>
      <c r="GP2699" s="4"/>
      <c r="GQ2699" s="4"/>
      <c r="GR2699" s="4"/>
      <c r="GS2699" s="4"/>
      <c r="GT2699" s="4"/>
      <c r="GU2699" s="4"/>
      <c r="GV2699" s="4"/>
      <c r="GW2699" s="4"/>
      <c r="GX2699" s="4"/>
      <c r="GY2699" s="4"/>
      <c r="GZ2699" s="4"/>
      <c r="HA2699" s="4"/>
      <c r="HB2699" s="4"/>
      <c r="HC2699" s="4"/>
      <c r="HD2699" s="4"/>
      <c r="HE2699" s="4"/>
      <c r="HF2699" s="4"/>
      <c r="HG2699" s="4"/>
      <c r="HH2699" s="4"/>
      <c r="HI2699" s="4"/>
      <c r="HJ2699" s="4"/>
      <c r="HK2699" s="4"/>
      <c r="HL2699" s="4"/>
    </row>
    <row r="2700">
      <c r="A2700" s="2" t="s">
        <v>11520</v>
      </c>
      <c r="B2700" s="2" t="s">
        <v>287</v>
      </c>
      <c r="C2700" s="2" t="s">
        <v>913</v>
      </c>
      <c r="D2700" s="2" t="s">
        <v>289</v>
      </c>
      <c r="E2700" s="2" t="s">
        <v>290</v>
      </c>
      <c r="F2700" s="2" t="s">
        <v>11502</v>
      </c>
      <c r="G2700" s="2" t="s">
        <v>11502</v>
      </c>
      <c r="H2700" s="2" t="s">
        <v>11502</v>
      </c>
      <c r="I2700" s="2" t="s">
        <v>11509</v>
      </c>
      <c r="J2700" s="2" t="s">
        <v>302</v>
      </c>
      <c r="K2700" s="2" t="s">
        <v>452</v>
      </c>
      <c r="L2700" s="3">
        <v>18.57</v>
      </c>
      <c r="M2700" s="3">
        <v>19.5</v>
      </c>
      <c r="N2700" s="3">
        <v>49.99</v>
      </c>
      <c r="O2700" s="2" t="s">
        <v>243</v>
      </c>
      <c r="P2700" s="2" t="s">
        <v>341</v>
      </c>
      <c r="Q2700" s="2" t="s">
        <v>237</v>
      </c>
      <c r="R2700" s="2" t="s">
        <v>231</v>
      </c>
      <c r="S2700" s="2" t="s">
        <v>231</v>
      </c>
      <c r="T2700" s="2" t="s">
        <v>362</v>
      </c>
      <c r="U2700" s="2" t="s">
        <v>231</v>
      </c>
      <c r="V2700" s="2" t="s">
        <v>987</v>
      </c>
      <c r="W2700" s="2" t="s">
        <v>299</v>
      </c>
      <c r="X2700" s="2" t="s">
        <v>231</v>
      </c>
      <c r="Y2700" s="2" t="s">
        <v>9896</v>
      </c>
      <c r="Z2700" s="4">
        <v>34</v>
      </c>
      <c r="AA2700" s="4">
        <f>=ROUNDDOWN(34,0)</f>
      </c>
      <c r="AB2700" s="5">
        <v>1</v>
      </c>
      <c r="AC2700" s="2" t="s">
        <v>231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231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231</v>
      </c>
      <c r="AW2700" s="8" t="s">
        <v>231</v>
      </c>
      <c r="AX2700" s="4" t="s">
        <v>231</v>
      </c>
      <c r="AY2700" s="8" t="s">
        <v>231</v>
      </c>
      <c r="AZ2700" s="7" t="s">
        <v>231</v>
      </c>
      <c r="BA2700" s="7" t="s">
        <v>231</v>
      </c>
      <c r="BB2700" s="7" t="s">
        <v>231</v>
      </c>
      <c r="BC2700" s="4" t="s">
        <v>231</v>
      </c>
      <c r="BD2700" s="8" t="s">
        <v>231</v>
      </c>
      <c r="BE2700" s="4" t="s">
        <v>231</v>
      </c>
      <c r="BF2700" s="8" t="s">
        <v>231</v>
      </c>
      <c r="BG2700" s="7" t="s">
        <v>231</v>
      </c>
      <c r="BH2700" s="7" t="s">
        <v>231</v>
      </c>
      <c r="BI2700" s="7"/>
      <c r="BJ2700" s="4"/>
      <c r="BK2700" s="8"/>
      <c r="BL2700" s="2" t="s">
        <v>2343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11521</v>
      </c>
      <c r="BV2700" s="2" t="s">
        <v>231</v>
      </c>
      <c r="BW2700" s="2" t="s">
        <v>231</v>
      </c>
      <c r="BX2700" s="2" t="s">
        <v>231</v>
      </c>
      <c r="BY2700" s="2" t="s">
        <v>277</v>
      </c>
      <c r="BZ2700" s="2" t="s">
        <v>243</v>
      </c>
      <c r="CA2700" s="2" t="s">
        <v>7986</v>
      </c>
      <c r="CB2700" s="2" t="s">
        <v>5477</v>
      </c>
      <c r="CC2700" s="2" t="s">
        <v>244</v>
      </c>
      <c r="CD2700" s="2" t="s">
        <v>231</v>
      </c>
      <c r="CE2700" s="4">
        <v>34</v>
      </c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4"/>
      <c r="CX2700" s="4"/>
      <c r="CY2700" s="4"/>
      <c r="CZ2700" s="4"/>
      <c r="DA2700" s="4"/>
      <c r="DB2700" s="4"/>
      <c r="DC2700" s="4"/>
      <c r="DD2700" s="4"/>
      <c r="DE2700" s="4"/>
      <c r="DF2700" s="4"/>
      <c r="DG2700" s="4"/>
      <c r="DH2700" s="4"/>
      <c r="DI2700" s="4"/>
      <c r="DJ2700" s="4"/>
      <c r="DK2700" s="4"/>
      <c r="DL2700" s="4"/>
      <c r="DM2700" s="4"/>
      <c r="DN2700" s="4"/>
      <c r="DO2700" s="4"/>
      <c r="DP2700" s="4"/>
      <c r="DQ2700" s="4"/>
      <c r="DR2700" s="4"/>
      <c r="DS2700" s="4"/>
      <c r="DT2700" s="4"/>
      <c r="DU2700" s="4"/>
      <c r="DV2700" s="4"/>
      <c r="DW2700" s="4"/>
      <c r="DX2700" s="4"/>
      <c r="DY2700" s="4"/>
      <c r="DZ2700" s="4"/>
      <c r="EA2700" s="4"/>
      <c r="EB2700" s="4"/>
      <c r="EC2700" s="4"/>
      <c r="ED2700" s="4"/>
      <c r="EE2700" s="4"/>
      <c r="EF2700" s="4"/>
      <c r="EG2700" s="4"/>
      <c r="EH2700" s="4"/>
      <c r="EI2700" s="4"/>
      <c r="EJ2700" s="4"/>
      <c r="EK2700" s="4"/>
      <c r="EL2700" s="4"/>
      <c r="EM2700" s="4"/>
      <c r="EN2700" s="4"/>
      <c r="EO2700" s="4"/>
      <c r="EP2700" s="4"/>
      <c r="EQ2700" s="4"/>
      <c r="ER2700" s="4"/>
      <c r="ES2700" s="4"/>
      <c r="ET2700" s="4"/>
      <c r="EU2700" s="4"/>
      <c r="EV2700" s="4"/>
      <c r="EW2700" s="4"/>
      <c r="EX2700" s="4"/>
      <c r="EY2700" s="4"/>
      <c r="EZ2700" s="4"/>
      <c r="FA2700" s="4"/>
      <c r="FB2700" s="4"/>
      <c r="FC2700" s="4"/>
      <c r="FD2700" s="4"/>
      <c r="FE2700" s="4"/>
      <c r="FF2700" s="4"/>
      <c r="FG2700" s="4"/>
      <c r="FH2700" s="4"/>
      <c r="FI2700" s="4"/>
      <c r="FJ2700" s="4"/>
      <c r="FK2700" s="4"/>
      <c r="FL2700" s="4"/>
      <c r="FM2700" s="4"/>
      <c r="FN2700" s="4"/>
      <c r="FO2700" s="4"/>
      <c r="FP2700" s="4"/>
      <c r="FQ2700" s="4"/>
      <c r="FR2700" s="4"/>
      <c r="FS2700" s="4"/>
      <c r="FT2700" s="4"/>
      <c r="FU2700" s="4"/>
      <c r="FV2700" s="4"/>
      <c r="FW2700" s="4"/>
      <c r="FX2700" s="4"/>
      <c r="FY2700" s="4"/>
      <c r="FZ2700" s="4"/>
      <c r="GA2700" s="4"/>
      <c r="GB2700" s="4"/>
      <c r="GC2700" s="4"/>
      <c r="GD2700" s="4"/>
      <c r="GE2700" s="4"/>
      <c r="GF2700" s="4"/>
      <c r="GG2700" s="4"/>
      <c r="GH2700" s="4"/>
      <c r="GI2700" s="4"/>
      <c r="GJ2700" s="4"/>
      <c r="GK2700" s="4"/>
      <c r="GL2700" s="4"/>
      <c r="GM2700" s="4"/>
      <c r="GN2700" s="4"/>
      <c r="GO2700" s="4"/>
      <c r="GP2700" s="4"/>
      <c r="GQ2700" s="4"/>
      <c r="GR2700" s="4"/>
      <c r="GS2700" s="4"/>
      <c r="GT2700" s="4"/>
      <c r="GU2700" s="4"/>
      <c r="GV2700" s="4"/>
      <c r="GW2700" s="4"/>
      <c r="GX2700" s="4"/>
      <c r="GY2700" s="4"/>
      <c r="GZ2700" s="4"/>
      <c r="HA2700" s="4"/>
      <c r="HB2700" s="4"/>
      <c r="HC2700" s="4"/>
      <c r="HD2700" s="4"/>
      <c r="HE2700" s="4"/>
      <c r="HF2700" s="4"/>
      <c r="HG2700" s="4"/>
      <c r="HH2700" s="4"/>
      <c r="HI2700" s="4"/>
      <c r="HJ2700" s="4"/>
      <c r="HK2700" s="4"/>
      <c r="HL2700" s="4"/>
    </row>
    <row r="2701">
      <c r="A2701" s="2" t="s">
        <v>11522</v>
      </c>
      <c r="B2701" s="2" t="s">
        <v>287</v>
      </c>
      <c r="C2701" s="2" t="s">
        <v>913</v>
      </c>
      <c r="D2701" s="2" t="s">
        <v>289</v>
      </c>
      <c r="E2701" s="2" t="s">
        <v>290</v>
      </c>
      <c r="F2701" s="2" t="s">
        <v>11502</v>
      </c>
      <c r="G2701" s="2" t="s">
        <v>11502</v>
      </c>
      <c r="H2701" s="2" t="s">
        <v>11502</v>
      </c>
      <c r="I2701" s="2" t="s">
        <v>11503</v>
      </c>
      <c r="J2701" s="2" t="s">
        <v>304</v>
      </c>
      <c r="K2701" s="2" t="s">
        <v>452</v>
      </c>
      <c r="L2701" s="3">
        <v>55.71</v>
      </c>
      <c r="M2701" s="3">
        <v>58.5</v>
      </c>
      <c r="N2701" s="3">
        <v>149.99</v>
      </c>
      <c r="O2701" s="2" t="s">
        <v>243</v>
      </c>
      <c r="P2701" s="2" t="s">
        <v>341</v>
      </c>
      <c r="Q2701" s="2" t="s">
        <v>237</v>
      </c>
      <c r="R2701" s="2" t="s">
        <v>231</v>
      </c>
      <c r="S2701" s="2" t="s">
        <v>231</v>
      </c>
      <c r="T2701" s="2" t="s">
        <v>362</v>
      </c>
      <c r="U2701" s="2" t="s">
        <v>231</v>
      </c>
      <c r="V2701" s="2" t="s">
        <v>987</v>
      </c>
      <c r="W2701" s="2" t="s">
        <v>299</v>
      </c>
      <c r="X2701" s="2" t="s">
        <v>231</v>
      </c>
      <c r="Y2701" s="2" t="s">
        <v>3869</v>
      </c>
      <c r="Z2701" s="4">
        <v>78</v>
      </c>
      <c r="AA2701" s="4">
        <f>=ROUNDDOWN(78,0)</f>
      </c>
      <c r="AB2701" s="5">
        <v>1</v>
      </c>
      <c r="AC2701" s="2" t="s">
        <v>231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231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231</v>
      </c>
      <c r="AW2701" s="8" t="s">
        <v>231</v>
      </c>
      <c r="AX2701" s="4" t="s">
        <v>231</v>
      </c>
      <c r="AY2701" s="8" t="s">
        <v>231</v>
      </c>
      <c r="AZ2701" s="7" t="s">
        <v>231</v>
      </c>
      <c r="BA2701" s="7" t="s">
        <v>231</v>
      </c>
      <c r="BB2701" s="7"/>
      <c r="BC2701" s="4" t="s">
        <v>231</v>
      </c>
      <c r="BD2701" s="8" t="s">
        <v>231</v>
      </c>
      <c r="BE2701" s="4" t="s">
        <v>231</v>
      </c>
      <c r="BF2701" s="8" t="s">
        <v>231</v>
      </c>
      <c r="BG2701" s="7" t="s">
        <v>231</v>
      </c>
      <c r="BH2701" s="7" t="s">
        <v>231</v>
      </c>
      <c r="BI2701" s="7"/>
      <c r="BJ2701" s="4">
        <v>2</v>
      </c>
      <c r="BK2701" s="8">
        <v>119.92</v>
      </c>
      <c r="BL2701" s="2" t="s">
        <v>11523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11524</v>
      </c>
      <c r="BV2701" s="2" t="s">
        <v>231</v>
      </c>
      <c r="BW2701" s="2" t="s">
        <v>231</v>
      </c>
      <c r="BX2701" s="2" t="s">
        <v>231</v>
      </c>
      <c r="BY2701" s="2" t="s">
        <v>277</v>
      </c>
      <c r="BZ2701" s="2" t="s">
        <v>243</v>
      </c>
      <c r="CA2701" s="2" t="s">
        <v>7986</v>
      </c>
      <c r="CB2701" s="2" t="s">
        <v>11525</v>
      </c>
      <c r="CC2701" s="2" t="s">
        <v>244</v>
      </c>
      <c r="CD2701" s="2" t="s">
        <v>231</v>
      </c>
      <c r="CE2701" s="4">
        <v>78</v>
      </c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4"/>
      <c r="CX2701" s="4"/>
      <c r="CY2701" s="4"/>
      <c r="CZ2701" s="4"/>
      <c r="DA2701" s="4"/>
      <c r="DB2701" s="4"/>
      <c r="DC2701" s="4"/>
      <c r="DD2701" s="4"/>
      <c r="DE2701" s="4"/>
      <c r="DF2701" s="4"/>
      <c r="DG2701" s="4"/>
      <c r="DH2701" s="4"/>
      <c r="DI2701" s="4"/>
      <c r="DJ2701" s="4"/>
      <c r="DK2701" s="4"/>
      <c r="DL2701" s="4"/>
      <c r="DM2701" s="4"/>
      <c r="DN2701" s="4"/>
      <c r="DO2701" s="4"/>
      <c r="DP2701" s="4"/>
      <c r="DQ2701" s="4"/>
      <c r="DR2701" s="4"/>
      <c r="DS2701" s="4"/>
      <c r="DT2701" s="4"/>
      <c r="DU2701" s="4"/>
      <c r="DV2701" s="4"/>
      <c r="DW2701" s="4"/>
      <c r="DX2701" s="4"/>
      <c r="DY2701" s="4"/>
      <c r="DZ2701" s="4"/>
      <c r="EA2701" s="4"/>
      <c r="EB2701" s="4"/>
      <c r="EC2701" s="4"/>
      <c r="ED2701" s="4"/>
      <c r="EE2701" s="4"/>
      <c r="EF2701" s="4"/>
      <c r="EG2701" s="4"/>
      <c r="EH2701" s="4"/>
      <c r="EI2701" s="4"/>
      <c r="EJ2701" s="4"/>
      <c r="EK2701" s="4"/>
      <c r="EL2701" s="4"/>
      <c r="EM2701" s="4"/>
      <c r="EN2701" s="4"/>
      <c r="EO2701" s="4"/>
      <c r="EP2701" s="4"/>
      <c r="EQ2701" s="4"/>
      <c r="ER2701" s="4"/>
      <c r="ES2701" s="4"/>
      <c r="ET2701" s="4"/>
      <c r="EU2701" s="4"/>
      <c r="EV2701" s="4"/>
      <c r="EW2701" s="4"/>
      <c r="EX2701" s="4"/>
      <c r="EY2701" s="4"/>
      <c r="EZ2701" s="4"/>
      <c r="FA2701" s="4"/>
      <c r="FB2701" s="4"/>
      <c r="FC2701" s="4"/>
      <c r="FD2701" s="4"/>
      <c r="FE2701" s="4"/>
      <c r="FF2701" s="4"/>
      <c r="FG2701" s="4"/>
      <c r="FH2701" s="4"/>
      <c r="FI2701" s="4"/>
      <c r="FJ2701" s="4"/>
      <c r="FK2701" s="4"/>
      <c r="FL2701" s="4"/>
      <c r="FM2701" s="4"/>
      <c r="FN2701" s="4"/>
      <c r="FO2701" s="4"/>
      <c r="FP2701" s="4"/>
      <c r="FQ2701" s="4"/>
      <c r="FR2701" s="4"/>
      <c r="FS2701" s="4"/>
      <c r="FT2701" s="4"/>
      <c r="FU2701" s="4"/>
      <c r="FV2701" s="4"/>
      <c r="FW2701" s="4"/>
      <c r="FX2701" s="4"/>
      <c r="FY2701" s="4"/>
      <c r="FZ2701" s="4"/>
      <c r="GA2701" s="4"/>
      <c r="GB2701" s="4"/>
      <c r="GC2701" s="4"/>
      <c r="GD2701" s="4"/>
      <c r="GE2701" s="4"/>
      <c r="GF2701" s="4"/>
      <c r="GG2701" s="4"/>
      <c r="GH2701" s="4"/>
      <c r="GI2701" s="4"/>
      <c r="GJ2701" s="4"/>
      <c r="GK2701" s="4"/>
      <c r="GL2701" s="4"/>
      <c r="GM2701" s="4"/>
      <c r="GN2701" s="4"/>
      <c r="GO2701" s="4"/>
      <c r="GP2701" s="4"/>
      <c r="GQ2701" s="4"/>
      <c r="GR2701" s="4"/>
      <c r="GS2701" s="4"/>
      <c r="GT2701" s="4"/>
      <c r="GU2701" s="4"/>
      <c r="GV2701" s="4"/>
      <c r="GW2701" s="4"/>
      <c r="GX2701" s="4"/>
      <c r="GY2701" s="4"/>
      <c r="GZ2701" s="4"/>
      <c r="HA2701" s="4"/>
      <c r="HB2701" s="4"/>
      <c r="HC2701" s="4"/>
      <c r="HD2701" s="4"/>
      <c r="HE2701" s="4"/>
      <c r="HF2701" s="4"/>
      <c r="HG2701" s="4"/>
      <c r="HH2701" s="4"/>
      <c r="HI2701" s="4"/>
      <c r="HJ2701" s="4"/>
      <c r="HK2701" s="4"/>
      <c r="HL2701" s="4"/>
    </row>
    <row r="2702">
      <c r="A2702" s="2" t="s">
        <v>11526</v>
      </c>
      <c r="B2702" s="2" t="s">
        <v>1004</v>
      </c>
      <c r="C2702" s="2" t="s">
        <v>288</v>
      </c>
      <c r="D2702" s="2" t="s">
        <v>1031</v>
      </c>
      <c r="E2702" s="2" t="s">
        <v>1032</v>
      </c>
      <c r="F2702" s="2" t="s">
        <v>11527</v>
      </c>
      <c r="G2702" s="2" t="s">
        <v>11528</v>
      </c>
      <c r="H2702" s="2" t="s">
        <v>11529</v>
      </c>
      <c r="I2702" s="2" t="s">
        <v>11530</v>
      </c>
      <c r="J2702" s="2" t="s">
        <v>807</v>
      </c>
      <c r="K2702" s="2" t="s">
        <v>234</v>
      </c>
      <c r="L2702" s="3">
        <v>247.5</v>
      </c>
      <c r="M2702" s="3">
        <v>259.88</v>
      </c>
      <c r="N2702" s="3">
        <v>519</v>
      </c>
      <c r="O2702" s="2" t="s">
        <v>243</v>
      </c>
      <c r="P2702" s="2" t="s">
        <v>341</v>
      </c>
      <c r="Q2702" s="2" t="s">
        <v>237</v>
      </c>
      <c r="R2702" s="2" t="s">
        <v>231</v>
      </c>
      <c r="S2702" s="2" t="s">
        <v>231</v>
      </c>
      <c r="T2702" s="2" t="s">
        <v>231</v>
      </c>
      <c r="U2702" s="2" t="s">
        <v>327</v>
      </c>
      <c r="V2702" s="2" t="s">
        <v>662</v>
      </c>
      <c r="W2702" s="2" t="s">
        <v>691</v>
      </c>
      <c r="X2702" s="2" t="s">
        <v>299</v>
      </c>
      <c r="Y2702" s="2" t="s">
        <v>1617</v>
      </c>
      <c r="Z2702" s="4">
        <v>41</v>
      </c>
      <c r="AA2702" s="4">
        <f>=ROUNDDOWN(45.5555555555556,0)</f>
      </c>
      <c r="AB2702" s="5">
        <v>0.9</v>
      </c>
      <c r="AC2702" s="2" t="s">
        <v>231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231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/>
      <c r="BD2702" s="8"/>
      <c r="BE2702" s="4"/>
      <c r="BF2702" s="8"/>
      <c r="BG2702" s="7"/>
      <c r="BH2702" s="7"/>
      <c r="BI2702" s="7"/>
      <c r="BJ2702" s="4">
        <v>4</v>
      </c>
      <c r="BK2702" s="8">
        <v>881.32</v>
      </c>
      <c r="BL2702" s="2" t="s">
        <v>2343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11531</v>
      </c>
      <c r="BV2702" s="2" t="s">
        <v>231</v>
      </c>
      <c r="BW2702" s="2" t="s">
        <v>231</v>
      </c>
      <c r="BX2702" s="2" t="s">
        <v>231</v>
      </c>
      <c r="BY2702" s="2" t="s">
        <v>277</v>
      </c>
      <c r="BZ2702" s="2" t="s">
        <v>243</v>
      </c>
      <c r="CA2702" s="2" t="s">
        <v>1617</v>
      </c>
      <c r="CB2702" s="2" t="s">
        <v>231</v>
      </c>
      <c r="CC2702" s="2" t="s">
        <v>244</v>
      </c>
      <c r="CD2702" s="2" t="s">
        <v>231</v>
      </c>
      <c r="CE2702" s="4"/>
      <c r="CF2702" s="4">
        <v>41</v>
      </c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4"/>
      <c r="CX2702" s="4"/>
      <c r="CY2702" s="4"/>
      <c r="CZ2702" s="4"/>
      <c r="DA2702" s="4"/>
      <c r="DB2702" s="4"/>
      <c r="DC2702" s="4"/>
      <c r="DD2702" s="4"/>
      <c r="DE2702" s="4"/>
      <c r="DF2702" s="4"/>
      <c r="DG2702" s="4"/>
      <c r="DH2702" s="4"/>
      <c r="DI2702" s="4"/>
      <c r="DJ2702" s="4"/>
      <c r="DK2702" s="4"/>
      <c r="DL2702" s="4"/>
      <c r="DM2702" s="4"/>
      <c r="DN2702" s="4"/>
      <c r="DO2702" s="4"/>
      <c r="DP2702" s="4"/>
      <c r="DQ2702" s="4"/>
      <c r="DR2702" s="4"/>
      <c r="DS2702" s="4"/>
      <c r="DT2702" s="4"/>
      <c r="DU2702" s="4"/>
      <c r="DV2702" s="4"/>
      <c r="DW2702" s="4"/>
      <c r="DX2702" s="4"/>
      <c r="DY2702" s="4"/>
      <c r="DZ2702" s="4"/>
      <c r="EA2702" s="4"/>
      <c r="EB2702" s="4"/>
      <c r="EC2702" s="4"/>
      <c r="ED2702" s="4"/>
      <c r="EE2702" s="4"/>
      <c r="EF2702" s="4"/>
      <c r="EG2702" s="4"/>
      <c r="EH2702" s="4"/>
      <c r="EI2702" s="4"/>
      <c r="EJ2702" s="4"/>
      <c r="EK2702" s="4"/>
      <c r="EL2702" s="4"/>
      <c r="EM2702" s="4"/>
      <c r="EN2702" s="4"/>
      <c r="EO2702" s="4"/>
      <c r="EP2702" s="4"/>
      <c r="EQ2702" s="4"/>
      <c r="ER2702" s="4"/>
      <c r="ES2702" s="4"/>
      <c r="ET2702" s="4"/>
      <c r="EU2702" s="4"/>
      <c r="EV2702" s="4"/>
      <c r="EW2702" s="4"/>
      <c r="EX2702" s="4"/>
      <c r="EY2702" s="4"/>
      <c r="EZ2702" s="4"/>
      <c r="FA2702" s="4"/>
      <c r="FB2702" s="4"/>
      <c r="FC2702" s="4"/>
      <c r="FD2702" s="4"/>
      <c r="FE2702" s="4"/>
      <c r="FF2702" s="4"/>
      <c r="FG2702" s="4"/>
      <c r="FH2702" s="4"/>
      <c r="FI2702" s="4"/>
      <c r="FJ2702" s="4"/>
      <c r="FK2702" s="4"/>
      <c r="FL2702" s="4"/>
      <c r="FM2702" s="4"/>
      <c r="FN2702" s="4"/>
      <c r="FO2702" s="4"/>
      <c r="FP2702" s="4"/>
      <c r="FQ2702" s="4"/>
      <c r="FR2702" s="4"/>
      <c r="FS2702" s="4"/>
      <c r="FT2702" s="4"/>
      <c r="FU2702" s="4"/>
      <c r="FV2702" s="4"/>
      <c r="FW2702" s="4"/>
      <c r="FX2702" s="4"/>
      <c r="FY2702" s="4"/>
      <c r="FZ2702" s="4"/>
      <c r="GA2702" s="4"/>
      <c r="GB2702" s="4"/>
      <c r="GC2702" s="4"/>
      <c r="GD2702" s="4"/>
      <c r="GE2702" s="4"/>
      <c r="GF2702" s="4"/>
      <c r="GG2702" s="4"/>
      <c r="GH2702" s="4"/>
      <c r="GI2702" s="4"/>
      <c r="GJ2702" s="4"/>
      <c r="GK2702" s="4"/>
      <c r="GL2702" s="4"/>
      <c r="GM2702" s="4"/>
      <c r="GN2702" s="4"/>
      <c r="GO2702" s="4"/>
      <c r="GP2702" s="4"/>
      <c r="GQ2702" s="4"/>
      <c r="GR2702" s="4"/>
      <c r="GS2702" s="4"/>
      <c r="GT2702" s="4"/>
      <c r="GU2702" s="4"/>
      <c r="GV2702" s="4"/>
      <c r="GW2702" s="4"/>
      <c r="GX2702" s="4"/>
      <c r="GY2702" s="4"/>
      <c r="GZ2702" s="4"/>
      <c r="HA2702" s="4"/>
      <c r="HB2702" s="4"/>
      <c r="HC2702" s="4"/>
      <c r="HD2702" s="4"/>
      <c r="HE2702" s="4"/>
      <c r="HF2702" s="4"/>
      <c r="HG2702" s="4"/>
      <c r="HH2702" s="4"/>
      <c r="HI2702" s="4"/>
      <c r="HJ2702" s="4"/>
      <c r="HK2702" s="4"/>
      <c r="HL2702" s="4"/>
    </row>
    <row r="2703">
      <c r="A2703" s="2" t="s">
        <v>11532</v>
      </c>
      <c r="B2703" s="2" t="s">
        <v>847</v>
      </c>
      <c r="C2703" s="2" t="s">
        <v>815</v>
      </c>
      <c r="D2703" s="2" t="s">
        <v>882</v>
      </c>
      <c r="E2703" s="2" t="s">
        <v>2191</v>
      </c>
      <c r="F2703" s="2" t="s">
        <v>11533</v>
      </c>
      <c r="G2703" s="2" t="s">
        <v>11533</v>
      </c>
      <c r="H2703" s="2" t="s">
        <v>11533</v>
      </c>
      <c r="I2703" s="2" t="s">
        <v>11534</v>
      </c>
      <c r="J2703" s="2" t="s">
        <v>807</v>
      </c>
      <c r="K2703" s="2" t="s">
        <v>463</v>
      </c>
      <c r="L2703" s="3">
        <v>68.81</v>
      </c>
      <c r="M2703" s="3">
        <v>72.25</v>
      </c>
      <c r="N2703" s="3">
        <v>144.49</v>
      </c>
      <c r="O2703" s="2" t="s">
        <v>243</v>
      </c>
      <c r="P2703" s="2" t="s">
        <v>341</v>
      </c>
      <c r="Q2703" s="2" t="s">
        <v>237</v>
      </c>
      <c r="R2703" s="2" t="s">
        <v>231</v>
      </c>
      <c r="S2703" s="2" t="s">
        <v>11535</v>
      </c>
      <c r="T2703" s="2" t="s">
        <v>231</v>
      </c>
      <c r="U2703" s="2" t="s">
        <v>835</v>
      </c>
      <c r="V2703" s="2" t="s">
        <v>836</v>
      </c>
      <c r="W2703" s="2" t="s">
        <v>691</v>
      </c>
      <c r="X2703" s="2" t="s">
        <v>299</v>
      </c>
      <c r="Y2703" s="2" t="s">
        <v>1855</v>
      </c>
      <c r="Z2703" s="4">
        <v>76</v>
      </c>
      <c r="AA2703" s="4">
        <f>=ROUNDDOWN(76,0)</f>
      </c>
      <c r="AB2703" s="5">
        <v>1</v>
      </c>
      <c r="AC2703" s="2" t="s">
        <v>231</v>
      </c>
      <c r="AD2703" s="4"/>
      <c r="AE2703" s="4"/>
      <c r="AF2703" s="6">
        <v>63</v>
      </c>
      <c r="AG2703" s="6"/>
      <c r="AH2703" s="7">
        <v>1</v>
      </c>
      <c r="AI2703" s="4"/>
      <c r="AJ2703" s="4">
        <f>=ROUNDDOWN({0},0)</f>
      </c>
      <c r="AK2703" s="5"/>
      <c r="AL2703" s="2" t="s">
        <v>231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/>
      <c r="BD2703" s="8"/>
      <c r="BE2703" s="4"/>
      <c r="BF2703" s="8"/>
      <c r="BG2703" s="7"/>
      <c r="BH2703" s="7"/>
      <c r="BI2703" s="7"/>
      <c r="BJ2703" s="4">
        <v>1</v>
      </c>
      <c r="BK2703" s="8">
        <v>85</v>
      </c>
      <c r="BL2703" s="2" t="s">
        <v>11536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11537</v>
      </c>
      <c r="BV2703" s="2" t="s">
        <v>231</v>
      </c>
      <c r="BW2703" s="2" t="s">
        <v>231</v>
      </c>
      <c r="BX2703" s="2" t="s">
        <v>231</v>
      </c>
      <c r="BY2703" s="2" t="s">
        <v>277</v>
      </c>
      <c r="BZ2703" s="2" t="s">
        <v>243</v>
      </c>
      <c r="CA2703" s="2" t="s">
        <v>3745</v>
      </c>
      <c r="CB2703" s="2" t="s">
        <v>4543</v>
      </c>
      <c r="CC2703" s="2" t="s">
        <v>244</v>
      </c>
      <c r="CD2703" s="2" t="s">
        <v>231</v>
      </c>
      <c r="CE2703" s="4"/>
      <c r="CF2703" s="4">
        <v>76</v>
      </c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4"/>
      <c r="CX2703" s="4"/>
      <c r="CY2703" s="4"/>
      <c r="CZ2703" s="4"/>
      <c r="DA2703" s="4"/>
      <c r="DB2703" s="4"/>
      <c r="DC2703" s="4"/>
      <c r="DD2703" s="4"/>
      <c r="DE2703" s="4"/>
      <c r="DF2703" s="4"/>
      <c r="DG2703" s="4"/>
      <c r="DH2703" s="4"/>
      <c r="DI2703" s="4"/>
      <c r="DJ2703" s="4"/>
      <c r="DK2703" s="4"/>
      <c r="DL2703" s="4"/>
      <c r="DM2703" s="4"/>
      <c r="DN2703" s="4"/>
      <c r="DO2703" s="4"/>
      <c r="DP2703" s="4"/>
      <c r="DQ2703" s="4"/>
      <c r="DR2703" s="4"/>
      <c r="DS2703" s="4"/>
      <c r="DT2703" s="4"/>
      <c r="DU2703" s="4"/>
      <c r="DV2703" s="4"/>
      <c r="DW2703" s="4"/>
      <c r="DX2703" s="4"/>
      <c r="DY2703" s="4"/>
      <c r="DZ2703" s="4"/>
      <c r="EA2703" s="4"/>
      <c r="EB2703" s="4"/>
      <c r="EC2703" s="4"/>
      <c r="ED2703" s="4"/>
      <c r="EE2703" s="4"/>
      <c r="EF2703" s="4"/>
      <c r="EG2703" s="4"/>
      <c r="EH2703" s="4"/>
      <c r="EI2703" s="4"/>
      <c r="EJ2703" s="4"/>
      <c r="EK2703" s="4"/>
      <c r="EL2703" s="4"/>
      <c r="EM2703" s="4"/>
      <c r="EN2703" s="4"/>
      <c r="EO2703" s="4"/>
      <c r="EP2703" s="4"/>
      <c r="EQ2703" s="4"/>
      <c r="ER2703" s="4"/>
      <c r="ES2703" s="4"/>
      <c r="ET2703" s="4"/>
      <c r="EU2703" s="4"/>
      <c r="EV2703" s="4"/>
      <c r="EW2703" s="4"/>
      <c r="EX2703" s="4"/>
      <c r="EY2703" s="4"/>
      <c r="EZ2703" s="4"/>
      <c r="FA2703" s="4"/>
      <c r="FB2703" s="4"/>
      <c r="FC2703" s="4"/>
      <c r="FD2703" s="4"/>
      <c r="FE2703" s="4"/>
      <c r="FF2703" s="4"/>
      <c r="FG2703" s="4"/>
      <c r="FH2703" s="4"/>
      <c r="FI2703" s="4"/>
      <c r="FJ2703" s="4"/>
      <c r="FK2703" s="4"/>
      <c r="FL2703" s="4"/>
      <c r="FM2703" s="4"/>
      <c r="FN2703" s="4"/>
      <c r="FO2703" s="4"/>
      <c r="FP2703" s="4"/>
      <c r="FQ2703" s="4"/>
      <c r="FR2703" s="4"/>
      <c r="FS2703" s="4"/>
      <c r="FT2703" s="4"/>
      <c r="FU2703" s="4"/>
      <c r="FV2703" s="4"/>
      <c r="FW2703" s="4"/>
      <c r="FX2703" s="4"/>
      <c r="FY2703" s="4"/>
      <c r="FZ2703" s="4"/>
      <c r="GA2703" s="4"/>
      <c r="GB2703" s="4"/>
      <c r="GC2703" s="4"/>
      <c r="GD2703" s="4"/>
      <c r="GE2703" s="4"/>
      <c r="GF2703" s="4"/>
      <c r="GG2703" s="4"/>
      <c r="GH2703" s="4"/>
      <c r="GI2703" s="4"/>
      <c r="GJ2703" s="4"/>
      <c r="GK2703" s="4"/>
      <c r="GL2703" s="4"/>
      <c r="GM2703" s="4"/>
      <c r="GN2703" s="4"/>
      <c r="GO2703" s="4"/>
      <c r="GP2703" s="4"/>
      <c r="GQ2703" s="4"/>
      <c r="GR2703" s="4"/>
      <c r="GS2703" s="4"/>
      <c r="GT2703" s="4"/>
      <c r="GU2703" s="4"/>
      <c r="GV2703" s="4"/>
      <c r="GW2703" s="4"/>
      <c r="GX2703" s="4"/>
      <c r="GY2703" s="4"/>
      <c r="GZ2703" s="4"/>
      <c r="HA2703" s="4"/>
      <c r="HB2703" s="4"/>
      <c r="HC2703" s="4"/>
      <c r="HD2703" s="4"/>
      <c r="HE2703" s="4"/>
      <c r="HF2703" s="4"/>
      <c r="HG2703" s="4"/>
      <c r="HH2703" s="4"/>
      <c r="HI2703" s="4"/>
      <c r="HJ2703" s="4"/>
      <c r="HK2703" s="4"/>
      <c r="HL2703" s="4"/>
    </row>
    <row r="2704">
      <c r="A2704" s="2" t="s">
        <v>11538</v>
      </c>
      <c r="B2704" s="2" t="s">
        <v>992</v>
      </c>
      <c r="C2704" s="2" t="s">
        <v>288</v>
      </c>
      <c r="D2704" s="2" t="s">
        <v>993</v>
      </c>
      <c r="E2704" s="2" t="s">
        <v>2042</v>
      </c>
      <c r="F2704" s="2" t="s">
        <v>11539</v>
      </c>
      <c r="G2704" s="2" t="s">
        <v>11540</v>
      </c>
      <c r="H2704" s="2" t="s">
        <v>11541</v>
      </c>
      <c r="I2704" s="2" t="s">
        <v>11542</v>
      </c>
      <c r="J2704" s="2" t="s">
        <v>996</v>
      </c>
      <c r="K2704" s="2" t="s">
        <v>486</v>
      </c>
      <c r="L2704" s="3">
        <v>11.34</v>
      </c>
      <c r="M2704" s="3">
        <v>11.91</v>
      </c>
      <c r="N2704" s="3">
        <v>26.99</v>
      </c>
      <c r="O2704" s="2" t="s">
        <v>243</v>
      </c>
      <c r="P2704" s="2" t="s">
        <v>341</v>
      </c>
      <c r="Q2704" s="2" t="s">
        <v>237</v>
      </c>
      <c r="R2704" s="2" t="s">
        <v>231</v>
      </c>
      <c r="S2704" s="2" t="s">
        <v>11543</v>
      </c>
      <c r="T2704" s="2" t="s">
        <v>231</v>
      </c>
      <c r="U2704" s="2" t="s">
        <v>327</v>
      </c>
      <c r="V2704" s="2" t="s">
        <v>1192</v>
      </c>
      <c r="W2704" s="2" t="s">
        <v>792</v>
      </c>
      <c r="X2704" s="2" t="s">
        <v>691</v>
      </c>
      <c r="Y2704" s="2" t="s">
        <v>7552</v>
      </c>
      <c r="Z2704" s="4">
        <v>47</v>
      </c>
      <c r="AA2704" s="4">
        <f>=ROUNDDOWN(9.4,0)</f>
      </c>
      <c r="AB2704" s="5">
        <v>5</v>
      </c>
      <c r="AC2704" s="2" t="s">
        <v>231</v>
      </c>
      <c r="AD2704" s="4"/>
      <c r="AE2704" s="4"/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231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231</v>
      </c>
      <c r="AW2704" s="8" t="s">
        <v>231</v>
      </c>
      <c r="AX2704" s="4" t="s">
        <v>231</v>
      </c>
      <c r="AY2704" s="8" t="s">
        <v>231</v>
      </c>
      <c r="AZ2704" s="7" t="s">
        <v>231</v>
      </c>
      <c r="BA2704" s="7" t="s">
        <v>231</v>
      </c>
      <c r="BB2704" s="7"/>
      <c r="BC2704" s="4" t="s">
        <v>231</v>
      </c>
      <c r="BD2704" s="8" t="s">
        <v>231</v>
      </c>
      <c r="BE2704" s="4" t="s">
        <v>231</v>
      </c>
      <c r="BF2704" s="8" t="s">
        <v>231</v>
      </c>
      <c r="BG2704" s="7" t="s">
        <v>231</v>
      </c>
      <c r="BH2704" s="7" t="s">
        <v>231</v>
      </c>
      <c r="BI2704" s="7"/>
      <c r="BJ2704" s="4">
        <v>27</v>
      </c>
      <c r="BK2704" s="8">
        <v>456.09</v>
      </c>
      <c r="BL2704" s="2" t="s">
        <v>11544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11545</v>
      </c>
      <c r="BV2704" s="2" t="s">
        <v>231</v>
      </c>
      <c r="BW2704" s="2" t="s">
        <v>231</v>
      </c>
      <c r="BX2704" s="2" t="s">
        <v>231</v>
      </c>
      <c r="BY2704" s="2" t="s">
        <v>277</v>
      </c>
      <c r="BZ2704" s="2" t="s">
        <v>243</v>
      </c>
      <c r="CA2704" s="2" t="s">
        <v>2035</v>
      </c>
      <c r="CB2704" s="2" t="s">
        <v>395</v>
      </c>
      <c r="CC2704" s="2" t="s">
        <v>244</v>
      </c>
      <c r="CD2704" s="2" t="s">
        <v>231</v>
      </c>
      <c r="CE2704" s="4">
        <v>47</v>
      </c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4"/>
      <c r="CX2704" s="4"/>
      <c r="CY2704" s="4"/>
      <c r="CZ2704" s="4"/>
      <c r="DA2704" s="4"/>
      <c r="DB2704" s="4"/>
      <c r="DC2704" s="4"/>
      <c r="DD2704" s="4"/>
      <c r="DE2704" s="4"/>
      <c r="DF2704" s="4"/>
      <c r="DG2704" s="4"/>
      <c r="DH2704" s="4"/>
      <c r="DI2704" s="4"/>
      <c r="DJ2704" s="4"/>
      <c r="DK2704" s="4"/>
      <c r="DL2704" s="4"/>
      <c r="DM2704" s="4"/>
      <c r="DN2704" s="4"/>
      <c r="DO2704" s="4"/>
      <c r="DP2704" s="4"/>
      <c r="DQ2704" s="4"/>
      <c r="DR2704" s="4"/>
      <c r="DS2704" s="4"/>
      <c r="DT2704" s="4"/>
      <c r="DU2704" s="4"/>
      <c r="DV2704" s="4"/>
      <c r="DW2704" s="4"/>
      <c r="DX2704" s="4"/>
      <c r="DY2704" s="4"/>
      <c r="DZ2704" s="4"/>
      <c r="EA2704" s="4"/>
      <c r="EB2704" s="4"/>
      <c r="EC2704" s="4"/>
      <c r="ED2704" s="4"/>
      <c r="EE2704" s="4"/>
      <c r="EF2704" s="4"/>
      <c r="EG2704" s="4"/>
      <c r="EH2704" s="4"/>
      <c r="EI2704" s="4"/>
      <c r="EJ2704" s="4"/>
      <c r="EK2704" s="4"/>
      <c r="EL2704" s="4"/>
      <c r="EM2704" s="4"/>
      <c r="EN2704" s="4"/>
      <c r="EO2704" s="4"/>
      <c r="EP2704" s="4"/>
      <c r="EQ2704" s="4"/>
      <c r="ER2704" s="4"/>
      <c r="ES2704" s="4"/>
      <c r="ET2704" s="4"/>
      <c r="EU2704" s="4"/>
      <c r="EV2704" s="4"/>
      <c r="EW2704" s="4"/>
      <c r="EX2704" s="4"/>
      <c r="EY2704" s="4"/>
      <c r="EZ2704" s="4"/>
      <c r="FA2704" s="4"/>
      <c r="FB2704" s="4"/>
      <c r="FC2704" s="4"/>
      <c r="FD2704" s="4"/>
      <c r="FE2704" s="4"/>
      <c r="FF2704" s="4"/>
      <c r="FG2704" s="4"/>
      <c r="FH2704" s="4"/>
      <c r="FI2704" s="4"/>
      <c r="FJ2704" s="4"/>
      <c r="FK2704" s="4"/>
      <c r="FL2704" s="4"/>
      <c r="FM2704" s="4"/>
      <c r="FN2704" s="4"/>
      <c r="FO2704" s="4"/>
      <c r="FP2704" s="4"/>
      <c r="FQ2704" s="4"/>
      <c r="FR2704" s="4"/>
      <c r="FS2704" s="4"/>
      <c r="FT2704" s="4"/>
      <c r="FU2704" s="4"/>
      <c r="FV2704" s="4"/>
      <c r="FW2704" s="4"/>
      <c r="FX2704" s="4"/>
      <c r="FY2704" s="4"/>
      <c r="FZ2704" s="4"/>
      <c r="GA2704" s="4"/>
      <c r="GB2704" s="4"/>
      <c r="GC2704" s="4"/>
      <c r="GD2704" s="4"/>
      <c r="GE2704" s="4"/>
      <c r="GF2704" s="4"/>
      <c r="GG2704" s="4"/>
      <c r="GH2704" s="4"/>
      <c r="GI2704" s="4"/>
      <c r="GJ2704" s="4"/>
      <c r="GK2704" s="4"/>
      <c r="GL2704" s="4"/>
      <c r="GM2704" s="4"/>
      <c r="GN2704" s="4"/>
      <c r="GO2704" s="4"/>
      <c r="GP2704" s="4"/>
      <c r="GQ2704" s="4"/>
      <c r="GR2704" s="4"/>
      <c r="GS2704" s="4"/>
      <c r="GT2704" s="4"/>
      <c r="GU2704" s="4"/>
      <c r="GV2704" s="4"/>
      <c r="GW2704" s="4"/>
      <c r="GX2704" s="4"/>
      <c r="GY2704" s="4"/>
      <c r="GZ2704" s="4"/>
      <c r="HA2704" s="4"/>
      <c r="HB2704" s="4"/>
      <c r="HC2704" s="4"/>
      <c r="HD2704" s="4"/>
      <c r="HE2704" s="4"/>
      <c r="HF2704" s="4"/>
      <c r="HG2704" s="4"/>
      <c r="HH2704" s="4"/>
      <c r="HI2704" s="4"/>
      <c r="HJ2704" s="4"/>
      <c r="HK2704" s="4"/>
      <c r="HL2704" s="4"/>
    </row>
    <row r="2705">
      <c r="A2705" s="2" t="s">
        <v>11546</v>
      </c>
      <c r="B2705" s="2" t="s">
        <v>992</v>
      </c>
      <c r="C2705" s="2" t="s">
        <v>288</v>
      </c>
      <c r="D2705" s="2" t="s">
        <v>993</v>
      </c>
      <c r="E2705" s="2" t="s">
        <v>2042</v>
      </c>
      <c r="F2705" s="2" t="s">
        <v>11539</v>
      </c>
      <c r="G2705" s="2" t="s">
        <v>11540</v>
      </c>
      <c r="H2705" s="2" t="s">
        <v>11541</v>
      </c>
      <c r="I2705" s="2" t="s">
        <v>11547</v>
      </c>
      <c r="J2705" s="2" t="s">
        <v>1586</v>
      </c>
      <c r="K2705" s="2" t="s">
        <v>486</v>
      </c>
      <c r="L2705" s="3">
        <v>15.75</v>
      </c>
      <c r="M2705" s="3">
        <v>16.54</v>
      </c>
      <c r="N2705" s="3">
        <v>34.99</v>
      </c>
      <c r="O2705" s="2" t="s">
        <v>243</v>
      </c>
      <c r="P2705" s="2" t="s">
        <v>341</v>
      </c>
      <c r="Q2705" s="2" t="s">
        <v>237</v>
      </c>
      <c r="R2705" s="2" t="s">
        <v>231</v>
      </c>
      <c r="S2705" s="2" t="s">
        <v>11543</v>
      </c>
      <c r="T2705" s="2" t="s">
        <v>231</v>
      </c>
      <c r="U2705" s="2" t="s">
        <v>327</v>
      </c>
      <c r="V2705" s="2" t="s">
        <v>1192</v>
      </c>
      <c r="W2705" s="2" t="s">
        <v>792</v>
      </c>
      <c r="X2705" s="2" t="s">
        <v>691</v>
      </c>
      <c r="Y2705" s="2" t="s">
        <v>7552</v>
      </c>
      <c r="Z2705" s="4">
        <v>65</v>
      </c>
      <c r="AA2705" s="4">
        <f>=ROUNDDOWN(29.5454545454545,0)</f>
      </c>
      <c r="AB2705" s="5">
        <v>2.2</v>
      </c>
      <c r="AC2705" s="2" t="s">
        <v>231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231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231</v>
      </c>
      <c r="AW2705" s="8" t="s">
        <v>231</v>
      </c>
      <c r="AX2705" s="4" t="s">
        <v>231</v>
      </c>
      <c r="AY2705" s="8" t="s">
        <v>231</v>
      </c>
      <c r="AZ2705" s="7" t="s">
        <v>231</v>
      </c>
      <c r="BA2705" s="7" t="s">
        <v>231</v>
      </c>
      <c r="BB2705" s="7" t="s">
        <v>231</v>
      </c>
      <c r="BC2705" s="4" t="s">
        <v>231</v>
      </c>
      <c r="BD2705" s="8" t="s">
        <v>231</v>
      </c>
      <c r="BE2705" s="4" t="s">
        <v>231</v>
      </c>
      <c r="BF2705" s="8" t="s">
        <v>231</v>
      </c>
      <c r="BG2705" s="7" t="s">
        <v>231</v>
      </c>
      <c r="BH2705" s="7" t="s">
        <v>231</v>
      </c>
      <c r="BI2705" s="7"/>
      <c r="BJ2705" s="4">
        <v>16</v>
      </c>
      <c r="BK2705" s="8">
        <v>230.7</v>
      </c>
      <c r="BL2705" s="2" t="s">
        <v>7486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11548</v>
      </c>
      <c r="BV2705" s="2" t="s">
        <v>231</v>
      </c>
      <c r="BW2705" s="2" t="s">
        <v>231</v>
      </c>
      <c r="BX2705" s="2" t="s">
        <v>231</v>
      </c>
      <c r="BY2705" s="2" t="s">
        <v>277</v>
      </c>
      <c r="BZ2705" s="2" t="s">
        <v>243</v>
      </c>
      <c r="CA2705" s="2" t="s">
        <v>2035</v>
      </c>
      <c r="CB2705" s="2" t="s">
        <v>2675</v>
      </c>
      <c r="CC2705" s="2" t="s">
        <v>244</v>
      </c>
      <c r="CD2705" s="2" t="s">
        <v>231</v>
      </c>
      <c r="CE2705" s="4">
        <v>65</v>
      </c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4"/>
      <c r="CX2705" s="4"/>
      <c r="CY2705" s="4"/>
      <c r="CZ2705" s="4"/>
      <c r="DA2705" s="4"/>
      <c r="DB2705" s="4"/>
      <c r="DC2705" s="4"/>
      <c r="DD2705" s="4"/>
      <c r="DE2705" s="4"/>
      <c r="DF2705" s="4"/>
      <c r="DG2705" s="4"/>
      <c r="DH2705" s="4"/>
      <c r="DI2705" s="4"/>
      <c r="DJ2705" s="4"/>
      <c r="DK2705" s="4"/>
      <c r="DL2705" s="4"/>
      <c r="DM2705" s="4"/>
      <c r="DN2705" s="4"/>
      <c r="DO2705" s="4"/>
      <c r="DP2705" s="4"/>
      <c r="DQ2705" s="4"/>
      <c r="DR2705" s="4"/>
      <c r="DS2705" s="4"/>
      <c r="DT2705" s="4"/>
      <c r="DU2705" s="4"/>
      <c r="DV2705" s="4"/>
      <c r="DW2705" s="4"/>
      <c r="DX2705" s="4"/>
      <c r="DY2705" s="4"/>
      <c r="DZ2705" s="4"/>
      <c r="EA2705" s="4"/>
      <c r="EB2705" s="4"/>
      <c r="EC2705" s="4"/>
      <c r="ED2705" s="4"/>
      <c r="EE2705" s="4"/>
      <c r="EF2705" s="4"/>
      <c r="EG2705" s="4"/>
      <c r="EH2705" s="4"/>
      <c r="EI2705" s="4"/>
      <c r="EJ2705" s="4"/>
      <c r="EK2705" s="4"/>
      <c r="EL2705" s="4"/>
      <c r="EM2705" s="4"/>
      <c r="EN2705" s="4"/>
      <c r="EO2705" s="4"/>
      <c r="EP2705" s="4"/>
      <c r="EQ2705" s="4"/>
      <c r="ER2705" s="4"/>
      <c r="ES2705" s="4"/>
      <c r="ET2705" s="4"/>
      <c r="EU2705" s="4"/>
      <c r="EV2705" s="4"/>
      <c r="EW2705" s="4"/>
      <c r="EX2705" s="4"/>
      <c r="EY2705" s="4"/>
      <c r="EZ2705" s="4"/>
      <c r="FA2705" s="4"/>
      <c r="FB2705" s="4"/>
      <c r="FC2705" s="4"/>
      <c r="FD2705" s="4"/>
      <c r="FE2705" s="4"/>
      <c r="FF2705" s="4"/>
      <c r="FG2705" s="4"/>
      <c r="FH2705" s="4"/>
      <c r="FI2705" s="4"/>
      <c r="FJ2705" s="4"/>
      <c r="FK2705" s="4"/>
      <c r="FL2705" s="4"/>
      <c r="FM2705" s="4"/>
      <c r="FN2705" s="4"/>
      <c r="FO2705" s="4"/>
      <c r="FP2705" s="4"/>
      <c r="FQ2705" s="4"/>
      <c r="FR2705" s="4"/>
      <c r="FS2705" s="4"/>
      <c r="FT2705" s="4"/>
      <c r="FU2705" s="4"/>
      <c r="FV2705" s="4"/>
      <c r="FW2705" s="4"/>
      <c r="FX2705" s="4"/>
      <c r="FY2705" s="4"/>
      <c r="FZ2705" s="4"/>
      <c r="GA2705" s="4"/>
      <c r="GB2705" s="4"/>
      <c r="GC2705" s="4"/>
      <c r="GD2705" s="4"/>
      <c r="GE2705" s="4"/>
      <c r="GF2705" s="4"/>
      <c r="GG2705" s="4"/>
      <c r="GH2705" s="4"/>
      <c r="GI2705" s="4"/>
      <c r="GJ2705" s="4"/>
      <c r="GK2705" s="4"/>
      <c r="GL2705" s="4"/>
      <c r="GM2705" s="4"/>
      <c r="GN2705" s="4"/>
      <c r="GO2705" s="4"/>
      <c r="GP2705" s="4"/>
      <c r="GQ2705" s="4"/>
      <c r="GR2705" s="4"/>
      <c r="GS2705" s="4"/>
      <c r="GT2705" s="4"/>
      <c r="GU2705" s="4"/>
      <c r="GV2705" s="4"/>
      <c r="GW2705" s="4"/>
      <c r="GX2705" s="4"/>
      <c r="GY2705" s="4"/>
      <c r="GZ2705" s="4"/>
      <c r="HA2705" s="4"/>
      <c r="HB2705" s="4"/>
      <c r="HC2705" s="4"/>
      <c r="HD2705" s="4"/>
      <c r="HE2705" s="4"/>
      <c r="HF2705" s="4"/>
      <c r="HG2705" s="4"/>
      <c r="HH2705" s="4"/>
      <c r="HI2705" s="4"/>
      <c r="HJ2705" s="4"/>
      <c r="HK2705" s="4"/>
      <c r="HL2705" s="4"/>
    </row>
    <row r="2706">
      <c r="A2706" s="2" t="s">
        <v>11549</v>
      </c>
      <c r="B2706" s="2" t="s">
        <v>992</v>
      </c>
      <c r="C2706" s="2" t="s">
        <v>288</v>
      </c>
      <c r="D2706" s="2" t="s">
        <v>993</v>
      </c>
      <c r="E2706" s="2" t="s">
        <v>2042</v>
      </c>
      <c r="F2706" s="2" t="s">
        <v>11539</v>
      </c>
      <c r="G2706" s="2" t="s">
        <v>11540</v>
      </c>
      <c r="H2706" s="2" t="s">
        <v>11541</v>
      </c>
      <c r="I2706" s="2" t="s">
        <v>11542</v>
      </c>
      <c r="J2706" s="2" t="s">
        <v>1586</v>
      </c>
      <c r="K2706" s="2" t="s">
        <v>486</v>
      </c>
      <c r="L2706" s="3">
        <v>13.2</v>
      </c>
      <c r="M2706" s="3">
        <v>13.86</v>
      </c>
      <c r="N2706" s="3">
        <v>32.99</v>
      </c>
      <c r="O2706" s="2" t="s">
        <v>243</v>
      </c>
      <c r="P2706" s="2" t="s">
        <v>341</v>
      </c>
      <c r="Q2706" s="2" t="s">
        <v>237</v>
      </c>
      <c r="R2706" s="2" t="s">
        <v>231</v>
      </c>
      <c r="S2706" s="2" t="s">
        <v>11543</v>
      </c>
      <c r="T2706" s="2" t="s">
        <v>231</v>
      </c>
      <c r="U2706" s="2" t="s">
        <v>327</v>
      </c>
      <c r="V2706" s="2" t="s">
        <v>1192</v>
      </c>
      <c r="W2706" s="2" t="s">
        <v>792</v>
      </c>
      <c r="X2706" s="2" t="s">
        <v>691</v>
      </c>
      <c r="Y2706" s="2" t="s">
        <v>7552</v>
      </c>
      <c r="Z2706" s="4">
        <v>20</v>
      </c>
      <c r="AA2706" s="4">
        <f>=ROUNDDOWN(10,0)</f>
      </c>
      <c r="AB2706" s="5">
        <v>2</v>
      </c>
      <c r="AC2706" s="2" t="s">
        <v>231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231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231</v>
      </c>
      <c r="AW2706" s="8" t="s">
        <v>231</v>
      </c>
      <c r="AX2706" s="4" t="s">
        <v>231</v>
      </c>
      <c r="AY2706" s="8" t="s">
        <v>231</v>
      </c>
      <c r="AZ2706" s="7" t="s">
        <v>231</v>
      </c>
      <c r="BA2706" s="7" t="s">
        <v>231</v>
      </c>
      <c r="BB2706" s="7" t="s">
        <v>231</v>
      </c>
      <c r="BC2706" s="4" t="s">
        <v>231</v>
      </c>
      <c r="BD2706" s="8" t="s">
        <v>231</v>
      </c>
      <c r="BE2706" s="4" t="s">
        <v>231</v>
      </c>
      <c r="BF2706" s="8" t="s">
        <v>231</v>
      </c>
      <c r="BG2706" s="7" t="s">
        <v>231</v>
      </c>
      <c r="BH2706" s="7" t="s">
        <v>231</v>
      </c>
      <c r="BI2706" s="7"/>
      <c r="BJ2706" s="4">
        <v>12</v>
      </c>
      <c r="BK2706" s="8">
        <v>163.68</v>
      </c>
      <c r="BL2706" s="2" t="s">
        <v>628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11550</v>
      </c>
      <c r="BV2706" s="2" t="s">
        <v>231</v>
      </c>
      <c r="BW2706" s="2" t="s">
        <v>231</v>
      </c>
      <c r="BX2706" s="2" t="s">
        <v>231</v>
      </c>
      <c r="BY2706" s="2" t="s">
        <v>277</v>
      </c>
      <c r="BZ2706" s="2" t="s">
        <v>243</v>
      </c>
      <c r="CA2706" s="2" t="s">
        <v>2035</v>
      </c>
      <c r="CB2706" s="2" t="s">
        <v>2515</v>
      </c>
      <c r="CC2706" s="2" t="s">
        <v>244</v>
      </c>
      <c r="CD2706" s="2" t="s">
        <v>231</v>
      </c>
      <c r="CE2706" s="4">
        <v>20</v>
      </c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4"/>
      <c r="CX2706" s="4"/>
      <c r="CY2706" s="4"/>
      <c r="CZ2706" s="4"/>
      <c r="DA2706" s="4"/>
      <c r="DB2706" s="4"/>
      <c r="DC2706" s="4"/>
      <c r="DD2706" s="4"/>
      <c r="DE2706" s="4"/>
      <c r="DF2706" s="4"/>
      <c r="DG2706" s="4"/>
      <c r="DH2706" s="4"/>
      <c r="DI2706" s="4"/>
      <c r="DJ2706" s="4"/>
      <c r="DK2706" s="4"/>
      <c r="DL2706" s="4"/>
      <c r="DM2706" s="4"/>
      <c r="DN2706" s="4"/>
      <c r="DO2706" s="4"/>
      <c r="DP2706" s="4"/>
      <c r="DQ2706" s="4"/>
      <c r="DR2706" s="4"/>
      <c r="DS2706" s="4"/>
      <c r="DT2706" s="4"/>
      <c r="DU2706" s="4"/>
      <c r="DV2706" s="4"/>
      <c r="DW2706" s="4"/>
      <c r="DX2706" s="4"/>
      <c r="DY2706" s="4"/>
      <c r="DZ2706" s="4"/>
      <c r="EA2706" s="4"/>
      <c r="EB2706" s="4"/>
      <c r="EC2706" s="4"/>
      <c r="ED2706" s="4"/>
      <c r="EE2706" s="4"/>
      <c r="EF2706" s="4"/>
      <c r="EG2706" s="4"/>
      <c r="EH2706" s="4"/>
      <c r="EI2706" s="4"/>
      <c r="EJ2706" s="4"/>
      <c r="EK2706" s="4"/>
      <c r="EL2706" s="4"/>
      <c r="EM2706" s="4"/>
      <c r="EN2706" s="4"/>
      <c r="EO2706" s="4"/>
      <c r="EP2706" s="4"/>
      <c r="EQ2706" s="4"/>
      <c r="ER2706" s="4"/>
      <c r="ES2706" s="4"/>
      <c r="ET2706" s="4"/>
      <c r="EU2706" s="4"/>
      <c r="EV2706" s="4"/>
      <c r="EW2706" s="4"/>
      <c r="EX2706" s="4"/>
      <c r="EY2706" s="4"/>
      <c r="EZ2706" s="4"/>
      <c r="FA2706" s="4"/>
      <c r="FB2706" s="4"/>
      <c r="FC2706" s="4"/>
      <c r="FD2706" s="4"/>
      <c r="FE2706" s="4"/>
      <c r="FF2706" s="4"/>
      <c r="FG2706" s="4"/>
      <c r="FH2706" s="4"/>
      <c r="FI2706" s="4"/>
      <c r="FJ2706" s="4"/>
      <c r="FK2706" s="4"/>
      <c r="FL2706" s="4"/>
      <c r="FM2706" s="4"/>
      <c r="FN2706" s="4"/>
      <c r="FO2706" s="4"/>
      <c r="FP2706" s="4"/>
      <c r="FQ2706" s="4"/>
      <c r="FR2706" s="4"/>
      <c r="FS2706" s="4"/>
      <c r="FT2706" s="4"/>
      <c r="FU2706" s="4"/>
      <c r="FV2706" s="4"/>
      <c r="FW2706" s="4"/>
      <c r="FX2706" s="4"/>
      <c r="FY2706" s="4"/>
      <c r="FZ2706" s="4"/>
      <c r="GA2706" s="4"/>
      <c r="GB2706" s="4"/>
      <c r="GC2706" s="4"/>
      <c r="GD2706" s="4"/>
      <c r="GE2706" s="4"/>
      <c r="GF2706" s="4"/>
      <c r="GG2706" s="4"/>
      <c r="GH2706" s="4"/>
      <c r="GI2706" s="4"/>
      <c r="GJ2706" s="4"/>
      <c r="GK2706" s="4"/>
      <c r="GL2706" s="4"/>
      <c r="GM2706" s="4"/>
      <c r="GN2706" s="4"/>
      <c r="GO2706" s="4"/>
      <c r="GP2706" s="4"/>
      <c r="GQ2706" s="4"/>
      <c r="GR2706" s="4"/>
      <c r="GS2706" s="4"/>
      <c r="GT2706" s="4"/>
      <c r="GU2706" s="4"/>
      <c r="GV2706" s="4"/>
      <c r="GW2706" s="4"/>
      <c r="GX2706" s="4"/>
      <c r="GY2706" s="4"/>
      <c r="GZ2706" s="4"/>
      <c r="HA2706" s="4"/>
      <c r="HB2706" s="4"/>
      <c r="HC2706" s="4"/>
      <c r="HD2706" s="4"/>
      <c r="HE2706" s="4"/>
      <c r="HF2706" s="4"/>
      <c r="HG2706" s="4"/>
      <c r="HH2706" s="4"/>
      <c r="HI2706" s="4"/>
      <c r="HJ2706" s="4"/>
      <c r="HK2706" s="4"/>
      <c r="HL2706" s="4"/>
    </row>
    <row r="2707">
      <c r="A2707" s="2" t="s">
        <v>11551</v>
      </c>
      <c r="B2707" s="2" t="s">
        <v>992</v>
      </c>
      <c r="C2707" s="2" t="s">
        <v>288</v>
      </c>
      <c r="D2707" s="2" t="s">
        <v>993</v>
      </c>
      <c r="E2707" s="2" t="s">
        <v>7278</v>
      </c>
      <c r="F2707" s="2" t="s">
        <v>11539</v>
      </c>
      <c r="G2707" s="2" t="s">
        <v>11540</v>
      </c>
      <c r="H2707" s="2" t="s">
        <v>11541</v>
      </c>
      <c r="I2707" s="2" t="s">
        <v>11552</v>
      </c>
      <c r="J2707" s="2" t="s">
        <v>11553</v>
      </c>
      <c r="K2707" s="2" t="s">
        <v>486</v>
      </c>
      <c r="L2707" s="3">
        <v>14.85</v>
      </c>
      <c r="M2707" s="3">
        <v>15.59</v>
      </c>
      <c r="N2707" s="3">
        <v>32.99</v>
      </c>
      <c r="O2707" s="2" t="s">
        <v>243</v>
      </c>
      <c r="P2707" s="2" t="s">
        <v>341</v>
      </c>
      <c r="Q2707" s="2" t="s">
        <v>237</v>
      </c>
      <c r="R2707" s="2" t="s">
        <v>231</v>
      </c>
      <c r="S2707" s="2" t="s">
        <v>11543</v>
      </c>
      <c r="T2707" s="2" t="s">
        <v>231</v>
      </c>
      <c r="U2707" s="2" t="s">
        <v>327</v>
      </c>
      <c r="V2707" s="2" t="s">
        <v>1192</v>
      </c>
      <c r="W2707" s="2" t="s">
        <v>792</v>
      </c>
      <c r="X2707" s="2" t="s">
        <v>691</v>
      </c>
      <c r="Y2707" s="2" t="s">
        <v>7552</v>
      </c>
      <c r="Z2707" s="4">
        <v>79</v>
      </c>
      <c r="AA2707" s="4">
        <f>=ROUNDDOWN(13.1666666666667,0)</f>
      </c>
      <c r="AB2707" s="5">
        <v>6</v>
      </c>
      <c r="AC2707" s="2" t="s">
        <v>231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231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231</v>
      </c>
      <c r="AW2707" s="8" t="s">
        <v>231</v>
      </c>
      <c r="AX2707" s="4" t="s">
        <v>231</v>
      </c>
      <c r="AY2707" s="8" t="s">
        <v>231</v>
      </c>
      <c r="AZ2707" s="7" t="s">
        <v>231</v>
      </c>
      <c r="BA2707" s="7" t="s">
        <v>231</v>
      </c>
      <c r="BB2707" s="7"/>
      <c r="BC2707" s="4" t="s">
        <v>231</v>
      </c>
      <c r="BD2707" s="8" t="s">
        <v>231</v>
      </c>
      <c r="BE2707" s="4" t="s">
        <v>231</v>
      </c>
      <c r="BF2707" s="8" t="s">
        <v>231</v>
      </c>
      <c r="BG2707" s="7" t="s">
        <v>231</v>
      </c>
      <c r="BH2707" s="7" t="s">
        <v>231</v>
      </c>
      <c r="BI2707" s="7"/>
      <c r="BJ2707" s="4">
        <v>20</v>
      </c>
      <c r="BK2707" s="8">
        <v>291.05</v>
      </c>
      <c r="BL2707" s="2" t="s">
        <v>3811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11554</v>
      </c>
      <c r="BV2707" s="2" t="s">
        <v>231</v>
      </c>
      <c r="BW2707" s="2" t="s">
        <v>231</v>
      </c>
      <c r="BX2707" s="2" t="s">
        <v>231</v>
      </c>
      <c r="BY2707" s="2" t="s">
        <v>277</v>
      </c>
      <c r="BZ2707" s="2" t="s">
        <v>243</v>
      </c>
      <c r="CA2707" s="2" t="s">
        <v>2035</v>
      </c>
      <c r="CB2707" s="2" t="s">
        <v>1324</v>
      </c>
      <c r="CC2707" s="2" t="s">
        <v>244</v>
      </c>
      <c r="CD2707" s="2" t="s">
        <v>231</v>
      </c>
      <c r="CE2707" s="4">
        <v>79</v>
      </c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4"/>
      <c r="CX2707" s="4"/>
      <c r="CY2707" s="4"/>
      <c r="CZ2707" s="4"/>
      <c r="DA2707" s="4"/>
      <c r="DB2707" s="4"/>
      <c r="DC2707" s="4"/>
      <c r="DD2707" s="4"/>
      <c r="DE2707" s="4"/>
      <c r="DF2707" s="4"/>
      <c r="DG2707" s="4"/>
      <c r="DH2707" s="4"/>
      <c r="DI2707" s="4"/>
      <c r="DJ2707" s="4"/>
      <c r="DK2707" s="4"/>
      <c r="DL2707" s="4"/>
      <c r="DM2707" s="4"/>
      <c r="DN2707" s="4"/>
      <c r="DO2707" s="4"/>
      <c r="DP2707" s="4"/>
      <c r="DQ2707" s="4"/>
      <c r="DR2707" s="4"/>
      <c r="DS2707" s="4"/>
      <c r="DT2707" s="4"/>
      <c r="DU2707" s="4"/>
      <c r="DV2707" s="4"/>
      <c r="DW2707" s="4"/>
      <c r="DX2707" s="4"/>
      <c r="DY2707" s="4"/>
      <c r="DZ2707" s="4"/>
      <c r="EA2707" s="4"/>
      <c r="EB2707" s="4"/>
      <c r="EC2707" s="4"/>
      <c r="ED2707" s="4"/>
      <c r="EE2707" s="4"/>
      <c r="EF2707" s="4"/>
      <c r="EG2707" s="4"/>
      <c r="EH2707" s="4"/>
      <c r="EI2707" s="4"/>
      <c r="EJ2707" s="4"/>
      <c r="EK2707" s="4"/>
      <c r="EL2707" s="4"/>
      <c r="EM2707" s="4"/>
      <c r="EN2707" s="4"/>
      <c r="EO2707" s="4"/>
      <c r="EP2707" s="4"/>
      <c r="EQ2707" s="4"/>
      <c r="ER2707" s="4"/>
      <c r="ES2707" s="4"/>
      <c r="ET2707" s="4"/>
      <c r="EU2707" s="4"/>
      <c r="EV2707" s="4"/>
      <c r="EW2707" s="4"/>
      <c r="EX2707" s="4"/>
      <c r="EY2707" s="4"/>
      <c r="EZ2707" s="4"/>
      <c r="FA2707" s="4"/>
      <c r="FB2707" s="4"/>
      <c r="FC2707" s="4"/>
      <c r="FD2707" s="4"/>
      <c r="FE2707" s="4"/>
      <c r="FF2707" s="4"/>
      <c r="FG2707" s="4"/>
      <c r="FH2707" s="4"/>
      <c r="FI2707" s="4"/>
      <c r="FJ2707" s="4"/>
      <c r="FK2707" s="4"/>
      <c r="FL2707" s="4"/>
      <c r="FM2707" s="4"/>
      <c r="FN2707" s="4"/>
      <c r="FO2707" s="4"/>
      <c r="FP2707" s="4"/>
      <c r="FQ2707" s="4"/>
      <c r="FR2707" s="4"/>
      <c r="FS2707" s="4"/>
      <c r="FT2707" s="4"/>
      <c r="FU2707" s="4"/>
      <c r="FV2707" s="4"/>
      <c r="FW2707" s="4"/>
      <c r="FX2707" s="4"/>
      <c r="FY2707" s="4"/>
      <c r="FZ2707" s="4"/>
      <c r="GA2707" s="4"/>
      <c r="GB2707" s="4"/>
      <c r="GC2707" s="4"/>
      <c r="GD2707" s="4"/>
      <c r="GE2707" s="4"/>
      <c r="GF2707" s="4"/>
      <c r="GG2707" s="4"/>
      <c r="GH2707" s="4"/>
      <c r="GI2707" s="4"/>
      <c r="GJ2707" s="4"/>
      <c r="GK2707" s="4"/>
      <c r="GL2707" s="4"/>
      <c r="GM2707" s="4"/>
      <c r="GN2707" s="4"/>
      <c r="GO2707" s="4"/>
      <c r="GP2707" s="4"/>
      <c r="GQ2707" s="4"/>
      <c r="GR2707" s="4"/>
      <c r="GS2707" s="4"/>
      <c r="GT2707" s="4"/>
      <c r="GU2707" s="4"/>
      <c r="GV2707" s="4"/>
      <c r="GW2707" s="4"/>
      <c r="GX2707" s="4"/>
      <c r="GY2707" s="4"/>
      <c r="GZ2707" s="4"/>
      <c r="HA2707" s="4"/>
      <c r="HB2707" s="4"/>
      <c r="HC2707" s="4"/>
      <c r="HD2707" s="4"/>
      <c r="HE2707" s="4"/>
      <c r="HF2707" s="4"/>
      <c r="HG2707" s="4"/>
      <c r="HH2707" s="4"/>
      <c r="HI2707" s="4"/>
      <c r="HJ2707" s="4"/>
      <c r="HK2707" s="4"/>
      <c r="HL2707" s="4"/>
    </row>
    <row r="2708">
      <c r="A2708" s="2" t="s">
        <v>11555</v>
      </c>
      <c r="B2708" s="2" t="s">
        <v>992</v>
      </c>
      <c r="C2708" s="2" t="s">
        <v>288</v>
      </c>
      <c r="D2708" s="2" t="s">
        <v>993</v>
      </c>
      <c r="E2708" s="2" t="s">
        <v>7278</v>
      </c>
      <c r="F2708" s="2" t="s">
        <v>11539</v>
      </c>
      <c r="G2708" s="2" t="s">
        <v>11540</v>
      </c>
      <c r="H2708" s="2" t="s">
        <v>11541</v>
      </c>
      <c r="I2708" s="2" t="s">
        <v>11552</v>
      </c>
      <c r="J2708" s="2" t="s">
        <v>11556</v>
      </c>
      <c r="K2708" s="2" t="s">
        <v>486</v>
      </c>
      <c r="L2708" s="3">
        <v>17.02</v>
      </c>
      <c r="M2708" s="3">
        <v>17.87</v>
      </c>
      <c r="N2708" s="3">
        <v>36.99</v>
      </c>
      <c r="O2708" s="2" t="s">
        <v>243</v>
      </c>
      <c r="P2708" s="2" t="s">
        <v>341</v>
      </c>
      <c r="Q2708" s="2" t="s">
        <v>237</v>
      </c>
      <c r="R2708" s="2" t="s">
        <v>231</v>
      </c>
      <c r="S2708" s="2" t="s">
        <v>11543</v>
      </c>
      <c r="T2708" s="2" t="s">
        <v>231</v>
      </c>
      <c r="U2708" s="2" t="s">
        <v>327</v>
      </c>
      <c r="V2708" s="2" t="s">
        <v>1192</v>
      </c>
      <c r="W2708" s="2" t="s">
        <v>792</v>
      </c>
      <c r="X2708" s="2" t="s">
        <v>691</v>
      </c>
      <c r="Y2708" s="2" t="s">
        <v>7552</v>
      </c>
      <c r="Z2708" s="4">
        <v>14</v>
      </c>
      <c r="AA2708" s="4">
        <f>=ROUNDDOWN(3.5,0)</f>
      </c>
      <c r="AB2708" s="5">
        <v>4</v>
      </c>
      <c r="AC2708" s="2" t="s">
        <v>231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231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231</v>
      </c>
      <c r="AW2708" s="8" t="s">
        <v>231</v>
      </c>
      <c r="AX2708" s="4" t="s">
        <v>231</v>
      </c>
      <c r="AY2708" s="8" t="s">
        <v>231</v>
      </c>
      <c r="AZ2708" s="7" t="s">
        <v>231</v>
      </c>
      <c r="BA2708" s="7" t="s">
        <v>231</v>
      </c>
      <c r="BB2708" s="7"/>
      <c r="BC2708" s="4" t="s">
        <v>231</v>
      </c>
      <c r="BD2708" s="8" t="s">
        <v>231</v>
      </c>
      <c r="BE2708" s="4" t="s">
        <v>231</v>
      </c>
      <c r="BF2708" s="8" t="s">
        <v>231</v>
      </c>
      <c r="BG2708" s="7" t="s">
        <v>231</v>
      </c>
      <c r="BH2708" s="7" t="s">
        <v>231</v>
      </c>
      <c r="BI2708" s="7"/>
      <c r="BJ2708" s="4">
        <v>31</v>
      </c>
      <c r="BK2708" s="8">
        <v>556.69</v>
      </c>
      <c r="BL2708" s="2" t="s">
        <v>3811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11557</v>
      </c>
      <c r="BV2708" s="2" t="s">
        <v>231</v>
      </c>
      <c r="BW2708" s="2" t="s">
        <v>231</v>
      </c>
      <c r="BX2708" s="2" t="s">
        <v>231</v>
      </c>
      <c r="BY2708" s="2" t="s">
        <v>277</v>
      </c>
      <c r="BZ2708" s="2" t="s">
        <v>243</v>
      </c>
      <c r="CA2708" s="2" t="s">
        <v>2035</v>
      </c>
      <c r="CB2708" s="2" t="s">
        <v>4968</v>
      </c>
      <c r="CC2708" s="2" t="s">
        <v>244</v>
      </c>
      <c r="CD2708" s="2" t="s">
        <v>231</v>
      </c>
      <c r="CE2708" s="4">
        <v>14</v>
      </c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4"/>
      <c r="CX2708" s="4"/>
      <c r="CY2708" s="4"/>
      <c r="CZ2708" s="4"/>
      <c r="DA2708" s="4"/>
      <c r="DB2708" s="4"/>
      <c r="DC2708" s="4"/>
      <c r="DD2708" s="4"/>
      <c r="DE2708" s="4"/>
      <c r="DF2708" s="4"/>
      <c r="DG2708" s="4"/>
      <c r="DH2708" s="4"/>
      <c r="DI2708" s="4"/>
      <c r="DJ2708" s="4"/>
      <c r="DK2708" s="4"/>
      <c r="DL2708" s="4"/>
      <c r="DM2708" s="4"/>
      <c r="DN2708" s="4"/>
      <c r="DO2708" s="4"/>
      <c r="DP2708" s="4"/>
      <c r="DQ2708" s="4"/>
      <c r="DR2708" s="4"/>
      <c r="DS2708" s="4"/>
      <c r="DT2708" s="4"/>
      <c r="DU2708" s="4"/>
      <c r="DV2708" s="4"/>
      <c r="DW2708" s="4"/>
      <c r="DX2708" s="4"/>
      <c r="DY2708" s="4"/>
      <c r="DZ2708" s="4"/>
      <c r="EA2708" s="4"/>
      <c r="EB2708" s="4"/>
      <c r="EC2708" s="4"/>
      <c r="ED2708" s="4"/>
      <c r="EE2708" s="4"/>
      <c r="EF2708" s="4"/>
      <c r="EG2708" s="4"/>
      <c r="EH2708" s="4"/>
      <c r="EI2708" s="4"/>
      <c r="EJ2708" s="4"/>
      <c r="EK2708" s="4"/>
      <c r="EL2708" s="4"/>
      <c r="EM2708" s="4"/>
      <c r="EN2708" s="4"/>
      <c r="EO2708" s="4"/>
      <c r="EP2708" s="4"/>
      <c r="EQ2708" s="4"/>
      <c r="ER2708" s="4"/>
      <c r="ES2708" s="4"/>
      <c r="ET2708" s="4"/>
      <c r="EU2708" s="4"/>
      <c r="EV2708" s="4"/>
      <c r="EW2708" s="4"/>
      <c r="EX2708" s="4"/>
      <c r="EY2708" s="4"/>
      <c r="EZ2708" s="4"/>
      <c r="FA2708" s="4"/>
      <c r="FB2708" s="4"/>
      <c r="FC2708" s="4"/>
      <c r="FD2708" s="4"/>
      <c r="FE2708" s="4"/>
      <c r="FF2708" s="4"/>
      <c r="FG2708" s="4"/>
      <c r="FH2708" s="4"/>
      <c r="FI2708" s="4"/>
      <c r="FJ2708" s="4"/>
      <c r="FK2708" s="4"/>
      <c r="FL2708" s="4"/>
      <c r="FM2708" s="4"/>
      <c r="FN2708" s="4"/>
      <c r="FO2708" s="4"/>
      <c r="FP2708" s="4"/>
      <c r="FQ2708" s="4"/>
      <c r="FR2708" s="4"/>
      <c r="FS2708" s="4"/>
      <c r="FT2708" s="4"/>
      <c r="FU2708" s="4"/>
      <c r="FV2708" s="4"/>
      <c r="FW2708" s="4"/>
      <c r="FX2708" s="4"/>
      <c r="FY2708" s="4"/>
      <c r="FZ2708" s="4"/>
      <c r="GA2708" s="4"/>
      <c r="GB2708" s="4"/>
      <c r="GC2708" s="4"/>
      <c r="GD2708" s="4"/>
      <c r="GE2708" s="4"/>
      <c r="GF2708" s="4"/>
      <c r="GG2708" s="4"/>
      <c r="GH2708" s="4"/>
      <c r="GI2708" s="4"/>
      <c r="GJ2708" s="4"/>
      <c r="GK2708" s="4"/>
      <c r="GL2708" s="4"/>
      <c r="GM2708" s="4"/>
      <c r="GN2708" s="4"/>
      <c r="GO2708" s="4"/>
      <c r="GP2708" s="4"/>
      <c r="GQ2708" s="4"/>
      <c r="GR2708" s="4"/>
      <c r="GS2708" s="4"/>
      <c r="GT2708" s="4"/>
      <c r="GU2708" s="4"/>
      <c r="GV2708" s="4"/>
      <c r="GW2708" s="4"/>
      <c r="GX2708" s="4"/>
      <c r="GY2708" s="4"/>
      <c r="GZ2708" s="4"/>
      <c r="HA2708" s="4"/>
      <c r="HB2708" s="4"/>
      <c r="HC2708" s="4"/>
      <c r="HD2708" s="4"/>
      <c r="HE2708" s="4"/>
      <c r="HF2708" s="4"/>
      <c r="HG2708" s="4"/>
      <c r="HH2708" s="4"/>
      <c r="HI2708" s="4"/>
      <c r="HJ2708" s="4"/>
      <c r="HK2708" s="4"/>
      <c r="HL2708" s="4"/>
    </row>
    <row r="2709">
      <c r="A2709" s="2" t="s">
        <v>11558</v>
      </c>
      <c r="B2709" s="2" t="s">
        <v>992</v>
      </c>
      <c r="C2709" s="2" t="s">
        <v>288</v>
      </c>
      <c r="D2709" s="2" t="s">
        <v>993</v>
      </c>
      <c r="E2709" s="2" t="s">
        <v>2042</v>
      </c>
      <c r="F2709" s="2" t="s">
        <v>11539</v>
      </c>
      <c r="G2709" s="2" t="s">
        <v>11540</v>
      </c>
      <c r="H2709" s="2" t="s">
        <v>11541</v>
      </c>
      <c r="I2709" s="2" t="s">
        <v>11547</v>
      </c>
      <c r="J2709" s="2" t="s">
        <v>996</v>
      </c>
      <c r="K2709" s="2" t="s">
        <v>253</v>
      </c>
      <c r="L2709" s="3">
        <v>13.5</v>
      </c>
      <c r="M2709" s="3">
        <v>14.18</v>
      </c>
      <c r="N2709" s="3">
        <v>29.99</v>
      </c>
      <c r="O2709" s="2" t="s">
        <v>243</v>
      </c>
      <c r="P2709" s="2" t="s">
        <v>341</v>
      </c>
      <c r="Q2709" s="2" t="s">
        <v>237</v>
      </c>
      <c r="R2709" s="2" t="s">
        <v>231</v>
      </c>
      <c r="S2709" s="2" t="s">
        <v>11559</v>
      </c>
      <c r="T2709" s="2" t="s">
        <v>231</v>
      </c>
      <c r="U2709" s="2" t="s">
        <v>327</v>
      </c>
      <c r="V2709" s="2" t="s">
        <v>1192</v>
      </c>
      <c r="W2709" s="2" t="s">
        <v>792</v>
      </c>
      <c r="X2709" s="2" t="s">
        <v>691</v>
      </c>
      <c r="Y2709" s="2" t="s">
        <v>1318</v>
      </c>
      <c r="Z2709" s="4">
        <v>241</v>
      </c>
      <c r="AA2709" s="4">
        <f>=ROUNDDOWN(14.1764705882353,0)</f>
      </c>
      <c r="AB2709" s="5">
        <v>17</v>
      </c>
      <c r="AC2709" s="2" t="s">
        <v>231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231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231</v>
      </c>
      <c r="AW2709" s="8" t="s">
        <v>231</v>
      </c>
      <c r="AX2709" s="4" t="s">
        <v>231</v>
      </c>
      <c r="AY2709" s="8" t="s">
        <v>231</v>
      </c>
      <c r="AZ2709" s="7" t="s">
        <v>231</v>
      </c>
      <c r="BA2709" s="7" t="s">
        <v>231</v>
      </c>
      <c r="BB2709" s="7"/>
      <c r="BC2709" s="4" t="s">
        <v>231</v>
      </c>
      <c r="BD2709" s="8" t="s">
        <v>231</v>
      </c>
      <c r="BE2709" s="4" t="s">
        <v>231</v>
      </c>
      <c r="BF2709" s="8" t="s">
        <v>231</v>
      </c>
      <c r="BG2709" s="7" t="s">
        <v>231</v>
      </c>
      <c r="BH2709" s="7" t="s">
        <v>231</v>
      </c>
      <c r="BI2709" s="7"/>
      <c r="BJ2709" s="4">
        <v>26</v>
      </c>
      <c r="BK2709" s="8">
        <v>358.06</v>
      </c>
      <c r="BL2709" s="2" t="s">
        <v>6736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11560</v>
      </c>
      <c r="BV2709" s="2" t="s">
        <v>231</v>
      </c>
      <c r="BW2709" s="2" t="s">
        <v>231</v>
      </c>
      <c r="BX2709" s="2" t="s">
        <v>231</v>
      </c>
      <c r="BY2709" s="2" t="s">
        <v>277</v>
      </c>
      <c r="BZ2709" s="2" t="s">
        <v>243</v>
      </c>
      <c r="CA2709" s="2" t="s">
        <v>1604</v>
      </c>
      <c r="CB2709" s="2" t="s">
        <v>11561</v>
      </c>
      <c r="CC2709" s="2" t="s">
        <v>244</v>
      </c>
      <c r="CD2709" s="2" t="s">
        <v>231</v>
      </c>
      <c r="CE2709" s="4">
        <v>241</v>
      </c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4"/>
      <c r="CX2709" s="4"/>
      <c r="CY2709" s="4"/>
      <c r="CZ2709" s="4"/>
      <c r="DA2709" s="4"/>
      <c r="DB2709" s="4"/>
      <c r="DC2709" s="4"/>
      <c r="DD2709" s="4"/>
      <c r="DE2709" s="4"/>
      <c r="DF2709" s="4"/>
      <c r="DG2709" s="4"/>
      <c r="DH2709" s="4"/>
      <c r="DI2709" s="4"/>
      <c r="DJ2709" s="4"/>
      <c r="DK2709" s="4"/>
      <c r="DL2709" s="4"/>
      <c r="DM2709" s="4"/>
      <c r="DN2709" s="4"/>
      <c r="DO2709" s="4"/>
      <c r="DP2709" s="4"/>
      <c r="DQ2709" s="4"/>
      <c r="DR2709" s="4"/>
      <c r="DS2709" s="4"/>
      <c r="DT2709" s="4"/>
      <c r="DU2709" s="4"/>
      <c r="DV2709" s="4"/>
      <c r="DW2709" s="4"/>
      <c r="DX2709" s="4"/>
      <c r="DY2709" s="4"/>
      <c r="DZ2709" s="4"/>
      <c r="EA2709" s="4"/>
      <c r="EB2709" s="4"/>
      <c r="EC2709" s="4"/>
      <c r="ED2709" s="4"/>
      <c r="EE2709" s="4"/>
      <c r="EF2709" s="4"/>
      <c r="EG2709" s="4"/>
      <c r="EH2709" s="4"/>
      <c r="EI2709" s="4"/>
      <c r="EJ2709" s="4"/>
      <c r="EK2709" s="4"/>
      <c r="EL2709" s="4"/>
      <c r="EM2709" s="4"/>
      <c r="EN2709" s="4"/>
      <c r="EO2709" s="4"/>
      <c r="EP2709" s="4"/>
      <c r="EQ2709" s="4"/>
      <c r="ER2709" s="4"/>
      <c r="ES2709" s="4"/>
      <c r="ET2709" s="4"/>
      <c r="EU2709" s="4"/>
      <c r="EV2709" s="4"/>
      <c r="EW2709" s="4"/>
      <c r="EX2709" s="4"/>
      <c r="EY2709" s="4"/>
      <c r="EZ2709" s="4"/>
      <c r="FA2709" s="4"/>
      <c r="FB2709" s="4"/>
      <c r="FC2709" s="4"/>
      <c r="FD2709" s="4"/>
      <c r="FE2709" s="4"/>
      <c r="FF2709" s="4"/>
      <c r="FG2709" s="4"/>
      <c r="FH2709" s="4"/>
      <c r="FI2709" s="4"/>
      <c r="FJ2709" s="4"/>
      <c r="FK2709" s="4"/>
      <c r="FL2709" s="4"/>
      <c r="FM2709" s="4"/>
      <c r="FN2709" s="4"/>
      <c r="FO2709" s="4"/>
      <c r="FP2709" s="4"/>
      <c r="FQ2709" s="4"/>
      <c r="FR2709" s="4"/>
      <c r="FS2709" s="4"/>
      <c r="FT2709" s="4"/>
      <c r="FU2709" s="4"/>
      <c r="FV2709" s="4"/>
      <c r="FW2709" s="4"/>
      <c r="FX2709" s="4"/>
      <c r="FY2709" s="4"/>
      <c r="FZ2709" s="4"/>
      <c r="GA2709" s="4"/>
      <c r="GB2709" s="4"/>
      <c r="GC2709" s="4"/>
      <c r="GD2709" s="4"/>
      <c r="GE2709" s="4"/>
      <c r="GF2709" s="4"/>
      <c r="GG2709" s="4"/>
      <c r="GH2709" s="4"/>
      <c r="GI2709" s="4"/>
      <c r="GJ2709" s="4"/>
      <c r="GK2709" s="4"/>
      <c r="GL2709" s="4"/>
      <c r="GM2709" s="4"/>
      <c r="GN2709" s="4"/>
      <c r="GO2709" s="4"/>
      <c r="GP2709" s="4"/>
      <c r="GQ2709" s="4"/>
      <c r="GR2709" s="4"/>
      <c r="GS2709" s="4"/>
      <c r="GT2709" s="4"/>
      <c r="GU2709" s="4"/>
      <c r="GV2709" s="4"/>
      <c r="GW2709" s="4"/>
      <c r="GX2709" s="4"/>
      <c r="GY2709" s="4"/>
      <c r="GZ2709" s="4"/>
      <c r="HA2709" s="4"/>
      <c r="HB2709" s="4"/>
      <c r="HC2709" s="4"/>
      <c r="HD2709" s="4"/>
      <c r="HE2709" s="4"/>
      <c r="HF2709" s="4"/>
      <c r="HG2709" s="4"/>
      <c r="HH2709" s="4"/>
      <c r="HI2709" s="4"/>
      <c r="HJ2709" s="4"/>
      <c r="HK2709" s="4"/>
      <c r="HL2709" s="4"/>
    </row>
    <row r="2710">
      <c r="A2710" s="2" t="s">
        <v>11562</v>
      </c>
      <c r="B2710" s="2" t="s">
        <v>992</v>
      </c>
      <c r="C2710" s="2" t="s">
        <v>288</v>
      </c>
      <c r="D2710" s="2" t="s">
        <v>993</v>
      </c>
      <c r="E2710" s="2" t="s">
        <v>2042</v>
      </c>
      <c r="F2710" s="2" t="s">
        <v>11539</v>
      </c>
      <c r="G2710" s="2" t="s">
        <v>11540</v>
      </c>
      <c r="H2710" s="2" t="s">
        <v>11541</v>
      </c>
      <c r="I2710" s="2" t="s">
        <v>11547</v>
      </c>
      <c r="J2710" s="2" t="s">
        <v>1586</v>
      </c>
      <c r="K2710" s="2" t="s">
        <v>253</v>
      </c>
      <c r="L2710" s="3">
        <v>15.75</v>
      </c>
      <c r="M2710" s="3">
        <v>16.54</v>
      </c>
      <c r="N2710" s="3">
        <v>34.99</v>
      </c>
      <c r="O2710" s="2" t="s">
        <v>243</v>
      </c>
      <c r="P2710" s="2" t="s">
        <v>341</v>
      </c>
      <c r="Q2710" s="2" t="s">
        <v>237</v>
      </c>
      <c r="R2710" s="2" t="s">
        <v>231</v>
      </c>
      <c r="S2710" s="2" t="s">
        <v>11559</v>
      </c>
      <c r="T2710" s="2" t="s">
        <v>231</v>
      </c>
      <c r="U2710" s="2" t="s">
        <v>327</v>
      </c>
      <c r="V2710" s="2" t="s">
        <v>1192</v>
      </c>
      <c r="W2710" s="2" t="s">
        <v>792</v>
      </c>
      <c r="X2710" s="2" t="s">
        <v>691</v>
      </c>
      <c r="Y2710" s="2" t="s">
        <v>1318</v>
      </c>
      <c r="Z2710" s="4">
        <v>89</v>
      </c>
      <c r="AA2710" s="4">
        <f>=ROUNDDOWN(40.4545454545455,0)</f>
      </c>
      <c r="AB2710" s="5">
        <v>2.2</v>
      </c>
      <c r="AC2710" s="2" t="s">
        <v>231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231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231</v>
      </c>
      <c r="AW2710" s="8" t="s">
        <v>231</v>
      </c>
      <c r="AX2710" s="4" t="s">
        <v>231</v>
      </c>
      <c r="AY2710" s="8" t="s">
        <v>231</v>
      </c>
      <c r="AZ2710" s="7" t="s">
        <v>231</v>
      </c>
      <c r="BA2710" s="7" t="s">
        <v>231</v>
      </c>
      <c r="BB2710" s="7" t="s">
        <v>231</v>
      </c>
      <c r="BC2710" s="4" t="s">
        <v>231</v>
      </c>
      <c r="BD2710" s="8" t="s">
        <v>231</v>
      </c>
      <c r="BE2710" s="4" t="s">
        <v>231</v>
      </c>
      <c r="BF2710" s="8" t="s">
        <v>231</v>
      </c>
      <c r="BG2710" s="7" t="s">
        <v>231</v>
      </c>
      <c r="BH2710" s="7" t="s">
        <v>231</v>
      </c>
      <c r="BI2710" s="7"/>
      <c r="BJ2710" s="4">
        <v>9</v>
      </c>
      <c r="BK2710" s="8">
        <v>120.59</v>
      </c>
      <c r="BL2710" s="2" t="s">
        <v>7647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11563</v>
      </c>
      <c r="BV2710" s="2" t="s">
        <v>231</v>
      </c>
      <c r="BW2710" s="2" t="s">
        <v>231</v>
      </c>
      <c r="BX2710" s="2" t="s">
        <v>231</v>
      </c>
      <c r="BY2710" s="2" t="s">
        <v>277</v>
      </c>
      <c r="BZ2710" s="2" t="s">
        <v>243</v>
      </c>
      <c r="CA2710" s="2" t="s">
        <v>1604</v>
      </c>
      <c r="CB2710" s="2" t="s">
        <v>11564</v>
      </c>
      <c r="CC2710" s="2" t="s">
        <v>244</v>
      </c>
      <c r="CD2710" s="2" t="s">
        <v>231</v>
      </c>
      <c r="CE2710" s="4">
        <v>89</v>
      </c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4"/>
      <c r="CX2710" s="4"/>
      <c r="CY2710" s="4"/>
      <c r="CZ2710" s="4"/>
      <c r="DA2710" s="4"/>
      <c r="DB2710" s="4"/>
      <c r="DC2710" s="4"/>
      <c r="DD2710" s="4"/>
      <c r="DE2710" s="4"/>
      <c r="DF2710" s="4"/>
      <c r="DG2710" s="4"/>
      <c r="DH2710" s="4"/>
      <c r="DI2710" s="4"/>
      <c r="DJ2710" s="4"/>
      <c r="DK2710" s="4"/>
      <c r="DL2710" s="4"/>
      <c r="DM2710" s="4"/>
      <c r="DN2710" s="4"/>
      <c r="DO2710" s="4"/>
      <c r="DP2710" s="4"/>
      <c r="DQ2710" s="4"/>
      <c r="DR2710" s="4"/>
      <c r="DS2710" s="4"/>
      <c r="DT2710" s="4"/>
      <c r="DU2710" s="4"/>
      <c r="DV2710" s="4"/>
      <c r="DW2710" s="4"/>
      <c r="DX2710" s="4"/>
      <c r="DY2710" s="4"/>
      <c r="DZ2710" s="4"/>
      <c r="EA2710" s="4"/>
      <c r="EB2710" s="4"/>
      <c r="EC2710" s="4"/>
      <c r="ED2710" s="4"/>
      <c r="EE2710" s="4"/>
      <c r="EF2710" s="4"/>
      <c r="EG2710" s="4"/>
      <c r="EH2710" s="4"/>
      <c r="EI2710" s="4"/>
      <c r="EJ2710" s="4"/>
      <c r="EK2710" s="4"/>
      <c r="EL2710" s="4"/>
      <c r="EM2710" s="4"/>
      <c r="EN2710" s="4"/>
      <c r="EO2710" s="4"/>
      <c r="EP2710" s="4"/>
      <c r="EQ2710" s="4"/>
      <c r="ER2710" s="4"/>
      <c r="ES2710" s="4"/>
      <c r="ET2710" s="4"/>
      <c r="EU2710" s="4"/>
      <c r="EV2710" s="4"/>
      <c r="EW2710" s="4"/>
      <c r="EX2710" s="4"/>
      <c r="EY2710" s="4"/>
      <c r="EZ2710" s="4"/>
      <c r="FA2710" s="4"/>
      <c r="FB2710" s="4"/>
      <c r="FC2710" s="4"/>
      <c r="FD2710" s="4"/>
      <c r="FE2710" s="4"/>
      <c r="FF2710" s="4"/>
      <c r="FG2710" s="4"/>
      <c r="FH2710" s="4"/>
      <c r="FI2710" s="4"/>
      <c r="FJ2710" s="4"/>
      <c r="FK2710" s="4"/>
      <c r="FL2710" s="4"/>
      <c r="FM2710" s="4"/>
      <c r="FN2710" s="4"/>
      <c r="FO2710" s="4"/>
      <c r="FP2710" s="4"/>
      <c r="FQ2710" s="4"/>
      <c r="FR2710" s="4"/>
      <c r="FS2710" s="4"/>
      <c r="FT2710" s="4"/>
      <c r="FU2710" s="4"/>
      <c r="FV2710" s="4"/>
      <c r="FW2710" s="4"/>
      <c r="FX2710" s="4"/>
      <c r="FY2710" s="4"/>
      <c r="FZ2710" s="4"/>
      <c r="GA2710" s="4"/>
      <c r="GB2710" s="4"/>
      <c r="GC2710" s="4"/>
      <c r="GD2710" s="4"/>
      <c r="GE2710" s="4"/>
      <c r="GF2710" s="4"/>
      <c r="GG2710" s="4"/>
      <c r="GH2710" s="4"/>
      <c r="GI2710" s="4"/>
      <c r="GJ2710" s="4"/>
      <c r="GK2710" s="4"/>
      <c r="GL2710" s="4"/>
      <c r="GM2710" s="4"/>
      <c r="GN2710" s="4"/>
      <c r="GO2710" s="4"/>
      <c r="GP2710" s="4"/>
      <c r="GQ2710" s="4"/>
      <c r="GR2710" s="4"/>
      <c r="GS2710" s="4"/>
      <c r="GT2710" s="4"/>
      <c r="GU2710" s="4"/>
      <c r="GV2710" s="4"/>
      <c r="GW2710" s="4"/>
      <c r="GX2710" s="4"/>
      <c r="GY2710" s="4"/>
      <c r="GZ2710" s="4"/>
      <c r="HA2710" s="4"/>
      <c r="HB2710" s="4"/>
      <c r="HC2710" s="4"/>
      <c r="HD2710" s="4"/>
      <c r="HE2710" s="4"/>
      <c r="HF2710" s="4"/>
      <c r="HG2710" s="4"/>
      <c r="HH2710" s="4"/>
      <c r="HI2710" s="4"/>
      <c r="HJ2710" s="4"/>
      <c r="HK2710" s="4"/>
      <c r="HL2710" s="4"/>
    </row>
    <row r="2711">
      <c r="A2711" s="2" t="s">
        <v>11565</v>
      </c>
      <c r="B2711" s="2" t="s">
        <v>992</v>
      </c>
      <c r="C2711" s="2" t="s">
        <v>288</v>
      </c>
      <c r="D2711" s="2" t="s">
        <v>993</v>
      </c>
      <c r="E2711" s="2" t="s">
        <v>2042</v>
      </c>
      <c r="F2711" s="2" t="s">
        <v>11539</v>
      </c>
      <c r="G2711" s="2" t="s">
        <v>11540</v>
      </c>
      <c r="H2711" s="2" t="s">
        <v>11541</v>
      </c>
      <c r="I2711" s="2" t="s">
        <v>11542</v>
      </c>
      <c r="J2711" s="2" t="s">
        <v>1586</v>
      </c>
      <c r="K2711" s="2" t="s">
        <v>253</v>
      </c>
      <c r="L2711" s="3">
        <v>13.2</v>
      </c>
      <c r="M2711" s="3">
        <v>13.86</v>
      </c>
      <c r="N2711" s="3">
        <v>32.99</v>
      </c>
      <c r="O2711" s="2" t="s">
        <v>243</v>
      </c>
      <c r="P2711" s="2" t="s">
        <v>341</v>
      </c>
      <c r="Q2711" s="2" t="s">
        <v>237</v>
      </c>
      <c r="R2711" s="2" t="s">
        <v>231</v>
      </c>
      <c r="S2711" s="2" t="s">
        <v>11559</v>
      </c>
      <c r="T2711" s="2" t="s">
        <v>231</v>
      </c>
      <c r="U2711" s="2" t="s">
        <v>327</v>
      </c>
      <c r="V2711" s="2" t="s">
        <v>1192</v>
      </c>
      <c r="W2711" s="2" t="s">
        <v>792</v>
      </c>
      <c r="X2711" s="2" t="s">
        <v>691</v>
      </c>
      <c r="Y2711" s="2" t="s">
        <v>1318</v>
      </c>
      <c r="Z2711" s="4">
        <v>64</v>
      </c>
      <c r="AA2711" s="4">
        <f>=ROUNDDOWN(58.1818181818182,0)</f>
      </c>
      <c r="AB2711" s="5">
        <v>1.1</v>
      </c>
      <c r="AC2711" s="2" t="s">
        <v>231</v>
      </c>
      <c r="AD2711" s="4"/>
      <c r="AE2711" s="4"/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231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231</v>
      </c>
      <c r="AW2711" s="8" t="s">
        <v>231</v>
      </c>
      <c r="AX2711" s="4" t="s">
        <v>231</v>
      </c>
      <c r="AY2711" s="8" t="s">
        <v>231</v>
      </c>
      <c r="AZ2711" s="7" t="s">
        <v>231</v>
      </c>
      <c r="BA2711" s="7" t="s">
        <v>231</v>
      </c>
      <c r="BB2711" s="7" t="s">
        <v>231</v>
      </c>
      <c r="BC2711" s="4" t="s">
        <v>231</v>
      </c>
      <c r="BD2711" s="8" t="s">
        <v>231</v>
      </c>
      <c r="BE2711" s="4" t="s">
        <v>231</v>
      </c>
      <c r="BF2711" s="8" t="s">
        <v>231</v>
      </c>
      <c r="BG2711" s="7" t="s">
        <v>231</v>
      </c>
      <c r="BH2711" s="7" t="s">
        <v>231</v>
      </c>
      <c r="BI2711" s="7"/>
      <c r="BJ2711" s="4">
        <v>5</v>
      </c>
      <c r="BK2711" s="8">
        <v>41.75</v>
      </c>
      <c r="BL2711" s="2" t="s">
        <v>11566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11567</v>
      </c>
      <c r="BV2711" s="2" t="s">
        <v>231</v>
      </c>
      <c r="BW2711" s="2" t="s">
        <v>231</v>
      </c>
      <c r="BX2711" s="2" t="s">
        <v>231</v>
      </c>
      <c r="BY2711" s="2" t="s">
        <v>277</v>
      </c>
      <c r="BZ2711" s="2" t="s">
        <v>243</v>
      </c>
      <c r="CA2711" s="2" t="s">
        <v>1604</v>
      </c>
      <c r="CB2711" s="2" t="s">
        <v>11568</v>
      </c>
      <c r="CC2711" s="2" t="s">
        <v>244</v>
      </c>
      <c r="CD2711" s="2" t="s">
        <v>231</v>
      </c>
      <c r="CE2711" s="4">
        <v>64</v>
      </c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4"/>
      <c r="CX2711" s="4"/>
      <c r="CY2711" s="4"/>
      <c r="CZ2711" s="4"/>
      <c r="DA2711" s="4"/>
      <c r="DB2711" s="4"/>
      <c r="DC2711" s="4"/>
      <c r="DD2711" s="4"/>
      <c r="DE2711" s="4"/>
      <c r="DF2711" s="4"/>
      <c r="DG2711" s="4"/>
      <c r="DH2711" s="4"/>
      <c r="DI2711" s="4"/>
      <c r="DJ2711" s="4"/>
      <c r="DK2711" s="4"/>
      <c r="DL2711" s="4"/>
      <c r="DM2711" s="4"/>
      <c r="DN2711" s="4"/>
      <c r="DO2711" s="4"/>
      <c r="DP2711" s="4"/>
      <c r="DQ2711" s="4"/>
      <c r="DR2711" s="4"/>
      <c r="DS2711" s="4"/>
      <c r="DT2711" s="4"/>
      <c r="DU2711" s="4"/>
      <c r="DV2711" s="4"/>
      <c r="DW2711" s="4"/>
      <c r="DX2711" s="4"/>
      <c r="DY2711" s="4"/>
      <c r="DZ2711" s="4"/>
      <c r="EA2711" s="4"/>
      <c r="EB2711" s="4"/>
      <c r="EC2711" s="4"/>
      <c r="ED2711" s="4"/>
      <c r="EE2711" s="4"/>
      <c r="EF2711" s="4"/>
      <c r="EG2711" s="4"/>
      <c r="EH2711" s="4"/>
      <c r="EI2711" s="4"/>
      <c r="EJ2711" s="4"/>
      <c r="EK2711" s="4"/>
      <c r="EL2711" s="4"/>
      <c r="EM2711" s="4"/>
      <c r="EN2711" s="4"/>
      <c r="EO2711" s="4"/>
      <c r="EP2711" s="4"/>
      <c r="EQ2711" s="4"/>
      <c r="ER2711" s="4"/>
      <c r="ES2711" s="4"/>
      <c r="ET2711" s="4"/>
      <c r="EU2711" s="4"/>
      <c r="EV2711" s="4"/>
      <c r="EW2711" s="4"/>
      <c r="EX2711" s="4"/>
      <c r="EY2711" s="4"/>
      <c r="EZ2711" s="4"/>
      <c r="FA2711" s="4"/>
      <c r="FB2711" s="4"/>
      <c r="FC2711" s="4"/>
      <c r="FD2711" s="4"/>
      <c r="FE2711" s="4"/>
      <c r="FF2711" s="4"/>
      <c r="FG2711" s="4"/>
      <c r="FH2711" s="4"/>
      <c r="FI2711" s="4"/>
      <c r="FJ2711" s="4"/>
      <c r="FK2711" s="4"/>
      <c r="FL2711" s="4"/>
      <c r="FM2711" s="4"/>
      <c r="FN2711" s="4"/>
      <c r="FO2711" s="4"/>
      <c r="FP2711" s="4"/>
      <c r="FQ2711" s="4"/>
      <c r="FR2711" s="4"/>
      <c r="FS2711" s="4"/>
      <c r="FT2711" s="4"/>
      <c r="FU2711" s="4"/>
      <c r="FV2711" s="4"/>
      <c r="FW2711" s="4"/>
      <c r="FX2711" s="4"/>
      <c r="FY2711" s="4"/>
      <c r="FZ2711" s="4"/>
      <c r="GA2711" s="4"/>
      <c r="GB2711" s="4"/>
      <c r="GC2711" s="4"/>
      <c r="GD2711" s="4"/>
      <c r="GE2711" s="4"/>
      <c r="GF2711" s="4"/>
      <c r="GG2711" s="4"/>
      <c r="GH2711" s="4"/>
      <c r="GI2711" s="4"/>
      <c r="GJ2711" s="4"/>
      <c r="GK2711" s="4"/>
      <c r="GL2711" s="4"/>
      <c r="GM2711" s="4"/>
      <c r="GN2711" s="4"/>
      <c r="GO2711" s="4"/>
      <c r="GP2711" s="4"/>
      <c r="GQ2711" s="4"/>
      <c r="GR2711" s="4"/>
      <c r="GS2711" s="4"/>
      <c r="GT2711" s="4"/>
      <c r="GU2711" s="4"/>
      <c r="GV2711" s="4"/>
      <c r="GW2711" s="4"/>
      <c r="GX2711" s="4"/>
      <c r="GY2711" s="4"/>
      <c r="GZ2711" s="4"/>
      <c r="HA2711" s="4"/>
      <c r="HB2711" s="4"/>
      <c r="HC2711" s="4"/>
      <c r="HD2711" s="4"/>
      <c r="HE2711" s="4"/>
      <c r="HF2711" s="4"/>
      <c r="HG2711" s="4"/>
      <c r="HH2711" s="4"/>
      <c r="HI2711" s="4"/>
      <c r="HJ2711" s="4"/>
      <c r="HK2711" s="4"/>
      <c r="HL2711" s="4"/>
    </row>
    <row r="2712">
      <c r="A2712" s="2" t="s">
        <v>11569</v>
      </c>
      <c r="B2712" s="2" t="s">
        <v>992</v>
      </c>
      <c r="C2712" s="2" t="s">
        <v>288</v>
      </c>
      <c r="D2712" s="2" t="s">
        <v>993</v>
      </c>
      <c r="E2712" s="2" t="s">
        <v>2042</v>
      </c>
      <c r="F2712" s="2" t="s">
        <v>11539</v>
      </c>
      <c r="G2712" s="2" t="s">
        <v>11540</v>
      </c>
      <c r="H2712" s="2" t="s">
        <v>11541</v>
      </c>
      <c r="I2712" s="2" t="s">
        <v>11547</v>
      </c>
      <c r="J2712" s="2" t="s">
        <v>996</v>
      </c>
      <c r="K2712" s="2" t="s">
        <v>255</v>
      </c>
      <c r="L2712" s="3">
        <v>13.5</v>
      </c>
      <c r="M2712" s="3">
        <v>14.18</v>
      </c>
      <c r="N2712" s="3">
        <v>29.99</v>
      </c>
      <c r="O2712" s="2" t="s">
        <v>243</v>
      </c>
      <c r="P2712" s="2" t="s">
        <v>341</v>
      </c>
      <c r="Q2712" s="2" t="s">
        <v>237</v>
      </c>
      <c r="R2712" s="2" t="s">
        <v>231</v>
      </c>
      <c r="S2712" s="2" t="s">
        <v>11570</v>
      </c>
      <c r="T2712" s="2" t="s">
        <v>231</v>
      </c>
      <c r="U2712" s="2" t="s">
        <v>327</v>
      </c>
      <c r="V2712" s="2" t="s">
        <v>1192</v>
      </c>
      <c r="W2712" s="2" t="s">
        <v>792</v>
      </c>
      <c r="X2712" s="2" t="s">
        <v>691</v>
      </c>
      <c r="Y2712" s="2" t="s">
        <v>1318</v>
      </c>
      <c r="Z2712" s="4">
        <v>131</v>
      </c>
      <c r="AA2712" s="4">
        <f>=ROUNDDOWN(26.2,0)</f>
      </c>
      <c r="AB2712" s="5">
        <v>5</v>
      </c>
      <c r="AC2712" s="2" t="s">
        <v>231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231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231</v>
      </c>
      <c r="AW2712" s="8" t="s">
        <v>231</v>
      </c>
      <c r="AX2712" s="4" t="s">
        <v>231</v>
      </c>
      <c r="AY2712" s="8" t="s">
        <v>231</v>
      </c>
      <c r="AZ2712" s="7" t="s">
        <v>231</v>
      </c>
      <c r="BA2712" s="7" t="s">
        <v>231</v>
      </c>
      <c r="BB2712" s="7"/>
      <c r="BC2712" s="4" t="s">
        <v>231</v>
      </c>
      <c r="BD2712" s="8" t="s">
        <v>231</v>
      </c>
      <c r="BE2712" s="4" t="s">
        <v>231</v>
      </c>
      <c r="BF2712" s="8" t="s">
        <v>231</v>
      </c>
      <c r="BG2712" s="7" t="s">
        <v>231</v>
      </c>
      <c r="BH2712" s="7" t="s">
        <v>231</v>
      </c>
      <c r="BI2712" s="7"/>
      <c r="BJ2712" s="4">
        <v>10</v>
      </c>
      <c r="BK2712" s="8">
        <v>150.84</v>
      </c>
      <c r="BL2712" s="2" t="s">
        <v>8418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11571</v>
      </c>
      <c r="BV2712" s="2" t="s">
        <v>231</v>
      </c>
      <c r="BW2712" s="2" t="s">
        <v>231</v>
      </c>
      <c r="BX2712" s="2" t="s">
        <v>231</v>
      </c>
      <c r="BY2712" s="2" t="s">
        <v>277</v>
      </c>
      <c r="BZ2712" s="2" t="s">
        <v>243</v>
      </c>
      <c r="CA2712" s="2" t="s">
        <v>1604</v>
      </c>
      <c r="CB2712" s="2" t="s">
        <v>11572</v>
      </c>
      <c r="CC2712" s="2" t="s">
        <v>244</v>
      </c>
      <c r="CD2712" s="2" t="s">
        <v>231</v>
      </c>
      <c r="CE2712" s="4">
        <v>131</v>
      </c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4"/>
      <c r="CX2712" s="4"/>
      <c r="CY2712" s="4"/>
      <c r="CZ2712" s="4"/>
      <c r="DA2712" s="4"/>
      <c r="DB2712" s="4"/>
      <c r="DC2712" s="4"/>
      <c r="DD2712" s="4"/>
      <c r="DE2712" s="4"/>
      <c r="DF2712" s="4"/>
      <c r="DG2712" s="4"/>
      <c r="DH2712" s="4"/>
      <c r="DI2712" s="4"/>
      <c r="DJ2712" s="4"/>
      <c r="DK2712" s="4"/>
      <c r="DL2712" s="4"/>
      <c r="DM2712" s="4"/>
      <c r="DN2712" s="4"/>
      <c r="DO2712" s="4"/>
      <c r="DP2712" s="4"/>
      <c r="DQ2712" s="4"/>
      <c r="DR2712" s="4"/>
      <c r="DS2712" s="4"/>
      <c r="DT2712" s="4"/>
      <c r="DU2712" s="4"/>
      <c r="DV2712" s="4"/>
      <c r="DW2712" s="4"/>
      <c r="DX2712" s="4"/>
      <c r="DY2712" s="4"/>
      <c r="DZ2712" s="4"/>
      <c r="EA2712" s="4"/>
      <c r="EB2712" s="4"/>
      <c r="EC2712" s="4"/>
      <c r="ED2712" s="4"/>
      <c r="EE2712" s="4"/>
      <c r="EF2712" s="4"/>
      <c r="EG2712" s="4"/>
      <c r="EH2712" s="4"/>
      <c r="EI2712" s="4"/>
      <c r="EJ2712" s="4"/>
      <c r="EK2712" s="4"/>
      <c r="EL2712" s="4"/>
      <c r="EM2712" s="4"/>
      <c r="EN2712" s="4"/>
      <c r="EO2712" s="4"/>
      <c r="EP2712" s="4"/>
      <c r="EQ2712" s="4"/>
      <c r="ER2712" s="4"/>
      <c r="ES2712" s="4"/>
      <c r="ET2712" s="4"/>
      <c r="EU2712" s="4"/>
      <c r="EV2712" s="4"/>
      <c r="EW2712" s="4"/>
      <c r="EX2712" s="4"/>
      <c r="EY2712" s="4"/>
      <c r="EZ2712" s="4"/>
      <c r="FA2712" s="4"/>
      <c r="FB2712" s="4"/>
      <c r="FC2712" s="4"/>
      <c r="FD2712" s="4"/>
      <c r="FE2712" s="4"/>
      <c r="FF2712" s="4"/>
      <c r="FG2712" s="4"/>
      <c r="FH2712" s="4"/>
      <c r="FI2712" s="4"/>
      <c r="FJ2712" s="4"/>
      <c r="FK2712" s="4"/>
      <c r="FL2712" s="4"/>
      <c r="FM2712" s="4"/>
      <c r="FN2712" s="4"/>
      <c r="FO2712" s="4"/>
      <c r="FP2712" s="4"/>
      <c r="FQ2712" s="4"/>
      <c r="FR2712" s="4"/>
      <c r="FS2712" s="4"/>
      <c r="FT2712" s="4"/>
      <c r="FU2712" s="4"/>
      <c r="FV2712" s="4"/>
      <c r="FW2712" s="4"/>
      <c r="FX2712" s="4"/>
      <c r="FY2712" s="4"/>
      <c r="FZ2712" s="4"/>
      <c r="GA2712" s="4"/>
      <c r="GB2712" s="4"/>
      <c r="GC2712" s="4"/>
      <c r="GD2712" s="4"/>
      <c r="GE2712" s="4"/>
      <c r="GF2712" s="4"/>
      <c r="GG2712" s="4"/>
      <c r="GH2712" s="4"/>
      <c r="GI2712" s="4"/>
      <c r="GJ2712" s="4"/>
      <c r="GK2712" s="4"/>
      <c r="GL2712" s="4"/>
      <c r="GM2712" s="4"/>
      <c r="GN2712" s="4"/>
      <c r="GO2712" s="4"/>
      <c r="GP2712" s="4"/>
      <c r="GQ2712" s="4"/>
      <c r="GR2712" s="4"/>
      <c r="GS2712" s="4"/>
      <c r="GT2712" s="4"/>
      <c r="GU2712" s="4"/>
      <c r="GV2712" s="4"/>
      <c r="GW2712" s="4"/>
      <c r="GX2712" s="4"/>
      <c r="GY2712" s="4"/>
      <c r="GZ2712" s="4"/>
      <c r="HA2712" s="4"/>
      <c r="HB2712" s="4"/>
      <c r="HC2712" s="4"/>
      <c r="HD2712" s="4"/>
      <c r="HE2712" s="4"/>
      <c r="HF2712" s="4"/>
      <c r="HG2712" s="4"/>
      <c r="HH2712" s="4"/>
      <c r="HI2712" s="4"/>
      <c r="HJ2712" s="4"/>
      <c r="HK2712" s="4"/>
      <c r="HL2712" s="4"/>
    </row>
    <row r="2713">
      <c r="A2713" s="2" t="s">
        <v>11573</v>
      </c>
      <c r="B2713" s="2" t="s">
        <v>992</v>
      </c>
      <c r="C2713" s="2" t="s">
        <v>288</v>
      </c>
      <c r="D2713" s="2" t="s">
        <v>993</v>
      </c>
      <c r="E2713" s="2" t="s">
        <v>2042</v>
      </c>
      <c r="F2713" s="2" t="s">
        <v>11539</v>
      </c>
      <c r="G2713" s="2" t="s">
        <v>11540</v>
      </c>
      <c r="H2713" s="2" t="s">
        <v>11541</v>
      </c>
      <c r="I2713" s="2" t="s">
        <v>11542</v>
      </c>
      <c r="J2713" s="2" t="s">
        <v>1586</v>
      </c>
      <c r="K2713" s="2" t="s">
        <v>255</v>
      </c>
      <c r="L2713" s="3">
        <v>13.2</v>
      </c>
      <c r="M2713" s="3">
        <v>13.86</v>
      </c>
      <c r="N2713" s="3">
        <v>32.99</v>
      </c>
      <c r="O2713" s="2" t="s">
        <v>243</v>
      </c>
      <c r="P2713" s="2" t="s">
        <v>341</v>
      </c>
      <c r="Q2713" s="2" t="s">
        <v>237</v>
      </c>
      <c r="R2713" s="2" t="s">
        <v>231</v>
      </c>
      <c r="S2713" s="2" t="s">
        <v>11570</v>
      </c>
      <c r="T2713" s="2" t="s">
        <v>231</v>
      </c>
      <c r="U2713" s="2" t="s">
        <v>327</v>
      </c>
      <c r="V2713" s="2" t="s">
        <v>1192</v>
      </c>
      <c r="W2713" s="2" t="s">
        <v>792</v>
      </c>
      <c r="X2713" s="2" t="s">
        <v>691</v>
      </c>
      <c r="Y2713" s="2" t="s">
        <v>1318</v>
      </c>
      <c r="Z2713" s="4">
        <v>274</v>
      </c>
      <c r="AA2713" s="4">
        <f>=ROUNDDOWN(182.666666666667,0)</f>
      </c>
      <c r="AB2713" s="5">
        <v>1.5</v>
      </c>
      <c r="AC2713" s="2" t="s">
        <v>231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231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231</v>
      </c>
      <c r="AW2713" s="8" t="s">
        <v>231</v>
      </c>
      <c r="AX2713" s="4" t="s">
        <v>231</v>
      </c>
      <c r="AY2713" s="8" t="s">
        <v>231</v>
      </c>
      <c r="AZ2713" s="7" t="s">
        <v>231</v>
      </c>
      <c r="BA2713" s="7" t="s">
        <v>231</v>
      </c>
      <c r="BB2713" s="7"/>
      <c r="BC2713" s="4" t="s">
        <v>231</v>
      </c>
      <c r="BD2713" s="8" t="s">
        <v>231</v>
      </c>
      <c r="BE2713" s="4" t="s">
        <v>231</v>
      </c>
      <c r="BF2713" s="8" t="s">
        <v>231</v>
      </c>
      <c r="BG2713" s="7" t="s">
        <v>231</v>
      </c>
      <c r="BH2713" s="7" t="s">
        <v>231</v>
      </c>
      <c r="BI2713" s="7"/>
      <c r="BJ2713" s="4">
        <v>7</v>
      </c>
      <c r="BK2713" s="8">
        <v>47.74</v>
      </c>
      <c r="BL2713" s="2" t="s">
        <v>628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11574</v>
      </c>
      <c r="BV2713" s="2" t="s">
        <v>231</v>
      </c>
      <c r="BW2713" s="2" t="s">
        <v>231</v>
      </c>
      <c r="BX2713" s="2" t="s">
        <v>231</v>
      </c>
      <c r="BY2713" s="2" t="s">
        <v>277</v>
      </c>
      <c r="BZ2713" s="2" t="s">
        <v>243</v>
      </c>
      <c r="CA2713" s="2" t="s">
        <v>1604</v>
      </c>
      <c r="CB2713" s="2" t="s">
        <v>11326</v>
      </c>
      <c r="CC2713" s="2" t="s">
        <v>244</v>
      </c>
      <c r="CD2713" s="2" t="s">
        <v>231</v>
      </c>
      <c r="CE2713" s="4">
        <v>274</v>
      </c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  <c r="DP2713" s="4"/>
      <c r="DQ2713" s="4"/>
      <c r="DR2713" s="4"/>
      <c r="DS2713" s="4"/>
      <c r="DT2713" s="4"/>
      <c r="DU2713" s="4"/>
      <c r="DV2713" s="4"/>
      <c r="DW2713" s="4"/>
      <c r="DX2713" s="4"/>
      <c r="DY2713" s="4"/>
      <c r="DZ2713" s="4"/>
      <c r="EA2713" s="4"/>
      <c r="EB2713" s="4"/>
      <c r="EC2713" s="4"/>
      <c r="ED2713" s="4"/>
      <c r="EE2713" s="4"/>
      <c r="EF2713" s="4"/>
      <c r="EG2713" s="4"/>
      <c r="EH2713" s="4"/>
      <c r="EI2713" s="4"/>
      <c r="EJ2713" s="4"/>
      <c r="EK2713" s="4"/>
      <c r="EL2713" s="4"/>
      <c r="EM2713" s="4"/>
      <c r="EN2713" s="4"/>
      <c r="EO2713" s="4"/>
      <c r="EP2713" s="4"/>
      <c r="EQ2713" s="4"/>
      <c r="ER2713" s="4"/>
      <c r="ES2713" s="4"/>
      <c r="ET2713" s="4"/>
      <c r="EU2713" s="4"/>
      <c r="EV2713" s="4"/>
      <c r="EW2713" s="4"/>
      <c r="EX2713" s="4"/>
      <c r="EY2713" s="4"/>
      <c r="EZ2713" s="4"/>
      <c r="FA2713" s="4"/>
      <c r="FB2713" s="4"/>
      <c r="FC2713" s="4"/>
      <c r="FD2713" s="4"/>
      <c r="FE2713" s="4"/>
      <c r="FF2713" s="4"/>
      <c r="FG2713" s="4"/>
      <c r="FH2713" s="4"/>
      <c r="FI2713" s="4"/>
      <c r="FJ2713" s="4"/>
      <c r="FK2713" s="4"/>
      <c r="FL2713" s="4"/>
      <c r="FM2713" s="4"/>
      <c r="FN2713" s="4"/>
      <c r="FO2713" s="4"/>
      <c r="FP2713" s="4"/>
      <c r="FQ2713" s="4"/>
      <c r="FR2713" s="4"/>
      <c r="FS2713" s="4"/>
      <c r="FT2713" s="4"/>
      <c r="FU2713" s="4"/>
      <c r="FV2713" s="4"/>
      <c r="FW2713" s="4"/>
      <c r="FX2713" s="4"/>
      <c r="FY2713" s="4"/>
      <c r="FZ2713" s="4"/>
      <c r="GA2713" s="4"/>
      <c r="GB2713" s="4"/>
      <c r="GC2713" s="4"/>
      <c r="GD2713" s="4"/>
      <c r="GE2713" s="4"/>
      <c r="GF2713" s="4"/>
      <c r="GG2713" s="4"/>
      <c r="GH2713" s="4"/>
      <c r="GI2713" s="4"/>
      <c r="GJ2713" s="4"/>
      <c r="GK2713" s="4"/>
      <c r="GL2713" s="4"/>
      <c r="GM2713" s="4"/>
      <c r="GN2713" s="4"/>
      <c r="GO2713" s="4"/>
      <c r="GP2713" s="4"/>
      <c r="GQ2713" s="4"/>
      <c r="GR2713" s="4"/>
      <c r="GS2713" s="4"/>
      <c r="GT2713" s="4"/>
      <c r="GU2713" s="4"/>
      <c r="GV2713" s="4"/>
      <c r="GW2713" s="4"/>
      <c r="GX2713" s="4"/>
      <c r="GY2713" s="4"/>
      <c r="GZ2713" s="4"/>
      <c r="HA2713" s="4"/>
      <c r="HB2713" s="4"/>
      <c r="HC2713" s="4"/>
      <c r="HD2713" s="4"/>
      <c r="HE2713" s="4"/>
      <c r="HF2713" s="4"/>
      <c r="HG2713" s="4"/>
      <c r="HH2713" s="4"/>
      <c r="HI2713" s="4"/>
      <c r="HJ2713" s="4"/>
      <c r="HK2713" s="4"/>
      <c r="HL2713" s="4"/>
    </row>
    <row r="2714">
      <c r="A2714" s="2" t="s">
        <v>11575</v>
      </c>
      <c r="B2714" s="2" t="s">
        <v>992</v>
      </c>
      <c r="C2714" s="2" t="s">
        <v>288</v>
      </c>
      <c r="D2714" s="2" t="s">
        <v>993</v>
      </c>
      <c r="E2714" s="2" t="s">
        <v>2042</v>
      </c>
      <c r="F2714" s="2" t="s">
        <v>11539</v>
      </c>
      <c r="G2714" s="2" t="s">
        <v>11540</v>
      </c>
      <c r="H2714" s="2" t="s">
        <v>11541</v>
      </c>
      <c r="I2714" s="2" t="s">
        <v>11547</v>
      </c>
      <c r="J2714" s="2" t="s">
        <v>996</v>
      </c>
      <c r="K2714" s="2" t="s">
        <v>319</v>
      </c>
      <c r="L2714" s="3">
        <v>13.5</v>
      </c>
      <c r="M2714" s="3">
        <v>14.18</v>
      </c>
      <c r="N2714" s="3">
        <v>29.99</v>
      </c>
      <c r="O2714" s="2" t="s">
        <v>243</v>
      </c>
      <c r="P2714" s="2" t="s">
        <v>341</v>
      </c>
      <c r="Q2714" s="2" t="s">
        <v>237</v>
      </c>
      <c r="R2714" s="2" t="s">
        <v>231</v>
      </c>
      <c r="S2714" s="2" t="s">
        <v>11576</v>
      </c>
      <c r="T2714" s="2" t="s">
        <v>231</v>
      </c>
      <c r="U2714" s="2" t="s">
        <v>327</v>
      </c>
      <c r="V2714" s="2" t="s">
        <v>1192</v>
      </c>
      <c r="W2714" s="2" t="s">
        <v>792</v>
      </c>
      <c r="X2714" s="2" t="s">
        <v>691</v>
      </c>
      <c r="Y2714" s="2" t="s">
        <v>1318</v>
      </c>
      <c r="Z2714" s="4">
        <v>123</v>
      </c>
      <c r="AA2714" s="4">
        <f>=ROUNDDOWN(20.5,0)</f>
      </c>
      <c r="AB2714" s="5">
        <v>6</v>
      </c>
      <c r="AC2714" s="2" t="s">
        <v>231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231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231</v>
      </c>
      <c r="AW2714" s="8" t="s">
        <v>231</v>
      </c>
      <c r="AX2714" s="4" t="s">
        <v>231</v>
      </c>
      <c r="AY2714" s="8" t="s">
        <v>231</v>
      </c>
      <c r="AZ2714" s="7" t="s">
        <v>231</v>
      </c>
      <c r="BA2714" s="7" t="s">
        <v>231</v>
      </c>
      <c r="BB2714" s="7" t="s">
        <v>231</v>
      </c>
      <c r="BC2714" s="4" t="s">
        <v>231</v>
      </c>
      <c r="BD2714" s="8" t="s">
        <v>231</v>
      </c>
      <c r="BE2714" s="4" t="s">
        <v>231</v>
      </c>
      <c r="BF2714" s="8" t="s">
        <v>231</v>
      </c>
      <c r="BG2714" s="7" t="s">
        <v>231</v>
      </c>
      <c r="BH2714" s="7" t="s">
        <v>231</v>
      </c>
      <c r="BI2714" s="7"/>
      <c r="BJ2714" s="4">
        <v>18</v>
      </c>
      <c r="BK2714" s="8">
        <v>183.1</v>
      </c>
      <c r="BL2714" s="2" t="s">
        <v>11577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11578</v>
      </c>
      <c r="BV2714" s="2" t="s">
        <v>231</v>
      </c>
      <c r="BW2714" s="2" t="s">
        <v>231</v>
      </c>
      <c r="BX2714" s="2" t="s">
        <v>231</v>
      </c>
      <c r="BY2714" s="2" t="s">
        <v>277</v>
      </c>
      <c r="BZ2714" s="2" t="s">
        <v>243</v>
      </c>
      <c r="CA2714" s="2" t="s">
        <v>1604</v>
      </c>
      <c r="CB2714" s="2" t="s">
        <v>680</v>
      </c>
      <c r="CC2714" s="2" t="s">
        <v>244</v>
      </c>
      <c r="CD2714" s="2" t="s">
        <v>231</v>
      </c>
      <c r="CE2714" s="4">
        <v>123</v>
      </c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4"/>
      <c r="CX2714" s="4"/>
      <c r="CY2714" s="4"/>
      <c r="CZ2714" s="4"/>
      <c r="DA2714" s="4"/>
      <c r="DB2714" s="4"/>
      <c r="DC2714" s="4"/>
      <c r="DD2714" s="4"/>
      <c r="DE2714" s="4"/>
      <c r="DF2714" s="4"/>
      <c r="DG2714" s="4"/>
      <c r="DH2714" s="4"/>
      <c r="DI2714" s="4"/>
      <c r="DJ2714" s="4"/>
      <c r="DK2714" s="4"/>
      <c r="DL2714" s="4"/>
      <c r="DM2714" s="4"/>
      <c r="DN2714" s="4"/>
      <c r="DO2714" s="4"/>
      <c r="DP2714" s="4"/>
      <c r="DQ2714" s="4"/>
      <c r="DR2714" s="4"/>
      <c r="DS2714" s="4"/>
      <c r="DT2714" s="4"/>
      <c r="DU2714" s="4"/>
      <c r="DV2714" s="4"/>
      <c r="DW2714" s="4"/>
      <c r="DX2714" s="4"/>
      <c r="DY2714" s="4"/>
      <c r="DZ2714" s="4"/>
      <c r="EA2714" s="4"/>
      <c r="EB2714" s="4"/>
      <c r="EC2714" s="4"/>
      <c r="ED2714" s="4"/>
      <c r="EE2714" s="4"/>
      <c r="EF2714" s="4"/>
      <c r="EG2714" s="4"/>
      <c r="EH2714" s="4"/>
      <c r="EI2714" s="4"/>
      <c r="EJ2714" s="4"/>
      <c r="EK2714" s="4"/>
      <c r="EL2714" s="4"/>
      <c r="EM2714" s="4"/>
      <c r="EN2714" s="4"/>
      <c r="EO2714" s="4"/>
      <c r="EP2714" s="4"/>
      <c r="EQ2714" s="4"/>
      <c r="ER2714" s="4"/>
      <c r="ES2714" s="4"/>
      <c r="ET2714" s="4"/>
      <c r="EU2714" s="4"/>
      <c r="EV2714" s="4"/>
      <c r="EW2714" s="4"/>
      <c r="EX2714" s="4"/>
      <c r="EY2714" s="4"/>
      <c r="EZ2714" s="4"/>
      <c r="FA2714" s="4"/>
      <c r="FB2714" s="4"/>
      <c r="FC2714" s="4"/>
      <c r="FD2714" s="4"/>
      <c r="FE2714" s="4"/>
      <c r="FF2714" s="4"/>
      <c r="FG2714" s="4"/>
      <c r="FH2714" s="4"/>
      <c r="FI2714" s="4"/>
      <c r="FJ2714" s="4"/>
      <c r="FK2714" s="4"/>
      <c r="FL2714" s="4"/>
      <c r="FM2714" s="4"/>
      <c r="FN2714" s="4"/>
      <c r="FO2714" s="4"/>
      <c r="FP2714" s="4"/>
      <c r="FQ2714" s="4"/>
      <c r="FR2714" s="4"/>
      <c r="FS2714" s="4"/>
      <c r="FT2714" s="4"/>
      <c r="FU2714" s="4"/>
      <c r="FV2714" s="4"/>
      <c r="FW2714" s="4"/>
      <c r="FX2714" s="4"/>
      <c r="FY2714" s="4"/>
      <c r="FZ2714" s="4"/>
      <c r="GA2714" s="4"/>
      <c r="GB2714" s="4"/>
      <c r="GC2714" s="4"/>
      <c r="GD2714" s="4"/>
      <c r="GE2714" s="4"/>
      <c r="GF2714" s="4"/>
      <c r="GG2714" s="4"/>
      <c r="GH2714" s="4"/>
      <c r="GI2714" s="4"/>
      <c r="GJ2714" s="4"/>
      <c r="GK2714" s="4"/>
      <c r="GL2714" s="4"/>
      <c r="GM2714" s="4"/>
      <c r="GN2714" s="4"/>
      <c r="GO2714" s="4"/>
      <c r="GP2714" s="4"/>
      <c r="GQ2714" s="4"/>
      <c r="GR2714" s="4"/>
      <c r="GS2714" s="4"/>
      <c r="GT2714" s="4"/>
      <c r="GU2714" s="4"/>
      <c r="GV2714" s="4"/>
      <c r="GW2714" s="4"/>
      <c r="GX2714" s="4"/>
      <c r="GY2714" s="4"/>
      <c r="GZ2714" s="4"/>
      <c r="HA2714" s="4"/>
      <c r="HB2714" s="4"/>
      <c r="HC2714" s="4"/>
      <c r="HD2714" s="4"/>
      <c r="HE2714" s="4"/>
      <c r="HF2714" s="4"/>
      <c r="HG2714" s="4"/>
      <c r="HH2714" s="4"/>
      <c r="HI2714" s="4"/>
      <c r="HJ2714" s="4"/>
      <c r="HK2714" s="4"/>
      <c r="HL2714" s="4"/>
    </row>
    <row r="2715">
      <c r="A2715" s="2" t="s">
        <v>11579</v>
      </c>
      <c r="B2715" s="2" t="s">
        <v>992</v>
      </c>
      <c r="C2715" s="2" t="s">
        <v>288</v>
      </c>
      <c r="D2715" s="2" t="s">
        <v>993</v>
      </c>
      <c r="E2715" s="2" t="s">
        <v>2042</v>
      </c>
      <c r="F2715" s="2" t="s">
        <v>11539</v>
      </c>
      <c r="G2715" s="2" t="s">
        <v>11540</v>
      </c>
      <c r="H2715" s="2" t="s">
        <v>11541</v>
      </c>
      <c r="I2715" s="2" t="s">
        <v>11542</v>
      </c>
      <c r="J2715" s="2" t="s">
        <v>996</v>
      </c>
      <c r="K2715" s="2" t="s">
        <v>319</v>
      </c>
      <c r="L2715" s="3">
        <v>11.34</v>
      </c>
      <c r="M2715" s="3">
        <v>11.91</v>
      </c>
      <c r="N2715" s="3">
        <v>26.99</v>
      </c>
      <c r="O2715" s="2" t="s">
        <v>243</v>
      </c>
      <c r="P2715" s="2" t="s">
        <v>341</v>
      </c>
      <c r="Q2715" s="2" t="s">
        <v>237</v>
      </c>
      <c r="R2715" s="2" t="s">
        <v>231</v>
      </c>
      <c r="S2715" s="2" t="s">
        <v>11576</v>
      </c>
      <c r="T2715" s="2" t="s">
        <v>231</v>
      </c>
      <c r="U2715" s="2" t="s">
        <v>327</v>
      </c>
      <c r="V2715" s="2" t="s">
        <v>1192</v>
      </c>
      <c r="W2715" s="2" t="s">
        <v>792</v>
      </c>
      <c r="X2715" s="2" t="s">
        <v>691</v>
      </c>
      <c r="Y2715" s="2" t="s">
        <v>1318</v>
      </c>
      <c r="Z2715" s="4">
        <v>56</v>
      </c>
      <c r="AA2715" s="4">
        <f>=ROUNDDOWN(14,0)</f>
      </c>
      <c r="AB2715" s="5">
        <v>4</v>
      </c>
      <c r="AC2715" s="2" t="s">
        <v>231</v>
      </c>
      <c r="AD2715" s="4"/>
      <c r="AE2715" s="4"/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231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231</v>
      </c>
      <c r="AW2715" s="8" t="s">
        <v>231</v>
      </c>
      <c r="AX2715" s="4" t="s">
        <v>231</v>
      </c>
      <c r="AY2715" s="8" t="s">
        <v>231</v>
      </c>
      <c r="AZ2715" s="7" t="s">
        <v>231</v>
      </c>
      <c r="BA2715" s="7" t="s">
        <v>231</v>
      </c>
      <c r="BB2715" s="7" t="s">
        <v>231</v>
      </c>
      <c r="BC2715" s="4" t="s">
        <v>231</v>
      </c>
      <c r="BD2715" s="8" t="s">
        <v>231</v>
      </c>
      <c r="BE2715" s="4" t="s">
        <v>231</v>
      </c>
      <c r="BF2715" s="8" t="s">
        <v>231</v>
      </c>
      <c r="BG2715" s="7" t="s">
        <v>231</v>
      </c>
      <c r="BH2715" s="7" t="s">
        <v>231</v>
      </c>
      <c r="BI2715" s="7"/>
      <c r="BJ2715" s="4">
        <v>4</v>
      </c>
      <c r="BK2715" s="8">
        <v>41.07</v>
      </c>
      <c r="BL2715" s="2" t="s">
        <v>11580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11581</v>
      </c>
      <c r="BV2715" s="2" t="s">
        <v>231</v>
      </c>
      <c r="BW2715" s="2" t="s">
        <v>231</v>
      </c>
      <c r="BX2715" s="2" t="s">
        <v>231</v>
      </c>
      <c r="BY2715" s="2" t="s">
        <v>277</v>
      </c>
      <c r="BZ2715" s="2" t="s">
        <v>243</v>
      </c>
      <c r="CA2715" s="2" t="s">
        <v>1604</v>
      </c>
      <c r="CB2715" s="2" t="s">
        <v>11582</v>
      </c>
      <c r="CC2715" s="2" t="s">
        <v>244</v>
      </c>
      <c r="CD2715" s="2" t="s">
        <v>231</v>
      </c>
      <c r="CE2715" s="4">
        <v>56</v>
      </c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4"/>
      <c r="CX2715" s="4"/>
      <c r="CY2715" s="4"/>
      <c r="CZ2715" s="4"/>
      <c r="DA2715" s="4"/>
      <c r="DB2715" s="4"/>
      <c r="DC2715" s="4"/>
      <c r="DD2715" s="4"/>
      <c r="DE2715" s="4"/>
      <c r="DF2715" s="4"/>
      <c r="DG2715" s="4"/>
      <c r="DH2715" s="4"/>
      <c r="DI2715" s="4"/>
      <c r="DJ2715" s="4"/>
      <c r="DK2715" s="4"/>
      <c r="DL2715" s="4"/>
      <c r="DM2715" s="4"/>
      <c r="DN2715" s="4"/>
      <c r="DO2715" s="4"/>
      <c r="DP2715" s="4"/>
      <c r="DQ2715" s="4"/>
      <c r="DR2715" s="4"/>
      <c r="DS2715" s="4"/>
      <c r="DT2715" s="4"/>
      <c r="DU2715" s="4"/>
      <c r="DV2715" s="4"/>
      <c r="DW2715" s="4"/>
      <c r="DX2715" s="4"/>
      <c r="DY2715" s="4"/>
      <c r="DZ2715" s="4"/>
      <c r="EA2715" s="4"/>
      <c r="EB2715" s="4"/>
      <c r="EC2715" s="4"/>
      <c r="ED2715" s="4"/>
      <c r="EE2715" s="4"/>
      <c r="EF2715" s="4"/>
      <c r="EG2715" s="4"/>
      <c r="EH2715" s="4"/>
      <c r="EI2715" s="4"/>
      <c r="EJ2715" s="4"/>
      <c r="EK2715" s="4"/>
      <c r="EL2715" s="4"/>
      <c r="EM2715" s="4"/>
      <c r="EN2715" s="4"/>
      <c r="EO2715" s="4"/>
      <c r="EP2715" s="4"/>
      <c r="EQ2715" s="4"/>
      <c r="ER2715" s="4"/>
      <c r="ES2715" s="4"/>
      <c r="ET2715" s="4"/>
      <c r="EU2715" s="4"/>
      <c r="EV2715" s="4"/>
      <c r="EW2715" s="4"/>
      <c r="EX2715" s="4"/>
      <c r="EY2715" s="4"/>
      <c r="EZ2715" s="4"/>
      <c r="FA2715" s="4"/>
      <c r="FB2715" s="4"/>
      <c r="FC2715" s="4"/>
      <c r="FD2715" s="4"/>
      <c r="FE2715" s="4"/>
      <c r="FF2715" s="4"/>
      <c r="FG2715" s="4"/>
      <c r="FH2715" s="4"/>
      <c r="FI2715" s="4"/>
      <c r="FJ2715" s="4"/>
      <c r="FK2715" s="4"/>
      <c r="FL2715" s="4"/>
      <c r="FM2715" s="4"/>
      <c r="FN2715" s="4"/>
      <c r="FO2715" s="4"/>
      <c r="FP2715" s="4"/>
      <c r="FQ2715" s="4"/>
      <c r="FR2715" s="4"/>
      <c r="FS2715" s="4"/>
      <c r="FT2715" s="4"/>
      <c r="FU2715" s="4"/>
      <c r="FV2715" s="4"/>
      <c r="FW2715" s="4"/>
      <c r="FX2715" s="4"/>
      <c r="FY2715" s="4"/>
      <c r="FZ2715" s="4"/>
      <c r="GA2715" s="4"/>
      <c r="GB2715" s="4"/>
      <c r="GC2715" s="4"/>
      <c r="GD2715" s="4"/>
      <c r="GE2715" s="4"/>
      <c r="GF2715" s="4"/>
      <c r="GG2715" s="4"/>
      <c r="GH2715" s="4"/>
      <c r="GI2715" s="4"/>
      <c r="GJ2715" s="4"/>
      <c r="GK2715" s="4"/>
      <c r="GL2715" s="4"/>
      <c r="GM2715" s="4"/>
      <c r="GN2715" s="4"/>
      <c r="GO2715" s="4"/>
      <c r="GP2715" s="4"/>
      <c r="GQ2715" s="4"/>
      <c r="GR2715" s="4"/>
      <c r="GS2715" s="4"/>
      <c r="GT2715" s="4"/>
      <c r="GU2715" s="4"/>
      <c r="GV2715" s="4"/>
      <c r="GW2715" s="4"/>
      <c r="GX2715" s="4"/>
      <c r="GY2715" s="4"/>
      <c r="GZ2715" s="4"/>
      <c r="HA2715" s="4"/>
      <c r="HB2715" s="4"/>
      <c r="HC2715" s="4"/>
      <c r="HD2715" s="4"/>
      <c r="HE2715" s="4"/>
      <c r="HF2715" s="4"/>
      <c r="HG2715" s="4"/>
      <c r="HH2715" s="4"/>
      <c r="HI2715" s="4"/>
      <c r="HJ2715" s="4"/>
      <c r="HK2715" s="4"/>
      <c r="HL2715" s="4"/>
    </row>
    <row r="2716">
      <c r="A2716" s="2" t="s">
        <v>11583</v>
      </c>
      <c r="B2716" s="2" t="s">
        <v>992</v>
      </c>
      <c r="C2716" s="2" t="s">
        <v>288</v>
      </c>
      <c r="D2716" s="2" t="s">
        <v>993</v>
      </c>
      <c r="E2716" s="2" t="s">
        <v>2042</v>
      </c>
      <c r="F2716" s="2" t="s">
        <v>11539</v>
      </c>
      <c r="G2716" s="2" t="s">
        <v>11540</v>
      </c>
      <c r="H2716" s="2" t="s">
        <v>11541</v>
      </c>
      <c r="I2716" s="2" t="s">
        <v>11547</v>
      </c>
      <c r="J2716" s="2" t="s">
        <v>1586</v>
      </c>
      <c r="K2716" s="2" t="s">
        <v>319</v>
      </c>
      <c r="L2716" s="3">
        <v>15.75</v>
      </c>
      <c r="M2716" s="3">
        <v>16.54</v>
      </c>
      <c r="N2716" s="3">
        <v>34.99</v>
      </c>
      <c r="O2716" s="2" t="s">
        <v>250</v>
      </c>
      <c r="P2716" s="2" t="s">
        <v>341</v>
      </c>
      <c r="Q2716" s="2" t="s">
        <v>237</v>
      </c>
      <c r="R2716" s="2" t="s">
        <v>231</v>
      </c>
      <c r="S2716" s="2" t="s">
        <v>11576</v>
      </c>
      <c r="T2716" s="2" t="s">
        <v>231</v>
      </c>
      <c r="U2716" s="2" t="s">
        <v>327</v>
      </c>
      <c r="V2716" s="2" t="s">
        <v>1192</v>
      </c>
      <c r="W2716" s="2" t="s">
        <v>792</v>
      </c>
      <c r="X2716" s="2" t="s">
        <v>691</v>
      </c>
      <c r="Y2716" s="2" t="s">
        <v>1318</v>
      </c>
      <c r="Z2716" s="4">
        <v>44</v>
      </c>
      <c r="AA2716" s="4">
        <f>=ROUNDDOWN(27.5,0)</f>
      </c>
      <c r="AB2716" s="5">
        <v>1.6</v>
      </c>
      <c r="AC2716" s="2" t="s">
        <v>231</v>
      </c>
      <c r="AD2716" s="4"/>
      <c r="AE2716" s="4"/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231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231</v>
      </c>
      <c r="AW2716" s="8" t="s">
        <v>231</v>
      </c>
      <c r="AX2716" s="4" t="s">
        <v>231</v>
      </c>
      <c r="AY2716" s="8" t="s">
        <v>231</v>
      </c>
      <c r="AZ2716" s="7" t="s">
        <v>231</v>
      </c>
      <c r="BA2716" s="7" t="s">
        <v>231</v>
      </c>
      <c r="BB2716" s="7" t="s">
        <v>231</v>
      </c>
      <c r="BC2716" s="4" t="s">
        <v>231</v>
      </c>
      <c r="BD2716" s="8" t="s">
        <v>231</v>
      </c>
      <c r="BE2716" s="4" t="s">
        <v>231</v>
      </c>
      <c r="BF2716" s="8" t="s">
        <v>231</v>
      </c>
      <c r="BG2716" s="7" t="s">
        <v>231</v>
      </c>
      <c r="BH2716" s="7" t="s">
        <v>231</v>
      </c>
      <c r="BI2716" s="7"/>
      <c r="BJ2716" s="4">
        <v>6</v>
      </c>
      <c r="BK2716" s="8">
        <v>52.76</v>
      </c>
      <c r="BL2716" s="2" t="s">
        <v>2347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11584</v>
      </c>
      <c r="BV2716" s="2" t="s">
        <v>231</v>
      </c>
      <c r="BW2716" s="2" t="s">
        <v>231</v>
      </c>
      <c r="BX2716" s="2" t="s">
        <v>231</v>
      </c>
      <c r="BY2716" s="2" t="s">
        <v>277</v>
      </c>
      <c r="BZ2716" s="2" t="s">
        <v>243</v>
      </c>
      <c r="CA2716" s="2" t="s">
        <v>1604</v>
      </c>
      <c r="CB2716" s="2" t="s">
        <v>4993</v>
      </c>
      <c r="CC2716" s="2" t="s">
        <v>244</v>
      </c>
      <c r="CD2716" s="2" t="s">
        <v>231</v>
      </c>
      <c r="CE2716" s="4">
        <v>44</v>
      </c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4"/>
      <c r="CX2716" s="4"/>
      <c r="CY2716" s="4"/>
      <c r="CZ2716" s="4"/>
      <c r="DA2716" s="4"/>
      <c r="DB2716" s="4"/>
      <c r="DC2716" s="4"/>
      <c r="DD2716" s="4"/>
      <c r="DE2716" s="4"/>
      <c r="DF2716" s="4"/>
      <c r="DG2716" s="4"/>
      <c r="DH2716" s="4"/>
      <c r="DI2716" s="4"/>
      <c r="DJ2716" s="4"/>
      <c r="DK2716" s="4"/>
      <c r="DL2716" s="4"/>
      <c r="DM2716" s="4"/>
      <c r="DN2716" s="4"/>
      <c r="DO2716" s="4"/>
      <c r="DP2716" s="4"/>
      <c r="DQ2716" s="4"/>
      <c r="DR2716" s="4"/>
      <c r="DS2716" s="4"/>
      <c r="DT2716" s="4"/>
      <c r="DU2716" s="4"/>
      <c r="DV2716" s="4"/>
      <c r="DW2716" s="4"/>
      <c r="DX2716" s="4"/>
      <c r="DY2716" s="4"/>
      <c r="DZ2716" s="4"/>
      <c r="EA2716" s="4"/>
      <c r="EB2716" s="4"/>
      <c r="EC2716" s="4"/>
      <c r="ED2716" s="4"/>
      <c r="EE2716" s="4"/>
      <c r="EF2716" s="4"/>
      <c r="EG2716" s="4"/>
      <c r="EH2716" s="4"/>
      <c r="EI2716" s="4"/>
      <c r="EJ2716" s="4"/>
      <c r="EK2716" s="4"/>
      <c r="EL2716" s="4"/>
      <c r="EM2716" s="4"/>
      <c r="EN2716" s="4"/>
      <c r="EO2716" s="4"/>
      <c r="EP2716" s="4"/>
      <c r="EQ2716" s="4"/>
      <c r="ER2716" s="4"/>
      <c r="ES2716" s="4"/>
      <c r="ET2716" s="4"/>
      <c r="EU2716" s="4"/>
      <c r="EV2716" s="4"/>
      <c r="EW2716" s="4"/>
      <c r="EX2716" s="4"/>
      <c r="EY2716" s="4"/>
      <c r="EZ2716" s="4"/>
      <c r="FA2716" s="4"/>
      <c r="FB2716" s="4"/>
      <c r="FC2716" s="4"/>
      <c r="FD2716" s="4"/>
      <c r="FE2716" s="4"/>
      <c r="FF2716" s="4"/>
      <c r="FG2716" s="4"/>
      <c r="FH2716" s="4"/>
      <c r="FI2716" s="4"/>
      <c r="FJ2716" s="4"/>
      <c r="FK2716" s="4"/>
      <c r="FL2716" s="4"/>
      <c r="FM2716" s="4"/>
      <c r="FN2716" s="4"/>
      <c r="FO2716" s="4"/>
      <c r="FP2716" s="4"/>
      <c r="FQ2716" s="4"/>
      <c r="FR2716" s="4"/>
      <c r="FS2716" s="4"/>
      <c r="FT2716" s="4"/>
      <c r="FU2716" s="4"/>
      <c r="FV2716" s="4"/>
      <c r="FW2716" s="4"/>
      <c r="FX2716" s="4"/>
      <c r="FY2716" s="4"/>
      <c r="FZ2716" s="4"/>
      <c r="GA2716" s="4"/>
      <c r="GB2716" s="4"/>
      <c r="GC2716" s="4"/>
      <c r="GD2716" s="4"/>
      <c r="GE2716" s="4"/>
      <c r="GF2716" s="4"/>
      <c r="GG2716" s="4"/>
      <c r="GH2716" s="4"/>
      <c r="GI2716" s="4"/>
      <c r="GJ2716" s="4"/>
      <c r="GK2716" s="4"/>
      <c r="GL2716" s="4"/>
      <c r="GM2716" s="4"/>
      <c r="GN2716" s="4"/>
      <c r="GO2716" s="4"/>
      <c r="GP2716" s="4"/>
      <c r="GQ2716" s="4"/>
      <c r="GR2716" s="4"/>
      <c r="GS2716" s="4"/>
      <c r="GT2716" s="4"/>
      <c r="GU2716" s="4"/>
      <c r="GV2716" s="4"/>
      <c r="GW2716" s="4"/>
      <c r="GX2716" s="4"/>
      <c r="GY2716" s="4"/>
      <c r="GZ2716" s="4"/>
      <c r="HA2716" s="4"/>
      <c r="HB2716" s="4"/>
      <c r="HC2716" s="4"/>
      <c r="HD2716" s="4"/>
      <c r="HE2716" s="4"/>
      <c r="HF2716" s="4"/>
      <c r="HG2716" s="4"/>
      <c r="HH2716" s="4"/>
      <c r="HI2716" s="4"/>
      <c r="HJ2716" s="4"/>
      <c r="HK2716" s="4"/>
      <c r="HL2716" s="4"/>
    </row>
    <row r="2717">
      <c r="A2717" s="2" t="s">
        <v>11585</v>
      </c>
      <c r="B2717" s="2" t="s">
        <v>992</v>
      </c>
      <c r="C2717" s="2" t="s">
        <v>288</v>
      </c>
      <c r="D2717" s="2" t="s">
        <v>993</v>
      </c>
      <c r="E2717" s="2" t="s">
        <v>2042</v>
      </c>
      <c r="F2717" s="2" t="s">
        <v>11539</v>
      </c>
      <c r="G2717" s="2" t="s">
        <v>11540</v>
      </c>
      <c r="H2717" s="2" t="s">
        <v>11541</v>
      </c>
      <c r="I2717" s="2" t="s">
        <v>11542</v>
      </c>
      <c r="J2717" s="2" t="s">
        <v>1586</v>
      </c>
      <c r="K2717" s="2" t="s">
        <v>319</v>
      </c>
      <c r="L2717" s="3">
        <v>13.2</v>
      </c>
      <c r="M2717" s="3">
        <v>13.86</v>
      </c>
      <c r="N2717" s="3">
        <v>32.99</v>
      </c>
      <c r="O2717" s="2" t="s">
        <v>243</v>
      </c>
      <c r="P2717" s="2" t="s">
        <v>341</v>
      </c>
      <c r="Q2717" s="2" t="s">
        <v>237</v>
      </c>
      <c r="R2717" s="2" t="s">
        <v>231</v>
      </c>
      <c r="S2717" s="2" t="s">
        <v>11576</v>
      </c>
      <c r="T2717" s="2" t="s">
        <v>231</v>
      </c>
      <c r="U2717" s="2" t="s">
        <v>327</v>
      </c>
      <c r="V2717" s="2" t="s">
        <v>1192</v>
      </c>
      <c r="W2717" s="2" t="s">
        <v>792</v>
      </c>
      <c r="X2717" s="2" t="s">
        <v>691</v>
      </c>
      <c r="Y2717" s="2" t="s">
        <v>1318</v>
      </c>
      <c r="Z2717" s="4"/>
      <c r="AA2717" s="4">
        <f>=ROUNDDOWN({0},0)</f>
      </c>
      <c r="AB2717" s="5">
        <v>2.5</v>
      </c>
      <c r="AC2717" s="2" t="s">
        <v>231</v>
      </c>
      <c r="AD2717" s="4"/>
      <c r="AE2717" s="4"/>
      <c r="AF2717" s="6">
        <v>65</v>
      </c>
      <c r="AG2717" s="6"/>
      <c r="AH2717" s="7">
        <v>0</v>
      </c>
      <c r="AI2717" s="4"/>
      <c r="AJ2717" s="4">
        <f>=ROUNDDOWN({0},0)</f>
      </c>
      <c r="AK2717" s="5"/>
      <c r="AL2717" s="2" t="s">
        <v>231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231</v>
      </c>
      <c r="AW2717" s="8" t="s">
        <v>231</v>
      </c>
      <c r="AX2717" s="4" t="s">
        <v>231</v>
      </c>
      <c r="AY2717" s="8" t="s">
        <v>231</v>
      </c>
      <c r="AZ2717" s="7" t="s">
        <v>231</v>
      </c>
      <c r="BA2717" s="7" t="s">
        <v>231</v>
      </c>
      <c r="BB2717" s="7" t="s">
        <v>231</v>
      </c>
      <c r="BC2717" s="4" t="s">
        <v>231</v>
      </c>
      <c r="BD2717" s="8" t="s">
        <v>231</v>
      </c>
      <c r="BE2717" s="4" t="s">
        <v>231</v>
      </c>
      <c r="BF2717" s="8" t="s">
        <v>231</v>
      </c>
      <c r="BG2717" s="7" t="s">
        <v>231</v>
      </c>
      <c r="BH2717" s="7" t="s">
        <v>231</v>
      </c>
      <c r="BI2717" s="7"/>
      <c r="BJ2717" s="4"/>
      <c r="BK2717" s="8"/>
      <c r="BL2717" s="2" t="s">
        <v>628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11586</v>
      </c>
      <c r="BV2717" s="2" t="s">
        <v>231</v>
      </c>
      <c r="BW2717" s="2" t="s">
        <v>231</v>
      </c>
      <c r="BX2717" s="2" t="s">
        <v>231</v>
      </c>
      <c r="BY2717" s="2" t="s">
        <v>277</v>
      </c>
      <c r="BZ2717" s="2" t="s">
        <v>243</v>
      </c>
      <c r="CA2717" s="2" t="s">
        <v>1604</v>
      </c>
      <c r="CB2717" s="2" t="s">
        <v>7251</v>
      </c>
      <c r="CC2717" s="2" t="s">
        <v>244</v>
      </c>
      <c r="CD2717" s="2" t="s">
        <v>231</v>
      </c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4"/>
      <c r="CX2717" s="4"/>
      <c r="CY2717" s="4"/>
      <c r="CZ2717" s="4"/>
      <c r="DA2717" s="4"/>
      <c r="DB2717" s="4"/>
      <c r="DC2717" s="4"/>
      <c r="DD2717" s="4"/>
      <c r="DE2717" s="4"/>
      <c r="DF2717" s="4"/>
      <c r="DG2717" s="4"/>
      <c r="DH2717" s="4"/>
      <c r="DI2717" s="4"/>
      <c r="DJ2717" s="4"/>
      <c r="DK2717" s="4"/>
      <c r="DL2717" s="4"/>
      <c r="DM2717" s="4"/>
      <c r="DN2717" s="4"/>
      <c r="DO2717" s="4"/>
      <c r="DP2717" s="4"/>
      <c r="DQ2717" s="4"/>
      <c r="DR2717" s="4"/>
      <c r="DS2717" s="4"/>
      <c r="DT2717" s="4"/>
      <c r="DU2717" s="4"/>
      <c r="DV2717" s="4"/>
      <c r="DW2717" s="4"/>
      <c r="DX2717" s="4"/>
      <c r="DY2717" s="4"/>
      <c r="DZ2717" s="4"/>
      <c r="EA2717" s="4"/>
      <c r="EB2717" s="4"/>
      <c r="EC2717" s="4"/>
      <c r="ED2717" s="4"/>
      <c r="EE2717" s="4"/>
      <c r="EF2717" s="4"/>
      <c r="EG2717" s="4"/>
      <c r="EH2717" s="4"/>
      <c r="EI2717" s="4"/>
      <c r="EJ2717" s="4"/>
      <c r="EK2717" s="4"/>
      <c r="EL2717" s="4"/>
      <c r="EM2717" s="4"/>
      <c r="EN2717" s="4"/>
      <c r="EO2717" s="4"/>
      <c r="EP2717" s="4"/>
      <c r="EQ2717" s="4"/>
      <c r="ER2717" s="4"/>
      <c r="ES2717" s="4"/>
      <c r="ET2717" s="4"/>
      <c r="EU2717" s="4"/>
      <c r="EV2717" s="4"/>
      <c r="EW2717" s="4"/>
      <c r="EX2717" s="4"/>
      <c r="EY2717" s="4"/>
      <c r="EZ2717" s="4"/>
      <c r="FA2717" s="4"/>
      <c r="FB2717" s="4"/>
      <c r="FC2717" s="4"/>
      <c r="FD2717" s="4"/>
      <c r="FE2717" s="4"/>
      <c r="FF2717" s="4"/>
      <c r="FG2717" s="4"/>
      <c r="FH2717" s="4"/>
      <c r="FI2717" s="4"/>
      <c r="FJ2717" s="4"/>
      <c r="FK2717" s="4"/>
      <c r="FL2717" s="4"/>
      <c r="FM2717" s="4"/>
      <c r="FN2717" s="4"/>
      <c r="FO2717" s="4"/>
      <c r="FP2717" s="4"/>
      <c r="FQ2717" s="4"/>
      <c r="FR2717" s="4"/>
      <c r="FS2717" s="4"/>
      <c r="FT2717" s="4"/>
      <c r="FU2717" s="4"/>
      <c r="FV2717" s="4"/>
      <c r="FW2717" s="4"/>
      <c r="FX2717" s="4"/>
      <c r="FY2717" s="4"/>
      <c r="FZ2717" s="4"/>
      <c r="GA2717" s="4"/>
      <c r="GB2717" s="4"/>
      <c r="GC2717" s="4"/>
      <c r="GD2717" s="4"/>
      <c r="GE2717" s="4"/>
      <c r="GF2717" s="4"/>
      <c r="GG2717" s="4"/>
      <c r="GH2717" s="4"/>
      <c r="GI2717" s="4"/>
      <c r="GJ2717" s="4"/>
      <c r="GK2717" s="4"/>
      <c r="GL2717" s="4"/>
      <c r="GM2717" s="4"/>
      <c r="GN2717" s="4"/>
      <c r="GO2717" s="4"/>
      <c r="GP2717" s="4"/>
      <c r="GQ2717" s="4"/>
      <c r="GR2717" s="4"/>
      <c r="GS2717" s="4"/>
      <c r="GT2717" s="4"/>
      <c r="GU2717" s="4"/>
      <c r="GV2717" s="4"/>
      <c r="GW2717" s="4"/>
      <c r="GX2717" s="4"/>
      <c r="GY2717" s="4"/>
      <c r="GZ2717" s="4"/>
      <c r="HA2717" s="4"/>
      <c r="HB2717" s="4"/>
      <c r="HC2717" s="4"/>
      <c r="HD2717" s="4"/>
      <c r="HE2717" s="4"/>
      <c r="HF2717" s="4"/>
      <c r="HG2717" s="4"/>
      <c r="HH2717" s="4"/>
      <c r="HI2717" s="4"/>
      <c r="HJ2717" s="4"/>
      <c r="HK2717" s="4"/>
      <c r="HL2717" s="4"/>
    </row>
    <row r="2718">
      <c r="A2718" s="2" t="s">
        <v>11587</v>
      </c>
      <c r="B2718" s="2" t="s">
        <v>847</v>
      </c>
      <c r="C2718" s="2" t="s">
        <v>288</v>
      </c>
      <c r="D2718" s="2" t="s">
        <v>848</v>
      </c>
      <c r="E2718" s="2" t="s">
        <v>849</v>
      </c>
      <c r="F2718" s="2" t="s">
        <v>11588</v>
      </c>
      <c r="G2718" s="2" t="s">
        <v>11588</v>
      </c>
      <c r="H2718" s="2" t="s">
        <v>11588</v>
      </c>
      <c r="I2718" s="2" t="s">
        <v>11589</v>
      </c>
      <c r="J2718" s="2" t="s">
        <v>807</v>
      </c>
      <c r="K2718" s="2" t="s">
        <v>294</v>
      </c>
      <c r="L2718" s="3">
        <v>38.57</v>
      </c>
      <c r="M2718" s="3">
        <v>40.5</v>
      </c>
      <c r="N2718" s="3">
        <v>89.99</v>
      </c>
      <c r="O2718" s="2" t="s">
        <v>235</v>
      </c>
      <c r="P2718" s="2" t="s">
        <v>341</v>
      </c>
      <c r="Q2718" s="2" t="s">
        <v>237</v>
      </c>
      <c r="R2718" s="2" t="s">
        <v>231</v>
      </c>
      <c r="S2718" s="2" t="s">
        <v>11590</v>
      </c>
      <c r="T2718" s="2" t="s">
        <v>231</v>
      </c>
      <c r="U2718" s="2" t="s">
        <v>791</v>
      </c>
      <c r="V2718" s="2" t="s">
        <v>836</v>
      </c>
      <c r="W2718" s="2" t="s">
        <v>691</v>
      </c>
      <c r="X2718" s="2" t="s">
        <v>792</v>
      </c>
      <c r="Y2718" s="2" t="s">
        <v>854</v>
      </c>
      <c r="Z2718" s="4">
        <v>22</v>
      </c>
      <c r="AA2718" s="4">
        <f>=ROUNDDOWN(22,0)</f>
      </c>
      <c r="AB2718" s="5">
        <v>1</v>
      </c>
      <c r="AC2718" s="2" t="s">
        <v>231</v>
      </c>
      <c r="AD2718" s="4"/>
      <c r="AE2718" s="4"/>
      <c r="AF2718" s="6">
        <v>63</v>
      </c>
      <c r="AG2718" s="6"/>
      <c r="AH2718" s="7">
        <v>1</v>
      </c>
      <c r="AI2718" s="4"/>
      <c r="AJ2718" s="4">
        <f>=ROUNDDOWN({0},0)</f>
      </c>
      <c r="AK2718" s="5"/>
      <c r="AL2718" s="2" t="s">
        <v>231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/>
      <c r="BD2718" s="8"/>
      <c r="BE2718" s="4"/>
      <c r="BF2718" s="8"/>
      <c r="BG2718" s="7"/>
      <c r="BH2718" s="7"/>
      <c r="BI2718" s="7"/>
      <c r="BJ2718" s="4">
        <v>5</v>
      </c>
      <c r="BK2718" s="8">
        <v>227.17</v>
      </c>
      <c r="BL2718" s="2" t="s">
        <v>11591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11592</v>
      </c>
      <c r="BV2718" s="2" t="s">
        <v>231</v>
      </c>
      <c r="BW2718" s="2" t="s">
        <v>231</v>
      </c>
      <c r="BX2718" s="2" t="s">
        <v>231</v>
      </c>
      <c r="BY2718" s="2" t="s">
        <v>277</v>
      </c>
      <c r="BZ2718" s="2" t="s">
        <v>243</v>
      </c>
      <c r="CA2718" s="2" t="s">
        <v>10885</v>
      </c>
      <c r="CB2718" s="2" t="s">
        <v>4019</v>
      </c>
      <c r="CC2718" s="2" t="s">
        <v>244</v>
      </c>
      <c r="CD2718" s="2" t="s">
        <v>231</v>
      </c>
      <c r="CE2718" s="4"/>
      <c r="CF2718" s="4">
        <v>22</v>
      </c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4"/>
      <c r="CX2718" s="4"/>
      <c r="CY2718" s="4"/>
      <c r="CZ2718" s="4"/>
      <c r="DA2718" s="4"/>
      <c r="DB2718" s="4"/>
      <c r="DC2718" s="4"/>
      <c r="DD2718" s="4"/>
      <c r="DE2718" s="4"/>
      <c r="DF2718" s="4"/>
      <c r="DG2718" s="4"/>
      <c r="DH2718" s="4"/>
      <c r="DI2718" s="4"/>
      <c r="DJ2718" s="4"/>
      <c r="DK2718" s="4"/>
      <c r="DL2718" s="4"/>
      <c r="DM2718" s="4"/>
      <c r="DN2718" s="4"/>
      <c r="DO2718" s="4"/>
      <c r="DP2718" s="4"/>
      <c r="DQ2718" s="4"/>
      <c r="DR2718" s="4"/>
      <c r="DS2718" s="4"/>
      <c r="DT2718" s="4"/>
      <c r="DU2718" s="4"/>
      <c r="DV2718" s="4"/>
      <c r="DW2718" s="4"/>
      <c r="DX2718" s="4"/>
      <c r="DY2718" s="4"/>
      <c r="DZ2718" s="4"/>
      <c r="EA2718" s="4"/>
      <c r="EB2718" s="4"/>
      <c r="EC2718" s="4"/>
      <c r="ED2718" s="4"/>
      <c r="EE2718" s="4"/>
      <c r="EF2718" s="4"/>
      <c r="EG2718" s="4"/>
      <c r="EH2718" s="4"/>
      <c r="EI2718" s="4"/>
      <c r="EJ2718" s="4"/>
      <c r="EK2718" s="4"/>
      <c r="EL2718" s="4"/>
      <c r="EM2718" s="4"/>
      <c r="EN2718" s="4"/>
      <c r="EO2718" s="4"/>
      <c r="EP2718" s="4"/>
      <c r="EQ2718" s="4"/>
      <c r="ER2718" s="4"/>
      <c r="ES2718" s="4"/>
      <c r="ET2718" s="4"/>
      <c r="EU2718" s="4"/>
      <c r="EV2718" s="4"/>
      <c r="EW2718" s="4"/>
      <c r="EX2718" s="4"/>
      <c r="EY2718" s="4"/>
      <c r="EZ2718" s="4"/>
      <c r="FA2718" s="4"/>
      <c r="FB2718" s="4"/>
      <c r="FC2718" s="4"/>
      <c r="FD2718" s="4"/>
      <c r="FE2718" s="4"/>
      <c r="FF2718" s="4"/>
      <c r="FG2718" s="4"/>
      <c r="FH2718" s="4"/>
      <c r="FI2718" s="4"/>
      <c r="FJ2718" s="4"/>
      <c r="FK2718" s="4"/>
      <c r="FL2718" s="4"/>
      <c r="FM2718" s="4"/>
      <c r="FN2718" s="4"/>
      <c r="FO2718" s="4"/>
      <c r="FP2718" s="4"/>
      <c r="FQ2718" s="4"/>
      <c r="FR2718" s="4"/>
      <c r="FS2718" s="4"/>
      <c r="FT2718" s="4"/>
      <c r="FU2718" s="4"/>
      <c r="FV2718" s="4"/>
      <c r="FW2718" s="4"/>
      <c r="FX2718" s="4"/>
      <c r="FY2718" s="4"/>
      <c r="FZ2718" s="4"/>
      <c r="GA2718" s="4"/>
      <c r="GB2718" s="4"/>
      <c r="GC2718" s="4"/>
      <c r="GD2718" s="4"/>
      <c r="GE2718" s="4"/>
      <c r="GF2718" s="4"/>
      <c r="GG2718" s="4"/>
      <c r="GH2718" s="4"/>
      <c r="GI2718" s="4"/>
      <c r="GJ2718" s="4"/>
      <c r="GK2718" s="4"/>
      <c r="GL2718" s="4"/>
      <c r="GM2718" s="4"/>
      <c r="GN2718" s="4"/>
      <c r="GO2718" s="4"/>
      <c r="GP2718" s="4"/>
      <c r="GQ2718" s="4"/>
      <c r="GR2718" s="4"/>
      <c r="GS2718" s="4"/>
      <c r="GT2718" s="4"/>
      <c r="GU2718" s="4"/>
      <c r="GV2718" s="4"/>
      <c r="GW2718" s="4"/>
      <c r="GX2718" s="4"/>
      <c r="GY2718" s="4"/>
      <c r="GZ2718" s="4"/>
      <c r="HA2718" s="4"/>
      <c r="HB2718" s="4"/>
      <c r="HC2718" s="4"/>
      <c r="HD2718" s="4"/>
      <c r="HE2718" s="4"/>
      <c r="HF2718" s="4"/>
      <c r="HG2718" s="4"/>
      <c r="HH2718" s="4"/>
      <c r="HI2718" s="4"/>
      <c r="HJ2718" s="4"/>
      <c r="HK2718" s="4"/>
      <c r="HL2718" s="4"/>
    </row>
    <row r="2719">
      <c r="A2719" s="2" t="s">
        <v>11593</v>
      </c>
      <c r="B2719" s="2" t="s">
        <v>226</v>
      </c>
      <c r="C2719" s="2" t="s">
        <v>288</v>
      </c>
      <c r="D2719" s="2" t="s">
        <v>654</v>
      </c>
      <c r="E2719" s="2" t="s">
        <v>890</v>
      </c>
      <c r="F2719" s="2" t="s">
        <v>11594</v>
      </c>
      <c r="G2719" s="2" t="s">
        <v>11595</v>
      </c>
      <c r="H2719" s="2" t="s">
        <v>231</v>
      </c>
      <c r="I2719" s="2" t="s">
        <v>11596</v>
      </c>
      <c r="J2719" s="2" t="s">
        <v>669</v>
      </c>
      <c r="K2719" s="2" t="s">
        <v>253</v>
      </c>
      <c r="L2719" s="3">
        <v>60</v>
      </c>
      <c r="M2719" s="3">
        <v>63</v>
      </c>
      <c r="N2719" s="3">
        <v>124.99</v>
      </c>
      <c r="O2719" s="2" t="s">
        <v>243</v>
      </c>
      <c r="P2719" s="2" t="s">
        <v>341</v>
      </c>
      <c r="Q2719" s="2" t="s">
        <v>237</v>
      </c>
      <c r="R2719" s="2" t="s">
        <v>231</v>
      </c>
      <c r="S2719" s="2" t="s">
        <v>11597</v>
      </c>
      <c r="T2719" s="2" t="s">
        <v>895</v>
      </c>
      <c r="U2719" s="2" t="s">
        <v>231</v>
      </c>
      <c r="V2719" s="2" t="s">
        <v>987</v>
      </c>
      <c r="W2719" s="2" t="s">
        <v>273</v>
      </c>
      <c r="X2719" s="2" t="s">
        <v>2286</v>
      </c>
      <c r="Y2719" s="2" t="s">
        <v>274</v>
      </c>
      <c r="Z2719" s="4">
        <v>7</v>
      </c>
      <c r="AA2719" s="4">
        <f>=ROUNDDOWN(2.33333333333333,0)</f>
      </c>
      <c r="AB2719" s="5">
        <v>3</v>
      </c>
      <c r="AC2719" s="2" t="s">
        <v>231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231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/>
      <c r="AW2719" s="8"/>
      <c r="AX2719" s="4"/>
      <c r="AY2719" s="8"/>
      <c r="AZ2719" s="7"/>
      <c r="BA2719" s="7"/>
      <c r="BB2719" s="7"/>
      <c r="BC2719" s="4"/>
      <c r="BD2719" s="8"/>
      <c r="BE2719" s="4"/>
      <c r="BF2719" s="8"/>
      <c r="BG2719" s="7"/>
      <c r="BH2719" s="7"/>
      <c r="BI2719" s="7"/>
      <c r="BJ2719" s="4">
        <v>5</v>
      </c>
      <c r="BK2719" s="8">
        <v>266.38</v>
      </c>
      <c r="BL2719" s="2" t="s">
        <v>349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11598</v>
      </c>
      <c r="BV2719" s="2" t="s">
        <v>231</v>
      </c>
      <c r="BW2719" s="2" t="s">
        <v>231</v>
      </c>
      <c r="BX2719" s="2" t="s">
        <v>231</v>
      </c>
      <c r="BY2719" s="2" t="s">
        <v>277</v>
      </c>
      <c r="BZ2719" s="2" t="s">
        <v>243</v>
      </c>
      <c r="CA2719" s="2" t="s">
        <v>3487</v>
      </c>
      <c r="CB2719" s="2" t="s">
        <v>11599</v>
      </c>
      <c r="CC2719" s="2" t="s">
        <v>244</v>
      </c>
      <c r="CD2719" s="2" t="s">
        <v>231</v>
      </c>
      <c r="CE2719" s="4">
        <v>7</v>
      </c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4"/>
      <c r="CX2719" s="4"/>
      <c r="CY2719" s="4"/>
      <c r="CZ2719" s="4"/>
      <c r="DA2719" s="4"/>
      <c r="DB2719" s="4"/>
      <c r="DC2719" s="4"/>
      <c r="DD2719" s="4"/>
      <c r="DE2719" s="4"/>
      <c r="DF2719" s="4"/>
      <c r="DG2719" s="4"/>
      <c r="DH2719" s="4"/>
      <c r="DI2719" s="4"/>
      <c r="DJ2719" s="4"/>
      <c r="DK2719" s="4"/>
      <c r="DL2719" s="4"/>
      <c r="DM2719" s="4"/>
      <c r="DN2719" s="4"/>
      <c r="DO2719" s="4"/>
      <c r="DP2719" s="4"/>
      <c r="DQ2719" s="4"/>
      <c r="DR2719" s="4"/>
      <c r="DS2719" s="4"/>
      <c r="DT2719" s="4"/>
      <c r="DU2719" s="4"/>
      <c r="DV2719" s="4"/>
      <c r="DW2719" s="4"/>
      <c r="DX2719" s="4"/>
      <c r="DY2719" s="4"/>
      <c r="DZ2719" s="4"/>
      <c r="EA2719" s="4"/>
      <c r="EB2719" s="4"/>
      <c r="EC2719" s="4"/>
      <c r="ED2719" s="4"/>
      <c r="EE2719" s="4"/>
      <c r="EF2719" s="4"/>
      <c r="EG2719" s="4"/>
      <c r="EH2719" s="4"/>
      <c r="EI2719" s="4"/>
      <c r="EJ2719" s="4"/>
      <c r="EK2719" s="4"/>
      <c r="EL2719" s="4"/>
      <c r="EM2719" s="4"/>
      <c r="EN2719" s="4"/>
      <c r="EO2719" s="4"/>
      <c r="EP2719" s="4"/>
      <c r="EQ2719" s="4"/>
      <c r="ER2719" s="4"/>
      <c r="ES2719" s="4"/>
      <c r="ET2719" s="4"/>
      <c r="EU2719" s="4"/>
      <c r="EV2719" s="4"/>
      <c r="EW2719" s="4"/>
      <c r="EX2719" s="4"/>
      <c r="EY2719" s="4"/>
      <c r="EZ2719" s="4"/>
      <c r="FA2719" s="4"/>
      <c r="FB2719" s="4"/>
      <c r="FC2719" s="4"/>
      <c r="FD2719" s="4"/>
      <c r="FE2719" s="4"/>
      <c r="FF2719" s="4"/>
      <c r="FG2719" s="4"/>
      <c r="FH2719" s="4"/>
      <c r="FI2719" s="4"/>
      <c r="FJ2719" s="4"/>
      <c r="FK2719" s="4"/>
      <c r="FL2719" s="4"/>
      <c r="FM2719" s="4"/>
      <c r="FN2719" s="4"/>
      <c r="FO2719" s="4"/>
      <c r="FP2719" s="4"/>
      <c r="FQ2719" s="4"/>
      <c r="FR2719" s="4"/>
      <c r="FS2719" s="4"/>
      <c r="FT2719" s="4"/>
      <c r="FU2719" s="4"/>
      <c r="FV2719" s="4"/>
      <c r="FW2719" s="4"/>
      <c r="FX2719" s="4"/>
      <c r="FY2719" s="4"/>
      <c r="FZ2719" s="4"/>
      <c r="GA2719" s="4"/>
      <c r="GB2719" s="4"/>
      <c r="GC2719" s="4"/>
      <c r="GD2719" s="4"/>
      <c r="GE2719" s="4"/>
      <c r="GF2719" s="4"/>
      <c r="GG2719" s="4"/>
      <c r="GH2719" s="4"/>
      <c r="GI2719" s="4"/>
      <c r="GJ2719" s="4"/>
      <c r="GK2719" s="4"/>
      <c r="GL2719" s="4"/>
      <c r="GM2719" s="4"/>
      <c r="GN2719" s="4"/>
      <c r="GO2719" s="4"/>
      <c r="GP2719" s="4"/>
      <c r="GQ2719" s="4"/>
      <c r="GR2719" s="4"/>
      <c r="GS2719" s="4"/>
      <c r="GT2719" s="4"/>
      <c r="GU2719" s="4"/>
      <c r="GV2719" s="4"/>
      <c r="GW2719" s="4"/>
      <c r="GX2719" s="4"/>
      <c r="GY2719" s="4"/>
      <c r="GZ2719" s="4"/>
      <c r="HA2719" s="4"/>
      <c r="HB2719" s="4"/>
      <c r="HC2719" s="4"/>
      <c r="HD2719" s="4"/>
      <c r="HE2719" s="4"/>
      <c r="HF2719" s="4"/>
      <c r="HG2719" s="4"/>
      <c r="HH2719" s="4"/>
      <c r="HI2719" s="4"/>
      <c r="HJ2719" s="4"/>
      <c r="HK2719" s="4"/>
      <c r="HL2719" s="4"/>
    </row>
    <row r="2720">
      <c r="A2720" s="2" t="s">
        <v>11600</v>
      </c>
      <c r="B2720" s="2" t="s">
        <v>287</v>
      </c>
      <c r="C2720" s="2" t="s">
        <v>263</v>
      </c>
      <c r="D2720" s="2" t="s">
        <v>289</v>
      </c>
      <c r="E2720" s="2" t="s">
        <v>290</v>
      </c>
      <c r="F2720" s="2" t="s">
        <v>11601</v>
      </c>
      <c r="G2720" s="2" t="s">
        <v>11601</v>
      </c>
      <c r="H2720" s="2" t="s">
        <v>11601</v>
      </c>
      <c r="I2720" s="2" t="s">
        <v>359</v>
      </c>
      <c r="J2720" s="2" t="s">
        <v>318</v>
      </c>
      <c r="K2720" s="2" t="s">
        <v>985</v>
      </c>
      <c r="L2720" s="3">
        <v>16.5</v>
      </c>
      <c r="M2720" s="3">
        <v>17.32</v>
      </c>
      <c r="N2720" s="3">
        <v>32.99</v>
      </c>
      <c r="O2720" s="2" t="s">
        <v>243</v>
      </c>
      <c r="P2720" s="2" t="s">
        <v>270</v>
      </c>
      <c r="Q2720" s="2" t="s">
        <v>237</v>
      </c>
      <c r="R2720" s="2" t="s">
        <v>231</v>
      </c>
      <c r="S2720" s="2" t="s">
        <v>11602</v>
      </c>
      <c r="T2720" s="2" t="s">
        <v>11603</v>
      </c>
      <c r="U2720" s="2" t="s">
        <v>231</v>
      </c>
      <c r="V2720" s="2" t="s">
        <v>239</v>
      </c>
      <c r="W2720" s="2" t="s">
        <v>273</v>
      </c>
      <c r="X2720" s="2" t="s">
        <v>231</v>
      </c>
      <c r="Y2720" s="2" t="s">
        <v>10550</v>
      </c>
      <c r="Z2720" s="4">
        <v>95</v>
      </c>
      <c r="AA2720" s="4">
        <f>=ROUNDDOWN(25.6756756756757,0)</f>
      </c>
      <c r="AB2720" s="5">
        <v>3.7</v>
      </c>
      <c r="AC2720" s="2" t="s">
        <v>231</v>
      </c>
      <c r="AD2720" s="4"/>
      <c r="AE2720" s="4"/>
      <c r="AF2720" s="6">
        <v>66</v>
      </c>
      <c r="AG2720" s="6"/>
      <c r="AH2720" s="7">
        <v>1</v>
      </c>
      <c r="AI2720" s="4"/>
      <c r="AJ2720" s="4">
        <f>=ROUNDDOWN({0},0)</f>
      </c>
      <c r="AK2720" s="5"/>
      <c r="AL2720" s="2" t="s">
        <v>231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231</v>
      </c>
      <c r="AW2720" s="8" t="s">
        <v>231</v>
      </c>
      <c r="AX2720" s="4" t="s">
        <v>231</v>
      </c>
      <c r="AY2720" s="8" t="s">
        <v>231</v>
      </c>
      <c r="AZ2720" s="7" t="s">
        <v>231</v>
      </c>
      <c r="BA2720" s="7" t="s">
        <v>231</v>
      </c>
      <c r="BB2720" s="7"/>
      <c r="BC2720" s="4" t="s">
        <v>231</v>
      </c>
      <c r="BD2720" s="8" t="s">
        <v>231</v>
      </c>
      <c r="BE2720" s="4" t="s">
        <v>231</v>
      </c>
      <c r="BF2720" s="8" t="s">
        <v>231</v>
      </c>
      <c r="BG2720" s="7" t="s">
        <v>231</v>
      </c>
      <c r="BH2720" s="7" t="s">
        <v>231</v>
      </c>
      <c r="BI2720" s="7"/>
      <c r="BJ2720" s="4">
        <v>20</v>
      </c>
      <c r="BK2720" s="8">
        <v>302.15</v>
      </c>
      <c r="BL2720" s="2" t="s">
        <v>11604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11605</v>
      </c>
      <c r="BV2720" s="2" t="s">
        <v>231</v>
      </c>
      <c r="BW2720" s="2" t="s">
        <v>231</v>
      </c>
      <c r="BX2720" s="2" t="s">
        <v>231</v>
      </c>
      <c r="BY2720" s="2" t="s">
        <v>277</v>
      </c>
      <c r="BZ2720" s="2" t="s">
        <v>243</v>
      </c>
      <c r="CA2720" s="2" t="s">
        <v>10300</v>
      </c>
      <c r="CB2720" s="2" t="s">
        <v>11606</v>
      </c>
      <c r="CC2720" s="2" t="s">
        <v>244</v>
      </c>
      <c r="CD2720" s="2" t="s">
        <v>231</v>
      </c>
      <c r="CE2720" s="4">
        <v>95</v>
      </c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4"/>
      <c r="CX2720" s="4"/>
      <c r="CY2720" s="4"/>
      <c r="CZ2720" s="4"/>
      <c r="DA2720" s="4"/>
      <c r="DB2720" s="4"/>
      <c r="DC2720" s="4"/>
      <c r="DD2720" s="4"/>
      <c r="DE2720" s="4"/>
      <c r="DF2720" s="4"/>
      <c r="DG2720" s="4"/>
      <c r="DH2720" s="4"/>
      <c r="DI2720" s="4"/>
      <c r="DJ2720" s="4"/>
      <c r="DK2720" s="4"/>
      <c r="DL2720" s="4"/>
      <c r="DM2720" s="4"/>
      <c r="DN2720" s="4"/>
      <c r="DO2720" s="4"/>
      <c r="DP2720" s="4"/>
      <c r="DQ2720" s="4"/>
      <c r="DR2720" s="4"/>
      <c r="DS2720" s="4"/>
      <c r="DT2720" s="4"/>
      <c r="DU2720" s="4"/>
      <c r="DV2720" s="4"/>
      <c r="DW2720" s="4"/>
      <c r="DX2720" s="4"/>
      <c r="DY2720" s="4"/>
      <c r="DZ2720" s="4"/>
      <c r="EA2720" s="4"/>
      <c r="EB2720" s="4"/>
      <c r="EC2720" s="4"/>
      <c r="ED2720" s="4"/>
      <c r="EE2720" s="4"/>
      <c r="EF2720" s="4"/>
      <c r="EG2720" s="4"/>
      <c r="EH2720" s="4"/>
      <c r="EI2720" s="4"/>
      <c r="EJ2720" s="4"/>
      <c r="EK2720" s="4"/>
      <c r="EL2720" s="4"/>
      <c r="EM2720" s="4"/>
      <c r="EN2720" s="4"/>
      <c r="EO2720" s="4"/>
      <c r="EP2720" s="4"/>
      <c r="EQ2720" s="4"/>
      <c r="ER2720" s="4"/>
      <c r="ES2720" s="4"/>
      <c r="ET2720" s="4"/>
      <c r="EU2720" s="4"/>
      <c r="EV2720" s="4"/>
      <c r="EW2720" s="4"/>
      <c r="EX2720" s="4"/>
      <c r="EY2720" s="4"/>
      <c r="EZ2720" s="4"/>
      <c r="FA2720" s="4"/>
      <c r="FB2720" s="4"/>
      <c r="FC2720" s="4"/>
      <c r="FD2720" s="4"/>
      <c r="FE2720" s="4"/>
      <c r="FF2720" s="4"/>
      <c r="FG2720" s="4"/>
      <c r="FH2720" s="4"/>
      <c r="FI2720" s="4"/>
      <c r="FJ2720" s="4"/>
      <c r="FK2720" s="4"/>
      <c r="FL2720" s="4"/>
      <c r="FM2720" s="4"/>
      <c r="FN2720" s="4"/>
      <c r="FO2720" s="4"/>
      <c r="FP2720" s="4"/>
      <c r="FQ2720" s="4"/>
      <c r="FR2720" s="4"/>
      <c r="FS2720" s="4"/>
      <c r="FT2720" s="4"/>
      <c r="FU2720" s="4"/>
      <c r="FV2720" s="4"/>
      <c r="FW2720" s="4"/>
      <c r="FX2720" s="4"/>
      <c r="FY2720" s="4"/>
      <c r="FZ2720" s="4"/>
      <c r="GA2720" s="4"/>
      <c r="GB2720" s="4"/>
      <c r="GC2720" s="4"/>
      <c r="GD2720" s="4"/>
      <c r="GE2720" s="4"/>
      <c r="GF2720" s="4"/>
      <c r="GG2720" s="4"/>
      <c r="GH2720" s="4"/>
      <c r="GI2720" s="4"/>
      <c r="GJ2720" s="4"/>
      <c r="GK2720" s="4"/>
      <c r="GL2720" s="4"/>
      <c r="GM2720" s="4"/>
      <c r="GN2720" s="4"/>
      <c r="GO2720" s="4"/>
      <c r="GP2720" s="4"/>
      <c r="GQ2720" s="4"/>
      <c r="GR2720" s="4"/>
      <c r="GS2720" s="4"/>
      <c r="GT2720" s="4"/>
      <c r="GU2720" s="4"/>
      <c r="GV2720" s="4"/>
      <c r="GW2720" s="4"/>
      <c r="GX2720" s="4"/>
      <c r="GY2720" s="4"/>
      <c r="GZ2720" s="4"/>
      <c r="HA2720" s="4"/>
      <c r="HB2720" s="4"/>
      <c r="HC2720" s="4"/>
      <c r="HD2720" s="4"/>
      <c r="HE2720" s="4"/>
      <c r="HF2720" s="4"/>
      <c r="HG2720" s="4"/>
      <c r="HH2720" s="4"/>
      <c r="HI2720" s="4"/>
      <c r="HJ2720" s="4"/>
      <c r="HK2720" s="4"/>
      <c r="HL2720" s="4"/>
    </row>
    <row r="2721">
      <c r="A2721" s="2" t="s">
        <v>11607</v>
      </c>
      <c r="B2721" s="2" t="s">
        <v>287</v>
      </c>
      <c r="C2721" s="2" t="s">
        <v>263</v>
      </c>
      <c r="D2721" s="2" t="s">
        <v>289</v>
      </c>
      <c r="E2721" s="2" t="s">
        <v>290</v>
      </c>
      <c r="F2721" s="2" t="s">
        <v>11601</v>
      </c>
      <c r="G2721" s="2" t="s">
        <v>11601</v>
      </c>
      <c r="H2721" s="2" t="s">
        <v>11601</v>
      </c>
      <c r="I2721" s="2" t="s">
        <v>359</v>
      </c>
      <c r="J2721" s="2" t="s">
        <v>281</v>
      </c>
      <c r="K2721" s="2" t="s">
        <v>985</v>
      </c>
      <c r="L2721" s="3">
        <v>16.5</v>
      </c>
      <c r="M2721" s="3">
        <v>17.32</v>
      </c>
      <c r="N2721" s="3">
        <v>32.99</v>
      </c>
      <c r="O2721" s="2" t="s">
        <v>243</v>
      </c>
      <c r="P2721" s="2" t="s">
        <v>1985</v>
      </c>
      <c r="Q2721" s="2" t="s">
        <v>237</v>
      </c>
      <c r="R2721" s="2" t="s">
        <v>231</v>
      </c>
      <c r="S2721" s="2" t="s">
        <v>11602</v>
      </c>
      <c r="T2721" s="2" t="s">
        <v>11603</v>
      </c>
      <c r="U2721" s="2" t="s">
        <v>231</v>
      </c>
      <c r="V2721" s="2" t="s">
        <v>239</v>
      </c>
      <c r="W2721" s="2" t="s">
        <v>273</v>
      </c>
      <c r="X2721" s="2" t="s">
        <v>231</v>
      </c>
      <c r="Y2721" s="2" t="s">
        <v>10550</v>
      </c>
      <c r="Z2721" s="4">
        <v>437</v>
      </c>
      <c r="AA2721" s="4">
        <f>=ROUNDDOWN(145.666666666667,0)</f>
      </c>
      <c r="AB2721" s="5">
        <v>3</v>
      </c>
      <c r="AC2721" s="2" t="s">
        <v>231</v>
      </c>
      <c r="AD2721" s="4"/>
      <c r="AE2721" s="4"/>
      <c r="AF2721" s="6">
        <v>66</v>
      </c>
      <c r="AG2721" s="6"/>
      <c r="AH2721" s="7">
        <v>1</v>
      </c>
      <c r="AI2721" s="4"/>
      <c r="AJ2721" s="4">
        <f>=ROUNDDOWN({0},0)</f>
      </c>
      <c r="AK2721" s="5"/>
      <c r="AL2721" s="2" t="s">
        <v>231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231</v>
      </c>
      <c r="AW2721" s="8" t="s">
        <v>231</v>
      </c>
      <c r="AX2721" s="4" t="s">
        <v>231</v>
      </c>
      <c r="AY2721" s="8" t="s">
        <v>231</v>
      </c>
      <c r="AZ2721" s="7" t="s">
        <v>231</v>
      </c>
      <c r="BA2721" s="7" t="s">
        <v>231</v>
      </c>
      <c r="BB2721" s="7"/>
      <c r="BC2721" s="4" t="s">
        <v>231</v>
      </c>
      <c r="BD2721" s="8" t="s">
        <v>231</v>
      </c>
      <c r="BE2721" s="4" t="s">
        <v>231</v>
      </c>
      <c r="BF2721" s="8" t="s">
        <v>231</v>
      </c>
      <c r="BG2721" s="7" t="s">
        <v>231</v>
      </c>
      <c r="BH2721" s="7" t="s">
        <v>231</v>
      </c>
      <c r="BI2721" s="7"/>
      <c r="BJ2721" s="4">
        <v>20</v>
      </c>
      <c r="BK2721" s="8">
        <v>329.23</v>
      </c>
      <c r="BL2721" s="2" t="s">
        <v>349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11608</v>
      </c>
      <c r="BV2721" s="2" t="s">
        <v>231</v>
      </c>
      <c r="BW2721" s="2" t="s">
        <v>231</v>
      </c>
      <c r="BX2721" s="2" t="s">
        <v>231</v>
      </c>
      <c r="BY2721" s="2" t="s">
        <v>277</v>
      </c>
      <c r="BZ2721" s="2" t="s">
        <v>243</v>
      </c>
      <c r="CA2721" s="2" t="s">
        <v>10300</v>
      </c>
      <c r="CB2721" s="2" t="s">
        <v>11609</v>
      </c>
      <c r="CC2721" s="2" t="s">
        <v>244</v>
      </c>
      <c r="CD2721" s="2" t="s">
        <v>231</v>
      </c>
      <c r="CE2721" s="4">
        <v>437</v>
      </c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4"/>
      <c r="CX2721" s="4"/>
      <c r="CY2721" s="4"/>
      <c r="CZ2721" s="4"/>
      <c r="DA2721" s="4"/>
      <c r="DB2721" s="4"/>
      <c r="DC2721" s="4"/>
      <c r="DD2721" s="4"/>
      <c r="DE2721" s="4"/>
      <c r="DF2721" s="4"/>
      <c r="DG2721" s="4"/>
      <c r="DH2721" s="4"/>
      <c r="DI2721" s="4"/>
      <c r="DJ2721" s="4"/>
      <c r="DK2721" s="4"/>
      <c r="DL2721" s="4"/>
      <c r="DM2721" s="4"/>
      <c r="DN2721" s="4"/>
      <c r="DO2721" s="4"/>
      <c r="DP2721" s="4"/>
      <c r="DQ2721" s="4"/>
      <c r="DR2721" s="4"/>
      <c r="DS2721" s="4"/>
      <c r="DT2721" s="4"/>
      <c r="DU2721" s="4"/>
      <c r="DV2721" s="4"/>
      <c r="DW2721" s="4"/>
      <c r="DX2721" s="4"/>
      <c r="DY2721" s="4"/>
      <c r="DZ2721" s="4"/>
      <c r="EA2721" s="4"/>
      <c r="EB2721" s="4"/>
      <c r="EC2721" s="4"/>
      <c r="ED2721" s="4"/>
      <c r="EE2721" s="4"/>
      <c r="EF2721" s="4"/>
      <c r="EG2721" s="4"/>
      <c r="EH2721" s="4"/>
      <c r="EI2721" s="4"/>
      <c r="EJ2721" s="4"/>
      <c r="EK2721" s="4"/>
      <c r="EL2721" s="4"/>
      <c r="EM2721" s="4"/>
      <c r="EN2721" s="4"/>
      <c r="EO2721" s="4"/>
      <c r="EP2721" s="4"/>
      <c r="EQ2721" s="4"/>
      <c r="ER2721" s="4"/>
      <c r="ES2721" s="4"/>
      <c r="ET2721" s="4"/>
      <c r="EU2721" s="4"/>
      <c r="EV2721" s="4"/>
      <c r="EW2721" s="4"/>
      <c r="EX2721" s="4"/>
      <c r="EY2721" s="4"/>
      <c r="EZ2721" s="4"/>
      <c r="FA2721" s="4"/>
      <c r="FB2721" s="4"/>
      <c r="FC2721" s="4"/>
      <c r="FD2721" s="4"/>
      <c r="FE2721" s="4"/>
      <c r="FF2721" s="4"/>
      <c r="FG2721" s="4"/>
      <c r="FH2721" s="4"/>
      <c r="FI2721" s="4"/>
      <c r="FJ2721" s="4"/>
      <c r="FK2721" s="4"/>
      <c r="FL2721" s="4"/>
      <c r="FM2721" s="4"/>
      <c r="FN2721" s="4"/>
      <c r="FO2721" s="4"/>
      <c r="FP2721" s="4"/>
      <c r="FQ2721" s="4"/>
      <c r="FR2721" s="4"/>
      <c r="FS2721" s="4"/>
      <c r="FT2721" s="4"/>
      <c r="FU2721" s="4"/>
      <c r="FV2721" s="4"/>
      <c r="FW2721" s="4"/>
      <c r="FX2721" s="4"/>
      <c r="FY2721" s="4"/>
      <c r="FZ2721" s="4"/>
      <c r="GA2721" s="4"/>
      <c r="GB2721" s="4"/>
      <c r="GC2721" s="4"/>
      <c r="GD2721" s="4"/>
      <c r="GE2721" s="4"/>
      <c r="GF2721" s="4"/>
      <c r="GG2721" s="4"/>
      <c r="GH2721" s="4"/>
      <c r="GI2721" s="4"/>
      <c r="GJ2721" s="4"/>
      <c r="GK2721" s="4"/>
      <c r="GL2721" s="4"/>
      <c r="GM2721" s="4"/>
      <c r="GN2721" s="4"/>
      <c r="GO2721" s="4"/>
      <c r="GP2721" s="4"/>
      <c r="GQ2721" s="4"/>
      <c r="GR2721" s="4"/>
      <c r="GS2721" s="4"/>
      <c r="GT2721" s="4"/>
      <c r="GU2721" s="4"/>
      <c r="GV2721" s="4"/>
      <c r="GW2721" s="4"/>
      <c r="GX2721" s="4"/>
      <c r="GY2721" s="4"/>
      <c r="GZ2721" s="4"/>
      <c r="HA2721" s="4"/>
      <c r="HB2721" s="4"/>
      <c r="HC2721" s="4"/>
      <c r="HD2721" s="4"/>
      <c r="HE2721" s="4"/>
      <c r="HF2721" s="4"/>
      <c r="HG2721" s="4"/>
      <c r="HH2721" s="4"/>
      <c r="HI2721" s="4"/>
      <c r="HJ2721" s="4"/>
      <c r="HK2721" s="4"/>
      <c r="HL2721" s="4"/>
    </row>
    <row r="2722">
      <c r="A2722" s="2" t="s">
        <v>11610</v>
      </c>
      <c r="B2722" s="2" t="s">
        <v>287</v>
      </c>
      <c r="C2722" s="2" t="s">
        <v>263</v>
      </c>
      <c r="D2722" s="2" t="s">
        <v>289</v>
      </c>
      <c r="E2722" s="2" t="s">
        <v>290</v>
      </c>
      <c r="F2722" s="2" t="s">
        <v>11601</v>
      </c>
      <c r="G2722" s="2" t="s">
        <v>11601</v>
      </c>
      <c r="H2722" s="2" t="s">
        <v>11601</v>
      </c>
      <c r="I2722" s="2" t="s">
        <v>359</v>
      </c>
      <c r="J2722" s="2" t="s">
        <v>304</v>
      </c>
      <c r="K2722" s="2" t="s">
        <v>985</v>
      </c>
      <c r="L2722" s="3">
        <v>21.5</v>
      </c>
      <c r="M2722" s="3">
        <v>22.58</v>
      </c>
      <c r="N2722" s="3">
        <v>42.99</v>
      </c>
      <c r="O2722" s="2" t="s">
        <v>243</v>
      </c>
      <c r="P2722" s="2" t="s">
        <v>341</v>
      </c>
      <c r="Q2722" s="2" t="s">
        <v>237</v>
      </c>
      <c r="R2722" s="2" t="s">
        <v>231</v>
      </c>
      <c r="S2722" s="2" t="s">
        <v>11602</v>
      </c>
      <c r="T2722" s="2" t="s">
        <v>11603</v>
      </c>
      <c r="U2722" s="2" t="s">
        <v>231</v>
      </c>
      <c r="V2722" s="2" t="s">
        <v>239</v>
      </c>
      <c r="W2722" s="2" t="s">
        <v>273</v>
      </c>
      <c r="X2722" s="2" t="s">
        <v>231</v>
      </c>
      <c r="Y2722" s="2" t="s">
        <v>10550</v>
      </c>
      <c r="Z2722" s="4">
        <v>118</v>
      </c>
      <c r="AA2722" s="4">
        <f>=ROUNDDOWN(39.3333333333333,0)</f>
      </c>
      <c r="AB2722" s="5">
        <v>3</v>
      </c>
      <c r="AC2722" s="2" t="s">
        <v>231</v>
      </c>
      <c r="AD2722" s="4"/>
      <c r="AE2722" s="4"/>
      <c r="AF2722" s="6">
        <v>66</v>
      </c>
      <c r="AG2722" s="6"/>
      <c r="AH2722" s="7">
        <v>1</v>
      </c>
      <c r="AI2722" s="4"/>
      <c r="AJ2722" s="4">
        <f>=ROUNDDOWN({0},0)</f>
      </c>
      <c r="AK2722" s="5"/>
      <c r="AL2722" s="2" t="s">
        <v>231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231</v>
      </c>
      <c r="AW2722" s="8" t="s">
        <v>231</v>
      </c>
      <c r="AX2722" s="4" t="s">
        <v>231</v>
      </c>
      <c r="AY2722" s="8" t="s">
        <v>231</v>
      </c>
      <c r="AZ2722" s="7" t="s">
        <v>231</v>
      </c>
      <c r="BA2722" s="7" t="s">
        <v>231</v>
      </c>
      <c r="BB2722" s="7"/>
      <c r="BC2722" s="4" t="s">
        <v>231</v>
      </c>
      <c r="BD2722" s="8" t="s">
        <v>231</v>
      </c>
      <c r="BE2722" s="4" t="s">
        <v>231</v>
      </c>
      <c r="BF2722" s="8" t="s">
        <v>231</v>
      </c>
      <c r="BG2722" s="7" t="s">
        <v>231</v>
      </c>
      <c r="BH2722" s="7" t="s">
        <v>231</v>
      </c>
      <c r="BI2722" s="7"/>
      <c r="BJ2722" s="4">
        <v>6</v>
      </c>
      <c r="BK2722" s="8">
        <v>130.32</v>
      </c>
      <c r="BL2722" s="2" t="s">
        <v>8475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11611</v>
      </c>
      <c r="BV2722" s="2" t="s">
        <v>231</v>
      </c>
      <c r="BW2722" s="2" t="s">
        <v>231</v>
      </c>
      <c r="BX2722" s="2" t="s">
        <v>231</v>
      </c>
      <c r="BY2722" s="2" t="s">
        <v>277</v>
      </c>
      <c r="BZ2722" s="2" t="s">
        <v>243</v>
      </c>
      <c r="CA2722" s="2" t="s">
        <v>10300</v>
      </c>
      <c r="CB2722" s="2" t="s">
        <v>2812</v>
      </c>
      <c r="CC2722" s="2" t="s">
        <v>244</v>
      </c>
      <c r="CD2722" s="2" t="s">
        <v>231</v>
      </c>
      <c r="CE2722" s="4">
        <v>118</v>
      </c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4"/>
      <c r="CX2722" s="4"/>
      <c r="CY2722" s="4"/>
      <c r="CZ2722" s="4"/>
      <c r="DA2722" s="4"/>
      <c r="DB2722" s="4"/>
      <c r="DC2722" s="4"/>
      <c r="DD2722" s="4"/>
      <c r="DE2722" s="4"/>
      <c r="DF2722" s="4"/>
      <c r="DG2722" s="4"/>
      <c r="DH2722" s="4"/>
      <c r="DI2722" s="4"/>
      <c r="DJ2722" s="4"/>
      <c r="DK2722" s="4"/>
      <c r="DL2722" s="4"/>
      <c r="DM2722" s="4"/>
      <c r="DN2722" s="4"/>
      <c r="DO2722" s="4"/>
      <c r="DP2722" s="4"/>
      <c r="DQ2722" s="4"/>
      <c r="DR2722" s="4"/>
      <c r="DS2722" s="4"/>
      <c r="DT2722" s="4"/>
      <c r="DU2722" s="4"/>
      <c r="DV2722" s="4"/>
      <c r="DW2722" s="4"/>
      <c r="DX2722" s="4"/>
      <c r="DY2722" s="4"/>
      <c r="DZ2722" s="4"/>
      <c r="EA2722" s="4"/>
      <c r="EB2722" s="4"/>
      <c r="EC2722" s="4"/>
      <c r="ED2722" s="4"/>
      <c r="EE2722" s="4"/>
      <c r="EF2722" s="4"/>
      <c r="EG2722" s="4"/>
      <c r="EH2722" s="4"/>
      <c r="EI2722" s="4"/>
      <c r="EJ2722" s="4"/>
      <c r="EK2722" s="4"/>
      <c r="EL2722" s="4"/>
      <c r="EM2722" s="4"/>
      <c r="EN2722" s="4"/>
      <c r="EO2722" s="4"/>
      <c r="EP2722" s="4"/>
      <c r="EQ2722" s="4"/>
      <c r="ER2722" s="4"/>
      <c r="ES2722" s="4"/>
      <c r="ET2722" s="4"/>
      <c r="EU2722" s="4"/>
      <c r="EV2722" s="4"/>
      <c r="EW2722" s="4"/>
      <c r="EX2722" s="4"/>
      <c r="EY2722" s="4"/>
      <c r="EZ2722" s="4"/>
      <c r="FA2722" s="4"/>
      <c r="FB2722" s="4"/>
      <c r="FC2722" s="4"/>
      <c r="FD2722" s="4"/>
      <c r="FE2722" s="4"/>
      <c r="FF2722" s="4"/>
      <c r="FG2722" s="4"/>
      <c r="FH2722" s="4"/>
      <c r="FI2722" s="4"/>
      <c r="FJ2722" s="4"/>
      <c r="FK2722" s="4"/>
      <c r="FL2722" s="4"/>
      <c r="FM2722" s="4"/>
      <c r="FN2722" s="4"/>
      <c r="FO2722" s="4"/>
      <c r="FP2722" s="4"/>
      <c r="FQ2722" s="4"/>
      <c r="FR2722" s="4"/>
      <c r="FS2722" s="4"/>
      <c r="FT2722" s="4"/>
      <c r="FU2722" s="4"/>
      <c r="FV2722" s="4"/>
      <c r="FW2722" s="4"/>
      <c r="FX2722" s="4"/>
      <c r="FY2722" s="4"/>
      <c r="FZ2722" s="4"/>
      <c r="GA2722" s="4"/>
      <c r="GB2722" s="4"/>
      <c r="GC2722" s="4"/>
      <c r="GD2722" s="4"/>
      <c r="GE2722" s="4"/>
      <c r="GF2722" s="4"/>
      <c r="GG2722" s="4"/>
      <c r="GH2722" s="4"/>
      <c r="GI2722" s="4"/>
      <c r="GJ2722" s="4"/>
      <c r="GK2722" s="4"/>
      <c r="GL2722" s="4"/>
      <c r="GM2722" s="4"/>
      <c r="GN2722" s="4"/>
      <c r="GO2722" s="4"/>
      <c r="GP2722" s="4"/>
      <c r="GQ2722" s="4"/>
      <c r="GR2722" s="4"/>
      <c r="GS2722" s="4"/>
      <c r="GT2722" s="4"/>
      <c r="GU2722" s="4"/>
      <c r="GV2722" s="4"/>
      <c r="GW2722" s="4"/>
      <c r="GX2722" s="4"/>
      <c r="GY2722" s="4"/>
      <c r="GZ2722" s="4"/>
      <c r="HA2722" s="4"/>
      <c r="HB2722" s="4"/>
      <c r="HC2722" s="4"/>
      <c r="HD2722" s="4"/>
      <c r="HE2722" s="4"/>
      <c r="HF2722" s="4"/>
      <c r="HG2722" s="4"/>
      <c r="HH2722" s="4"/>
      <c r="HI2722" s="4"/>
      <c r="HJ2722" s="4"/>
      <c r="HK2722" s="4"/>
      <c r="HL2722" s="4"/>
    </row>
    <row r="2723">
      <c r="A2723" s="2" t="s">
        <v>11612</v>
      </c>
      <c r="B2723" s="2" t="s">
        <v>287</v>
      </c>
      <c r="C2723" s="2" t="s">
        <v>263</v>
      </c>
      <c r="D2723" s="2" t="s">
        <v>289</v>
      </c>
      <c r="E2723" s="2" t="s">
        <v>290</v>
      </c>
      <c r="F2723" s="2" t="s">
        <v>11601</v>
      </c>
      <c r="G2723" s="2" t="s">
        <v>11601</v>
      </c>
      <c r="H2723" s="2" t="s">
        <v>11601</v>
      </c>
      <c r="I2723" s="2" t="s">
        <v>359</v>
      </c>
      <c r="J2723" s="2" t="s">
        <v>293</v>
      </c>
      <c r="K2723" s="2" t="s">
        <v>269</v>
      </c>
      <c r="L2723" s="3">
        <v>19</v>
      </c>
      <c r="M2723" s="3">
        <v>19.95</v>
      </c>
      <c r="N2723" s="3">
        <v>37.99</v>
      </c>
      <c r="O2723" s="2" t="s">
        <v>243</v>
      </c>
      <c r="P2723" s="2" t="s">
        <v>341</v>
      </c>
      <c r="Q2723" s="2" t="s">
        <v>237</v>
      </c>
      <c r="R2723" s="2" t="s">
        <v>231</v>
      </c>
      <c r="S2723" s="2" t="s">
        <v>11613</v>
      </c>
      <c r="T2723" s="2" t="s">
        <v>11603</v>
      </c>
      <c r="U2723" s="2" t="s">
        <v>298</v>
      </c>
      <c r="V2723" s="2" t="s">
        <v>239</v>
      </c>
      <c r="W2723" s="2" t="s">
        <v>273</v>
      </c>
      <c r="X2723" s="2" t="s">
        <v>691</v>
      </c>
      <c r="Y2723" s="2" t="s">
        <v>11614</v>
      </c>
      <c r="Z2723" s="4">
        <v>93</v>
      </c>
      <c r="AA2723" s="4">
        <f>=ROUNDDOWN(12.4,0)</f>
      </c>
      <c r="AB2723" s="5">
        <v>7.5</v>
      </c>
      <c r="AC2723" s="2" t="s">
        <v>231</v>
      </c>
      <c r="AD2723" s="4"/>
      <c r="AE2723" s="4"/>
      <c r="AF2723" s="6">
        <v>66</v>
      </c>
      <c r="AG2723" s="6"/>
      <c r="AH2723" s="7">
        <v>1</v>
      </c>
      <c r="AI2723" s="4"/>
      <c r="AJ2723" s="4">
        <f>=ROUNDDOWN({0},0)</f>
      </c>
      <c r="AK2723" s="5"/>
      <c r="AL2723" s="2" t="s">
        <v>231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231</v>
      </c>
      <c r="AW2723" s="8" t="s">
        <v>231</v>
      </c>
      <c r="AX2723" s="4" t="s">
        <v>231</v>
      </c>
      <c r="AY2723" s="8" t="s">
        <v>231</v>
      </c>
      <c r="AZ2723" s="7" t="s">
        <v>231</v>
      </c>
      <c r="BA2723" s="7" t="s">
        <v>231</v>
      </c>
      <c r="BB2723" s="7"/>
      <c r="BC2723" s="4" t="s">
        <v>231</v>
      </c>
      <c r="BD2723" s="8" t="s">
        <v>231</v>
      </c>
      <c r="BE2723" s="4" t="s">
        <v>231</v>
      </c>
      <c r="BF2723" s="8" t="s">
        <v>231</v>
      </c>
      <c r="BG2723" s="7" t="s">
        <v>231</v>
      </c>
      <c r="BH2723" s="7" t="s">
        <v>231</v>
      </c>
      <c r="BI2723" s="7"/>
      <c r="BJ2723" s="4">
        <v>43</v>
      </c>
      <c r="BK2723" s="8">
        <v>766.43</v>
      </c>
      <c r="BL2723" s="2" t="s">
        <v>11615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11616</v>
      </c>
      <c r="BV2723" s="2" t="s">
        <v>231</v>
      </c>
      <c r="BW2723" s="2" t="s">
        <v>231</v>
      </c>
      <c r="BX2723" s="2" t="s">
        <v>231</v>
      </c>
      <c r="BY2723" s="2" t="s">
        <v>277</v>
      </c>
      <c r="BZ2723" s="2" t="s">
        <v>243</v>
      </c>
      <c r="CA2723" s="2" t="s">
        <v>11614</v>
      </c>
      <c r="CB2723" s="2" t="s">
        <v>11617</v>
      </c>
      <c r="CC2723" s="2" t="s">
        <v>244</v>
      </c>
      <c r="CD2723" s="2" t="s">
        <v>231</v>
      </c>
      <c r="CE2723" s="4">
        <v>93</v>
      </c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4"/>
      <c r="CX2723" s="4"/>
      <c r="CY2723" s="4"/>
      <c r="CZ2723" s="4"/>
      <c r="DA2723" s="4"/>
      <c r="DB2723" s="4"/>
      <c r="DC2723" s="4"/>
      <c r="DD2723" s="4"/>
      <c r="DE2723" s="4"/>
      <c r="DF2723" s="4"/>
      <c r="DG2723" s="4"/>
      <c r="DH2723" s="4"/>
      <c r="DI2723" s="4"/>
      <c r="DJ2723" s="4"/>
      <c r="DK2723" s="4"/>
      <c r="DL2723" s="4"/>
      <c r="DM2723" s="4"/>
      <c r="DN2723" s="4"/>
      <c r="DO2723" s="4"/>
      <c r="DP2723" s="4"/>
      <c r="DQ2723" s="4"/>
      <c r="DR2723" s="4"/>
      <c r="DS2723" s="4"/>
      <c r="DT2723" s="4"/>
      <c r="DU2723" s="4"/>
      <c r="DV2723" s="4"/>
      <c r="DW2723" s="4"/>
      <c r="DX2723" s="4"/>
      <c r="DY2723" s="4"/>
      <c r="DZ2723" s="4"/>
      <c r="EA2723" s="4"/>
      <c r="EB2723" s="4"/>
      <c r="EC2723" s="4"/>
      <c r="ED2723" s="4"/>
      <c r="EE2723" s="4"/>
      <c r="EF2723" s="4"/>
      <c r="EG2723" s="4"/>
      <c r="EH2723" s="4"/>
      <c r="EI2723" s="4"/>
      <c r="EJ2723" s="4"/>
      <c r="EK2723" s="4"/>
      <c r="EL2723" s="4"/>
      <c r="EM2723" s="4"/>
      <c r="EN2723" s="4"/>
      <c r="EO2723" s="4"/>
      <c r="EP2723" s="4"/>
      <c r="EQ2723" s="4"/>
      <c r="ER2723" s="4"/>
      <c r="ES2723" s="4"/>
      <c r="ET2723" s="4"/>
      <c r="EU2723" s="4"/>
      <c r="EV2723" s="4"/>
      <c r="EW2723" s="4"/>
      <c r="EX2723" s="4"/>
      <c r="EY2723" s="4"/>
      <c r="EZ2723" s="4"/>
      <c r="FA2723" s="4"/>
      <c r="FB2723" s="4"/>
      <c r="FC2723" s="4"/>
      <c r="FD2723" s="4"/>
      <c r="FE2723" s="4"/>
      <c r="FF2723" s="4"/>
      <c r="FG2723" s="4"/>
      <c r="FH2723" s="4"/>
      <c r="FI2723" s="4"/>
      <c r="FJ2723" s="4"/>
      <c r="FK2723" s="4"/>
      <c r="FL2723" s="4"/>
      <c r="FM2723" s="4"/>
      <c r="FN2723" s="4"/>
      <c r="FO2723" s="4"/>
      <c r="FP2723" s="4"/>
      <c r="FQ2723" s="4"/>
      <c r="FR2723" s="4"/>
      <c r="FS2723" s="4"/>
      <c r="FT2723" s="4"/>
      <c r="FU2723" s="4"/>
      <c r="FV2723" s="4"/>
      <c r="FW2723" s="4"/>
      <c r="FX2723" s="4"/>
      <c r="FY2723" s="4"/>
      <c r="FZ2723" s="4"/>
      <c r="GA2723" s="4"/>
      <c r="GB2723" s="4"/>
      <c r="GC2723" s="4"/>
      <c r="GD2723" s="4"/>
      <c r="GE2723" s="4"/>
      <c r="GF2723" s="4"/>
      <c r="GG2723" s="4"/>
      <c r="GH2723" s="4"/>
      <c r="GI2723" s="4"/>
      <c r="GJ2723" s="4"/>
      <c r="GK2723" s="4"/>
      <c r="GL2723" s="4"/>
      <c r="GM2723" s="4"/>
      <c r="GN2723" s="4"/>
      <c r="GO2723" s="4"/>
      <c r="GP2723" s="4"/>
      <c r="GQ2723" s="4"/>
      <c r="GR2723" s="4"/>
      <c r="GS2723" s="4"/>
      <c r="GT2723" s="4"/>
      <c r="GU2723" s="4"/>
      <c r="GV2723" s="4"/>
      <c r="GW2723" s="4"/>
      <c r="GX2723" s="4"/>
      <c r="GY2723" s="4"/>
      <c r="GZ2723" s="4"/>
      <c r="HA2723" s="4"/>
      <c r="HB2723" s="4"/>
      <c r="HC2723" s="4"/>
      <c r="HD2723" s="4"/>
      <c r="HE2723" s="4"/>
      <c r="HF2723" s="4"/>
      <c r="HG2723" s="4"/>
      <c r="HH2723" s="4"/>
      <c r="HI2723" s="4"/>
      <c r="HJ2723" s="4"/>
      <c r="HK2723" s="4"/>
      <c r="HL2723" s="4"/>
    </row>
    <row r="2724">
      <c r="A2724" s="2" t="s">
        <v>11618</v>
      </c>
      <c r="B2724" s="2" t="s">
        <v>287</v>
      </c>
      <c r="C2724" s="2" t="s">
        <v>263</v>
      </c>
      <c r="D2724" s="2" t="s">
        <v>289</v>
      </c>
      <c r="E2724" s="2" t="s">
        <v>290</v>
      </c>
      <c r="F2724" s="2" t="s">
        <v>11601</v>
      </c>
      <c r="G2724" s="2" t="s">
        <v>11601</v>
      </c>
      <c r="H2724" s="2" t="s">
        <v>11601</v>
      </c>
      <c r="I2724" s="2" t="s">
        <v>359</v>
      </c>
      <c r="J2724" s="2" t="s">
        <v>304</v>
      </c>
      <c r="K2724" s="2" t="s">
        <v>269</v>
      </c>
      <c r="L2724" s="3">
        <v>21.5</v>
      </c>
      <c r="M2724" s="3">
        <v>22.58</v>
      </c>
      <c r="N2724" s="3">
        <v>42.99</v>
      </c>
      <c r="O2724" s="2" t="s">
        <v>243</v>
      </c>
      <c r="P2724" s="2" t="s">
        <v>341</v>
      </c>
      <c r="Q2724" s="2" t="s">
        <v>237</v>
      </c>
      <c r="R2724" s="2" t="s">
        <v>231</v>
      </c>
      <c r="S2724" s="2" t="s">
        <v>11613</v>
      </c>
      <c r="T2724" s="2" t="s">
        <v>11603</v>
      </c>
      <c r="U2724" s="2" t="s">
        <v>298</v>
      </c>
      <c r="V2724" s="2" t="s">
        <v>239</v>
      </c>
      <c r="W2724" s="2" t="s">
        <v>273</v>
      </c>
      <c r="X2724" s="2" t="s">
        <v>691</v>
      </c>
      <c r="Y2724" s="2" t="s">
        <v>11614</v>
      </c>
      <c r="Z2724" s="4">
        <v>40</v>
      </c>
      <c r="AA2724" s="4">
        <f>=ROUNDDOWN(40,0)</f>
      </c>
      <c r="AB2724" s="5">
        <v>1</v>
      </c>
      <c r="AC2724" s="2" t="s">
        <v>231</v>
      </c>
      <c r="AD2724" s="4"/>
      <c r="AE2724" s="4"/>
      <c r="AF2724" s="6">
        <v>66</v>
      </c>
      <c r="AG2724" s="6"/>
      <c r="AH2724" s="7">
        <v>1</v>
      </c>
      <c r="AI2724" s="4"/>
      <c r="AJ2724" s="4">
        <f>=ROUNDDOWN({0},0)</f>
      </c>
      <c r="AK2724" s="5"/>
      <c r="AL2724" s="2" t="s">
        <v>231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231</v>
      </c>
      <c r="AW2724" s="8" t="s">
        <v>231</v>
      </c>
      <c r="AX2724" s="4" t="s">
        <v>231</v>
      </c>
      <c r="AY2724" s="8" t="s">
        <v>231</v>
      </c>
      <c r="AZ2724" s="7" t="s">
        <v>231</v>
      </c>
      <c r="BA2724" s="7" t="s">
        <v>231</v>
      </c>
      <c r="BB2724" s="7"/>
      <c r="BC2724" s="4" t="s">
        <v>231</v>
      </c>
      <c r="BD2724" s="8" t="s">
        <v>231</v>
      </c>
      <c r="BE2724" s="4" t="s">
        <v>231</v>
      </c>
      <c r="BF2724" s="8" t="s">
        <v>231</v>
      </c>
      <c r="BG2724" s="7" t="s">
        <v>231</v>
      </c>
      <c r="BH2724" s="7" t="s">
        <v>231</v>
      </c>
      <c r="BI2724" s="7"/>
      <c r="BJ2724" s="4">
        <v>6</v>
      </c>
      <c r="BK2724" s="8">
        <v>108.71</v>
      </c>
      <c r="BL2724" s="2" t="s">
        <v>1358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11619</v>
      </c>
      <c r="BV2724" s="2" t="s">
        <v>231</v>
      </c>
      <c r="BW2724" s="2" t="s">
        <v>231</v>
      </c>
      <c r="BX2724" s="2" t="s">
        <v>231</v>
      </c>
      <c r="BY2724" s="2" t="s">
        <v>277</v>
      </c>
      <c r="BZ2724" s="2" t="s">
        <v>243</v>
      </c>
      <c r="CA2724" s="2" t="s">
        <v>11614</v>
      </c>
      <c r="CB2724" s="2" t="s">
        <v>5280</v>
      </c>
      <c r="CC2724" s="2" t="s">
        <v>244</v>
      </c>
      <c r="CD2724" s="2" t="s">
        <v>231</v>
      </c>
      <c r="CE2724" s="4">
        <v>40</v>
      </c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4"/>
      <c r="CX2724" s="4"/>
      <c r="CY2724" s="4"/>
      <c r="CZ2724" s="4"/>
      <c r="DA2724" s="4"/>
      <c r="DB2724" s="4"/>
      <c r="DC2724" s="4"/>
      <c r="DD2724" s="4"/>
      <c r="DE2724" s="4"/>
      <c r="DF2724" s="4"/>
      <c r="DG2724" s="4"/>
      <c r="DH2724" s="4"/>
      <c r="DI2724" s="4"/>
      <c r="DJ2724" s="4"/>
      <c r="DK2724" s="4"/>
      <c r="DL2724" s="4"/>
      <c r="DM2724" s="4"/>
      <c r="DN2724" s="4"/>
      <c r="DO2724" s="4"/>
      <c r="DP2724" s="4"/>
      <c r="DQ2724" s="4"/>
      <c r="DR2724" s="4"/>
      <c r="DS2724" s="4"/>
      <c r="DT2724" s="4"/>
      <c r="DU2724" s="4"/>
      <c r="DV2724" s="4"/>
      <c r="DW2724" s="4"/>
      <c r="DX2724" s="4"/>
      <c r="DY2724" s="4"/>
      <c r="DZ2724" s="4"/>
      <c r="EA2724" s="4"/>
      <c r="EB2724" s="4"/>
      <c r="EC2724" s="4"/>
      <c r="ED2724" s="4"/>
      <c r="EE2724" s="4"/>
      <c r="EF2724" s="4"/>
      <c r="EG2724" s="4"/>
      <c r="EH2724" s="4"/>
      <c r="EI2724" s="4"/>
      <c r="EJ2724" s="4"/>
      <c r="EK2724" s="4"/>
      <c r="EL2724" s="4"/>
      <c r="EM2724" s="4"/>
      <c r="EN2724" s="4"/>
      <c r="EO2724" s="4"/>
      <c r="EP2724" s="4"/>
      <c r="EQ2724" s="4"/>
      <c r="ER2724" s="4"/>
      <c r="ES2724" s="4"/>
      <c r="ET2724" s="4"/>
      <c r="EU2724" s="4"/>
      <c r="EV2724" s="4"/>
      <c r="EW2724" s="4"/>
      <c r="EX2724" s="4"/>
      <c r="EY2724" s="4"/>
      <c r="EZ2724" s="4"/>
      <c r="FA2724" s="4"/>
      <c r="FB2724" s="4"/>
      <c r="FC2724" s="4"/>
      <c r="FD2724" s="4"/>
      <c r="FE2724" s="4"/>
      <c r="FF2724" s="4"/>
      <c r="FG2724" s="4"/>
      <c r="FH2724" s="4"/>
      <c r="FI2724" s="4"/>
      <c r="FJ2724" s="4"/>
      <c r="FK2724" s="4"/>
      <c r="FL2724" s="4"/>
      <c r="FM2724" s="4"/>
      <c r="FN2724" s="4"/>
      <c r="FO2724" s="4"/>
      <c r="FP2724" s="4"/>
      <c r="FQ2724" s="4"/>
      <c r="FR2724" s="4"/>
      <c r="FS2724" s="4"/>
      <c r="FT2724" s="4"/>
      <c r="FU2724" s="4"/>
      <c r="FV2724" s="4"/>
      <c r="FW2724" s="4"/>
      <c r="FX2724" s="4"/>
      <c r="FY2724" s="4"/>
      <c r="FZ2724" s="4"/>
      <c r="GA2724" s="4"/>
      <c r="GB2724" s="4"/>
      <c r="GC2724" s="4"/>
      <c r="GD2724" s="4"/>
      <c r="GE2724" s="4"/>
      <c r="GF2724" s="4"/>
      <c r="GG2724" s="4"/>
      <c r="GH2724" s="4"/>
      <c r="GI2724" s="4"/>
      <c r="GJ2724" s="4"/>
      <c r="GK2724" s="4"/>
      <c r="GL2724" s="4"/>
      <c r="GM2724" s="4"/>
      <c r="GN2724" s="4"/>
      <c r="GO2724" s="4"/>
      <c r="GP2724" s="4"/>
      <c r="GQ2724" s="4"/>
      <c r="GR2724" s="4"/>
      <c r="GS2724" s="4"/>
      <c r="GT2724" s="4"/>
      <c r="GU2724" s="4"/>
      <c r="GV2724" s="4"/>
      <c r="GW2724" s="4"/>
      <c r="GX2724" s="4"/>
      <c r="GY2724" s="4"/>
      <c r="GZ2724" s="4"/>
      <c r="HA2724" s="4"/>
      <c r="HB2724" s="4"/>
      <c r="HC2724" s="4"/>
      <c r="HD2724" s="4"/>
      <c r="HE2724" s="4"/>
      <c r="HF2724" s="4"/>
      <c r="HG2724" s="4"/>
      <c r="HH2724" s="4"/>
      <c r="HI2724" s="4"/>
      <c r="HJ2724" s="4"/>
      <c r="HK2724" s="4"/>
      <c r="HL2724" s="4"/>
    </row>
    <row r="2725">
      <c r="A2725" s="2" t="s">
        <v>11620</v>
      </c>
      <c r="B2725" s="2" t="s">
        <v>287</v>
      </c>
      <c r="C2725" s="2" t="s">
        <v>263</v>
      </c>
      <c r="D2725" s="2" t="s">
        <v>289</v>
      </c>
      <c r="E2725" s="2" t="s">
        <v>290</v>
      </c>
      <c r="F2725" s="2" t="s">
        <v>11601</v>
      </c>
      <c r="G2725" s="2" t="s">
        <v>11601</v>
      </c>
      <c r="H2725" s="2" t="s">
        <v>11601</v>
      </c>
      <c r="I2725" s="2" t="s">
        <v>359</v>
      </c>
      <c r="J2725" s="2" t="s">
        <v>318</v>
      </c>
      <c r="K2725" s="2" t="s">
        <v>253</v>
      </c>
      <c r="L2725" s="3">
        <v>16.5</v>
      </c>
      <c r="M2725" s="3">
        <v>17.32</v>
      </c>
      <c r="N2725" s="3">
        <v>32.99</v>
      </c>
      <c r="O2725" s="2" t="s">
        <v>243</v>
      </c>
      <c r="P2725" s="2" t="s">
        <v>270</v>
      </c>
      <c r="Q2725" s="2" t="s">
        <v>237</v>
      </c>
      <c r="R2725" s="2" t="s">
        <v>231</v>
      </c>
      <c r="S2725" s="2" t="s">
        <v>11621</v>
      </c>
      <c r="T2725" s="2" t="s">
        <v>11603</v>
      </c>
      <c r="U2725" s="2" t="s">
        <v>231</v>
      </c>
      <c r="V2725" s="2" t="s">
        <v>239</v>
      </c>
      <c r="W2725" s="2" t="s">
        <v>273</v>
      </c>
      <c r="X2725" s="2" t="s">
        <v>231</v>
      </c>
      <c r="Y2725" s="2" t="s">
        <v>274</v>
      </c>
      <c r="Z2725" s="4">
        <v>70</v>
      </c>
      <c r="AA2725" s="4">
        <f>=ROUNDDOWN(6.86274509803922,0)</f>
      </c>
      <c r="AB2725" s="5">
        <v>10.2</v>
      </c>
      <c r="AC2725" s="2" t="s">
        <v>582</v>
      </c>
      <c r="AD2725" s="4">
        <v>50</v>
      </c>
      <c r="AE2725" s="4">
        <v>80</v>
      </c>
      <c r="AF2725" s="6">
        <v>66</v>
      </c>
      <c r="AG2725" s="6"/>
      <c r="AH2725" s="7">
        <v>1</v>
      </c>
      <c r="AI2725" s="4"/>
      <c r="AJ2725" s="4">
        <f>=ROUNDDOWN({0},0)</f>
      </c>
      <c r="AK2725" s="5"/>
      <c r="AL2725" s="2" t="s">
        <v>231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231</v>
      </c>
      <c r="AW2725" s="8" t="s">
        <v>231</v>
      </c>
      <c r="AX2725" s="4" t="s">
        <v>231</v>
      </c>
      <c r="AY2725" s="8" t="s">
        <v>231</v>
      </c>
      <c r="AZ2725" s="7" t="s">
        <v>231</v>
      </c>
      <c r="BA2725" s="7" t="s">
        <v>231</v>
      </c>
      <c r="BB2725" s="7"/>
      <c r="BC2725" s="4" t="s">
        <v>231</v>
      </c>
      <c r="BD2725" s="8" t="s">
        <v>231</v>
      </c>
      <c r="BE2725" s="4" t="s">
        <v>231</v>
      </c>
      <c r="BF2725" s="8" t="s">
        <v>231</v>
      </c>
      <c r="BG2725" s="7" t="s">
        <v>231</v>
      </c>
      <c r="BH2725" s="7" t="s">
        <v>231</v>
      </c>
      <c r="BI2725" s="7"/>
      <c r="BJ2725" s="4">
        <v>59</v>
      </c>
      <c r="BK2725" s="8">
        <v>843.07</v>
      </c>
      <c r="BL2725" s="2" t="s">
        <v>11622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11623</v>
      </c>
      <c r="BV2725" s="2" t="s">
        <v>231</v>
      </c>
      <c r="BW2725" s="2" t="s">
        <v>231</v>
      </c>
      <c r="BX2725" s="2" t="s">
        <v>231</v>
      </c>
      <c r="BY2725" s="2" t="s">
        <v>277</v>
      </c>
      <c r="BZ2725" s="2" t="s">
        <v>243</v>
      </c>
      <c r="CA2725" s="2" t="s">
        <v>10300</v>
      </c>
      <c r="CB2725" s="2" t="s">
        <v>4248</v>
      </c>
      <c r="CC2725" s="2" t="s">
        <v>244</v>
      </c>
      <c r="CD2725" s="2" t="s">
        <v>231</v>
      </c>
      <c r="CE2725" s="4">
        <v>70</v>
      </c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4"/>
      <c r="CX2725" s="4"/>
      <c r="CY2725" s="4"/>
      <c r="CZ2725" s="4"/>
      <c r="DA2725" s="4"/>
      <c r="DB2725" s="4"/>
      <c r="DC2725" s="4"/>
      <c r="DD2725" s="4"/>
      <c r="DE2725" s="4"/>
      <c r="DF2725" s="4"/>
      <c r="DG2725" s="4"/>
      <c r="DH2725" s="4"/>
      <c r="DI2725" s="4"/>
      <c r="DJ2725" s="4"/>
      <c r="DK2725" s="4"/>
      <c r="DL2725" s="4"/>
      <c r="DM2725" s="4"/>
      <c r="DN2725" s="4"/>
      <c r="DO2725" s="4"/>
      <c r="DP2725" s="4"/>
      <c r="DQ2725" s="4"/>
      <c r="DR2725" s="4"/>
      <c r="DS2725" s="4"/>
      <c r="DT2725" s="4"/>
      <c r="DU2725" s="4"/>
      <c r="DV2725" s="4"/>
      <c r="DW2725" s="4"/>
      <c r="DX2725" s="4"/>
      <c r="DY2725" s="4"/>
      <c r="DZ2725" s="4"/>
      <c r="EA2725" s="4"/>
      <c r="EB2725" s="4"/>
      <c r="EC2725" s="4"/>
      <c r="ED2725" s="4"/>
      <c r="EE2725" s="4"/>
      <c r="EF2725" s="4"/>
      <c r="EG2725" s="4"/>
      <c r="EH2725" s="4"/>
      <c r="EI2725" s="4"/>
      <c r="EJ2725" s="4"/>
      <c r="EK2725" s="4"/>
      <c r="EL2725" s="4"/>
      <c r="EM2725" s="4"/>
      <c r="EN2725" s="4"/>
      <c r="EO2725" s="4"/>
      <c r="EP2725" s="4"/>
      <c r="EQ2725" s="4"/>
      <c r="ER2725" s="4"/>
      <c r="ES2725" s="4"/>
      <c r="ET2725" s="4"/>
      <c r="EU2725" s="4"/>
      <c r="EV2725" s="4"/>
      <c r="EW2725" s="4"/>
      <c r="EX2725" s="4"/>
      <c r="EY2725" s="4"/>
      <c r="EZ2725" s="4"/>
      <c r="FA2725" s="4"/>
      <c r="FB2725" s="4"/>
      <c r="FC2725" s="4"/>
      <c r="FD2725" s="4"/>
      <c r="FE2725" s="4"/>
      <c r="FF2725" s="4"/>
      <c r="FG2725" s="4"/>
      <c r="FH2725" s="4"/>
      <c r="FI2725" s="4"/>
      <c r="FJ2725" s="4"/>
      <c r="FK2725" s="4"/>
      <c r="FL2725" s="4"/>
      <c r="FM2725" s="4"/>
      <c r="FN2725" s="4"/>
      <c r="FO2725" s="4">
        <v>50</v>
      </c>
      <c r="FP2725" s="4"/>
      <c r="FQ2725" s="4"/>
      <c r="FR2725" s="4"/>
      <c r="FS2725" s="4"/>
      <c r="FT2725" s="4"/>
      <c r="FU2725" s="4"/>
      <c r="FV2725" s="4"/>
      <c r="FW2725" s="4"/>
      <c r="FX2725" s="4"/>
      <c r="FY2725" s="4"/>
      <c r="FZ2725" s="4"/>
      <c r="GA2725" s="4"/>
      <c r="GB2725" s="4"/>
      <c r="GC2725" s="4"/>
      <c r="GD2725" s="4"/>
      <c r="GE2725" s="4"/>
      <c r="GF2725" s="4"/>
      <c r="GG2725" s="4"/>
      <c r="GH2725" s="4"/>
      <c r="GI2725" s="4"/>
      <c r="GJ2725" s="4"/>
      <c r="GK2725" s="4"/>
      <c r="GL2725" s="4"/>
      <c r="GM2725" s="4"/>
      <c r="GN2725" s="4"/>
      <c r="GO2725" s="4"/>
      <c r="GP2725" s="4"/>
      <c r="GQ2725" s="4">
        <v>30</v>
      </c>
      <c r="GR2725" s="4"/>
      <c r="GS2725" s="4"/>
      <c r="GT2725" s="4"/>
      <c r="GU2725" s="4"/>
      <c r="GV2725" s="4"/>
      <c r="GW2725" s="4"/>
      <c r="GX2725" s="4"/>
      <c r="GY2725" s="4"/>
      <c r="GZ2725" s="4"/>
      <c r="HA2725" s="4"/>
      <c r="HB2725" s="4"/>
      <c r="HC2725" s="4"/>
      <c r="HD2725" s="4"/>
      <c r="HE2725" s="4"/>
      <c r="HF2725" s="4"/>
      <c r="HG2725" s="4"/>
      <c r="HH2725" s="4"/>
      <c r="HI2725" s="4"/>
      <c r="HJ2725" s="4"/>
      <c r="HK2725" s="4"/>
      <c r="HL2725" s="4"/>
    </row>
    <row r="2726">
      <c r="A2726" s="2" t="s">
        <v>11624</v>
      </c>
      <c r="B2726" s="2" t="s">
        <v>287</v>
      </c>
      <c r="C2726" s="2" t="s">
        <v>263</v>
      </c>
      <c r="D2726" s="2" t="s">
        <v>289</v>
      </c>
      <c r="E2726" s="2" t="s">
        <v>290</v>
      </c>
      <c r="F2726" s="2" t="s">
        <v>11601</v>
      </c>
      <c r="G2726" s="2" t="s">
        <v>11601</v>
      </c>
      <c r="H2726" s="2" t="s">
        <v>11601</v>
      </c>
      <c r="I2726" s="2" t="s">
        <v>359</v>
      </c>
      <c r="J2726" s="2" t="s">
        <v>281</v>
      </c>
      <c r="K2726" s="2" t="s">
        <v>253</v>
      </c>
      <c r="L2726" s="3">
        <v>16.5</v>
      </c>
      <c r="M2726" s="3">
        <v>17.32</v>
      </c>
      <c r="N2726" s="3">
        <v>32.99</v>
      </c>
      <c r="O2726" s="2" t="s">
        <v>243</v>
      </c>
      <c r="P2726" s="2" t="s">
        <v>270</v>
      </c>
      <c r="Q2726" s="2" t="s">
        <v>237</v>
      </c>
      <c r="R2726" s="2" t="s">
        <v>231</v>
      </c>
      <c r="S2726" s="2" t="s">
        <v>11621</v>
      </c>
      <c r="T2726" s="2" t="s">
        <v>11603</v>
      </c>
      <c r="U2726" s="2" t="s">
        <v>231</v>
      </c>
      <c r="V2726" s="2" t="s">
        <v>239</v>
      </c>
      <c r="W2726" s="2" t="s">
        <v>273</v>
      </c>
      <c r="X2726" s="2" t="s">
        <v>231</v>
      </c>
      <c r="Y2726" s="2" t="s">
        <v>10550</v>
      </c>
      <c r="Z2726" s="4">
        <v>133</v>
      </c>
      <c r="AA2726" s="4">
        <f>=ROUNDDOWN(10.2307692307692,0)</f>
      </c>
      <c r="AB2726" s="5">
        <v>13</v>
      </c>
      <c r="AC2726" s="2" t="s">
        <v>477</v>
      </c>
      <c r="AD2726" s="4">
        <v>100</v>
      </c>
      <c r="AE2726" s="4">
        <v>320</v>
      </c>
      <c r="AF2726" s="6">
        <v>66</v>
      </c>
      <c r="AG2726" s="6"/>
      <c r="AH2726" s="7">
        <v>1</v>
      </c>
      <c r="AI2726" s="4"/>
      <c r="AJ2726" s="4">
        <f>=ROUNDDOWN({0},0)</f>
      </c>
      <c r="AK2726" s="5"/>
      <c r="AL2726" s="2" t="s">
        <v>231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231</v>
      </c>
      <c r="AW2726" s="8" t="s">
        <v>231</v>
      </c>
      <c r="AX2726" s="4" t="s">
        <v>231</v>
      </c>
      <c r="AY2726" s="8" t="s">
        <v>231</v>
      </c>
      <c r="AZ2726" s="7" t="s">
        <v>231</v>
      </c>
      <c r="BA2726" s="7" t="s">
        <v>231</v>
      </c>
      <c r="BB2726" s="7"/>
      <c r="BC2726" s="4" t="s">
        <v>231</v>
      </c>
      <c r="BD2726" s="8" t="s">
        <v>231</v>
      </c>
      <c r="BE2726" s="4" t="s">
        <v>231</v>
      </c>
      <c r="BF2726" s="8" t="s">
        <v>231</v>
      </c>
      <c r="BG2726" s="7" t="s">
        <v>231</v>
      </c>
      <c r="BH2726" s="7" t="s">
        <v>231</v>
      </c>
      <c r="BI2726" s="7"/>
      <c r="BJ2726" s="4">
        <v>75</v>
      </c>
      <c r="BK2726" s="8">
        <v>1225.52</v>
      </c>
      <c r="BL2726" s="2" t="s">
        <v>11625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11626</v>
      </c>
      <c r="BV2726" s="2" t="s">
        <v>231</v>
      </c>
      <c r="BW2726" s="2" t="s">
        <v>231</v>
      </c>
      <c r="BX2726" s="2" t="s">
        <v>231</v>
      </c>
      <c r="BY2726" s="2" t="s">
        <v>277</v>
      </c>
      <c r="BZ2726" s="2" t="s">
        <v>243</v>
      </c>
      <c r="CA2726" s="2" t="s">
        <v>10300</v>
      </c>
      <c r="CB2726" s="2" t="s">
        <v>3467</v>
      </c>
      <c r="CC2726" s="2" t="s">
        <v>244</v>
      </c>
      <c r="CD2726" s="2" t="s">
        <v>231</v>
      </c>
      <c r="CE2726" s="4">
        <v>133</v>
      </c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4"/>
      <c r="CX2726" s="4"/>
      <c r="CY2726" s="4"/>
      <c r="CZ2726" s="4"/>
      <c r="DA2726" s="4"/>
      <c r="DB2726" s="4"/>
      <c r="DC2726" s="4"/>
      <c r="DD2726" s="4"/>
      <c r="DE2726" s="4"/>
      <c r="DF2726" s="4"/>
      <c r="DG2726" s="4"/>
      <c r="DH2726" s="4"/>
      <c r="DI2726" s="4"/>
      <c r="DJ2726" s="4"/>
      <c r="DK2726" s="4"/>
      <c r="DL2726" s="4"/>
      <c r="DM2726" s="4"/>
      <c r="DN2726" s="4"/>
      <c r="DO2726" s="4"/>
      <c r="DP2726" s="4"/>
      <c r="DQ2726" s="4"/>
      <c r="DR2726" s="4"/>
      <c r="DS2726" s="4">
        <v>100</v>
      </c>
      <c r="DT2726" s="4"/>
      <c r="DU2726" s="4"/>
      <c r="DV2726" s="4"/>
      <c r="DW2726" s="4"/>
      <c r="DX2726" s="4"/>
      <c r="DY2726" s="4"/>
      <c r="DZ2726" s="4"/>
      <c r="EA2726" s="4"/>
      <c r="EB2726" s="4"/>
      <c r="EC2726" s="4"/>
      <c r="ED2726" s="4"/>
      <c r="EE2726" s="4"/>
      <c r="EF2726" s="4"/>
      <c r="EG2726" s="4"/>
      <c r="EH2726" s="4"/>
      <c r="EI2726" s="4"/>
      <c r="EJ2726" s="4"/>
      <c r="EK2726" s="4"/>
      <c r="EL2726" s="4"/>
      <c r="EM2726" s="4"/>
      <c r="EN2726" s="4"/>
      <c r="EO2726" s="4"/>
      <c r="EP2726" s="4"/>
      <c r="EQ2726" s="4"/>
      <c r="ER2726" s="4"/>
      <c r="ES2726" s="4"/>
      <c r="ET2726" s="4"/>
      <c r="EU2726" s="4"/>
      <c r="EV2726" s="4"/>
      <c r="EW2726" s="4"/>
      <c r="EX2726" s="4"/>
      <c r="EY2726" s="4"/>
      <c r="EZ2726" s="4"/>
      <c r="FA2726" s="4"/>
      <c r="FB2726" s="4"/>
      <c r="FC2726" s="4"/>
      <c r="FD2726" s="4"/>
      <c r="FE2726" s="4"/>
      <c r="FF2726" s="4"/>
      <c r="FG2726" s="4"/>
      <c r="FH2726" s="4"/>
      <c r="FI2726" s="4"/>
      <c r="FJ2726" s="4"/>
      <c r="FK2726" s="4"/>
      <c r="FL2726" s="4"/>
      <c r="FM2726" s="4"/>
      <c r="FN2726" s="4"/>
      <c r="FO2726" s="4">
        <v>150</v>
      </c>
      <c r="FP2726" s="4"/>
      <c r="FQ2726" s="4"/>
      <c r="FR2726" s="4"/>
      <c r="FS2726" s="4"/>
      <c r="FT2726" s="4"/>
      <c r="FU2726" s="4"/>
      <c r="FV2726" s="4"/>
      <c r="FW2726" s="4"/>
      <c r="FX2726" s="4"/>
      <c r="FY2726" s="4"/>
      <c r="FZ2726" s="4"/>
      <c r="GA2726" s="4"/>
      <c r="GB2726" s="4"/>
      <c r="GC2726" s="4"/>
      <c r="GD2726" s="4"/>
      <c r="GE2726" s="4"/>
      <c r="GF2726" s="4"/>
      <c r="GG2726" s="4"/>
      <c r="GH2726" s="4"/>
      <c r="GI2726" s="4"/>
      <c r="GJ2726" s="4"/>
      <c r="GK2726" s="4"/>
      <c r="GL2726" s="4"/>
      <c r="GM2726" s="4"/>
      <c r="GN2726" s="4"/>
      <c r="GO2726" s="4"/>
      <c r="GP2726" s="4"/>
      <c r="GQ2726" s="4">
        <v>70</v>
      </c>
      <c r="GR2726" s="4"/>
      <c r="GS2726" s="4"/>
      <c r="GT2726" s="4"/>
      <c r="GU2726" s="4"/>
      <c r="GV2726" s="4"/>
      <c r="GW2726" s="4"/>
      <c r="GX2726" s="4"/>
      <c r="GY2726" s="4"/>
      <c r="GZ2726" s="4"/>
      <c r="HA2726" s="4"/>
      <c r="HB2726" s="4"/>
      <c r="HC2726" s="4"/>
      <c r="HD2726" s="4"/>
      <c r="HE2726" s="4"/>
      <c r="HF2726" s="4"/>
      <c r="HG2726" s="4"/>
      <c r="HH2726" s="4"/>
      <c r="HI2726" s="4"/>
      <c r="HJ2726" s="4"/>
      <c r="HK2726" s="4"/>
      <c r="HL2726" s="4"/>
    </row>
    <row r="2727">
      <c r="A2727" s="2" t="s">
        <v>11627</v>
      </c>
      <c r="B2727" s="2" t="s">
        <v>287</v>
      </c>
      <c r="C2727" s="2" t="s">
        <v>263</v>
      </c>
      <c r="D2727" s="2" t="s">
        <v>289</v>
      </c>
      <c r="E2727" s="2" t="s">
        <v>290</v>
      </c>
      <c r="F2727" s="2" t="s">
        <v>11601</v>
      </c>
      <c r="G2727" s="2" t="s">
        <v>11601</v>
      </c>
      <c r="H2727" s="2" t="s">
        <v>11601</v>
      </c>
      <c r="I2727" s="2" t="s">
        <v>359</v>
      </c>
      <c r="J2727" s="2" t="s">
        <v>304</v>
      </c>
      <c r="K2727" s="2" t="s">
        <v>253</v>
      </c>
      <c r="L2727" s="3">
        <v>21.5</v>
      </c>
      <c r="M2727" s="3">
        <v>22.58</v>
      </c>
      <c r="N2727" s="3">
        <v>42.99</v>
      </c>
      <c r="O2727" s="2" t="s">
        <v>243</v>
      </c>
      <c r="P2727" s="2" t="s">
        <v>270</v>
      </c>
      <c r="Q2727" s="2" t="s">
        <v>237</v>
      </c>
      <c r="R2727" s="2" t="s">
        <v>231</v>
      </c>
      <c r="S2727" s="2" t="s">
        <v>11621</v>
      </c>
      <c r="T2727" s="2" t="s">
        <v>11603</v>
      </c>
      <c r="U2727" s="2" t="s">
        <v>231</v>
      </c>
      <c r="V2727" s="2" t="s">
        <v>239</v>
      </c>
      <c r="W2727" s="2" t="s">
        <v>273</v>
      </c>
      <c r="X2727" s="2" t="s">
        <v>231</v>
      </c>
      <c r="Y2727" s="2" t="s">
        <v>10550</v>
      </c>
      <c r="Z2727" s="4">
        <v>74</v>
      </c>
      <c r="AA2727" s="4">
        <f>=ROUNDDOWN(20,0)</f>
      </c>
      <c r="AB2727" s="5">
        <v>3.7</v>
      </c>
      <c r="AC2727" s="2" t="s">
        <v>582</v>
      </c>
      <c r="AD2727" s="4">
        <v>50</v>
      </c>
      <c r="AE2727" s="4">
        <v>110</v>
      </c>
      <c r="AF2727" s="6">
        <v>66</v>
      </c>
      <c r="AG2727" s="6"/>
      <c r="AH2727" s="7">
        <v>1</v>
      </c>
      <c r="AI2727" s="4"/>
      <c r="AJ2727" s="4">
        <f>=ROUNDDOWN({0},0)</f>
      </c>
      <c r="AK2727" s="5"/>
      <c r="AL2727" s="2" t="s">
        <v>231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231</v>
      </c>
      <c r="AW2727" s="8" t="s">
        <v>231</v>
      </c>
      <c r="AX2727" s="4" t="s">
        <v>231</v>
      </c>
      <c r="AY2727" s="8" t="s">
        <v>231</v>
      </c>
      <c r="AZ2727" s="7" t="s">
        <v>231</v>
      </c>
      <c r="BA2727" s="7" t="s">
        <v>231</v>
      </c>
      <c r="BB2727" s="7"/>
      <c r="BC2727" s="4" t="s">
        <v>231</v>
      </c>
      <c r="BD2727" s="8" t="s">
        <v>231</v>
      </c>
      <c r="BE2727" s="4" t="s">
        <v>231</v>
      </c>
      <c r="BF2727" s="8" t="s">
        <v>231</v>
      </c>
      <c r="BG2727" s="7" t="s">
        <v>231</v>
      </c>
      <c r="BH2727" s="7" t="s">
        <v>231</v>
      </c>
      <c r="BI2727" s="7"/>
      <c r="BJ2727" s="4">
        <v>24</v>
      </c>
      <c r="BK2727" s="8">
        <v>511.2</v>
      </c>
      <c r="BL2727" s="2" t="s">
        <v>11628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11629</v>
      </c>
      <c r="BV2727" s="2" t="s">
        <v>231</v>
      </c>
      <c r="BW2727" s="2" t="s">
        <v>231</v>
      </c>
      <c r="BX2727" s="2" t="s">
        <v>231</v>
      </c>
      <c r="BY2727" s="2" t="s">
        <v>277</v>
      </c>
      <c r="BZ2727" s="2" t="s">
        <v>243</v>
      </c>
      <c r="CA2727" s="2" t="s">
        <v>10300</v>
      </c>
      <c r="CB2727" s="2" t="s">
        <v>3004</v>
      </c>
      <c r="CC2727" s="2" t="s">
        <v>244</v>
      </c>
      <c r="CD2727" s="2" t="s">
        <v>231</v>
      </c>
      <c r="CE2727" s="4">
        <v>74</v>
      </c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4"/>
      <c r="CX2727" s="4"/>
      <c r="CY2727" s="4"/>
      <c r="CZ2727" s="4"/>
      <c r="DA2727" s="4"/>
      <c r="DB2727" s="4"/>
      <c r="DC2727" s="4"/>
      <c r="DD2727" s="4"/>
      <c r="DE2727" s="4"/>
      <c r="DF2727" s="4"/>
      <c r="DG2727" s="4"/>
      <c r="DH2727" s="4"/>
      <c r="DI2727" s="4"/>
      <c r="DJ2727" s="4"/>
      <c r="DK2727" s="4"/>
      <c r="DL2727" s="4"/>
      <c r="DM2727" s="4"/>
      <c r="DN2727" s="4"/>
      <c r="DO2727" s="4"/>
      <c r="DP2727" s="4"/>
      <c r="DQ2727" s="4"/>
      <c r="DR2727" s="4"/>
      <c r="DS2727" s="4"/>
      <c r="DT2727" s="4"/>
      <c r="DU2727" s="4"/>
      <c r="DV2727" s="4"/>
      <c r="DW2727" s="4"/>
      <c r="DX2727" s="4"/>
      <c r="DY2727" s="4"/>
      <c r="DZ2727" s="4"/>
      <c r="EA2727" s="4"/>
      <c r="EB2727" s="4"/>
      <c r="EC2727" s="4"/>
      <c r="ED2727" s="4"/>
      <c r="EE2727" s="4"/>
      <c r="EF2727" s="4"/>
      <c r="EG2727" s="4"/>
      <c r="EH2727" s="4"/>
      <c r="EI2727" s="4"/>
      <c r="EJ2727" s="4"/>
      <c r="EK2727" s="4"/>
      <c r="EL2727" s="4"/>
      <c r="EM2727" s="4"/>
      <c r="EN2727" s="4"/>
      <c r="EO2727" s="4"/>
      <c r="EP2727" s="4"/>
      <c r="EQ2727" s="4"/>
      <c r="ER2727" s="4"/>
      <c r="ES2727" s="4"/>
      <c r="ET2727" s="4"/>
      <c r="EU2727" s="4"/>
      <c r="EV2727" s="4"/>
      <c r="EW2727" s="4"/>
      <c r="EX2727" s="4"/>
      <c r="EY2727" s="4"/>
      <c r="EZ2727" s="4"/>
      <c r="FA2727" s="4"/>
      <c r="FB2727" s="4"/>
      <c r="FC2727" s="4"/>
      <c r="FD2727" s="4"/>
      <c r="FE2727" s="4"/>
      <c r="FF2727" s="4"/>
      <c r="FG2727" s="4"/>
      <c r="FH2727" s="4"/>
      <c r="FI2727" s="4"/>
      <c r="FJ2727" s="4"/>
      <c r="FK2727" s="4"/>
      <c r="FL2727" s="4"/>
      <c r="FM2727" s="4"/>
      <c r="FN2727" s="4"/>
      <c r="FO2727" s="4">
        <v>50</v>
      </c>
      <c r="FP2727" s="4"/>
      <c r="FQ2727" s="4"/>
      <c r="FR2727" s="4"/>
      <c r="FS2727" s="4"/>
      <c r="FT2727" s="4"/>
      <c r="FU2727" s="4"/>
      <c r="FV2727" s="4"/>
      <c r="FW2727" s="4"/>
      <c r="FX2727" s="4"/>
      <c r="FY2727" s="4"/>
      <c r="FZ2727" s="4"/>
      <c r="GA2727" s="4"/>
      <c r="GB2727" s="4"/>
      <c r="GC2727" s="4"/>
      <c r="GD2727" s="4"/>
      <c r="GE2727" s="4"/>
      <c r="GF2727" s="4"/>
      <c r="GG2727" s="4"/>
      <c r="GH2727" s="4"/>
      <c r="GI2727" s="4"/>
      <c r="GJ2727" s="4"/>
      <c r="GK2727" s="4"/>
      <c r="GL2727" s="4"/>
      <c r="GM2727" s="4"/>
      <c r="GN2727" s="4"/>
      <c r="GO2727" s="4"/>
      <c r="GP2727" s="4"/>
      <c r="GQ2727" s="4">
        <v>60</v>
      </c>
      <c r="GR2727" s="4"/>
      <c r="GS2727" s="4"/>
      <c r="GT2727" s="4"/>
      <c r="GU2727" s="4"/>
      <c r="GV2727" s="4"/>
      <c r="GW2727" s="4"/>
      <c r="GX2727" s="4"/>
      <c r="GY2727" s="4"/>
      <c r="GZ2727" s="4"/>
      <c r="HA2727" s="4"/>
      <c r="HB2727" s="4"/>
      <c r="HC2727" s="4"/>
      <c r="HD2727" s="4"/>
      <c r="HE2727" s="4"/>
      <c r="HF2727" s="4"/>
      <c r="HG2727" s="4"/>
      <c r="HH2727" s="4"/>
      <c r="HI2727" s="4"/>
      <c r="HJ2727" s="4"/>
      <c r="HK2727" s="4"/>
      <c r="HL2727" s="4"/>
    </row>
    <row r="2728">
      <c r="A2728" s="2" t="s">
        <v>11630</v>
      </c>
      <c r="B2728" s="2" t="s">
        <v>287</v>
      </c>
      <c r="C2728" s="2" t="s">
        <v>263</v>
      </c>
      <c r="D2728" s="2" t="s">
        <v>289</v>
      </c>
      <c r="E2728" s="2" t="s">
        <v>290</v>
      </c>
      <c r="F2728" s="2" t="s">
        <v>11601</v>
      </c>
      <c r="G2728" s="2" t="s">
        <v>11601</v>
      </c>
      <c r="H2728" s="2" t="s">
        <v>11601</v>
      </c>
      <c r="I2728" s="2" t="s">
        <v>359</v>
      </c>
      <c r="J2728" s="2" t="s">
        <v>318</v>
      </c>
      <c r="K2728" s="2" t="s">
        <v>306</v>
      </c>
      <c r="L2728" s="3">
        <v>16.5</v>
      </c>
      <c r="M2728" s="3">
        <v>17.32</v>
      </c>
      <c r="N2728" s="3">
        <v>32.99</v>
      </c>
      <c r="O2728" s="2" t="s">
        <v>243</v>
      </c>
      <c r="P2728" s="2" t="s">
        <v>1985</v>
      </c>
      <c r="Q2728" s="2" t="s">
        <v>237</v>
      </c>
      <c r="R2728" s="2" t="s">
        <v>231</v>
      </c>
      <c r="S2728" s="2" t="s">
        <v>11631</v>
      </c>
      <c r="T2728" s="2" t="s">
        <v>11603</v>
      </c>
      <c r="U2728" s="2" t="s">
        <v>231</v>
      </c>
      <c r="V2728" s="2" t="s">
        <v>239</v>
      </c>
      <c r="W2728" s="2" t="s">
        <v>273</v>
      </c>
      <c r="X2728" s="2" t="s">
        <v>231</v>
      </c>
      <c r="Y2728" s="2" t="s">
        <v>274</v>
      </c>
      <c r="Z2728" s="4">
        <v>63</v>
      </c>
      <c r="AA2728" s="4">
        <f>=ROUNDDOWN(31.5,0)</f>
      </c>
      <c r="AB2728" s="5">
        <v>2</v>
      </c>
      <c r="AC2728" s="2" t="s">
        <v>1458</v>
      </c>
      <c r="AD2728" s="4">
        <v>30</v>
      </c>
      <c r="AE2728" s="4">
        <v>30</v>
      </c>
      <c r="AF2728" s="6">
        <v>66</v>
      </c>
      <c r="AG2728" s="6"/>
      <c r="AH2728" s="7">
        <v>1</v>
      </c>
      <c r="AI2728" s="4"/>
      <c r="AJ2728" s="4">
        <f>=ROUNDDOWN({0},0)</f>
      </c>
      <c r="AK2728" s="5"/>
      <c r="AL2728" s="2" t="s">
        <v>231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231</v>
      </c>
      <c r="AW2728" s="8" t="s">
        <v>231</v>
      </c>
      <c r="AX2728" s="4" t="s">
        <v>231</v>
      </c>
      <c r="AY2728" s="8" t="s">
        <v>231</v>
      </c>
      <c r="AZ2728" s="7" t="s">
        <v>231</v>
      </c>
      <c r="BA2728" s="7" t="s">
        <v>231</v>
      </c>
      <c r="BB2728" s="7"/>
      <c r="BC2728" s="4" t="s">
        <v>231</v>
      </c>
      <c r="BD2728" s="8" t="s">
        <v>231</v>
      </c>
      <c r="BE2728" s="4" t="s">
        <v>231</v>
      </c>
      <c r="BF2728" s="8" t="s">
        <v>231</v>
      </c>
      <c r="BG2728" s="7" t="s">
        <v>231</v>
      </c>
      <c r="BH2728" s="7" t="s">
        <v>231</v>
      </c>
      <c r="BI2728" s="7"/>
      <c r="BJ2728" s="4">
        <v>4</v>
      </c>
      <c r="BK2728" s="8">
        <v>64.37</v>
      </c>
      <c r="BL2728" s="2" t="s">
        <v>6030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11632</v>
      </c>
      <c r="BV2728" s="2" t="s">
        <v>231</v>
      </c>
      <c r="BW2728" s="2" t="s">
        <v>231</v>
      </c>
      <c r="BX2728" s="2" t="s">
        <v>231</v>
      </c>
      <c r="BY2728" s="2" t="s">
        <v>277</v>
      </c>
      <c r="BZ2728" s="2" t="s">
        <v>243</v>
      </c>
      <c r="CA2728" s="2" t="s">
        <v>10300</v>
      </c>
      <c r="CB2728" s="2" t="s">
        <v>8798</v>
      </c>
      <c r="CC2728" s="2" t="s">
        <v>244</v>
      </c>
      <c r="CD2728" s="2" t="s">
        <v>231</v>
      </c>
      <c r="CE2728" s="4">
        <v>63</v>
      </c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4"/>
      <c r="CX2728" s="4"/>
      <c r="CY2728" s="4"/>
      <c r="CZ2728" s="4"/>
      <c r="DA2728" s="4"/>
      <c r="DB2728" s="4"/>
      <c r="DC2728" s="4"/>
      <c r="DD2728" s="4"/>
      <c r="DE2728" s="4"/>
      <c r="DF2728" s="4"/>
      <c r="DG2728" s="4"/>
      <c r="DH2728" s="4"/>
      <c r="DI2728" s="4"/>
      <c r="DJ2728" s="4"/>
      <c r="DK2728" s="4"/>
      <c r="DL2728" s="4"/>
      <c r="DM2728" s="4"/>
      <c r="DN2728" s="4"/>
      <c r="DO2728" s="4"/>
      <c r="DP2728" s="4"/>
      <c r="DQ2728" s="4"/>
      <c r="DR2728" s="4"/>
      <c r="DS2728" s="4"/>
      <c r="DT2728" s="4"/>
      <c r="DU2728" s="4"/>
      <c r="DV2728" s="4"/>
      <c r="DW2728" s="4"/>
      <c r="DX2728" s="4"/>
      <c r="DY2728" s="4"/>
      <c r="DZ2728" s="4"/>
      <c r="EA2728" s="4"/>
      <c r="EB2728" s="4"/>
      <c r="EC2728" s="4"/>
      <c r="ED2728" s="4"/>
      <c r="EE2728" s="4"/>
      <c r="EF2728" s="4"/>
      <c r="EG2728" s="4"/>
      <c r="EH2728" s="4"/>
      <c r="EI2728" s="4"/>
      <c r="EJ2728" s="4"/>
      <c r="EK2728" s="4"/>
      <c r="EL2728" s="4"/>
      <c r="EM2728" s="4"/>
      <c r="EN2728" s="4"/>
      <c r="EO2728" s="4"/>
      <c r="EP2728" s="4"/>
      <c r="EQ2728" s="4"/>
      <c r="ER2728" s="4"/>
      <c r="ES2728" s="4"/>
      <c r="ET2728" s="4"/>
      <c r="EU2728" s="4"/>
      <c r="EV2728" s="4"/>
      <c r="EW2728" s="4"/>
      <c r="EX2728" s="4"/>
      <c r="EY2728" s="4"/>
      <c r="EZ2728" s="4"/>
      <c r="FA2728" s="4"/>
      <c r="FB2728" s="4"/>
      <c r="FC2728" s="4"/>
      <c r="FD2728" s="4"/>
      <c r="FE2728" s="4"/>
      <c r="FF2728" s="4"/>
      <c r="FG2728" s="4"/>
      <c r="FH2728" s="4"/>
      <c r="FI2728" s="4"/>
      <c r="FJ2728" s="4"/>
      <c r="FK2728" s="4"/>
      <c r="FL2728" s="4"/>
      <c r="FM2728" s="4"/>
      <c r="FN2728" s="4"/>
      <c r="FO2728" s="4"/>
      <c r="FP2728" s="4"/>
      <c r="FQ2728" s="4"/>
      <c r="FR2728" s="4"/>
      <c r="FS2728" s="4"/>
      <c r="FT2728" s="4"/>
      <c r="FU2728" s="4"/>
      <c r="FV2728" s="4"/>
      <c r="FW2728" s="4"/>
      <c r="FX2728" s="4"/>
      <c r="FY2728" s="4"/>
      <c r="FZ2728" s="4"/>
      <c r="GA2728" s="4"/>
      <c r="GB2728" s="4"/>
      <c r="GC2728" s="4"/>
      <c r="GD2728" s="4"/>
      <c r="GE2728" s="4"/>
      <c r="GF2728" s="4"/>
      <c r="GG2728" s="4"/>
      <c r="GH2728" s="4"/>
      <c r="GI2728" s="4"/>
      <c r="GJ2728" s="4"/>
      <c r="GK2728" s="4"/>
      <c r="GL2728" s="4"/>
      <c r="GM2728" s="4"/>
      <c r="GN2728" s="4"/>
      <c r="GO2728" s="4"/>
      <c r="GP2728" s="4"/>
      <c r="GQ2728" s="4"/>
      <c r="GR2728" s="4"/>
      <c r="GS2728" s="4"/>
      <c r="GT2728" s="4"/>
      <c r="GU2728" s="4">
        <v>30</v>
      </c>
      <c r="GV2728" s="4"/>
      <c r="GW2728" s="4"/>
      <c r="GX2728" s="4"/>
      <c r="GY2728" s="4"/>
      <c r="GZ2728" s="4"/>
      <c r="HA2728" s="4"/>
      <c r="HB2728" s="4"/>
      <c r="HC2728" s="4"/>
      <c r="HD2728" s="4"/>
      <c r="HE2728" s="4"/>
      <c r="HF2728" s="4"/>
      <c r="HG2728" s="4"/>
      <c r="HH2728" s="4"/>
      <c r="HI2728" s="4"/>
      <c r="HJ2728" s="4"/>
      <c r="HK2728" s="4"/>
      <c r="HL2728" s="4"/>
    </row>
    <row r="2729">
      <c r="A2729" s="2" t="s">
        <v>11633</v>
      </c>
      <c r="B2729" s="2" t="s">
        <v>287</v>
      </c>
      <c r="C2729" s="2" t="s">
        <v>263</v>
      </c>
      <c r="D2729" s="2" t="s">
        <v>289</v>
      </c>
      <c r="E2729" s="2" t="s">
        <v>290</v>
      </c>
      <c r="F2729" s="2" t="s">
        <v>11601</v>
      </c>
      <c r="G2729" s="2" t="s">
        <v>11601</v>
      </c>
      <c r="H2729" s="2" t="s">
        <v>11601</v>
      </c>
      <c r="I2729" s="2" t="s">
        <v>359</v>
      </c>
      <c r="J2729" s="2" t="s">
        <v>281</v>
      </c>
      <c r="K2729" s="2" t="s">
        <v>306</v>
      </c>
      <c r="L2729" s="3">
        <v>16.5</v>
      </c>
      <c r="M2729" s="3">
        <v>17.32</v>
      </c>
      <c r="N2729" s="3">
        <v>32.99</v>
      </c>
      <c r="O2729" s="2" t="s">
        <v>243</v>
      </c>
      <c r="P2729" s="2" t="s">
        <v>270</v>
      </c>
      <c r="Q2729" s="2" t="s">
        <v>237</v>
      </c>
      <c r="R2729" s="2" t="s">
        <v>231</v>
      </c>
      <c r="S2729" s="2" t="s">
        <v>11631</v>
      </c>
      <c r="T2729" s="2" t="s">
        <v>11603</v>
      </c>
      <c r="U2729" s="2" t="s">
        <v>231</v>
      </c>
      <c r="V2729" s="2" t="s">
        <v>239</v>
      </c>
      <c r="W2729" s="2" t="s">
        <v>273</v>
      </c>
      <c r="X2729" s="2" t="s">
        <v>231</v>
      </c>
      <c r="Y2729" s="2" t="s">
        <v>274</v>
      </c>
      <c r="Z2729" s="4">
        <v>281</v>
      </c>
      <c r="AA2729" s="4">
        <f>=ROUNDDOWN(93.6666666666667,0)</f>
      </c>
      <c r="AB2729" s="5">
        <v>3</v>
      </c>
      <c r="AC2729" s="2" t="s">
        <v>231</v>
      </c>
      <c r="AD2729" s="4"/>
      <c r="AE2729" s="4"/>
      <c r="AF2729" s="6">
        <v>66</v>
      </c>
      <c r="AG2729" s="6"/>
      <c r="AH2729" s="7">
        <v>1</v>
      </c>
      <c r="AI2729" s="4"/>
      <c r="AJ2729" s="4">
        <f>=ROUNDDOWN({0},0)</f>
      </c>
      <c r="AK2729" s="5"/>
      <c r="AL2729" s="2" t="s">
        <v>231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231</v>
      </c>
      <c r="AW2729" s="8" t="s">
        <v>231</v>
      </c>
      <c r="AX2729" s="4" t="s">
        <v>231</v>
      </c>
      <c r="AY2729" s="8" t="s">
        <v>231</v>
      </c>
      <c r="AZ2729" s="7" t="s">
        <v>231</v>
      </c>
      <c r="BA2729" s="7" t="s">
        <v>231</v>
      </c>
      <c r="BB2729" s="7"/>
      <c r="BC2729" s="4" t="s">
        <v>231</v>
      </c>
      <c r="BD2729" s="8" t="s">
        <v>231</v>
      </c>
      <c r="BE2729" s="4" t="s">
        <v>231</v>
      </c>
      <c r="BF2729" s="8" t="s">
        <v>231</v>
      </c>
      <c r="BG2729" s="7" t="s">
        <v>231</v>
      </c>
      <c r="BH2729" s="7" t="s">
        <v>231</v>
      </c>
      <c r="BI2729" s="7"/>
      <c r="BJ2729" s="4">
        <v>10</v>
      </c>
      <c r="BK2729" s="8">
        <v>170.44</v>
      </c>
      <c r="BL2729" s="2" t="s">
        <v>678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11634</v>
      </c>
      <c r="BV2729" s="2" t="s">
        <v>231</v>
      </c>
      <c r="BW2729" s="2" t="s">
        <v>231</v>
      </c>
      <c r="BX2729" s="2" t="s">
        <v>231</v>
      </c>
      <c r="BY2729" s="2" t="s">
        <v>277</v>
      </c>
      <c r="BZ2729" s="2" t="s">
        <v>243</v>
      </c>
      <c r="CA2729" s="2" t="s">
        <v>10300</v>
      </c>
      <c r="CB2729" s="2" t="s">
        <v>10456</v>
      </c>
      <c r="CC2729" s="2" t="s">
        <v>244</v>
      </c>
      <c r="CD2729" s="2" t="s">
        <v>231</v>
      </c>
      <c r="CE2729" s="4">
        <v>281</v>
      </c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4"/>
      <c r="CX2729" s="4"/>
      <c r="CY2729" s="4"/>
      <c r="CZ2729" s="4"/>
      <c r="DA2729" s="4"/>
      <c r="DB2729" s="4"/>
      <c r="DC2729" s="4"/>
      <c r="DD2729" s="4"/>
      <c r="DE2729" s="4"/>
      <c r="DF2729" s="4"/>
      <c r="DG2729" s="4"/>
      <c r="DH2729" s="4"/>
      <c r="DI2729" s="4"/>
      <c r="DJ2729" s="4"/>
      <c r="DK2729" s="4"/>
      <c r="DL2729" s="4"/>
      <c r="DM2729" s="4"/>
      <c r="DN2729" s="4"/>
      <c r="DO2729" s="4"/>
      <c r="DP2729" s="4"/>
      <c r="DQ2729" s="4"/>
      <c r="DR2729" s="4"/>
      <c r="DS2729" s="4"/>
      <c r="DT2729" s="4"/>
      <c r="DU2729" s="4"/>
      <c r="DV2729" s="4"/>
      <c r="DW2729" s="4"/>
      <c r="DX2729" s="4"/>
      <c r="DY2729" s="4"/>
      <c r="DZ2729" s="4"/>
      <c r="EA2729" s="4"/>
      <c r="EB2729" s="4"/>
      <c r="EC2729" s="4"/>
      <c r="ED2729" s="4"/>
      <c r="EE2729" s="4"/>
      <c r="EF2729" s="4"/>
      <c r="EG2729" s="4"/>
      <c r="EH2729" s="4"/>
      <c r="EI2729" s="4"/>
      <c r="EJ2729" s="4"/>
      <c r="EK2729" s="4"/>
      <c r="EL2729" s="4"/>
      <c r="EM2729" s="4"/>
      <c r="EN2729" s="4"/>
      <c r="EO2729" s="4"/>
      <c r="EP2729" s="4"/>
      <c r="EQ2729" s="4"/>
      <c r="ER2729" s="4"/>
      <c r="ES2729" s="4"/>
      <c r="ET2729" s="4"/>
      <c r="EU2729" s="4"/>
      <c r="EV2729" s="4"/>
      <c r="EW2729" s="4"/>
      <c r="EX2729" s="4"/>
      <c r="EY2729" s="4"/>
      <c r="EZ2729" s="4"/>
      <c r="FA2729" s="4"/>
      <c r="FB2729" s="4"/>
      <c r="FC2729" s="4"/>
      <c r="FD2729" s="4"/>
      <c r="FE2729" s="4"/>
      <c r="FF2729" s="4"/>
      <c r="FG2729" s="4"/>
      <c r="FH2729" s="4"/>
      <c r="FI2729" s="4"/>
      <c r="FJ2729" s="4"/>
      <c r="FK2729" s="4"/>
      <c r="FL2729" s="4"/>
      <c r="FM2729" s="4"/>
      <c r="FN2729" s="4"/>
      <c r="FO2729" s="4"/>
      <c r="FP2729" s="4"/>
      <c r="FQ2729" s="4"/>
      <c r="FR2729" s="4"/>
      <c r="FS2729" s="4"/>
      <c r="FT2729" s="4"/>
      <c r="FU2729" s="4"/>
      <c r="FV2729" s="4"/>
      <c r="FW2729" s="4"/>
      <c r="FX2729" s="4"/>
      <c r="FY2729" s="4"/>
      <c r="FZ2729" s="4"/>
      <c r="GA2729" s="4"/>
      <c r="GB2729" s="4"/>
      <c r="GC2729" s="4"/>
      <c r="GD2729" s="4"/>
      <c r="GE2729" s="4"/>
      <c r="GF2729" s="4"/>
      <c r="GG2729" s="4"/>
      <c r="GH2729" s="4"/>
      <c r="GI2729" s="4"/>
      <c r="GJ2729" s="4"/>
      <c r="GK2729" s="4"/>
      <c r="GL2729" s="4"/>
      <c r="GM2729" s="4"/>
      <c r="GN2729" s="4"/>
      <c r="GO2729" s="4"/>
      <c r="GP2729" s="4"/>
      <c r="GQ2729" s="4"/>
      <c r="GR2729" s="4"/>
      <c r="GS2729" s="4"/>
      <c r="GT2729" s="4"/>
      <c r="GU2729" s="4"/>
      <c r="GV2729" s="4"/>
      <c r="GW2729" s="4"/>
      <c r="GX2729" s="4"/>
      <c r="GY2729" s="4"/>
      <c r="GZ2729" s="4"/>
      <c r="HA2729" s="4"/>
      <c r="HB2729" s="4"/>
      <c r="HC2729" s="4"/>
      <c r="HD2729" s="4"/>
      <c r="HE2729" s="4"/>
      <c r="HF2729" s="4"/>
      <c r="HG2729" s="4"/>
      <c r="HH2729" s="4"/>
      <c r="HI2729" s="4"/>
      <c r="HJ2729" s="4"/>
      <c r="HK2729" s="4"/>
      <c r="HL2729" s="4"/>
    </row>
    <row r="2730">
      <c r="A2730" s="2" t="s">
        <v>11635</v>
      </c>
      <c r="B2730" s="2" t="s">
        <v>287</v>
      </c>
      <c r="C2730" s="2" t="s">
        <v>263</v>
      </c>
      <c r="D2730" s="2" t="s">
        <v>289</v>
      </c>
      <c r="E2730" s="2" t="s">
        <v>290</v>
      </c>
      <c r="F2730" s="2" t="s">
        <v>11601</v>
      </c>
      <c r="G2730" s="2" t="s">
        <v>11601</v>
      </c>
      <c r="H2730" s="2" t="s">
        <v>11601</v>
      </c>
      <c r="I2730" s="2" t="s">
        <v>359</v>
      </c>
      <c r="J2730" s="2" t="s">
        <v>293</v>
      </c>
      <c r="K2730" s="2" t="s">
        <v>306</v>
      </c>
      <c r="L2730" s="3">
        <v>19</v>
      </c>
      <c r="M2730" s="3">
        <v>19.95</v>
      </c>
      <c r="N2730" s="3">
        <v>37.99</v>
      </c>
      <c r="O2730" s="2" t="s">
        <v>243</v>
      </c>
      <c r="P2730" s="2" t="s">
        <v>270</v>
      </c>
      <c r="Q2730" s="2" t="s">
        <v>237</v>
      </c>
      <c r="R2730" s="2" t="s">
        <v>231</v>
      </c>
      <c r="S2730" s="2" t="s">
        <v>11631</v>
      </c>
      <c r="T2730" s="2" t="s">
        <v>11603</v>
      </c>
      <c r="U2730" s="2" t="s">
        <v>231</v>
      </c>
      <c r="V2730" s="2" t="s">
        <v>239</v>
      </c>
      <c r="W2730" s="2" t="s">
        <v>273</v>
      </c>
      <c r="X2730" s="2" t="s">
        <v>231</v>
      </c>
      <c r="Y2730" s="2" t="s">
        <v>8481</v>
      </c>
      <c r="Z2730" s="4">
        <v>221</v>
      </c>
      <c r="AA2730" s="4">
        <f>=ROUNDDOWN(17,0)</f>
      </c>
      <c r="AB2730" s="5">
        <v>13</v>
      </c>
      <c r="AC2730" s="2" t="s">
        <v>477</v>
      </c>
      <c r="AD2730" s="4">
        <v>120</v>
      </c>
      <c r="AE2730" s="4">
        <v>370</v>
      </c>
      <c r="AF2730" s="6">
        <v>66</v>
      </c>
      <c r="AG2730" s="6"/>
      <c r="AH2730" s="7">
        <v>1</v>
      </c>
      <c r="AI2730" s="4"/>
      <c r="AJ2730" s="4">
        <f>=ROUNDDOWN({0},0)</f>
      </c>
      <c r="AK2730" s="5"/>
      <c r="AL2730" s="2" t="s">
        <v>231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231</v>
      </c>
      <c r="AW2730" s="8" t="s">
        <v>231</v>
      </c>
      <c r="AX2730" s="4" t="s">
        <v>231</v>
      </c>
      <c r="AY2730" s="8" t="s">
        <v>231</v>
      </c>
      <c r="AZ2730" s="7" t="s">
        <v>231</v>
      </c>
      <c r="BA2730" s="7" t="s">
        <v>231</v>
      </c>
      <c r="BB2730" s="7"/>
      <c r="BC2730" s="4" t="s">
        <v>231</v>
      </c>
      <c r="BD2730" s="8" t="s">
        <v>231</v>
      </c>
      <c r="BE2730" s="4" t="s">
        <v>231</v>
      </c>
      <c r="BF2730" s="8" t="s">
        <v>231</v>
      </c>
      <c r="BG2730" s="7" t="s">
        <v>231</v>
      </c>
      <c r="BH2730" s="7" t="s">
        <v>231</v>
      </c>
      <c r="BI2730" s="7"/>
      <c r="BJ2730" s="4">
        <v>55</v>
      </c>
      <c r="BK2730" s="8">
        <v>1077.17</v>
      </c>
      <c r="BL2730" s="2" t="s">
        <v>11636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11637</v>
      </c>
      <c r="BV2730" s="2" t="s">
        <v>231</v>
      </c>
      <c r="BW2730" s="2" t="s">
        <v>231</v>
      </c>
      <c r="BX2730" s="2" t="s">
        <v>231</v>
      </c>
      <c r="BY2730" s="2" t="s">
        <v>277</v>
      </c>
      <c r="BZ2730" s="2" t="s">
        <v>243</v>
      </c>
      <c r="CA2730" s="2" t="s">
        <v>10300</v>
      </c>
      <c r="CB2730" s="2" t="s">
        <v>4757</v>
      </c>
      <c r="CC2730" s="2" t="s">
        <v>244</v>
      </c>
      <c r="CD2730" s="2" t="s">
        <v>231</v>
      </c>
      <c r="CE2730" s="4">
        <v>221</v>
      </c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4"/>
      <c r="CX2730" s="4"/>
      <c r="CY2730" s="4"/>
      <c r="CZ2730" s="4"/>
      <c r="DA2730" s="4"/>
      <c r="DB2730" s="4"/>
      <c r="DC2730" s="4"/>
      <c r="DD2730" s="4"/>
      <c r="DE2730" s="4"/>
      <c r="DF2730" s="4"/>
      <c r="DG2730" s="4"/>
      <c r="DH2730" s="4"/>
      <c r="DI2730" s="4"/>
      <c r="DJ2730" s="4"/>
      <c r="DK2730" s="4"/>
      <c r="DL2730" s="4"/>
      <c r="DM2730" s="4"/>
      <c r="DN2730" s="4"/>
      <c r="DO2730" s="4"/>
      <c r="DP2730" s="4"/>
      <c r="DQ2730" s="4"/>
      <c r="DR2730" s="4"/>
      <c r="DS2730" s="4">
        <v>120</v>
      </c>
      <c r="DT2730" s="4"/>
      <c r="DU2730" s="4"/>
      <c r="DV2730" s="4"/>
      <c r="DW2730" s="4"/>
      <c r="DX2730" s="4"/>
      <c r="DY2730" s="4"/>
      <c r="DZ2730" s="4"/>
      <c r="EA2730" s="4"/>
      <c r="EB2730" s="4"/>
      <c r="EC2730" s="4"/>
      <c r="ED2730" s="4"/>
      <c r="EE2730" s="4"/>
      <c r="EF2730" s="4"/>
      <c r="EG2730" s="4"/>
      <c r="EH2730" s="4"/>
      <c r="EI2730" s="4"/>
      <c r="EJ2730" s="4"/>
      <c r="EK2730" s="4"/>
      <c r="EL2730" s="4"/>
      <c r="EM2730" s="4"/>
      <c r="EN2730" s="4"/>
      <c r="EO2730" s="4"/>
      <c r="EP2730" s="4"/>
      <c r="EQ2730" s="4"/>
      <c r="ER2730" s="4"/>
      <c r="ES2730" s="4"/>
      <c r="ET2730" s="4"/>
      <c r="EU2730" s="4"/>
      <c r="EV2730" s="4"/>
      <c r="EW2730" s="4"/>
      <c r="EX2730" s="4"/>
      <c r="EY2730" s="4"/>
      <c r="EZ2730" s="4"/>
      <c r="FA2730" s="4"/>
      <c r="FB2730" s="4"/>
      <c r="FC2730" s="4"/>
      <c r="FD2730" s="4"/>
      <c r="FE2730" s="4"/>
      <c r="FF2730" s="4"/>
      <c r="FG2730" s="4"/>
      <c r="FH2730" s="4"/>
      <c r="FI2730" s="4"/>
      <c r="FJ2730" s="4"/>
      <c r="FK2730" s="4"/>
      <c r="FL2730" s="4"/>
      <c r="FM2730" s="4"/>
      <c r="FN2730" s="4"/>
      <c r="FO2730" s="4"/>
      <c r="FP2730" s="4"/>
      <c r="FQ2730" s="4"/>
      <c r="FR2730" s="4"/>
      <c r="FS2730" s="4"/>
      <c r="FT2730" s="4"/>
      <c r="FU2730" s="4"/>
      <c r="FV2730" s="4"/>
      <c r="FW2730" s="4"/>
      <c r="FX2730" s="4"/>
      <c r="FY2730" s="4"/>
      <c r="FZ2730" s="4"/>
      <c r="GA2730" s="4"/>
      <c r="GB2730" s="4"/>
      <c r="GC2730" s="4"/>
      <c r="GD2730" s="4"/>
      <c r="GE2730" s="4"/>
      <c r="GF2730" s="4"/>
      <c r="GG2730" s="4"/>
      <c r="GH2730" s="4"/>
      <c r="GI2730" s="4"/>
      <c r="GJ2730" s="4"/>
      <c r="GK2730" s="4"/>
      <c r="GL2730" s="4"/>
      <c r="GM2730" s="4"/>
      <c r="GN2730" s="4"/>
      <c r="GO2730" s="4"/>
      <c r="GP2730" s="4"/>
      <c r="GQ2730" s="4"/>
      <c r="GR2730" s="4"/>
      <c r="GS2730" s="4"/>
      <c r="GT2730" s="4"/>
      <c r="GU2730" s="4">
        <v>250</v>
      </c>
      <c r="GV2730" s="4"/>
      <c r="GW2730" s="4"/>
      <c r="GX2730" s="4"/>
      <c r="GY2730" s="4"/>
      <c r="GZ2730" s="4"/>
      <c r="HA2730" s="4"/>
      <c r="HB2730" s="4"/>
      <c r="HC2730" s="4"/>
      <c r="HD2730" s="4"/>
      <c r="HE2730" s="4"/>
      <c r="HF2730" s="4"/>
      <c r="HG2730" s="4"/>
      <c r="HH2730" s="4"/>
      <c r="HI2730" s="4"/>
      <c r="HJ2730" s="4"/>
      <c r="HK2730" s="4"/>
      <c r="HL2730" s="4"/>
    </row>
    <row r="2731">
      <c r="A2731" s="2" t="s">
        <v>11638</v>
      </c>
      <c r="B2731" s="2" t="s">
        <v>287</v>
      </c>
      <c r="C2731" s="2" t="s">
        <v>263</v>
      </c>
      <c r="D2731" s="2" t="s">
        <v>289</v>
      </c>
      <c r="E2731" s="2" t="s">
        <v>290</v>
      </c>
      <c r="F2731" s="2" t="s">
        <v>11601</v>
      </c>
      <c r="G2731" s="2" t="s">
        <v>11601</v>
      </c>
      <c r="H2731" s="2" t="s">
        <v>11601</v>
      </c>
      <c r="I2731" s="2" t="s">
        <v>359</v>
      </c>
      <c r="J2731" s="2" t="s">
        <v>302</v>
      </c>
      <c r="K2731" s="2" t="s">
        <v>306</v>
      </c>
      <c r="L2731" s="3">
        <v>21.5</v>
      </c>
      <c r="M2731" s="3">
        <v>22.58</v>
      </c>
      <c r="N2731" s="3">
        <v>42.99</v>
      </c>
      <c r="O2731" s="2" t="s">
        <v>243</v>
      </c>
      <c r="P2731" s="2" t="s">
        <v>270</v>
      </c>
      <c r="Q2731" s="2" t="s">
        <v>237</v>
      </c>
      <c r="R2731" s="2" t="s">
        <v>231</v>
      </c>
      <c r="S2731" s="2" t="s">
        <v>11631</v>
      </c>
      <c r="T2731" s="2" t="s">
        <v>11603</v>
      </c>
      <c r="U2731" s="2" t="s">
        <v>231</v>
      </c>
      <c r="V2731" s="2" t="s">
        <v>239</v>
      </c>
      <c r="W2731" s="2" t="s">
        <v>273</v>
      </c>
      <c r="X2731" s="2" t="s">
        <v>231</v>
      </c>
      <c r="Y2731" s="2" t="s">
        <v>274</v>
      </c>
      <c r="Z2731" s="4">
        <v>219</v>
      </c>
      <c r="AA2731" s="4">
        <f>=ROUNDDOWN(30.4166666666667,0)</f>
      </c>
      <c r="AB2731" s="5">
        <v>7.2</v>
      </c>
      <c r="AC2731" s="2" t="s">
        <v>1458</v>
      </c>
      <c r="AD2731" s="4">
        <v>90</v>
      </c>
      <c r="AE2731" s="4">
        <v>90</v>
      </c>
      <c r="AF2731" s="6">
        <v>66</v>
      </c>
      <c r="AG2731" s="6"/>
      <c r="AH2731" s="7">
        <v>1</v>
      </c>
      <c r="AI2731" s="4"/>
      <c r="AJ2731" s="4">
        <f>=ROUNDDOWN({0},0)</f>
      </c>
      <c r="AK2731" s="5"/>
      <c r="AL2731" s="2" t="s">
        <v>231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231</v>
      </c>
      <c r="AW2731" s="8" t="s">
        <v>231</v>
      </c>
      <c r="AX2731" s="4" t="s">
        <v>231</v>
      </c>
      <c r="AY2731" s="8" t="s">
        <v>231</v>
      </c>
      <c r="AZ2731" s="7" t="s">
        <v>231</v>
      </c>
      <c r="BA2731" s="7" t="s">
        <v>231</v>
      </c>
      <c r="BB2731" s="7"/>
      <c r="BC2731" s="4" t="s">
        <v>231</v>
      </c>
      <c r="BD2731" s="8" t="s">
        <v>231</v>
      </c>
      <c r="BE2731" s="4" t="s">
        <v>231</v>
      </c>
      <c r="BF2731" s="8" t="s">
        <v>231</v>
      </c>
      <c r="BG2731" s="7" t="s">
        <v>231</v>
      </c>
      <c r="BH2731" s="7" t="s">
        <v>231</v>
      </c>
      <c r="BI2731" s="7"/>
      <c r="BJ2731" s="4">
        <v>32</v>
      </c>
      <c r="BK2731" s="8">
        <v>710.88</v>
      </c>
      <c r="BL2731" s="2" t="s">
        <v>11639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11640</v>
      </c>
      <c r="BV2731" s="2" t="s">
        <v>231</v>
      </c>
      <c r="BW2731" s="2" t="s">
        <v>231</v>
      </c>
      <c r="BX2731" s="2" t="s">
        <v>231</v>
      </c>
      <c r="BY2731" s="2" t="s">
        <v>277</v>
      </c>
      <c r="BZ2731" s="2" t="s">
        <v>243</v>
      </c>
      <c r="CA2731" s="2" t="s">
        <v>10300</v>
      </c>
      <c r="CB2731" s="2" t="s">
        <v>11370</v>
      </c>
      <c r="CC2731" s="2" t="s">
        <v>244</v>
      </c>
      <c r="CD2731" s="2" t="s">
        <v>231</v>
      </c>
      <c r="CE2731" s="4">
        <v>219</v>
      </c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4"/>
      <c r="CX2731" s="4"/>
      <c r="CY2731" s="4"/>
      <c r="CZ2731" s="4"/>
      <c r="DA2731" s="4"/>
      <c r="DB2731" s="4"/>
      <c r="DC2731" s="4"/>
      <c r="DD2731" s="4"/>
      <c r="DE2731" s="4"/>
      <c r="DF2731" s="4"/>
      <c r="DG2731" s="4"/>
      <c r="DH2731" s="4"/>
      <c r="DI2731" s="4"/>
      <c r="DJ2731" s="4"/>
      <c r="DK2731" s="4"/>
      <c r="DL2731" s="4"/>
      <c r="DM2731" s="4"/>
      <c r="DN2731" s="4"/>
      <c r="DO2731" s="4"/>
      <c r="DP2731" s="4"/>
      <c r="DQ2731" s="4"/>
      <c r="DR2731" s="4"/>
      <c r="DS2731" s="4"/>
      <c r="DT2731" s="4"/>
      <c r="DU2731" s="4"/>
      <c r="DV2731" s="4"/>
      <c r="DW2731" s="4"/>
      <c r="DX2731" s="4"/>
      <c r="DY2731" s="4"/>
      <c r="DZ2731" s="4"/>
      <c r="EA2731" s="4"/>
      <c r="EB2731" s="4"/>
      <c r="EC2731" s="4"/>
      <c r="ED2731" s="4"/>
      <c r="EE2731" s="4"/>
      <c r="EF2731" s="4"/>
      <c r="EG2731" s="4"/>
      <c r="EH2731" s="4"/>
      <c r="EI2731" s="4"/>
      <c r="EJ2731" s="4"/>
      <c r="EK2731" s="4"/>
      <c r="EL2731" s="4"/>
      <c r="EM2731" s="4"/>
      <c r="EN2731" s="4"/>
      <c r="EO2731" s="4"/>
      <c r="EP2731" s="4"/>
      <c r="EQ2731" s="4"/>
      <c r="ER2731" s="4"/>
      <c r="ES2731" s="4"/>
      <c r="ET2731" s="4"/>
      <c r="EU2731" s="4"/>
      <c r="EV2731" s="4"/>
      <c r="EW2731" s="4"/>
      <c r="EX2731" s="4"/>
      <c r="EY2731" s="4"/>
      <c r="EZ2731" s="4"/>
      <c r="FA2731" s="4"/>
      <c r="FB2731" s="4"/>
      <c r="FC2731" s="4"/>
      <c r="FD2731" s="4"/>
      <c r="FE2731" s="4"/>
      <c r="FF2731" s="4"/>
      <c r="FG2731" s="4"/>
      <c r="FH2731" s="4"/>
      <c r="FI2731" s="4"/>
      <c r="FJ2731" s="4"/>
      <c r="FK2731" s="4"/>
      <c r="FL2731" s="4"/>
      <c r="FM2731" s="4"/>
      <c r="FN2731" s="4"/>
      <c r="FO2731" s="4"/>
      <c r="FP2731" s="4"/>
      <c r="FQ2731" s="4"/>
      <c r="FR2731" s="4"/>
      <c r="FS2731" s="4"/>
      <c r="FT2731" s="4"/>
      <c r="FU2731" s="4"/>
      <c r="FV2731" s="4"/>
      <c r="FW2731" s="4"/>
      <c r="FX2731" s="4"/>
      <c r="FY2731" s="4"/>
      <c r="FZ2731" s="4"/>
      <c r="GA2731" s="4"/>
      <c r="GB2731" s="4"/>
      <c r="GC2731" s="4"/>
      <c r="GD2731" s="4"/>
      <c r="GE2731" s="4"/>
      <c r="GF2731" s="4"/>
      <c r="GG2731" s="4"/>
      <c r="GH2731" s="4"/>
      <c r="GI2731" s="4"/>
      <c r="GJ2731" s="4"/>
      <c r="GK2731" s="4"/>
      <c r="GL2731" s="4"/>
      <c r="GM2731" s="4"/>
      <c r="GN2731" s="4"/>
      <c r="GO2731" s="4"/>
      <c r="GP2731" s="4"/>
      <c r="GQ2731" s="4"/>
      <c r="GR2731" s="4"/>
      <c r="GS2731" s="4"/>
      <c r="GT2731" s="4"/>
      <c r="GU2731" s="4">
        <v>90</v>
      </c>
      <c r="GV2731" s="4"/>
      <c r="GW2731" s="4"/>
      <c r="GX2731" s="4"/>
      <c r="GY2731" s="4"/>
      <c r="GZ2731" s="4"/>
      <c r="HA2731" s="4"/>
      <c r="HB2731" s="4"/>
      <c r="HC2731" s="4"/>
      <c r="HD2731" s="4"/>
      <c r="HE2731" s="4"/>
      <c r="HF2731" s="4"/>
      <c r="HG2731" s="4"/>
      <c r="HH2731" s="4"/>
      <c r="HI2731" s="4"/>
      <c r="HJ2731" s="4"/>
      <c r="HK2731" s="4"/>
      <c r="HL2731" s="4"/>
    </row>
    <row r="2732">
      <c r="A2732" s="2" t="s">
        <v>11641</v>
      </c>
      <c r="B2732" s="2" t="s">
        <v>287</v>
      </c>
      <c r="C2732" s="2" t="s">
        <v>263</v>
      </c>
      <c r="D2732" s="2" t="s">
        <v>289</v>
      </c>
      <c r="E2732" s="2" t="s">
        <v>290</v>
      </c>
      <c r="F2732" s="2" t="s">
        <v>11601</v>
      </c>
      <c r="G2732" s="2" t="s">
        <v>11601</v>
      </c>
      <c r="H2732" s="2" t="s">
        <v>11601</v>
      </c>
      <c r="I2732" s="2" t="s">
        <v>359</v>
      </c>
      <c r="J2732" s="2" t="s">
        <v>304</v>
      </c>
      <c r="K2732" s="2" t="s">
        <v>306</v>
      </c>
      <c r="L2732" s="3">
        <v>21.5</v>
      </c>
      <c r="M2732" s="3">
        <v>22.58</v>
      </c>
      <c r="N2732" s="3">
        <v>42.99</v>
      </c>
      <c r="O2732" s="2" t="s">
        <v>243</v>
      </c>
      <c r="P2732" s="2" t="s">
        <v>341</v>
      </c>
      <c r="Q2732" s="2" t="s">
        <v>237</v>
      </c>
      <c r="R2732" s="2" t="s">
        <v>231</v>
      </c>
      <c r="S2732" s="2" t="s">
        <v>11631</v>
      </c>
      <c r="T2732" s="2" t="s">
        <v>11603</v>
      </c>
      <c r="U2732" s="2" t="s">
        <v>231</v>
      </c>
      <c r="V2732" s="2" t="s">
        <v>239</v>
      </c>
      <c r="W2732" s="2" t="s">
        <v>273</v>
      </c>
      <c r="X2732" s="2" t="s">
        <v>231</v>
      </c>
      <c r="Y2732" s="2" t="s">
        <v>8481</v>
      </c>
      <c r="Z2732" s="4">
        <v>24</v>
      </c>
      <c r="AA2732" s="4">
        <f>=ROUNDDOWN(12,0)</f>
      </c>
      <c r="AB2732" s="5">
        <v>2</v>
      </c>
      <c r="AC2732" s="2" t="s">
        <v>477</v>
      </c>
      <c r="AD2732" s="4">
        <v>30</v>
      </c>
      <c r="AE2732" s="4">
        <v>30</v>
      </c>
      <c r="AF2732" s="6">
        <v>66</v>
      </c>
      <c r="AG2732" s="6"/>
      <c r="AH2732" s="7">
        <v>1</v>
      </c>
      <c r="AI2732" s="4"/>
      <c r="AJ2732" s="4">
        <f>=ROUNDDOWN({0},0)</f>
      </c>
      <c r="AK2732" s="5"/>
      <c r="AL2732" s="2" t="s">
        <v>231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231</v>
      </c>
      <c r="AW2732" s="8" t="s">
        <v>231</v>
      </c>
      <c r="AX2732" s="4" t="s">
        <v>231</v>
      </c>
      <c r="AY2732" s="8" t="s">
        <v>231</v>
      </c>
      <c r="AZ2732" s="7" t="s">
        <v>231</v>
      </c>
      <c r="BA2732" s="7" t="s">
        <v>231</v>
      </c>
      <c r="BB2732" s="7"/>
      <c r="BC2732" s="4" t="s">
        <v>231</v>
      </c>
      <c r="BD2732" s="8" t="s">
        <v>231</v>
      </c>
      <c r="BE2732" s="4" t="s">
        <v>231</v>
      </c>
      <c r="BF2732" s="8" t="s">
        <v>231</v>
      </c>
      <c r="BG2732" s="7" t="s">
        <v>231</v>
      </c>
      <c r="BH2732" s="7" t="s">
        <v>231</v>
      </c>
      <c r="BI2732" s="7"/>
      <c r="BJ2732" s="4">
        <v>6</v>
      </c>
      <c r="BK2732" s="8">
        <v>130.22</v>
      </c>
      <c r="BL2732" s="2" t="s">
        <v>393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11642</v>
      </c>
      <c r="BV2732" s="2" t="s">
        <v>231</v>
      </c>
      <c r="BW2732" s="2" t="s">
        <v>231</v>
      </c>
      <c r="BX2732" s="2" t="s">
        <v>231</v>
      </c>
      <c r="BY2732" s="2" t="s">
        <v>277</v>
      </c>
      <c r="BZ2732" s="2" t="s">
        <v>243</v>
      </c>
      <c r="CA2732" s="2" t="s">
        <v>10300</v>
      </c>
      <c r="CB2732" s="2" t="s">
        <v>4208</v>
      </c>
      <c r="CC2732" s="2" t="s">
        <v>244</v>
      </c>
      <c r="CD2732" s="2" t="s">
        <v>231</v>
      </c>
      <c r="CE2732" s="4">
        <v>24</v>
      </c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4"/>
      <c r="CX2732" s="4"/>
      <c r="CY2732" s="4"/>
      <c r="CZ2732" s="4"/>
      <c r="DA2732" s="4"/>
      <c r="DB2732" s="4"/>
      <c r="DC2732" s="4"/>
      <c r="DD2732" s="4"/>
      <c r="DE2732" s="4"/>
      <c r="DF2732" s="4"/>
      <c r="DG2732" s="4"/>
      <c r="DH2732" s="4"/>
      <c r="DI2732" s="4"/>
      <c r="DJ2732" s="4"/>
      <c r="DK2732" s="4"/>
      <c r="DL2732" s="4"/>
      <c r="DM2732" s="4"/>
      <c r="DN2732" s="4"/>
      <c r="DO2732" s="4"/>
      <c r="DP2732" s="4"/>
      <c r="DQ2732" s="4"/>
      <c r="DR2732" s="4"/>
      <c r="DS2732" s="4">
        <v>30</v>
      </c>
      <c r="DT2732" s="4"/>
      <c r="DU2732" s="4"/>
      <c r="DV2732" s="4"/>
      <c r="DW2732" s="4"/>
      <c r="DX2732" s="4"/>
      <c r="DY2732" s="4"/>
      <c r="DZ2732" s="4"/>
      <c r="EA2732" s="4"/>
      <c r="EB2732" s="4"/>
      <c r="EC2732" s="4"/>
      <c r="ED2732" s="4"/>
      <c r="EE2732" s="4"/>
      <c r="EF2732" s="4"/>
      <c r="EG2732" s="4"/>
      <c r="EH2732" s="4"/>
      <c r="EI2732" s="4"/>
      <c r="EJ2732" s="4"/>
      <c r="EK2732" s="4"/>
      <c r="EL2732" s="4"/>
      <c r="EM2732" s="4"/>
      <c r="EN2732" s="4"/>
      <c r="EO2732" s="4"/>
      <c r="EP2732" s="4"/>
      <c r="EQ2732" s="4"/>
      <c r="ER2732" s="4"/>
      <c r="ES2732" s="4"/>
      <c r="ET2732" s="4"/>
      <c r="EU2732" s="4"/>
      <c r="EV2732" s="4"/>
      <c r="EW2732" s="4"/>
      <c r="EX2732" s="4"/>
      <c r="EY2732" s="4"/>
      <c r="EZ2732" s="4"/>
      <c r="FA2732" s="4"/>
      <c r="FB2732" s="4"/>
      <c r="FC2732" s="4"/>
      <c r="FD2732" s="4"/>
      <c r="FE2732" s="4"/>
      <c r="FF2732" s="4"/>
      <c r="FG2732" s="4"/>
      <c r="FH2732" s="4"/>
      <c r="FI2732" s="4"/>
      <c r="FJ2732" s="4"/>
      <c r="FK2732" s="4"/>
      <c r="FL2732" s="4"/>
      <c r="FM2732" s="4"/>
      <c r="FN2732" s="4"/>
      <c r="FO2732" s="4"/>
      <c r="FP2732" s="4"/>
      <c r="FQ2732" s="4"/>
      <c r="FR2732" s="4"/>
      <c r="FS2732" s="4"/>
      <c r="FT2732" s="4"/>
      <c r="FU2732" s="4"/>
      <c r="FV2732" s="4"/>
      <c r="FW2732" s="4"/>
      <c r="FX2732" s="4"/>
      <c r="FY2732" s="4"/>
      <c r="FZ2732" s="4"/>
      <c r="GA2732" s="4"/>
      <c r="GB2732" s="4"/>
      <c r="GC2732" s="4"/>
      <c r="GD2732" s="4"/>
      <c r="GE2732" s="4"/>
      <c r="GF2732" s="4"/>
      <c r="GG2732" s="4"/>
      <c r="GH2732" s="4"/>
      <c r="GI2732" s="4"/>
      <c r="GJ2732" s="4"/>
      <c r="GK2732" s="4"/>
      <c r="GL2732" s="4"/>
      <c r="GM2732" s="4"/>
      <c r="GN2732" s="4"/>
      <c r="GO2732" s="4"/>
      <c r="GP2732" s="4"/>
      <c r="GQ2732" s="4"/>
      <c r="GR2732" s="4"/>
      <c r="GS2732" s="4"/>
      <c r="GT2732" s="4"/>
      <c r="GU2732" s="4"/>
      <c r="GV2732" s="4"/>
      <c r="GW2732" s="4"/>
      <c r="GX2732" s="4"/>
      <c r="GY2732" s="4"/>
      <c r="GZ2732" s="4"/>
      <c r="HA2732" s="4"/>
      <c r="HB2732" s="4"/>
      <c r="HC2732" s="4"/>
      <c r="HD2732" s="4"/>
      <c r="HE2732" s="4"/>
      <c r="HF2732" s="4"/>
      <c r="HG2732" s="4"/>
      <c r="HH2732" s="4"/>
      <c r="HI2732" s="4"/>
      <c r="HJ2732" s="4"/>
      <c r="HK2732" s="4"/>
      <c r="HL2732" s="4"/>
    </row>
    <row r="2733">
      <c r="A2733" s="2" t="s">
        <v>11643</v>
      </c>
      <c r="B2733" s="2" t="s">
        <v>287</v>
      </c>
      <c r="C2733" s="2" t="s">
        <v>263</v>
      </c>
      <c r="D2733" s="2" t="s">
        <v>289</v>
      </c>
      <c r="E2733" s="2" t="s">
        <v>290</v>
      </c>
      <c r="F2733" s="2" t="s">
        <v>11601</v>
      </c>
      <c r="G2733" s="2" t="s">
        <v>11601</v>
      </c>
      <c r="H2733" s="2" t="s">
        <v>11601</v>
      </c>
      <c r="I2733" s="2" t="s">
        <v>359</v>
      </c>
      <c r="J2733" s="2" t="s">
        <v>318</v>
      </c>
      <c r="K2733" s="2" t="s">
        <v>747</v>
      </c>
      <c r="L2733" s="3">
        <v>16.5</v>
      </c>
      <c r="M2733" s="3">
        <v>17.32</v>
      </c>
      <c r="N2733" s="3">
        <v>32.99</v>
      </c>
      <c r="O2733" s="2" t="s">
        <v>243</v>
      </c>
      <c r="P2733" s="2" t="s">
        <v>270</v>
      </c>
      <c r="Q2733" s="2" t="s">
        <v>237</v>
      </c>
      <c r="R2733" s="2" t="s">
        <v>231</v>
      </c>
      <c r="S2733" s="2" t="s">
        <v>11644</v>
      </c>
      <c r="T2733" s="2" t="s">
        <v>11603</v>
      </c>
      <c r="U2733" s="2" t="s">
        <v>835</v>
      </c>
      <c r="V2733" s="2" t="s">
        <v>239</v>
      </c>
      <c r="W2733" s="2" t="s">
        <v>273</v>
      </c>
      <c r="X2733" s="2" t="s">
        <v>691</v>
      </c>
      <c r="Y2733" s="2" t="s">
        <v>11614</v>
      </c>
      <c r="Z2733" s="4">
        <v>32</v>
      </c>
      <c r="AA2733" s="4">
        <f>=ROUNDDOWN(53.3333333333333,0)</f>
      </c>
      <c r="AB2733" s="5">
        <v>0.6</v>
      </c>
      <c r="AC2733" s="2" t="s">
        <v>477</v>
      </c>
      <c r="AD2733" s="4">
        <v>30</v>
      </c>
      <c r="AE2733" s="4">
        <v>140</v>
      </c>
      <c r="AF2733" s="6">
        <v>66</v>
      </c>
      <c r="AG2733" s="6"/>
      <c r="AH2733" s="7">
        <v>1</v>
      </c>
      <c r="AI2733" s="4"/>
      <c r="AJ2733" s="4">
        <f>=ROUNDDOWN({0},0)</f>
      </c>
      <c r="AK2733" s="5"/>
      <c r="AL2733" s="2" t="s">
        <v>231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231</v>
      </c>
      <c r="AW2733" s="8" t="s">
        <v>231</v>
      </c>
      <c r="AX2733" s="4" t="s">
        <v>231</v>
      </c>
      <c r="AY2733" s="8" t="s">
        <v>231</v>
      </c>
      <c r="AZ2733" s="7" t="s">
        <v>231</v>
      </c>
      <c r="BA2733" s="7" t="s">
        <v>231</v>
      </c>
      <c r="BB2733" s="7"/>
      <c r="BC2733" s="4" t="s">
        <v>231</v>
      </c>
      <c r="BD2733" s="8" t="s">
        <v>231</v>
      </c>
      <c r="BE2733" s="4" t="s">
        <v>231</v>
      </c>
      <c r="BF2733" s="8" t="s">
        <v>231</v>
      </c>
      <c r="BG2733" s="7" t="s">
        <v>231</v>
      </c>
      <c r="BH2733" s="7" t="s">
        <v>231</v>
      </c>
      <c r="BI2733" s="7"/>
      <c r="BJ2733" s="4">
        <v>4</v>
      </c>
      <c r="BK2733" s="8">
        <v>76.11</v>
      </c>
      <c r="BL2733" s="2" t="s">
        <v>1731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11645</v>
      </c>
      <c r="BV2733" s="2" t="s">
        <v>231</v>
      </c>
      <c r="BW2733" s="2" t="s">
        <v>231</v>
      </c>
      <c r="BX2733" s="2" t="s">
        <v>231</v>
      </c>
      <c r="BY2733" s="2" t="s">
        <v>277</v>
      </c>
      <c r="BZ2733" s="2" t="s">
        <v>243</v>
      </c>
      <c r="CA2733" s="2" t="s">
        <v>11614</v>
      </c>
      <c r="CB2733" s="2" t="s">
        <v>4002</v>
      </c>
      <c r="CC2733" s="2" t="s">
        <v>244</v>
      </c>
      <c r="CD2733" s="2" t="s">
        <v>231</v>
      </c>
      <c r="CE2733" s="4">
        <v>32</v>
      </c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4"/>
      <c r="CX2733" s="4"/>
      <c r="CY2733" s="4"/>
      <c r="CZ2733" s="4"/>
      <c r="DA2733" s="4"/>
      <c r="DB2733" s="4"/>
      <c r="DC2733" s="4"/>
      <c r="DD2733" s="4"/>
      <c r="DE2733" s="4"/>
      <c r="DF2733" s="4"/>
      <c r="DG2733" s="4"/>
      <c r="DH2733" s="4"/>
      <c r="DI2733" s="4"/>
      <c r="DJ2733" s="4"/>
      <c r="DK2733" s="4"/>
      <c r="DL2733" s="4"/>
      <c r="DM2733" s="4"/>
      <c r="DN2733" s="4"/>
      <c r="DO2733" s="4"/>
      <c r="DP2733" s="4"/>
      <c r="DQ2733" s="4"/>
      <c r="DR2733" s="4"/>
      <c r="DS2733" s="4">
        <v>30</v>
      </c>
      <c r="DT2733" s="4"/>
      <c r="DU2733" s="4"/>
      <c r="DV2733" s="4"/>
      <c r="DW2733" s="4"/>
      <c r="DX2733" s="4"/>
      <c r="DY2733" s="4"/>
      <c r="DZ2733" s="4"/>
      <c r="EA2733" s="4"/>
      <c r="EB2733" s="4"/>
      <c r="EC2733" s="4"/>
      <c r="ED2733" s="4"/>
      <c r="EE2733" s="4"/>
      <c r="EF2733" s="4"/>
      <c r="EG2733" s="4"/>
      <c r="EH2733" s="4"/>
      <c r="EI2733" s="4"/>
      <c r="EJ2733" s="4"/>
      <c r="EK2733" s="4"/>
      <c r="EL2733" s="4"/>
      <c r="EM2733" s="4"/>
      <c r="EN2733" s="4"/>
      <c r="EO2733" s="4"/>
      <c r="EP2733" s="4">
        <v>110</v>
      </c>
      <c r="EQ2733" s="4"/>
      <c r="ER2733" s="4"/>
      <c r="ES2733" s="4"/>
      <c r="ET2733" s="4"/>
      <c r="EU2733" s="4"/>
      <c r="EV2733" s="4"/>
      <c r="EW2733" s="4"/>
      <c r="EX2733" s="4"/>
      <c r="EY2733" s="4"/>
      <c r="EZ2733" s="4"/>
      <c r="FA2733" s="4"/>
      <c r="FB2733" s="4"/>
      <c r="FC2733" s="4"/>
      <c r="FD2733" s="4"/>
      <c r="FE2733" s="4"/>
      <c r="FF2733" s="4"/>
      <c r="FG2733" s="4"/>
      <c r="FH2733" s="4"/>
      <c r="FI2733" s="4"/>
      <c r="FJ2733" s="4"/>
      <c r="FK2733" s="4"/>
      <c r="FL2733" s="4"/>
      <c r="FM2733" s="4"/>
      <c r="FN2733" s="4"/>
      <c r="FO2733" s="4"/>
      <c r="FP2733" s="4"/>
      <c r="FQ2733" s="4"/>
      <c r="FR2733" s="4"/>
      <c r="FS2733" s="4"/>
      <c r="FT2733" s="4"/>
      <c r="FU2733" s="4"/>
      <c r="FV2733" s="4"/>
      <c r="FW2733" s="4"/>
      <c r="FX2733" s="4"/>
      <c r="FY2733" s="4"/>
      <c r="FZ2733" s="4"/>
      <c r="GA2733" s="4"/>
      <c r="GB2733" s="4"/>
      <c r="GC2733" s="4"/>
      <c r="GD2733" s="4"/>
      <c r="GE2733" s="4"/>
      <c r="GF2733" s="4"/>
      <c r="GG2733" s="4"/>
      <c r="GH2733" s="4"/>
      <c r="GI2733" s="4"/>
      <c r="GJ2733" s="4"/>
      <c r="GK2733" s="4"/>
      <c r="GL2733" s="4"/>
      <c r="GM2733" s="4"/>
      <c r="GN2733" s="4"/>
      <c r="GO2733" s="4"/>
      <c r="GP2733" s="4"/>
      <c r="GQ2733" s="4"/>
      <c r="GR2733" s="4"/>
      <c r="GS2733" s="4"/>
      <c r="GT2733" s="4"/>
      <c r="GU2733" s="4"/>
      <c r="GV2733" s="4"/>
      <c r="GW2733" s="4"/>
      <c r="GX2733" s="4"/>
      <c r="GY2733" s="4"/>
      <c r="GZ2733" s="4"/>
      <c r="HA2733" s="4"/>
      <c r="HB2733" s="4"/>
      <c r="HC2733" s="4"/>
      <c r="HD2733" s="4"/>
      <c r="HE2733" s="4"/>
      <c r="HF2733" s="4"/>
      <c r="HG2733" s="4"/>
      <c r="HH2733" s="4"/>
      <c r="HI2733" s="4"/>
      <c r="HJ2733" s="4"/>
      <c r="HK2733" s="4"/>
      <c r="HL2733" s="4"/>
    </row>
    <row r="2734">
      <c r="A2734" s="2" t="s">
        <v>11646</v>
      </c>
      <c r="B2734" s="2" t="s">
        <v>287</v>
      </c>
      <c r="C2734" s="2" t="s">
        <v>263</v>
      </c>
      <c r="D2734" s="2" t="s">
        <v>289</v>
      </c>
      <c r="E2734" s="2" t="s">
        <v>290</v>
      </c>
      <c r="F2734" s="2" t="s">
        <v>11601</v>
      </c>
      <c r="G2734" s="2" t="s">
        <v>11601</v>
      </c>
      <c r="H2734" s="2" t="s">
        <v>11601</v>
      </c>
      <c r="I2734" s="2" t="s">
        <v>359</v>
      </c>
      <c r="J2734" s="2" t="s">
        <v>281</v>
      </c>
      <c r="K2734" s="2" t="s">
        <v>747</v>
      </c>
      <c r="L2734" s="3">
        <v>16.5</v>
      </c>
      <c r="M2734" s="3">
        <v>17.32</v>
      </c>
      <c r="N2734" s="3">
        <v>32.99</v>
      </c>
      <c r="O2734" s="2" t="s">
        <v>243</v>
      </c>
      <c r="P2734" s="2" t="s">
        <v>270</v>
      </c>
      <c r="Q2734" s="2" t="s">
        <v>237</v>
      </c>
      <c r="R2734" s="2" t="s">
        <v>231</v>
      </c>
      <c r="S2734" s="2" t="s">
        <v>11644</v>
      </c>
      <c r="T2734" s="2" t="s">
        <v>11603</v>
      </c>
      <c r="U2734" s="2" t="s">
        <v>298</v>
      </c>
      <c r="V2734" s="2" t="s">
        <v>239</v>
      </c>
      <c r="W2734" s="2" t="s">
        <v>273</v>
      </c>
      <c r="X2734" s="2" t="s">
        <v>691</v>
      </c>
      <c r="Y2734" s="2" t="s">
        <v>11614</v>
      </c>
      <c r="Z2734" s="4">
        <v>127</v>
      </c>
      <c r="AA2734" s="4">
        <f>=ROUNDDOWN(31.75,0)</f>
      </c>
      <c r="AB2734" s="5">
        <v>4</v>
      </c>
      <c r="AC2734" s="2" t="s">
        <v>321</v>
      </c>
      <c r="AD2734" s="4">
        <v>120</v>
      </c>
      <c r="AE2734" s="4">
        <v>120</v>
      </c>
      <c r="AF2734" s="6">
        <v>66</v>
      </c>
      <c r="AG2734" s="6"/>
      <c r="AH2734" s="7">
        <v>1</v>
      </c>
      <c r="AI2734" s="4"/>
      <c r="AJ2734" s="4">
        <f>=ROUNDDOWN({0},0)</f>
      </c>
      <c r="AK2734" s="5"/>
      <c r="AL2734" s="2" t="s">
        <v>231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231</v>
      </c>
      <c r="AW2734" s="8" t="s">
        <v>231</v>
      </c>
      <c r="AX2734" s="4" t="s">
        <v>231</v>
      </c>
      <c r="AY2734" s="8" t="s">
        <v>231</v>
      </c>
      <c r="AZ2734" s="7" t="s">
        <v>231</v>
      </c>
      <c r="BA2734" s="7" t="s">
        <v>231</v>
      </c>
      <c r="BB2734" s="7"/>
      <c r="BC2734" s="4" t="s">
        <v>231</v>
      </c>
      <c r="BD2734" s="8" t="s">
        <v>231</v>
      </c>
      <c r="BE2734" s="4" t="s">
        <v>231</v>
      </c>
      <c r="BF2734" s="8" t="s">
        <v>231</v>
      </c>
      <c r="BG2734" s="7" t="s">
        <v>231</v>
      </c>
      <c r="BH2734" s="7" t="s">
        <v>231</v>
      </c>
      <c r="BI2734" s="7"/>
      <c r="BJ2734" s="4">
        <v>14</v>
      </c>
      <c r="BK2734" s="8">
        <v>235.05</v>
      </c>
      <c r="BL2734" s="2" t="s">
        <v>11647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11648</v>
      </c>
      <c r="BV2734" s="2" t="s">
        <v>231</v>
      </c>
      <c r="BW2734" s="2" t="s">
        <v>231</v>
      </c>
      <c r="BX2734" s="2" t="s">
        <v>231</v>
      </c>
      <c r="BY2734" s="2" t="s">
        <v>277</v>
      </c>
      <c r="BZ2734" s="2" t="s">
        <v>243</v>
      </c>
      <c r="CA2734" s="2" t="s">
        <v>11614</v>
      </c>
      <c r="CB2734" s="2" t="s">
        <v>1127</v>
      </c>
      <c r="CC2734" s="2" t="s">
        <v>244</v>
      </c>
      <c r="CD2734" s="2" t="s">
        <v>231</v>
      </c>
      <c r="CE2734" s="4">
        <v>127</v>
      </c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4"/>
      <c r="CX2734" s="4"/>
      <c r="CY2734" s="4"/>
      <c r="CZ2734" s="4"/>
      <c r="DA2734" s="4"/>
      <c r="DB2734" s="4"/>
      <c r="DC2734" s="4"/>
      <c r="DD2734" s="4"/>
      <c r="DE2734" s="4"/>
      <c r="DF2734" s="4"/>
      <c r="DG2734" s="4"/>
      <c r="DH2734" s="4"/>
      <c r="DI2734" s="4"/>
      <c r="DJ2734" s="4"/>
      <c r="DK2734" s="4"/>
      <c r="DL2734" s="4"/>
      <c r="DM2734" s="4"/>
      <c r="DN2734" s="4"/>
      <c r="DO2734" s="4"/>
      <c r="DP2734" s="4"/>
      <c r="DQ2734" s="4"/>
      <c r="DR2734" s="4"/>
      <c r="DS2734" s="4"/>
      <c r="DT2734" s="4"/>
      <c r="DU2734" s="4"/>
      <c r="DV2734" s="4"/>
      <c r="DW2734" s="4"/>
      <c r="DX2734" s="4"/>
      <c r="DY2734" s="4"/>
      <c r="DZ2734" s="4"/>
      <c r="EA2734" s="4"/>
      <c r="EB2734" s="4"/>
      <c r="EC2734" s="4"/>
      <c r="ED2734" s="4"/>
      <c r="EE2734" s="4"/>
      <c r="EF2734" s="4"/>
      <c r="EG2734" s="4"/>
      <c r="EH2734" s="4"/>
      <c r="EI2734" s="4"/>
      <c r="EJ2734" s="4"/>
      <c r="EK2734" s="4"/>
      <c r="EL2734" s="4"/>
      <c r="EM2734" s="4"/>
      <c r="EN2734" s="4"/>
      <c r="EO2734" s="4"/>
      <c r="EP2734" s="4">
        <v>120</v>
      </c>
      <c r="EQ2734" s="4"/>
      <c r="ER2734" s="4"/>
      <c r="ES2734" s="4"/>
      <c r="ET2734" s="4"/>
      <c r="EU2734" s="4"/>
      <c r="EV2734" s="4"/>
      <c r="EW2734" s="4"/>
      <c r="EX2734" s="4"/>
      <c r="EY2734" s="4"/>
      <c r="EZ2734" s="4"/>
      <c r="FA2734" s="4"/>
      <c r="FB2734" s="4"/>
      <c r="FC2734" s="4"/>
      <c r="FD2734" s="4"/>
      <c r="FE2734" s="4"/>
      <c r="FF2734" s="4"/>
      <c r="FG2734" s="4"/>
      <c r="FH2734" s="4"/>
      <c r="FI2734" s="4"/>
      <c r="FJ2734" s="4"/>
      <c r="FK2734" s="4"/>
      <c r="FL2734" s="4"/>
      <c r="FM2734" s="4"/>
      <c r="FN2734" s="4"/>
      <c r="FO2734" s="4"/>
      <c r="FP2734" s="4"/>
      <c r="FQ2734" s="4"/>
      <c r="FR2734" s="4"/>
      <c r="FS2734" s="4"/>
      <c r="FT2734" s="4"/>
      <c r="FU2734" s="4"/>
      <c r="FV2734" s="4"/>
      <c r="FW2734" s="4"/>
      <c r="FX2734" s="4"/>
      <c r="FY2734" s="4"/>
      <c r="FZ2734" s="4"/>
      <c r="GA2734" s="4"/>
      <c r="GB2734" s="4"/>
      <c r="GC2734" s="4"/>
      <c r="GD2734" s="4"/>
      <c r="GE2734" s="4"/>
      <c r="GF2734" s="4"/>
      <c r="GG2734" s="4"/>
      <c r="GH2734" s="4"/>
      <c r="GI2734" s="4"/>
      <c r="GJ2734" s="4"/>
      <c r="GK2734" s="4"/>
      <c r="GL2734" s="4"/>
      <c r="GM2734" s="4"/>
      <c r="GN2734" s="4"/>
      <c r="GO2734" s="4"/>
      <c r="GP2734" s="4"/>
      <c r="GQ2734" s="4"/>
      <c r="GR2734" s="4"/>
      <c r="GS2734" s="4"/>
      <c r="GT2734" s="4"/>
      <c r="GU2734" s="4"/>
      <c r="GV2734" s="4"/>
      <c r="GW2734" s="4"/>
      <c r="GX2734" s="4"/>
      <c r="GY2734" s="4"/>
      <c r="GZ2734" s="4"/>
      <c r="HA2734" s="4"/>
      <c r="HB2734" s="4"/>
      <c r="HC2734" s="4"/>
      <c r="HD2734" s="4"/>
      <c r="HE2734" s="4"/>
      <c r="HF2734" s="4"/>
      <c r="HG2734" s="4"/>
      <c r="HH2734" s="4"/>
      <c r="HI2734" s="4"/>
      <c r="HJ2734" s="4"/>
      <c r="HK2734" s="4"/>
      <c r="HL2734" s="4"/>
    </row>
    <row r="2735">
      <c r="A2735" s="2" t="s">
        <v>11649</v>
      </c>
      <c r="B2735" s="2" t="s">
        <v>287</v>
      </c>
      <c r="C2735" s="2" t="s">
        <v>263</v>
      </c>
      <c r="D2735" s="2" t="s">
        <v>289</v>
      </c>
      <c r="E2735" s="2" t="s">
        <v>290</v>
      </c>
      <c r="F2735" s="2" t="s">
        <v>11601</v>
      </c>
      <c r="G2735" s="2" t="s">
        <v>11601</v>
      </c>
      <c r="H2735" s="2" t="s">
        <v>11601</v>
      </c>
      <c r="I2735" s="2" t="s">
        <v>359</v>
      </c>
      <c r="J2735" s="2" t="s">
        <v>304</v>
      </c>
      <c r="K2735" s="2" t="s">
        <v>747</v>
      </c>
      <c r="L2735" s="3">
        <v>21.5</v>
      </c>
      <c r="M2735" s="3">
        <v>22.58</v>
      </c>
      <c r="N2735" s="3">
        <v>42.99</v>
      </c>
      <c r="O2735" s="2" t="s">
        <v>243</v>
      </c>
      <c r="P2735" s="2" t="s">
        <v>341</v>
      </c>
      <c r="Q2735" s="2" t="s">
        <v>237</v>
      </c>
      <c r="R2735" s="2" t="s">
        <v>231</v>
      </c>
      <c r="S2735" s="2" t="s">
        <v>11644</v>
      </c>
      <c r="T2735" s="2" t="s">
        <v>11603</v>
      </c>
      <c r="U2735" s="2" t="s">
        <v>298</v>
      </c>
      <c r="V2735" s="2" t="s">
        <v>239</v>
      </c>
      <c r="W2735" s="2" t="s">
        <v>273</v>
      </c>
      <c r="X2735" s="2" t="s">
        <v>691</v>
      </c>
      <c r="Y2735" s="2" t="s">
        <v>11614</v>
      </c>
      <c r="Z2735" s="4">
        <v>64</v>
      </c>
      <c r="AA2735" s="4">
        <f>=ROUNDDOWN(21.3333333333333,0)</f>
      </c>
      <c r="AB2735" s="5">
        <v>3</v>
      </c>
      <c r="AC2735" s="2" t="s">
        <v>231</v>
      </c>
      <c r="AD2735" s="4"/>
      <c r="AE2735" s="4"/>
      <c r="AF2735" s="6">
        <v>66</v>
      </c>
      <c r="AG2735" s="6"/>
      <c r="AH2735" s="7">
        <v>1</v>
      </c>
      <c r="AI2735" s="4"/>
      <c r="AJ2735" s="4">
        <f>=ROUNDDOWN({0},0)</f>
      </c>
      <c r="AK2735" s="5"/>
      <c r="AL2735" s="2" t="s">
        <v>231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231</v>
      </c>
      <c r="AW2735" s="8" t="s">
        <v>231</v>
      </c>
      <c r="AX2735" s="4" t="s">
        <v>231</v>
      </c>
      <c r="AY2735" s="8" t="s">
        <v>231</v>
      </c>
      <c r="AZ2735" s="7" t="s">
        <v>231</v>
      </c>
      <c r="BA2735" s="7" t="s">
        <v>231</v>
      </c>
      <c r="BB2735" s="7"/>
      <c r="BC2735" s="4" t="s">
        <v>231</v>
      </c>
      <c r="BD2735" s="8" t="s">
        <v>231</v>
      </c>
      <c r="BE2735" s="4" t="s">
        <v>231</v>
      </c>
      <c r="BF2735" s="8" t="s">
        <v>231</v>
      </c>
      <c r="BG2735" s="7" t="s">
        <v>231</v>
      </c>
      <c r="BH2735" s="7" t="s">
        <v>231</v>
      </c>
      <c r="BI2735" s="7"/>
      <c r="BJ2735" s="4">
        <v>4</v>
      </c>
      <c r="BK2735" s="8">
        <v>85.66</v>
      </c>
      <c r="BL2735" s="2" t="s">
        <v>3763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11650</v>
      </c>
      <c r="BV2735" s="2" t="s">
        <v>231</v>
      </c>
      <c r="BW2735" s="2" t="s">
        <v>231</v>
      </c>
      <c r="BX2735" s="2" t="s">
        <v>231</v>
      </c>
      <c r="BY2735" s="2" t="s">
        <v>277</v>
      </c>
      <c r="BZ2735" s="2" t="s">
        <v>243</v>
      </c>
      <c r="CA2735" s="2" t="s">
        <v>11614</v>
      </c>
      <c r="CB2735" s="2" t="s">
        <v>11651</v>
      </c>
      <c r="CC2735" s="2" t="s">
        <v>244</v>
      </c>
      <c r="CD2735" s="2" t="s">
        <v>231</v>
      </c>
      <c r="CE2735" s="4">
        <v>64</v>
      </c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4"/>
      <c r="CX2735" s="4"/>
      <c r="CY2735" s="4"/>
      <c r="CZ2735" s="4"/>
      <c r="DA2735" s="4"/>
      <c r="DB2735" s="4"/>
      <c r="DC2735" s="4"/>
      <c r="DD2735" s="4"/>
      <c r="DE2735" s="4"/>
      <c r="DF2735" s="4"/>
      <c r="DG2735" s="4"/>
      <c r="DH2735" s="4"/>
      <c r="DI2735" s="4"/>
      <c r="DJ2735" s="4"/>
      <c r="DK2735" s="4"/>
      <c r="DL2735" s="4"/>
      <c r="DM2735" s="4"/>
      <c r="DN2735" s="4"/>
      <c r="DO2735" s="4"/>
      <c r="DP2735" s="4"/>
      <c r="DQ2735" s="4"/>
      <c r="DR2735" s="4"/>
      <c r="DS2735" s="4"/>
      <c r="DT2735" s="4"/>
      <c r="DU2735" s="4"/>
      <c r="DV2735" s="4"/>
      <c r="DW2735" s="4"/>
      <c r="DX2735" s="4"/>
      <c r="DY2735" s="4"/>
      <c r="DZ2735" s="4"/>
      <c r="EA2735" s="4"/>
      <c r="EB2735" s="4"/>
      <c r="EC2735" s="4"/>
      <c r="ED2735" s="4"/>
      <c r="EE2735" s="4"/>
      <c r="EF2735" s="4"/>
      <c r="EG2735" s="4"/>
      <c r="EH2735" s="4"/>
      <c r="EI2735" s="4"/>
      <c r="EJ2735" s="4"/>
      <c r="EK2735" s="4"/>
      <c r="EL2735" s="4"/>
      <c r="EM2735" s="4"/>
      <c r="EN2735" s="4"/>
      <c r="EO2735" s="4"/>
      <c r="EP2735" s="4"/>
      <c r="EQ2735" s="4"/>
      <c r="ER2735" s="4"/>
      <c r="ES2735" s="4"/>
      <c r="ET2735" s="4"/>
      <c r="EU2735" s="4"/>
      <c r="EV2735" s="4"/>
      <c r="EW2735" s="4"/>
      <c r="EX2735" s="4"/>
      <c r="EY2735" s="4"/>
      <c r="EZ2735" s="4"/>
      <c r="FA2735" s="4"/>
      <c r="FB2735" s="4"/>
      <c r="FC2735" s="4"/>
      <c r="FD2735" s="4"/>
      <c r="FE2735" s="4"/>
      <c r="FF2735" s="4"/>
      <c r="FG2735" s="4"/>
      <c r="FH2735" s="4"/>
      <c r="FI2735" s="4"/>
      <c r="FJ2735" s="4"/>
      <c r="FK2735" s="4"/>
      <c r="FL2735" s="4"/>
      <c r="FM2735" s="4"/>
      <c r="FN2735" s="4"/>
      <c r="FO2735" s="4"/>
      <c r="FP2735" s="4"/>
      <c r="FQ2735" s="4"/>
      <c r="FR2735" s="4"/>
      <c r="FS2735" s="4"/>
      <c r="FT2735" s="4"/>
      <c r="FU2735" s="4"/>
      <c r="FV2735" s="4"/>
      <c r="FW2735" s="4"/>
      <c r="FX2735" s="4"/>
      <c r="FY2735" s="4"/>
      <c r="FZ2735" s="4"/>
      <c r="GA2735" s="4"/>
      <c r="GB2735" s="4"/>
      <c r="GC2735" s="4"/>
      <c r="GD2735" s="4"/>
      <c r="GE2735" s="4"/>
      <c r="GF2735" s="4"/>
      <c r="GG2735" s="4"/>
      <c r="GH2735" s="4"/>
      <c r="GI2735" s="4"/>
      <c r="GJ2735" s="4"/>
      <c r="GK2735" s="4"/>
      <c r="GL2735" s="4"/>
      <c r="GM2735" s="4"/>
      <c r="GN2735" s="4"/>
      <c r="GO2735" s="4"/>
      <c r="GP2735" s="4"/>
      <c r="GQ2735" s="4"/>
      <c r="GR2735" s="4"/>
      <c r="GS2735" s="4"/>
      <c r="GT2735" s="4"/>
      <c r="GU2735" s="4"/>
      <c r="GV2735" s="4"/>
      <c r="GW2735" s="4"/>
      <c r="GX2735" s="4"/>
      <c r="GY2735" s="4"/>
      <c r="GZ2735" s="4"/>
      <c r="HA2735" s="4"/>
      <c r="HB2735" s="4"/>
      <c r="HC2735" s="4"/>
      <c r="HD2735" s="4"/>
      <c r="HE2735" s="4"/>
      <c r="HF2735" s="4"/>
      <c r="HG2735" s="4"/>
      <c r="HH2735" s="4"/>
      <c r="HI2735" s="4"/>
      <c r="HJ2735" s="4"/>
      <c r="HK2735" s="4"/>
      <c r="HL2735" s="4"/>
    </row>
    <row r="2736">
      <c r="A2736" s="2" t="s">
        <v>11652</v>
      </c>
      <c r="B2736" s="2" t="s">
        <v>287</v>
      </c>
      <c r="C2736" s="2" t="s">
        <v>263</v>
      </c>
      <c r="D2736" s="2" t="s">
        <v>289</v>
      </c>
      <c r="E2736" s="2" t="s">
        <v>290</v>
      </c>
      <c r="F2736" s="2" t="s">
        <v>11601</v>
      </c>
      <c r="G2736" s="2" t="s">
        <v>11601</v>
      </c>
      <c r="H2736" s="2" t="s">
        <v>11601</v>
      </c>
      <c r="I2736" s="2" t="s">
        <v>359</v>
      </c>
      <c r="J2736" s="2" t="s">
        <v>318</v>
      </c>
      <c r="K2736" s="2" t="s">
        <v>319</v>
      </c>
      <c r="L2736" s="3">
        <v>16.5</v>
      </c>
      <c r="M2736" s="3">
        <v>17.32</v>
      </c>
      <c r="N2736" s="3">
        <v>32.99</v>
      </c>
      <c r="O2736" s="2" t="s">
        <v>243</v>
      </c>
      <c r="P2736" s="2" t="s">
        <v>270</v>
      </c>
      <c r="Q2736" s="2" t="s">
        <v>237</v>
      </c>
      <c r="R2736" s="2" t="s">
        <v>231</v>
      </c>
      <c r="S2736" s="2" t="s">
        <v>11653</v>
      </c>
      <c r="T2736" s="2" t="s">
        <v>11603</v>
      </c>
      <c r="U2736" s="2" t="s">
        <v>231</v>
      </c>
      <c r="V2736" s="2" t="s">
        <v>239</v>
      </c>
      <c r="W2736" s="2" t="s">
        <v>273</v>
      </c>
      <c r="X2736" s="2" t="s">
        <v>231</v>
      </c>
      <c r="Y2736" s="2" t="s">
        <v>10550</v>
      </c>
      <c r="Z2736" s="4">
        <v>92</v>
      </c>
      <c r="AA2736" s="4">
        <f>=ROUNDDOWN(30.6666666666667,0)</f>
      </c>
      <c r="AB2736" s="5">
        <v>3</v>
      </c>
      <c r="AC2736" s="2" t="s">
        <v>321</v>
      </c>
      <c r="AD2736" s="4">
        <v>40</v>
      </c>
      <c r="AE2736" s="4">
        <v>40</v>
      </c>
      <c r="AF2736" s="6">
        <v>66</v>
      </c>
      <c r="AG2736" s="6"/>
      <c r="AH2736" s="7">
        <v>1</v>
      </c>
      <c r="AI2736" s="4"/>
      <c r="AJ2736" s="4">
        <f>=ROUNDDOWN({0},0)</f>
      </c>
      <c r="AK2736" s="5"/>
      <c r="AL2736" s="2" t="s">
        <v>231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231</v>
      </c>
      <c r="AW2736" s="8" t="s">
        <v>231</v>
      </c>
      <c r="AX2736" s="4" t="s">
        <v>231</v>
      </c>
      <c r="AY2736" s="8" t="s">
        <v>231</v>
      </c>
      <c r="AZ2736" s="7" t="s">
        <v>231</v>
      </c>
      <c r="BA2736" s="7" t="s">
        <v>231</v>
      </c>
      <c r="BB2736" s="7"/>
      <c r="BC2736" s="4" t="s">
        <v>231</v>
      </c>
      <c r="BD2736" s="8" t="s">
        <v>231</v>
      </c>
      <c r="BE2736" s="4" t="s">
        <v>231</v>
      </c>
      <c r="BF2736" s="8" t="s">
        <v>231</v>
      </c>
      <c r="BG2736" s="7" t="s">
        <v>231</v>
      </c>
      <c r="BH2736" s="7" t="s">
        <v>231</v>
      </c>
      <c r="BI2736" s="7"/>
      <c r="BJ2736" s="4">
        <v>27</v>
      </c>
      <c r="BK2736" s="8">
        <v>422.82</v>
      </c>
      <c r="BL2736" s="2" t="s">
        <v>6944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11654</v>
      </c>
      <c r="BV2736" s="2" t="s">
        <v>231</v>
      </c>
      <c r="BW2736" s="2" t="s">
        <v>231</v>
      </c>
      <c r="BX2736" s="2" t="s">
        <v>231</v>
      </c>
      <c r="BY2736" s="2" t="s">
        <v>277</v>
      </c>
      <c r="BZ2736" s="2" t="s">
        <v>243</v>
      </c>
      <c r="CA2736" s="2" t="s">
        <v>10300</v>
      </c>
      <c r="CB2736" s="2" t="s">
        <v>4719</v>
      </c>
      <c r="CC2736" s="2" t="s">
        <v>244</v>
      </c>
      <c r="CD2736" s="2" t="s">
        <v>231</v>
      </c>
      <c r="CE2736" s="4">
        <v>92</v>
      </c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4"/>
      <c r="CX2736" s="4"/>
      <c r="CY2736" s="4"/>
      <c r="CZ2736" s="4"/>
      <c r="DA2736" s="4"/>
      <c r="DB2736" s="4"/>
      <c r="DC2736" s="4"/>
      <c r="DD2736" s="4"/>
      <c r="DE2736" s="4"/>
      <c r="DF2736" s="4"/>
      <c r="DG2736" s="4"/>
      <c r="DH2736" s="4"/>
      <c r="DI2736" s="4"/>
      <c r="DJ2736" s="4"/>
      <c r="DK2736" s="4"/>
      <c r="DL2736" s="4"/>
      <c r="DM2736" s="4"/>
      <c r="DN2736" s="4"/>
      <c r="DO2736" s="4"/>
      <c r="DP2736" s="4"/>
      <c r="DQ2736" s="4"/>
      <c r="DR2736" s="4"/>
      <c r="DS2736" s="4"/>
      <c r="DT2736" s="4"/>
      <c r="DU2736" s="4"/>
      <c r="DV2736" s="4"/>
      <c r="DW2736" s="4"/>
      <c r="DX2736" s="4"/>
      <c r="DY2736" s="4"/>
      <c r="DZ2736" s="4"/>
      <c r="EA2736" s="4"/>
      <c r="EB2736" s="4"/>
      <c r="EC2736" s="4"/>
      <c r="ED2736" s="4"/>
      <c r="EE2736" s="4"/>
      <c r="EF2736" s="4"/>
      <c r="EG2736" s="4"/>
      <c r="EH2736" s="4"/>
      <c r="EI2736" s="4"/>
      <c r="EJ2736" s="4"/>
      <c r="EK2736" s="4"/>
      <c r="EL2736" s="4"/>
      <c r="EM2736" s="4"/>
      <c r="EN2736" s="4"/>
      <c r="EO2736" s="4"/>
      <c r="EP2736" s="4">
        <v>40</v>
      </c>
      <c r="EQ2736" s="4"/>
      <c r="ER2736" s="4"/>
      <c r="ES2736" s="4"/>
      <c r="ET2736" s="4"/>
      <c r="EU2736" s="4"/>
      <c r="EV2736" s="4"/>
      <c r="EW2736" s="4"/>
      <c r="EX2736" s="4"/>
      <c r="EY2736" s="4"/>
      <c r="EZ2736" s="4"/>
      <c r="FA2736" s="4"/>
      <c r="FB2736" s="4"/>
      <c r="FC2736" s="4"/>
      <c r="FD2736" s="4"/>
      <c r="FE2736" s="4"/>
      <c r="FF2736" s="4"/>
      <c r="FG2736" s="4"/>
      <c r="FH2736" s="4"/>
      <c r="FI2736" s="4"/>
      <c r="FJ2736" s="4"/>
      <c r="FK2736" s="4"/>
      <c r="FL2736" s="4"/>
      <c r="FM2736" s="4"/>
      <c r="FN2736" s="4"/>
      <c r="FO2736" s="4"/>
      <c r="FP2736" s="4"/>
      <c r="FQ2736" s="4"/>
      <c r="FR2736" s="4"/>
      <c r="FS2736" s="4"/>
      <c r="FT2736" s="4"/>
      <c r="FU2736" s="4"/>
      <c r="FV2736" s="4"/>
      <c r="FW2736" s="4"/>
      <c r="FX2736" s="4"/>
      <c r="FY2736" s="4"/>
      <c r="FZ2736" s="4"/>
      <c r="GA2736" s="4"/>
      <c r="GB2736" s="4"/>
      <c r="GC2736" s="4"/>
      <c r="GD2736" s="4"/>
      <c r="GE2736" s="4"/>
      <c r="GF2736" s="4"/>
      <c r="GG2736" s="4"/>
      <c r="GH2736" s="4"/>
      <c r="GI2736" s="4"/>
      <c r="GJ2736" s="4"/>
      <c r="GK2736" s="4"/>
      <c r="GL2736" s="4"/>
      <c r="GM2736" s="4"/>
      <c r="GN2736" s="4"/>
      <c r="GO2736" s="4"/>
      <c r="GP2736" s="4"/>
      <c r="GQ2736" s="4"/>
      <c r="GR2736" s="4"/>
      <c r="GS2736" s="4"/>
      <c r="GT2736" s="4"/>
      <c r="GU2736" s="4"/>
      <c r="GV2736" s="4"/>
      <c r="GW2736" s="4"/>
      <c r="GX2736" s="4"/>
      <c r="GY2736" s="4"/>
      <c r="GZ2736" s="4"/>
      <c r="HA2736" s="4"/>
      <c r="HB2736" s="4"/>
      <c r="HC2736" s="4"/>
      <c r="HD2736" s="4"/>
      <c r="HE2736" s="4"/>
      <c r="HF2736" s="4"/>
      <c r="HG2736" s="4"/>
      <c r="HH2736" s="4"/>
      <c r="HI2736" s="4"/>
      <c r="HJ2736" s="4"/>
      <c r="HK2736" s="4"/>
      <c r="HL2736" s="4"/>
    </row>
    <row r="2737">
      <c r="A2737" s="2" t="s">
        <v>11655</v>
      </c>
      <c r="B2737" s="2" t="s">
        <v>287</v>
      </c>
      <c r="C2737" s="2" t="s">
        <v>263</v>
      </c>
      <c r="D2737" s="2" t="s">
        <v>289</v>
      </c>
      <c r="E2737" s="2" t="s">
        <v>290</v>
      </c>
      <c r="F2737" s="2" t="s">
        <v>11601</v>
      </c>
      <c r="G2737" s="2" t="s">
        <v>11601</v>
      </c>
      <c r="H2737" s="2" t="s">
        <v>11601</v>
      </c>
      <c r="I2737" s="2" t="s">
        <v>359</v>
      </c>
      <c r="J2737" s="2" t="s">
        <v>302</v>
      </c>
      <c r="K2737" s="2" t="s">
        <v>319</v>
      </c>
      <c r="L2737" s="3">
        <v>21.5</v>
      </c>
      <c r="M2737" s="3">
        <v>22.58</v>
      </c>
      <c r="N2737" s="3">
        <v>42.99</v>
      </c>
      <c r="O2737" s="2" t="s">
        <v>243</v>
      </c>
      <c r="P2737" s="2" t="s">
        <v>270</v>
      </c>
      <c r="Q2737" s="2" t="s">
        <v>237</v>
      </c>
      <c r="R2737" s="2" t="s">
        <v>231</v>
      </c>
      <c r="S2737" s="2" t="s">
        <v>11653</v>
      </c>
      <c r="T2737" s="2" t="s">
        <v>11603</v>
      </c>
      <c r="U2737" s="2" t="s">
        <v>231</v>
      </c>
      <c r="V2737" s="2" t="s">
        <v>239</v>
      </c>
      <c r="W2737" s="2" t="s">
        <v>273</v>
      </c>
      <c r="X2737" s="2" t="s">
        <v>231</v>
      </c>
      <c r="Y2737" s="2" t="s">
        <v>10550</v>
      </c>
      <c r="Z2737" s="4">
        <v>285</v>
      </c>
      <c r="AA2737" s="4">
        <f>=ROUNDDOWN(25.9090909090909,0)</f>
      </c>
      <c r="AB2737" s="5">
        <v>11</v>
      </c>
      <c r="AC2737" s="2" t="s">
        <v>321</v>
      </c>
      <c r="AD2737" s="4">
        <v>140</v>
      </c>
      <c r="AE2737" s="4">
        <v>140</v>
      </c>
      <c r="AF2737" s="6">
        <v>66</v>
      </c>
      <c r="AG2737" s="6"/>
      <c r="AH2737" s="7">
        <v>1</v>
      </c>
      <c r="AI2737" s="4"/>
      <c r="AJ2737" s="4">
        <f>=ROUNDDOWN({0},0)</f>
      </c>
      <c r="AK2737" s="5"/>
      <c r="AL2737" s="2" t="s">
        <v>231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231</v>
      </c>
      <c r="AW2737" s="8" t="s">
        <v>231</v>
      </c>
      <c r="AX2737" s="4" t="s">
        <v>231</v>
      </c>
      <c r="AY2737" s="8" t="s">
        <v>231</v>
      </c>
      <c r="AZ2737" s="7" t="s">
        <v>231</v>
      </c>
      <c r="BA2737" s="7" t="s">
        <v>231</v>
      </c>
      <c r="BB2737" s="7"/>
      <c r="BC2737" s="4" t="s">
        <v>231</v>
      </c>
      <c r="BD2737" s="8" t="s">
        <v>231</v>
      </c>
      <c r="BE2737" s="4" t="s">
        <v>231</v>
      </c>
      <c r="BF2737" s="8" t="s">
        <v>231</v>
      </c>
      <c r="BG2737" s="7" t="s">
        <v>231</v>
      </c>
      <c r="BH2737" s="7" t="s">
        <v>231</v>
      </c>
      <c r="BI2737" s="7"/>
      <c r="BJ2737" s="4">
        <v>44</v>
      </c>
      <c r="BK2737" s="8">
        <v>997.24</v>
      </c>
      <c r="BL2737" s="2" t="s">
        <v>10802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11656</v>
      </c>
      <c r="BV2737" s="2" t="s">
        <v>231</v>
      </c>
      <c r="BW2737" s="2" t="s">
        <v>231</v>
      </c>
      <c r="BX2737" s="2" t="s">
        <v>231</v>
      </c>
      <c r="BY2737" s="2" t="s">
        <v>277</v>
      </c>
      <c r="BZ2737" s="2" t="s">
        <v>243</v>
      </c>
      <c r="CA2737" s="2" t="s">
        <v>10300</v>
      </c>
      <c r="CB2737" s="2" t="s">
        <v>4231</v>
      </c>
      <c r="CC2737" s="2" t="s">
        <v>244</v>
      </c>
      <c r="CD2737" s="2" t="s">
        <v>231</v>
      </c>
      <c r="CE2737" s="4">
        <v>285</v>
      </c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4"/>
      <c r="CX2737" s="4"/>
      <c r="CY2737" s="4"/>
      <c r="CZ2737" s="4"/>
      <c r="DA2737" s="4"/>
      <c r="DB2737" s="4"/>
      <c r="DC2737" s="4"/>
      <c r="DD2737" s="4"/>
      <c r="DE2737" s="4"/>
      <c r="DF2737" s="4"/>
      <c r="DG2737" s="4"/>
      <c r="DH2737" s="4"/>
      <c r="DI2737" s="4"/>
      <c r="DJ2737" s="4"/>
      <c r="DK2737" s="4"/>
      <c r="DL2737" s="4"/>
      <c r="DM2737" s="4"/>
      <c r="DN2737" s="4"/>
      <c r="DO2737" s="4"/>
      <c r="DP2737" s="4"/>
      <c r="DQ2737" s="4"/>
      <c r="DR2737" s="4"/>
      <c r="DS2737" s="4"/>
      <c r="DT2737" s="4"/>
      <c r="DU2737" s="4"/>
      <c r="DV2737" s="4"/>
      <c r="DW2737" s="4"/>
      <c r="DX2737" s="4"/>
      <c r="DY2737" s="4"/>
      <c r="DZ2737" s="4"/>
      <c r="EA2737" s="4"/>
      <c r="EB2737" s="4"/>
      <c r="EC2737" s="4"/>
      <c r="ED2737" s="4"/>
      <c r="EE2737" s="4"/>
      <c r="EF2737" s="4"/>
      <c r="EG2737" s="4"/>
      <c r="EH2737" s="4"/>
      <c r="EI2737" s="4"/>
      <c r="EJ2737" s="4"/>
      <c r="EK2737" s="4"/>
      <c r="EL2737" s="4"/>
      <c r="EM2737" s="4"/>
      <c r="EN2737" s="4"/>
      <c r="EO2737" s="4"/>
      <c r="EP2737" s="4">
        <v>140</v>
      </c>
      <c r="EQ2737" s="4"/>
      <c r="ER2737" s="4"/>
      <c r="ES2737" s="4"/>
      <c r="ET2737" s="4"/>
      <c r="EU2737" s="4"/>
      <c r="EV2737" s="4"/>
      <c r="EW2737" s="4"/>
      <c r="EX2737" s="4"/>
      <c r="EY2737" s="4"/>
      <c r="EZ2737" s="4"/>
      <c r="FA2737" s="4"/>
      <c r="FB2737" s="4"/>
      <c r="FC2737" s="4"/>
      <c r="FD2737" s="4"/>
      <c r="FE2737" s="4"/>
      <c r="FF2737" s="4"/>
      <c r="FG2737" s="4"/>
      <c r="FH2737" s="4"/>
      <c r="FI2737" s="4"/>
      <c r="FJ2737" s="4"/>
      <c r="FK2737" s="4"/>
      <c r="FL2737" s="4"/>
      <c r="FM2737" s="4"/>
      <c r="FN2737" s="4"/>
      <c r="FO2737" s="4"/>
      <c r="FP2737" s="4"/>
      <c r="FQ2737" s="4"/>
      <c r="FR2737" s="4"/>
      <c r="FS2737" s="4"/>
      <c r="FT2737" s="4"/>
      <c r="FU2737" s="4"/>
      <c r="FV2737" s="4"/>
      <c r="FW2737" s="4"/>
      <c r="FX2737" s="4"/>
      <c r="FY2737" s="4"/>
      <c r="FZ2737" s="4"/>
      <c r="GA2737" s="4"/>
      <c r="GB2737" s="4"/>
      <c r="GC2737" s="4"/>
      <c r="GD2737" s="4"/>
      <c r="GE2737" s="4"/>
      <c r="GF2737" s="4"/>
      <c r="GG2737" s="4"/>
      <c r="GH2737" s="4"/>
      <c r="GI2737" s="4"/>
      <c r="GJ2737" s="4"/>
      <c r="GK2737" s="4"/>
      <c r="GL2737" s="4"/>
      <c r="GM2737" s="4"/>
      <c r="GN2737" s="4"/>
      <c r="GO2737" s="4"/>
      <c r="GP2737" s="4"/>
      <c r="GQ2737" s="4"/>
      <c r="GR2737" s="4"/>
      <c r="GS2737" s="4"/>
      <c r="GT2737" s="4"/>
      <c r="GU2737" s="4"/>
      <c r="GV2737" s="4"/>
      <c r="GW2737" s="4"/>
      <c r="GX2737" s="4"/>
      <c r="GY2737" s="4"/>
      <c r="GZ2737" s="4"/>
      <c r="HA2737" s="4"/>
      <c r="HB2737" s="4"/>
      <c r="HC2737" s="4"/>
      <c r="HD2737" s="4"/>
      <c r="HE2737" s="4"/>
      <c r="HF2737" s="4"/>
      <c r="HG2737" s="4"/>
      <c r="HH2737" s="4"/>
      <c r="HI2737" s="4"/>
      <c r="HJ2737" s="4"/>
      <c r="HK2737" s="4"/>
      <c r="HL2737" s="4"/>
    </row>
    <row r="2738">
      <c r="A2738" s="2" t="s">
        <v>11657</v>
      </c>
      <c r="B2738" s="2" t="s">
        <v>847</v>
      </c>
      <c r="C2738" s="2" t="s">
        <v>288</v>
      </c>
      <c r="D2738" s="2" t="s">
        <v>2003</v>
      </c>
      <c r="E2738" s="2" t="s">
        <v>6975</v>
      </c>
      <c r="F2738" s="2" t="s">
        <v>11658</v>
      </c>
      <c r="G2738" s="2" t="s">
        <v>11658</v>
      </c>
      <c r="H2738" s="2" t="s">
        <v>11658</v>
      </c>
      <c r="I2738" s="2" t="s">
        <v>11659</v>
      </c>
      <c r="J2738" s="2" t="s">
        <v>807</v>
      </c>
      <c r="K2738" s="2" t="s">
        <v>2312</v>
      </c>
      <c r="L2738" s="3">
        <v>61.9</v>
      </c>
      <c r="M2738" s="3">
        <v>65</v>
      </c>
      <c r="N2738" s="3">
        <v>129.9</v>
      </c>
      <c r="O2738" s="2" t="s">
        <v>243</v>
      </c>
      <c r="P2738" s="2" t="s">
        <v>236</v>
      </c>
      <c r="Q2738" s="2" t="s">
        <v>237</v>
      </c>
      <c r="R2738" s="2" t="s">
        <v>231</v>
      </c>
      <c r="S2738" s="2" t="s">
        <v>231</v>
      </c>
      <c r="T2738" s="2" t="s">
        <v>231</v>
      </c>
      <c r="U2738" s="2" t="s">
        <v>327</v>
      </c>
      <c r="V2738" s="2" t="s">
        <v>363</v>
      </c>
      <c r="W2738" s="2" t="s">
        <v>363</v>
      </c>
      <c r="X2738" s="2" t="s">
        <v>273</v>
      </c>
      <c r="Y2738" s="2" t="s">
        <v>11660</v>
      </c>
      <c r="Z2738" s="4">
        <v>96</v>
      </c>
      <c r="AA2738" s="4">
        <f>=ROUNDDOWN(48,0)</f>
      </c>
      <c r="AB2738" s="5">
        <v>2</v>
      </c>
      <c r="AC2738" s="2" t="s">
        <v>231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231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/>
      <c r="BD2738" s="8"/>
      <c r="BE2738" s="4"/>
      <c r="BF2738" s="8"/>
      <c r="BG2738" s="7"/>
      <c r="BH2738" s="7"/>
      <c r="BI2738" s="7"/>
      <c r="BJ2738" s="4">
        <v>3</v>
      </c>
      <c r="BK2738" s="8">
        <v>202.79</v>
      </c>
      <c r="BL2738" s="2" t="s">
        <v>2225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11661</v>
      </c>
      <c r="BV2738" s="2" t="s">
        <v>231</v>
      </c>
      <c r="BW2738" s="2" t="s">
        <v>231</v>
      </c>
      <c r="BX2738" s="2" t="s">
        <v>241</v>
      </c>
      <c r="BY2738" s="2" t="s">
        <v>277</v>
      </c>
      <c r="BZ2738" s="2" t="s">
        <v>243</v>
      </c>
      <c r="CA2738" s="2" t="s">
        <v>10356</v>
      </c>
      <c r="CB2738" s="2" t="s">
        <v>231</v>
      </c>
      <c r="CC2738" s="2" t="s">
        <v>244</v>
      </c>
      <c r="CD2738" s="2" t="s">
        <v>231</v>
      </c>
      <c r="CE2738" s="4"/>
      <c r="CF2738" s="4">
        <v>96</v>
      </c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4"/>
      <c r="CX2738" s="4"/>
      <c r="CY2738" s="4"/>
      <c r="CZ2738" s="4"/>
      <c r="DA2738" s="4"/>
      <c r="DB2738" s="4"/>
      <c r="DC2738" s="4"/>
      <c r="DD2738" s="4"/>
      <c r="DE2738" s="4"/>
      <c r="DF2738" s="4"/>
      <c r="DG2738" s="4"/>
      <c r="DH2738" s="4"/>
      <c r="DI2738" s="4"/>
      <c r="DJ2738" s="4"/>
      <c r="DK2738" s="4"/>
      <c r="DL2738" s="4"/>
      <c r="DM2738" s="4"/>
      <c r="DN2738" s="4"/>
      <c r="DO2738" s="4"/>
      <c r="DP2738" s="4"/>
      <c r="DQ2738" s="4"/>
      <c r="DR2738" s="4"/>
      <c r="DS2738" s="4"/>
      <c r="DT2738" s="4"/>
      <c r="DU2738" s="4"/>
      <c r="DV2738" s="4"/>
      <c r="DW2738" s="4"/>
      <c r="DX2738" s="4"/>
      <c r="DY2738" s="4"/>
      <c r="DZ2738" s="4"/>
      <c r="EA2738" s="4"/>
      <c r="EB2738" s="4"/>
      <c r="EC2738" s="4"/>
      <c r="ED2738" s="4"/>
      <c r="EE2738" s="4"/>
      <c r="EF2738" s="4"/>
      <c r="EG2738" s="4"/>
      <c r="EH2738" s="4"/>
      <c r="EI2738" s="4"/>
      <c r="EJ2738" s="4"/>
      <c r="EK2738" s="4"/>
      <c r="EL2738" s="4"/>
      <c r="EM2738" s="4"/>
      <c r="EN2738" s="4"/>
      <c r="EO2738" s="4"/>
      <c r="EP2738" s="4"/>
      <c r="EQ2738" s="4"/>
      <c r="ER2738" s="4"/>
      <c r="ES2738" s="4"/>
      <c r="ET2738" s="4"/>
      <c r="EU2738" s="4"/>
      <c r="EV2738" s="4"/>
      <c r="EW2738" s="4"/>
      <c r="EX2738" s="4"/>
      <c r="EY2738" s="4"/>
      <c r="EZ2738" s="4"/>
      <c r="FA2738" s="4"/>
      <c r="FB2738" s="4"/>
      <c r="FC2738" s="4"/>
      <c r="FD2738" s="4"/>
      <c r="FE2738" s="4"/>
      <c r="FF2738" s="4"/>
      <c r="FG2738" s="4"/>
      <c r="FH2738" s="4"/>
      <c r="FI2738" s="4"/>
      <c r="FJ2738" s="4"/>
      <c r="FK2738" s="4"/>
      <c r="FL2738" s="4"/>
      <c r="FM2738" s="4"/>
      <c r="FN2738" s="4"/>
      <c r="FO2738" s="4"/>
      <c r="FP2738" s="4"/>
      <c r="FQ2738" s="4"/>
      <c r="FR2738" s="4"/>
      <c r="FS2738" s="4"/>
      <c r="FT2738" s="4"/>
      <c r="FU2738" s="4"/>
      <c r="FV2738" s="4"/>
      <c r="FW2738" s="4"/>
      <c r="FX2738" s="4"/>
      <c r="FY2738" s="4"/>
      <c r="FZ2738" s="4"/>
      <c r="GA2738" s="4"/>
      <c r="GB2738" s="4"/>
      <c r="GC2738" s="4"/>
      <c r="GD2738" s="4"/>
      <c r="GE2738" s="4"/>
      <c r="GF2738" s="4"/>
      <c r="GG2738" s="4"/>
      <c r="GH2738" s="4"/>
      <c r="GI2738" s="4"/>
      <c r="GJ2738" s="4"/>
      <c r="GK2738" s="4"/>
      <c r="GL2738" s="4"/>
      <c r="GM2738" s="4"/>
      <c r="GN2738" s="4"/>
      <c r="GO2738" s="4"/>
      <c r="GP2738" s="4"/>
      <c r="GQ2738" s="4"/>
      <c r="GR2738" s="4"/>
      <c r="GS2738" s="4"/>
      <c r="GT2738" s="4"/>
      <c r="GU2738" s="4"/>
      <c r="GV2738" s="4"/>
      <c r="GW2738" s="4"/>
      <c r="GX2738" s="4"/>
      <c r="GY2738" s="4"/>
      <c r="GZ2738" s="4"/>
      <c r="HA2738" s="4"/>
      <c r="HB2738" s="4"/>
      <c r="HC2738" s="4"/>
      <c r="HD2738" s="4"/>
      <c r="HE2738" s="4"/>
      <c r="HF2738" s="4"/>
      <c r="HG2738" s="4"/>
      <c r="HH2738" s="4"/>
      <c r="HI2738" s="4"/>
      <c r="HJ2738" s="4"/>
      <c r="HK2738" s="4"/>
      <c r="HL2738" s="4"/>
    </row>
    <row r="2739">
      <c r="A2739" s="2" t="s">
        <v>11662</v>
      </c>
      <c r="B2739" s="2" t="s">
        <v>992</v>
      </c>
      <c r="C2739" s="2" t="s">
        <v>1017</v>
      </c>
      <c r="D2739" s="2" t="s">
        <v>993</v>
      </c>
      <c r="E2739" s="2" t="s">
        <v>994</v>
      </c>
      <c r="F2739" s="2" t="s">
        <v>11663</v>
      </c>
      <c r="G2739" s="2" t="s">
        <v>11663</v>
      </c>
      <c r="H2739" s="2" t="s">
        <v>11663</v>
      </c>
      <c r="I2739" s="2" t="s">
        <v>11663</v>
      </c>
      <c r="J2739" s="2" t="s">
        <v>3789</v>
      </c>
      <c r="K2739" s="2" t="s">
        <v>2321</v>
      </c>
      <c r="L2739" s="3">
        <v>14.49</v>
      </c>
      <c r="M2739" s="3">
        <v>15.21</v>
      </c>
      <c r="N2739" s="3">
        <v>24.99</v>
      </c>
      <c r="O2739" s="2" t="s">
        <v>235</v>
      </c>
      <c r="P2739" s="2" t="s">
        <v>1019</v>
      </c>
      <c r="Q2739" s="2" t="s">
        <v>237</v>
      </c>
      <c r="R2739" s="2" t="s">
        <v>1020</v>
      </c>
      <c r="S2739" s="2" t="s">
        <v>231</v>
      </c>
      <c r="T2739" s="2" t="s">
        <v>472</v>
      </c>
      <c r="U2739" s="2" t="s">
        <v>791</v>
      </c>
      <c r="V2739" s="2" t="s">
        <v>239</v>
      </c>
      <c r="W2739" s="2" t="s">
        <v>231</v>
      </c>
      <c r="X2739" s="2" t="s">
        <v>231</v>
      </c>
      <c r="Y2739" s="2" t="s">
        <v>11664</v>
      </c>
      <c r="Z2739" s="4">
        <v>108</v>
      </c>
      <c r="AA2739" s="4">
        <f>=ROUNDDOWN(36,0)</f>
      </c>
      <c r="AB2739" s="5">
        <v>3</v>
      </c>
      <c r="AC2739" s="2" t="s">
        <v>231</v>
      </c>
      <c r="AD2739" s="4"/>
      <c r="AE2739" s="4"/>
      <c r="AF2739" s="6">
        <v>64</v>
      </c>
      <c r="AG2739" s="6"/>
      <c r="AH2739" s="7">
        <v>1</v>
      </c>
      <c r="AI2739" s="4"/>
      <c r="AJ2739" s="4">
        <f>=ROUNDDOWN({0},0)</f>
      </c>
      <c r="AK2739" s="5"/>
      <c r="AL2739" s="2" t="s">
        <v>231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/>
      <c r="BD2739" s="8"/>
      <c r="BE2739" s="4"/>
      <c r="BF2739" s="8"/>
      <c r="BG2739" s="7"/>
      <c r="BH2739" s="7"/>
      <c r="BI2739" s="7"/>
      <c r="BJ2739" s="4">
        <v>5</v>
      </c>
      <c r="BK2739" s="8">
        <v>72.45</v>
      </c>
      <c r="BL2739" s="2" t="s">
        <v>11665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11666</v>
      </c>
      <c r="BV2739" s="2" t="s">
        <v>231</v>
      </c>
      <c r="BW2739" s="2" t="s">
        <v>231</v>
      </c>
      <c r="BX2739" s="2" t="s">
        <v>241</v>
      </c>
      <c r="BY2739" s="2" t="s">
        <v>277</v>
      </c>
      <c r="BZ2739" s="2" t="s">
        <v>243</v>
      </c>
      <c r="CA2739" s="2" t="s">
        <v>1024</v>
      </c>
      <c r="CB2739" s="2" t="s">
        <v>231</v>
      </c>
      <c r="CC2739" s="2" t="s">
        <v>244</v>
      </c>
      <c r="CD2739" s="2" t="s">
        <v>231</v>
      </c>
      <c r="CE2739" s="4">
        <v>108</v>
      </c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4"/>
      <c r="CX2739" s="4"/>
      <c r="CY2739" s="4"/>
      <c r="CZ2739" s="4"/>
      <c r="DA2739" s="4"/>
      <c r="DB2739" s="4"/>
      <c r="DC2739" s="4"/>
      <c r="DD2739" s="4"/>
      <c r="DE2739" s="4"/>
      <c r="DF2739" s="4"/>
      <c r="DG2739" s="4"/>
      <c r="DH2739" s="4"/>
      <c r="DI2739" s="4"/>
      <c r="DJ2739" s="4"/>
      <c r="DK2739" s="4"/>
      <c r="DL2739" s="4"/>
      <c r="DM2739" s="4"/>
      <c r="DN2739" s="4"/>
      <c r="DO2739" s="4"/>
      <c r="DP2739" s="4"/>
      <c r="DQ2739" s="4"/>
      <c r="DR2739" s="4"/>
      <c r="DS2739" s="4"/>
      <c r="DT2739" s="4"/>
      <c r="DU2739" s="4"/>
      <c r="DV2739" s="4"/>
      <c r="DW2739" s="4"/>
      <c r="DX2739" s="4"/>
      <c r="DY2739" s="4"/>
      <c r="DZ2739" s="4"/>
      <c r="EA2739" s="4"/>
      <c r="EB2739" s="4"/>
      <c r="EC2739" s="4"/>
      <c r="ED2739" s="4"/>
      <c r="EE2739" s="4"/>
      <c r="EF2739" s="4"/>
      <c r="EG2739" s="4"/>
      <c r="EH2739" s="4"/>
      <c r="EI2739" s="4"/>
      <c r="EJ2739" s="4"/>
      <c r="EK2739" s="4"/>
      <c r="EL2739" s="4"/>
      <c r="EM2739" s="4"/>
      <c r="EN2739" s="4"/>
      <c r="EO2739" s="4"/>
      <c r="EP2739" s="4"/>
      <c r="EQ2739" s="4"/>
      <c r="ER2739" s="4"/>
      <c r="ES2739" s="4"/>
      <c r="ET2739" s="4"/>
      <c r="EU2739" s="4"/>
      <c r="EV2739" s="4"/>
      <c r="EW2739" s="4"/>
      <c r="EX2739" s="4"/>
      <c r="EY2739" s="4"/>
      <c r="EZ2739" s="4"/>
      <c r="FA2739" s="4"/>
      <c r="FB2739" s="4"/>
      <c r="FC2739" s="4"/>
      <c r="FD2739" s="4"/>
      <c r="FE2739" s="4"/>
      <c r="FF2739" s="4"/>
      <c r="FG2739" s="4"/>
      <c r="FH2739" s="4"/>
      <c r="FI2739" s="4"/>
      <c r="FJ2739" s="4"/>
      <c r="FK2739" s="4"/>
      <c r="FL2739" s="4"/>
      <c r="FM2739" s="4"/>
      <c r="FN2739" s="4"/>
      <c r="FO2739" s="4"/>
      <c r="FP2739" s="4"/>
      <c r="FQ2739" s="4"/>
      <c r="FR2739" s="4"/>
      <c r="FS2739" s="4"/>
      <c r="FT2739" s="4"/>
      <c r="FU2739" s="4"/>
      <c r="FV2739" s="4"/>
      <c r="FW2739" s="4"/>
      <c r="FX2739" s="4"/>
      <c r="FY2739" s="4"/>
      <c r="FZ2739" s="4"/>
      <c r="GA2739" s="4"/>
      <c r="GB2739" s="4"/>
      <c r="GC2739" s="4"/>
      <c r="GD2739" s="4"/>
      <c r="GE2739" s="4"/>
      <c r="GF2739" s="4"/>
      <c r="GG2739" s="4"/>
      <c r="GH2739" s="4"/>
      <c r="GI2739" s="4"/>
      <c r="GJ2739" s="4"/>
      <c r="GK2739" s="4"/>
      <c r="GL2739" s="4"/>
      <c r="GM2739" s="4"/>
      <c r="GN2739" s="4"/>
      <c r="GO2739" s="4"/>
      <c r="GP2739" s="4"/>
      <c r="GQ2739" s="4"/>
      <c r="GR2739" s="4"/>
      <c r="GS2739" s="4"/>
      <c r="GT2739" s="4"/>
      <c r="GU2739" s="4"/>
      <c r="GV2739" s="4"/>
      <c r="GW2739" s="4"/>
      <c r="GX2739" s="4"/>
      <c r="GY2739" s="4"/>
      <c r="GZ2739" s="4"/>
      <c r="HA2739" s="4"/>
      <c r="HB2739" s="4"/>
      <c r="HC2739" s="4"/>
      <c r="HD2739" s="4"/>
      <c r="HE2739" s="4"/>
      <c r="HF2739" s="4"/>
      <c r="HG2739" s="4"/>
      <c r="HH2739" s="4"/>
      <c r="HI2739" s="4"/>
      <c r="HJ2739" s="4"/>
      <c r="HK2739" s="4"/>
      <c r="HL2739" s="4"/>
    </row>
    <row r="2740">
      <c r="A2740" s="2" t="s">
        <v>11667</v>
      </c>
      <c r="B2740" s="2" t="s">
        <v>287</v>
      </c>
      <c r="C2740" s="2" t="s">
        <v>965</v>
      </c>
      <c r="D2740" s="2" t="s">
        <v>289</v>
      </c>
      <c r="E2740" s="2" t="s">
        <v>290</v>
      </c>
      <c r="F2740" s="2" t="s">
        <v>11668</v>
      </c>
      <c r="G2740" s="2" t="s">
        <v>11668</v>
      </c>
      <c r="H2740" s="2" t="s">
        <v>11668</v>
      </c>
      <c r="I2740" s="2" t="s">
        <v>11669</v>
      </c>
      <c r="J2740" s="2" t="s">
        <v>281</v>
      </c>
      <c r="K2740" s="2" t="s">
        <v>985</v>
      </c>
      <c r="L2740" s="3">
        <v>25.3</v>
      </c>
      <c r="M2740" s="3">
        <v>26.56</v>
      </c>
      <c r="N2740" s="3">
        <v>54.99</v>
      </c>
      <c r="O2740" s="2" t="s">
        <v>243</v>
      </c>
      <c r="P2740" s="2" t="s">
        <v>270</v>
      </c>
      <c r="Q2740" s="2" t="s">
        <v>237</v>
      </c>
      <c r="R2740" s="2" t="s">
        <v>231</v>
      </c>
      <c r="S2740" s="2" t="s">
        <v>11670</v>
      </c>
      <c r="T2740" s="2" t="s">
        <v>1630</v>
      </c>
      <c r="U2740" s="2" t="s">
        <v>298</v>
      </c>
      <c r="V2740" s="2" t="s">
        <v>239</v>
      </c>
      <c r="W2740" s="2" t="s">
        <v>273</v>
      </c>
      <c r="X2740" s="2" t="s">
        <v>231</v>
      </c>
      <c r="Y2740" s="2" t="s">
        <v>274</v>
      </c>
      <c r="Z2740" s="4">
        <v>53</v>
      </c>
      <c r="AA2740" s="4">
        <f>=ROUNDDOWN(5.3,0)</f>
      </c>
      <c r="AB2740" s="5">
        <v>10</v>
      </c>
      <c r="AC2740" s="2" t="s">
        <v>911</v>
      </c>
      <c r="AD2740" s="4">
        <v>40</v>
      </c>
      <c r="AE2740" s="4">
        <v>290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231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 t="s">
        <v>231</v>
      </c>
      <c r="BD2740" s="8" t="s">
        <v>231</v>
      </c>
      <c r="BE2740" s="4" t="s">
        <v>231</v>
      </c>
      <c r="BF2740" s="8" t="s">
        <v>231</v>
      </c>
      <c r="BG2740" s="7" t="s">
        <v>231</v>
      </c>
      <c r="BH2740" s="7" t="s">
        <v>231</v>
      </c>
      <c r="BI2740" s="7"/>
      <c r="BJ2740" s="4">
        <v>11</v>
      </c>
      <c r="BK2740" s="8">
        <v>328.36</v>
      </c>
      <c r="BL2740" s="2" t="s">
        <v>11671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11672</v>
      </c>
      <c r="BV2740" s="2" t="s">
        <v>231</v>
      </c>
      <c r="BW2740" s="2" t="s">
        <v>231</v>
      </c>
      <c r="BX2740" s="2" t="s">
        <v>241</v>
      </c>
      <c r="BY2740" s="2" t="s">
        <v>277</v>
      </c>
      <c r="BZ2740" s="2" t="s">
        <v>243</v>
      </c>
      <c r="CA2740" s="2" t="s">
        <v>284</v>
      </c>
      <c r="CB2740" s="2" t="s">
        <v>11673</v>
      </c>
      <c r="CC2740" s="2" t="s">
        <v>244</v>
      </c>
      <c r="CD2740" s="2" t="s">
        <v>231</v>
      </c>
      <c r="CE2740" s="4">
        <v>53</v>
      </c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4"/>
      <c r="CX2740" s="4"/>
      <c r="CY2740" s="4"/>
      <c r="CZ2740" s="4"/>
      <c r="DA2740" s="4"/>
      <c r="DB2740" s="4"/>
      <c r="DC2740" s="4"/>
      <c r="DD2740" s="4"/>
      <c r="DE2740" s="4"/>
      <c r="DF2740" s="4"/>
      <c r="DG2740" s="4"/>
      <c r="DH2740" s="4"/>
      <c r="DI2740" s="4"/>
      <c r="DJ2740" s="4"/>
      <c r="DK2740" s="4"/>
      <c r="DL2740" s="4"/>
      <c r="DM2740" s="4"/>
      <c r="DN2740" s="4"/>
      <c r="DO2740" s="4"/>
      <c r="DP2740" s="4"/>
      <c r="DQ2740" s="4"/>
      <c r="DR2740" s="4"/>
      <c r="DS2740" s="4"/>
      <c r="DT2740" s="4"/>
      <c r="DU2740" s="4"/>
      <c r="DV2740" s="4"/>
      <c r="DW2740" s="4"/>
      <c r="DX2740" s="4"/>
      <c r="DY2740" s="4">
        <v>40</v>
      </c>
      <c r="DZ2740" s="4"/>
      <c r="EA2740" s="4"/>
      <c r="EB2740" s="4"/>
      <c r="EC2740" s="4"/>
      <c r="ED2740" s="4"/>
      <c r="EE2740" s="4"/>
      <c r="EF2740" s="4"/>
      <c r="EG2740" s="4"/>
      <c r="EH2740" s="4"/>
      <c r="EI2740" s="4"/>
      <c r="EJ2740" s="4"/>
      <c r="EK2740" s="4"/>
      <c r="EL2740" s="4"/>
      <c r="EM2740" s="4"/>
      <c r="EN2740" s="4"/>
      <c r="EO2740" s="4"/>
      <c r="EP2740" s="4"/>
      <c r="EQ2740" s="4"/>
      <c r="ER2740" s="4"/>
      <c r="ES2740" s="4"/>
      <c r="ET2740" s="4"/>
      <c r="EU2740" s="4"/>
      <c r="EV2740" s="4"/>
      <c r="EW2740" s="4"/>
      <c r="EX2740" s="4"/>
      <c r="EY2740" s="4"/>
      <c r="EZ2740" s="4"/>
      <c r="FA2740" s="4"/>
      <c r="FB2740" s="4"/>
      <c r="FC2740" s="4"/>
      <c r="FD2740" s="4"/>
      <c r="FE2740" s="4"/>
      <c r="FF2740" s="4"/>
      <c r="FG2740" s="4"/>
      <c r="FH2740" s="4"/>
      <c r="FI2740" s="4"/>
      <c r="FJ2740" s="4"/>
      <c r="FK2740" s="4"/>
      <c r="FL2740" s="4"/>
      <c r="FM2740" s="4"/>
      <c r="FN2740" s="4"/>
      <c r="FO2740" s="4"/>
      <c r="FP2740" s="4"/>
      <c r="FQ2740" s="4"/>
      <c r="FR2740" s="4"/>
      <c r="FS2740" s="4"/>
      <c r="FT2740" s="4"/>
      <c r="FU2740" s="4"/>
      <c r="FV2740" s="4">
        <v>170</v>
      </c>
      <c r="FW2740" s="4"/>
      <c r="FX2740" s="4"/>
      <c r="FY2740" s="4"/>
      <c r="FZ2740" s="4"/>
      <c r="GA2740" s="4"/>
      <c r="GB2740" s="4"/>
      <c r="GC2740" s="4"/>
      <c r="GD2740" s="4"/>
      <c r="GE2740" s="4"/>
      <c r="GF2740" s="4"/>
      <c r="GG2740" s="4"/>
      <c r="GH2740" s="4"/>
      <c r="GI2740" s="4"/>
      <c r="GJ2740" s="4"/>
      <c r="GK2740" s="4"/>
      <c r="GL2740" s="4"/>
      <c r="GM2740" s="4"/>
      <c r="GN2740" s="4"/>
      <c r="GO2740" s="4"/>
      <c r="GP2740" s="4"/>
      <c r="GQ2740" s="4">
        <v>80</v>
      </c>
      <c r="GR2740" s="4"/>
      <c r="GS2740" s="4"/>
      <c r="GT2740" s="4"/>
      <c r="GU2740" s="4"/>
      <c r="GV2740" s="4"/>
      <c r="GW2740" s="4"/>
      <c r="GX2740" s="4"/>
      <c r="GY2740" s="4"/>
      <c r="GZ2740" s="4"/>
      <c r="HA2740" s="4"/>
      <c r="HB2740" s="4"/>
      <c r="HC2740" s="4"/>
      <c r="HD2740" s="4"/>
      <c r="HE2740" s="4"/>
      <c r="HF2740" s="4"/>
      <c r="HG2740" s="4"/>
      <c r="HH2740" s="4"/>
      <c r="HI2740" s="4"/>
      <c r="HJ2740" s="4"/>
      <c r="HK2740" s="4"/>
      <c r="HL2740" s="4"/>
    </row>
    <row r="2741">
      <c r="A2741" s="2" t="s">
        <v>11674</v>
      </c>
      <c r="B2741" s="2" t="s">
        <v>287</v>
      </c>
      <c r="C2741" s="2" t="s">
        <v>965</v>
      </c>
      <c r="D2741" s="2" t="s">
        <v>289</v>
      </c>
      <c r="E2741" s="2" t="s">
        <v>290</v>
      </c>
      <c r="F2741" s="2" t="s">
        <v>11668</v>
      </c>
      <c r="G2741" s="2" t="s">
        <v>11668</v>
      </c>
      <c r="H2741" s="2" t="s">
        <v>11668</v>
      </c>
      <c r="I2741" s="2" t="s">
        <v>11669</v>
      </c>
      <c r="J2741" s="2" t="s">
        <v>318</v>
      </c>
      <c r="K2741" s="2" t="s">
        <v>269</v>
      </c>
      <c r="L2741" s="3">
        <v>19.78</v>
      </c>
      <c r="M2741" s="3">
        <v>20.77</v>
      </c>
      <c r="N2741" s="3">
        <v>42.99</v>
      </c>
      <c r="O2741" s="2" t="s">
        <v>243</v>
      </c>
      <c r="P2741" s="2" t="s">
        <v>871</v>
      </c>
      <c r="Q2741" s="2" t="s">
        <v>237</v>
      </c>
      <c r="R2741" s="2" t="s">
        <v>231</v>
      </c>
      <c r="S2741" s="2" t="s">
        <v>11675</v>
      </c>
      <c r="T2741" s="2" t="s">
        <v>1630</v>
      </c>
      <c r="U2741" s="2" t="s">
        <v>835</v>
      </c>
      <c r="V2741" s="2" t="s">
        <v>239</v>
      </c>
      <c r="W2741" s="2" t="s">
        <v>273</v>
      </c>
      <c r="X2741" s="2" t="s">
        <v>231</v>
      </c>
      <c r="Y2741" s="2" t="s">
        <v>274</v>
      </c>
      <c r="Z2741" s="4">
        <v>3</v>
      </c>
      <c r="AA2741" s="4">
        <f>=ROUNDDOWN(0.0909090909090909,0)</f>
      </c>
      <c r="AB2741" s="5">
        <v>33</v>
      </c>
      <c r="AC2741" s="2" t="s">
        <v>911</v>
      </c>
      <c r="AD2741" s="4">
        <v>270</v>
      </c>
      <c r="AE2741" s="4">
        <v>1050</v>
      </c>
      <c r="AF2741" s="6">
        <v>65</v>
      </c>
      <c r="AG2741" s="6"/>
      <c r="AH2741" s="7">
        <v>0.129</v>
      </c>
      <c r="AI2741" s="4"/>
      <c r="AJ2741" s="4">
        <f>=ROUNDDOWN({0},0)</f>
      </c>
      <c r="AK2741" s="5"/>
      <c r="AL2741" s="2" t="s">
        <v>231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231</v>
      </c>
      <c r="AW2741" s="8" t="s">
        <v>231</v>
      </c>
      <c r="AX2741" s="4" t="s">
        <v>231</v>
      </c>
      <c r="AY2741" s="8" t="s">
        <v>231</v>
      </c>
      <c r="AZ2741" s="7" t="s">
        <v>231</v>
      </c>
      <c r="BA2741" s="7" t="s">
        <v>231</v>
      </c>
      <c r="BB2741" s="7"/>
      <c r="BC2741" s="4" t="s">
        <v>231</v>
      </c>
      <c r="BD2741" s="8" t="s">
        <v>231</v>
      </c>
      <c r="BE2741" s="4" t="s">
        <v>231</v>
      </c>
      <c r="BF2741" s="8" t="s">
        <v>231</v>
      </c>
      <c r="BG2741" s="7" t="s">
        <v>231</v>
      </c>
      <c r="BH2741" s="7" t="s">
        <v>231</v>
      </c>
      <c r="BI2741" s="7"/>
      <c r="BJ2741" s="4">
        <v>8</v>
      </c>
      <c r="BK2741" s="8">
        <v>174.39</v>
      </c>
      <c r="BL2741" s="2" t="s">
        <v>5588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11676</v>
      </c>
      <c r="BV2741" s="2" t="s">
        <v>231</v>
      </c>
      <c r="BW2741" s="2" t="s">
        <v>231</v>
      </c>
      <c r="BX2741" s="2" t="s">
        <v>241</v>
      </c>
      <c r="BY2741" s="2" t="s">
        <v>277</v>
      </c>
      <c r="BZ2741" s="2" t="s">
        <v>243</v>
      </c>
      <c r="CA2741" s="2" t="s">
        <v>1633</v>
      </c>
      <c r="CB2741" s="2" t="s">
        <v>617</v>
      </c>
      <c r="CC2741" s="2" t="s">
        <v>244</v>
      </c>
      <c r="CD2741" s="2" t="s">
        <v>231</v>
      </c>
      <c r="CE2741" s="4">
        <v>3</v>
      </c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4"/>
      <c r="CX2741" s="4"/>
      <c r="CY2741" s="4"/>
      <c r="CZ2741" s="4"/>
      <c r="DA2741" s="4"/>
      <c r="DB2741" s="4"/>
      <c r="DC2741" s="4"/>
      <c r="DD2741" s="4"/>
      <c r="DE2741" s="4"/>
      <c r="DF2741" s="4"/>
      <c r="DG2741" s="4"/>
      <c r="DH2741" s="4"/>
      <c r="DI2741" s="4"/>
      <c r="DJ2741" s="4"/>
      <c r="DK2741" s="4"/>
      <c r="DL2741" s="4"/>
      <c r="DM2741" s="4"/>
      <c r="DN2741" s="4"/>
      <c r="DO2741" s="4"/>
      <c r="DP2741" s="4"/>
      <c r="DQ2741" s="4"/>
      <c r="DR2741" s="4"/>
      <c r="DS2741" s="4"/>
      <c r="DT2741" s="4"/>
      <c r="DU2741" s="4"/>
      <c r="DV2741" s="4"/>
      <c r="DW2741" s="4"/>
      <c r="DX2741" s="4"/>
      <c r="DY2741" s="4">
        <v>270</v>
      </c>
      <c r="DZ2741" s="4"/>
      <c r="EA2741" s="4"/>
      <c r="EB2741" s="4"/>
      <c r="EC2741" s="4"/>
      <c r="ED2741" s="4"/>
      <c r="EE2741" s="4"/>
      <c r="EF2741" s="4"/>
      <c r="EG2741" s="4"/>
      <c r="EH2741" s="4"/>
      <c r="EI2741" s="4"/>
      <c r="EJ2741" s="4"/>
      <c r="EK2741" s="4"/>
      <c r="EL2741" s="4"/>
      <c r="EM2741" s="4"/>
      <c r="EN2741" s="4"/>
      <c r="EO2741" s="4"/>
      <c r="EP2741" s="4"/>
      <c r="EQ2741" s="4"/>
      <c r="ER2741" s="4"/>
      <c r="ES2741" s="4"/>
      <c r="ET2741" s="4"/>
      <c r="EU2741" s="4"/>
      <c r="EV2741" s="4"/>
      <c r="EW2741" s="4"/>
      <c r="EX2741" s="4"/>
      <c r="EY2741" s="4"/>
      <c r="EZ2741" s="4"/>
      <c r="FA2741" s="4"/>
      <c r="FB2741" s="4"/>
      <c r="FC2741" s="4"/>
      <c r="FD2741" s="4"/>
      <c r="FE2741" s="4"/>
      <c r="FF2741" s="4"/>
      <c r="FG2741" s="4"/>
      <c r="FH2741" s="4"/>
      <c r="FI2741" s="4"/>
      <c r="FJ2741" s="4"/>
      <c r="FK2741" s="4"/>
      <c r="FL2741" s="4"/>
      <c r="FM2741" s="4"/>
      <c r="FN2741" s="4"/>
      <c r="FO2741" s="4"/>
      <c r="FP2741" s="4"/>
      <c r="FQ2741" s="4"/>
      <c r="FR2741" s="4"/>
      <c r="FS2741" s="4"/>
      <c r="FT2741" s="4"/>
      <c r="FU2741" s="4"/>
      <c r="FV2741" s="4">
        <v>590</v>
      </c>
      <c r="FW2741" s="4"/>
      <c r="FX2741" s="4"/>
      <c r="FY2741" s="4"/>
      <c r="FZ2741" s="4"/>
      <c r="GA2741" s="4"/>
      <c r="GB2741" s="4"/>
      <c r="GC2741" s="4"/>
      <c r="GD2741" s="4"/>
      <c r="GE2741" s="4"/>
      <c r="GF2741" s="4"/>
      <c r="GG2741" s="4"/>
      <c r="GH2741" s="4"/>
      <c r="GI2741" s="4"/>
      <c r="GJ2741" s="4"/>
      <c r="GK2741" s="4"/>
      <c r="GL2741" s="4"/>
      <c r="GM2741" s="4"/>
      <c r="GN2741" s="4"/>
      <c r="GO2741" s="4"/>
      <c r="GP2741" s="4"/>
      <c r="GQ2741" s="4">
        <v>190</v>
      </c>
      <c r="GR2741" s="4"/>
      <c r="GS2741" s="4"/>
      <c r="GT2741" s="4"/>
      <c r="GU2741" s="4"/>
      <c r="GV2741" s="4"/>
      <c r="GW2741" s="4"/>
      <c r="GX2741" s="4"/>
      <c r="GY2741" s="4"/>
      <c r="GZ2741" s="4"/>
      <c r="HA2741" s="4"/>
      <c r="HB2741" s="4"/>
      <c r="HC2741" s="4"/>
      <c r="HD2741" s="4"/>
      <c r="HE2741" s="4"/>
      <c r="HF2741" s="4"/>
      <c r="HG2741" s="4"/>
      <c r="HH2741" s="4"/>
      <c r="HI2741" s="4"/>
      <c r="HJ2741" s="4"/>
      <c r="HK2741" s="4"/>
      <c r="HL2741" s="4"/>
    </row>
    <row r="2742">
      <c r="A2742" s="2" t="s">
        <v>11677</v>
      </c>
      <c r="B2742" s="2" t="s">
        <v>287</v>
      </c>
      <c r="C2742" s="2" t="s">
        <v>965</v>
      </c>
      <c r="D2742" s="2" t="s">
        <v>289</v>
      </c>
      <c r="E2742" s="2" t="s">
        <v>290</v>
      </c>
      <c r="F2742" s="2" t="s">
        <v>11668</v>
      </c>
      <c r="G2742" s="2" t="s">
        <v>11668</v>
      </c>
      <c r="H2742" s="2" t="s">
        <v>11668</v>
      </c>
      <c r="I2742" s="2" t="s">
        <v>11669</v>
      </c>
      <c r="J2742" s="2" t="s">
        <v>281</v>
      </c>
      <c r="K2742" s="2" t="s">
        <v>269</v>
      </c>
      <c r="L2742" s="3">
        <v>25.3</v>
      </c>
      <c r="M2742" s="3">
        <v>26.56</v>
      </c>
      <c r="N2742" s="3">
        <v>54.99</v>
      </c>
      <c r="O2742" s="2" t="s">
        <v>243</v>
      </c>
      <c r="P2742" s="2" t="s">
        <v>1281</v>
      </c>
      <c r="Q2742" s="2" t="s">
        <v>237</v>
      </c>
      <c r="R2742" s="2" t="s">
        <v>231</v>
      </c>
      <c r="S2742" s="2" t="s">
        <v>11675</v>
      </c>
      <c r="T2742" s="2" t="s">
        <v>1630</v>
      </c>
      <c r="U2742" s="2" t="s">
        <v>298</v>
      </c>
      <c r="V2742" s="2" t="s">
        <v>239</v>
      </c>
      <c r="W2742" s="2" t="s">
        <v>273</v>
      </c>
      <c r="X2742" s="2" t="s">
        <v>231</v>
      </c>
      <c r="Y2742" s="2" t="s">
        <v>274</v>
      </c>
      <c r="Z2742" s="4">
        <v>88</v>
      </c>
      <c r="AA2742" s="4">
        <f>=ROUNDDOWN(4.4,0)</f>
      </c>
      <c r="AB2742" s="5">
        <v>20</v>
      </c>
      <c r="AC2742" s="2" t="s">
        <v>911</v>
      </c>
      <c r="AD2742" s="4">
        <v>100</v>
      </c>
      <c r="AE2742" s="4">
        <v>600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231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231</v>
      </c>
      <c r="AW2742" s="8" t="s">
        <v>231</v>
      </c>
      <c r="AX2742" s="4" t="s">
        <v>231</v>
      </c>
      <c r="AY2742" s="8" t="s">
        <v>231</v>
      </c>
      <c r="AZ2742" s="7" t="s">
        <v>231</v>
      </c>
      <c r="BA2742" s="7" t="s">
        <v>231</v>
      </c>
      <c r="BB2742" s="7"/>
      <c r="BC2742" s="4" t="s">
        <v>231</v>
      </c>
      <c r="BD2742" s="8" t="s">
        <v>231</v>
      </c>
      <c r="BE2742" s="4" t="s">
        <v>231</v>
      </c>
      <c r="BF2742" s="8" t="s">
        <v>231</v>
      </c>
      <c r="BG2742" s="7" t="s">
        <v>231</v>
      </c>
      <c r="BH2742" s="7" t="s">
        <v>231</v>
      </c>
      <c r="BI2742" s="7"/>
      <c r="BJ2742" s="4">
        <v>21</v>
      </c>
      <c r="BK2742" s="8">
        <v>585.55</v>
      </c>
      <c r="BL2742" s="2" t="s">
        <v>8288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11678</v>
      </c>
      <c r="BV2742" s="2" t="s">
        <v>231</v>
      </c>
      <c r="BW2742" s="2" t="s">
        <v>231</v>
      </c>
      <c r="BX2742" s="2" t="s">
        <v>241</v>
      </c>
      <c r="BY2742" s="2" t="s">
        <v>277</v>
      </c>
      <c r="BZ2742" s="2" t="s">
        <v>243</v>
      </c>
      <c r="CA2742" s="2" t="s">
        <v>1633</v>
      </c>
      <c r="CB2742" s="2" t="s">
        <v>617</v>
      </c>
      <c r="CC2742" s="2" t="s">
        <v>244</v>
      </c>
      <c r="CD2742" s="2" t="s">
        <v>231</v>
      </c>
      <c r="CE2742" s="4">
        <v>88</v>
      </c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4"/>
      <c r="CX2742" s="4"/>
      <c r="CY2742" s="4"/>
      <c r="CZ2742" s="4"/>
      <c r="DA2742" s="4"/>
      <c r="DB2742" s="4"/>
      <c r="DC2742" s="4"/>
      <c r="DD2742" s="4"/>
      <c r="DE2742" s="4"/>
      <c r="DF2742" s="4"/>
      <c r="DG2742" s="4"/>
      <c r="DH2742" s="4"/>
      <c r="DI2742" s="4"/>
      <c r="DJ2742" s="4"/>
      <c r="DK2742" s="4"/>
      <c r="DL2742" s="4"/>
      <c r="DM2742" s="4"/>
      <c r="DN2742" s="4"/>
      <c r="DO2742" s="4"/>
      <c r="DP2742" s="4"/>
      <c r="DQ2742" s="4"/>
      <c r="DR2742" s="4"/>
      <c r="DS2742" s="4"/>
      <c r="DT2742" s="4"/>
      <c r="DU2742" s="4"/>
      <c r="DV2742" s="4"/>
      <c r="DW2742" s="4"/>
      <c r="DX2742" s="4"/>
      <c r="DY2742" s="4">
        <v>100</v>
      </c>
      <c r="DZ2742" s="4"/>
      <c r="EA2742" s="4"/>
      <c r="EB2742" s="4"/>
      <c r="EC2742" s="4"/>
      <c r="ED2742" s="4"/>
      <c r="EE2742" s="4"/>
      <c r="EF2742" s="4"/>
      <c r="EG2742" s="4"/>
      <c r="EH2742" s="4"/>
      <c r="EI2742" s="4"/>
      <c r="EJ2742" s="4"/>
      <c r="EK2742" s="4"/>
      <c r="EL2742" s="4"/>
      <c r="EM2742" s="4"/>
      <c r="EN2742" s="4"/>
      <c r="EO2742" s="4"/>
      <c r="EP2742" s="4"/>
      <c r="EQ2742" s="4"/>
      <c r="ER2742" s="4"/>
      <c r="ES2742" s="4"/>
      <c r="ET2742" s="4"/>
      <c r="EU2742" s="4"/>
      <c r="EV2742" s="4"/>
      <c r="EW2742" s="4"/>
      <c r="EX2742" s="4"/>
      <c r="EY2742" s="4"/>
      <c r="EZ2742" s="4"/>
      <c r="FA2742" s="4"/>
      <c r="FB2742" s="4"/>
      <c r="FC2742" s="4"/>
      <c r="FD2742" s="4"/>
      <c r="FE2742" s="4"/>
      <c r="FF2742" s="4"/>
      <c r="FG2742" s="4"/>
      <c r="FH2742" s="4"/>
      <c r="FI2742" s="4"/>
      <c r="FJ2742" s="4"/>
      <c r="FK2742" s="4"/>
      <c r="FL2742" s="4"/>
      <c r="FM2742" s="4"/>
      <c r="FN2742" s="4"/>
      <c r="FO2742" s="4"/>
      <c r="FP2742" s="4"/>
      <c r="FQ2742" s="4"/>
      <c r="FR2742" s="4"/>
      <c r="FS2742" s="4"/>
      <c r="FT2742" s="4"/>
      <c r="FU2742" s="4"/>
      <c r="FV2742" s="4">
        <v>340</v>
      </c>
      <c r="FW2742" s="4"/>
      <c r="FX2742" s="4"/>
      <c r="FY2742" s="4"/>
      <c r="FZ2742" s="4"/>
      <c r="GA2742" s="4"/>
      <c r="GB2742" s="4"/>
      <c r="GC2742" s="4"/>
      <c r="GD2742" s="4"/>
      <c r="GE2742" s="4"/>
      <c r="GF2742" s="4"/>
      <c r="GG2742" s="4"/>
      <c r="GH2742" s="4"/>
      <c r="GI2742" s="4"/>
      <c r="GJ2742" s="4"/>
      <c r="GK2742" s="4"/>
      <c r="GL2742" s="4"/>
      <c r="GM2742" s="4"/>
      <c r="GN2742" s="4"/>
      <c r="GO2742" s="4"/>
      <c r="GP2742" s="4"/>
      <c r="GQ2742" s="4">
        <v>160</v>
      </c>
      <c r="GR2742" s="4"/>
      <c r="GS2742" s="4"/>
      <c r="GT2742" s="4"/>
      <c r="GU2742" s="4"/>
      <c r="GV2742" s="4"/>
      <c r="GW2742" s="4"/>
      <c r="GX2742" s="4"/>
      <c r="GY2742" s="4"/>
      <c r="GZ2742" s="4"/>
      <c r="HA2742" s="4"/>
      <c r="HB2742" s="4"/>
      <c r="HC2742" s="4"/>
      <c r="HD2742" s="4"/>
      <c r="HE2742" s="4"/>
      <c r="HF2742" s="4"/>
      <c r="HG2742" s="4"/>
      <c r="HH2742" s="4"/>
      <c r="HI2742" s="4"/>
      <c r="HJ2742" s="4"/>
      <c r="HK2742" s="4"/>
      <c r="HL2742" s="4"/>
    </row>
    <row r="2743">
      <c r="A2743" s="2" t="s">
        <v>11679</v>
      </c>
      <c r="B2743" s="2" t="s">
        <v>287</v>
      </c>
      <c r="C2743" s="2" t="s">
        <v>965</v>
      </c>
      <c r="D2743" s="2" t="s">
        <v>289</v>
      </c>
      <c r="E2743" s="2" t="s">
        <v>290</v>
      </c>
      <c r="F2743" s="2" t="s">
        <v>11668</v>
      </c>
      <c r="G2743" s="2" t="s">
        <v>11668</v>
      </c>
      <c r="H2743" s="2" t="s">
        <v>11668</v>
      </c>
      <c r="I2743" s="2" t="s">
        <v>11669</v>
      </c>
      <c r="J2743" s="2" t="s">
        <v>293</v>
      </c>
      <c r="K2743" s="2" t="s">
        <v>269</v>
      </c>
      <c r="L2743" s="3">
        <v>28.35</v>
      </c>
      <c r="M2743" s="3">
        <v>29.77</v>
      </c>
      <c r="N2743" s="3">
        <v>62.99</v>
      </c>
      <c r="O2743" s="2" t="s">
        <v>243</v>
      </c>
      <c r="P2743" s="2" t="s">
        <v>4057</v>
      </c>
      <c r="Q2743" s="2" t="s">
        <v>237</v>
      </c>
      <c r="R2743" s="2" t="s">
        <v>231</v>
      </c>
      <c r="S2743" s="2" t="s">
        <v>11675</v>
      </c>
      <c r="T2743" s="2" t="s">
        <v>1630</v>
      </c>
      <c r="U2743" s="2" t="s">
        <v>298</v>
      </c>
      <c r="V2743" s="2" t="s">
        <v>239</v>
      </c>
      <c r="W2743" s="2" t="s">
        <v>273</v>
      </c>
      <c r="X2743" s="2" t="s">
        <v>231</v>
      </c>
      <c r="Y2743" s="2" t="s">
        <v>274</v>
      </c>
      <c r="Z2743" s="4"/>
      <c r="AA2743" s="4">
        <f>=ROUNDDOWN({0},0)</f>
      </c>
      <c r="AB2743" s="5">
        <v>50</v>
      </c>
      <c r="AC2743" s="2" t="s">
        <v>911</v>
      </c>
      <c r="AD2743" s="4">
        <v>440</v>
      </c>
      <c r="AE2743" s="4">
        <v>1780</v>
      </c>
      <c r="AF2743" s="6">
        <v>65</v>
      </c>
      <c r="AG2743" s="6"/>
      <c r="AH2743" s="7">
        <v>0</v>
      </c>
      <c r="AI2743" s="4"/>
      <c r="AJ2743" s="4">
        <f>=ROUNDDOWN({0},0)</f>
      </c>
      <c r="AK2743" s="5"/>
      <c r="AL2743" s="2" t="s">
        <v>231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231</v>
      </c>
      <c r="AW2743" s="8" t="s">
        <v>231</v>
      </c>
      <c r="AX2743" s="4" t="s">
        <v>231</v>
      </c>
      <c r="AY2743" s="8" t="s">
        <v>231</v>
      </c>
      <c r="AZ2743" s="7" t="s">
        <v>231</v>
      </c>
      <c r="BA2743" s="7" t="s">
        <v>231</v>
      </c>
      <c r="BB2743" s="7"/>
      <c r="BC2743" s="4" t="s">
        <v>231</v>
      </c>
      <c r="BD2743" s="8" t="s">
        <v>231</v>
      </c>
      <c r="BE2743" s="4" t="s">
        <v>231</v>
      </c>
      <c r="BF2743" s="8" t="s">
        <v>231</v>
      </c>
      <c r="BG2743" s="7" t="s">
        <v>231</v>
      </c>
      <c r="BH2743" s="7" t="s">
        <v>231</v>
      </c>
      <c r="BI2743" s="7"/>
      <c r="BJ2743" s="4"/>
      <c r="BK2743" s="8"/>
      <c r="BL2743" s="2" t="s">
        <v>231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11680</v>
      </c>
      <c r="BV2743" s="2" t="s">
        <v>231</v>
      </c>
      <c r="BW2743" s="2" t="s">
        <v>231</v>
      </c>
      <c r="BX2743" s="2" t="s">
        <v>241</v>
      </c>
      <c r="BY2743" s="2" t="s">
        <v>277</v>
      </c>
      <c r="BZ2743" s="2" t="s">
        <v>243</v>
      </c>
      <c r="CA2743" s="2" t="s">
        <v>1633</v>
      </c>
      <c r="CB2743" s="2" t="s">
        <v>617</v>
      </c>
      <c r="CC2743" s="2" t="s">
        <v>244</v>
      </c>
      <c r="CD2743" s="2" t="s">
        <v>231</v>
      </c>
      <c r="CE2743" s="4"/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4"/>
      <c r="CX2743" s="4"/>
      <c r="CY2743" s="4"/>
      <c r="CZ2743" s="4"/>
      <c r="DA2743" s="4"/>
      <c r="DB2743" s="4"/>
      <c r="DC2743" s="4"/>
      <c r="DD2743" s="4"/>
      <c r="DE2743" s="4"/>
      <c r="DF2743" s="4"/>
      <c r="DG2743" s="4"/>
      <c r="DH2743" s="4"/>
      <c r="DI2743" s="4"/>
      <c r="DJ2743" s="4"/>
      <c r="DK2743" s="4"/>
      <c r="DL2743" s="4"/>
      <c r="DM2743" s="4"/>
      <c r="DN2743" s="4"/>
      <c r="DO2743" s="4"/>
      <c r="DP2743" s="4"/>
      <c r="DQ2743" s="4"/>
      <c r="DR2743" s="4"/>
      <c r="DS2743" s="4"/>
      <c r="DT2743" s="4"/>
      <c r="DU2743" s="4"/>
      <c r="DV2743" s="4"/>
      <c r="DW2743" s="4"/>
      <c r="DX2743" s="4"/>
      <c r="DY2743" s="4">
        <v>440</v>
      </c>
      <c r="DZ2743" s="4"/>
      <c r="EA2743" s="4"/>
      <c r="EB2743" s="4"/>
      <c r="EC2743" s="4"/>
      <c r="ED2743" s="4"/>
      <c r="EE2743" s="4"/>
      <c r="EF2743" s="4"/>
      <c r="EG2743" s="4"/>
      <c r="EH2743" s="4"/>
      <c r="EI2743" s="4"/>
      <c r="EJ2743" s="4"/>
      <c r="EK2743" s="4"/>
      <c r="EL2743" s="4"/>
      <c r="EM2743" s="4"/>
      <c r="EN2743" s="4"/>
      <c r="EO2743" s="4"/>
      <c r="EP2743" s="4"/>
      <c r="EQ2743" s="4"/>
      <c r="ER2743" s="4"/>
      <c r="ES2743" s="4"/>
      <c r="ET2743" s="4"/>
      <c r="EU2743" s="4"/>
      <c r="EV2743" s="4"/>
      <c r="EW2743" s="4"/>
      <c r="EX2743" s="4"/>
      <c r="EY2743" s="4"/>
      <c r="EZ2743" s="4"/>
      <c r="FA2743" s="4"/>
      <c r="FB2743" s="4"/>
      <c r="FC2743" s="4"/>
      <c r="FD2743" s="4"/>
      <c r="FE2743" s="4"/>
      <c r="FF2743" s="4"/>
      <c r="FG2743" s="4"/>
      <c r="FH2743" s="4"/>
      <c r="FI2743" s="4"/>
      <c r="FJ2743" s="4"/>
      <c r="FK2743" s="4"/>
      <c r="FL2743" s="4"/>
      <c r="FM2743" s="4"/>
      <c r="FN2743" s="4"/>
      <c r="FO2743" s="4"/>
      <c r="FP2743" s="4"/>
      <c r="FQ2743" s="4"/>
      <c r="FR2743" s="4"/>
      <c r="FS2743" s="4"/>
      <c r="FT2743" s="4"/>
      <c r="FU2743" s="4"/>
      <c r="FV2743" s="4">
        <v>900</v>
      </c>
      <c r="FW2743" s="4"/>
      <c r="FX2743" s="4"/>
      <c r="FY2743" s="4"/>
      <c r="FZ2743" s="4"/>
      <c r="GA2743" s="4"/>
      <c r="GB2743" s="4"/>
      <c r="GC2743" s="4"/>
      <c r="GD2743" s="4"/>
      <c r="GE2743" s="4"/>
      <c r="GF2743" s="4"/>
      <c r="GG2743" s="4"/>
      <c r="GH2743" s="4"/>
      <c r="GI2743" s="4"/>
      <c r="GJ2743" s="4"/>
      <c r="GK2743" s="4"/>
      <c r="GL2743" s="4"/>
      <c r="GM2743" s="4"/>
      <c r="GN2743" s="4"/>
      <c r="GO2743" s="4"/>
      <c r="GP2743" s="4"/>
      <c r="GQ2743" s="4">
        <v>440</v>
      </c>
      <c r="GR2743" s="4"/>
      <c r="GS2743" s="4"/>
      <c r="GT2743" s="4"/>
      <c r="GU2743" s="4"/>
      <c r="GV2743" s="4"/>
      <c r="GW2743" s="4"/>
      <c r="GX2743" s="4"/>
      <c r="GY2743" s="4"/>
      <c r="GZ2743" s="4"/>
      <c r="HA2743" s="4"/>
      <c r="HB2743" s="4"/>
      <c r="HC2743" s="4"/>
      <c r="HD2743" s="4"/>
      <c r="HE2743" s="4"/>
      <c r="HF2743" s="4"/>
      <c r="HG2743" s="4"/>
      <c r="HH2743" s="4"/>
      <c r="HI2743" s="4"/>
      <c r="HJ2743" s="4"/>
      <c r="HK2743" s="4"/>
      <c r="HL2743" s="4"/>
    </row>
    <row r="2744">
      <c r="A2744" s="2" t="s">
        <v>11681</v>
      </c>
      <c r="B2744" s="2" t="s">
        <v>287</v>
      </c>
      <c r="C2744" s="2" t="s">
        <v>965</v>
      </c>
      <c r="D2744" s="2" t="s">
        <v>289</v>
      </c>
      <c r="E2744" s="2" t="s">
        <v>290</v>
      </c>
      <c r="F2744" s="2" t="s">
        <v>11668</v>
      </c>
      <c r="G2744" s="2" t="s">
        <v>11668</v>
      </c>
      <c r="H2744" s="2" t="s">
        <v>11668</v>
      </c>
      <c r="I2744" s="2" t="s">
        <v>11669</v>
      </c>
      <c r="J2744" s="2" t="s">
        <v>302</v>
      </c>
      <c r="K2744" s="2" t="s">
        <v>269</v>
      </c>
      <c r="L2744" s="3">
        <v>34.5</v>
      </c>
      <c r="M2744" s="3">
        <v>36.22</v>
      </c>
      <c r="N2744" s="3">
        <v>74.99</v>
      </c>
      <c r="O2744" s="2" t="s">
        <v>243</v>
      </c>
      <c r="P2744" s="2" t="s">
        <v>1332</v>
      </c>
      <c r="Q2744" s="2" t="s">
        <v>237</v>
      </c>
      <c r="R2744" s="2" t="s">
        <v>231</v>
      </c>
      <c r="S2744" s="2" t="s">
        <v>11675</v>
      </c>
      <c r="T2744" s="2" t="s">
        <v>1630</v>
      </c>
      <c r="U2744" s="2" t="s">
        <v>298</v>
      </c>
      <c r="V2744" s="2" t="s">
        <v>239</v>
      </c>
      <c r="W2744" s="2" t="s">
        <v>273</v>
      </c>
      <c r="X2744" s="2" t="s">
        <v>231</v>
      </c>
      <c r="Y2744" s="2" t="s">
        <v>274</v>
      </c>
      <c r="Z2744" s="4"/>
      <c r="AA2744" s="4">
        <f>=ROUNDDOWN({0},0)</f>
      </c>
      <c r="AB2744" s="5">
        <v>33</v>
      </c>
      <c r="AC2744" s="2" t="s">
        <v>911</v>
      </c>
      <c r="AD2744" s="4">
        <v>240</v>
      </c>
      <c r="AE2744" s="4">
        <v>970</v>
      </c>
      <c r="AF2744" s="6">
        <v>65</v>
      </c>
      <c r="AG2744" s="6"/>
      <c r="AH2744" s="7">
        <v>0</v>
      </c>
      <c r="AI2744" s="4"/>
      <c r="AJ2744" s="4">
        <f>=ROUNDDOWN({0},0)</f>
      </c>
      <c r="AK2744" s="5"/>
      <c r="AL2744" s="2" t="s">
        <v>231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231</v>
      </c>
      <c r="AW2744" s="8" t="s">
        <v>231</v>
      </c>
      <c r="AX2744" s="4" t="s">
        <v>231</v>
      </c>
      <c r="AY2744" s="8" t="s">
        <v>231</v>
      </c>
      <c r="AZ2744" s="7" t="s">
        <v>231</v>
      </c>
      <c r="BA2744" s="7" t="s">
        <v>231</v>
      </c>
      <c r="BB2744" s="7"/>
      <c r="BC2744" s="4" t="s">
        <v>231</v>
      </c>
      <c r="BD2744" s="8" t="s">
        <v>231</v>
      </c>
      <c r="BE2744" s="4" t="s">
        <v>231</v>
      </c>
      <c r="BF2744" s="8" t="s">
        <v>231</v>
      </c>
      <c r="BG2744" s="7" t="s">
        <v>231</v>
      </c>
      <c r="BH2744" s="7" t="s">
        <v>231</v>
      </c>
      <c r="BI2744" s="7"/>
      <c r="BJ2744" s="4"/>
      <c r="BK2744" s="8"/>
      <c r="BL2744" s="2" t="s">
        <v>609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11682</v>
      </c>
      <c r="BV2744" s="2" t="s">
        <v>231</v>
      </c>
      <c r="BW2744" s="2" t="s">
        <v>231</v>
      </c>
      <c r="BX2744" s="2" t="s">
        <v>241</v>
      </c>
      <c r="BY2744" s="2" t="s">
        <v>277</v>
      </c>
      <c r="BZ2744" s="2" t="s">
        <v>243</v>
      </c>
      <c r="CA2744" s="2" t="s">
        <v>1633</v>
      </c>
      <c r="CB2744" s="2" t="s">
        <v>617</v>
      </c>
      <c r="CC2744" s="2" t="s">
        <v>244</v>
      </c>
      <c r="CD2744" s="2" t="s">
        <v>231</v>
      </c>
      <c r="CE2744" s="4"/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4"/>
      <c r="CX2744" s="4"/>
      <c r="CY2744" s="4"/>
      <c r="CZ2744" s="4"/>
      <c r="DA2744" s="4"/>
      <c r="DB2744" s="4"/>
      <c r="DC2744" s="4"/>
      <c r="DD2744" s="4"/>
      <c r="DE2744" s="4"/>
      <c r="DF2744" s="4"/>
      <c r="DG2744" s="4"/>
      <c r="DH2744" s="4"/>
      <c r="DI2744" s="4"/>
      <c r="DJ2744" s="4"/>
      <c r="DK2744" s="4"/>
      <c r="DL2744" s="4"/>
      <c r="DM2744" s="4"/>
      <c r="DN2744" s="4"/>
      <c r="DO2744" s="4"/>
      <c r="DP2744" s="4"/>
      <c r="DQ2744" s="4"/>
      <c r="DR2744" s="4"/>
      <c r="DS2744" s="4"/>
      <c r="DT2744" s="4"/>
      <c r="DU2744" s="4"/>
      <c r="DV2744" s="4"/>
      <c r="DW2744" s="4"/>
      <c r="DX2744" s="4"/>
      <c r="DY2744" s="4">
        <v>240</v>
      </c>
      <c r="DZ2744" s="4"/>
      <c r="EA2744" s="4"/>
      <c r="EB2744" s="4"/>
      <c r="EC2744" s="4"/>
      <c r="ED2744" s="4"/>
      <c r="EE2744" s="4"/>
      <c r="EF2744" s="4"/>
      <c r="EG2744" s="4"/>
      <c r="EH2744" s="4"/>
      <c r="EI2744" s="4"/>
      <c r="EJ2744" s="4"/>
      <c r="EK2744" s="4"/>
      <c r="EL2744" s="4"/>
      <c r="EM2744" s="4"/>
      <c r="EN2744" s="4"/>
      <c r="EO2744" s="4"/>
      <c r="EP2744" s="4"/>
      <c r="EQ2744" s="4"/>
      <c r="ER2744" s="4"/>
      <c r="ES2744" s="4"/>
      <c r="ET2744" s="4"/>
      <c r="EU2744" s="4"/>
      <c r="EV2744" s="4"/>
      <c r="EW2744" s="4"/>
      <c r="EX2744" s="4"/>
      <c r="EY2744" s="4"/>
      <c r="EZ2744" s="4"/>
      <c r="FA2744" s="4"/>
      <c r="FB2744" s="4"/>
      <c r="FC2744" s="4"/>
      <c r="FD2744" s="4"/>
      <c r="FE2744" s="4"/>
      <c r="FF2744" s="4"/>
      <c r="FG2744" s="4"/>
      <c r="FH2744" s="4"/>
      <c r="FI2744" s="4"/>
      <c r="FJ2744" s="4"/>
      <c r="FK2744" s="4"/>
      <c r="FL2744" s="4"/>
      <c r="FM2744" s="4"/>
      <c r="FN2744" s="4"/>
      <c r="FO2744" s="4"/>
      <c r="FP2744" s="4"/>
      <c r="FQ2744" s="4"/>
      <c r="FR2744" s="4"/>
      <c r="FS2744" s="4"/>
      <c r="FT2744" s="4"/>
      <c r="FU2744" s="4"/>
      <c r="FV2744" s="4">
        <v>500</v>
      </c>
      <c r="FW2744" s="4"/>
      <c r="FX2744" s="4"/>
      <c r="FY2744" s="4"/>
      <c r="FZ2744" s="4"/>
      <c r="GA2744" s="4"/>
      <c r="GB2744" s="4"/>
      <c r="GC2744" s="4"/>
      <c r="GD2744" s="4"/>
      <c r="GE2744" s="4"/>
      <c r="GF2744" s="4"/>
      <c r="GG2744" s="4"/>
      <c r="GH2744" s="4"/>
      <c r="GI2744" s="4"/>
      <c r="GJ2744" s="4"/>
      <c r="GK2744" s="4"/>
      <c r="GL2744" s="4"/>
      <c r="GM2744" s="4"/>
      <c r="GN2744" s="4"/>
      <c r="GO2744" s="4"/>
      <c r="GP2744" s="4"/>
      <c r="GQ2744" s="4">
        <v>230</v>
      </c>
      <c r="GR2744" s="4"/>
      <c r="GS2744" s="4"/>
      <c r="GT2744" s="4"/>
      <c r="GU2744" s="4"/>
      <c r="GV2744" s="4"/>
      <c r="GW2744" s="4"/>
      <c r="GX2744" s="4"/>
      <c r="GY2744" s="4"/>
      <c r="GZ2744" s="4"/>
      <c r="HA2744" s="4"/>
      <c r="HB2744" s="4"/>
      <c r="HC2744" s="4"/>
      <c r="HD2744" s="4"/>
      <c r="HE2744" s="4"/>
      <c r="HF2744" s="4"/>
      <c r="HG2744" s="4"/>
      <c r="HH2744" s="4"/>
      <c r="HI2744" s="4"/>
      <c r="HJ2744" s="4"/>
      <c r="HK2744" s="4"/>
      <c r="HL2744" s="4"/>
    </row>
    <row r="2745">
      <c r="A2745" s="2" t="s">
        <v>11683</v>
      </c>
      <c r="B2745" s="2" t="s">
        <v>287</v>
      </c>
      <c r="C2745" s="2" t="s">
        <v>965</v>
      </c>
      <c r="D2745" s="2" t="s">
        <v>289</v>
      </c>
      <c r="E2745" s="2" t="s">
        <v>290</v>
      </c>
      <c r="F2745" s="2" t="s">
        <v>11668</v>
      </c>
      <c r="G2745" s="2" t="s">
        <v>11668</v>
      </c>
      <c r="H2745" s="2" t="s">
        <v>11668</v>
      </c>
      <c r="I2745" s="2" t="s">
        <v>11669</v>
      </c>
      <c r="J2745" s="2" t="s">
        <v>318</v>
      </c>
      <c r="K2745" s="2" t="s">
        <v>901</v>
      </c>
      <c r="L2745" s="3">
        <v>19.78</v>
      </c>
      <c r="M2745" s="3">
        <v>20.77</v>
      </c>
      <c r="N2745" s="3">
        <v>42.99</v>
      </c>
      <c r="O2745" s="2" t="s">
        <v>243</v>
      </c>
      <c r="P2745" s="2" t="s">
        <v>270</v>
      </c>
      <c r="Q2745" s="2" t="s">
        <v>237</v>
      </c>
      <c r="R2745" s="2" t="s">
        <v>231</v>
      </c>
      <c r="S2745" s="2" t="s">
        <v>11684</v>
      </c>
      <c r="T2745" s="2" t="s">
        <v>1630</v>
      </c>
      <c r="U2745" s="2" t="s">
        <v>835</v>
      </c>
      <c r="V2745" s="2" t="s">
        <v>239</v>
      </c>
      <c r="W2745" s="2" t="s">
        <v>273</v>
      </c>
      <c r="X2745" s="2" t="s">
        <v>231</v>
      </c>
      <c r="Y2745" s="2" t="s">
        <v>274</v>
      </c>
      <c r="Z2745" s="4">
        <v>45</v>
      </c>
      <c r="AA2745" s="4">
        <f>=ROUNDDOWN(4.5,0)</f>
      </c>
      <c r="AB2745" s="5">
        <v>10</v>
      </c>
      <c r="AC2745" s="2" t="s">
        <v>911</v>
      </c>
      <c r="AD2745" s="4">
        <v>80</v>
      </c>
      <c r="AE2745" s="4">
        <v>360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231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231</v>
      </c>
      <c r="AW2745" s="8" t="s">
        <v>231</v>
      </c>
      <c r="AX2745" s="4" t="s">
        <v>231</v>
      </c>
      <c r="AY2745" s="8" t="s">
        <v>231</v>
      </c>
      <c r="AZ2745" s="7" t="s">
        <v>231</v>
      </c>
      <c r="BA2745" s="7" t="s">
        <v>231</v>
      </c>
      <c r="BB2745" s="7"/>
      <c r="BC2745" s="4" t="s">
        <v>231</v>
      </c>
      <c r="BD2745" s="8" t="s">
        <v>231</v>
      </c>
      <c r="BE2745" s="4" t="s">
        <v>231</v>
      </c>
      <c r="BF2745" s="8" t="s">
        <v>231</v>
      </c>
      <c r="BG2745" s="7" t="s">
        <v>231</v>
      </c>
      <c r="BH2745" s="7" t="s">
        <v>231</v>
      </c>
      <c r="BI2745" s="7"/>
      <c r="BJ2745" s="4">
        <v>2</v>
      </c>
      <c r="BK2745" s="8">
        <v>43.52</v>
      </c>
      <c r="BL2745" s="2" t="s">
        <v>465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11685</v>
      </c>
      <c r="BV2745" s="2" t="s">
        <v>231</v>
      </c>
      <c r="BW2745" s="2" t="s">
        <v>231</v>
      </c>
      <c r="BX2745" s="2" t="s">
        <v>241</v>
      </c>
      <c r="BY2745" s="2" t="s">
        <v>277</v>
      </c>
      <c r="BZ2745" s="2" t="s">
        <v>243</v>
      </c>
      <c r="CA2745" s="2" t="s">
        <v>284</v>
      </c>
      <c r="CB2745" s="2" t="s">
        <v>617</v>
      </c>
      <c r="CC2745" s="2" t="s">
        <v>244</v>
      </c>
      <c r="CD2745" s="2" t="s">
        <v>231</v>
      </c>
      <c r="CE2745" s="4">
        <v>45</v>
      </c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4"/>
      <c r="CX2745" s="4"/>
      <c r="CY2745" s="4"/>
      <c r="CZ2745" s="4"/>
      <c r="DA2745" s="4"/>
      <c r="DB2745" s="4"/>
      <c r="DC2745" s="4"/>
      <c r="DD2745" s="4"/>
      <c r="DE2745" s="4"/>
      <c r="DF2745" s="4"/>
      <c r="DG2745" s="4"/>
      <c r="DH2745" s="4"/>
      <c r="DI2745" s="4"/>
      <c r="DJ2745" s="4"/>
      <c r="DK2745" s="4"/>
      <c r="DL2745" s="4"/>
      <c r="DM2745" s="4"/>
      <c r="DN2745" s="4"/>
      <c r="DO2745" s="4"/>
      <c r="DP2745" s="4"/>
      <c r="DQ2745" s="4"/>
      <c r="DR2745" s="4"/>
      <c r="DS2745" s="4"/>
      <c r="DT2745" s="4"/>
      <c r="DU2745" s="4"/>
      <c r="DV2745" s="4"/>
      <c r="DW2745" s="4"/>
      <c r="DX2745" s="4"/>
      <c r="DY2745" s="4">
        <v>80</v>
      </c>
      <c r="DZ2745" s="4"/>
      <c r="EA2745" s="4"/>
      <c r="EB2745" s="4"/>
      <c r="EC2745" s="4"/>
      <c r="ED2745" s="4"/>
      <c r="EE2745" s="4"/>
      <c r="EF2745" s="4"/>
      <c r="EG2745" s="4"/>
      <c r="EH2745" s="4"/>
      <c r="EI2745" s="4"/>
      <c r="EJ2745" s="4"/>
      <c r="EK2745" s="4"/>
      <c r="EL2745" s="4"/>
      <c r="EM2745" s="4"/>
      <c r="EN2745" s="4"/>
      <c r="EO2745" s="4"/>
      <c r="EP2745" s="4"/>
      <c r="EQ2745" s="4"/>
      <c r="ER2745" s="4"/>
      <c r="ES2745" s="4"/>
      <c r="ET2745" s="4"/>
      <c r="EU2745" s="4"/>
      <c r="EV2745" s="4"/>
      <c r="EW2745" s="4"/>
      <c r="EX2745" s="4"/>
      <c r="EY2745" s="4"/>
      <c r="EZ2745" s="4"/>
      <c r="FA2745" s="4"/>
      <c r="FB2745" s="4"/>
      <c r="FC2745" s="4"/>
      <c r="FD2745" s="4"/>
      <c r="FE2745" s="4"/>
      <c r="FF2745" s="4"/>
      <c r="FG2745" s="4"/>
      <c r="FH2745" s="4"/>
      <c r="FI2745" s="4"/>
      <c r="FJ2745" s="4"/>
      <c r="FK2745" s="4"/>
      <c r="FL2745" s="4"/>
      <c r="FM2745" s="4"/>
      <c r="FN2745" s="4"/>
      <c r="FO2745" s="4"/>
      <c r="FP2745" s="4"/>
      <c r="FQ2745" s="4"/>
      <c r="FR2745" s="4"/>
      <c r="FS2745" s="4"/>
      <c r="FT2745" s="4"/>
      <c r="FU2745" s="4"/>
      <c r="FV2745" s="4">
        <v>200</v>
      </c>
      <c r="FW2745" s="4"/>
      <c r="FX2745" s="4"/>
      <c r="FY2745" s="4"/>
      <c r="FZ2745" s="4"/>
      <c r="GA2745" s="4"/>
      <c r="GB2745" s="4"/>
      <c r="GC2745" s="4"/>
      <c r="GD2745" s="4"/>
      <c r="GE2745" s="4"/>
      <c r="GF2745" s="4"/>
      <c r="GG2745" s="4"/>
      <c r="GH2745" s="4"/>
      <c r="GI2745" s="4"/>
      <c r="GJ2745" s="4"/>
      <c r="GK2745" s="4"/>
      <c r="GL2745" s="4"/>
      <c r="GM2745" s="4"/>
      <c r="GN2745" s="4"/>
      <c r="GO2745" s="4"/>
      <c r="GP2745" s="4"/>
      <c r="GQ2745" s="4">
        <v>80</v>
      </c>
      <c r="GR2745" s="4"/>
      <c r="GS2745" s="4"/>
      <c r="GT2745" s="4"/>
      <c r="GU2745" s="4"/>
      <c r="GV2745" s="4"/>
      <c r="GW2745" s="4"/>
      <c r="GX2745" s="4"/>
      <c r="GY2745" s="4"/>
      <c r="GZ2745" s="4"/>
      <c r="HA2745" s="4"/>
      <c r="HB2745" s="4"/>
      <c r="HC2745" s="4"/>
      <c r="HD2745" s="4"/>
      <c r="HE2745" s="4"/>
      <c r="HF2745" s="4"/>
      <c r="HG2745" s="4"/>
      <c r="HH2745" s="4"/>
      <c r="HI2745" s="4"/>
      <c r="HJ2745" s="4"/>
      <c r="HK2745" s="4"/>
      <c r="HL2745" s="4"/>
    </row>
    <row r="2746">
      <c r="A2746" s="2" t="s">
        <v>11686</v>
      </c>
      <c r="B2746" s="2" t="s">
        <v>287</v>
      </c>
      <c r="C2746" s="2" t="s">
        <v>965</v>
      </c>
      <c r="D2746" s="2" t="s">
        <v>289</v>
      </c>
      <c r="E2746" s="2" t="s">
        <v>290</v>
      </c>
      <c r="F2746" s="2" t="s">
        <v>11668</v>
      </c>
      <c r="G2746" s="2" t="s">
        <v>11668</v>
      </c>
      <c r="H2746" s="2" t="s">
        <v>11668</v>
      </c>
      <c r="I2746" s="2" t="s">
        <v>11669</v>
      </c>
      <c r="J2746" s="2" t="s">
        <v>281</v>
      </c>
      <c r="K2746" s="2" t="s">
        <v>901</v>
      </c>
      <c r="L2746" s="3">
        <v>25.3</v>
      </c>
      <c r="M2746" s="3">
        <v>26.56</v>
      </c>
      <c r="N2746" s="3">
        <v>54.99</v>
      </c>
      <c r="O2746" s="2" t="s">
        <v>243</v>
      </c>
      <c r="P2746" s="2" t="s">
        <v>270</v>
      </c>
      <c r="Q2746" s="2" t="s">
        <v>237</v>
      </c>
      <c r="R2746" s="2" t="s">
        <v>231</v>
      </c>
      <c r="S2746" s="2" t="s">
        <v>11684</v>
      </c>
      <c r="T2746" s="2" t="s">
        <v>1630</v>
      </c>
      <c r="U2746" s="2" t="s">
        <v>298</v>
      </c>
      <c r="V2746" s="2" t="s">
        <v>239</v>
      </c>
      <c r="W2746" s="2" t="s">
        <v>273</v>
      </c>
      <c r="X2746" s="2" t="s">
        <v>231</v>
      </c>
      <c r="Y2746" s="2" t="s">
        <v>430</v>
      </c>
      <c r="Z2746" s="4"/>
      <c r="AA2746" s="4">
        <f>=ROUNDDOWN({0},0)</f>
      </c>
      <c r="AB2746" s="5">
        <v>12</v>
      </c>
      <c r="AC2746" s="2" t="s">
        <v>911</v>
      </c>
      <c r="AD2746" s="4">
        <v>100</v>
      </c>
      <c r="AE2746" s="4">
        <v>380</v>
      </c>
      <c r="AF2746" s="6">
        <v>65</v>
      </c>
      <c r="AG2746" s="6"/>
      <c r="AH2746" s="7">
        <v>0</v>
      </c>
      <c r="AI2746" s="4"/>
      <c r="AJ2746" s="4">
        <f>=ROUNDDOWN({0},0)</f>
      </c>
      <c r="AK2746" s="5"/>
      <c r="AL2746" s="2" t="s">
        <v>231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231</v>
      </c>
      <c r="AW2746" s="8" t="s">
        <v>231</v>
      </c>
      <c r="AX2746" s="4" t="s">
        <v>231</v>
      </c>
      <c r="AY2746" s="8" t="s">
        <v>231</v>
      </c>
      <c r="AZ2746" s="7" t="s">
        <v>231</v>
      </c>
      <c r="BA2746" s="7" t="s">
        <v>231</v>
      </c>
      <c r="BB2746" s="7"/>
      <c r="BC2746" s="4" t="s">
        <v>231</v>
      </c>
      <c r="BD2746" s="8" t="s">
        <v>231</v>
      </c>
      <c r="BE2746" s="4" t="s">
        <v>231</v>
      </c>
      <c r="BF2746" s="8" t="s">
        <v>231</v>
      </c>
      <c r="BG2746" s="7" t="s">
        <v>231</v>
      </c>
      <c r="BH2746" s="7" t="s">
        <v>231</v>
      </c>
      <c r="BI2746" s="7"/>
      <c r="BJ2746" s="4"/>
      <c r="BK2746" s="8"/>
      <c r="BL2746" s="2" t="s">
        <v>374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11687</v>
      </c>
      <c r="BV2746" s="2" t="s">
        <v>231</v>
      </c>
      <c r="BW2746" s="2" t="s">
        <v>231</v>
      </c>
      <c r="BX2746" s="2" t="s">
        <v>241</v>
      </c>
      <c r="BY2746" s="2" t="s">
        <v>277</v>
      </c>
      <c r="BZ2746" s="2" t="s">
        <v>243</v>
      </c>
      <c r="CA2746" s="2" t="s">
        <v>1633</v>
      </c>
      <c r="CB2746" s="2" t="s">
        <v>617</v>
      </c>
      <c r="CC2746" s="2" t="s">
        <v>244</v>
      </c>
      <c r="CD2746" s="2" t="s">
        <v>231</v>
      </c>
      <c r="CE2746" s="4"/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4"/>
      <c r="CX2746" s="4"/>
      <c r="CY2746" s="4"/>
      <c r="CZ2746" s="4"/>
      <c r="DA2746" s="4"/>
      <c r="DB2746" s="4"/>
      <c r="DC2746" s="4"/>
      <c r="DD2746" s="4"/>
      <c r="DE2746" s="4"/>
      <c r="DF2746" s="4"/>
      <c r="DG2746" s="4"/>
      <c r="DH2746" s="4"/>
      <c r="DI2746" s="4"/>
      <c r="DJ2746" s="4"/>
      <c r="DK2746" s="4"/>
      <c r="DL2746" s="4"/>
      <c r="DM2746" s="4"/>
      <c r="DN2746" s="4"/>
      <c r="DO2746" s="4"/>
      <c r="DP2746" s="4"/>
      <c r="DQ2746" s="4"/>
      <c r="DR2746" s="4"/>
      <c r="DS2746" s="4"/>
      <c r="DT2746" s="4"/>
      <c r="DU2746" s="4"/>
      <c r="DV2746" s="4"/>
      <c r="DW2746" s="4"/>
      <c r="DX2746" s="4"/>
      <c r="DY2746" s="4">
        <v>100</v>
      </c>
      <c r="DZ2746" s="4"/>
      <c r="EA2746" s="4"/>
      <c r="EB2746" s="4"/>
      <c r="EC2746" s="4"/>
      <c r="ED2746" s="4"/>
      <c r="EE2746" s="4"/>
      <c r="EF2746" s="4"/>
      <c r="EG2746" s="4"/>
      <c r="EH2746" s="4"/>
      <c r="EI2746" s="4"/>
      <c r="EJ2746" s="4"/>
      <c r="EK2746" s="4"/>
      <c r="EL2746" s="4"/>
      <c r="EM2746" s="4"/>
      <c r="EN2746" s="4"/>
      <c r="EO2746" s="4"/>
      <c r="EP2746" s="4"/>
      <c r="EQ2746" s="4"/>
      <c r="ER2746" s="4"/>
      <c r="ES2746" s="4"/>
      <c r="ET2746" s="4"/>
      <c r="EU2746" s="4"/>
      <c r="EV2746" s="4"/>
      <c r="EW2746" s="4"/>
      <c r="EX2746" s="4"/>
      <c r="EY2746" s="4"/>
      <c r="EZ2746" s="4"/>
      <c r="FA2746" s="4"/>
      <c r="FB2746" s="4"/>
      <c r="FC2746" s="4"/>
      <c r="FD2746" s="4"/>
      <c r="FE2746" s="4"/>
      <c r="FF2746" s="4"/>
      <c r="FG2746" s="4"/>
      <c r="FH2746" s="4"/>
      <c r="FI2746" s="4"/>
      <c r="FJ2746" s="4"/>
      <c r="FK2746" s="4"/>
      <c r="FL2746" s="4"/>
      <c r="FM2746" s="4"/>
      <c r="FN2746" s="4"/>
      <c r="FO2746" s="4"/>
      <c r="FP2746" s="4"/>
      <c r="FQ2746" s="4"/>
      <c r="FR2746" s="4"/>
      <c r="FS2746" s="4"/>
      <c r="FT2746" s="4"/>
      <c r="FU2746" s="4"/>
      <c r="FV2746" s="4">
        <v>200</v>
      </c>
      <c r="FW2746" s="4"/>
      <c r="FX2746" s="4"/>
      <c r="FY2746" s="4"/>
      <c r="FZ2746" s="4"/>
      <c r="GA2746" s="4"/>
      <c r="GB2746" s="4"/>
      <c r="GC2746" s="4"/>
      <c r="GD2746" s="4"/>
      <c r="GE2746" s="4"/>
      <c r="GF2746" s="4"/>
      <c r="GG2746" s="4"/>
      <c r="GH2746" s="4"/>
      <c r="GI2746" s="4"/>
      <c r="GJ2746" s="4"/>
      <c r="GK2746" s="4"/>
      <c r="GL2746" s="4"/>
      <c r="GM2746" s="4"/>
      <c r="GN2746" s="4"/>
      <c r="GO2746" s="4"/>
      <c r="GP2746" s="4"/>
      <c r="GQ2746" s="4">
        <v>80</v>
      </c>
      <c r="GR2746" s="4"/>
      <c r="GS2746" s="4"/>
      <c r="GT2746" s="4"/>
      <c r="GU2746" s="4"/>
      <c r="GV2746" s="4"/>
      <c r="GW2746" s="4"/>
      <c r="GX2746" s="4"/>
      <c r="GY2746" s="4"/>
      <c r="GZ2746" s="4"/>
      <c r="HA2746" s="4"/>
      <c r="HB2746" s="4"/>
      <c r="HC2746" s="4"/>
      <c r="HD2746" s="4"/>
      <c r="HE2746" s="4"/>
      <c r="HF2746" s="4"/>
      <c r="HG2746" s="4"/>
      <c r="HH2746" s="4"/>
      <c r="HI2746" s="4"/>
      <c r="HJ2746" s="4"/>
      <c r="HK2746" s="4"/>
      <c r="HL2746" s="4"/>
    </row>
    <row r="2747">
      <c r="A2747" s="2" t="s">
        <v>11688</v>
      </c>
      <c r="B2747" s="2" t="s">
        <v>287</v>
      </c>
      <c r="C2747" s="2" t="s">
        <v>965</v>
      </c>
      <c r="D2747" s="2" t="s">
        <v>289</v>
      </c>
      <c r="E2747" s="2" t="s">
        <v>290</v>
      </c>
      <c r="F2747" s="2" t="s">
        <v>11668</v>
      </c>
      <c r="G2747" s="2" t="s">
        <v>11668</v>
      </c>
      <c r="H2747" s="2" t="s">
        <v>11668</v>
      </c>
      <c r="I2747" s="2" t="s">
        <v>11669</v>
      </c>
      <c r="J2747" s="2" t="s">
        <v>293</v>
      </c>
      <c r="K2747" s="2" t="s">
        <v>901</v>
      </c>
      <c r="L2747" s="3">
        <v>28.35</v>
      </c>
      <c r="M2747" s="3">
        <v>29.77</v>
      </c>
      <c r="N2747" s="3">
        <v>62.99</v>
      </c>
      <c r="O2747" s="2" t="s">
        <v>243</v>
      </c>
      <c r="P2747" s="2" t="s">
        <v>4057</v>
      </c>
      <c r="Q2747" s="2" t="s">
        <v>237</v>
      </c>
      <c r="R2747" s="2" t="s">
        <v>231</v>
      </c>
      <c r="S2747" s="2" t="s">
        <v>11684</v>
      </c>
      <c r="T2747" s="2" t="s">
        <v>1630</v>
      </c>
      <c r="U2747" s="2" t="s">
        <v>298</v>
      </c>
      <c r="V2747" s="2" t="s">
        <v>239</v>
      </c>
      <c r="W2747" s="2" t="s">
        <v>273</v>
      </c>
      <c r="X2747" s="2" t="s">
        <v>231</v>
      </c>
      <c r="Y2747" s="2" t="s">
        <v>4224</v>
      </c>
      <c r="Z2747" s="4"/>
      <c r="AA2747" s="4">
        <f>=ROUNDDOWN({0},0)</f>
      </c>
      <c r="AB2747" s="5">
        <v>50</v>
      </c>
      <c r="AC2747" s="2" t="s">
        <v>911</v>
      </c>
      <c r="AD2747" s="4">
        <v>430</v>
      </c>
      <c r="AE2747" s="4">
        <v>1740</v>
      </c>
      <c r="AF2747" s="6">
        <v>65</v>
      </c>
      <c r="AG2747" s="6"/>
      <c r="AH2747" s="7">
        <v>0</v>
      </c>
      <c r="AI2747" s="4"/>
      <c r="AJ2747" s="4">
        <f>=ROUNDDOWN({0},0)</f>
      </c>
      <c r="AK2747" s="5"/>
      <c r="AL2747" s="2" t="s">
        <v>231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231</v>
      </c>
      <c r="AW2747" s="8" t="s">
        <v>231</v>
      </c>
      <c r="AX2747" s="4" t="s">
        <v>231</v>
      </c>
      <c r="AY2747" s="8" t="s">
        <v>231</v>
      </c>
      <c r="AZ2747" s="7" t="s">
        <v>231</v>
      </c>
      <c r="BA2747" s="7" t="s">
        <v>231</v>
      </c>
      <c r="BB2747" s="7"/>
      <c r="BC2747" s="4" t="s">
        <v>231</v>
      </c>
      <c r="BD2747" s="8" t="s">
        <v>231</v>
      </c>
      <c r="BE2747" s="4" t="s">
        <v>231</v>
      </c>
      <c r="BF2747" s="8" t="s">
        <v>231</v>
      </c>
      <c r="BG2747" s="7" t="s">
        <v>231</v>
      </c>
      <c r="BH2747" s="7" t="s">
        <v>231</v>
      </c>
      <c r="BI2747" s="7"/>
      <c r="BJ2747" s="4"/>
      <c r="BK2747" s="8"/>
      <c r="BL2747" s="2" t="s">
        <v>231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11689</v>
      </c>
      <c r="BV2747" s="2" t="s">
        <v>231</v>
      </c>
      <c r="BW2747" s="2" t="s">
        <v>231</v>
      </c>
      <c r="BX2747" s="2" t="s">
        <v>241</v>
      </c>
      <c r="BY2747" s="2" t="s">
        <v>277</v>
      </c>
      <c r="BZ2747" s="2" t="s">
        <v>243</v>
      </c>
      <c r="CA2747" s="2" t="s">
        <v>1633</v>
      </c>
      <c r="CB2747" s="2" t="s">
        <v>11690</v>
      </c>
      <c r="CC2747" s="2" t="s">
        <v>244</v>
      </c>
      <c r="CD2747" s="2" t="s">
        <v>231</v>
      </c>
      <c r="CE2747" s="4"/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4"/>
      <c r="CX2747" s="4"/>
      <c r="CY2747" s="4"/>
      <c r="CZ2747" s="4"/>
      <c r="DA2747" s="4"/>
      <c r="DB2747" s="4"/>
      <c r="DC2747" s="4"/>
      <c r="DD2747" s="4"/>
      <c r="DE2747" s="4"/>
      <c r="DF2747" s="4"/>
      <c r="DG2747" s="4"/>
      <c r="DH2747" s="4"/>
      <c r="DI2747" s="4"/>
      <c r="DJ2747" s="4"/>
      <c r="DK2747" s="4"/>
      <c r="DL2747" s="4"/>
      <c r="DM2747" s="4"/>
      <c r="DN2747" s="4"/>
      <c r="DO2747" s="4"/>
      <c r="DP2747" s="4"/>
      <c r="DQ2747" s="4"/>
      <c r="DR2747" s="4"/>
      <c r="DS2747" s="4"/>
      <c r="DT2747" s="4"/>
      <c r="DU2747" s="4"/>
      <c r="DV2747" s="4"/>
      <c r="DW2747" s="4"/>
      <c r="DX2747" s="4"/>
      <c r="DY2747" s="4">
        <v>430</v>
      </c>
      <c r="DZ2747" s="4"/>
      <c r="EA2747" s="4"/>
      <c r="EB2747" s="4"/>
      <c r="EC2747" s="4"/>
      <c r="ED2747" s="4"/>
      <c r="EE2747" s="4"/>
      <c r="EF2747" s="4"/>
      <c r="EG2747" s="4"/>
      <c r="EH2747" s="4"/>
      <c r="EI2747" s="4"/>
      <c r="EJ2747" s="4"/>
      <c r="EK2747" s="4"/>
      <c r="EL2747" s="4"/>
      <c r="EM2747" s="4"/>
      <c r="EN2747" s="4"/>
      <c r="EO2747" s="4"/>
      <c r="EP2747" s="4"/>
      <c r="EQ2747" s="4"/>
      <c r="ER2747" s="4"/>
      <c r="ES2747" s="4"/>
      <c r="ET2747" s="4"/>
      <c r="EU2747" s="4"/>
      <c r="EV2747" s="4"/>
      <c r="EW2747" s="4"/>
      <c r="EX2747" s="4"/>
      <c r="EY2747" s="4"/>
      <c r="EZ2747" s="4"/>
      <c r="FA2747" s="4"/>
      <c r="FB2747" s="4"/>
      <c r="FC2747" s="4"/>
      <c r="FD2747" s="4"/>
      <c r="FE2747" s="4"/>
      <c r="FF2747" s="4"/>
      <c r="FG2747" s="4"/>
      <c r="FH2747" s="4"/>
      <c r="FI2747" s="4"/>
      <c r="FJ2747" s="4"/>
      <c r="FK2747" s="4"/>
      <c r="FL2747" s="4"/>
      <c r="FM2747" s="4"/>
      <c r="FN2747" s="4"/>
      <c r="FO2747" s="4"/>
      <c r="FP2747" s="4"/>
      <c r="FQ2747" s="4"/>
      <c r="FR2747" s="4"/>
      <c r="FS2747" s="4"/>
      <c r="FT2747" s="4"/>
      <c r="FU2747" s="4"/>
      <c r="FV2747" s="4">
        <v>910</v>
      </c>
      <c r="FW2747" s="4"/>
      <c r="FX2747" s="4"/>
      <c r="FY2747" s="4"/>
      <c r="FZ2747" s="4"/>
      <c r="GA2747" s="4"/>
      <c r="GB2747" s="4"/>
      <c r="GC2747" s="4"/>
      <c r="GD2747" s="4"/>
      <c r="GE2747" s="4"/>
      <c r="GF2747" s="4"/>
      <c r="GG2747" s="4"/>
      <c r="GH2747" s="4"/>
      <c r="GI2747" s="4"/>
      <c r="GJ2747" s="4"/>
      <c r="GK2747" s="4"/>
      <c r="GL2747" s="4"/>
      <c r="GM2747" s="4"/>
      <c r="GN2747" s="4"/>
      <c r="GO2747" s="4"/>
      <c r="GP2747" s="4"/>
      <c r="GQ2747" s="4">
        <v>400</v>
      </c>
      <c r="GR2747" s="4"/>
      <c r="GS2747" s="4"/>
      <c r="GT2747" s="4"/>
      <c r="GU2747" s="4"/>
      <c r="GV2747" s="4"/>
      <c r="GW2747" s="4"/>
      <c r="GX2747" s="4"/>
      <c r="GY2747" s="4"/>
      <c r="GZ2747" s="4"/>
      <c r="HA2747" s="4"/>
      <c r="HB2747" s="4"/>
      <c r="HC2747" s="4"/>
      <c r="HD2747" s="4"/>
      <c r="HE2747" s="4"/>
      <c r="HF2747" s="4"/>
      <c r="HG2747" s="4"/>
      <c r="HH2747" s="4"/>
      <c r="HI2747" s="4"/>
      <c r="HJ2747" s="4"/>
      <c r="HK2747" s="4"/>
      <c r="HL2747" s="4"/>
    </row>
    <row r="2748">
      <c r="A2748" s="2" t="s">
        <v>11691</v>
      </c>
      <c r="B2748" s="2" t="s">
        <v>287</v>
      </c>
      <c r="C2748" s="2" t="s">
        <v>965</v>
      </c>
      <c r="D2748" s="2" t="s">
        <v>289</v>
      </c>
      <c r="E2748" s="2" t="s">
        <v>290</v>
      </c>
      <c r="F2748" s="2" t="s">
        <v>11668</v>
      </c>
      <c r="G2748" s="2" t="s">
        <v>11668</v>
      </c>
      <c r="H2748" s="2" t="s">
        <v>11668</v>
      </c>
      <c r="I2748" s="2" t="s">
        <v>11669</v>
      </c>
      <c r="J2748" s="2" t="s">
        <v>302</v>
      </c>
      <c r="K2748" s="2" t="s">
        <v>901</v>
      </c>
      <c r="L2748" s="3">
        <v>34.5</v>
      </c>
      <c r="M2748" s="3">
        <v>36.22</v>
      </c>
      <c r="N2748" s="3">
        <v>74.99</v>
      </c>
      <c r="O2748" s="2" t="s">
        <v>243</v>
      </c>
      <c r="P2748" s="2" t="s">
        <v>871</v>
      </c>
      <c r="Q2748" s="2" t="s">
        <v>237</v>
      </c>
      <c r="R2748" s="2" t="s">
        <v>231</v>
      </c>
      <c r="S2748" s="2" t="s">
        <v>11684</v>
      </c>
      <c r="T2748" s="2" t="s">
        <v>1630</v>
      </c>
      <c r="U2748" s="2" t="s">
        <v>298</v>
      </c>
      <c r="V2748" s="2" t="s">
        <v>239</v>
      </c>
      <c r="W2748" s="2" t="s">
        <v>273</v>
      </c>
      <c r="X2748" s="2" t="s">
        <v>231</v>
      </c>
      <c r="Y2748" s="2" t="s">
        <v>274</v>
      </c>
      <c r="Z2748" s="4">
        <v>2</v>
      </c>
      <c r="AA2748" s="4">
        <f>=ROUNDDOWN(0.0769230769230769,0)</f>
      </c>
      <c r="AB2748" s="5">
        <v>26</v>
      </c>
      <c r="AC2748" s="2" t="s">
        <v>911</v>
      </c>
      <c r="AD2748" s="4">
        <v>200</v>
      </c>
      <c r="AE2748" s="4">
        <v>800</v>
      </c>
      <c r="AF2748" s="6">
        <v>65</v>
      </c>
      <c r="AG2748" s="6"/>
      <c r="AH2748" s="7">
        <v>0</v>
      </c>
      <c r="AI2748" s="4"/>
      <c r="AJ2748" s="4">
        <f>=ROUNDDOWN({0},0)</f>
      </c>
      <c r="AK2748" s="5"/>
      <c r="AL2748" s="2" t="s">
        <v>231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231</v>
      </c>
      <c r="AW2748" s="8" t="s">
        <v>231</v>
      </c>
      <c r="AX2748" s="4" t="s">
        <v>231</v>
      </c>
      <c r="AY2748" s="8" t="s">
        <v>231</v>
      </c>
      <c r="AZ2748" s="7" t="s">
        <v>231</v>
      </c>
      <c r="BA2748" s="7" t="s">
        <v>231</v>
      </c>
      <c r="BB2748" s="7"/>
      <c r="BC2748" s="4" t="s">
        <v>231</v>
      </c>
      <c r="BD2748" s="8" t="s">
        <v>231</v>
      </c>
      <c r="BE2748" s="4" t="s">
        <v>231</v>
      </c>
      <c r="BF2748" s="8" t="s">
        <v>231</v>
      </c>
      <c r="BG2748" s="7" t="s">
        <v>231</v>
      </c>
      <c r="BH2748" s="7" t="s">
        <v>231</v>
      </c>
      <c r="BI2748" s="7"/>
      <c r="BJ2748" s="4">
        <v>1</v>
      </c>
      <c r="BK2748" s="8">
        <v>74.99</v>
      </c>
      <c r="BL2748" s="2" t="s">
        <v>11692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11693</v>
      </c>
      <c r="BV2748" s="2" t="s">
        <v>231</v>
      </c>
      <c r="BW2748" s="2" t="s">
        <v>231</v>
      </c>
      <c r="BX2748" s="2" t="s">
        <v>241</v>
      </c>
      <c r="BY2748" s="2" t="s">
        <v>277</v>
      </c>
      <c r="BZ2748" s="2" t="s">
        <v>243</v>
      </c>
      <c r="CA2748" s="2" t="s">
        <v>1633</v>
      </c>
      <c r="CB2748" s="2" t="s">
        <v>467</v>
      </c>
      <c r="CC2748" s="2" t="s">
        <v>244</v>
      </c>
      <c r="CD2748" s="2" t="s">
        <v>231</v>
      </c>
      <c r="CE2748" s="4">
        <v>2</v>
      </c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4"/>
      <c r="CX2748" s="4"/>
      <c r="CY2748" s="4"/>
      <c r="CZ2748" s="4"/>
      <c r="DA2748" s="4"/>
      <c r="DB2748" s="4"/>
      <c r="DC2748" s="4"/>
      <c r="DD2748" s="4"/>
      <c r="DE2748" s="4"/>
      <c r="DF2748" s="4"/>
      <c r="DG2748" s="4"/>
      <c r="DH2748" s="4"/>
      <c r="DI2748" s="4"/>
      <c r="DJ2748" s="4"/>
      <c r="DK2748" s="4"/>
      <c r="DL2748" s="4"/>
      <c r="DM2748" s="4"/>
      <c r="DN2748" s="4"/>
      <c r="DO2748" s="4"/>
      <c r="DP2748" s="4"/>
      <c r="DQ2748" s="4"/>
      <c r="DR2748" s="4"/>
      <c r="DS2748" s="4"/>
      <c r="DT2748" s="4"/>
      <c r="DU2748" s="4"/>
      <c r="DV2748" s="4"/>
      <c r="DW2748" s="4"/>
      <c r="DX2748" s="4"/>
      <c r="DY2748" s="4">
        <v>200</v>
      </c>
      <c r="DZ2748" s="4"/>
      <c r="EA2748" s="4"/>
      <c r="EB2748" s="4"/>
      <c r="EC2748" s="4"/>
      <c r="ED2748" s="4"/>
      <c r="EE2748" s="4"/>
      <c r="EF2748" s="4"/>
      <c r="EG2748" s="4"/>
      <c r="EH2748" s="4"/>
      <c r="EI2748" s="4"/>
      <c r="EJ2748" s="4"/>
      <c r="EK2748" s="4"/>
      <c r="EL2748" s="4"/>
      <c r="EM2748" s="4"/>
      <c r="EN2748" s="4"/>
      <c r="EO2748" s="4"/>
      <c r="EP2748" s="4"/>
      <c r="EQ2748" s="4"/>
      <c r="ER2748" s="4"/>
      <c r="ES2748" s="4"/>
      <c r="ET2748" s="4"/>
      <c r="EU2748" s="4"/>
      <c r="EV2748" s="4"/>
      <c r="EW2748" s="4"/>
      <c r="EX2748" s="4"/>
      <c r="EY2748" s="4"/>
      <c r="EZ2748" s="4"/>
      <c r="FA2748" s="4"/>
      <c r="FB2748" s="4"/>
      <c r="FC2748" s="4"/>
      <c r="FD2748" s="4"/>
      <c r="FE2748" s="4"/>
      <c r="FF2748" s="4"/>
      <c r="FG2748" s="4"/>
      <c r="FH2748" s="4"/>
      <c r="FI2748" s="4"/>
      <c r="FJ2748" s="4"/>
      <c r="FK2748" s="4"/>
      <c r="FL2748" s="4"/>
      <c r="FM2748" s="4"/>
      <c r="FN2748" s="4"/>
      <c r="FO2748" s="4"/>
      <c r="FP2748" s="4"/>
      <c r="FQ2748" s="4"/>
      <c r="FR2748" s="4"/>
      <c r="FS2748" s="4"/>
      <c r="FT2748" s="4"/>
      <c r="FU2748" s="4"/>
      <c r="FV2748" s="4">
        <v>400</v>
      </c>
      <c r="FW2748" s="4"/>
      <c r="FX2748" s="4"/>
      <c r="FY2748" s="4"/>
      <c r="FZ2748" s="4"/>
      <c r="GA2748" s="4"/>
      <c r="GB2748" s="4"/>
      <c r="GC2748" s="4"/>
      <c r="GD2748" s="4"/>
      <c r="GE2748" s="4"/>
      <c r="GF2748" s="4"/>
      <c r="GG2748" s="4"/>
      <c r="GH2748" s="4"/>
      <c r="GI2748" s="4"/>
      <c r="GJ2748" s="4"/>
      <c r="GK2748" s="4"/>
      <c r="GL2748" s="4"/>
      <c r="GM2748" s="4"/>
      <c r="GN2748" s="4"/>
      <c r="GO2748" s="4"/>
      <c r="GP2748" s="4"/>
      <c r="GQ2748" s="4">
        <v>200</v>
      </c>
      <c r="GR2748" s="4"/>
      <c r="GS2748" s="4"/>
      <c r="GT2748" s="4"/>
      <c r="GU2748" s="4"/>
      <c r="GV2748" s="4"/>
      <c r="GW2748" s="4"/>
      <c r="GX2748" s="4"/>
      <c r="GY2748" s="4"/>
      <c r="GZ2748" s="4"/>
      <c r="HA2748" s="4"/>
      <c r="HB2748" s="4"/>
      <c r="HC2748" s="4"/>
      <c r="HD2748" s="4"/>
      <c r="HE2748" s="4"/>
      <c r="HF2748" s="4"/>
      <c r="HG2748" s="4"/>
      <c r="HH2748" s="4"/>
      <c r="HI2748" s="4"/>
      <c r="HJ2748" s="4"/>
      <c r="HK2748" s="4"/>
      <c r="HL2748" s="4"/>
    </row>
    <row r="2749">
      <c r="A2749" s="2" t="s">
        <v>11694</v>
      </c>
      <c r="B2749" s="2" t="s">
        <v>287</v>
      </c>
      <c r="C2749" s="2" t="s">
        <v>965</v>
      </c>
      <c r="D2749" s="2" t="s">
        <v>289</v>
      </c>
      <c r="E2749" s="2" t="s">
        <v>290</v>
      </c>
      <c r="F2749" s="2" t="s">
        <v>11668</v>
      </c>
      <c r="G2749" s="2" t="s">
        <v>11668</v>
      </c>
      <c r="H2749" s="2" t="s">
        <v>11668</v>
      </c>
      <c r="I2749" s="2" t="s">
        <v>11669</v>
      </c>
      <c r="J2749" s="2" t="s">
        <v>318</v>
      </c>
      <c r="K2749" s="2" t="s">
        <v>1932</v>
      </c>
      <c r="L2749" s="3">
        <v>19.78</v>
      </c>
      <c r="M2749" s="3">
        <v>20.77</v>
      </c>
      <c r="N2749" s="3">
        <v>42.99</v>
      </c>
      <c r="O2749" s="2" t="s">
        <v>243</v>
      </c>
      <c r="P2749" s="2" t="s">
        <v>295</v>
      </c>
      <c r="Q2749" s="2" t="s">
        <v>237</v>
      </c>
      <c r="R2749" s="2" t="s">
        <v>231</v>
      </c>
      <c r="S2749" s="2" t="s">
        <v>11695</v>
      </c>
      <c r="T2749" s="2" t="s">
        <v>1630</v>
      </c>
      <c r="U2749" s="2" t="s">
        <v>835</v>
      </c>
      <c r="V2749" s="2" t="s">
        <v>239</v>
      </c>
      <c r="W2749" s="2" t="s">
        <v>273</v>
      </c>
      <c r="X2749" s="2" t="s">
        <v>231</v>
      </c>
      <c r="Y2749" s="2" t="s">
        <v>231</v>
      </c>
      <c r="Z2749" s="4"/>
      <c r="AA2749" s="4">
        <f>=ROUNDDOWN({0},0)</f>
      </c>
      <c r="AB2749" s="5"/>
      <c r="AC2749" s="2" t="s">
        <v>1556</v>
      </c>
      <c r="AD2749" s="4">
        <v>640</v>
      </c>
      <c r="AE2749" s="4">
        <v>1030</v>
      </c>
      <c r="AF2749" s="6">
        <v>65</v>
      </c>
      <c r="AG2749" s="6"/>
      <c r="AH2749" s="7">
        <v>0</v>
      </c>
      <c r="AI2749" s="4"/>
      <c r="AJ2749" s="4">
        <f>=ROUNDDOWN({0},0)</f>
      </c>
      <c r="AK2749" s="5"/>
      <c r="AL2749" s="2" t="s">
        <v>231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231</v>
      </c>
      <c r="AW2749" s="8" t="s">
        <v>231</v>
      </c>
      <c r="AX2749" s="4" t="s">
        <v>231</v>
      </c>
      <c r="AY2749" s="8" t="s">
        <v>231</v>
      </c>
      <c r="AZ2749" s="7" t="s">
        <v>231</v>
      </c>
      <c r="BA2749" s="7" t="s">
        <v>231</v>
      </c>
      <c r="BB2749" s="7"/>
      <c r="BC2749" s="4" t="s">
        <v>231</v>
      </c>
      <c r="BD2749" s="8" t="s">
        <v>231</v>
      </c>
      <c r="BE2749" s="4" t="s">
        <v>231</v>
      </c>
      <c r="BF2749" s="8" t="s">
        <v>231</v>
      </c>
      <c r="BG2749" s="7" t="s">
        <v>231</v>
      </c>
      <c r="BH2749" s="7" t="s">
        <v>231</v>
      </c>
      <c r="BI2749" s="7"/>
      <c r="BJ2749" s="4"/>
      <c r="BK2749" s="8"/>
      <c r="BL2749" s="2" t="s">
        <v>231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241</v>
      </c>
      <c r="BV2749" s="2" t="s">
        <v>231</v>
      </c>
      <c r="BW2749" s="2" t="s">
        <v>231</v>
      </c>
      <c r="BX2749" s="2" t="s">
        <v>241</v>
      </c>
      <c r="BY2749" s="2" t="s">
        <v>242</v>
      </c>
      <c r="BZ2749" s="2" t="s">
        <v>243</v>
      </c>
      <c r="CA2749" s="2" t="s">
        <v>231</v>
      </c>
      <c r="CB2749" s="2" t="s">
        <v>231</v>
      </c>
      <c r="CC2749" s="2" t="s">
        <v>244</v>
      </c>
      <c r="CD2749" s="2" t="s">
        <v>231</v>
      </c>
      <c r="CE2749" s="4"/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4"/>
      <c r="CX2749" s="4"/>
      <c r="CY2749" s="4"/>
      <c r="CZ2749" s="4"/>
      <c r="DA2749" s="4"/>
      <c r="DB2749" s="4"/>
      <c r="DC2749" s="4"/>
      <c r="DD2749" s="4"/>
      <c r="DE2749" s="4"/>
      <c r="DF2749" s="4"/>
      <c r="DG2749" s="4"/>
      <c r="DH2749" s="4"/>
      <c r="DI2749" s="4"/>
      <c r="DJ2749" s="4"/>
      <c r="DK2749" s="4"/>
      <c r="DL2749" s="4"/>
      <c r="DM2749" s="4"/>
      <c r="DN2749" s="4"/>
      <c r="DO2749" s="4"/>
      <c r="DP2749" s="4"/>
      <c r="DQ2749" s="4"/>
      <c r="DR2749" s="4"/>
      <c r="DS2749" s="4"/>
      <c r="DT2749" s="4"/>
      <c r="DU2749" s="4"/>
      <c r="DV2749" s="4"/>
      <c r="DW2749" s="4"/>
      <c r="DX2749" s="4"/>
      <c r="DY2749" s="4"/>
      <c r="DZ2749" s="4"/>
      <c r="EA2749" s="4"/>
      <c r="EB2749" s="4"/>
      <c r="EC2749" s="4"/>
      <c r="ED2749" s="4"/>
      <c r="EE2749" s="4"/>
      <c r="EF2749" s="4"/>
      <c r="EG2749" s="4"/>
      <c r="EH2749" s="4"/>
      <c r="EI2749" s="4"/>
      <c r="EJ2749" s="4"/>
      <c r="EK2749" s="4"/>
      <c r="EL2749" s="4"/>
      <c r="EM2749" s="4"/>
      <c r="EN2749" s="4"/>
      <c r="EO2749" s="4"/>
      <c r="EP2749" s="4"/>
      <c r="EQ2749" s="4"/>
      <c r="ER2749" s="4"/>
      <c r="ES2749" s="4"/>
      <c r="ET2749" s="4"/>
      <c r="EU2749" s="4"/>
      <c r="EV2749" s="4"/>
      <c r="EW2749" s="4"/>
      <c r="EX2749" s="4"/>
      <c r="EY2749" s="4"/>
      <c r="EZ2749" s="4"/>
      <c r="FA2749" s="4"/>
      <c r="FB2749" s="4"/>
      <c r="FC2749" s="4"/>
      <c r="FD2749" s="4"/>
      <c r="FE2749" s="4"/>
      <c r="FF2749" s="4"/>
      <c r="FG2749" s="4"/>
      <c r="FH2749" s="4"/>
      <c r="FI2749" s="4"/>
      <c r="FJ2749" s="4"/>
      <c r="FK2749" s="4"/>
      <c r="FL2749" s="4"/>
      <c r="FM2749" s="4"/>
      <c r="FN2749" s="4"/>
      <c r="FO2749" s="4"/>
      <c r="FP2749" s="4"/>
      <c r="FQ2749" s="4"/>
      <c r="FR2749" s="4"/>
      <c r="FS2749" s="4"/>
      <c r="FT2749" s="4"/>
      <c r="FU2749" s="4"/>
      <c r="FV2749" s="4"/>
      <c r="FW2749" s="4"/>
      <c r="FX2749" s="4"/>
      <c r="FY2749" s="4"/>
      <c r="FZ2749" s="4"/>
      <c r="GA2749" s="4"/>
      <c r="GB2749" s="4"/>
      <c r="GC2749" s="4"/>
      <c r="GD2749" s="4">
        <v>640</v>
      </c>
      <c r="GE2749" s="4"/>
      <c r="GF2749" s="4"/>
      <c r="GG2749" s="4"/>
      <c r="GH2749" s="4"/>
      <c r="GI2749" s="4"/>
      <c r="GJ2749" s="4"/>
      <c r="GK2749" s="4"/>
      <c r="GL2749" s="4"/>
      <c r="GM2749" s="4"/>
      <c r="GN2749" s="4"/>
      <c r="GO2749" s="4"/>
      <c r="GP2749" s="4"/>
      <c r="GQ2749" s="4"/>
      <c r="GR2749" s="4"/>
      <c r="GS2749" s="4"/>
      <c r="GT2749" s="4"/>
      <c r="GU2749" s="4"/>
      <c r="GV2749" s="4"/>
      <c r="GW2749" s="4"/>
      <c r="GX2749" s="4"/>
      <c r="GY2749" s="4"/>
      <c r="GZ2749" s="4"/>
      <c r="HA2749" s="4">
        <v>390</v>
      </c>
      <c r="HB2749" s="4"/>
      <c r="HC2749" s="4"/>
      <c r="HD2749" s="4"/>
      <c r="HE2749" s="4"/>
      <c r="HF2749" s="4"/>
      <c r="HG2749" s="4"/>
      <c r="HH2749" s="4"/>
      <c r="HI2749" s="4"/>
      <c r="HJ2749" s="4"/>
      <c r="HK2749" s="4"/>
      <c r="HL2749" s="4"/>
    </row>
    <row r="2750">
      <c r="A2750" s="2" t="s">
        <v>11696</v>
      </c>
      <c r="B2750" s="2" t="s">
        <v>287</v>
      </c>
      <c r="C2750" s="2" t="s">
        <v>965</v>
      </c>
      <c r="D2750" s="2" t="s">
        <v>289</v>
      </c>
      <c r="E2750" s="2" t="s">
        <v>290</v>
      </c>
      <c r="F2750" s="2" t="s">
        <v>11668</v>
      </c>
      <c r="G2750" s="2" t="s">
        <v>11668</v>
      </c>
      <c r="H2750" s="2" t="s">
        <v>11668</v>
      </c>
      <c r="I2750" s="2" t="s">
        <v>11669</v>
      </c>
      <c r="J2750" s="2" t="s">
        <v>281</v>
      </c>
      <c r="K2750" s="2" t="s">
        <v>1932</v>
      </c>
      <c r="L2750" s="3">
        <v>25.3</v>
      </c>
      <c r="M2750" s="3">
        <v>26.57</v>
      </c>
      <c r="N2750" s="3">
        <v>54.99</v>
      </c>
      <c r="O2750" s="2" t="s">
        <v>243</v>
      </c>
      <c r="P2750" s="2" t="s">
        <v>295</v>
      </c>
      <c r="Q2750" s="2" t="s">
        <v>237</v>
      </c>
      <c r="R2750" s="2" t="s">
        <v>231</v>
      </c>
      <c r="S2750" s="2" t="s">
        <v>11695</v>
      </c>
      <c r="T2750" s="2" t="s">
        <v>1630</v>
      </c>
      <c r="U2750" s="2" t="s">
        <v>298</v>
      </c>
      <c r="V2750" s="2" t="s">
        <v>239</v>
      </c>
      <c r="W2750" s="2" t="s">
        <v>273</v>
      </c>
      <c r="X2750" s="2" t="s">
        <v>231</v>
      </c>
      <c r="Y2750" s="2" t="s">
        <v>231</v>
      </c>
      <c r="Z2750" s="4"/>
      <c r="AA2750" s="4">
        <f>=ROUNDDOWN({0},0)</f>
      </c>
      <c r="AB2750" s="5"/>
      <c r="AC2750" s="2" t="s">
        <v>1556</v>
      </c>
      <c r="AD2750" s="4">
        <v>330</v>
      </c>
      <c r="AE2750" s="4">
        <v>530</v>
      </c>
      <c r="AF2750" s="6">
        <v>65</v>
      </c>
      <c r="AG2750" s="6"/>
      <c r="AH2750" s="7">
        <v>0</v>
      </c>
      <c r="AI2750" s="4"/>
      <c r="AJ2750" s="4">
        <f>=ROUNDDOWN({0},0)</f>
      </c>
      <c r="AK2750" s="5"/>
      <c r="AL2750" s="2" t="s">
        <v>231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231</v>
      </c>
      <c r="AW2750" s="8" t="s">
        <v>231</v>
      </c>
      <c r="AX2750" s="4" t="s">
        <v>231</v>
      </c>
      <c r="AY2750" s="8" t="s">
        <v>231</v>
      </c>
      <c r="AZ2750" s="7" t="s">
        <v>231</v>
      </c>
      <c r="BA2750" s="7" t="s">
        <v>231</v>
      </c>
      <c r="BB2750" s="7"/>
      <c r="BC2750" s="4" t="s">
        <v>231</v>
      </c>
      <c r="BD2750" s="8" t="s">
        <v>231</v>
      </c>
      <c r="BE2750" s="4" t="s">
        <v>231</v>
      </c>
      <c r="BF2750" s="8" t="s">
        <v>231</v>
      </c>
      <c r="BG2750" s="7" t="s">
        <v>231</v>
      </c>
      <c r="BH2750" s="7" t="s">
        <v>231</v>
      </c>
      <c r="BI2750" s="7"/>
      <c r="BJ2750" s="4"/>
      <c r="BK2750" s="8"/>
      <c r="BL2750" s="2" t="s">
        <v>231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241</v>
      </c>
      <c r="BV2750" s="2" t="s">
        <v>231</v>
      </c>
      <c r="BW2750" s="2" t="s">
        <v>231</v>
      </c>
      <c r="BX2750" s="2" t="s">
        <v>241</v>
      </c>
      <c r="BY2750" s="2" t="s">
        <v>242</v>
      </c>
      <c r="BZ2750" s="2" t="s">
        <v>243</v>
      </c>
      <c r="CA2750" s="2" t="s">
        <v>231</v>
      </c>
      <c r="CB2750" s="2" t="s">
        <v>231</v>
      </c>
      <c r="CC2750" s="2" t="s">
        <v>244</v>
      </c>
      <c r="CD2750" s="2" t="s">
        <v>231</v>
      </c>
      <c r="CE2750" s="4"/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4"/>
      <c r="CX2750" s="4"/>
      <c r="CY2750" s="4"/>
      <c r="CZ2750" s="4"/>
      <c r="DA2750" s="4"/>
      <c r="DB2750" s="4"/>
      <c r="DC2750" s="4"/>
      <c r="DD2750" s="4"/>
      <c r="DE2750" s="4"/>
      <c r="DF2750" s="4"/>
      <c r="DG2750" s="4"/>
      <c r="DH2750" s="4"/>
      <c r="DI2750" s="4"/>
      <c r="DJ2750" s="4"/>
      <c r="DK2750" s="4"/>
      <c r="DL2750" s="4"/>
      <c r="DM2750" s="4"/>
      <c r="DN2750" s="4"/>
      <c r="DO2750" s="4"/>
      <c r="DP2750" s="4"/>
      <c r="DQ2750" s="4"/>
      <c r="DR2750" s="4"/>
      <c r="DS2750" s="4"/>
      <c r="DT2750" s="4"/>
      <c r="DU2750" s="4"/>
      <c r="DV2750" s="4"/>
      <c r="DW2750" s="4"/>
      <c r="DX2750" s="4"/>
      <c r="DY2750" s="4"/>
      <c r="DZ2750" s="4"/>
      <c r="EA2750" s="4"/>
      <c r="EB2750" s="4"/>
      <c r="EC2750" s="4"/>
      <c r="ED2750" s="4"/>
      <c r="EE2750" s="4"/>
      <c r="EF2750" s="4"/>
      <c r="EG2750" s="4"/>
      <c r="EH2750" s="4"/>
      <c r="EI2750" s="4"/>
      <c r="EJ2750" s="4"/>
      <c r="EK2750" s="4"/>
      <c r="EL2750" s="4"/>
      <c r="EM2750" s="4"/>
      <c r="EN2750" s="4"/>
      <c r="EO2750" s="4"/>
      <c r="EP2750" s="4"/>
      <c r="EQ2750" s="4"/>
      <c r="ER2750" s="4"/>
      <c r="ES2750" s="4"/>
      <c r="ET2750" s="4"/>
      <c r="EU2750" s="4"/>
      <c r="EV2750" s="4"/>
      <c r="EW2750" s="4"/>
      <c r="EX2750" s="4"/>
      <c r="EY2750" s="4"/>
      <c r="EZ2750" s="4"/>
      <c r="FA2750" s="4"/>
      <c r="FB2750" s="4"/>
      <c r="FC2750" s="4"/>
      <c r="FD2750" s="4"/>
      <c r="FE2750" s="4"/>
      <c r="FF2750" s="4"/>
      <c r="FG2750" s="4"/>
      <c r="FH2750" s="4"/>
      <c r="FI2750" s="4"/>
      <c r="FJ2750" s="4"/>
      <c r="FK2750" s="4"/>
      <c r="FL2750" s="4"/>
      <c r="FM2750" s="4"/>
      <c r="FN2750" s="4"/>
      <c r="FO2750" s="4"/>
      <c r="FP2750" s="4"/>
      <c r="FQ2750" s="4"/>
      <c r="FR2750" s="4"/>
      <c r="FS2750" s="4"/>
      <c r="FT2750" s="4"/>
      <c r="FU2750" s="4"/>
      <c r="FV2750" s="4"/>
      <c r="FW2750" s="4"/>
      <c r="FX2750" s="4"/>
      <c r="FY2750" s="4"/>
      <c r="FZ2750" s="4"/>
      <c r="GA2750" s="4"/>
      <c r="GB2750" s="4"/>
      <c r="GC2750" s="4"/>
      <c r="GD2750" s="4">
        <v>330</v>
      </c>
      <c r="GE2750" s="4"/>
      <c r="GF2750" s="4"/>
      <c r="GG2750" s="4"/>
      <c r="GH2750" s="4"/>
      <c r="GI2750" s="4"/>
      <c r="GJ2750" s="4"/>
      <c r="GK2750" s="4"/>
      <c r="GL2750" s="4"/>
      <c r="GM2750" s="4"/>
      <c r="GN2750" s="4"/>
      <c r="GO2750" s="4"/>
      <c r="GP2750" s="4"/>
      <c r="GQ2750" s="4"/>
      <c r="GR2750" s="4"/>
      <c r="GS2750" s="4"/>
      <c r="GT2750" s="4"/>
      <c r="GU2750" s="4"/>
      <c r="GV2750" s="4"/>
      <c r="GW2750" s="4"/>
      <c r="GX2750" s="4"/>
      <c r="GY2750" s="4"/>
      <c r="GZ2750" s="4"/>
      <c r="HA2750" s="4">
        <v>200</v>
      </c>
      <c r="HB2750" s="4"/>
      <c r="HC2750" s="4"/>
      <c r="HD2750" s="4"/>
      <c r="HE2750" s="4"/>
      <c r="HF2750" s="4"/>
      <c r="HG2750" s="4"/>
      <c r="HH2750" s="4"/>
      <c r="HI2750" s="4"/>
      <c r="HJ2750" s="4"/>
      <c r="HK2750" s="4"/>
      <c r="HL2750" s="4"/>
    </row>
    <row r="2751">
      <c r="A2751" s="2" t="s">
        <v>11697</v>
      </c>
      <c r="B2751" s="2" t="s">
        <v>287</v>
      </c>
      <c r="C2751" s="2" t="s">
        <v>965</v>
      </c>
      <c r="D2751" s="2" t="s">
        <v>289</v>
      </c>
      <c r="E2751" s="2" t="s">
        <v>290</v>
      </c>
      <c r="F2751" s="2" t="s">
        <v>11668</v>
      </c>
      <c r="G2751" s="2" t="s">
        <v>11668</v>
      </c>
      <c r="H2751" s="2" t="s">
        <v>11668</v>
      </c>
      <c r="I2751" s="2" t="s">
        <v>11669</v>
      </c>
      <c r="J2751" s="2" t="s">
        <v>293</v>
      </c>
      <c r="K2751" s="2" t="s">
        <v>1932</v>
      </c>
      <c r="L2751" s="3">
        <v>28.35</v>
      </c>
      <c r="M2751" s="3">
        <v>29.77</v>
      </c>
      <c r="N2751" s="3">
        <v>62.99</v>
      </c>
      <c r="O2751" s="2" t="s">
        <v>243</v>
      </c>
      <c r="P2751" s="2" t="s">
        <v>295</v>
      </c>
      <c r="Q2751" s="2" t="s">
        <v>237</v>
      </c>
      <c r="R2751" s="2" t="s">
        <v>231</v>
      </c>
      <c r="S2751" s="2" t="s">
        <v>11695</v>
      </c>
      <c r="T2751" s="2" t="s">
        <v>1630</v>
      </c>
      <c r="U2751" s="2" t="s">
        <v>298</v>
      </c>
      <c r="V2751" s="2" t="s">
        <v>239</v>
      </c>
      <c r="W2751" s="2" t="s">
        <v>273</v>
      </c>
      <c r="X2751" s="2" t="s">
        <v>231</v>
      </c>
      <c r="Y2751" s="2" t="s">
        <v>231</v>
      </c>
      <c r="Z2751" s="4"/>
      <c r="AA2751" s="4">
        <f>=ROUNDDOWN({0},0)</f>
      </c>
      <c r="AB2751" s="5"/>
      <c r="AC2751" s="2" t="s">
        <v>1556</v>
      </c>
      <c r="AD2751" s="4">
        <v>1010</v>
      </c>
      <c r="AE2751" s="4">
        <v>1620</v>
      </c>
      <c r="AF2751" s="6">
        <v>65</v>
      </c>
      <c r="AG2751" s="6"/>
      <c r="AH2751" s="7">
        <v>0</v>
      </c>
      <c r="AI2751" s="4"/>
      <c r="AJ2751" s="4">
        <f>=ROUNDDOWN({0},0)</f>
      </c>
      <c r="AK2751" s="5"/>
      <c r="AL2751" s="2" t="s">
        <v>231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231</v>
      </c>
      <c r="AW2751" s="8" t="s">
        <v>231</v>
      </c>
      <c r="AX2751" s="4" t="s">
        <v>231</v>
      </c>
      <c r="AY2751" s="8" t="s">
        <v>231</v>
      </c>
      <c r="AZ2751" s="7" t="s">
        <v>231</v>
      </c>
      <c r="BA2751" s="7" t="s">
        <v>231</v>
      </c>
      <c r="BB2751" s="7"/>
      <c r="BC2751" s="4" t="s">
        <v>231</v>
      </c>
      <c r="BD2751" s="8" t="s">
        <v>231</v>
      </c>
      <c r="BE2751" s="4" t="s">
        <v>231</v>
      </c>
      <c r="BF2751" s="8" t="s">
        <v>231</v>
      </c>
      <c r="BG2751" s="7" t="s">
        <v>231</v>
      </c>
      <c r="BH2751" s="7" t="s">
        <v>231</v>
      </c>
      <c r="BI2751" s="7"/>
      <c r="BJ2751" s="4"/>
      <c r="BK2751" s="8"/>
      <c r="BL2751" s="2" t="s">
        <v>231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241</v>
      </c>
      <c r="BV2751" s="2" t="s">
        <v>231</v>
      </c>
      <c r="BW2751" s="2" t="s">
        <v>231</v>
      </c>
      <c r="BX2751" s="2" t="s">
        <v>241</v>
      </c>
      <c r="BY2751" s="2" t="s">
        <v>242</v>
      </c>
      <c r="BZ2751" s="2" t="s">
        <v>243</v>
      </c>
      <c r="CA2751" s="2" t="s">
        <v>231</v>
      </c>
      <c r="CB2751" s="2" t="s">
        <v>231</v>
      </c>
      <c r="CC2751" s="2" t="s">
        <v>244</v>
      </c>
      <c r="CD2751" s="2" t="s">
        <v>231</v>
      </c>
      <c r="CE2751" s="4"/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4"/>
      <c r="CX2751" s="4"/>
      <c r="CY2751" s="4"/>
      <c r="CZ2751" s="4"/>
      <c r="DA2751" s="4"/>
      <c r="DB2751" s="4"/>
      <c r="DC2751" s="4"/>
      <c r="DD2751" s="4"/>
      <c r="DE2751" s="4"/>
      <c r="DF2751" s="4"/>
      <c r="DG2751" s="4"/>
      <c r="DH2751" s="4"/>
      <c r="DI2751" s="4"/>
      <c r="DJ2751" s="4"/>
      <c r="DK2751" s="4"/>
      <c r="DL2751" s="4"/>
      <c r="DM2751" s="4"/>
      <c r="DN2751" s="4"/>
      <c r="DO2751" s="4"/>
      <c r="DP2751" s="4"/>
      <c r="DQ2751" s="4"/>
      <c r="DR2751" s="4"/>
      <c r="DS2751" s="4"/>
      <c r="DT2751" s="4"/>
      <c r="DU2751" s="4"/>
      <c r="DV2751" s="4"/>
      <c r="DW2751" s="4"/>
      <c r="DX2751" s="4"/>
      <c r="DY2751" s="4"/>
      <c r="DZ2751" s="4"/>
      <c r="EA2751" s="4"/>
      <c r="EB2751" s="4"/>
      <c r="EC2751" s="4"/>
      <c r="ED2751" s="4"/>
      <c r="EE2751" s="4"/>
      <c r="EF2751" s="4"/>
      <c r="EG2751" s="4"/>
      <c r="EH2751" s="4"/>
      <c r="EI2751" s="4"/>
      <c r="EJ2751" s="4"/>
      <c r="EK2751" s="4"/>
      <c r="EL2751" s="4"/>
      <c r="EM2751" s="4"/>
      <c r="EN2751" s="4"/>
      <c r="EO2751" s="4"/>
      <c r="EP2751" s="4"/>
      <c r="EQ2751" s="4"/>
      <c r="ER2751" s="4"/>
      <c r="ES2751" s="4"/>
      <c r="ET2751" s="4"/>
      <c r="EU2751" s="4"/>
      <c r="EV2751" s="4"/>
      <c r="EW2751" s="4"/>
      <c r="EX2751" s="4"/>
      <c r="EY2751" s="4"/>
      <c r="EZ2751" s="4"/>
      <c r="FA2751" s="4"/>
      <c r="FB2751" s="4"/>
      <c r="FC2751" s="4"/>
      <c r="FD2751" s="4"/>
      <c r="FE2751" s="4"/>
      <c r="FF2751" s="4"/>
      <c r="FG2751" s="4"/>
      <c r="FH2751" s="4"/>
      <c r="FI2751" s="4"/>
      <c r="FJ2751" s="4"/>
      <c r="FK2751" s="4"/>
      <c r="FL2751" s="4"/>
      <c r="FM2751" s="4"/>
      <c r="FN2751" s="4"/>
      <c r="FO2751" s="4"/>
      <c r="FP2751" s="4"/>
      <c r="FQ2751" s="4"/>
      <c r="FR2751" s="4"/>
      <c r="FS2751" s="4"/>
      <c r="FT2751" s="4"/>
      <c r="FU2751" s="4"/>
      <c r="FV2751" s="4"/>
      <c r="FW2751" s="4"/>
      <c r="FX2751" s="4"/>
      <c r="FY2751" s="4"/>
      <c r="FZ2751" s="4"/>
      <c r="GA2751" s="4"/>
      <c r="GB2751" s="4"/>
      <c r="GC2751" s="4"/>
      <c r="GD2751" s="4">
        <v>1010</v>
      </c>
      <c r="GE2751" s="4"/>
      <c r="GF2751" s="4"/>
      <c r="GG2751" s="4"/>
      <c r="GH2751" s="4"/>
      <c r="GI2751" s="4"/>
      <c r="GJ2751" s="4"/>
      <c r="GK2751" s="4"/>
      <c r="GL2751" s="4"/>
      <c r="GM2751" s="4"/>
      <c r="GN2751" s="4"/>
      <c r="GO2751" s="4"/>
      <c r="GP2751" s="4"/>
      <c r="GQ2751" s="4"/>
      <c r="GR2751" s="4"/>
      <c r="GS2751" s="4"/>
      <c r="GT2751" s="4"/>
      <c r="GU2751" s="4"/>
      <c r="GV2751" s="4"/>
      <c r="GW2751" s="4"/>
      <c r="GX2751" s="4"/>
      <c r="GY2751" s="4"/>
      <c r="GZ2751" s="4"/>
      <c r="HA2751" s="4">
        <v>610</v>
      </c>
      <c r="HB2751" s="4"/>
      <c r="HC2751" s="4"/>
      <c r="HD2751" s="4"/>
      <c r="HE2751" s="4"/>
      <c r="HF2751" s="4"/>
      <c r="HG2751" s="4"/>
      <c r="HH2751" s="4"/>
      <c r="HI2751" s="4"/>
      <c r="HJ2751" s="4"/>
      <c r="HK2751" s="4"/>
      <c r="HL2751" s="4"/>
    </row>
    <row r="2752">
      <c r="A2752" s="2" t="s">
        <v>11698</v>
      </c>
      <c r="B2752" s="2" t="s">
        <v>287</v>
      </c>
      <c r="C2752" s="2" t="s">
        <v>965</v>
      </c>
      <c r="D2752" s="2" t="s">
        <v>289</v>
      </c>
      <c r="E2752" s="2" t="s">
        <v>290</v>
      </c>
      <c r="F2752" s="2" t="s">
        <v>11668</v>
      </c>
      <c r="G2752" s="2" t="s">
        <v>11668</v>
      </c>
      <c r="H2752" s="2" t="s">
        <v>11668</v>
      </c>
      <c r="I2752" s="2" t="s">
        <v>11669</v>
      </c>
      <c r="J2752" s="2" t="s">
        <v>302</v>
      </c>
      <c r="K2752" s="2" t="s">
        <v>1932</v>
      </c>
      <c r="L2752" s="3">
        <v>34.5</v>
      </c>
      <c r="M2752" s="3">
        <v>36.23</v>
      </c>
      <c r="N2752" s="3">
        <v>74.99</v>
      </c>
      <c r="O2752" s="2" t="s">
        <v>243</v>
      </c>
      <c r="P2752" s="2" t="s">
        <v>295</v>
      </c>
      <c r="Q2752" s="2" t="s">
        <v>237</v>
      </c>
      <c r="R2752" s="2" t="s">
        <v>231</v>
      </c>
      <c r="S2752" s="2" t="s">
        <v>11695</v>
      </c>
      <c r="T2752" s="2" t="s">
        <v>1630</v>
      </c>
      <c r="U2752" s="2" t="s">
        <v>298</v>
      </c>
      <c r="V2752" s="2" t="s">
        <v>239</v>
      </c>
      <c r="W2752" s="2" t="s">
        <v>273</v>
      </c>
      <c r="X2752" s="2" t="s">
        <v>231</v>
      </c>
      <c r="Y2752" s="2" t="s">
        <v>231</v>
      </c>
      <c r="Z2752" s="4"/>
      <c r="AA2752" s="4">
        <f>=ROUNDDOWN({0},0)</f>
      </c>
      <c r="AB2752" s="5"/>
      <c r="AC2752" s="2" t="s">
        <v>1556</v>
      </c>
      <c r="AD2752" s="4">
        <v>500</v>
      </c>
      <c r="AE2752" s="4">
        <v>800</v>
      </c>
      <c r="AF2752" s="6">
        <v>65</v>
      </c>
      <c r="AG2752" s="6"/>
      <c r="AH2752" s="7">
        <v>0</v>
      </c>
      <c r="AI2752" s="4"/>
      <c r="AJ2752" s="4">
        <f>=ROUNDDOWN({0},0)</f>
      </c>
      <c r="AK2752" s="5"/>
      <c r="AL2752" s="2" t="s">
        <v>231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231</v>
      </c>
      <c r="AW2752" s="8" t="s">
        <v>231</v>
      </c>
      <c r="AX2752" s="4" t="s">
        <v>231</v>
      </c>
      <c r="AY2752" s="8" t="s">
        <v>231</v>
      </c>
      <c r="AZ2752" s="7" t="s">
        <v>231</v>
      </c>
      <c r="BA2752" s="7" t="s">
        <v>231</v>
      </c>
      <c r="BB2752" s="7"/>
      <c r="BC2752" s="4" t="s">
        <v>231</v>
      </c>
      <c r="BD2752" s="8" t="s">
        <v>231</v>
      </c>
      <c r="BE2752" s="4" t="s">
        <v>231</v>
      </c>
      <c r="BF2752" s="8" t="s">
        <v>231</v>
      </c>
      <c r="BG2752" s="7" t="s">
        <v>231</v>
      </c>
      <c r="BH2752" s="7" t="s">
        <v>231</v>
      </c>
      <c r="BI2752" s="7"/>
      <c r="BJ2752" s="4"/>
      <c r="BK2752" s="8"/>
      <c r="BL2752" s="2" t="s">
        <v>231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241</v>
      </c>
      <c r="BV2752" s="2" t="s">
        <v>231</v>
      </c>
      <c r="BW2752" s="2" t="s">
        <v>231</v>
      </c>
      <c r="BX2752" s="2" t="s">
        <v>241</v>
      </c>
      <c r="BY2752" s="2" t="s">
        <v>242</v>
      </c>
      <c r="BZ2752" s="2" t="s">
        <v>243</v>
      </c>
      <c r="CA2752" s="2" t="s">
        <v>231</v>
      </c>
      <c r="CB2752" s="2" t="s">
        <v>231</v>
      </c>
      <c r="CC2752" s="2" t="s">
        <v>244</v>
      </c>
      <c r="CD2752" s="2" t="s">
        <v>231</v>
      </c>
      <c r="CE2752" s="4"/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4"/>
      <c r="CX2752" s="4"/>
      <c r="CY2752" s="4"/>
      <c r="CZ2752" s="4"/>
      <c r="DA2752" s="4"/>
      <c r="DB2752" s="4"/>
      <c r="DC2752" s="4"/>
      <c r="DD2752" s="4"/>
      <c r="DE2752" s="4"/>
      <c r="DF2752" s="4"/>
      <c r="DG2752" s="4"/>
      <c r="DH2752" s="4"/>
      <c r="DI2752" s="4"/>
      <c r="DJ2752" s="4"/>
      <c r="DK2752" s="4"/>
      <c r="DL2752" s="4"/>
      <c r="DM2752" s="4"/>
      <c r="DN2752" s="4"/>
      <c r="DO2752" s="4"/>
      <c r="DP2752" s="4"/>
      <c r="DQ2752" s="4"/>
      <c r="DR2752" s="4"/>
      <c r="DS2752" s="4"/>
      <c r="DT2752" s="4"/>
      <c r="DU2752" s="4"/>
      <c r="DV2752" s="4"/>
      <c r="DW2752" s="4"/>
      <c r="DX2752" s="4"/>
      <c r="DY2752" s="4"/>
      <c r="DZ2752" s="4"/>
      <c r="EA2752" s="4"/>
      <c r="EB2752" s="4"/>
      <c r="EC2752" s="4"/>
      <c r="ED2752" s="4"/>
      <c r="EE2752" s="4"/>
      <c r="EF2752" s="4"/>
      <c r="EG2752" s="4"/>
      <c r="EH2752" s="4"/>
      <c r="EI2752" s="4"/>
      <c r="EJ2752" s="4"/>
      <c r="EK2752" s="4"/>
      <c r="EL2752" s="4"/>
      <c r="EM2752" s="4"/>
      <c r="EN2752" s="4"/>
      <c r="EO2752" s="4"/>
      <c r="EP2752" s="4"/>
      <c r="EQ2752" s="4"/>
      <c r="ER2752" s="4"/>
      <c r="ES2752" s="4"/>
      <c r="ET2752" s="4"/>
      <c r="EU2752" s="4"/>
      <c r="EV2752" s="4"/>
      <c r="EW2752" s="4"/>
      <c r="EX2752" s="4"/>
      <c r="EY2752" s="4"/>
      <c r="EZ2752" s="4"/>
      <c r="FA2752" s="4"/>
      <c r="FB2752" s="4"/>
      <c r="FC2752" s="4"/>
      <c r="FD2752" s="4"/>
      <c r="FE2752" s="4"/>
      <c r="FF2752" s="4"/>
      <c r="FG2752" s="4"/>
      <c r="FH2752" s="4"/>
      <c r="FI2752" s="4"/>
      <c r="FJ2752" s="4"/>
      <c r="FK2752" s="4"/>
      <c r="FL2752" s="4"/>
      <c r="FM2752" s="4"/>
      <c r="FN2752" s="4"/>
      <c r="FO2752" s="4"/>
      <c r="FP2752" s="4"/>
      <c r="FQ2752" s="4"/>
      <c r="FR2752" s="4"/>
      <c r="FS2752" s="4"/>
      <c r="FT2752" s="4"/>
      <c r="FU2752" s="4"/>
      <c r="FV2752" s="4"/>
      <c r="FW2752" s="4"/>
      <c r="FX2752" s="4"/>
      <c r="FY2752" s="4"/>
      <c r="FZ2752" s="4"/>
      <c r="GA2752" s="4"/>
      <c r="GB2752" s="4"/>
      <c r="GC2752" s="4"/>
      <c r="GD2752" s="4">
        <v>500</v>
      </c>
      <c r="GE2752" s="4"/>
      <c r="GF2752" s="4"/>
      <c r="GG2752" s="4"/>
      <c r="GH2752" s="4"/>
      <c r="GI2752" s="4"/>
      <c r="GJ2752" s="4"/>
      <c r="GK2752" s="4"/>
      <c r="GL2752" s="4"/>
      <c r="GM2752" s="4"/>
      <c r="GN2752" s="4"/>
      <c r="GO2752" s="4"/>
      <c r="GP2752" s="4"/>
      <c r="GQ2752" s="4"/>
      <c r="GR2752" s="4"/>
      <c r="GS2752" s="4"/>
      <c r="GT2752" s="4"/>
      <c r="GU2752" s="4"/>
      <c r="GV2752" s="4"/>
      <c r="GW2752" s="4"/>
      <c r="GX2752" s="4"/>
      <c r="GY2752" s="4"/>
      <c r="GZ2752" s="4"/>
      <c r="HA2752" s="4">
        <v>300</v>
      </c>
      <c r="HB2752" s="4"/>
      <c r="HC2752" s="4"/>
      <c r="HD2752" s="4"/>
      <c r="HE2752" s="4"/>
      <c r="HF2752" s="4"/>
      <c r="HG2752" s="4"/>
      <c r="HH2752" s="4"/>
      <c r="HI2752" s="4"/>
      <c r="HJ2752" s="4"/>
      <c r="HK2752" s="4"/>
      <c r="HL2752" s="4"/>
    </row>
    <row r="2753">
      <c r="A2753" s="2" t="s">
        <v>11699</v>
      </c>
      <c r="B2753" s="2" t="s">
        <v>287</v>
      </c>
      <c r="C2753" s="2" t="s">
        <v>965</v>
      </c>
      <c r="D2753" s="2" t="s">
        <v>289</v>
      </c>
      <c r="E2753" s="2" t="s">
        <v>290</v>
      </c>
      <c r="F2753" s="2" t="s">
        <v>11668</v>
      </c>
      <c r="G2753" s="2" t="s">
        <v>11668</v>
      </c>
      <c r="H2753" s="2" t="s">
        <v>11668</v>
      </c>
      <c r="I2753" s="2" t="s">
        <v>11669</v>
      </c>
      <c r="J2753" s="2" t="s">
        <v>318</v>
      </c>
      <c r="K2753" s="2" t="s">
        <v>1491</v>
      </c>
      <c r="L2753" s="3">
        <v>19.78</v>
      </c>
      <c r="M2753" s="3">
        <v>20.77</v>
      </c>
      <c r="N2753" s="3">
        <v>42.99</v>
      </c>
      <c r="O2753" s="2" t="s">
        <v>243</v>
      </c>
      <c r="P2753" s="2" t="s">
        <v>270</v>
      </c>
      <c r="Q2753" s="2" t="s">
        <v>237</v>
      </c>
      <c r="R2753" s="2" t="s">
        <v>231</v>
      </c>
      <c r="S2753" s="2" t="s">
        <v>11700</v>
      </c>
      <c r="T2753" s="2" t="s">
        <v>1630</v>
      </c>
      <c r="U2753" s="2" t="s">
        <v>835</v>
      </c>
      <c r="V2753" s="2" t="s">
        <v>239</v>
      </c>
      <c r="W2753" s="2" t="s">
        <v>273</v>
      </c>
      <c r="X2753" s="2" t="s">
        <v>231</v>
      </c>
      <c r="Y2753" s="2" t="s">
        <v>274</v>
      </c>
      <c r="Z2753" s="4">
        <v>114</v>
      </c>
      <c r="AA2753" s="4">
        <f>=ROUNDDOWN(16.2857142857143,0)</f>
      </c>
      <c r="AB2753" s="5">
        <v>7</v>
      </c>
      <c r="AC2753" s="2" t="s">
        <v>1664</v>
      </c>
      <c r="AD2753" s="4">
        <v>120</v>
      </c>
      <c r="AE2753" s="4">
        <v>170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231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231</v>
      </c>
      <c r="AW2753" s="8" t="s">
        <v>231</v>
      </c>
      <c r="AX2753" s="4" t="s">
        <v>231</v>
      </c>
      <c r="AY2753" s="8" t="s">
        <v>231</v>
      </c>
      <c r="AZ2753" s="7" t="s">
        <v>231</v>
      </c>
      <c r="BA2753" s="7" t="s">
        <v>231</v>
      </c>
      <c r="BB2753" s="7"/>
      <c r="BC2753" s="4" t="s">
        <v>231</v>
      </c>
      <c r="BD2753" s="8" t="s">
        <v>231</v>
      </c>
      <c r="BE2753" s="4" t="s">
        <v>231</v>
      </c>
      <c r="BF2753" s="8" t="s">
        <v>231</v>
      </c>
      <c r="BG2753" s="7" t="s">
        <v>231</v>
      </c>
      <c r="BH2753" s="7" t="s">
        <v>231</v>
      </c>
      <c r="BI2753" s="7"/>
      <c r="BJ2753" s="4">
        <v>5</v>
      </c>
      <c r="BK2753" s="8">
        <v>108.57</v>
      </c>
      <c r="BL2753" s="2" t="s">
        <v>5674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11701</v>
      </c>
      <c r="BV2753" s="2" t="s">
        <v>231</v>
      </c>
      <c r="BW2753" s="2" t="s">
        <v>231</v>
      </c>
      <c r="BX2753" s="2" t="s">
        <v>241</v>
      </c>
      <c r="BY2753" s="2" t="s">
        <v>277</v>
      </c>
      <c r="BZ2753" s="2" t="s">
        <v>243</v>
      </c>
      <c r="CA2753" s="2" t="s">
        <v>284</v>
      </c>
      <c r="CB2753" s="2" t="s">
        <v>541</v>
      </c>
      <c r="CC2753" s="2" t="s">
        <v>244</v>
      </c>
      <c r="CD2753" s="2" t="s">
        <v>231</v>
      </c>
      <c r="CE2753" s="4">
        <v>114</v>
      </c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4"/>
      <c r="CX2753" s="4"/>
      <c r="CY2753" s="4"/>
      <c r="CZ2753" s="4"/>
      <c r="DA2753" s="4"/>
      <c r="DB2753" s="4"/>
      <c r="DC2753" s="4"/>
      <c r="DD2753" s="4"/>
      <c r="DE2753" s="4"/>
      <c r="DF2753" s="4"/>
      <c r="DG2753" s="4"/>
      <c r="DH2753" s="4"/>
      <c r="DI2753" s="4"/>
      <c r="DJ2753" s="4"/>
      <c r="DK2753" s="4"/>
      <c r="DL2753" s="4"/>
      <c r="DM2753" s="4"/>
      <c r="DN2753" s="4"/>
      <c r="DO2753" s="4"/>
      <c r="DP2753" s="4"/>
      <c r="DQ2753" s="4"/>
      <c r="DR2753" s="4"/>
      <c r="DS2753" s="4"/>
      <c r="DT2753" s="4"/>
      <c r="DU2753" s="4"/>
      <c r="DV2753" s="4"/>
      <c r="DW2753" s="4"/>
      <c r="DX2753" s="4"/>
      <c r="DY2753" s="4"/>
      <c r="DZ2753" s="4"/>
      <c r="EA2753" s="4"/>
      <c r="EB2753" s="4"/>
      <c r="EC2753" s="4"/>
      <c r="ED2753" s="4"/>
      <c r="EE2753" s="4"/>
      <c r="EF2753" s="4"/>
      <c r="EG2753" s="4"/>
      <c r="EH2753" s="4"/>
      <c r="EI2753" s="4"/>
      <c r="EJ2753" s="4"/>
      <c r="EK2753" s="4"/>
      <c r="EL2753" s="4"/>
      <c r="EM2753" s="4"/>
      <c r="EN2753" s="4"/>
      <c r="EO2753" s="4"/>
      <c r="EP2753" s="4"/>
      <c r="EQ2753" s="4"/>
      <c r="ER2753" s="4"/>
      <c r="ES2753" s="4"/>
      <c r="ET2753" s="4"/>
      <c r="EU2753" s="4"/>
      <c r="EV2753" s="4"/>
      <c r="EW2753" s="4"/>
      <c r="EX2753" s="4"/>
      <c r="EY2753" s="4"/>
      <c r="EZ2753" s="4"/>
      <c r="FA2753" s="4"/>
      <c r="FB2753" s="4"/>
      <c r="FC2753" s="4"/>
      <c r="FD2753" s="4"/>
      <c r="FE2753" s="4"/>
      <c r="FF2753" s="4"/>
      <c r="FG2753" s="4"/>
      <c r="FH2753" s="4"/>
      <c r="FI2753" s="4"/>
      <c r="FJ2753" s="4"/>
      <c r="FK2753" s="4"/>
      <c r="FL2753" s="4"/>
      <c r="FM2753" s="4"/>
      <c r="FN2753" s="4"/>
      <c r="FO2753" s="4"/>
      <c r="FP2753" s="4"/>
      <c r="FQ2753" s="4"/>
      <c r="FR2753" s="4"/>
      <c r="FS2753" s="4"/>
      <c r="FT2753" s="4"/>
      <c r="FU2753" s="4"/>
      <c r="FV2753" s="4">
        <v>120</v>
      </c>
      <c r="FW2753" s="4"/>
      <c r="FX2753" s="4"/>
      <c r="FY2753" s="4"/>
      <c r="FZ2753" s="4"/>
      <c r="GA2753" s="4"/>
      <c r="GB2753" s="4"/>
      <c r="GC2753" s="4"/>
      <c r="GD2753" s="4"/>
      <c r="GE2753" s="4"/>
      <c r="GF2753" s="4"/>
      <c r="GG2753" s="4"/>
      <c r="GH2753" s="4"/>
      <c r="GI2753" s="4"/>
      <c r="GJ2753" s="4"/>
      <c r="GK2753" s="4"/>
      <c r="GL2753" s="4"/>
      <c r="GM2753" s="4"/>
      <c r="GN2753" s="4"/>
      <c r="GO2753" s="4"/>
      <c r="GP2753" s="4"/>
      <c r="GQ2753" s="4">
        <v>50</v>
      </c>
      <c r="GR2753" s="4"/>
      <c r="GS2753" s="4"/>
      <c r="GT2753" s="4"/>
      <c r="GU2753" s="4"/>
      <c r="GV2753" s="4"/>
      <c r="GW2753" s="4"/>
      <c r="GX2753" s="4"/>
      <c r="GY2753" s="4"/>
      <c r="GZ2753" s="4"/>
      <c r="HA2753" s="4"/>
      <c r="HB2753" s="4"/>
      <c r="HC2753" s="4"/>
      <c r="HD2753" s="4"/>
      <c r="HE2753" s="4"/>
      <c r="HF2753" s="4"/>
      <c r="HG2753" s="4"/>
      <c r="HH2753" s="4"/>
      <c r="HI2753" s="4"/>
      <c r="HJ2753" s="4"/>
      <c r="HK2753" s="4"/>
      <c r="HL2753" s="4"/>
    </row>
    <row r="2754">
      <c r="A2754" s="2" t="s">
        <v>11702</v>
      </c>
      <c r="B2754" s="2" t="s">
        <v>287</v>
      </c>
      <c r="C2754" s="2" t="s">
        <v>965</v>
      </c>
      <c r="D2754" s="2" t="s">
        <v>289</v>
      </c>
      <c r="E2754" s="2" t="s">
        <v>290</v>
      </c>
      <c r="F2754" s="2" t="s">
        <v>11668</v>
      </c>
      <c r="G2754" s="2" t="s">
        <v>11668</v>
      </c>
      <c r="H2754" s="2" t="s">
        <v>11668</v>
      </c>
      <c r="I2754" s="2" t="s">
        <v>11669</v>
      </c>
      <c r="J2754" s="2" t="s">
        <v>281</v>
      </c>
      <c r="K2754" s="2" t="s">
        <v>1491</v>
      </c>
      <c r="L2754" s="3">
        <v>25.3</v>
      </c>
      <c r="M2754" s="3">
        <v>26.56</v>
      </c>
      <c r="N2754" s="3">
        <v>54.99</v>
      </c>
      <c r="O2754" s="2" t="s">
        <v>243</v>
      </c>
      <c r="P2754" s="2" t="s">
        <v>270</v>
      </c>
      <c r="Q2754" s="2" t="s">
        <v>237</v>
      </c>
      <c r="R2754" s="2" t="s">
        <v>231</v>
      </c>
      <c r="S2754" s="2" t="s">
        <v>11700</v>
      </c>
      <c r="T2754" s="2" t="s">
        <v>1630</v>
      </c>
      <c r="U2754" s="2" t="s">
        <v>298</v>
      </c>
      <c r="V2754" s="2" t="s">
        <v>239</v>
      </c>
      <c r="W2754" s="2" t="s">
        <v>273</v>
      </c>
      <c r="X2754" s="2" t="s">
        <v>231</v>
      </c>
      <c r="Y2754" s="2" t="s">
        <v>274</v>
      </c>
      <c r="Z2754" s="4"/>
      <c r="AA2754" s="4">
        <f>=ROUNDDOWN({0},0)</f>
      </c>
      <c r="AB2754" s="5">
        <v>13</v>
      </c>
      <c r="AC2754" s="2" t="s">
        <v>911</v>
      </c>
      <c r="AD2754" s="4">
        <v>100</v>
      </c>
      <c r="AE2754" s="4">
        <v>420</v>
      </c>
      <c r="AF2754" s="6">
        <v>65</v>
      </c>
      <c r="AG2754" s="6"/>
      <c r="AH2754" s="7">
        <v>0</v>
      </c>
      <c r="AI2754" s="4"/>
      <c r="AJ2754" s="4">
        <f>=ROUNDDOWN({0},0)</f>
      </c>
      <c r="AK2754" s="5"/>
      <c r="AL2754" s="2" t="s">
        <v>231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231</v>
      </c>
      <c r="AW2754" s="8" t="s">
        <v>231</v>
      </c>
      <c r="AX2754" s="4" t="s">
        <v>231</v>
      </c>
      <c r="AY2754" s="8" t="s">
        <v>231</v>
      </c>
      <c r="AZ2754" s="7" t="s">
        <v>231</v>
      </c>
      <c r="BA2754" s="7" t="s">
        <v>231</v>
      </c>
      <c r="BB2754" s="7"/>
      <c r="BC2754" s="4" t="s">
        <v>231</v>
      </c>
      <c r="BD2754" s="8" t="s">
        <v>231</v>
      </c>
      <c r="BE2754" s="4" t="s">
        <v>231</v>
      </c>
      <c r="BF2754" s="8" t="s">
        <v>231</v>
      </c>
      <c r="BG2754" s="7" t="s">
        <v>231</v>
      </c>
      <c r="BH2754" s="7" t="s">
        <v>231</v>
      </c>
      <c r="BI2754" s="7"/>
      <c r="BJ2754" s="4"/>
      <c r="BK2754" s="8"/>
      <c r="BL2754" s="2" t="s">
        <v>231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11703</v>
      </c>
      <c r="BV2754" s="2" t="s">
        <v>231</v>
      </c>
      <c r="BW2754" s="2" t="s">
        <v>231</v>
      </c>
      <c r="BX2754" s="2" t="s">
        <v>241</v>
      </c>
      <c r="BY2754" s="2" t="s">
        <v>277</v>
      </c>
      <c r="BZ2754" s="2" t="s">
        <v>243</v>
      </c>
      <c r="CA2754" s="2" t="s">
        <v>1633</v>
      </c>
      <c r="CB2754" s="2" t="s">
        <v>617</v>
      </c>
      <c r="CC2754" s="2" t="s">
        <v>244</v>
      </c>
      <c r="CD2754" s="2" t="s">
        <v>231</v>
      </c>
      <c r="CE2754" s="4"/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4"/>
      <c r="CX2754" s="4"/>
      <c r="CY2754" s="4"/>
      <c r="CZ2754" s="4"/>
      <c r="DA2754" s="4"/>
      <c r="DB2754" s="4"/>
      <c r="DC2754" s="4"/>
      <c r="DD2754" s="4"/>
      <c r="DE2754" s="4"/>
      <c r="DF2754" s="4"/>
      <c r="DG2754" s="4"/>
      <c r="DH2754" s="4"/>
      <c r="DI2754" s="4"/>
      <c r="DJ2754" s="4"/>
      <c r="DK2754" s="4"/>
      <c r="DL2754" s="4"/>
      <c r="DM2754" s="4"/>
      <c r="DN2754" s="4"/>
      <c r="DO2754" s="4"/>
      <c r="DP2754" s="4"/>
      <c r="DQ2754" s="4"/>
      <c r="DR2754" s="4"/>
      <c r="DS2754" s="4"/>
      <c r="DT2754" s="4"/>
      <c r="DU2754" s="4"/>
      <c r="DV2754" s="4"/>
      <c r="DW2754" s="4"/>
      <c r="DX2754" s="4"/>
      <c r="DY2754" s="4">
        <v>100</v>
      </c>
      <c r="DZ2754" s="4"/>
      <c r="EA2754" s="4"/>
      <c r="EB2754" s="4"/>
      <c r="EC2754" s="4"/>
      <c r="ED2754" s="4"/>
      <c r="EE2754" s="4"/>
      <c r="EF2754" s="4"/>
      <c r="EG2754" s="4"/>
      <c r="EH2754" s="4"/>
      <c r="EI2754" s="4"/>
      <c r="EJ2754" s="4"/>
      <c r="EK2754" s="4"/>
      <c r="EL2754" s="4"/>
      <c r="EM2754" s="4"/>
      <c r="EN2754" s="4"/>
      <c r="EO2754" s="4"/>
      <c r="EP2754" s="4"/>
      <c r="EQ2754" s="4"/>
      <c r="ER2754" s="4"/>
      <c r="ES2754" s="4"/>
      <c r="ET2754" s="4"/>
      <c r="EU2754" s="4"/>
      <c r="EV2754" s="4"/>
      <c r="EW2754" s="4"/>
      <c r="EX2754" s="4"/>
      <c r="EY2754" s="4"/>
      <c r="EZ2754" s="4"/>
      <c r="FA2754" s="4"/>
      <c r="FB2754" s="4"/>
      <c r="FC2754" s="4"/>
      <c r="FD2754" s="4"/>
      <c r="FE2754" s="4"/>
      <c r="FF2754" s="4"/>
      <c r="FG2754" s="4"/>
      <c r="FH2754" s="4"/>
      <c r="FI2754" s="4"/>
      <c r="FJ2754" s="4"/>
      <c r="FK2754" s="4"/>
      <c r="FL2754" s="4"/>
      <c r="FM2754" s="4"/>
      <c r="FN2754" s="4"/>
      <c r="FO2754" s="4"/>
      <c r="FP2754" s="4"/>
      <c r="FQ2754" s="4"/>
      <c r="FR2754" s="4"/>
      <c r="FS2754" s="4"/>
      <c r="FT2754" s="4"/>
      <c r="FU2754" s="4"/>
      <c r="FV2754" s="4">
        <v>230</v>
      </c>
      <c r="FW2754" s="4"/>
      <c r="FX2754" s="4"/>
      <c r="FY2754" s="4"/>
      <c r="FZ2754" s="4"/>
      <c r="GA2754" s="4"/>
      <c r="GB2754" s="4"/>
      <c r="GC2754" s="4"/>
      <c r="GD2754" s="4"/>
      <c r="GE2754" s="4"/>
      <c r="GF2754" s="4"/>
      <c r="GG2754" s="4"/>
      <c r="GH2754" s="4"/>
      <c r="GI2754" s="4"/>
      <c r="GJ2754" s="4"/>
      <c r="GK2754" s="4"/>
      <c r="GL2754" s="4"/>
      <c r="GM2754" s="4"/>
      <c r="GN2754" s="4"/>
      <c r="GO2754" s="4"/>
      <c r="GP2754" s="4"/>
      <c r="GQ2754" s="4">
        <v>90</v>
      </c>
      <c r="GR2754" s="4"/>
      <c r="GS2754" s="4"/>
      <c r="GT2754" s="4"/>
      <c r="GU2754" s="4"/>
      <c r="GV2754" s="4"/>
      <c r="GW2754" s="4"/>
      <c r="GX2754" s="4"/>
      <c r="GY2754" s="4"/>
      <c r="GZ2754" s="4"/>
      <c r="HA2754" s="4"/>
      <c r="HB2754" s="4"/>
      <c r="HC2754" s="4"/>
      <c r="HD2754" s="4"/>
      <c r="HE2754" s="4"/>
      <c r="HF2754" s="4"/>
      <c r="HG2754" s="4"/>
      <c r="HH2754" s="4"/>
      <c r="HI2754" s="4"/>
      <c r="HJ2754" s="4"/>
      <c r="HK2754" s="4"/>
      <c r="HL2754" s="4"/>
    </row>
    <row r="2755">
      <c r="A2755" s="2" t="s">
        <v>11704</v>
      </c>
      <c r="B2755" s="2" t="s">
        <v>287</v>
      </c>
      <c r="C2755" s="2" t="s">
        <v>965</v>
      </c>
      <c r="D2755" s="2" t="s">
        <v>289</v>
      </c>
      <c r="E2755" s="2" t="s">
        <v>290</v>
      </c>
      <c r="F2755" s="2" t="s">
        <v>11668</v>
      </c>
      <c r="G2755" s="2" t="s">
        <v>11668</v>
      </c>
      <c r="H2755" s="2" t="s">
        <v>11668</v>
      </c>
      <c r="I2755" s="2" t="s">
        <v>11669</v>
      </c>
      <c r="J2755" s="2" t="s">
        <v>293</v>
      </c>
      <c r="K2755" s="2" t="s">
        <v>1491</v>
      </c>
      <c r="L2755" s="3">
        <v>28.35</v>
      </c>
      <c r="M2755" s="3">
        <v>29.77</v>
      </c>
      <c r="N2755" s="3">
        <v>62.99</v>
      </c>
      <c r="O2755" s="2" t="s">
        <v>243</v>
      </c>
      <c r="P2755" s="2" t="s">
        <v>1332</v>
      </c>
      <c r="Q2755" s="2" t="s">
        <v>237</v>
      </c>
      <c r="R2755" s="2" t="s">
        <v>231</v>
      </c>
      <c r="S2755" s="2" t="s">
        <v>11700</v>
      </c>
      <c r="T2755" s="2" t="s">
        <v>1630</v>
      </c>
      <c r="U2755" s="2" t="s">
        <v>298</v>
      </c>
      <c r="V2755" s="2" t="s">
        <v>239</v>
      </c>
      <c r="W2755" s="2" t="s">
        <v>273</v>
      </c>
      <c r="X2755" s="2" t="s">
        <v>231</v>
      </c>
      <c r="Y2755" s="2" t="s">
        <v>274</v>
      </c>
      <c r="Z2755" s="4"/>
      <c r="AA2755" s="4">
        <f>=ROUNDDOWN({0},0)</f>
      </c>
      <c r="AB2755" s="5">
        <v>33</v>
      </c>
      <c r="AC2755" s="2" t="s">
        <v>911</v>
      </c>
      <c r="AD2755" s="4">
        <v>280</v>
      </c>
      <c r="AE2755" s="4">
        <v>1140</v>
      </c>
      <c r="AF2755" s="6">
        <v>65</v>
      </c>
      <c r="AG2755" s="6"/>
      <c r="AH2755" s="7">
        <v>0</v>
      </c>
      <c r="AI2755" s="4"/>
      <c r="AJ2755" s="4">
        <f>=ROUNDDOWN({0},0)</f>
      </c>
      <c r="AK2755" s="5"/>
      <c r="AL2755" s="2" t="s">
        <v>231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231</v>
      </c>
      <c r="AW2755" s="8" t="s">
        <v>231</v>
      </c>
      <c r="AX2755" s="4" t="s">
        <v>231</v>
      </c>
      <c r="AY2755" s="8" t="s">
        <v>231</v>
      </c>
      <c r="AZ2755" s="7" t="s">
        <v>231</v>
      </c>
      <c r="BA2755" s="7" t="s">
        <v>231</v>
      </c>
      <c r="BB2755" s="7"/>
      <c r="BC2755" s="4" t="s">
        <v>231</v>
      </c>
      <c r="BD2755" s="8" t="s">
        <v>231</v>
      </c>
      <c r="BE2755" s="4" t="s">
        <v>231</v>
      </c>
      <c r="BF2755" s="8" t="s">
        <v>231</v>
      </c>
      <c r="BG2755" s="7" t="s">
        <v>231</v>
      </c>
      <c r="BH2755" s="7" t="s">
        <v>231</v>
      </c>
      <c r="BI2755" s="7"/>
      <c r="BJ2755" s="4"/>
      <c r="BK2755" s="8"/>
      <c r="BL2755" s="2" t="s">
        <v>231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11705</v>
      </c>
      <c r="BV2755" s="2" t="s">
        <v>231</v>
      </c>
      <c r="BW2755" s="2" t="s">
        <v>231</v>
      </c>
      <c r="BX2755" s="2" t="s">
        <v>241</v>
      </c>
      <c r="BY2755" s="2" t="s">
        <v>277</v>
      </c>
      <c r="BZ2755" s="2" t="s">
        <v>243</v>
      </c>
      <c r="CA2755" s="2" t="s">
        <v>1633</v>
      </c>
      <c r="CB2755" s="2" t="s">
        <v>617</v>
      </c>
      <c r="CC2755" s="2" t="s">
        <v>244</v>
      </c>
      <c r="CD2755" s="2" t="s">
        <v>231</v>
      </c>
      <c r="CE2755" s="4"/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4"/>
      <c r="CX2755" s="4"/>
      <c r="CY2755" s="4"/>
      <c r="CZ2755" s="4"/>
      <c r="DA2755" s="4"/>
      <c r="DB2755" s="4"/>
      <c r="DC2755" s="4"/>
      <c r="DD2755" s="4"/>
      <c r="DE2755" s="4"/>
      <c r="DF2755" s="4"/>
      <c r="DG2755" s="4"/>
      <c r="DH2755" s="4"/>
      <c r="DI2755" s="4"/>
      <c r="DJ2755" s="4"/>
      <c r="DK2755" s="4"/>
      <c r="DL2755" s="4"/>
      <c r="DM2755" s="4"/>
      <c r="DN2755" s="4"/>
      <c r="DO2755" s="4"/>
      <c r="DP2755" s="4"/>
      <c r="DQ2755" s="4"/>
      <c r="DR2755" s="4"/>
      <c r="DS2755" s="4"/>
      <c r="DT2755" s="4"/>
      <c r="DU2755" s="4"/>
      <c r="DV2755" s="4"/>
      <c r="DW2755" s="4"/>
      <c r="DX2755" s="4"/>
      <c r="DY2755" s="4">
        <v>280</v>
      </c>
      <c r="DZ2755" s="4"/>
      <c r="EA2755" s="4"/>
      <c r="EB2755" s="4"/>
      <c r="EC2755" s="4"/>
      <c r="ED2755" s="4"/>
      <c r="EE2755" s="4"/>
      <c r="EF2755" s="4"/>
      <c r="EG2755" s="4"/>
      <c r="EH2755" s="4"/>
      <c r="EI2755" s="4"/>
      <c r="EJ2755" s="4"/>
      <c r="EK2755" s="4"/>
      <c r="EL2755" s="4"/>
      <c r="EM2755" s="4"/>
      <c r="EN2755" s="4"/>
      <c r="EO2755" s="4"/>
      <c r="EP2755" s="4"/>
      <c r="EQ2755" s="4"/>
      <c r="ER2755" s="4"/>
      <c r="ES2755" s="4"/>
      <c r="ET2755" s="4"/>
      <c r="EU2755" s="4"/>
      <c r="EV2755" s="4"/>
      <c r="EW2755" s="4"/>
      <c r="EX2755" s="4"/>
      <c r="EY2755" s="4"/>
      <c r="EZ2755" s="4"/>
      <c r="FA2755" s="4"/>
      <c r="FB2755" s="4"/>
      <c r="FC2755" s="4"/>
      <c r="FD2755" s="4"/>
      <c r="FE2755" s="4"/>
      <c r="FF2755" s="4"/>
      <c r="FG2755" s="4"/>
      <c r="FH2755" s="4"/>
      <c r="FI2755" s="4"/>
      <c r="FJ2755" s="4"/>
      <c r="FK2755" s="4"/>
      <c r="FL2755" s="4"/>
      <c r="FM2755" s="4"/>
      <c r="FN2755" s="4"/>
      <c r="FO2755" s="4"/>
      <c r="FP2755" s="4"/>
      <c r="FQ2755" s="4"/>
      <c r="FR2755" s="4"/>
      <c r="FS2755" s="4"/>
      <c r="FT2755" s="4"/>
      <c r="FU2755" s="4"/>
      <c r="FV2755" s="4">
        <v>600</v>
      </c>
      <c r="FW2755" s="4"/>
      <c r="FX2755" s="4"/>
      <c r="FY2755" s="4"/>
      <c r="FZ2755" s="4"/>
      <c r="GA2755" s="4"/>
      <c r="GB2755" s="4"/>
      <c r="GC2755" s="4"/>
      <c r="GD2755" s="4"/>
      <c r="GE2755" s="4"/>
      <c r="GF2755" s="4"/>
      <c r="GG2755" s="4"/>
      <c r="GH2755" s="4"/>
      <c r="GI2755" s="4"/>
      <c r="GJ2755" s="4"/>
      <c r="GK2755" s="4"/>
      <c r="GL2755" s="4"/>
      <c r="GM2755" s="4"/>
      <c r="GN2755" s="4"/>
      <c r="GO2755" s="4"/>
      <c r="GP2755" s="4"/>
      <c r="GQ2755" s="4">
        <v>260</v>
      </c>
      <c r="GR2755" s="4"/>
      <c r="GS2755" s="4"/>
      <c r="GT2755" s="4"/>
      <c r="GU2755" s="4"/>
      <c r="GV2755" s="4"/>
      <c r="GW2755" s="4"/>
      <c r="GX2755" s="4"/>
      <c r="GY2755" s="4"/>
      <c r="GZ2755" s="4"/>
      <c r="HA2755" s="4"/>
      <c r="HB2755" s="4"/>
      <c r="HC2755" s="4"/>
      <c r="HD2755" s="4"/>
      <c r="HE2755" s="4"/>
      <c r="HF2755" s="4"/>
      <c r="HG2755" s="4"/>
      <c r="HH2755" s="4"/>
      <c r="HI2755" s="4"/>
      <c r="HJ2755" s="4"/>
      <c r="HK2755" s="4"/>
      <c r="HL2755" s="4"/>
    </row>
    <row r="2756">
      <c r="A2756" s="2" t="s">
        <v>11706</v>
      </c>
      <c r="B2756" s="2" t="s">
        <v>287</v>
      </c>
      <c r="C2756" s="2" t="s">
        <v>965</v>
      </c>
      <c r="D2756" s="2" t="s">
        <v>289</v>
      </c>
      <c r="E2756" s="2" t="s">
        <v>290</v>
      </c>
      <c r="F2756" s="2" t="s">
        <v>11668</v>
      </c>
      <c r="G2756" s="2" t="s">
        <v>11668</v>
      </c>
      <c r="H2756" s="2" t="s">
        <v>11668</v>
      </c>
      <c r="I2756" s="2" t="s">
        <v>11669</v>
      </c>
      <c r="J2756" s="2" t="s">
        <v>302</v>
      </c>
      <c r="K2756" s="2" t="s">
        <v>1491</v>
      </c>
      <c r="L2756" s="3">
        <v>34.5</v>
      </c>
      <c r="M2756" s="3">
        <v>36.22</v>
      </c>
      <c r="N2756" s="3">
        <v>74.99</v>
      </c>
      <c r="O2756" s="2" t="s">
        <v>243</v>
      </c>
      <c r="P2756" s="2" t="s">
        <v>270</v>
      </c>
      <c r="Q2756" s="2" t="s">
        <v>237</v>
      </c>
      <c r="R2756" s="2" t="s">
        <v>231</v>
      </c>
      <c r="S2756" s="2" t="s">
        <v>11700</v>
      </c>
      <c r="T2756" s="2" t="s">
        <v>1630</v>
      </c>
      <c r="U2756" s="2" t="s">
        <v>298</v>
      </c>
      <c r="V2756" s="2" t="s">
        <v>239</v>
      </c>
      <c r="W2756" s="2" t="s">
        <v>273</v>
      </c>
      <c r="X2756" s="2" t="s">
        <v>231</v>
      </c>
      <c r="Y2756" s="2" t="s">
        <v>430</v>
      </c>
      <c r="Z2756" s="4">
        <v>2</v>
      </c>
      <c r="AA2756" s="4">
        <f>=ROUNDDOWN(0.142857142857143,0)</f>
      </c>
      <c r="AB2756" s="5">
        <v>14</v>
      </c>
      <c r="AC2756" s="2" t="s">
        <v>911</v>
      </c>
      <c r="AD2756" s="4">
        <v>100</v>
      </c>
      <c r="AE2756" s="4">
        <v>420</v>
      </c>
      <c r="AF2756" s="6">
        <v>65</v>
      </c>
      <c r="AG2756" s="6"/>
      <c r="AH2756" s="7">
        <v>0</v>
      </c>
      <c r="AI2756" s="4"/>
      <c r="AJ2756" s="4">
        <f>=ROUNDDOWN({0},0)</f>
      </c>
      <c r="AK2756" s="5"/>
      <c r="AL2756" s="2" t="s">
        <v>231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231</v>
      </c>
      <c r="AW2756" s="8" t="s">
        <v>231</v>
      </c>
      <c r="AX2756" s="4" t="s">
        <v>231</v>
      </c>
      <c r="AY2756" s="8" t="s">
        <v>231</v>
      </c>
      <c r="AZ2756" s="7" t="s">
        <v>231</v>
      </c>
      <c r="BA2756" s="7" t="s">
        <v>231</v>
      </c>
      <c r="BB2756" s="7"/>
      <c r="BC2756" s="4" t="s">
        <v>231</v>
      </c>
      <c r="BD2756" s="8" t="s">
        <v>231</v>
      </c>
      <c r="BE2756" s="4" t="s">
        <v>231</v>
      </c>
      <c r="BF2756" s="8" t="s">
        <v>231</v>
      </c>
      <c r="BG2756" s="7" t="s">
        <v>231</v>
      </c>
      <c r="BH2756" s="7" t="s">
        <v>231</v>
      </c>
      <c r="BI2756" s="7"/>
      <c r="BJ2756" s="4"/>
      <c r="BK2756" s="8"/>
      <c r="BL2756" s="2" t="s">
        <v>4189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11707</v>
      </c>
      <c r="BV2756" s="2" t="s">
        <v>231</v>
      </c>
      <c r="BW2756" s="2" t="s">
        <v>231</v>
      </c>
      <c r="BX2756" s="2" t="s">
        <v>241</v>
      </c>
      <c r="BY2756" s="2" t="s">
        <v>277</v>
      </c>
      <c r="BZ2756" s="2" t="s">
        <v>243</v>
      </c>
      <c r="CA2756" s="2" t="s">
        <v>1633</v>
      </c>
      <c r="CB2756" s="2" t="s">
        <v>617</v>
      </c>
      <c r="CC2756" s="2" t="s">
        <v>244</v>
      </c>
      <c r="CD2756" s="2" t="s">
        <v>231</v>
      </c>
      <c r="CE2756" s="4">
        <v>2</v>
      </c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4"/>
      <c r="CX2756" s="4"/>
      <c r="CY2756" s="4"/>
      <c r="CZ2756" s="4"/>
      <c r="DA2756" s="4"/>
      <c r="DB2756" s="4"/>
      <c r="DC2756" s="4"/>
      <c r="DD2756" s="4"/>
      <c r="DE2756" s="4"/>
      <c r="DF2756" s="4"/>
      <c r="DG2756" s="4"/>
      <c r="DH2756" s="4"/>
      <c r="DI2756" s="4"/>
      <c r="DJ2756" s="4"/>
      <c r="DK2756" s="4"/>
      <c r="DL2756" s="4"/>
      <c r="DM2756" s="4"/>
      <c r="DN2756" s="4"/>
      <c r="DO2756" s="4"/>
      <c r="DP2756" s="4"/>
      <c r="DQ2756" s="4"/>
      <c r="DR2756" s="4"/>
      <c r="DS2756" s="4"/>
      <c r="DT2756" s="4"/>
      <c r="DU2756" s="4"/>
      <c r="DV2756" s="4"/>
      <c r="DW2756" s="4"/>
      <c r="DX2756" s="4"/>
      <c r="DY2756" s="4">
        <v>100</v>
      </c>
      <c r="DZ2756" s="4"/>
      <c r="EA2756" s="4"/>
      <c r="EB2756" s="4"/>
      <c r="EC2756" s="4"/>
      <c r="ED2756" s="4"/>
      <c r="EE2756" s="4"/>
      <c r="EF2756" s="4"/>
      <c r="EG2756" s="4"/>
      <c r="EH2756" s="4"/>
      <c r="EI2756" s="4"/>
      <c r="EJ2756" s="4"/>
      <c r="EK2756" s="4"/>
      <c r="EL2756" s="4"/>
      <c r="EM2756" s="4"/>
      <c r="EN2756" s="4"/>
      <c r="EO2756" s="4"/>
      <c r="EP2756" s="4"/>
      <c r="EQ2756" s="4"/>
      <c r="ER2756" s="4"/>
      <c r="ES2756" s="4"/>
      <c r="ET2756" s="4"/>
      <c r="EU2756" s="4"/>
      <c r="EV2756" s="4"/>
      <c r="EW2756" s="4"/>
      <c r="EX2756" s="4"/>
      <c r="EY2756" s="4"/>
      <c r="EZ2756" s="4"/>
      <c r="FA2756" s="4"/>
      <c r="FB2756" s="4"/>
      <c r="FC2756" s="4"/>
      <c r="FD2756" s="4"/>
      <c r="FE2756" s="4"/>
      <c r="FF2756" s="4"/>
      <c r="FG2756" s="4"/>
      <c r="FH2756" s="4"/>
      <c r="FI2756" s="4"/>
      <c r="FJ2756" s="4"/>
      <c r="FK2756" s="4"/>
      <c r="FL2756" s="4"/>
      <c r="FM2756" s="4"/>
      <c r="FN2756" s="4"/>
      <c r="FO2756" s="4"/>
      <c r="FP2756" s="4"/>
      <c r="FQ2756" s="4"/>
      <c r="FR2756" s="4"/>
      <c r="FS2756" s="4"/>
      <c r="FT2756" s="4"/>
      <c r="FU2756" s="4"/>
      <c r="FV2756" s="4">
        <v>220</v>
      </c>
      <c r="FW2756" s="4"/>
      <c r="FX2756" s="4"/>
      <c r="FY2756" s="4"/>
      <c r="FZ2756" s="4"/>
      <c r="GA2756" s="4"/>
      <c r="GB2756" s="4"/>
      <c r="GC2756" s="4"/>
      <c r="GD2756" s="4"/>
      <c r="GE2756" s="4"/>
      <c r="GF2756" s="4"/>
      <c r="GG2756" s="4"/>
      <c r="GH2756" s="4"/>
      <c r="GI2756" s="4"/>
      <c r="GJ2756" s="4"/>
      <c r="GK2756" s="4"/>
      <c r="GL2756" s="4"/>
      <c r="GM2756" s="4"/>
      <c r="GN2756" s="4"/>
      <c r="GO2756" s="4"/>
      <c r="GP2756" s="4"/>
      <c r="GQ2756" s="4">
        <v>100</v>
      </c>
      <c r="GR2756" s="4"/>
      <c r="GS2756" s="4"/>
      <c r="GT2756" s="4"/>
      <c r="GU2756" s="4"/>
      <c r="GV2756" s="4"/>
      <c r="GW2756" s="4"/>
      <c r="GX2756" s="4"/>
      <c r="GY2756" s="4"/>
      <c r="GZ2756" s="4"/>
      <c r="HA2756" s="4"/>
      <c r="HB2756" s="4"/>
      <c r="HC2756" s="4"/>
      <c r="HD2756" s="4"/>
      <c r="HE2756" s="4"/>
      <c r="HF2756" s="4"/>
      <c r="HG2756" s="4"/>
      <c r="HH2756" s="4"/>
      <c r="HI2756" s="4"/>
      <c r="HJ2756" s="4"/>
      <c r="HK2756" s="4"/>
      <c r="HL2756" s="4"/>
    </row>
    <row r="2757">
      <c r="A2757" s="2" t="s">
        <v>11708</v>
      </c>
      <c r="B2757" s="2" t="s">
        <v>287</v>
      </c>
      <c r="C2757" s="2" t="s">
        <v>965</v>
      </c>
      <c r="D2757" s="2" t="s">
        <v>289</v>
      </c>
      <c r="E2757" s="2" t="s">
        <v>290</v>
      </c>
      <c r="F2757" s="2" t="s">
        <v>11668</v>
      </c>
      <c r="G2757" s="2" t="s">
        <v>11668</v>
      </c>
      <c r="H2757" s="2" t="s">
        <v>11668</v>
      </c>
      <c r="I2757" s="2" t="s">
        <v>11669</v>
      </c>
      <c r="J2757" s="2" t="s">
        <v>318</v>
      </c>
      <c r="K2757" s="2" t="s">
        <v>253</v>
      </c>
      <c r="L2757" s="3">
        <v>19.78</v>
      </c>
      <c r="M2757" s="3">
        <v>20.77</v>
      </c>
      <c r="N2757" s="3">
        <v>42.99</v>
      </c>
      <c r="O2757" s="2" t="s">
        <v>243</v>
      </c>
      <c r="P2757" s="2" t="s">
        <v>1332</v>
      </c>
      <c r="Q2757" s="2" t="s">
        <v>237</v>
      </c>
      <c r="R2757" s="2" t="s">
        <v>231</v>
      </c>
      <c r="S2757" s="2" t="s">
        <v>11709</v>
      </c>
      <c r="T2757" s="2" t="s">
        <v>1630</v>
      </c>
      <c r="U2757" s="2" t="s">
        <v>835</v>
      </c>
      <c r="V2757" s="2" t="s">
        <v>239</v>
      </c>
      <c r="W2757" s="2" t="s">
        <v>273</v>
      </c>
      <c r="X2757" s="2" t="s">
        <v>231</v>
      </c>
      <c r="Y2757" s="2" t="s">
        <v>274</v>
      </c>
      <c r="Z2757" s="4">
        <v>309</v>
      </c>
      <c r="AA2757" s="4">
        <f>=ROUNDDOWN(7.53658536585366,0)</f>
      </c>
      <c r="AB2757" s="5">
        <v>41</v>
      </c>
      <c r="AC2757" s="2" t="s">
        <v>911</v>
      </c>
      <c r="AD2757" s="4">
        <v>220</v>
      </c>
      <c r="AE2757" s="4">
        <v>1200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231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231</v>
      </c>
      <c r="AW2757" s="8" t="s">
        <v>231</v>
      </c>
      <c r="AX2757" s="4" t="s">
        <v>231</v>
      </c>
      <c r="AY2757" s="8" t="s">
        <v>231</v>
      </c>
      <c r="AZ2757" s="7" t="s">
        <v>231</v>
      </c>
      <c r="BA2757" s="7" t="s">
        <v>231</v>
      </c>
      <c r="BB2757" s="7"/>
      <c r="BC2757" s="4" t="s">
        <v>231</v>
      </c>
      <c r="BD2757" s="8" t="s">
        <v>231</v>
      </c>
      <c r="BE2757" s="4" t="s">
        <v>231</v>
      </c>
      <c r="BF2757" s="8" t="s">
        <v>231</v>
      </c>
      <c r="BG2757" s="7" t="s">
        <v>231</v>
      </c>
      <c r="BH2757" s="7" t="s">
        <v>231</v>
      </c>
      <c r="BI2757" s="7"/>
      <c r="BJ2757" s="4">
        <v>12</v>
      </c>
      <c r="BK2757" s="8">
        <v>262.94</v>
      </c>
      <c r="BL2757" s="2" t="s">
        <v>8475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11710</v>
      </c>
      <c r="BV2757" s="2" t="s">
        <v>231</v>
      </c>
      <c r="BW2757" s="2" t="s">
        <v>231</v>
      </c>
      <c r="BX2757" s="2" t="s">
        <v>241</v>
      </c>
      <c r="BY2757" s="2" t="s">
        <v>277</v>
      </c>
      <c r="BZ2757" s="2" t="s">
        <v>243</v>
      </c>
      <c r="CA2757" s="2" t="s">
        <v>1001</v>
      </c>
      <c r="CB2757" s="2" t="s">
        <v>4208</v>
      </c>
      <c r="CC2757" s="2" t="s">
        <v>244</v>
      </c>
      <c r="CD2757" s="2" t="s">
        <v>231</v>
      </c>
      <c r="CE2757" s="4">
        <v>309</v>
      </c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4"/>
      <c r="CX2757" s="4"/>
      <c r="CY2757" s="4"/>
      <c r="CZ2757" s="4"/>
      <c r="DA2757" s="4"/>
      <c r="DB2757" s="4"/>
      <c r="DC2757" s="4"/>
      <c r="DD2757" s="4"/>
      <c r="DE2757" s="4"/>
      <c r="DF2757" s="4"/>
      <c r="DG2757" s="4"/>
      <c r="DH2757" s="4"/>
      <c r="DI2757" s="4"/>
      <c r="DJ2757" s="4"/>
      <c r="DK2757" s="4"/>
      <c r="DL2757" s="4"/>
      <c r="DM2757" s="4"/>
      <c r="DN2757" s="4"/>
      <c r="DO2757" s="4"/>
      <c r="DP2757" s="4"/>
      <c r="DQ2757" s="4"/>
      <c r="DR2757" s="4"/>
      <c r="DS2757" s="4"/>
      <c r="DT2757" s="4"/>
      <c r="DU2757" s="4"/>
      <c r="DV2757" s="4"/>
      <c r="DW2757" s="4"/>
      <c r="DX2757" s="4"/>
      <c r="DY2757" s="4">
        <v>220</v>
      </c>
      <c r="DZ2757" s="4"/>
      <c r="EA2757" s="4"/>
      <c r="EB2757" s="4"/>
      <c r="EC2757" s="4"/>
      <c r="ED2757" s="4"/>
      <c r="EE2757" s="4"/>
      <c r="EF2757" s="4"/>
      <c r="EG2757" s="4"/>
      <c r="EH2757" s="4"/>
      <c r="EI2757" s="4"/>
      <c r="EJ2757" s="4"/>
      <c r="EK2757" s="4"/>
      <c r="EL2757" s="4"/>
      <c r="EM2757" s="4"/>
      <c r="EN2757" s="4"/>
      <c r="EO2757" s="4"/>
      <c r="EP2757" s="4"/>
      <c r="EQ2757" s="4"/>
      <c r="ER2757" s="4"/>
      <c r="ES2757" s="4"/>
      <c r="ET2757" s="4"/>
      <c r="EU2757" s="4"/>
      <c r="EV2757" s="4"/>
      <c r="EW2757" s="4"/>
      <c r="EX2757" s="4"/>
      <c r="EY2757" s="4"/>
      <c r="EZ2757" s="4"/>
      <c r="FA2757" s="4"/>
      <c r="FB2757" s="4"/>
      <c r="FC2757" s="4"/>
      <c r="FD2757" s="4"/>
      <c r="FE2757" s="4"/>
      <c r="FF2757" s="4"/>
      <c r="FG2757" s="4"/>
      <c r="FH2757" s="4"/>
      <c r="FI2757" s="4"/>
      <c r="FJ2757" s="4"/>
      <c r="FK2757" s="4"/>
      <c r="FL2757" s="4"/>
      <c r="FM2757" s="4"/>
      <c r="FN2757" s="4"/>
      <c r="FO2757" s="4"/>
      <c r="FP2757" s="4"/>
      <c r="FQ2757" s="4"/>
      <c r="FR2757" s="4"/>
      <c r="FS2757" s="4"/>
      <c r="FT2757" s="4"/>
      <c r="FU2757" s="4"/>
      <c r="FV2757" s="4">
        <v>740</v>
      </c>
      <c r="FW2757" s="4"/>
      <c r="FX2757" s="4"/>
      <c r="FY2757" s="4"/>
      <c r="FZ2757" s="4"/>
      <c r="GA2757" s="4"/>
      <c r="GB2757" s="4"/>
      <c r="GC2757" s="4"/>
      <c r="GD2757" s="4"/>
      <c r="GE2757" s="4"/>
      <c r="GF2757" s="4"/>
      <c r="GG2757" s="4"/>
      <c r="GH2757" s="4"/>
      <c r="GI2757" s="4"/>
      <c r="GJ2757" s="4"/>
      <c r="GK2757" s="4"/>
      <c r="GL2757" s="4"/>
      <c r="GM2757" s="4"/>
      <c r="GN2757" s="4"/>
      <c r="GO2757" s="4"/>
      <c r="GP2757" s="4"/>
      <c r="GQ2757" s="4">
        <v>240</v>
      </c>
      <c r="GR2757" s="4"/>
      <c r="GS2757" s="4"/>
      <c r="GT2757" s="4"/>
      <c r="GU2757" s="4"/>
      <c r="GV2757" s="4"/>
      <c r="GW2757" s="4"/>
      <c r="GX2757" s="4"/>
      <c r="GY2757" s="4"/>
      <c r="GZ2757" s="4"/>
      <c r="HA2757" s="4"/>
      <c r="HB2757" s="4"/>
      <c r="HC2757" s="4"/>
      <c r="HD2757" s="4"/>
      <c r="HE2757" s="4"/>
      <c r="HF2757" s="4"/>
      <c r="HG2757" s="4"/>
      <c r="HH2757" s="4"/>
      <c r="HI2757" s="4"/>
      <c r="HJ2757" s="4"/>
      <c r="HK2757" s="4"/>
      <c r="HL2757" s="4"/>
    </row>
    <row r="2758">
      <c r="A2758" s="2" t="s">
        <v>11711</v>
      </c>
      <c r="B2758" s="2" t="s">
        <v>287</v>
      </c>
      <c r="C2758" s="2" t="s">
        <v>965</v>
      </c>
      <c r="D2758" s="2" t="s">
        <v>289</v>
      </c>
      <c r="E2758" s="2" t="s">
        <v>290</v>
      </c>
      <c r="F2758" s="2" t="s">
        <v>11668</v>
      </c>
      <c r="G2758" s="2" t="s">
        <v>11668</v>
      </c>
      <c r="H2758" s="2" t="s">
        <v>11668</v>
      </c>
      <c r="I2758" s="2" t="s">
        <v>11669</v>
      </c>
      <c r="J2758" s="2" t="s">
        <v>302</v>
      </c>
      <c r="K2758" s="2" t="s">
        <v>253</v>
      </c>
      <c r="L2758" s="3">
        <v>34.5</v>
      </c>
      <c r="M2758" s="3">
        <v>36.22</v>
      </c>
      <c r="N2758" s="3">
        <v>74.99</v>
      </c>
      <c r="O2758" s="2" t="s">
        <v>243</v>
      </c>
      <c r="P2758" s="2" t="s">
        <v>4057</v>
      </c>
      <c r="Q2758" s="2" t="s">
        <v>237</v>
      </c>
      <c r="R2758" s="2" t="s">
        <v>231</v>
      </c>
      <c r="S2758" s="2" t="s">
        <v>11709</v>
      </c>
      <c r="T2758" s="2" t="s">
        <v>1630</v>
      </c>
      <c r="U2758" s="2" t="s">
        <v>298</v>
      </c>
      <c r="V2758" s="2" t="s">
        <v>239</v>
      </c>
      <c r="W2758" s="2" t="s">
        <v>273</v>
      </c>
      <c r="X2758" s="2" t="s">
        <v>231</v>
      </c>
      <c r="Y2758" s="2" t="s">
        <v>274</v>
      </c>
      <c r="Z2758" s="4">
        <v>3</v>
      </c>
      <c r="AA2758" s="4">
        <f>=ROUNDDOWN(0.037037037037037,0)</f>
      </c>
      <c r="AB2758" s="5">
        <v>81</v>
      </c>
      <c r="AC2758" s="2" t="s">
        <v>911</v>
      </c>
      <c r="AD2758" s="4">
        <v>520</v>
      </c>
      <c r="AE2758" s="4">
        <v>2170</v>
      </c>
      <c r="AF2758" s="6">
        <v>65</v>
      </c>
      <c r="AG2758" s="6"/>
      <c r="AH2758" s="7">
        <v>0</v>
      </c>
      <c r="AI2758" s="4"/>
      <c r="AJ2758" s="4">
        <f>=ROUNDDOWN({0},0)</f>
      </c>
      <c r="AK2758" s="5"/>
      <c r="AL2758" s="2" t="s">
        <v>231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231</v>
      </c>
      <c r="AW2758" s="8" t="s">
        <v>231</v>
      </c>
      <c r="AX2758" s="4" t="s">
        <v>231</v>
      </c>
      <c r="AY2758" s="8" t="s">
        <v>231</v>
      </c>
      <c r="AZ2758" s="7" t="s">
        <v>231</v>
      </c>
      <c r="BA2758" s="7" t="s">
        <v>231</v>
      </c>
      <c r="BB2758" s="7"/>
      <c r="BC2758" s="4" t="s">
        <v>231</v>
      </c>
      <c r="BD2758" s="8" t="s">
        <v>231</v>
      </c>
      <c r="BE2758" s="4" t="s">
        <v>231</v>
      </c>
      <c r="BF2758" s="8" t="s">
        <v>231</v>
      </c>
      <c r="BG2758" s="7" t="s">
        <v>231</v>
      </c>
      <c r="BH2758" s="7" t="s">
        <v>231</v>
      </c>
      <c r="BI2758" s="7"/>
      <c r="BJ2758" s="4"/>
      <c r="BK2758" s="8"/>
      <c r="BL2758" s="2" t="s">
        <v>609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11712</v>
      </c>
      <c r="BV2758" s="2" t="s">
        <v>231</v>
      </c>
      <c r="BW2758" s="2" t="s">
        <v>231</v>
      </c>
      <c r="BX2758" s="2" t="s">
        <v>241</v>
      </c>
      <c r="BY2758" s="2" t="s">
        <v>277</v>
      </c>
      <c r="BZ2758" s="2" t="s">
        <v>243</v>
      </c>
      <c r="CA2758" s="2" t="s">
        <v>1001</v>
      </c>
      <c r="CB2758" s="2" t="s">
        <v>4509</v>
      </c>
      <c r="CC2758" s="2" t="s">
        <v>244</v>
      </c>
      <c r="CD2758" s="2" t="s">
        <v>231</v>
      </c>
      <c r="CE2758" s="4">
        <v>3</v>
      </c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4"/>
      <c r="CX2758" s="4"/>
      <c r="CY2758" s="4"/>
      <c r="CZ2758" s="4"/>
      <c r="DA2758" s="4"/>
      <c r="DB2758" s="4"/>
      <c r="DC2758" s="4"/>
      <c r="DD2758" s="4"/>
      <c r="DE2758" s="4"/>
      <c r="DF2758" s="4"/>
      <c r="DG2758" s="4"/>
      <c r="DH2758" s="4"/>
      <c r="DI2758" s="4"/>
      <c r="DJ2758" s="4"/>
      <c r="DK2758" s="4"/>
      <c r="DL2758" s="4"/>
      <c r="DM2758" s="4"/>
      <c r="DN2758" s="4"/>
      <c r="DO2758" s="4"/>
      <c r="DP2758" s="4"/>
      <c r="DQ2758" s="4"/>
      <c r="DR2758" s="4"/>
      <c r="DS2758" s="4"/>
      <c r="DT2758" s="4"/>
      <c r="DU2758" s="4"/>
      <c r="DV2758" s="4"/>
      <c r="DW2758" s="4"/>
      <c r="DX2758" s="4"/>
      <c r="DY2758" s="4">
        <v>520</v>
      </c>
      <c r="DZ2758" s="4"/>
      <c r="EA2758" s="4"/>
      <c r="EB2758" s="4"/>
      <c r="EC2758" s="4"/>
      <c r="ED2758" s="4"/>
      <c r="EE2758" s="4"/>
      <c r="EF2758" s="4"/>
      <c r="EG2758" s="4"/>
      <c r="EH2758" s="4"/>
      <c r="EI2758" s="4"/>
      <c r="EJ2758" s="4"/>
      <c r="EK2758" s="4"/>
      <c r="EL2758" s="4"/>
      <c r="EM2758" s="4"/>
      <c r="EN2758" s="4"/>
      <c r="EO2758" s="4"/>
      <c r="EP2758" s="4"/>
      <c r="EQ2758" s="4"/>
      <c r="ER2758" s="4"/>
      <c r="ES2758" s="4"/>
      <c r="ET2758" s="4"/>
      <c r="EU2758" s="4"/>
      <c r="EV2758" s="4"/>
      <c r="EW2758" s="4"/>
      <c r="EX2758" s="4"/>
      <c r="EY2758" s="4"/>
      <c r="EZ2758" s="4"/>
      <c r="FA2758" s="4"/>
      <c r="FB2758" s="4"/>
      <c r="FC2758" s="4"/>
      <c r="FD2758" s="4"/>
      <c r="FE2758" s="4"/>
      <c r="FF2758" s="4"/>
      <c r="FG2758" s="4"/>
      <c r="FH2758" s="4"/>
      <c r="FI2758" s="4"/>
      <c r="FJ2758" s="4"/>
      <c r="FK2758" s="4"/>
      <c r="FL2758" s="4"/>
      <c r="FM2758" s="4"/>
      <c r="FN2758" s="4"/>
      <c r="FO2758" s="4"/>
      <c r="FP2758" s="4"/>
      <c r="FQ2758" s="4"/>
      <c r="FR2758" s="4"/>
      <c r="FS2758" s="4"/>
      <c r="FT2758" s="4"/>
      <c r="FU2758" s="4"/>
      <c r="FV2758" s="4">
        <v>1170</v>
      </c>
      <c r="FW2758" s="4"/>
      <c r="FX2758" s="4"/>
      <c r="FY2758" s="4"/>
      <c r="FZ2758" s="4"/>
      <c r="GA2758" s="4"/>
      <c r="GB2758" s="4"/>
      <c r="GC2758" s="4"/>
      <c r="GD2758" s="4"/>
      <c r="GE2758" s="4"/>
      <c r="GF2758" s="4"/>
      <c r="GG2758" s="4"/>
      <c r="GH2758" s="4"/>
      <c r="GI2758" s="4"/>
      <c r="GJ2758" s="4"/>
      <c r="GK2758" s="4"/>
      <c r="GL2758" s="4"/>
      <c r="GM2758" s="4"/>
      <c r="GN2758" s="4"/>
      <c r="GO2758" s="4"/>
      <c r="GP2758" s="4"/>
      <c r="GQ2758" s="4">
        <v>480</v>
      </c>
      <c r="GR2758" s="4"/>
      <c r="GS2758" s="4"/>
      <c r="GT2758" s="4"/>
      <c r="GU2758" s="4"/>
      <c r="GV2758" s="4"/>
      <c r="GW2758" s="4"/>
      <c r="GX2758" s="4"/>
      <c r="GY2758" s="4"/>
      <c r="GZ2758" s="4"/>
      <c r="HA2758" s="4"/>
      <c r="HB2758" s="4"/>
      <c r="HC2758" s="4"/>
      <c r="HD2758" s="4"/>
      <c r="HE2758" s="4"/>
      <c r="HF2758" s="4"/>
      <c r="HG2758" s="4"/>
      <c r="HH2758" s="4"/>
      <c r="HI2758" s="4"/>
      <c r="HJ2758" s="4"/>
      <c r="HK2758" s="4"/>
      <c r="HL2758" s="4"/>
    </row>
    <row r="2759">
      <c r="A2759" s="2" t="s">
        <v>11713</v>
      </c>
      <c r="B2759" s="2" t="s">
        <v>287</v>
      </c>
      <c r="C2759" s="2" t="s">
        <v>965</v>
      </c>
      <c r="D2759" s="2" t="s">
        <v>289</v>
      </c>
      <c r="E2759" s="2" t="s">
        <v>290</v>
      </c>
      <c r="F2759" s="2" t="s">
        <v>11668</v>
      </c>
      <c r="G2759" s="2" t="s">
        <v>11668</v>
      </c>
      <c r="H2759" s="2" t="s">
        <v>11668</v>
      </c>
      <c r="I2759" s="2" t="s">
        <v>11669</v>
      </c>
      <c r="J2759" s="2" t="s">
        <v>318</v>
      </c>
      <c r="K2759" s="2" t="s">
        <v>306</v>
      </c>
      <c r="L2759" s="3">
        <v>19.78</v>
      </c>
      <c r="M2759" s="3">
        <v>20.77</v>
      </c>
      <c r="N2759" s="3">
        <v>42.99</v>
      </c>
      <c r="O2759" s="2" t="s">
        <v>243</v>
      </c>
      <c r="P2759" s="2" t="s">
        <v>1281</v>
      </c>
      <c r="Q2759" s="2" t="s">
        <v>237</v>
      </c>
      <c r="R2759" s="2" t="s">
        <v>231</v>
      </c>
      <c r="S2759" s="2" t="s">
        <v>11714</v>
      </c>
      <c r="T2759" s="2" t="s">
        <v>1630</v>
      </c>
      <c r="U2759" s="2" t="s">
        <v>835</v>
      </c>
      <c r="V2759" s="2" t="s">
        <v>239</v>
      </c>
      <c r="W2759" s="2" t="s">
        <v>273</v>
      </c>
      <c r="X2759" s="2" t="s">
        <v>231</v>
      </c>
      <c r="Y2759" s="2" t="s">
        <v>274</v>
      </c>
      <c r="Z2759" s="4"/>
      <c r="AA2759" s="4">
        <f>=ROUNDDOWN({0},0)</f>
      </c>
      <c r="AB2759" s="5">
        <v>26</v>
      </c>
      <c r="AC2759" s="2" t="s">
        <v>911</v>
      </c>
      <c r="AD2759" s="4">
        <v>220</v>
      </c>
      <c r="AE2759" s="4">
        <v>870</v>
      </c>
      <c r="AF2759" s="6">
        <v>65</v>
      </c>
      <c r="AG2759" s="6"/>
      <c r="AH2759" s="7">
        <v>0</v>
      </c>
      <c r="AI2759" s="4"/>
      <c r="AJ2759" s="4">
        <f>=ROUNDDOWN({0},0)</f>
      </c>
      <c r="AK2759" s="5"/>
      <c r="AL2759" s="2" t="s">
        <v>231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231</v>
      </c>
      <c r="AW2759" s="8" t="s">
        <v>231</v>
      </c>
      <c r="AX2759" s="4" t="s">
        <v>231</v>
      </c>
      <c r="AY2759" s="8" t="s">
        <v>231</v>
      </c>
      <c r="AZ2759" s="7" t="s">
        <v>231</v>
      </c>
      <c r="BA2759" s="7" t="s">
        <v>231</v>
      </c>
      <c r="BB2759" s="7"/>
      <c r="BC2759" s="4" t="s">
        <v>231</v>
      </c>
      <c r="BD2759" s="8" t="s">
        <v>231</v>
      </c>
      <c r="BE2759" s="4" t="s">
        <v>231</v>
      </c>
      <c r="BF2759" s="8" t="s">
        <v>231</v>
      </c>
      <c r="BG2759" s="7" t="s">
        <v>231</v>
      </c>
      <c r="BH2759" s="7" t="s">
        <v>231</v>
      </c>
      <c r="BI2759" s="7"/>
      <c r="BJ2759" s="4"/>
      <c r="BK2759" s="8"/>
      <c r="BL2759" s="2" t="s">
        <v>5204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11715</v>
      </c>
      <c r="BV2759" s="2" t="s">
        <v>231</v>
      </c>
      <c r="BW2759" s="2" t="s">
        <v>231</v>
      </c>
      <c r="BX2759" s="2" t="s">
        <v>241</v>
      </c>
      <c r="BY2759" s="2" t="s">
        <v>277</v>
      </c>
      <c r="BZ2759" s="2" t="s">
        <v>243</v>
      </c>
      <c r="CA2759" s="2" t="s">
        <v>1633</v>
      </c>
      <c r="CB2759" s="2" t="s">
        <v>617</v>
      </c>
      <c r="CC2759" s="2" t="s">
        <v>244</v>
      </c>
      <c r="CD2759" s="2" t="s">
        <v>231</v>
      </c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4"/>
      <c r="CX2759" s="4"/>
      <c r="CY2759" s="4"/>
      <c r="CZ2759" s="4"/>
      <c r="DA2759" s="4"/>
      <c r="DB2759" s="4"/>
      <c r="DC2759" s="4"/>
      <c r="DD2759" s="4"/>
      <c r="DE2759" s="4"/>
      <c r="DF2759" s="4"/>
      <c r="DG2759" s="4"/>
      <c r="DH2759" s="4"/>
      <c r="DI2759" s="4"/>
      <c r="DJ2759" s="4"/>
      <c r="DK2759" s="4"/>
      <c r="DL2759" s="4"/>
      <c r="DM2759" s="4"/>
      <c r="DN2759" s="4"/>
      <c r="DO2759" s="4"/>
      <c r="DP2759" s="4"/>
      <c r="DQ2759" s="4"/>
      <c r="DR2759" s="4"/>
      <c r="DS2759" s="4"/>
      <c r="DT2759" s="4"/>
      <c r="DU2759" s="4"/>
      <c r="DV2759" s="4"/>
      <c r="DW2759" s="4"/>
      <c r="DX2759" s="4"/>
      <c r="DY2759" s="4">
        <v>220</v>
      </c>
      <c r="DZ2759" s="4"/>
      <c r="EA2759" s="4"/>
      <c r="EB2759" s="4"/>
      <c r="EC2759" s="4"/>
      <c r="ED2759" s="4"/>
      <c r="EE2759" s="4"/>
      <c r="EF2759" s="4"/>
      <c r="EG2759" s="4"/>
      <c r="EH2759" s="4"/>
      <c r="EI2759" s="4"/>
      <c r="EJ2759" s="4"/>
      <c r="EK2759" s="4"/>
      <c r="EL2759" s="4"/>
      <c r="EM2759" s="4"/>
      <c r="EN2759" s="4"/>
      <c r="EO2759" s="4"/>
      <c r="EP2759" s="4"/>
      <c r="EQ2759" s="4"/>
      <c r="ER2759" s="4"/>
      <c r="ES2759" s="4"/>
      <c r="ET2759" s="4"/>
      <c r="EU2759" s="4"/>
      <c r="EV2759" s="4"/>
      <c r="EW2759" s="4"/>
      <c r="EX2759" s="4"/>
      <c r="EY2759" s="4"/>
      <c r="EZ2759" s="4"/>
      <c r="FA2759" s="4"/>
      <c r="FB2759" s="4"/>
      <c r="FC2759" s="4"/>
      <c r="FD2759" s="4"/>
      <c r="FE2759" s="4"/>
      <c r="FF2759" s="4"/>
      <c r="FG2759" s="4"/>
      <c r="FH2759" s="4"/>
      <c r="FI2759" s="4"/>
      <c r="FJ2759" s="4"/>
      <c r="FK2759" s="4"/>
      <c r="FL2759" s="4"/>
      <c r="FM2759" s="4"/>
      <c r="FN2759" s="4"/>
      <c r="FO2759" s="4"/>
      <c r="FP2759" s="4"/>
      <c r="FQ2759" s="4"/>
      <c r="FR2759" s="4"/>
      <c r="FS2759" s="4"/>
      <c r="FT2759" s="4"/>
      <c r="FU2759" s="4"/>
      <c r="FV2759" s="4">
        <v>490</v>
      </c>
      <c r="FW2759" s="4"/>
      <c r="FX2759" s="4"/>
      <c r="FY2759" s="4"/>
      <c r="FZ2759" s="4"/>
      <c r="GA2759" s="4"/>
      <c r="GB2759" s="4"/>
      <c r="GC2759" s="4"/>
      <c r="GD2759" s="4"/>
      <c r="GE2759" s="4"/>
      <c r="GF2759" s="4"/>
      <c r="GG2759" s="4"/>
      <c r="GH2759" s="4"/>
      <c r="GI2759" s="4"/>
      <c r="GJ2759" s="4"/>
      <c r="GK2759" s="4"/>
      <c r="GL2759" s="4"/>
      <c r="GM2759" s="4"/>
      <c r="GN2759" s="4"/>
      <c r="GO2759" s="4"/>
      <c r="GP2759" s="4"/>
      <c r="GQ2759" s="4">
        <v>160</v>
      </c>
      <c r="GR2759" s="4"/>
      <c r="GS2759" s="4"/>
      <c r="GT2759" s="4"/>
      <c r="GU2759" s="4"/>
      <c r="GV2759" s="4"/>
      <c r="GW2759" s="4"/>
      <c r="GX2759" s="4"/>
      <c r="GY2759" s="4"/>
      <c r="GZ2759" s="4"/>
      <c r="HA2759" s="4"/>
      <c r="HB2759" s="4"/>
      <c r="HC2759" s="4"/>
      <c r="HD2759" s="4"/>
      <c r="HE2759" s="4"/>
      <c r="HF2759" s="4"/>
      <c r="HG2759" s="4"/>
      <c r="HH2759" s="4"/>
      <c r="HI2759" s="4"/>
      <c r="HJ2759" s="4"/>
      <c r="HK2759" s="4"/>
      <c r="HL2759" s="4"/>
    </row>
    <row r="2760">
      <c r="A2760" s="2" t="s">
        <v>11716</v>
      </c>
      <c r="B2760" s="2" t="s">
        <v>287</v>
      </c>
      <c r="C2760" s="2" t="s">
        <v>965</v>
      </c>
      <c r="D2760" s="2" t="s">
        <v>289</v>
      </c>
      <c r="E2760" s="2" t="s">
        <v>290</v>
      </c>
      <c r="F2760" s="2" t="s">
        <v>11668</v>
      </c>
      <c r="G2760" s="2" t="s">
        <v>11668</v>
      </c>
      <c r="H2760" s="2" t="s">
        <v>11668</v>
      </c>
      <c r="I2760" s="2" t="s">
        <v>11669</v>
      </c>
      <c r="J2760" s="2" t="s">
        <v>281</v>
      </c>
      <c r="K2760" s="2" t="s">
        <v>306</v>
      </c>
      <c r="L2760" s="3">
        <v>25.3</v>
      </c>
      <c r="M2760" s="3">
        <v>26.56</v>
      </c>
      <c r="N2760" s="3">
        <v>54.99</v>
      </c>
      <c r="O2760" s="2" t="s">
        <v>243</v>
      </c>
      <c r="P2760" s="2" t="s">
        <v>1281</v>
      </c>
      <c r="Q2760" s="2" t="s">
        <v>237</v>
      </c>
      <c r="R2760" s="2" t="s">
        <v>231</v>
      </c>
      <c r="S2760" s="2" t="s">
        <v>11714</v>
      </c>
      <c r="T2760" s="2" t="s">
        <v>1630</v>
      </c>
      <c r="U2760" s="2" t="s">
        <v>298</v>
      </c>
      <c r="V2760" s="2" t="s">
        <v>239</v>
      </c>
      <c r="W2760" s="2" t="s">
        <v>273</v>
      </c>
      <c r="X2760" s="2" t="s">
        <v>231</v>
      </c>
      <c r="Y2760" s="2" t="s">
        <v>274</v>
      </c>
      <c r="Z2760" s="4">
        <v>3</v>
      </c>
      <c r="AA2760" s="4">
        <f>=ROUNDDOWN(0.115384615384615,0)</f>
      </c>
      <c r="AB2760" s="5">
        <v>26</v>
      </c>
      <c r="AC2760" s="2" t="s">
        <v>911</v>
      </c>
      <c r="AD2760" s="4">
        <v>190</v>
      </c>
      <c r="AE2760" s="4">
        <v>790</v>
      </c>
      <c r="AF2760" s="6">
        <v>65</v>
      </c>
      <c r="AG2760" s="6"/>
      <c r="AH2760" s="7">
        <v>0</v>
      </c>
      <c r="AI2760" s="4"/>
      <c r="AJ2760" s="4">
        <f>=ROUNDDOWN({0},0)</f>
      </c>
      <c r="AK2760" s="5"/>
      <c r="AL2760" s="2" t="s">
        <v>231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231</v>
      </c>
      <c r="AW2760" s="8" t="s">
        <v>231</v>
      </c>
      <c r="AX2760" s="4" t="s">
        <v>231</v>
      </c>
      <c r="AY2760" s="8" t="s">
        <v>231</v>
      </c>
      <c r="AZ2760" s="7" t="s">
        <v>231</v>
      </c>
      <c r="BA2760" s="7" t="s">
        <v>231</v>
      </c>
      <c r="BB2760" s="7"/>
      <c r="BC2760" s="4" t="s">
        <v>231</v>
      </c>
      <c r="BD2760" s="8" t="s">
        <v>231</v>
      </c>
      <c r="BE2760" s="4" t="s">
        <v>231</v>
      </c>
      <c r="BF2760" s="8" t="s">
        <v>231</v>
      </c>
      <c r="BG2760" s="7" t="s">
        <v>231</v>
      </c>
      <c r="BH2760" s="7" t="s">
        <v>231</v>
      </c>
      <c r="BI2760" s="7"/>
      <c r="BJ2760" s="4"/>
      <c r="BK2760" s="8"/>
      <c r="BL2760" s="2" t="s">
        <v>231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11717</v>
      </c>
      <c r="BV2760" s="2" t="s">
        <v>231</v>
      </c>
      <c r="BW2760" s="2" t="s">
        <v>231</v>
      </c>
      <c r="BX2760" s="2" t="s">
        <v>241</v>
      </c>
      <c r="BY2760" s="2" t="s">
        <v>277</v>
      </c>
      <c r="BZ2760" s="2" t="s">
        <v>243</v>
      </c>
      <c r="CA2760" s="2" t="s">
        <v>1633</v>
      </c>
      <c r="CB2760" s="2" t="s">
        <v>467</v>
      </c>
      <c r="CC2760" s="2" t="s">
        <v>244</v>
      </c>
      <c r="CD2760" s="2" t="s">
        <v>231</v>
      </c>
      <c r="CE2760" s="4">
        <v>3</v>
      </c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4"/>
      <c r="CX2760" s="4"/>
      <c r="CY2760" s="4"/>
      <c r="CZ2760" s="4"/>
      <c r="DA2760" s="4"/>
      <c r="DB2760" s="4"/>
      <c r="DC2760" s="4"/>
      <c r="DD2760" s="4"/>
      <c r="DE2760" s="4"/>
      <c r="DF2760" s="4"/>
      <c r="DG2760" s="4"/>
      <c r="DH2760" s="4"/>
      <c r="DI2760" s="4"/>
      <c r="DJ2760" s="4"/>
      <c r="DK2760" s="4"/>
      <c r="DL2760" s="4"/>
      <c r="DM2760" s="4"/>
      <c r="DN2760" s="4"/>
      <c r="DO2760" s="4"/>
      <c r="DP2760" s="4"/>
      <c r="DQ2760" s="4"/>
      <c r="DR2760" s="4"/>
      <c r="DS2760" s="4"/>
      <c r="DT2760" s="4"/>
      <c r="DU2760" s="4"/>
      <c r="DV2760" s="4"/>
      <c r="DW2760" s="4"/>
      <c r="DX2760" s="4"/>
      <c r="DY2760" s="4">
        <v>190</v>
      </c>
      <c r="DZ2760" s="4"/>
      <c r="EA2760" s="4"/>
      <c r="EB2760" s="4"/>
      <c r="EC2760" s="4"/>
      <c r="ED2760" s="4"/>
      <c r="EE2760" s="4"/>
      <c r="EF2760" s="4"/>
      <c r="EG2760" s="4"/>
      <c r="EH2760" s="4"/>
      <c r="EI2760" s="4"/>
      <c r="EJ2760" s="4"/>
      <c r="EK2760" s="4"/>
      <c r="EL2760" s="4"/>
      <c r="EM2760" s="4"/>
      <c r="EN2760" s="4"/>
      <c r="EO2760" s="4"/>
      <c r="EP2760" s="4"/>
      <c r="EQ2760" s="4"/>
      <c r="ER2760" s="4"/>
      <c r="ES2760" s="4"/>
      <c r="ET2760" s="4"/>
      <c r="EU2760" s="4"/>
      <c r="EV2760" s="4"/>
      <c r="EW2760" s="4"/>
      <c r="EX2760" s="4"/>
      <c r="EY2760" s="4"/>
      <c r="EZ2760" s="4"/>
      <c r="FA2760" s="4"/>
      <c r="FB2760" s="4"/>
      <c r="FC2760" s="4"/>
      <c r="FD2760" s="4"/>
      <c r="FE2760" s="4"/>
      <c r="FF2760" s="4"/>
      <c r="FG2760" s="4"/>
      <c r="FH2760" s="4"/>
      <c r="FI2760" s="4"/>
      <c r="FJ2760" s="4"/>
      <c r="FK2760" s="4"/>
      <c r="FL2760" s="4"/>
      <c r="FM2760" s="4"/>
      <c r="FN2760" s="4"/>
      <c r="FO2760" s="4"/>
      <c r="FP2760" s="4"/>
      <c r="FQ2760" s="4"/>
      <c r="FR2760" s="4"/>
      <c r="FS2760" s="4"/>
      <c r="FT2760" s="4"/>
      <c r="FU2760" s="4"/>
      <c r="FV2760" s="4">
        <v>430</v>
      </c>
      <c r="FW2760" s="4"/>
      <c r="FX2760" s="4"/>
      <c r="FY2760" s="4"/>
      <c r="FZ2760" s="4"/>
      <c r="GA2760" s="4"/>
      <c r="GB2760" s="4"/>
      <c r="GC2760" s="4"/>
      <c r="GD2760" s="4"/>
      <c r="GE2760" s="4"/>
      <c r="GF2760" s="4"/>
      <c r="GG2760" s="4"/>
      <c r="GH2760" s="4"/>
      <c r="GI2760" s="4"/>
      <c r="GJ2760" s="4"/>
      <c r="GK2760" s="4"/>
      <c r="GL2760" s="4"/>
      <c r="GM2760" s="4"/>
      <c r="GN2760" s="4"/>
      <c r="GO2760" s="4"/>
      <c r="GP2760" s="4"/>
      <c r="GQ2760" s="4">
        <v>170</v>
      </c>
      <c r="GR2760" s="4"/>
      <c r="GS2760" s="4"/>
      <c r="GT2760" s="4"/>
      <c r="GU2760" s="4"/>
      <c r="GV2760" s="4"/>
      <c r="GW2760" s="4"/>
      <c r="GX2760" s="4"/>
      <c r="GY2760" s="4"/>
      <c r="GZ2760" s="4"/>
      <c r="HA2760" s="4"/>
      <c r="HB2760" s="4"/>
      <c r="HC2760" s="4"/>
      <c r="HD2760" s="4"/>
      <c r="HE2760" s="4"/>
      <c r="HF2760" s="4"/>
      <c r="HG2760" s="4"/>
      <c r="HH2760" s="4"/>
      <c r="HI2760" s="4"/>
      <c r="HJ2760" s="4"/>
      <c r="HK2760" s="4"/>
      <c r="HL2760" s="4"/>
    </row>
    <row r="2761">
      <c r="A2761" s="2" t="s">
        <v>11718</v>
      </c>
      <c r="B2761" s="2" t="s">
        <v>287</v>
      </c>
      <c r="C2761" s="2" t="s">
        <v>965</v>
      </c>
      <c r="D2761" s="2" t="s">
        <v>289</v>
      </c>
      <c r="E2761" s="2" t="s">
        <v>290</v>
      </c>
      <c r="F2761" s="2" t="s">
        <v>11668</v>
      </c>
      <c r="G2761" s="2" t="s">
        <v>11668</v>
      </c>
      <c r="H2761" s="2" t="s">
        <v>11668</v>
      </c>
      <c r="I2761" s="2" t="s">
        <v>11669</v>
      </c>
      <c r="J2761" s="2" t="s">
        <v>293</v>
      </c>
      <c r="K2761" s="2" t="s">
        <v>306</v>
      </c>
      <c r="L2761" s="3">
        <v>28.35</v>
      </c>
      <c r="M2761" s="3">
        <v>29.77</v>
      </c>
      <c r="N2761" s="3">
        <v>62.99</v>
      </c>
      <c r="O2761" s="2" t="s">
        <v>243</v>
      </c>
      <c r="P2761" s="2" t="s">
        <v>4057</v>
      </c>
      <c r="Q2761" s="2" t="s">
        <v>237</v>
      </c>
      <c r="R2761" s="2" t="s">
        <v>231</v>
      </c>
      <c r="S2761" s="2" t="s">
        <v>11714</v>
      </c>
      <c r="T2761" s="2" t="s">
        <v>1630</v>
      </c>
      <c r="U2761" s="2" t="s">
        <v>298</v>
      </c>
      <c r="V2761" s="2" t="s">
        <v>239</v>
      </c>
      <c r="W2761" s="2" t="s">
        <v>273</v>
      </c>
      <c r="X2761" s="2" t="s">
        <v>231</v>
      </c>
      <c r="Y2761" s="2" t="s">
        <v>274</v>
      </c>
      <c r="Z2761" s="4"/>
      <c r="AA2761" s="4">
        <f>=ROUNDDOWN({0},0)</f>
      </c>
      <c r="AB2761" s="5">
        <v>59</v>
      </c>
      <c r="AC2761" s="2" t="s">
        <v>911</v>
      </c>
      <c r="AD2761" s="4">
        <v>510</v>
      </c>
      <c r="AE2761" s="4">
        <v>2050</v>
      </c>
      <c r="AF2761" s="6">
        <v>65</v>
      </c>
      <c r="AG2761" s="6"/>
      <c r="AH2761" s="7">
        <v>0</v>
      </c>
      <c r="AI2761" s="4"/>
      <c r="AJ2761" s="4">
        <f>=ROUNDDOWN({0},0)</f>
      </c>
      <c r="AK2761" s="5"/>
      <c r="AL2761" s="2" t="s">
        <v>231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231</v>
      </c>
      <c r="AW2761" s="8" t="s">
        <v>231</v>
      </c>
      <c r="AX2761" s="4" t="s">
        <v>231</v>
      </c>
      <c r="AY2761" s="8" t="s">
        <v>231</v>
      </c>
      <c r="AZ2761" s="7" t="s">
        <v>231</v>
      </c>
      <c r="BA2761" s="7" t="s">
        <v>231</v>
      </c>
      <c r="BB2761" s="7"/>
      <c r="BC2761" s="4" t="s">
        <v>231</v>
      </c>
      <c r="BD2761" s="8" t="s">
        <v>231</v>
      </c>
      <c r="BE2761" s="4" t="s">
        <v>231</v>
      </c>
      <c r="BF2761" s="8" t="s">
        <v>231</v>
      </c>
      <c r="BG2761" s="7" t="s">
        <v>231</v>
      </c>
      <c r="BH2761" s="7" t="s">
        <v>231</v>
      </c>
      <c r="BI2761" s="7"/>
      <c r="BJ2761" s="4"/>
      <c r="BK2761" s="8"/>
      <c r="BL2761" s="2" t="s">
        <v>231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11719</v>
      </c>
      <c r="BV2761" s="2" t="s">
        <v>231</v>
      </c>
      <c r="BW2761" s="2" t="s">
        <v>231</v>
      </c>
      <c r="BX2761" s="2" t="s">
        <v>241</v>
      </c>
      <c r="BY2761" s="2" t="s">
        <v>277</v>
      </c>
      <c r="BZ2761" s="2" t="s">
        <v>243</v>
      </c>
      <c r="CA2761" s="2" t="s">
        <v>1633</v>
      </c>
      <c r="CB2761" s="2" t="s">
        <v>467</v>
      </c>
      <c r="CC2761" s="2" t="s">
        <v>244</v>
      </c>
      <c r="CD2761" s="2" t="s">
        <v>231</v>
      </c>
      <c r="CE2761" s="4"/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4"/>
      <c r="CX2761" s="4"/>
      <c r="CY2761" s="4"/>
      <c r="CZ2761" s="4"/>
      <c r="DA2761" s="4"/>
      <c r="DB2761" s="4"/>
      <c r="DC2761" s="4"/>
      <c r="DD2761" s="4"/>
      <c r="DE2761" s="4"/>
      <c r="DF2761" s="4"/>
      <c r="DG2761" s="4"/>
      <c r="DH2761" s="4"/>
      <c r="DI2761" s="4"/>
      <c r="DJ2761" s="4"/>
      <c r="DK2761" s="4"/>
      <c r="DL2761" s="4"/>
      <c r="DM2761" s="4"/>
      <c r="DN2761" s="4"/>
      <c r="DO2761" s="4"/>
      <c r="DP2761" s="4"/>
      <c r="DQ2761" s="4"/>
      <c r="DR2761" s="4"/>
      <c r="DS2761" s="4"/>
      <c r="DT2761" s="4"/>
      <c r="DU2761" s="4"/>
      <c r="DV2761" s="4"/>
      <c r="DW2761" s="4"/>
      <c r="DX2761" s="4"/>
      <c r="DY2761" s="4">
        <v>510</v>
      </c>
      <c r="DZ2761" s="4"/>
      <c r="EA2761" s="4"/>
      <c r="EB2761" s="4"/>
      <c r="EC2761" s="4"/>
      <c r="ED2761" s="4"/>
      <c r="EE2761" s="4"/>
      <c r="EF2761" s="4"/>
      <c r="EG2761" s="4"/>
      <c r="EH2761" s="4"/>
      <c r="EI2761" s="4"/>
      <c r="EJ2761" s="4"/>
      <c r="EK2761" s="4"/>
      <c r="EL2761" s="4"/>
      <c r="EM2761" s="4"/>
      <c r="EN2761" s="4"/>
      <c r="EO2761" s="4"/>
      <c r="EP2761" s="4"/>
      <c r="EQ2761" s="4"/>
      <c r="ER2761" s="4"/>
      <c r="ES2761" s="4"/>
      <c r="ET2761" s="4"/>
      <c r="EU2761" s="4"/>
      <c r="EV2761" s="4"/>
      <c r="EW2761" s="4"/>
      <c r="EX2761" s="4"/>
      <c r="EY2761" s="4"/>
      <c r="EZ2761" s="4"/>
      <c r="FA2761" s="4"/>
      <c r="FB2761" s="4"/>
      <c r="FC2761" s="4"/>
      <c r="FD2761" s="4"/>
      <c r="FE2761" s="4"/>
      <c r="FF2761" s="4"/>
      <c r="FG2761" s="4"/>
      <c r="FH2761" s="4"/>
      <c r="FI2761" s="4"/>
      <c r="FJ2761" s="4"/>
      <c r="FK2761" s="4"/>
      <c r="FL2761" s="4"/>
      <c r="FM2761" s="4"/>
      <c r="FN2761" s="4"/>
      <c r="FO2761" s="4"/>
      <c r="FP2761" s="4"/>
      <c r="FQ2761" s="4"/>
      <c r="FR2761" s="4"/>
      <c r="FS2761" s="4"/>
      <c r="FT2761" s="4"/>
      <c r="FU2761" s="4"/>
      <c r="FV2761" s="4">
        <v>1060</v>
      </c>
      <c r="FW2761" s="4"/>
      <c r="FX2761" s="4"/>
      <c r="FY2761" s="4"/>
      <c r="FZ2761" s="4"/>
      <c r="GA2761" s="4"/>
      <c r="GB2761" s="4"/>
      <c r="GC2761" s="4"/>
      <c r="GD2761" s="4"/>
      <c r="GE2761" s="4"/>
      <c r="GF2761" s="4"/>
      <c r="GG2761" s="4"/>
      <c r="GH2761" s="4"/>
      <c r="GI2761" s="4"/>
      <c r="GJ2761" s="4"/>
      <c r="GK2761" s="4"/>
      <c r="GL2761" s="4"/>
      <c r="GM2761" s="4"/>
      <c r="GN2761" s="4"/>
      <c r="GO2761" s="4"/>
      <c r="GP2761" s="4"/>
      <c r="GQ2761" s="4">
        <v>480</v>
      </c>
      <c r="GR2761" s="4"/>
      <c r="GS2761" s="4"/>
      <c r="GT2761" s="4"/>
      <c r="GU2761" s="4"/>
      <c r="GV2761" s="4"/>
      <c r="GW2761" s="4"/>
      <c r="GX2761" s="4"/>
      <c r="GY2761" s="4"/>
      <c r="GZ2761" s="4"/>
      <c r="HA2761" s="4"/>
      <c r="HB2761" s="4"/>
      <c r="HC2761" s="4"/>
      <c r="HD2761" s="4"/>
      <c r="HE2761" s="4"/>
      <c r="HF2761" s="4"/>
      <c r="HG2761" s="4"/>
      <c r="HH2761" s="4"/>
      <c r="HI2761" s="4"/>
      <c r="HJ2761" s="4"/>
      <c r="HK2761" s="4"/>
      <c r="HL2761" s="4"/>
    </row>
    <row r="2762">
      <c r="A2762" s="2" t="s">
        <v>11720</v>
      </c>
      <c r="B2762" s="2" t="s">
        <v>287</v>
      </c>
      <c r="C2762" s="2" t="s">
        <v>965</v>
      </c>
      <c r="D2762" s="2" t="s">
        <v>289</v>
      </c>
      <c r="E2762" s="2" t="s">
        <v>290</v>
      </c>
      <c r="F2762" s="2" t="s">
        <v>11668</v>
      </c>
      <c r="G2762" s="2" t="s">
        <v>11668</v>
      </c>
      <c r="H2762" s="2" t="s">
        <v>11668</v>
      </c>
      <c r="I2762" s="2" t="s">
        <v>11669</v>
      </c>
      <c r="J2762" s="2" t="s">
        <v>302</v>
      </c>
      <c r="K2762" s="2" t="s">
        <v>306</v>
      </c>
      <c r="L2762" s="3">
        <v>34.5</v>
      </c>
      <c r="M2762" s="3">
        <v>36.22</v>
      </c>
      <c r="N2762" s="3">
        <v>74.99</v>
      </c>
      <c r="O2762" s="2" t="s">
        <v>243</v>
      </c>
      <c r="P2762" s="2" t="s">
        <v>4057</v>
      </c>
      <c r="Q2762" s="2" t="s">
        <v>237</v>
      </c>
      <c r="R2762" s="2" t="s">
        <v>231</v>
      </c>
      <c r="S2762" s="2" t="s">
        <v>11714</v>
      </c>
      <c r="T2762" s="2" t="s">
        <v>1630</v>
      </c>
      <c r="U2762" s="2" t="s">
        <v>298</v>
      </c>
      <c r="V2762" s="2" t="s">
        <v>239</v>
      </c>
      <c r="W2762" s="2" t="s">
        <v>273</v>
      </c>
      <c r="X2762" s="2" t="s">
        <v>231</v>
      </c>
      <c r="Y2762" s="2" t="s">
        <v>274</v>
      </c>
      <c r="Z2762" s="4">
        <v>2</v>
      </c>
      <c r="AA2762" s="4">
        <f>=ROUNDDOWN(0.0465116279069767,0)</f>
      </c>
      <c r="AB2762" s="5">
        <v>43</v>
      </c>
      <c r="AC2762" s="2" t="s">
        <v>911</v>
      </c>
      <c r="AD2762" s="4">
        <v>290</v>
      </c>
      <c r="AE2762" s="4">
        <v>1210</v>
      </c>
      <c r="AF2762" s="6">
        <v>65</v>
      </c>
      <c r="AG2762" s="6"/>
      <c r="AH2762" s="7">
        <v>0</v>
      </c>
      <c r="AI2762" s="4"/>
      <c r="AJ2762" s="4">
        <f>=ROUNDDOWN({0},0)</f>
      </c>
      <c r="AK2762" s="5"/>
      <c r="AL2762" s="2" t="s">
        <v>231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231</v>
      </c>
      <c r="AW2762" s="8" t="s">
        <v>231</v>
      </c>
      <c r="AX2762" s="4" t="s">
        <v>231</v>
      </c>
      <c r="AY2762" s="8" t="s">
        <v>231</v>
      </c>
      <c r="AZ2762" s="7" t="s">
        <v>231</v>
      </c>
      <c r="BA2762" s="7" t="s">
        <v>231</v>
      </c>
      <c r="BB2762" s="7"/>
      <c r="BC2762" s="4" t="s">
        <v>231</v>
      </c>
      <c r="BD2762" s="8" t="s">
        <v>231</v>
      </c>
      <c r="BE2762" s="4" t="s">
        <v>231</v>
      </c>
      <c r="BF2762" s="8" t="s">
        <v>231</v>
      </c>
      <c r="BG2762" s="7" t="s">
        <v>231</v>
      </c>
      <c r="BH2762" s="7" t="s">
        <v>231</v>
      </c>
      <c r="BI2762" s="7"/>
      <c r="BJ2762" s="4">
        <v>1</v>
      </c>
      <c r="BK2762" s="8">
        <v>74.99</v>
      </c>
      <c r="BL2762" s="2" t="s">
        <v>11721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11722</v>
      </c>
      <c r="BV2762" s="2" t="s">
        <v>231</v>
      </c>
      <c r="BW2762" s="2" t="s">
        <v>231</v>
      </c>
      <c r="BX2762" s="2" t="s">
        <v>241</v>
      </c>
      <c r="BY2762" s="2" t="s">
        <v>277</v>
      </c>
      <c r="BZ2762" s="2" t="s">
        <v>243</v>
      </c>
      <c r="CA2762" s="2" t="s">
        <v>1633</v>
      </c>
      <c r="CB2762" s="2" t="s">
        <v>617</v>
      </c>
      <c r="CC2762" s="2" t="s">
        <v>244</v>
      </c>
      <c r="CD2762" s="2" t="s">
        <v>231</v>
      </c>
      <c r="CE2762" s="4">
        <v>2</v>
      </c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4"/>
      <c r="CX2762" s="4"/>
      <c r="CY2762" s="4"/>
      <c r="CZ2762" s="4"/>
      <c r="DA2762" s="4"/>
      <c r="DB2762" s="4"/>
      <c r="DC2762" s="4"/>
      <c r="DD2762" s="4"/>
      <c r="DE2762" s="4"/>
      <c r="DF2762" s="4"/>
      <c r="DG2762" s="4"/>
      <c r="DH2762" s="4"/>
      <c r="DI2762" s="4"/>
      <c r="DJ2762" s="4"/>
      <c r="DK2762" s="4"/>
      <c r="DL2762" s="4"/>
      <c r="DM2762" s="4"/>
      <c r="DN2762" s="4"/>
      <c r="DO2762" s="4"/>
      <c r="DP2762" s="4"/>
      <c r="DQ2762" s="4"/>
      <c r="DR2762" s="4"/>
      <c r="DS2762" s="4"/>
      <c r="DT2762" s="4"/>
      <c r="DU2762" s="4"/>
      <c r="DV2762" s="4"/>
      <c r="DW2762" s="4"/>
      <c r="DX2762" s="4"/>
      <c r="DY2762" s="4">
        <v>290</v>
      </c>
      <c r="DZ2762" s="4"/>
      <c r="EA2762" s="4"/>
      <c r="EB2762" s="4"/>
      <c r="EC2762" s="4"/>
      <c r="ED2762" s="4"/>
      <c r="EE2762" s="4"/>
      <c r="EF2762" s="4"/>
      <c r="EG2762" s="4"/>
      <c r="EH2762" s="4"/>
      <c r="EI2762" s="4"/>
      <c r="EJ2762" s="4"/>
      <c r="EK2762" s="4"/>
      <c r="EL2762" s="4"/>
      <c r="EM2762" s="4"/>
      <c r="EN2762" s="4"/>
      <c r="EO2762" s="4"/>
      <c r="EP2762" s="4"/>
      <c r="EQ2762" s="4"/>
      <c r="ER2762" s="4"/>
      <c r="ES2762" s="4"/>
      <c r="ET2762" s="4"/>
      <c r="EU2762" s="4"/>
      <c r="EV2762" s="4"/>
      <c r="EW2762" s="4"/>
      <c r="EX2762" s="4"/>
      <c r="EY2762" s="4"/>
      <c r="EZ2762" s="4"/>
      <c r="FA2762" s="4"/>
      <c r="FB2762" s="4"/>
      <c r="FC2762" s="4"/>
      <c r="FD2762" s="4"/>
      <c r="FE2762" s="4"/>
      <c r="FF2762" s="4"/>
      <c r="FG2762" s="4"/>
      <c r="FH2762" s="4"/>
      <c r="FI2762" s="4"/>
      <c r="FJ2762" s="4"/>
      <c r="FK2762" s="4"/>
      <c r="FL2762" s="4"/>
      <c r="FM2762" s="4"/>
      <c r="FN2762" s="4"/>
      <c r="FO2762" s="4"/>
      <c r="FP2762" s="4"/>
      <c r="FQ2762" s="4"/>
      <c r="FR2762" s="4"/>
      <c r="FS2762" s="4"/>
      <c r="FT2762" s="4"/>
      <c r="FU2762" s="4"/>
      <c r="FV2762" s="4">
        <v>640</v>
      </c>
      <c r="FW2762" s="4"/>
      <c r="FX2762" s="4"/>
      <c r="FY2762" s="4"/>
      <c r="FZ2762" s="4"/>
      <c r="GA2762" s="4"/>
      <c r="GB2762" s="4"/>
      <c r="GC2762" s="4"/>
      <c r="GD2762" s="4"/>
      <c r="GE2762" s="4"/>
      <c r="GF2762" s="4"/>
      <c r="GG2762" s="4"/>
      <c r="GH2762" s="4"/>
      <c r="GI2762" s="4"/>
      <c r="GJ2762" s="4"/>
      <c r="GK2762" s="4"/>
      <c r="GL2762" s="4"/>
      <c r="GM2762" s="4"/>
      <c r="GN2762" s="4"/>
      <c r="GO2762" s="4"/>
      <c r="GP2762" s="4"/>
      <c r="GQ2762" s="4">
        <v>280</v>
      </c>
      <c r="GR2762" s="4"/>
      <c r="GS2762" s="4"/>
      <c r="GT2762" s="4"/>
      <c r="GU2762" s="4"/>
      <c r="GV2762" s="4"/>
      <c r="GW2762" s="4"/>
      <c r="GX2762" s="4"/>
      <c r="GY2762" s="4"/>
      <c r="GZ2762" s="4"/>
      <c r="HA2762" s="4"/>
      <c r="HB2762" s="4"/>
      <c r="HC2762" s="4"/>
      <c r="HD2762" s="4"/>
      <c r="HE2762" s="4"/>
      <c r="HF2762" s="4"/>
      <c r="HG2762" s="4"/>
      <c r="HH2762" s="4"/>
      <c r="HI2762" s="4"/>
      <c r="HJ2762" s="4"/>
      <c r="HK2762" s="4"/>
      <c r="HL2762" s="4"/>
    </row>
    <row r="2763">
      <c r="A2763" s="2" t="s">
        <v>11723</v>
      </c>
      <c r="B2763" s="2" t="s">
        <v>287</v>
      </c>
      <c r="C2763" s="2" t="s">
        <v>965</v>
      </c>
      <c r="D2763" s="2" t="s">
        <v>289</v>
      </c>
      <c r="E2763" s="2" t="s">
        <v>290</v>
      </c>
      <c r="F2763" s="2" t="s">
        <v>11668</v>
      </c>
      <c r="G2763" s="2" t="s">
        <v>11668</v>
      </c>
      <c r="H2763" s="2" t="s">
        <v>11668</v>
      </c>
      <c r="I2763" s="2" t="s">
        <v>11669</v>
      </c>
      <c r="J2763" s="2" t="s">
        <v>318</v>
      </c>
      <c r="K2763" s="2" t="s">
        <v>452</v>
      </c>
      <c r="L2763" s="3">
        <v>19.78</v>
      </c>
      <c r="M2763" s="3">
        <v>20.77</v>
      </c>
      <c r="N2763" s="3">
        <v>42.99</v>
      </c>
      <c r="O2763" s="2" t="s">
        <v>243</v>
      </c>
      <c r="P2763" s="2" t="s">
        <v>295</v>
      </c>
      <c r="Q2763" s="2" t="s">
        <v>237</v>
      </c>
      <c r="R2763" s="2" t="s">
        <v>231</v>
      </c>
      <c r="S2763" s="2" t="s">
        <v>11724</v>
      </c>
      <c r="T2763" s="2" t="s">
        <v>1630</v>
      </c>
      <c r="U2763" s="2" t="s">
        <v>835</v>
      </c>
      <c r="V2763" s="2" t="s">
        <v>239</v>
      </c>
      <c r="W2763" s="2" t="s">
        <v>273</v>
      </c>
      <c r="X2763" s="2" t="s">
        <v>231</v>
      </c>
      <c r="Y2763" s="2" t="s">
        <v>231</v>
      </c>
      <c r="Z2763" s="4"/>
      <c r="AA2763" s="4">
        <f>=ROUNDDOWN({0},0)</f>
      </c>
      <c r="AB2763" s="5"/>
      <c r="AC2763" s="2" t="s">
        <v>1556</v>
      </c>
      <c r="AD2763" s="4">
        <v>150</v>
      </c>
      <c r="AE2763" s="4">
        <v>240</v>
      </c>
      <c r="AF2763" s="6">
        <v>65</v>
      </c>
      <c r="AG2763" s="6"/>
      <c r="AH2763" s="7">
        <v>0</v>
      </c>
      <c r="AI2763" s="4"/>
      <c r="AJ2763" s="4">
        <f>=ROUNDDOWN({0},0)</f>
      </c>
      <c r="AK2763" s="5"/>
      <c r="AL2763" s="2" t="s">
        <v>231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231</v>
      </c>
      <c r="AW2763" s="8" t="s">
        <v>231</v>
      </c>
      <c r="AX2763" s="4" t="s">
        <v>231</v>
      </c>
      <c r="AY2763" s="8" t="s">
        <v>231</v>
      </c>
      <c r="AZ2763" s="7" t="s">
        <v>231</v>
      </c>
      <c r="BA2763" s="7" t="s">
        <v>231</v>
      </c>
      <c r="BB2763" s="7"/>
      <c r="BC2763" s="4" t="s">
        <v>231</v>
      </c>
      <c r="BD2763" s="8" t="s">
        <v>231</v>
      </c>
      <c r="BE2763" s="4" t="s">
        <v>231</v>
      </c>
      <c r="BF2763" s="8" t="s">
        <v>231</v>
      </c>
      <c r="BG2763" s="7" t="s">
        <v>231</v>
      </c>
      <c r="BH2763" s="7" t="s">
        <v>231</v>
      </c>
      <c r="BI2763" s="7"/>
      <c r="BJ2763" s="4"/>
      <c r="BK2763" s="8"/>
      <c r="BL2763" s="2" t="s">
        <v>231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241</v>
      </c>
      <c r="BV2763" s="2" t="s">
        <v>231</v>
      </c>
      <c r="BW2763" s="2" t="s">
        <v>231</v>
      </c>
      <c r="BX2763" s="2" t="s">
        <v>241</v>
      </c>
      <c r="BY2763" s="2" t="s">
        <v>242</v>
      </c>
      <c r="BZ2763" s="2" t="s">
        <v>243</v>
      </c>
      <c r="CA2763" s="2" t="s">
        <v>231</v>
      </c>
      <c r="CB2763" s="2" t="s">
        <v>231</v>
      </c>
      <c r="CC2763" s="2" t="s">
        <v>244</v>
      </c>
      <c r="CD2763" s="2" t="s">
        <v>231</v>
      </c>
      <c r="CE2763" s="4"/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4"/>
      <c r="CX2763" s="4"/>
      <c r="CY2763" s="4"/>
      <c r="CZ2763" s="4"/>
      <c r="DA2763" s="4"/>
      <c r="DB2763" s="4"/>
      <c r="DC2763" s="4"/>
      <c r="DD2763" s="4"/>
      <c r="DE2763" s="4"/>
      <c r="DF2763" s="4"/>
      <c r="DG2763" s="4"/>
      <c r="DH2763" s="4"/>
      <c r="DI2763" s="4"/>
      <c r="DJ2763" s="4"/>
      <c r="DK2763" s="4"/>
      <c r="DL2763" s="4"/>
      <c r="DM2763" s="4"/>
      <c r="DN2763" s="4"/>
      <c r="DO2763" s="4"/>
      <c r="DP2763" s="4"/>
      <c r="DQ2763" s="4"/>
      <c r="DR2763" s="4"/>
      <c r="DS2763" s="4"/>
      <c r="DT2763" s="4"/>
      <c r="DU2763" s="4"/>
      <c r="DV2763" s="4"/>
      <c r="DW2763" s="4"/>
      <c r="DX2763" s="4"/>
      <c r="DY2763" s="4"/>
      <c r="DZ2763" s="4"/>
      <c r="EA2763" s="4"/>
      <c r="EB2763" s="4"/>
      <c r="EC2763" s="4"/>
      <c r="ED2763" s="4"/>
      <c r="EE2763" s="4"/>
      <c r="EF2763" s="4"/>
      <c r="EG2763" s="4"/>
      <c r="EH2763" s="4"/>
      <c r="EI2763" s="4"/>
      <c r="EJ2763" s="4"/>
      <c r="EK2763" s="4"/>
      <c r="EL2763" s="4"/>
      <c r="EM2763" s="4"/>
      <c r="EN2763" s="4"/>
      <c r="EO2763" s="4"/>
      <c r="EP2763" s="4"/>
      <c r="EQ2763" s="4"/>
      <c r="ER2763" s="4"/>
      <c r="ES2763" s="4"/>
      <c r="ET2763" s="4"/>
      <c r="EU2763" s="4"/>
      <c r="EV2763" s="4"/>
      <c r="EW2763" s="4"/>
      <c r="EX2763" s="4"/>
      <c r="EY2763" s="4"/>
      <c r="EZ2763" s="4"/>
      <c r="FA2763" s="4"/>
      <c r="FB2763" s="4"/>
      <c r="FC2763" s="4"/>
      <c r="FD2763" s="4"/>
      <c r="FE2763" s="4"/>
      <c r="FF2763" s="4"/>
      <c r="FG2763" s="4"/>
      <c r="FH2763" s="4"/>
      <c r="FI2763" s="4"/>
      <c r="FJ2763" s="4"/>
      <c r="FK2763" s="4"/>
      <c r="FL2763" s="4"/>
      <c r="FM2763" s="4"/>
      <c r="FN2763" s="4"/>
      <c r="FO2763" s="4"/>
      <c r="FP2763" s="4"/>
      <c r="FQ2763" s="4"/>
      <c r="FR2763" s="4"/>
      <c r="FS2763" s="4"/>
      <c r="FT2763" s="4"/>
      <c r="FU2763" s="4"/>
      <c r="FV2763" s="4"/>
      <c r="FW2763" s="4"/>
      <c r="FX2763" s="4"/>
      <c r="FY2763" s="4"/>
      <c r="FZ2763" s="4"/>
      <c r="GA2763" s="4"/>
      <c r="GB2763" s="4"/>
      <c r="GC2763" s="4"/>
      <c r="GD2763" s="4">
        <v>150</v>
      </c>
      <c r="GE2763" s="4"/>
      <c r="GF2763" s="4"/>
      <c r="GG2763" s="4"/>
      <c r="GH2763" s="4"/>
      <c r="GI2763" s="4"/>
      <c r="GJ2763" s="4"/>
      <c r="GK2763" s="4"/>
      <c r="GL2763" s="4"/>
      <c r="GM2763" s="4"/>
      <c r="GN2763" s="4"/>
      <c r="GO2763" s="4"/>
      <c r="GP2763" s="4"/>
      <c r="GQ2763" s="4"/>
      <c r="GR2763" s="4"/>
      <c r="GS2763" s="4"/>
      <c r="GT2763" s="4"/>
      <c r="GU2763" s="4"/>
      <c r="GV2763" s="4"/>
      <c r="GW2763" s="4"/>
      <c r="GX2763" s="4"/>
      <c r="GY2763" s="4"/>
      <c r="GZ2763" s="4"/>
      <c r="HA2763" s="4">
        <v>90</v>
      </c>
      <c r="HB2763" s="4"/>
      <c r="HC2763" s="4"/>
      <c r="HD2763" s="4"/>
      <c r="HE2763" s="4"/>
      <c r="HF2763" s="4"/>
      <c r="HG2763" s="4"/>
      <c r="HH2763" s="4"/>
      <c r="HI2763" s="4"/>
      <c r="HJ2763" s="4"/>
      <c r="HK2763" s="4"/>
      <c r="HL2763" s="4"/>
    </row>
    <row r="2764">
      <c r="A2764" s="2" t="s">
        <v>11725</v>
      </c>
      <c r="B2764" s="2" t="s">
        <v>287</v>
      </c>
      <c r="C2764" s="2" t="s">
        <v>965</v>
      </c>
      <c r="D2764" s="2" t="s">
        <v>289</v>
      </c>
      <c r="E2764" s="2" t="s">
        <v>290</v>
      </c>
      <c r="F2764" s="2" t="s">
        <v>11668</v>
      </c>
      <c r="G2764" s="2" t="s">
        <v>11668</v>
      </c>
      <c r="H2764" s="2" t="s">
        <v>11668</v>
      </c>
      <c r="I2764" s="2" t="s">
        <v>11669</v>
      </c>
      <c r="J2764" s="2" t="s">
        <v>281</v>
      </c>
      <c r="K2764" s="2" t="s">
        <v>452</v>
      </c>
      <c r="L2764" s="3">
        <v>25.3</v>
      </c>
      <c r="M2764" s="3">
        <v>26.57</v>
      </c>
      <c r="N2764" s="3">
        <v>54.99</v>
      </c>
      <c r="O2764" s="2" t="s">
        <v>243</v>
      </c>
      <c r="P2764" s="2" t="s">
        <v>295</v>
      </c>
      <c r="Q2764" s="2" t="s">
        <v>237</v>
      </c>
      <c r="R2764" s="2" t="s">
        <v>231</v>
      </c>
      <c r="S2764" s="2" t="s">
        <v>11724</v>
      </c>
      <c r="T2764" s="2" t="s">
        <v>1630</v>
      </c>
      <c r="U2764" s="2" t="s">
        <v>298</v>
      </c>
      <c r="V2764" s="2" t="s">
        <v>239</v>
      </c>
      <c r="W2764" s="2" t="s">
        <v>273</v>
      </c>
      <c r="X2764" s="2" t="s">
        <v>231</v>
      </c>
      <c r="Y2764" s="2" t="s">
        <v>231</v>
      </c>
      <c r="Z2764" s="4"/>
      <c r="AA2764" s="4">
        <f>=ROUNDDOWN({0},0)</f>
      </c>
      <c r="AB2764" s="5"/>
      <c r="AC2764" s="2" t="s">
        <v>1556</v>
      </c>
      <c r="AD2764" s="4">
        <v>190</v>
      </c>
      <c r="AE2764" s="4">
        <v>310</v>
      </c>
      <c r="AF2764" s="6">
        <v>65</v>
      </c>
      <c r="AG2764" s="6"/>
      <c r="AH2764" s="7">
        <v>0</v>
      </c>
      <c r="AI2764" s="4"/>
      <c r="AJ2764" s="4">
        <f>=ROUNDDOWN({0},0)</f>
      </c>
      <c r="AK2764" s="5"/>
      <c r="AL2764" s="2" t="s">
        <v>231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231</v>
      </c>
      <c r="AW2764" s="8" t="s">
        <v>231</v>
      </c>
      <c r="AX2764" s="4" t="s">
        <v>231</v>
      </c>
      <c r="AY2764" s="8" t="s">
        <v>231</v>
      </c>
      <c r="AZ2764" s="7" t="s">
        <v>231</v>
      </c>
      <c r="BA2764" s="7" t="s">
        <v>231</v>
      </c>
      <c r="BB2764" s="7"/>
      <c r="BC2764" s="4" t="s">
        <v>231</v>
      </c>
      <c r="BD2764" s="8" t="s">
        <v>231</v>
      </c>
      <c r="BE2764" s="4" t="s">
        <v>231</v>
      </c>
      <c r="BF2764" s="8" t="s">
        <v>231</v>
      </c>
      <c r="BG2764" s="7" t="s">
        <v>231</v>
      </c>
      <c r="BH2764" s="7" t="s">
        <v>231</v>
      </c>
      <c r="BI2764" s="7"/>
      <c r="BJ2764" s="4"/>
      <c r="BK2764" s="8"/>
      <c r="BL2764" s="2" t="s">
        <v>231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241</v>
      </c>
      <c r="BV2764" s="2" t="s">
        <v>231</v>
      </c>
      <c r="BW2764" s="2" t="s">
        <v>231</v>
      </c>
      <c r="BX2764" s="2" t="s">
        <v>241</v>
      </c>
      <c r="BY2764" s="2" t="s">
        <v>242</v>
      </c>
      <c r="BZ2764" s="2" t="s">
        <v>243</v>
      </c>
      <c r="CA2764" s="2" t="s">
        <v>231</v>
      </c>
      <c r="CB2764" s="2" t="s">
        <v>231</v>
      </c>
      <c r="CC2764" s="2" t="s">
        <v>244</v>
      </c>
      <c r="CD2764" s="2" t="s">
        <v>231</v>
      </c>
      <c r="CE2764" s="4"/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4"/>
      <c r="CX2764" s="4"/>
      <c r="CY2764" s="4"/>
      <c r="CZ2764" s="4"/>
      <c r="DA2764" s="4"/>
      <c r="DB2764" s="4"/>
      <c r="DC2764" s="4"/>
      <c r="DD2764" s="4"/>
      <c r="DE2764" s="4"/>
      <c r="DF2764" s="4"/>
      <c r="DG2764" s="4"/>
      <c r="DH2764" s="4"/>
      <c r="DI2764" s="4"/>
      <c r="DJ2764" s="4"/>
      <c r="DK2764" s="4"/>
      <c r="DL2764" s="4"/>
      <c r="DM2764" s="4"/>
      <c r="DN2764" s="4"/>
      <c r="DO2764" s="4"/>
      <c r="DP2764" s="4"/>
      <c r="DQ2764" s="4"/>
      <c r="DR2764" s="4"/>
      <c r="DS2764" s="4"/>
      <c r="DT2764" s="4"/>
      <c r="DU2764" s="4"/>
      <c r="DV2764" s="4"/>
      <c r="DW2764" s="4"/>
      <c r="DX2764" s="4"/>
      <c r="DY2764" s="4"/>
      <c r="DZ2764" s="4"/>
      <c r="EA2764" s="4"/>
      <c r="EB2764" s="4"/>
      <c r="EC2764" s="4"/>
      <c r="ED2764" s="4"/>
      <c r="EE2764" s="4"/>
      <c r="EF2764" s="4"/>
      <c r="EG2764" s="4"/>
      <c r="EH2764" s="4"/>
      <c r="EI2764" s="4"/>
      <c r="EJ2764" s="4"/>
      <c r="EK2764" s="4"/>
      <c r="EL2764" s="4"/>
      <c r="EM2764" s="4"/>
      <c r="EN2764" s="4"/>
      <c r="EO2764" s="4"/>
      <c r="EP2764" s="4"/>
      <c r="EQ2764" s="4"/>
      <c r="ER2764" s="4"/>
      <c r="ES2764" s="4"/>
      <c r="ET2764" s="4"/>
      <c r="EU2764" s="4"/>
      <c r="EV2764" s="4"/>
      <c r="EW2764" s="4"/>
      <c r="EX2764" s="4"/>
      <c r="EY2764" s="4"/>
      <c r="EZ2764" s="4"/>
      <c r="FA2764" s="4"/>
      <c r="FB2764" s="4"/>
      <c r="FC2764" s="4"/>
      <c r="FD2764" s="4"/>
      <c r="FE2764" s="4"/>
      <c r="FF2764" s="4"/>
      <c r="FG2764" s="4"/>
      <c r="FH2764" s="4"/>
      <c r="FI2764" s="4"/>
      <c r="FJ2764" s="4"/>
      <c r="FK2764" s="4"/>
      <c r="FL2764" s="4"/>
      <c r="FM2764" s="4"/>
      <c r="FN2764" s="4"/>
      <c r="FO2764" s="4"/>
      <c r="FP2764" s="4"/>
      <c r="FQ2764" s="4"/>
      <c r="FR2764" s="4"/>
      <c r="FS2764" s="4"/>
      <c r="FT2764" s="4"/>
      <c r="FU2764" s="4"/>
      <c r="FV2764" s="4"/>
      <c r="FW2764" s="4"/>
      <c r="FX2764" s="4"/>
      <c r="FY2764" s="4"/>
      <c r="FZ2764" s="4"/>
      <c r="GA2764" s="4"/>
      <c r="GB2764" s="4"/>
      <c r="GC2764" s="4"/>
      <c r="GD2764" s="4">
        <v>190</v>
      </c>
      <c r="GE2764" s="4"/>
      <c r="GF2764" s="4"/>
      <c r="GG2764" s="4"/>
      <c r="GH2764" s="4"/>
      <c r="GI2764" s="4"/>
      <c r="GJ2764" s="4"/>
      <c r="GK2764" s="4"/>
      <c r="GL2764" s="4"/>
      <c r="GM2764" s="4"/>
      <c r="GN2764" s="4"/>
      <c r="GO2764" s="4"/>
      <c r="GP2764" s="4"/>
      <c r="GQ2764" s="4"/>
      <c r="GR2764" s="4"/>
      <c r="GS2764" s="4"/>
      <c r="GT2764" s="4"/>
      <c r="GU2764" s="4"/>
      <c r="GV2764" s="4"/>
      <c r="GW2764" s="4"/>
      <c r="GX2764" s="4"/>
      <c r="GY2764" s="4"/>
      <c r="GZ2764" s="4"/>
      <c r="HA2764" s="4">
        <v>120</v>
      </c>
      <c r="HB2764" s="4"/>
      <c r="HC2764" s="4"/>
      <c r="HD2764" s="4"/>
      <c r="HE2764" s="4"/>
      <c r="HF2764" s="4"/>
      <c r="HG2764" s="4"/>
      <c r="HH2764" s="4"/>
      <c r="HI2764" s="4"/>
      <c r="HJ2764" s="4"/>
      <c r="HK2764" s="4"/>
      <c r="HL2764" s="4"/>
    </row>
    <row r="2765">
      <c r="A2765" s="2" t="s">
        <v>11726</v>
      </c>
      <c r="B2765" s="2" t="s">
        <v>287</v>
      </c>
      <c r="C2765" s="2" t="s">
        <v>965</v>
      </c>
      <c r="D2765" s="2" t="s">
        <v>289</v>
      </c>
      <c r="E2765" s="2" t="s">
        <v>290</v>
      </c>
      <c r="F2765" s="2" t="s">
        <v>11668</v>
      </c>
      <c r="G2765" s="2" t="s">
        <v>11668</v>
      </c>
      <c r="H2765" s="2" t="s">
        <v>11668</v>
      </c>
      <c r="I2765" s="2" t="s">
        <v>11669</v>
      </c>
      <c r="J2765" s="2" t="s">
        <v>293</v>
      </c>
      <c r="K2765" s="2" t="s">
        <v>452</v>
      </c>
      <c r="L2765" s="3">
        <v>28.35</v>
      </c>
      <c r="M2765" s="3">
        <v>29.77</v>
      </c>
      <c r="N2765" s="3">
        <v>62.99</v>
      </c>
      <c r="O2765" s="2" t="s">
        <v>243</v>
      </c>
      <c r="P2765" s="2" t="s">
        <v>295</v>
      </c>
      <c r="Q2765" s="2" t="s">
        <v>237</v>
      </c>
      <c r="R2765" s="2" t="s">
        <v>231</v>
      </c>
      <c r="S2765" s="2" t="s">
        <v>11724</v>
      </c>
      <c r="T2765" s="2" t="s">
        <v>1630</v>
      </c>
      <c r="U2765" s="2" t="s">
        <v>298</v>
      </c>
      <c r="V2765" s="2" t="s">
        <v>239</v>
      </c>
      <c r="W2765" s="2" t="s">
        <v>273</v>
      </c>
      <c r="X2765" s="2" t="s">
        <v>231</v>
      </c>
      <c r="Y2765" s="2" t="s">
        <v>231</v>
      </c>
      <c r="Z2765" s="4"/>
      <c r="AA2765" s="4">
        <f>=ROUNDDOWN({0},0)</f>
      </c>
      <c r="AB2765" s="5"/>
      <c r="AC2765" s="2" t="s">
        <v>1556</v>
      </c>
      <c r="AD2765" s="4">
        <v>910</v>
      </c>
      <c r="AE2765" s="4">
        <v>1460</v>
      </c>
      <c r="AF2765" s="6">
        <v>65</v>
      </c>
      <c r="AG2765" s="6"/>
      <c r="AH2765" s="7">
        <v>0</v>
      </c>
      <c r="AI2765" s="4"/>
      <c r="AJ2765" s="4">
        <f>=ROUNDDOWN({0},0)</f>
      </c>
      <c r="AK2765" s="5"/>
      <c r="AL2765" s="2" t="s">
        <v>231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231</v>
      </c>
      <c r="AW2765" s="8" t="s">
        <v>231</v>
      </c>
      <c r="AX2765" s="4" t="s">
        <v>231</v>
      </c>
      <c r="AY2765" s="8" t="s">
        <v>231</v>
      </c>
      <c r="AZ2765" s="7" t="s">
        <v>231</v>
      </c>
      <c r="BA2765" s="7" t="s">
        <v>231</v>
      </c>
      <c r="BB2765" s="7"/>
      <c r="BC2765" s="4" t="s">
        <v>231</v>
      </c>
      <c r="BD2765" s="8" t="s">
        <v>231</v>
      </c>
      <c r="BE2765" s="4" t="s">
        <v>231</v>
      </c>
      <c r="BF2765" s="8" t="s">
        <v>231</v>
      </c>
      <c r="BG2765" s="7" t="s">
        <v>231</v>
      </c>
      <c r="BH2765" s="7" t="s">
        <v>231</v>
      </c>
      <c r="BI2765" s="7"/>
      <c r="BJ2765" s="4"/>
      <c r="BK2765" s="8"/>
      <c r="BL2765" s="2" t="s">
        <v>231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241</v>
      </c>
      <c r="BV2765" s="2" t="s">
        <v>231</v>
      </c>
      <c r="BW2765" s="2" t="s">
        <v>231</v>
      </c>
      <c r="BX2765" s="2" t="s">
        <v>241</v>
      </c>
      <c r="BY2765" s="2" t="s">
        <v>242</v>
      </c>
      <c r="BZ2765" s="2" t="s">
        <v>243</v>
      </c>
      <c r="CA2765" s="2" t="s">
        <v>231</v>
      </c>
      <c r="CB2765" s="2" t="s">
        <v>231</v>
      </c>
      <c r="CC2765" s="2" t="s">
        <v>244</v>
      </c>
      <c r="CD2765" s="2" t="s">
        <v>231</v>
      </c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/>
      <c r="DO2765" s="4"/>
      <c r="DP2765" s="4"/>
      <c r="DQ2765" s="4"/>
      <c r="DR2765" s="4"/>
      <c r="DS2765" s="4"/>
      <c r="DT2765" s="4"/>
      <c r="DU2765" s="4"/>
      <c r="DV2765" s="4"/>
      <c r="DW2765" s="4"/>
      <c r="DX2765" s="4"/>
      <c r="DY2765" s="4"/>
      <c r="DZ2765" s="4"/>
      <c r="EA2765" s="4"/>
      <c r="EB2765" s="4"/>
      <c r="EC2765" s="4"/>
      <c r="ED2765" s="4"/>
      <c r="EE2765" s="4"/>
      <c r="EF2765" s="4"/>
      <c r="EG2765" s="4"/>
      <c r="EH2765" s="4"/>
      <c r="EI2765" s="4"/>
      <c r="EJ2765" s="4"/>
      <c r="EK2765" s="4"/>
      <c r="EL2765" s="4"/>
      <c r="EM2765" s="4"/>
      <c r="EN2765" s="4"/>
      <c r="EO2765" s="4"/>
      <c r="EP2765" s="4"/>
      <c r="EQ2765" s="4"/>
      <c r="ER2765" s="4"/>
      <c r="ES2765" s="4"/>
      <c r="ET2765" s="4"/>
      <c r="EU2765" s="4"/>
      <c r="EV2765" s="4"/>
      <c r="EW2765" s="4"/>
      <c r="EX2765" s="4"/>
      <c r="EY2765" s="4"/>
      <c r="EZ2765" s="4"/>
      <c r="FA2765" s="4"/>
      <c r="FB2765" s="4"/>
      <c r="FC2765" s="4"/>
      <c r="FD2765" s="4"/>
      <c r="FE2765" s="4"/>
      <c r="FF2765" s="4"/>
      <c r="FG2765" s="4"/>
      <c r="FH2765" s="4"/>
      <c r="FI2765" s="4"/>
      <c r="FJ2765" s="4"/>
      <c r="FK2765" s="4"/>
      <c r="FL2765" s="4"/>
      <c r="FM2765" s="4"/>
      <c r="FN2765" s="4"/>
      <c r="FO2765" s="4"/>
      <c r="FP2765" s="4"/>
      <c r="FQ2765" s="4"/>
      <c r="FR2765" s="4"/>
      <c r="FS2765" s="4"/>
      <c r="FT2765" s="4"/>
      <c r="FU2765" s="4"/>
      <c r="FV2765" s="4"/>
      <c r="FW2765" s="4"/>
      <c r="FX2765" s="4"/>
      <c r="FY2765" s="4"/>
      <c r="FZ2765" s="4"/>
      <c r="GA2765" s="4"/>
      <c r="GB2765" s="4"/>
      <c r="GC2765" s="4"/>
      <c r="GD2765" s="4">
        <v>910</v>
      </c>
      <c r="GE2765" s="4"/>
      <c r="GF2765" s="4"/>
      <c r="GG2765" s="4"/>
      <c r="GH2765" s="4"/>
      <c r="GI2765" s="4"/>
      <c r="GJ2765" s="4"/>
      <c r="GK2765" s="4"/>
      <c r="GL2765" s="4"/>
      <c r="GM2765" s="4"/>
      <c r="GN2765" s="4"/>
      <c r="GO2765" s="4"/>
      <c r="GP2765" s="4"/>
      <c r="GQ2765" s="4"/>
      <c r="GR2765" s="4"/>
      <c r="GS2765" s="4"/>
      <c r="GT2765" s="4"/>
      <c r="GU2765" s="4"/>
      <c r="GV2765" s="4"/>
      <c r="GW2765" s="4"/>
      <c r="GX2765" s="4"/>
      <c r="GY2765" s="4"/>
      <c r="GZ2765" s="4"/>
      <c r="HA2765" s="4">
        <v>550</v>
      </c>
      <c r="HB2765" s="4"/>
      <c r="HC2765" s="4"/>
      <c r="HD2765" s="4"/>
      <c r="HE2765" s="4"/>
      <c r="HF2765" s="4"/>
      <c r="HG2765" s="4"/>
      <c r="HH2765" s="4"/>
      <c r="HI2765" s="4"/>
      <c r="HJ2765" s="4"/>
      <c r="HK2765" s="4"/>
      <c r="HL2765" s="4"/>
    </row>
    <row r="2766">
      <c r="A2766" s="2" t="s">
        <v>11727</v>
      </c>
      <c r="B2766" s="2" t="s">
        <v>287</v>
      </c>
      <c r="C2766" s="2" t="s">
        <v>965</v>
      </c>
      <c r="D2766" s="2" t="s">
        <v>289</v>
      </c>
      <c r="E2766" s="2" t="s">
        <v>290</v>
      </c>
      <c r="F2766" s="2" t="s">
        <v>11668</v>
      </c>
      <c r="G2766" s="2" t="s">
        <v>11668</v>
      </c>
      <c r="H2766" s="2" t="s">
        <v>11668</v>
      </c>
      <c r="I2766" s="2" t="s">
        <v>11669</v>
      </c>
      <c r="J2766" s="2" t="s">
        <v>302</v>
      </c>
      <c r="K2766" s="2" t="s">
        <v>452</v>
      </c>
      <c r="L2766" s="3">
        <v>34.5</v>
      </c>
      <c r="M2766" s="3">
        <v>36.23</v>
      </c>
      <c r="N2766" s="3">
        <v>74.99</v>
      </c>
      <c r="O2766" s="2" t="s">
        <v>243</v>
      </c>
      <c r="P2766" s="2" t="s">
        <v>295</v>
      </c>
      <c r="Q2766" s="2" t="s">
        <v>237</v>
      </c>
      <c r="R2766" s="2" t="s">
        <v>231</v>
      </c>
      <c r="S2766" s="2" t="s">
        <v>11724</v>
      </c>
      <c r="T2766" s="2" t="s">
        <v>1630</v>
      </c>
      <c r="U2766" s="2" t="s">
        <v>298</v>
      </c>
      <c r="V2766" s="2" t="s">
        <v>239</v>
      </c>
      <c r="W2766" s="2" t="s">
        <v>273</v>
      </c>
      <c r="X2766" s="2" t="s">
        <v>231</v>
      </c>
      <c r="Y2766" s="2" t="s">
        <v>231</v>
      </c>
      <c r="Z2766" s="4"/>
      <c r="AA2766" s="4">
        <f>=ROUNDDOWN({0},0)</f>
      </c>
      <c r="AB2766" s="5"/>
      <c r="AC2766" s="2" t="s">
        <v>1556</v>
      </c>
      <c r="AD2766" s="4">
        <v>420</v>
      </c>
      <c r="AE2766" s="4">
        <v>670</v>
      </c>
      <c r="AF2766" s="6">
        <v>65</v>
      </c>
      <c r="AG2766" s="6"/>
      <c r="AH2766" s="7">
        <v>0</v>
      </c>
      <c r="AI2766" s="4"/>
      <c r="AJ2766" s="4">
        <f>=ROUNDDOWN({0},0)</f>
      </c>
      <c r="AK2766" s="5"/>
      <c r="AL2766" s="2" t="s">
        <v>231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231</v>
      </c>
      <c r="AW2766" s="8" t="s">
        <v>231</v>
      </c>
      <c r="AX2766" s="4" t="s">
        <v>231</v>
      </c>
      <c r="AY2766" s="8" t="s">
        <v>231</v>
      </c>
      <c r="AZ2766" s="7" t="s">
        <v>231</v>
      </c>
      <c r="BA2766" s="7" t="s">
        <v>231</v>
      </c>
      <c r="BB2766" s="7"/>
      <c r="BC2766" s="4" t="s">
        <v>231</v>
      </c>
      <c r="BD2766" s="8" t="s">
        <v>231</v>
      </c>
      <c r="BE2766" s="4" t="s">
        <v>231</v>
      </c>
      <c r="BF2766" s="8" t="s">
        <v>231</v>
      </c>
      <c r="BG2766" s="7" t="s">
        <v>231</v>
      </c>
      <c r="BH2766" s="7" t="s">
        <v>231</v>
      </c>
      <c r="BI2766" s="7"/>
      <c r="BJ2766" s="4"/>
      <c r="BK2766" s="8"/>
      <c r="BL2766" s="2" t="s">
        <v>231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241</v>
      </c>
      <c r="BV2766" s="2" t="s">
        <v>231</v>
      </c>
      <c r="BW2766" s="2" t="s">
        <v>231</v>
      </c>
      <c r="BX2766" s="2" t="s">
        <v>241</v>
      </c>
      <c r="BY2766" s="2" t="s">
        <v>242</v>
      </c>
      <c r="BZ2766" s="2" t="s">
        <v>243</v>
      </c>
      <c r="CA2766" s="2" t="s">
        <v>231</v>
      </c>
      <c r="CB2766" s="2" t="s">
        <v>231</v>
      </c>
      <c r="CC2766" s="2" t="s">
        <v>244</v>
      </c>
      <c r="CD2766" s="2" t="s">
        <v>231</v>
      </c>
      <c r="CE2766" s="4"/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4"/>
      <c r="CX2766" s="4"/>
      <c r="CY2766" s="4"/>
      <c r="CZ2766" s="4"/>
      <c r="DA2766" s="4"/>
      <c r="DB2766" s="4"/>
      <c r="DC2766" s="4"/>
      <c r="DD2766" s="4"/>
      <c r="DE2766" s="4"/>
      <c r="DF2766" s="4"/>
      <c r="DG2766" s="4"/>
      <c r="DH2766" s="4"/>
      <c r="DI2766" s="4"/>
      <c r="DJ2766" s="4"/>
      <c r="DK2766" s="4"/>
      <c r="DL2766" s="4"/>
      <c r="DM2766" s="4"/>
      <c r="DN2766" s="4"/>
      <c r="DO2766" s="4"/>
      <c r="DP2766" s="4"/>
      <c r="DQ2766" s="4"/>
      <c r="DR2766" s="4"/>
      <c r="DS2766" s="4"/>
      <c r="DT2766" s="4"/>
      <c r="DU2766" s="4"/>
      <c r="DV2766" s="4"/>
      <c r="DW2766" s="4"/>
      <c r="DX2766" s="4"/>
      <c r="DY2766" s="4"/>
      <c r="DZ2766" s="4"/>
      <c r="EA2766" s="4"/>
      <c r="EB2766" s="4"/>
      <c r="EC2766" s="4"/>
      <c r="ED2766" s="4"/>
      <c r="EE2766" s="4"/>
      <c r="EF2766" s="4"/>
      <c r="EG2766" s="4"/>
      <c r="EH2766" s="4"/>
      <c r="EI2766" s="4"/>
      <c r="EJ2766" s="4"/>
      <c r="EK2766" s="4"/>
      <c r="EL2766" s="4"/>
      <c r="EM2766" s="4"/>
      <c r="EN2766" s="4"/>
      <c r="EO2766" s="4"/>
      <c r="EP2766" s="4"/>
      <c r="EQ2766" s="4"/>
      <c r="ER2766" s="4"/>
      <c r="ES2766" s="4"/>
      <c r="ET2766" s="4"/>
      <c r="EU2766" s="4"/>
      <c r="EV2766" s="4"/>
      <c r="EW2766" s="4"/>
      <c r="EX2766" s="4"/>
      <c r="EY2766" s="4"/>
      <c r="EZ2766" s="4"/>
      <c r="FA2766" s="4"/>
      <c r="FB2766" s="4"/>
      <c r="FC2766" s="4"/>
      <c r="FD2766" s="4"/>
      <c r="FE2766" s="4"/>
      <c r="FF2766" s="4"/>
      <c r="FG2766" s="4"/>
      <c r="FH2766" s="4"/>
      <c r="FI2766" s="4"/>
      <c r="FJ2766" s="4"/>
      <c r="FK2766" s="4"/>
      <c r="FL2766" s="4"/>
      <c r="FM2766" s="4"/>
      <c r="FN2766" s="4"/>
      <c r="FO2766" s="4"/>
      <c r="FP2766" s="4"/>
      <c r="FQ2766" s="4"/>
      <c r="FR2766" s="4"/>
      <c r="FS2766" s="4"/>
      <c r="FT2766" s="4"/>
      <c r="FU2766" s="4"/>
      <c r="FV2766" s="4"/>
      <c r="FW2766" s="4"/>
      <c r="FX2766" s="4"/>
      <c r="FY2766" s="4"/>
      <c r="FZ2766" s="4"/>
      <c r="GA2766" s="4"/>
      <c r="GB2766" s="4"/>
      <c r="GC2766" s="4"/>
      <c r="GD2766" s="4">
        <v>420</v>
      </c>
      <c r="GE2766" s="4"/>
      <c r="GF2766" s="4"/>
      <c r="GG2766" s="4"/>
      <c r="GH2766" s="4"/>
      <c r="GI2766" s="4"/>
      <c r="GJ2766" s="4"/>
      <c r="GK2766" s="4"/>
      <c r="GL2766" s="4"/>
      <c r="GM2766" s="4"/>
      <c r="GN2766" s="4"/>
      <c r="GO2766" s="4"/>
      <c r="GP2766" s="4"/>
      <c r="GQ2766" s="4"/>
      <c r="GR2766" s="4"/>
      <c r="GS2766" s="4"/>
      <c r="GT2766" s="4"/>
      <c r="GU2766" s="4"/>
      <c r="GV2766" s="4"/>
      <c r="GW2766" s="4"/>
      <c r="GX2766" s="4"/>
      <c r="GY2766" s="4"/>
      <c r="GZ2766" s="4"/>
      <c r="HA2766" s="4">
        <v>250</v>
      </c>
      <c r="HB2766" s="4"/>
      <c r="HC2766" s="4"/>
      <c r="HD2766" s="4"/>
      <c r="HE2766" s="4"/>
      <c r="HF2766" s="4"/>
      <c r="HG2766" s="4"/>
      <c r="HH2766" s="4"/>
      <c r="HI2766" s="4"/>
      <c r="HJ2766" s="4"/>
      <c r="HK2766" s="4"/>
      <c r="HL2766" s="4"/>
    </row>
    <row r="2767">
      <c r="A2767" s="2" t="s">
        <v>11728</v>
      </c>
      <c r="B2767" s="2" t="s">
        <v>287</v>
      </c>
      <c r="C2767" s="2" t="s">
        <v>965</v>
      </c>
      <c r="D2767" s="2" t="s">
        <v>289</v>
      </c>
      <c r="E2767" s="2" t="s">
        <v>290</v>
      </c>
      <c r="F2767" s="2" t="s">
        <v>11668</v>
      </c>
      <c r="G2767" s="2" t="s">
        <v>11668</v>
      </c>
      <c r="H2767" s="2" t="s">
        <v>11668</v>
      </c>
      <c r="I2767" s="2" t="s">
        <v>11669</v>
      </c>
      <c r="J2767" s="2" t="s">
        <v>293</v>
      </c>
      <c r="K2767" s="2" t="s">
        <v>723</v>
      </c>
      <c r="L2767" s="3">
        <v>28.35</v>
      </c>
      <c r="M2767" s="3">
        <v>29.77</v>
      </c>
      <c r="N2767" s="3">
        <v>62.99</v>
      </c>
      <c r="O2767" s="2" t="s">
        <v>243</v>
      </c>
      <c r="P2767" s="2" t="s">
        <v>341</v>
      </c>
      <c r="Q2767" s="2" t="s">
        <v>237</v>
      </c>
      <c r="R2767" s="2" t="s">
        <v>231</v>
      </c>
      <c r="S2767" s="2" t="s">
        <v>11729</v>
      </c>
      <c r="T2767" s="2" t="s">
        <v>1630</v>
      </c>
      <c r="U2767" s="2" t="s">
        <v>298</v>
      </c>
      <c r="V2767" s="2" t="s">
        <v>239</v>
      </c>
      <c r="W2767" s="2" t="s">
        <v>273</v>
      </c>
      <c r="X2767" s="2" t="s">
        <v>9587</v>
      </c>
      <c r="Y2767" s="2" t="s">
        <v>6637</v>
      </c>
      <c r="Z2767" s="4">
        <v>86</v>
      </c>
      <c r="AA2767" s="4">
        <f>=ROUNDDOWN(3.92694063926941,0)</f>
      </c>
      <c r="AB2767" s="5">
        <v>21.9</v>
      </c>
      <c r="AC2767" s="2" t="s">
        <v>231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231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 t="s">
        <v>231</v>
      </c>
      <c r="BD2767" s="8" t="s">
        <v>231</v>
      </c>
      <c r="BE2767" s="4" t="s">
        <v>231</v>
      </c>
      <c r="BF2767" s="8" t="s">
        <v>231</v>
      </c>
      <c r="BG2767" s="7" t="s">
        <v>231</v>
      </c>
      <c r="BH2767" s="7" t="s">
        <v>231</v>
      </c>
      <c r="BI2767" s="7"/>
      <c r="BJ2767" s="4">
        <v>30</v>
      </c>
      <c r="BK2767" s="8">
        <v>873.2</v>
      </c>
      <c r="BL2767" s="2" t="s">
        <v>11730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11731</v>
      </c>
      <c r="BV2767" s="2" t="s">
        <v>231</v>
      </c>
      <c r="BW2767" s="2" t="s">
        <v>231</v>
      </c>
      <c r="BX2767" s="2" t="s">
        <v>1360</v>
      </c>
      <c r="BY2767" s="2" t="s">
        <v>277</v>
      </c>
      <c r="BZ2767" s="2" t="s">
        <v>243</v>
      </c>
      <c r="CA2767" s="2" t="s">
        <v>6637</v>
      </c>
      <c r="CB2767" s="2" t="s">
        <v>3458</v>
      </c>
      <c r="CC2767" s="2" t="s">
        <v>244</v>
      </c>
      <c r="CD2767" s="2" t="s">
        <v>231</v>
      </c>
      <c r="CE2767" s="4">
        <v>86</v>
      </c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4"/>
      <c r="CX2767" s="4"/>
      <c r="CY2767" s="4"/>
      <c r="CZ2767" s="4"/>
      <c r="DA2767" s="4"/>
      <c r="DB2767" s="4"/>
      <c r="DC2767" s="4"/>
      <c r="DD2767" s="4"/>
      <c r="DE2767" s="4"/>
      <c r="DF2767" s="4"/>
      <c r="DG2767" s="4"/>
      <c r="DH2767" s="4"/>
      <c r="DI2767" s="4"/>
      <c r="DJ2767" s="4"/>
      <c r="DK2767" s="4"/>
      <c r="DL2767" s="4"/>
      <c r="DM2767" s="4"/>
      <c r="DN2767" s="4"/>
      <c r="DO2767" s="4"/>
      <c r="DP2767" s="4"/>
      <c r="DQ2767" s="4"/>
      <c r="DR2767" s="4"/>
      <c r="DS2767" s="4"/>
      <c r="DT2767" s="4"/>
      <c r="DU2767" s="4"/>
      <c r="DV2767" s="4"/>
      <c r="DW2767" s="4"/>
      <c r="DX2767" s="4"/>
      <c r="DY2767" s="4"/>
      <c r="DZ2767" s="4"/>
      <c r="EA2767" s="4"/>
      <c r="EB2767" s="4"/>
      <c r="EC2767" s="4"/>
      <c r="ED2767" s="4"/>
      <c r="EE2767" s="4"/>
      <c r="EF2767" s="4"/>
      <c r="EG2767" s="4"/>
      <c r="EH2767" s="4"/>
      <c r="EI2767" s="4"/>
      <c r="EJ2767" s="4"/>
      <c r="EK2767" s="4"/>
      <c r="EL2767" s="4"/>
      <c r="EM2767" s="4"/>
      <c r="EN2767" s="4"/>
      <c r="EO2767" s="4"/>
      <c r="EP2767" s="4"/>
      <c r="EQ2767" s="4"/>
      <c r="ER2767" s="4"/>
      <c r="ES2767" s="4"/>
      <c r="ET2767" s="4"/>
      <c r="EU2767" s="4"/>
      <c r="EV2767" s="4"/>
      <c r="EW2767" s="4"/>
      <c r="EX2767" s="4"/>
      <c r="EY2767" s="4"/>
      <c r="EZ2767" s="4"/>
      <c r="FA2767" s="4"/>
      <c r="FB2767" s="4"/>
      <c r="FC2767" s="4"/>
      <c r="FD2767" s="4"/>
      <c r="FE2767" s="4"/>
      <c r="FF2767" s="4"/>
      <c r="FG2767" s="4"/>
      <c r="FH2767" s="4"/>
      <c r="FI2767" s="4"/>
      <c r="FJ2767" s="4"/>
      <c r="FK2767" s="4"/>
      <c r="FL2767" s="4"/>
      <c r="FM2767" s="4"/>
      <c r="FN2767" s="4"/>
      <c r="FO2767" s="4"/>
      <c r="FP2767" s="4"/>
      <c r="FQ2767" s="4"/>
      <c r="FR2767" s="4"/>
      <c r="FS2767" s="4"/>
      <c r="FT2767" s="4"/>
      <c r="FU2767" s="4"/>
      <c r="FV2767" s="4"/>
      <c r="FW2767" s="4"/>
      <c r="FX2767" s="4"/>
      <c r="FY2767" s="4"/>
      <c r="FZ2767" s="4"/>
      <c r="GA2767" s="4"/>
      <c r="GB2767" s="4"/>
      <c r="GC2767" s="4"/>
      <c r="GD2767" s="4"/>
      <c r="GE2767" s="4"/>
      <c r="GF2767" s="4"/>
      <c r="GG2767" s="4"/>
      <c r="GH2767" s="4"/>
      <c r="GI2767" s="4"/>
      <c r="GJ2767" s="4"/>
      <c r="GK2767" s="4"/>
      <c r="GL2767" s="4"/>
      <c r="GM2767" s="4"/>
      <c r="GN2767" s="4"/>
      <c r="GO2767" s="4"/>
      <c r="GP2767" s="4"/>
      <c r="GQ2767" s="4"/>
      <c r="GR2767" s="4"/>
      <c r="GS2767" s="4"/>
      <c r="GT2767" s="4"/>
      <c r="GU2767" s="4"/>
      <c r="GV2767" s="4"/>
      <c r="GW2767" s="4"/>
      <c r="GX2767" s="4"/>
      <c r="GY2767" s="4"/>
      <c r="GZ2767" s="4"/>
      <c r="HA2767" s="4"/>
      <c r="HB2767" s="4"/>
      <c r="HC2767" s="4"/>
      <c r="HD2767" s="4"/>
      <c r="HE2767" s="4"/>
      <c r="HF2767" s="4"/>
      <c r="HG2767" s="4"/>
      <c r="HH2767" s="4"/>
      <c r="HI2767" s="4"/>
      <c r="HJ2767" s="4"/>
      <c r="HK2767" s="4"/>
      <c r="HL2767" s="4"/>
    </row>
    <row r="2768">
      <c r="A2768" s="2" t="s">
        <v>11732</v>
      </c>
      <c r="B2768" s="2" t="s">
        <v>1004</v>
      </c>
      <c r="C2768" s="2" t="s">
        <v>288</v>
      </c>
      <c r="D2768" s="2" t="s">
        <v>2130</v>
      </c>
      <c r="E2768" s="2" t="s">
        <v>2131</v>
      </c>
      <c r="F2768" s="2" t="s">
        <v>11733</v>
      </c>
      <c r="G2768" s="2" t="s">
        <v>2230</v>
      </c>
      <c r="H2768" s="2" t="s">
        <v>11734</v>
      </c>
      <c r="I2768" s="2" t="s">
        <v>11735</v>
      </c>
      <c r="J2768" s="2" t="s">
        <v>807</v>
      </c>
      <c r="K2768" s="2" t="s">
        <v>319</v>
      </c>
      <c r="L2768" s="3">
        <v>275</v>
      </c>
      <c r="M2768" s="3">
        <v>288.75</v>
      </c>
      <c r="N2768" s="3">
        <v>579</v>
      </c>
      <c r="O2768" s="2" t="s">
        <v>235</v>
      </c>
      <c r="P2768" s="2" t="s">
        <v>341</v>
      </c>
      <c r="Q2768" s="2" t="s">
        <v>237</v>
      </c>
      <c r="R2768" s="2" t="s">
        <v>231</v>
      </c>
      <c r="S2768" s="2" t="s">
        <v>11736</v>
      </c>
      <c r="T2768" s="2" t="s">
        <v>231</v>
      </c>
      <c r="U2768" s="2" t="s">
        <v>231</v>
      </c>
      <c r="V2768" s="2" t="s">
        <v>239</v>
      </c>
      <c r="W2768" s="2" t="s">
        <v>792</v>
      </c>
      <c r="X2768" s="2" t="s">
        <v>231</v>
      </c>
      <c r="Y2768" s="2" t="s">
        <v>4283</v>
      </c>
      <c r="Z2768" s="4">
        <v>21</v>
      </c>
      <c r="AA2768" s="4">
        <f>=ROUNDDOWN(17.5,0)</f>
      </c>
      <c r="AB2768" s="5">
        <v>1.2</v>
      </c>
      <c r="AC2768" s="2" t="s">
        <v>231</v>
      </c>
      <c r="AD2768" s="4"/>
      <c r="AE2768" s="4"/>
      <c r="AF2768" s="6">
        <v>65</v>
      </c>
      <c r="AG2768" s="6">
        <v>48</v>
      </c>
      <c r="AH2768" s="7">
        <v>1</v>
      </c>
      <c r="AI2768" s="4"/>
      <c r="AJ2768" s="4">
        <f>=ROUNDDOWN({0},0)</f>
      </c>
      <c r="AK2768" s="5"/>
      <c r="AL2768" s="2" t="s">
        <v>231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/>
      <c r="BD2768" s="8"/>
      <c r="BE2768" s="4"/>
      <c r="BF2768" s="8"/>
      <c r="BG2768" s="7"/>
      <c r="BH2768" s="7"/>
      <c r="BI2768" s="7"/>
      <c r="BJ2768" s="4">
        <v>5</v>
      </c>
      <c r="BK2768" s="8">
        <v>1364.23</v>
      </c>
      <c r="BL2768" s="2" t="s">
        <v>11737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11738</v>
      </c>
      <c r="BV2768" s="2" t="s">
        <v>231</v>
      </c>
      <c r="BW2768" s="2" t="s">
        <v>231</v>
      </c>
      <c r="BX2768" s="2" t="s">
        <v>231</v>
      </c>
      <c r="BY2768" s="2" t="s">
        <v>277</v>
      </c>
      <c r="BZ2768" s="2" t="s">
        <v>243</v>
      </c>
      <c r="CA2768" s="2" t="s">
        <v>6559</v>
      </c>
      <c r="CB2768" s="2" t="s">
        <v>11739</v>
      </c>
      <c r="CC2768" s="2" t="s">
        <v>244</v>
      </c>
      <c r="CD2768" s="2" t="s">
        <v>231</v>
      </c>
      <c r="CE2768" s="4"/>
      <c r="CF2768" s="4">
        <v>21</v>
      </c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4"/>
      <c r="CX2768" s="4"/>
      <c r="CY2768" s="4"/>
      <c r="CZ2768" s="4"/>
      <c r="DA2768" s="4"/>
      <c r="DB2768" s="4"/>
      <c r="DC2768" s="4"/>
      <c r="DD2768" s="4"/>
      <c r="DE2768" s="4"/>
      <c r="DF2768" s="4"/>
      <c r="DG2768" s="4"/>
      <c r="DH2768" s="4"/>
      <c r="DI2768" s="4"/>
      <c r="DJ2768" s="4"/>
      <c r="DK2768" s="4"/>
      <c r="DL2768" s="4"/>
      <c r="DM2768" s="4"/>
      <c r="DN2768" s="4"/>
      <c r="DO2768" s="4"/>
      <c r="DP2768" s="4"/>
      <c r="DQ2768" s="4"/>
      <c r="DR2768" s="4"/>
      <c r="DS2768" s="4"/>
      <c r="DT2768" s="4"/>
      <c r="DU2768" s="4"/>
      <c r="DV2768" s="4"/>
      <c r="DW2768" s="4"/>
      <c r="DX2768" s="4"/>
      <c r="DY2768" s="4"/>
      <c r="DZ2768" s="4"/>
      <c r="EA2768" s="4"/>
      <c r="EB2768" s="4"/>
      <c r="EC2768" s="4"/>
      <c r="ED2768" s="4"/>
      <c r="EE2768" s="4"/>
      <c r="EF2768" s="4"/>
      <c r="EG2768" s="4"/>
      <c r="EH2768" s="4"/>
      <c r="EI2768" s="4"/>
      <c r="EJ2768" s="4"/>
      <c r="EK2768" s="4"/>
      <c r="EL2768" s="4"/>
      <c r="EM2768" s="4"/>
      <c r="EN2768" s="4"/>
      <c r="EO2768" s="4"/>
      <c r="EP2768" s="4"/>
      <c r="EQ2768" s="4"/>
      <c r="ER2768" s="4"/>
      <c r="ES2768" s="4"/>
      <c r="ET2768" s="4"/>
      <c r="EU2768" s="4"/>
      <c r="EV2768" s="4"/>
      <c r="EW2768" s="4"/>
      <c r="EX2768" s="4"/>
      <c r="EY2768" s="4"/>
      <c r="EZ2768" s="4"/>
      <c r="FA2768" s="4"/>
      <c r="FB2768" s="4"/>
      <c r="FC2768" s="4"/>
      <c r="FD2768" s="4"/>
      <c r="FE2768" s="4"/>
      <c r="FF2768" s="4"/>
      <c r="FG2768" s="4"/>
      <c r="FH2768" s="4"/>
      <c r="FI2768" s="4"/>
      <c r="FJ2768" s="4"/>
      <c r="FK2768" s="4"/>
      <c r="FL2768" s="4"/>
      <c r="FM2768" s="4"/>
      <c r="FN2768" s="4"/>
      <c r="FO2768" s="4"/>
      <c r="FP2768" s="4"/>
      <c r="FQ2768" s="4"/>
      <c r="FR2768" s="4"/>
      <c r="FS2768" s="4"/>
      <c r="FT2768" s="4"/>
      <c r="FU2768" s="4"/>
      <c r="FV2768" s="4"/>
      <c r="FW2768" s="4"/>
      <c r="FX2768" s="4"/>
      <c r="FY2768" s="4"/>
      <c r="FZ2768" s="4"/>
      <c r="GA2768" s="4"/>
      <c r="GB2768" s="4"/>
      <c r="GC2768" s="4"/>
      <c r="GD2768" s="4"/>
      <c r="GE2768" s="4"/>
      <c r="GF2768" s="4"/>
      <c r="GG2768" s="4"/>
      <c r="GH2768" s="4"/>
      <c r="GI2768" s="4"/>
      <c r="GJ2768" s="4"/>
      <c r="GK2768" s="4"/>
      <c r="GL2768" s="4"/>
      <c r="GM2768" s="4"/>
      <c r="GN2768" s="4"/>
      <c r="GO2768" s="4"/>
      <c r="GP2768" s="4"/>
      <c r="GQ2768" s="4"/>
      <c r="GR2768" s="4"/>
      <c r="GS2768" s="4"/>
      <c r="GT2768" s="4"/>
      <c r="GU2768" s="4"/>
      <c r="GV2768" s="4"/>
      <c r="GW2768" s="4"/>
      <c r="GX2768" s="4"/>
      <c r="GY2768" s="4"/>
      <c r="GZ2768" s="4"/>
      <c r="HA2768" s="4"/>
      <c r="HB2768" s="4"/>
      <c r="HC2768" s="4"/>
      <c r="HD2768" s="4"/>
      <c r="HE2768" s="4"/>
      <c r="HF2768" s="4"/>
      <c r="HG2768" s="4"/>
      <c r="HH2768" s="4"/>
      <c r="HI2768" s="4"/>
      <c r="HJ2768" s="4"/>
      <c r="HK2768" s="4"/>
      <c r="HL2768" s="4"/>
    </row>
    <row r="2769">
      <c r="A2769" s="2" t="s">
        <v>11740</v>
      </c>
      <c r="B2769" s="2" t="s">
        <v>1004</v>
      </c>
      <c r="C2769" s="2" t="s">
        <v>815</v>
      </c>
      <c r="D2769" s="2" t="s">
        <v>1922</v>
      </c>
      <c r="E2769" s="2" t="s">
        <v>11741</v>
      </c>
      <c r="F2769" s="2" t="s">
        <v>11742</v>
      </c>
      <c r="G2769" s="2" t="s">
        <v>11742</v>
      </c>
      <c r="H2769" s="2" t="s">
        <v>11742</v>
      </c>
      <c r="I2769" s="2" t="s">
        <v>11743</v>
      </c>
      <c r="J2769" s="2" t="s">
        <v>807</v>
      </c>
      <c r="K2769" s="2" t="s">
        <v>1496</v>
      </c>
      <c r="L2769" s="3">
        <v>730.65</v>
      </c>
      <c r="M2769" s="3">
        <v>767.18</v>
      </c>
      <c r="N2769" s="3">
        <v>1549</v>
      </c>
      <c r="O2769" s="2" t="s">
        <v>243</v>
      </c>
      <c r="P2769" s="2" t="s">
        <v>1037</v>
      </c>
      <c r="Q2769" s="2" t="s">
        <v>237</v>
      </c>
      <c r="R2769" s="2" t="s">
        <v>16</v>
      </c>
      <c r="S2769" s="2" t="s">
        <v>231</v>
      </c>
      <c r="T2769" s="2" t="s">
        <v>231</v>
      </c>
      <c r="U2769" s="2" t="s">
        <v>765</v>
      </c>
      <c r="V2769" s="2" t="s">
        <v>239</v>
      </c>
      <c r="W2769" s="2" t="s">
        <v>2500</v>
      </c>
      <c r="X2769" s="2" t="s">
        <v>231</v>
      </c>
      <c r="Y2769" s="2" t="s">
        <v>8402</v>
      </c>
      <c r="Z2769" s="4">
        <v>38</v>
      </c>
      <c r="AA2769" s="4">
        <f>=ROUNDDOWN({0},0)</f>
      </c>
      <c r="AB2769" s="5"/>
      <c r="AC2769" s="2" t="s">
        <v>231</v>
      </c>
      <c r="AD2769" s="4"/>
      <c r="AE2769" s="4"/>
      <c r="AF2769" s="6"/>
      <c r="AG2769" s="6"/>
      <c r="AH2769" s="7">
        <v>1</v>
      </c>
      <c r="AI2769" s="4"/>
      <c r="AJ2769" s="4">
        <f>=ROUNDDOWN({0},0)</f>
      </c>
      <c r="AK2769" s="5"/>
      <c r="AL2769" s="2" t="s">
        <v>231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231</v>
      </c>
      <c r="AW2769" s="8" t="s">
        <v>231</v>
      </c>
      <c r="AX2769" s="4" t="s">
        <v>231</v>
      </c>
      <c r="AY2769" s="8" t="s">
        <v>231</v>
      </c>
      <c r="AZ2769" s="7" t="s">
        <v>231</v>
      </c>
      <c r="BA2769" s="7" t="s">
        <v>231</v>
      </c>
      <c r="BB2769" s="7" t="s">
        <v>231</v>
      </c>
      <c r="BC2769" s="4" t="s">
        <v>231</v>
      </c>
      <c r="BD2769" s="8" t="s">
        <v>231</v>
      </c>
      <c r="BE2769" s="4" t="s">
        <v>231</v>
      </c>
      <c r="BF2769" s="8" t="s">
        <v>231</v>
      </c>
      <c r="BG2769" s="7" t="s">
        <v>231</v>
      </c>
      <c r="BH2769" s="7" t="s">
        <v>231</v>
      </c>
      <c r="BI2769" s="7"/>
      <c r="BJ2769" s="4"/>
      <c r="BK2769" s="8"/>
      <c r="BL2769" s="2" t="s">
        <v>231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11744</v>
      </c>
      <c r="BV2769" s="2" t="s">
        <v>231</v>
      </c>
      <c r="BW2769" s="2" t="s">
        <v>231</v>
      </c>
      <c r="BX2769" s="2" t="s">
        <v>241</v>
      </c>
      <c r="BY2769" s="2" t="s">
        <v>277</v>
      </c>
      <c r="BZ2769" s="2" t="s">
        <v>243</v>
      </c>
      <c r="CA2769" s="2" t="s">
        <v>1239</v>
      </c>
      <c r="CB2769" s="2" t="s">
        <v>3136</v>
      </c>
      <c r="CC2769" s="2" t="s">
        <v>244</v>
      </c>
      <c r="CD2769" s="2" t="s">
        <v>231</v>
      </c>
      <c r="CE2769" s="4"/>
      <c r="CF2769" s="4">
        <v>38</v>
      </c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4"/>
      <c r="CX2769" s="4"/>
      <c r="CY2769" s="4"/>
      <c r="CZ2769" s="4"/>
      <c r="DA2769" s="4"/>
      <c r="DB2769" s="4"/>
      <c r="DC2769" s="4"/>
      <c r="DD2769" s="4"/>
      <c r="DE2769" s="4"/>
      <c r="DF2769" s="4"/>
      <c r="DG2769" s="4"/>
      <c r="DH2769" s="4"/>
      <c r="DI2769" s="4"/>
      <c r="DJ2769" s="4"/>
      <c r="DK2769" s="4"/>
      <c r="DL2769" s="4"/>
      <c r="DM2769" s="4"/>
      <c r="DN2769" s="4"/>
      <c r="DO2769" s="4"/>
      <c r="DP2769" s="4"/>
      <c r="DQ2769" s="4"/>
      <c r="DR2769" s="4"/>
      <c r="DS2769" s="4"/>
      <c r="DT2769" s="4"/>
      <c r="DU2769" s="4"/>
      <c r="DV2769" s="4"/>
      <c r="DW2769" s="4"/>
      <c r="DX2769" s="4"/>
      <c r="DY2769" s="4"/>
      <c r="DZ2769" s="4"/>
      <c r="EA2769" s="4"/>
      <c r="EB2769" s="4"/>
      <c r="EC2769" s="4"/>
      <c r="ED2769" s="4"/>
      <c r="EE2769" s="4"/>
      <c r="EF2769" s="4"/>
      <c r="EG2769" s="4"/>
      <c r="EH2769" s="4"/>
      <c r="EI2769" s="4"/>
      <c r="EJ2769" s="4"/>
      <c r="EK2769" s="4"/>
      <c r="EL2769" s="4"/>
      <c r="EM2769" s="4"/>
      <c r="EN2769" s="4"/>
      <c r="EO2769" s="4"/>
      <c r="EP2769" s="4"/>
      <c r="EQ2769" s="4"/>
      <c r="ER2769" s="4"/>
      <c r="ES2769" s="4"/>
      <c r="ET2769" s="4"/>
      <c r="EU2769" s="4"/>
      <c r="EV2769" s="4"/>
      <c r="EW2769" s="4"/>
      <c r="EX2769" s="4"/>
      <c r="EY2769" s="4"/>
      <c r="EZ2769" s="4"/>
      <c r="FA2769" s="4"/>
      <c r="FB2769" s="4"/>
      <c r="FC2769" s="4"/>
      <c r="FD2769" s="4"/>
      <c r="FE2769" s="4"/>
      <c r="FF2769" s="4"/>
      <c r="FG2769" s="4"/>
      <c r="FH2769" s="4"/>
      <c r="FI2769" s="4"/>
      <c r="FJ2769" s="4"/>
      <c r="FK2769" s="4"/>
      <c r="FL2769" s="4"/>
      <c r="FM2769" s="4"/>
      <c r="FN2769" s="4"/>
      <c r="FO2769" s="4"/>
      <c r="FP2769" s="4"/>
      <c r="FQ2769" s="4"/>
      <c r="FR2769" s="4"/>
      <c r="FS2769" s="4"/>
      <c r="FT2769" s="4"/>
      <c r="FU2769" s="4"/>
      <c r="FV2769" s="4"/>
      <c r="FW2769" s="4"/>
      <c r="FX2769" s="4"/>
      <c r="FY2769" s="4"/>
      <c r="FZ2769" s="4"/>
      <c r="GA2769" s="4"/>
      <c r="GB2769" s="4"/>
      <c r="GC2769" s="4"/>
      <c r="GD2769" s="4"/>
      <c r="GE2769" s="4"/>
      <c r="GF2769" s="4"/>
      <c r="GG2769" s="4"/>
      <c r="GH2769" s="4"/>
      <c r="GI2769" s="4"/>
      <c r="GJ2769" s="4"/>
      <c r="GK2769" s="4"/>
      <c r="GL2769" s="4"/>
      <c r="GM2769" s="4"/>
      <c r="GN2769" s="4"/>
      <c r="GO2769" s="4"/>
      <c r="GP2769" s="4"/>
      <c r="GQ2769" s="4"/>
      <c r="GR2769" s="4"/>
      <c r="GS2769" s="4"/>
      <c r="GT2769" s="4"/>
      <c r="GU2769" s="4"/>
      <c r="GV2769" s="4"/>
      <c r="GW2769" s="4"/>
      <c r="GX2769" s="4"/>
      <c r="GY2769" s="4"/>
      <c r="GZ2769" s="4"/>
      <c r="HA2769" s="4"/>
      <c r="HB2769" s="4"/>
      <c r="HC2769" s="4"/>
      <c r="HD2769" s="4"/>
      <c r="HE2769" s="4"/>
      <c r="HF2769" s="4"/>
      <c r="HG2769" s="4"/>
      <c r="HH2769" s="4"/>
      <c r="HI2769" s="4"/>
      <c r="HJ2769" s="4"/>
      <c r="HK2769" s="4"/>
      <c r="HL2769" s="4"/>
    </row>
    <row r="2770">
      <c r="A2770" s="2" t="s">
        <v>11745</v>
      </c>
      <c r="B2770" s="2" t="s">
        <v>1004</v>
      </c>
      <c r="C2770" s="2" t="s">
        <v>815</v>
      </c>
      <c r="D2770" s="2" t="s">
        <v>1922</v>
      </c>
      <c r="E2770" s="2" t="s">
        <v>5986</v>
      </c>
      <c r="F2770" s="2" t="s">
        <v>11742</v>
      </c>
      <c r="G2770" s="2" t="s">
        <v>11742</v>
      </c>
      <c r="H2770" s="2" t="s">
        <v>11742</v>
      </c>
      <c r="I2770" s="2" t="s">
        <v>11746</v>
      </c>
      <c r="J2770" s="2" t="s">
        <v>807</v>
      </c>
      <c r="K2770" s="2" t="s">
        <v>1496</v>
      </c>
      <c r="L2770" s="3">
        <v>759.5</v>
      </c>
      <c r="M2770" s="3">
        <v>797.48</v>
      </c>
      <c r="N2770" s="3">
        <v>1599</v>
      </c>
      <c r="O2770" s="2" t="s">
        <v>243</v>
      </c>
      <c r="P2770" s="2" t="s">
        <v>1037</v>
      </c>
      <c r="Q2770" s="2" t="s">
        <v>237</v>
      </c>
      <c r="R2770" s="2" t="s">
        <v>16</v>
      </c>
      <c r="S2770" s="2" t="s">
        <v>231</v>
      </c>
      <c r="T2770" s="2" t="s">
        <v>231</v>
      </c>
      <c r="U2770" s="2" t="s">
        <v>700</v>
      </c>
      <c r="V2770" s="2" t="s">
        <v>239</v>
      </c>
      <c r="W2770" s="2" t="s">
        <v>2500</v>
      </c>
      <c r="X2770" s="2" t="s">
        <v>231</v>
      </c>
      <c r="Y2770" s="2" t="s">
        <v>8402</v>
      </c>
      <c r="Z2770" s="4">
        <v>25</v>
      </c>
      <c r="AA2770" s="4">
        <f>=ROUNDDOWN({0},0)</f>
      </c>
      <c r="AB2770" s="5"/>
      <c r="AC2770" s="2" t="s">
        <v>231</v>
      </c>
      <c r="AD2770" s="4"/>
      <c r="AE2770" s="4"/>
      <c r="AF2770" s="6"/>
      <c r="AG2770" s="6"/>
      <c r="AH2770" s="7">
        <v>1</v>
      </c>
      <c r="AI2770" s="4"/>
      <c r="AJ2770" s="4">
        <f>=ROUNDDOWN({0},0)</f>
      </c>
      <c r="AK2770" s="5"/>
      <c r="AL2770" s="2" t="s">
        <v>231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231</v>
      </c>
      <c r="AW2770" s="8" t="s">
        <v>231</v>
      </c>
      <c r="AX2770" s="4" t="s">
        <v>231</v>
      </c>
      <c r="AY2770" s="8" t="s">
        <v>231</v>
      </c>
      <c r="AZ2770" s="7" t="s">
        <v>231</v>
      </c>
      <c r="BA2770" s="7" t="s">
        <v>231</v>
      </c>
      <c r="BB2770" s="7" t="s">
        <v>231</v>
      </c>
      <c r="BC2770" s="4" t="s">
        <v>231</v>
      </c>
      <c r="BD2770" s="8" t="s">
        <v>231</v>
      </c>
      <c r="BE2770" s="4" t="s">
        <v>231</v>
      </c>
      <c r="BF2770" s="8" t="s">
        <v>231</v>
      </c>
      <c r="BG2770" s="7" t="s">
        <v>231</v>
      </c>
      <c r="BH2770" s="7" t="s">
        <v>231</v>
      </c>
      <c r="BI2770" s="7"/>
      <c r="BJ2770" s="4"/>
      <c r="BK2770" s="8"/>
      <c r="BL2770" s="2" t="s">
        <v>231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11747</v>
      </c>
      <c r="BV2770" s="2" t="s">
        <v>231</v>
      </c>
      <c r="BW2770" s="2" t="s">
        <v>231</v>
      </c>
      <c r="BX2770" s="2" t="s">
        <v>241</v>
      </c>
      <c r="BY2770" s="2" t="s">
        <v>277</v>
      </c>
      <c r="BZ2770" s="2" t="s">
        <v>243</v>
      </c>
      <c r="CA2770" s="2" t="s">
        <v>1239</v>
      </c>
      <c r="CB2770" s="2" t="s">
        <v>231</v>
      </c>
      <c r="CC2770" s="2" t="s">
        <v>244</v>
      </c>
      <c r="CD2770" s="2" t="s">
        <v>231</v>
      </c>
      <c r="CE2770" s="4"/>
      <c r="CF2770" s="4">
        <v>25</v>
      </c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4"/>
      <c r="CX2770" s="4"/>
      <c r="CY2770" s="4"/>
      <c r="CZ2770" s="4"/>
      <c r="DA2770" s="4"/>
      <c r="DB2770" s="4"/>
      <c r="DC2770" s="4"/>
      <c r="DD2770" s="4"/>
      <c r="DE2770" s="4"/>
      <c r="DF2770" s="4"/>
      <c r="DG2770" s="4"/>
      <c r="DH2770" s="4"/>
      <c r="DI2770" s="4"/>
      <c r="DJ2770" s="4"/>
      <c r="DK2770" s="4"/>
      <c r="DL2770" s="4"/>
      <c r="DM2770" s="4"/>
      <c r="DN2770" s="4"/>
      <c r="DO2770" s="4"/>
      <c r="DP2770" s="4"/>
      <c r="DQ2770" s="4"/>
      <c r="DR2770" s="4"/>
      <c r="DS2770" s="4"/>
      <c r="DT2770" s="4"/>
      <c r="DU2770" s="4"/>
      <c r="DV2770" s="4"/>
      <c r="DW2770" s="4"/>
      <c r="DX2770" s="4"/>
      <c r="DY2770" s="4"/>
      <c r="DZ2770" s="4"/>
      <c r="EA2770" s="4"/>
      <c r="EB2770" s="4"/>
      <c r="EC2770" s="4"/>
      <c r="ED2770" s="4"/>
      <c r="EE2770" s="4"/>
      <c r="EF2770" s="4"/>
      <c r="EG2770" s="4"/>
      <c r="EH2770" s="4"/>
      <c r="EI2770" s="4"/>
      <c r="EJ2770" s="4"/>
      <c r="EK2770" s="4"/>
      <c r="EL2770" s="4"/>
      <c r="EM2770" s="4"/>
      <c r="EN2770" s="4"/>
      <c r="EO2770" s="4"/>
      <c r="EP2770" s="4"/>
      <c r="EQ2770" s="4"/>
      <c r="ER2770" s="4"/>
      <c r="ES2770" s="4"/>
      <c r="ET2770" s="4"/>
      <c r="EU2770" s="4"/>
      <c r="EV2770" s="4"/>
      <c r="EW2770" s="4"/>
      <c r="EX2770" s="4"/>
      <c r="EY2770" s="4"/>
      <c r="EZ2770" s="4"/>
      <c r="FA2770" s="4"/>
      <c r="FB2770" s="4"/>
      <c r="FC2770" s="4"/>
      <c r="FD2770" s="4"/>
      <c r="FE2770" s="4"/>
      <c r="FF2770" s="4"/>
      <c r="FG2770" s="4"/>
      <c r="FH2770" s="4"/>
      <c r="FI2770" s="4"/>
      <c r="FJ2770" s="4"/>
      <c r="FK2770" s="4"/>
      <c r="FL2770" s="4"/>
      <c r="FM2770" s="4"/>
      <c r="FN2770" s="4"/>
      <c r="FO2770" s="4"/>
      <c r="FP2770" s="4"/>
      <c r="FQ2770" s="4"/>
      <c r="FR2770" s="4"/>
      <c r="FS2770" s="4"/>
      <c r="FT2770" s="4"/>
      <c r="FU2770" s="4"/>
      <c r="FV2770" s="4"/>
      <c r="FW2770" s="4"/>
      <c r="FX2770" s="4"/>
      <c r="FY2770" s="4"/>
      <c r="FZ2770" s="4"/>
      <c r="GA2770" s="4"/>
      <c r="GB2770" s="4"/>
      <c r="GC2770" s="4"/>
      <c r="GD2770" s="4"/>
      <c r="GE2770" s="4"/>
      <c r="GF2770" s="4"/>
      <c r="GG2770" s="4"/>
      <c r="GH2770" s="4"/>
      <c r="GI2770" s="4"/>
      <c r="GJ2770" s="4"/>
      <c r="GK2770" s="4"/>
      <c r="GL2770" s="4"/>
      <c r="GM2770" s="4"/>
      <c r="GN2770" s="4"/>
      <c r="GO2770" s="4"/>
      <c r="GP2770" s="4"/>
      <c r="GQ2770" s="4"/>
      <c r="GR2770" s="4"/>
      <c r="GS2770" s="4"/>
      <c r="GT2770" s="4"/>
      <c r="GU2770" s="4"/>
      <c r="GV2770" s="4"/>
      <c r="GW2770" s="4"/>
      <c r="GX2770" s="4"/>
      <c r="GY2770" s="4"/>
      <c r="GZ2770" s="4"/>
      <c r="HA2770" s="4"/>
      <c r="HB2770" s="4"/>
      <c r="HC2770" s="4"/>
      <c r="HD2770" s="4"/>
      <c r="HE2770" s="4"/>
      <c r="HF2770" s="4"/>
      <c r="HG2770" s="4"/>
      <c r="HH2770" s="4"/>
      <c r="HI2770" s="4"/>
      <c r="HJ2770" s="4"/>
      <c r="HK2770" s="4"/>
      <c r="HL2770" s="4"/>
    </row>
    <row r="2771">
      <c r="A2771" s="2" t="s">
        <v>11748</v>
      </c>
      <c r="B2771" s="2" t="s">
        <v>1004</v>
      </c>
      <c r="C2771" s="2" t="s">
        <v>815</v>
      </c>
      <c r="D2771" s="2" t="s">
        <v>1922</v>
      </c>
      <c r="E2771" s="2" t="s">
        <v>5986</v>
      </c>
      <c r="F2771" s="2" t="s">
        <v>11742</v>
      </c>
      <c r="G2771" s="2" t="s">
        <v>11742</v>
      </c>
      <c r="H2771" s="2" t="s">
        <v>11742</v>
      </c>
      <c r="I2771" s="2" t="s">
        <v>11749</v>
      </c>
      <c r="J2771" s="2" t="s">
        <v>807</v>
      </c>
      <c r="K2771" s="2" t="s">
        <v>10645</v>
      </c>
      <c r="L2771" s="3">
        <v>759.5</v>
      </c>
      <c r="M2771" s="3">
        <v>797.48</v>
      </c>
      <c r="N2771" s="3">
        <v>1599</v>
      </c>
      <c r="O2771" s="2" t="s">
        <v>243</v>
      </c>
      <c r="P2771" s="2" t="s">
        <v>1037</v>
      </c>
      <c r="Q2771" s="2" t="s">
        <v>237</v>
      </c>
      <c r="R2771" s="2" t="s">
        <v>16</v>
      </c>
      <c r="S2771" s="2" t="s">
        <v>231</v>
      </c>
      <c r="T2771" s="2" t="s">
        <v>231</v>
      </c>
      <c r="U2771" s="2" t="s">
        <v>700</v>
      </c>
      <c r="V2771" s="2" t="s">
        <v>239</v>
      </c>
      <c r="W2771" s="2" t="s">
        <v>2500</v>
      </c>
      <c r="X2771" s="2" t="s">
        <v>691</v>
      </c>
      <c r="Y2771" s="2" t="s">
        <v>11750</v>
      </c>
      <c r="Z2771" s="4">
        <v>36</v>
      </c>
      <c r="AA2771" s="4">
        <f>=ROUNDDOWN({0},0)</f>
      </c>
      <c r="AB2771" s="5"/>
      <c r="AC2771" s="2" t="s">
        <v>231</v>
      </c>
      <c r="AD2771" s="4"/>
      <c r="AE2771" s="4"/>
      <c r="AF2771" s="6"/>
      <c r="AG2771" s="6"/>
      <c r="AH2771" s="7">
        <v>1</v>
      </c>
      <c r="AI2771" s="4"/>
      <c r="AJ2771" s="4">
        <f>=ROUNDDOWN({0},0)</f>
      </c>
      <c r="AK2771" s="5"/>
      <c r="AL2771" s="2" t="s">
        <v>231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231</v>
      </c>
      <c r="AW2771" s="8" t="s">
        <v>231</v>
      </c>
      <c r="AX2771" s="4" t="s">
        <v>231</v>
      </c>
      <c r="AY2771" s="8" t="s">
        <v>231</v>
      </c>
      <c r="AZ2771" s="7" t="s">
        <v>231</v>
      </c>
      <c r="BA2771" s="7" t="s">
        <v>231</v>
      </c>
      <c r="BB2771" s="7" t="s">
        <v>231</v>
      </c>
      <c r="BC2771" s="4" t="s">
        <v>231</v>
      </c>
      <c r="BD2771" s="8" t="s">
        <v>231</v>
      </c>
      <c r="BE2771" s="4" t="s">
        <v>231</v>
      </c>
      <c r="BF2771" s="8" t="s">
        <v>231</v>
      </c>
      <c r="BG2771" s="7" t="s">
        <v>231</v>
      </c>
      <c r="BH2771" s="7" t="s">
        <v>231</v>
      </c>
      <c r="BI2771" s="7"/>
      <c r="BJ2771" s="4"/>
      <c r="BK2771" s="8"/>
      <c r="BL2771" s="2" t="s">
        <v>231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11751</v>
      </c>
      <c r="BV2771" s="2" t="s">
        <v>231</v>
      </c>
      <c r="BW2771" s="2" t="s">
        <v>231</v>
      </c>
      <c r="BX2771" s="2" t="s">
        <v>241</v>
      </c>
      <c r="BY2771" s="2" t="s">
        <v>277</v>
      </c>
      <c r="BZ2771" s="2" t="s">
        <v>243</v>
      </c>
      <c r="CA2771" s="2" t="s">
        <v>1239</v>
      </c>
      <c r="CB2771" s="2" t="s">
        <v>231</v>
      </c>
      <c r="CC2771" s="2" t="s">
        <v>244</v>
      </c>
      <c r="CD2771" s="2" t="s">
        <v>231</v>
      </c>
      <c r="CE2771" s="4"/>
      <c r="CF2771" s="4">
        <v>36</v>
      </c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4"/>
      <c r="CX2771" s="4"/>
      <c r="CY2771" s="4"/>
      <c r="CZ2771" s="4"/>
      <c r="DA2771" s="4"/>
      <c r="DB2771" s="4"/>
      <c r="DC2771" s="4"/>
      <c r="DD2771" s="4"/>
      <c r="DE2771" s="4"/>
      <c r="DF2771" s="4"/>
      <c r="DG2771" s="4"/>
      <c r="DH2771" s="4"/>
      <c r="DI2771" s="4"/>
      <c r="DJ2771" s="4"/>
      <c r="DK2771" s="4"/>
      <c r="DL2771" s="4"/>
      <c r="DM2771" s="4"/>
      <c r="DN2771" s="4"/>
      <c r="DO2771" s="4"/>
      <c r="DP2771" s="4"/>
      <c r="DQ2771" s="4"/>
      <c r="DR2771" s="4"/>
      <c r="DS2771" s="4"/>
      <c r="DT2771" s="4"/>
      <c r="DU2771" s="4"/>
      <c r="DV2771" s="4"/>
      <c r="DW2771" s="4"/>
      <c r="DX2771" s="4"/>
      <c r="DY2771" s="4"/>
      <c r="DZ2771" s="4"/>
      <c r="EA2771" s="4"/>
      <c r="EB2771" s="4"/>
      <c r="EC2771" s="4"/>
      <c r="ED2771" s="4"/>
      <c r="EE2771" s="4"/>
      <c r="EF2771" s="4"/>
      <c r="EG2771" s="4"/>
      <c r="EH2771" s="4"/>
      <c r="EI2771" s="4"/>
      <c r="EJ2771" s="4"/>
      <c r="EK2771" s="4"/>
      <c r="EL2771" s="4"/>
      <c r="EM2771" s="4"/>
      <c r="EN2771" s="4"/>
      <c r="EO2771" s="4"/>
      <c r="EP2771" s="4"/>
      <c r="EQ2771" s="4"/>
      <c r="ER2771" s="4"/>
      <c r="ES2771" s="4"/>
      <c r="ET2771" s="4"/>
      <c r="EU2771" s="4"/>
      <c r="EV2771" s="4"/>
      <c r="EW2771" s="4"/>
      <c r="EX2771" s="4"/>
      <c r="EY2771" s="4"/>
      <c r="EZ2771" s="4"/>
      <c r="FA2771" s="4"/>
      <c r="FB2771" s="4"/>
      <c r="FC2771" s="4"/>
      <c r="FD2771" s="4"/>
      <c r="FE2771" s="4"/>
      <c r="FF2771" s="4"/>
      <c r="FG2771" s="4"/>
      <c r="FH2771" s="4"/>
      <c r="FI2771" s="4"/>
      <c r="FJ2771" s="4"/>
      <c r="FK2771" s="4"/>
      <c r="FL2771" s="4"/>
      <c r="FM2771" s="4"/>
      <c r="FN2771" s="4"/>
      <c r="FO2771" s="4"/>
      <c r="FP2771" s="4"/>
      <c r="FQ2771" s="4"/>
      <c r="FR2771" s="4"/>
      <c r="FS2771" s="4"/>
      <c r="FT2771" s="4"/>
      <c r="FU2771" s="4"/>
      <c r="FV2771" s="4"/>
      <c r="FW2771" s="4"/>
      <c r="FX2771" s="4"/>
      <c r="FY2771" s="4"/>
      <c r="FZ2771" s="4"/>
      <c r="GA2771" s="4"/>
      <c r="GB2771" s="4"/>
      <c r="GC2771" s="4"/>
      <c r="GD2771" s="4"/>
      <c r="GE2771" s="4"/>
      <c r="GF2771" s="4"/>
      <c r="GG2771" s="4"/>
      <c r="GH2771" s="4"/>
      <c r="GI2771" s="4"/>
      <c r="GJ2771" s="4"/>
      <c r="GK2771" s="4"/>
      <c r="GL2771" s="4"/>
      <c r="GM2771" s="4"/>
      <c r="GN2771" s="4"/>
      <c r="GO2771" s="4"/>
      <c r="GP2771" s="4"/>
      <c r="GQ2771" s="4"/>
      <c r="GR2771" s="4"/>
      <c r="GS2771" s="4"/>
      <c r="GT2771" s="4"/>
      <c r="GU2771" s="4"/>
      <c r="GV2771" s="4"/>
      <c r="GW2771" s="4"/>
      <c r="GX2771" s="4"/>
      <c r="GY2771" s="4"/>
      <c r="GZ2771" s="4"/>
      <c r="HA2771" s="4"/>
      <c r="HB2771" s="4"/>
      <c r="HC2771" s="4"/>
      <c r="HD2771" s="4"/>
      <c r="HE2771" s="4"/>
      <c r="HF2771" s="4"/>
      <c r="HG2771" s="4"/>
      <c r="HH2771" s="4"/>
      <c r="HI2771" s="4"/>
      <c r="HJ2771" s="4"/>
      <c r="HK2771" s="4"/>
      <c r="HL2771" s="4"/>
    </row>
    <row r="2772">
      <c r="A2772" s="2" t="s">
        <v>11752</v>
      </c>
      <c r="B2772" s="2" t="s">
        <v>1004</v>
      </c>
      <c r="C2772" s="2" t="s">
        <v>815</v>
      </c>
      <c r="D2772" s="2" t="s">
        <v>5985</v>
      </c>
      <c r="E2772" s="2" t="s">
        <v>5986</v>
      </c>
      <c r="F2772" s="2" t="s">
        <v>11742</v>
      </c>
      <c r="G2772" s="2" t="s">
        <v>11742</v>
      </c>
      <c r="H2772" s="2" t="s">
        <v>11742</v>
      </c>
      <c r="I2772" s="2" t="s">
        <v>11753</v>
      </c>
      <c r="J2772" s="2" t="s">
        <v>807</v>
      </c>
      <c r="K2772" s="2" t="s">
        <v>10645</v>
      </c>
      <c r="L2772" s="3">
        <v>285.2</v>
      </c>
      <c r="M2772" s="3">
        <v>299.46</v>
      </c>
      <c r="N2772" s="3">
        <v>599</v>
      </c>
      <c r="O2772" s="2" t="s">
        <v>243</v>
      </c>
      <c r="P2772" s="2" t="s">
        <v>1985</v>
      </c>
      <c r="Q2772" s="2" t="s">
        <v>237</v>
      </c>
      <c r="R2772" s="2" t="s">
        <v>231</v>
      </c>
      <c r="S2772" s="2" t="s">
        <v>231</v>
      </c>
      <c r="T2772" s="2" t="s">
        <v>231</v>
      </c>
      <c r="U2772" s="2" t="s">
        <v>327</v>
      </c>
      <c r="V2772" s="2" t="s">
        <v>239</v>
      </c>
      <c r="W2772" s="2" t="s">
        <v>2500</v>
      </c>
      <c r="X2772" s="2" t="s">
        <v>691</v>
      </c>
      <c r="Y2772" s="2" t="s">
        <v>5417</v>
      </c>
      <c r="Z2772" s="4">
        <v>79</v>
      </c>
      <c r="AA2772" s="4">
        <f>=ROUNDDOWN(39.5,0)</f>
      </c>
      <c r="AB2772" s="5">
        <v>2</v>
      </c>
      <c r="AC2772" s="2" t="s">
        <v>1128</v>
      </c>
      <c r="AD2772" s="4">
        <v>100</v>
      </c>
      <c r="AE2772" s="4">
        <v>100</v>
      </c>
      <c r="AF2772" s="6">
        <v>74</v>
      </c>
      <c r="AG2772" s="6"/>
      <c r="AH2772" s="7">
        <v>1</v>
      </c>
      <c r="AI2772" s="4"/>
      <c r="AJ2772" s="4">
        <f>=ROUNDDOWN({0},0)</f>
      </c>
      <c r="AK2772" s="5"/>
      <c r="AL2772" s="2" t="s">
        <v>231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231</v>
      </c>
      <c r="AW2772" s="8" t="s">
        <v>231</v>
      </c>
      <c r="AX2772" s="4" t="s">
        <v>231</v>
      </c>
      <c r="AY2772" s="8" t="s">
        <v>231</v>
      </c>
      <c r="AZ2772" s="7" t="s">
        <v>231</v>
      </c>
      <c r="BA2772" s="7" t="s">
        <v>231</v>
      </c>
      <c r="BB2772" s="7" t="s">
        <v>231</v>
      </c>
      <c r="BC2772" s="4" t="s">
        <v>231</v>
      </c>
      <c r="BD2772" s="8" t="s">
        <v>231</v>
      </c>
      <c r="BE2772" s="4" t="s">
        <v>231</v>
      </c>
      <c r="BF2772" s="8" t="s">
        <v>231</v>
      </c>
      <c r="BG2772" s="7" t="s">
        <v>231</v>
      </c>
      <c r="BH2772" s="7" t="s">
        <v>231</v>
      </c>
      <c r="BI2772" s="7"/>
      <c r="BJ2772" s="4">
        <v>9</v>
      </c>
      <c r="BK2772" s="8">
        <v>2370.58</v>
      </c>
      <c r="BL2772" s="2" t="s">
        <v>11754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11755</v>
      </c>
      <c r="BV2772" s="2" t="s">
        <v>231</v>
      </c>
      <c r="BW2772" s="2" t="s">
        <v>231</v>
      </c>
      <c r="BX2772" s="2" t="s">
        <v>1812</v>
      </c>
      <c r="BY2772" s="2" t="s">
        <v>277</v>
      </c>
      <c r="BZ2772" s="2" t="s">
        <v>243</v>
      </c>
      <c r="CA2772" s="2" t="s">
        <v>5417</v>
      </c>
      <c r="CB2772" s="2" t="s">
        <v>11756</v>
      </c>
      <c r="CC2772" s="2" t="s">
        <v>244</v>
      </c>
      <c r="CD2772" s="2" t="s">
        <v>231</v>
      </c>
      <c r="CE2772" s="4"/>
      <c r="CF2772" s="4">
        <v>79</v>
      </c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4"/>
      <c r="CX2772" s="4"/>
      <c r="CY2772" s="4"/>
      <c r="CZ2772" s="4"/>
      <c r="DA2772" s="4"/>
      <c r="DB2772" s="4"/>
      <c r="DC2772" s="4"/>
      <c r="DD2772" s="4"/>
      <c r="DE2772" s="4"/>
      <c r="DF2772" s="4"/>
      <c r="DG2772" s="4"/>
      <c r="DH2772" s="4"/>
      <c r="DI2772" s="4"/>
      <c r="DJ2772" s="4"/>
      <c r="DK2772" s="4"/>
      <c r="DL2772" s="4"/>
      <c r="DM2772" s="4"/>
      <c r="DN2772" s="4"/>
      <c r="DO2772" s="4">
        <v>100</v>
      </c>
      <c r="DP2772" s="4"/>
      <c r="DQ2772" s="4"/>
      <c r="DR2772" s="4"/>
      <c r="DS2772" s="4"/>
      <c r="DT2772" s="4"/>
      <c r="DU2772" s="4"/>
      <c r="DV2772" s="4"/>
      <c r="DW2772" s="4"/>
      <c r="DX2772" s="4"/>
      <c r="DY2772" s="4"/>
      <c r="DZ2772" s="4"/>
      <c r="EA2772" s="4"/>
      <c r="EB2772" s="4"/>
      <c r="EC2772" s="4"/>
      <c r="ED2772" s="4"/>
      <c r="EE2772" s="4"/>
      <c r="EF2772" s="4"/>
      <c r="EG2772" s="4"/>
      <c r="EH2772" s="4"/>
      <c r="EI2772" s="4"/>
      <c r="EJ2772" s="4"/>
      <c r="EK2772" s="4"/>
      <c r="EL2772" s="4"/>
      <c r="EM2772" s="4"/>
      <c r="EN2772" s="4"/>
      <c r="EO2772" s="4"/>
      <c r="EP2772" s="4"/>
      <c r="EQ2772" s="4"/>
      <c r="ER2772" s="4"/>
      <c r="ES2772" s="4"/>
      <c r="ET2772" s="4"/>
      <c r="EU2772" s="4"/>
      <c r="EV2772" s="4"/>
      <c r="EW2772" s="4"/>
      <c r="EX2772" s="4"/>
      <c r="EY2772" s="4"/>
      <c r="EZ2772" s="4"/>
      <c r="FA2772" s="4"/>
      <c r="FB2772" s="4"/>
      <c r="FC2772" s="4"/>
      <c r="FD2772" s="4"/>
      <c r="FE2772" s="4"/>
      <c r="FF2772" s="4"/>
      <c r="FG2772" s="4"/>
      <c r="FH2772" s="4"/>
      <c r="FI2772" s="4"/>
      <c r="FJ2772" s="4"/>
      <c r="FK2772" s="4"/>
      <c r="FL2772" s="4"/>
      <c r="FM2772" s="4"/>
      <c r="FN2772" s="4"/>
      <c r="FO2772" s="4"/>
      <c r="FP2772" s="4"/>
      <c r="FQ2772" s="4"/>
      <c r="FR2772" s="4"/>
      <c r="FS2772" s="4"/>
      <c r="FT2772" s="4"/>
      <c r="FU2772" s="4"/>
      <c r="FV2772" s="4"/>
      <c r="FW2772" s="4"/>
      <c r="FX2772" s="4"/>
      <c r="FY2772" s="4"/>
      <c r="FZ2772" s="4"/>
      <c r="GA2772" s="4"/>
      <c r="GB2772" s="4"/>
      <c r="GC2772" s="4"/>
      <c r="GD2772" s="4"/>
      <c r="GE2772" s="4"/>
      <c r="GF2772" s="4"/>
      <c r="GG2772" s="4"/>
      <c r="GH2772" s="4"/>
      <c r="GI2772" s="4"/>
      <c r="GJ2772" s="4"/>
      <c r="GK2772" s="4"/>
      <c r="GL2772" s="4"/>
      <c r="GM2772" s="4"/>
      <c r="GN2772" s="4"/>
      <c r="GO2772" s="4"/>
      <c r="GP2772" s="4"/>
      <c r="GQ2772" s="4"/>
      <c r="GR2772" s="4"/>
      <c r="GS2772" s="4"/>
      <c r="GT2772" s="4"/>
      <c r="GU2772" s="4"/>
      <c r="GV2772" s="4"/>
      <c r="GW2772" s="4"/>
      <c r="GX2772" s="4"/>
      <c r="GY2772" s="4"/>
      <c r="GZ2772" s="4"/>
      <c r="HA2772" s="4"/>
      <c r="HB2772" s="4"/>
      <c r="HC2772" s="4"/>
      <c r="HD2772" s="4"/>
      <c r="HE2772" s="4"/>
      <c r="HF2772" s="4"/>
      <c r="HG2772" s="4"/>
      <c r="HH2772" s="4"/>
      <c r="HI2772" s="4"/>
      <c r="HJ2772" s="4"/>
      <c r="HK2772" s="4"/>
      <c r="HL2772" s="4"/>
    </row>
    <row r="2773">
      <c r="A2773" s="2" t="s">
        <v>11757</v>
      </c>
      <c r="B2773" s="2" t="s">
        <v>1004</v>
      </c>
      <c r="C2773" s="2" t="s">
        <v>815</v>
      </c>
      <c r="D2773" s="2" t="s">
        <v>1922</v>
      </c>
      <c r="E2773" s="2" t="s">
        <v>11741</v>
      </c>
      <c r="F2773" s="2" t="s">
        <v>11742</v>
      </c>
      <c r="G2773" s="2" t="s">
        <v>11742</v>
      </c>
      <c r="H2773" s="2" t="s">
        <v>11742</v>
      </c>
      <c r="I2773" s="2" t="s">
        <v>11758</v>
      </c>
      <c r="J2773" s="2" t="s">
        <v>807</v>
      </c>
      <c r="K2773" s="2" t="s">
        <v>7830</v>
      </c>
      <c r="L2773" s="3">
        <v>730.65</v>
      </c>
      <c r="M2773" s="3">
        <v>767.18</v>
      </c>
      <c r="N2773" s="3">
        <v>1549</v>
      </c>
      <c r="O2773" s="2" t="s">
        <v>243</v>
      </c>
      <c r="P2773" s="2" t="s">
        <v>1037</v>
      </c>
      <c r="Q2773" s="2" t="s">
        <v>237</v>
      </c>
      <c r="R2773" s="2" t="s">
        <v>16</v>
      </c>
      <c r="S2773" s="2" t="s">
        <v>231</v>
      </c>
      <c r="T2773" s="2" t="s">
        <v>231</v>
      </c>
      <c r="U2773" s="2" t="s">
        <v>765</v>
      </c>
      <c r="V2773" s="2" t="s">
        <v>239</v>
      </c>
      <c r="W2773" s="2" t="s">
        <v>2500</v>
      </c>
      <c r="X2773" s="2" t="s">
        <v>691</v>
      </c>
      <c r="Y2773" s="2" t="s">
        <v>11759</v>
      </c>
      <c r="Z2773" s="4">
        <v>68</v>
      </c>
      <c r="AA2773" s="4">
        <f>=ROUNDDOWN({0},0)</f>
      </c>
      <c r="AB2773" s="5"/>
      <c r="AC2773" s="2" t="s">
        <v>231</v>
      </c>
      <c r="AD2773" s="4"/>
      <c r="AE2773" s="4"/>
      <c r="AF2773" s="6"/>
      <c r="AG2773" s="6"/>
      <c r="AH2773" s="7">
        <v>1</v>
      </c>
      <c r="AI2773" s="4"/>
      <c r="AJ2773" s="4">
        <f>=ROUNDDOWN({0},0)</f>
      </c>
      <c r="AK2773" s="5"/>
      <c r="AL2773" s="2" t="s">
        <v>231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231</v>
      </c>
      <c r="AW2773" s="8" t="s">
        <v>231</v>
      </c>
      <c r="AX2773" s="4" t="s">
        <v>231</v>
      </c>
      <c r="AY2773" s="8" t="s">
        <v>231</v>
      </c>
      <c r="AZ2773" s="7" t="s">
        <v>231</v>
      </c>
      <c r="BA2773" s="7" t="s">
        <v>231</v>
      </c>
      <c r="BB2773" s="7" t="s">
        <v>231</v>
      </c>
      <c r="BC2773" s="4" t="s">
        <v>231</v>
      </c>
      <c r="BD2773" s="8" t="s">
        <v>231</v>
      </c>
      <c r="BE2773" s="4" t="s">
        <v>231</v>
      </c>
      <c r="BF2773" s="8" t="s">
        <v>231</v>
      </c>
      <c r="BG2773" s="7" t="s">
        <v>231</v>
      </c>
      <c r="BH2773" s="7" t="s">
        <v>231</v>
      </c>
      <c r="BI2773" s="7"/>
      <c r="BJ2773" s="4"/>
      <c r="BK2773" s="8"/>
      <c r="BL2773" s="2" t="s">
        <v>231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11760</v>
      </c>
      <c r="BV2773" s="2" t="s">
        <v>231</v>
      </c>
      <c r="BW2773" s="2" t="s">
        <v>231</v>
      </c>
      <c r="BX2773" s="2" t="s">
        <v>241</v>
      </c>
      <c r="BY2773" s="2" t="s">
        <v>277</v>
      </c>
      <c r="BZ2773" s="2" t="s">
        <v>243</v>
      </c>
      <c r="CA2773" s="2" t="s">
        <v>1239</v>
      </c>
      <c r="CB2773" s="2" t="s">
        <v>231</v>
      </c>
      <c r="CC2773" s="2" t="s">
        <v>244</v>
      </c>
      <c r="CD2773" s="2" t="s">
        <v>231</v>
      </c>
      <c r="CE2773" s="4"/>
      <c r="CF2773" s="4">
        <v>68</v>
      </c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4"/>
      <c r="CX2773" s="4"/>
      <c r="CY2773" s="4"/>
      <c r="CZ2773" s="4"/>
      <c r="DA2773" s="4"/>
      <c r="DB2773" s="4"/>
      <c r="DC2773" s="4"/>
      <c r="DD2773" s="4"/>
      <c r="DE2773" s="4"/>
      <c r="DF2773" s="4"/>
      <c r="DG2773" s="4"/>
      <c r="DH2773" s="4"/>
      <c r="DI2773" s="4"/>
      <c r="DJ2773" s="4"/>
      <c r="DK2773" s="4"/>
      <c r="DL2773" s="4"/>
      <c r="DM2773" s="4"/>
      <c r="DN2773" s="4"/>
      <c r="DO2773" s="4"/>
      <c r="DP2773" s="4"/>
      <c r="DQ2773" s="4"/>
      <c r="DR2773" s="4"/>
      <c r="DS2773" s="4"/>
      <c r="DT2773" s="4"/>
      <c r="DU2773" s="4"/>
      <c r="DV2773" s="4"/>
      <c r="DW2773" s="4"/>
      <c r="DX2773" s="4"/>
      <c r="DY2773" s="4"/>
      <c r="DZ2773" s="4"/>
      <c r="EA2773" s="4"/>
      <c r="EB2773" s="4"/>
      <c r="EC2773" s="4"/>
      <c r="ED2773" s="4"/>
      <c r="EE2773" s="4"/>
      <c r="EF2773" s="4"/>
      <c r="EG2773" s="4"/>
      <c r="EH2773" s="4"/>
      <c r="EI2773" s="4"/>
      <c r="EJ2773" s="4"/>
      <c r="EK2773" s="4"/>
      <c r="EL2773" s="4"/>
      <c r="EM2773" s="4"/>
      <c r="EN2773" s="4"/>
      <c r="EO2773" s="4"/>
      <c r="EP2773" s="4"/>
      <c r="EQ2773" s="4"/>
      <c r="ER2773" s="4"/>
      <c r="ES2773" s="4"/>
      <c r="ET2773" s="4"/>
      <c r="EU2773" s="4"/>
      <c r="EV2773" s="4"/>
      <c r="EW2773" s="4"/>
      <c r="EX2773" s="4"/>
      <c r="EY2773" s="4"/>
      <c r="EZ2773" s="4"/>
      <c r="FA2773" s="4"/>
      <c r="FB2773" s="4"/>
      <c r="FC2773" s="4"/>
      <c r="FD2773" s="4"/>
      <c r="FE2773" s="4"/>
      <c r="FF2773" s="4"/>
      <c r="FG2773" s="4"/>
      <c r="FH2773" s="4"/>
      <c r="FI2773" s="4"/>
      <c r="FJ2773" s="4"/>
      <c r="FK2773" s="4"/>
      <c r="FL2773" s="4"/>
      <c r="FM2773" s="4"/>
      <c r="FN2773" s="4"/>
      <c r="FO2773" s="4"/>
      <c r="FP2773" s="4"/>
      <c r="FQ2773" s="4"/>
      <c r="FR2773" s="4"/>
      <c r="FS2773" s="4"/>
      <c r="FT2773" s="4"/>
      <c r="FU2773" s="4"/>
      <c r="FV2773" s="4"/>
      <c r="FW2773" s="4"/>
      <c r="FX2773" s="4"/>
      <c r="FY2773" s="4"/>
      <c r="FZ2773" s="4"/>
      <c r="GA2773" s="4"/>
      <c r="GB2773" s="4"/>
      <c r="GC2773" s="4"/>
      <c r="GD2773" s="4"/>
      <c r="GE2773" s="4"/>
      <c r="GF2773" s="4"/>
      <c r="GG2773" s="4"/>
      <c r="GH2773" s="4"/>
      <c r="GI2773" s="4"/>
      <c r="GJ2773" s="4"/>
      <c r="GK2773" s="4"/>
      <c r="GL2773" s="4"/>
      <c r="GM2773" s="4"/>
      <c r="GN2773" s="4"/>
      <c r="GO2773" s="4"/>
      <c r="GP2773" s="4"/>
      <c r="GQ2773" s="4"/>
      <c r="GR2773" s="4"/>
      <c r="GS2773" s="4"/>
      <c r="GT2773" s="4"/>
      <c r="GU2773" s="4"/>
      <c r="GV2773" s="4"/>
      <c r="GW2773" s="4"/>
      <c r="GX2773" s="4"/>
      <c r="GY2773" s="4"/>
      <c r="GZ2773" s="4"/>
      <c r="HA2773" s="4"/>
      <c r="HB2773" s="4"/>
      <c r="HC2773" s="4"/>
      <c r="HD2773" s="4"/>
      <c r="HE2773" s="4"/>
      <c r="HF2773" s="4"/>
      <c r="HG2773" s="4"/>
      <c r="HH2773" s="4"/>
      <c r="HI2773" s="4"/>
      <c r="HJ2773" s="4"/>
      <c r="HK2773" s="4"/>
      <c r="HL2773" s="4"/>
    </row>
    <row r="2774">
      <c r="A2774" s="2" t="s">
        <v>11761</v>
      </c>
      <c r="B2774" s="2" t="s">
        <v>1004</v>
      </c>
      <c r="C2774" s="2" t="s">
        <v>815</v>
      </c>
      <c r="D2774" s="2" t="s">
        <v>1922</v>
      </c>
      <c r="E2774" s="2" t="s">
        <v>5986</v>
      </c>
      <c r="F2774" s="2" t="s">
        <v>11742</v>
      </c>
      <c r="G2774" s="2" t="s">
        <v>11742</v>
      </c>
      <c r="H2774" s="2" t="s">
        <v>11742</v>
      </c>
      <c r="I2774" s="2" t="s">
        <v>11762</v>
      </c>
      <c r="J2774" s="2" t="s">
        <v>807</v>
      </c>
      <c r="K2774" s="2" t="s">
        <v>7830</v>
      </c>
      <c r="L2774" s="3">
        <v>759.5</v>
      </c>
      <c r="M2774" s="3">
        <v>797.48</v>
      </c>
      <c r="N2774" s="3">
        <v>1599</v>
      </c>
      <c r="O2774" s="2" t="s">
        <v>243</v>
      </c>
      <c r="P2774" s="2" t="s">
        <v>1037</v>
      </c>
      <c r="Q2774" s="2" t="s">
        <v>237</v>
      </c>
      <c r="R2774" s="2" t="s">
        <v>16</v>
      </c>
      <c r="S2774" s="2" t="s">
        <v>231</v>
      </c>
      <c r="T2774" s="2" t="s">
        <v>231</v>
      </c>
      <c r="U2774" s="2" t="s">
        <v>700</v>
      </c>
      <c r="V2774" s="2" t="s">
        <v>239</v>
      </c>
      <c r="W2774" s="2" t="s">
        <v>2500</v>
      </c>
      <c r="X2774" s="2" t="s">
        <v>691</v>
      </c>
      <c r="Y2774" s="2" t="s">
        <v>11759</v>
      </c>
      <c r="Z2774" s="4">
        <v>45</v>
      </c>
      <c r="AA2774" s="4">
        <f>=ROUNDDOWN({0},0)</f>
      </c>
      <c r="AB2774" s="5"/>
      <c r="AC2774" s="2" t="s">
        <v>231</v>
      </c>
      <c r="AD2774" s="4"/>
      <c r="AE2774" s="4"/>
      <c r="AF2774" s="6"/>
      <c r="AG2774" s="6"/>
      <c r="AH2774" s="7">
        <v>1</v>
      </c>
      <c r="AI2774" s="4"/>
      <c r="AJ2774" s="4">
        <f>=ROUNDDOWN({0},0)</f>
      </c>
      <c r="AK2774" s="5"/>
      <c r="AL2774" s="2" t="s">
        <v>231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231</v>
      </c>
      <c r="AW2774" s="8" t="s">
        <v>231</v>
      </c>
      <c r="AX2774" s="4" t="s">
        <v>231</v>
      </c>
      <c r="AY2774" s="8" t="s">
        <v>231</v>
      </c>
      <c r="AZ2774" s="7" t="s">
        <v>231</v>
      </c>
      <c r="BA2774" s="7" t="s">
        <v>231</v>
      </c>
      <c r="BB2774" s="7" t="s">
        <v>231</v>
      </c>
      <c r="BC2774" s="4" t="s">
        <v>231</v>
      </c>
      <c r="BD2774" s="8" t="s">
        <v>231</v>
      </c>
      <c r="BE2774" s="4" t="s">
        <v>231</v>
      </c>
      <c r="BF2774" s="8" t="s">
        <v>231</v>
      </c>
      <c r="BG2774" s="7" t="s">
        <v>231</v>
      </c>
      <c r="BH2774" s="7" t="s">
        <v>231</v>
      </c>
      <c r="BI2774" s="7"/>
      <c r="BJ2774" s="4"/>
      <c r="BK2774" s="8"/>
      <c r="BL2774" s="2" t="s">
        <v>231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11763</v>
      </c>
      <c r="BV2774" s="2" t="s">
        <v>231</v>
      </c>
      <c r="BW2774" s="2" t="s">
        <v>231</v>
      </c>
      <c r="BX2774" s="2" t="s">
        <v>241</v>
      </c>
      <c r="BY2774" s="2" t="s">
        <v>277</v>
      </c>
      <c r="BZ2774" s="2" t="s">
        <v>243</v>
      </c>
      <c r="CA2774" s="2" t="s">
        <v>1239</v>
      </c>
      <c r="CB2774" s="2" t="s">
        <v>231</v>
      </c>
      <c r="CC2774" s="2" t="s">
        <v>244</v>
      </c>
      <c r="CD2774" s="2" t="s">
        <v>231</v>
      </c>
      <c r="CE2774" s="4"/>
      <c r="CF2774" s="4">
        <v>45</v>
      </c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4"/>
      <c r="CX2774" s="4"/>
      <c r="CY2774" s="4"/>
      <c r="CZ2774" s="4"/>
      <c r="DA2774" s="4"/>
      <c r="DB2774" s="4"/>
      <c r="DC2774" s="4"/>
      <c r="DD2774" s="4"/>
      <c r="DE2774" s="4"/>
      <c r="DF2774" s="4"/>
      <c r="DG2774" s="4"/>
      <c r="DH2774" s="4"/>
      <c r="DI2774" s="4"/>
      <c r="DJ2774" s="4"/>
      <c r="DK2774" s="4"/>
      <c r="DL2774" s="4"/>
      <c r="DM2774" s="4"/>
      <c r="DN2774" s="4"/>
      <c r="DO2774" s="4"/>
      <c r="DP2774" s="4"/>
      <c r="DQ2774" s="4"/>
      <c r="DR2774" s="4"/>
      <c r="DS2774" s="4"/>
      <c r="DT2774" s="4"/>
      <c r="DU2774" s="4"/>
      <c r="DV2774" s="4"/>
      <c r="DW2774" s="4"/>
      <c r="DX2774" s="4"/>
      <c r="DY2774" s="4"/>
      <c r="DZ2774" s="4"/>
      <c r="EA2774" s="4"/>
      <c r="EB2774" s="4"/>
      <c r="EC2774" s="4"/>
      <c r="ED2774" s="4"/>
      <c r="EE2774" s="4"/>
      <c r="EF2774" s="4"/>
      <c r="EG2774" s="4"/>
      <c r="EH2774" s="4"/>
      <c r="EI2774" s="4"/>
      <c r="EJ2774" s="4"/>
      <c r="EK2774" s="4"/>
      <c r="EL2774" s="4"/>
      <c r="EM2774" s="4"/>
      <c r="EN2774" s="4"/>
      <c r="EO2774" s="4"/>
      <c r="EP2774" s="4"/>
      <c r="EQ2774" s="4"/>
      <c r="ER2774" s="4"/>
      <c r="ES2774" s="4"/>
      <c r="ET2774" s="4"/>
      <c r="EU2774" s="4"/>
      <c r="EV2774" s="4"/>
      <c r="EW2774" s="4"/>
      <c r="EX2774" s="4"/>
      <c r="EY2774" s="4"/>
      <c r="EZ2774" s="4"/>
      <c r="FA2774" s="4"/>
      <c r="FB2774" s="4"/>
      <c r="FC2774" s="4"/>
      <c r="FD2774" s="4"/>
      <c r="FE2774" s="4"/>
      <c r="FF2774" s="4"/>
      <c r="FG2774" s="4"/>
      <c r="FH2774" s="4"/>
      <c r="FI2774" s="4"/>
      <c r="FJ2774" s="4"/>
      <c r="FK2774" s="4"/>
      <c r="FL2774" s="4"/>
      <c r="FM2774" s="4"/>
      <c r="FN2774" s="4"/>
      <c r="FO2774" s="4"/>
      <c r="FP2774" s="4"/>
      <c r="FQ2774" s="4"/>
      <c r="FR2774" s="4"/>
      <c r="FS2774" s="4"/>
      <c r="FT2774" s="4"/>
      <c r="FU2774" s="4"/>
      <c r="FV2774" s="4"/>
      <c r="FW2774" s="4"/>
      <c r="FX2774" s="4"/>
      <c r="FY2774" s="4"/>
      <c r="FZ2774" s="4"/>
      <c r="GA2774" s="4"/>
      <c r="GB2774" s="4"/>
      <c r="GC2774" s="4"/>
      <c r="GD2774" s="4"/>
      <c r="GE2774" s="4"/>
      <c r="GF2774" s="4"/>
      <c r="GG2774" s="4"/>
      <c r="GH2774" s="4"/>
      <c r="GI2774" s="4"/>
      <c r="GJ2774" s="4"/>
      <c r="GK2774" s="4"/>
      <c r="GL2774" s="4"/>
      <c r="GM2774" s="4"/>
      <c r="GN2774" s="4"/>
      <c r="GO2774" s="4"/>
      <c r="GP2774" s="4"/>
      <c r="GQ2774" s="4"/>
      <c r="GR2774" s="4"/>
      <c r="GS2774" s="4"/>
      <c r="GT2774" s="4"/>
      <c r="GU2774" s="4"/>
      <c r="GV2774" s="4"/>
      <c r="GW2774" s="4"/>
      <c r="GX2774" s="4"/>
      <c r="GY2774" s="4"/>
      <c r="GZ2774" s="4"/>
      <c r="HA2774" s="4"/>
      <c r="HB2774" s="4"/>
      <c r="HC2774" s="4"/>
      <c r="HD2774" s="4"/>
      <c r="HE2774" s="4"/>
      <c r="HF2774" s="4"/>
      <c r="HG2774" s="4"/>
      <c r="HH2774" s="4"/>
      <c r="HI2774" s="4"/>
      <c r="HJ2774" s="4"/>
      <c r="HK2774" s="4"/>
      <c r="HL2774" s="4"/>
    </row>
    <row r="2775">
      <c r="A2775" s="2" t="s">
        <v>11764</v>
      </c>
      <c r="B2775" s="2" t="s">
        <v>1389</v>
      </c>
      <c r="C2775" s="2" t="s">
        <v>288</v>
      </c>
      <c r="D2775" s="2" t="s">
        <v>1389</v>
      </c>
      <c r="E2775" s="2" t="s">
        <v>1389</v>
      </c>
      <c r="F2775" s="2" t="s">
        <v>11765</v>
      </c>
      <c r="G2775" s="2" t="s">
        <v>11765</v>
      </c>
      <c r="H2775" s="2" t="s">
        <v>11765</v>
      </c>
      <c r="I2775" s="2" t="s">
        <v>11766</v>
      </c>
      <c r="J2775" s="2" t="s">
        <v>1393</v>
      </c>
      <c r="K2775" s="2" t="s">
        <v>1136</v>
      </c>
      <c r="L2775" s="3">
        <v>89.7</v>
      </c>
      <c r="M2775" s="3">
        <v>94.19</v>
      </c>
      <c r="N2775" s="3">
        <v>199.99</v>
      </c>
      <c r="O2775" s="2" t="s">
        <v>235</v>
      </c>
      <c r="P2775" s="2" t="s">
        <v>341</v>
      </c>
      <c r="Q2775" s="2" t="s">
        <v>237</v>
      </c>
      <c r="R2775" s="2" t="s">
        <v>231</v>
      </c>
      <c r="S2775" s="2" t="s">
        <v>231</v>
      </c>
      <c r="T2775" s="2" t="s">
        <v>231</v>
      </c>
      <c r="U2775" s="2" t="s">
        <v>327</v>
      </c>
      <c r="V2775" s="2" t="s">
        <v>239</v>
      </c>
      <c r="W2775" s="2" t="s">
        <v>792</v>
      </c>
      <c r="X2775" s="2" t="s">
        <v>231</v>
      </c>
      <c r="Y2775" s="2" t="s">
        <v>3458</v>
      </c>
      <c r="Z2775" s="4">
        <v>194</v>
      </c>
      <c r="AA2775" s="4">
        <f>=ROUNDDOWN({0},0)</f>
      </c>
      <c r="AB2775" s="5"/>
      <c r="AC2775" s="2" t="s">
        <v>231</v>
      </c>
      <c r="AD2775" s="4"/>
      <c r="AE2775" s="4"/>
      <c r="AF2775" s="6">
        <v>63</v>
      </c>
      <c r="AG2775" s="6"/>
      <c r="AH2775" s="7">
        <v>1</v>
      </c>
      <c r="AI2775" s="4"/>
      <c r="AJ2775" s="4">
        <f>=ROUNDDOWN({0},0)</f>
      </c>
      <c r="AK2775" s="5"/>
      <c r="AL2775" s="2" t="s">
        <v>231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231</v>
      </c>
      <c r="AW2775" s="8" t="s">
        <v>231</v>
      </c>
      <c r="AX2775" s="4" t="s">
        <v>231</v>
      </c>
      <c r="AY2775" s="8" t="s">
        <v>231</v>
      </c>
      <c r="AZ2775" s="7" t="s">
        <v>231</v>
      </c>
      <c r="BA2775" s="7" t="s">
        <v>231</v>
      </c>
      <c r="BB2775" s="7"/>
      <c r="BC2775" s="4" t="s">
        <v>231</v>
      </c>
      <c r="BD2775" s="8" t="s">
        <v>231</v>
      </c>
      <c r="BE2775" s="4" t="s">
        <v>231</v>
      </c>
      <c r="BF2775" s="8" t="s">
        <v>231</v>
      </c>
      <c r="BG2775" s="7" t="s">
        <v>231</v>
      </c>
      <c r="BH2775" s="7" t="s">
        <v>231</v>
      </c>
      <c r="BI2775" s="7"/>
      <c r="BJ2775" s="4"/>
      <c r="BK2775" s="8"/>
      <c r="BL2775" s="2" t="s">
        <v>937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11767</v>
      </c>
      <c r="BV2775" s="2" t="s">
        <v>231</v>
      </c>
      <c r="BW2775" s="2" t="s">
        <v>231</v>
      </c>
      <c r="BX2775" s="2" t="s">
        <v>231</v>
      </c>
      <c r="BY2775" s="2" t="s">
        <v>277</v>
      </c>
      <c r="BZ2775" s="2" t="s">
        <v>243</v>
      </c>
      <c r="CA2775" s="2" t="s">
        <v>4848</v>
      </c>
      <c r="CB2775" s="2" t="s">
        <v>1119</v>
      </c>
      <c r="CC2775" s="2" t="s">
        <v>244</v>
      </c>
      <c r="CD2775" s="2" t="s">
        <v>231</v>
      </c>
      <c r="CE2775" s="4"/>
      <c r="CF2775" s="4">
        <v>194</v>
      </c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4"/>
      <c r="CX2775" s="4"/>
      <c r="CY2775" s="4"/>
      <c r="CZ2775" s="4"/>
      <c r="DA2775" s="4"/>
      <c r="DB2775" s="4"/>
      <c r="DC2775" s="4"/>
      <c r="DD2775" s="4"/>
      <c r="DE2775" s="4"/>
      <c r="DF2775" s="4"/>
      <c r="DG2775" s="4"/>
      <c r="DH2775" s="4"/>
      <c r="DI2775" s="4"/>
      <c r="DJ2775" s="4"/>
      <c r="DK2775" s="4"/>
      <c r="DL2775" s="4"/>
      <c r="DM2775" s="4"/>
      <c r="DN2775" s="4"/>
      <c r="DO2775" s="4"/>
      <c r="DP2775" s="4"/>
      <c r="DQ2775" s="4"/>
      <c r="DR2775" s="4"/>
      <c r="DS2775" s="4"/>
      <c r="DT2775" s="4"/>
      <c r="DU2775" s="4"/>
      <c r="DV2775" s="4"/>
      <c r="DW2775" s="4"/>
      <c r="DX2775" s="4"/>
      <c r="DY2775" s="4"/>
      <c r="DZ2775" s="4"/>
      <c r="EA2775" s="4"/>
      <c r="EB2775" s="4"/>
      <c r="EC2775" s="4"/>
      <c r="ED2775" s="4"/>
      <c r="EE2775" s="4"/>
      <c r="EF2775" s="4"/>
      <c r="EG2775" s="4"/>
      <c r="EH2775" s="4"/>
      <c r="EI2775" s="4"/>
      <c r="EJ2775" s="4"/>
      <c r="EK2775" s="4"/>
      <c r="EL2775" s="4"/>
      <c r="EM2775" s="4"/>
      <c r="EN2775" s="4"/>
      <c r="EO2775" s="4"/>
      <c r="EP2775" s="4"/>
      <c r="EQ2775" s="4"/>
      <c r="ER2775" s="4"/>
      <c r="ES2775" s="4"/>
      <c r="ET2775" s="4"/>
      <c r="EU2775" s="4"/>
      <c r="EV2775" s="4"/>
      <c r="EW2775" s="4"/>
      <c r="EX2775" s="4"/>
      <c r="EY2775" s="4"/>
      <c r="EZ2775" s="4"/>
      <c r="FA2775" s="4"/>
      <c r="FB2775" s="4"/>
      <c r="FC2775" s="4"/>
      <c r="FD2775" s="4"/>
      <c r="FE2775" s="4"/>
      <c r="FF2775" s="4"/>
      <c r="FG2775" s="4"/>
      <c r="FH2775" s="4"/>
      <c r="FI2775" s="4"/>
      <c r="FJ2775" s="4"/>
      <c r="FK2775" s="4"/>
      <c r="FL2775" s="4"/>
      <c r="FM2775" s="4"/>
      <c r="FN2775" s="4"/>
      <c r="FO2775" s="4"/>
      <c r="FP2775" s="4"/>
      <c r="FQ2775" s="4"/>
      <c r="FR2775" s="4"/>
      <c r="FS2775" s="4"/>
      <c r="FT2775" s="4"/>
      <c r="FU2775" s="4"/>
      <c r="FV2775" s="4"/>
      <c r="FW2775" s="4"/>
      <c r="FX2775" s="4"/>
      <c r="FY2775" s="4"/>
      <c r="FZ2775" s="4"/>
      <c r="GA2775" s="4"/>
      <c r="GB2775" s="4"/>
      <c r="GC2775" s="4"/>
      <c r="GD2775" s="4"/>
      <c r="GE2775" s="4"/>
      <c r="GF2775" s="4"/>
      <c r="GG2775" s="4"/>
      <c r="GH2775" s="4"/>
      <c r="GI2775" s="4"/>
      <c r="GJ2775" s="4"/>
      <c r="GK2775" s="4"/>
      <c r="GL2775" s="4"/>
      <c r="GM2775" s="4"/>
      <c r="GN2775" s="4"/>
      <c r="GO2775" s="4"/>
      <c r="GP2775" s="4"/>
      <c r="GQ2775" s="4"/>
      <c r="GR2775" s="4"/>
      <c r="GS2775" s="4"/>
      <c r="GT2775" s="4"/>
      <c r="GU2775" s="4"/>
      <c r="GV2775" s="4"/>
      <c r="GW2775" s="4"/>
      <c r="GX2775" s="4"/>
      <c r="GY2775" s="4"/>
      <c r="GZ2775" s="4"/>
      <c r="HA2775" s="4"/>
      <c r="HB2775" s="4"/>
      <c r="HC2775" s="4"/>
      <c r="HD2775" s="4"/>
      <c r="HE2775" s="4"/>
      <c r="HF2775" s="4"/>
      <c r="HG2775" s="4"/>
      <c r="HH2775" s="4"/>
      <c r="HI2775" s="4"/>
      <c r="HJ2775" s="4"/>
      <c r="HK2775" s="4"/>
      <c r="HL2775" s="4"/>
    </row>
    <row r="2776">
      <c r="A2776" s="2" t="s">
        <v>11768</v>
      </c>
      <c r="B2776" s="2" t="s">
        <v>1389</v>
      </c>
      <c r="C2776" s="2" t="s">
        <v>288</v>
      </c>
      <c r="D2776" s="2" t="s">
        <v>1389</v>
      </c>
      <c r="E2776" s="2" t="s">
        <v>1389</v>
      </c>
      <c r="F2776" s="2" t="s">
        <v>11765</v>
      </c>
      <c r="G2776" s="2" t="s">
        <v>11765</v>
      </c>
      <c r="H2776" s="2" t="s">
        <v>11765</v>
      </c>
      <c r="I2776" s="2" t="s">
        <v>11766</v>
      </c>
      <c r="J2776" s="2" t="s">
        <v>2039</v>
      </c>
      <c r="K2776" s="2" t="s">
        <v>1136</v>
      </c>
      <c r="L2776" s="3">
        <v>211.98</v>
      </c>
      <c r="M2776" s="3">
        <v>222.58</v>
      </c>
      <c r="N2776" s="3">
        <v>474.99</v>
      </c>
      <c r="O2776" s="2" t="s">
        <v>235</v>
      </c>
      <c r="P2776" s="2" t="s">
        <v>341</v>
      </c>
      <c r="Q2776" s="2" t="s">
        <v>237</v>
      </c>
      <c r="R2776" s="2" t="s">
        <v>231</v>
      </c>
      <c r="S2776" s="2" t="s">
        <v>231</v>
      </c>
      <c r="T2776" s="2" t="s">
        <v>231</v>
      </c>
      <c r="U2776" s="2" t="s">
        <v>327</v>
      </c>
      <c r="V2776" s="2" t="s">
        <v>239</v>
      </c>
      <c r="W2776" s="2" t="s">
        <v>792</v>
      </c>
      <c r="X2776" s="2" t="s">
        <v>231</v>
      </c>
      <c r="Y2776" s="2" t="s">
        <v>3458</v>
      </c>
      <c r="Z2776" s="4">
        <v>99</v>
      </c>
      <c r="AA2776" s="4">
        <f>=ROUNDDOWN({0},0)</f>
      </c>
      <c r="AB2776" s="5"/>
      <c r="AC2776" s="2" t="s">
        <v>231</v>
      </c>
      <c r="AD2776" s="4"/>
      <c r="AE2776" s="4"/>
      <c r="AF2776" s="6">
        <v>63</v>
      </c>
      <c r="AG2776" s="6"/>
      <c r="AH2776" s="7">
        <v>1</v>
      </c>
      <c r="AI2776" s="4"/>
      <c r="AJ2776" s="4">
        <f>=ROUNDDOWN({0},0)</f>
      </c>
      <c r="AK2776" s="5"/>
      <c r="AL2776" s="2" t="s">
        <v>231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231</v>
      </c>
      <c r="AW2776" s="8" t="s">
        <v>231</v>
      </c>
      <c r="AX2776" s="4" t="s">
        <v>231</v>
      </c>
      <c r="AY2776" s="8" t="s">
        <v>231</v>
      </c>
      <c r="AZ2776" s="7" t="s">
        <v>231</v>
      </c>
      <c r="BA2776" s="7" t="s">
        <v>231</v>
      </c>
      <c r="BB2776" s="7"/>
      <c r="BC2776" s="4" t="s">
        <v>231</v>
      </c>
      <c r="BD2776" s="8" t="s">
        <v>231</v>
      </c>
      <c r="BE2776" s="4" t="s">
        <v>231</v>
      </c>
      <c r="BF2776" s="8" t="s">
        <v>231</v>
      </c>
      <c r="BG2776" s="7" t="s">
        <v>231</v>
      </c>
      <c r="BH2776" s="7" t="s">
        <v>231</v>
      </c>
      <c r="BI2776" s="7"/>
      <c r="BJ2776" s="4"/>
      <c r="BK2776" s="8"/>
      <c r="BL2776" s="2" t="s">
        <v>5542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11769</v>
      </c>
      <c r="BV2776" s="2" t="s">
        <v>231</v>
      </c>
      <c r="BW2776" s="2" t="s">
        <v>231</v>
      </c>
      <c r="BX2776" s="2" t="s">
        <v>231</v>
      </c>
      <c r="BY2776" s="2" t="s">
        <v>277</v>
      </c>
      <c r="BZ2776" s="2" t="s">
        <v>243</v>
      </c>
      <c r="CA2776" s="2" t="s">
        <v>4848</v>
      </c>
      <c r="CB2776" s="2" t="s">
        <v>6985</v>
      </c>
      <c r="CC2776" s="2" t="s">
        <v>244</v>
      </c>
      <c r="CD2776" s="2" t="s">
        <v>231</v>
      </c>
      <c r="CE2776" s="4"/>
      <c r="CF2776" s="4">
        <v>99</v>
      </c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4"/>
      <c r="CX2776" s="4"/>
      <c r="CY2776" s="4"/>
      <c r="CZ2776" s="4"/>
      <c r="DA2776" s="4"/>
      <c r="DB2776" s="4"/>
      <c r="DC2776" s="4"/>
      <c r="DD2776" s="4"/>
      <c r="DE2776" s="4"/>
      <c r="DF2776" s="4"/>
      <c r="DG2776" s="4"/>
      <c r="DH2776" s="4"/>
      <c r="DI2776" s="4"/>
      <c r="DJ2776" s="4"/>
      <c r="DK2776" s="4"/>
      <c r="DL2776" s="4"/>
      <c r="DM2776" s="4"/>
      <c r="DN2776" s="4"/>
      <c r="DO2776" s="4"/>
      <c r="DP2776" s="4"/>
      <c r="DQ2776" s="4"/>
      <c r="DR2776" s="4"/>
      <c r="DS2776" s="4"/>
      <c r="DT2776" s="4"/>
      <c r="DU2776" s="4"/>
      <c r="DV2776" s="4"/>
      <c r="DW2776" s="4"/>
      <c r="DX2776" s="4"/>
      <c r="DY2776" s="4"/>
      <c r="DZ2776" s="4"/>
      <c r="EA2776" s="4"/>
      <c r="EB2776" s="4"/>
      <c r="EC2776" s="4"/>
      <c r="ED2776" s="4"/>
      <c r="EE2776" s="4"/>
      <c r="EF2776" s="4"/>
      <c r="EG2776" s="4"/>
      <c r="EH2776" s="4"/>
      <c r="EI2776" s="4"/>
      <c r="EJ2776" s="4"/>
      <c r="EK2776" s="4"/>
      <c r="EL2776" s="4"/>
      <c r="EM2776" s="4"/>
      <c r="EN2776" s="4"/>
      <c r="EO2776" s="4"/>
      <c r="EP2776" s="4"/>
      <c r="EQ2776" s="4"/>
      <c r="ER2776" s="4"/>
      <c r="ES2776" s="4"/>
      <c r="ET2776" s="4"/>
      <c r="EU2776" s="4"/>
      <c r="EV2776" s="4"/>
      <c r="EW2776" s="4"/>
      <c r="EX2776" s="4"/>
      <c r="EY2776" s="4"/>
      <c r="EZ2776" s="4"/>
      <c r="FA2776" s="4"/>
      <c r="FB2776" s="4"/>
      <c r="FC2776" s="4"/>
      <c r="FD2776" s="4"/>
      <c r="FE2776" s="4"/>
      <c r="FF2776" s="4"/>
      <c r="FG2776" s="4"/>
      <c r="FH2776" s="4"/>
      <c r="FI2776" s="4"/>
      <c r="FJ2776" s="4"/>
      <c r="FK2776" s="4"/>
      <c r="FL2776" s="4"/>
      <c r="FM2776" s="4"/>
      <c r="FN2776" s="4"/>
      <c r="FO2776" s="4"/>
      <c r="FP2776" s="4"/>
      <c r="FQ2776" s="4"/>
      <c r="FR2776" s="4"/>
      <c r="FS2776" s="4"/>
      <c r="FT2776" s="4"/>
      <c r="FU2776" s="4"/>
      <c r="FV2776" s="4"/>
      <c r="FW2776" s="4"/>
      <c r="FX2776" s="4"/>
      <c r="FY2776" s="4"/>
      <c r="FZ2776" s="4"/>
      <c r="GA2776" s="4"/>
      <c r="GB2776" s="4"/>
      <c r="GC2776" s="4"/>
      <c r="GD2776" s="4"/>
      <c r="GE2776" s="4"/>
      <c r="GF2776" s="4"/>
      <c r="GG2776" s="4"/>
      <c r="GH2776" s="4"/>
      <c r="GI2776" s="4"/>
      <c r="GJ2776" s="4"/>
      <c r="GK2776" s="4"/>
      <c r="GL2776" s="4"/>
      <c r="GM2776" s="4"/>
      <c r="GN2776" s="4"/>
      <c r="GO2776" s="4"/>
      <c r="GP2776" s="4"/>
      <c r="GQ2776" s="4"/>
      <c r="GR2776" s="4"/>
      <c r="GS2776" s="4"/>
      <c r="GT2776" s="4"/>
      <c r="GU2776" s="4"/>
      <c r="GV2776" s="4"/>
      <c r="GW2776" s="4"/>
      <c r="GX2776" s="4"/>
      <c r="GY2776" s="4"/>
      <c r="GZ2776" s="4"/>
      <c r="HA2776" s="4"/>
      <c r="HB2776" s="4"/>
      <c r="HC2776" s="4"/>
      <c r="HD2776" s="4"/>
      <c r="HE2776" s="4"/>
      <c r="HF2776" s="4"/>
      <c r="HG2776" s="4"/>
      <c r="HH2776" s="4"/>
      <c r="HI2776" s="4"/>
      <c r="HJ2776" s="4"/>
      <c r="HK2776" s="4"/>
      <c r="HL2776" s="4"/>
    </row>
    <row r="2777">
      <c r="A2777" s="2" t="s">
        <v>11770</v>
      </c>
      <c r="B2777" s="2" t="s">
        <v>992</v>
      </c>
      <c r="C2777" s="2" t="s">
        <v>825</v>
      </c>
      <c r="D2777" s="2" t="s">
        <v>993</v>
      </c>
      <c r="E2777" s="2" t="s">
        <v>994</v>
      </c>
      <c r="F2777" s="2" t="s">
        <v>3938</v>
      </c>
      <c r="G2777" s="2" t="s">
        <v>7483</v>
      </c>
      <c r="H2777" s="2" t="s">
        <v>5082</v>
      </c>
      <c r="I2777" s="2" t="s">
        <v>11771</v>
      </c>
      <c r="J2777" s="2" t="s">
        <v>1703</v>
      </c>
      <c r="K2777" s="2" t="s">
        <v>294</v>
      </c>
      <c r="L2777" s="3">
        <v>12.3</v>
      </c>
      <c r="M2777" s="3">
        <v>12.92</v>
      </c>
      <c r="N2777" s="3">
        <v>29.99</v>
      </c>
      <c r="O2777" s="2" t="s">
        <v>243</v>
      </c>
      <c r="P2777" s="2" t="s">
        <v>270</v>
      </c>
      <c r="Q2777" s="2" t="s">
        <v>237</v>
      </c>
      <c r="R2777" s="2" t="s">
        <v>231</v>
      </c>
      <c r="S2777" s="2" t="s">
        <v>11772</v>
      </c>
      <c r="T2777" s="2" t="s">
        <v>231</v>
      </c>
      <c r="U2777" s="2" t="s">
        <v>327</v>
      </c>
      <c r="V2777" s="2" t="s">
        <v>3942</v>
      </c>
      <c r="W2777" s="2" t="s">
        <v>273</v>
      </c>
      <c r="X2777" s="2" t="s">
        <v>1520</v>
      </c>
      <c r="Y2777" s="2" t="s">
        <v>11773</v>
      </c>
      <c r="Z2777" s="4">
        <v>14</v>
      </c>
      <c r="AA2777" s="4">
        <f>=ROUNDDOWN(2.8,0)</f>
      </c>
      <c r="AB2777" s="5">
        <v>5</v>
      </c>
      <c r="AC2777" s="2" t="s">
        <v>3693</v>
      </c>
      <c r="AD2777" s="4">
        <v>148</v>
      </c>
      <c r="AE2777" s="4">
        <v>148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231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231</v>
      </c>
      <c r="BD2777" s="8" t="s">
        <v>231</v>
      </c>
      <c r="BE2777" s="4" t="s">
        <v>231</v>
      </c>
      <c r="BF2777" s="8" t="s">
        <v>231</v>
      </c>
      <c r="BG2777" s="7" t="s">
        <v>231</v>
      </c>
      <c r="BH2777" s="7" t="s">
        <v>231</v>
      </c>
      <c r="BI2777" s="7"/>
      <c r="BJ2777" s="4">
        <v>14</v>
      </c>
      <c r="BK2777" s="8">
        <v>179.92</v>
      </c>
      <c r="BL2777" s="2" t="s">
        <v>988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11774</v>
      </c>
      <c r="BV2777" s="2" t="s">
        <v>231</v>
      </c>
      <c r="BW2777" s="2" t="s">
        <v>231</v>
      </c>
      <c r="BX2777" s="2" t="s">
        <v>241</v>
      </c>
      <c r="BY2777" s="2" t="s">
        <v>277</v>
      </c>
      <c r="BZ2777" s="2" t="s">
        <v>243</v>
      </c>
      <c r="CA2777" s="2" t="s">
        <v>4814</v>
      </c>
      <c r="CB2777" s="2" t="s">
        <v>11775</v>
      </c>
      <c r="CC2777" s="2" t="s">
        <v>244</v>
      </c>
      <c r="CD2777" s="2" t="s">
        <v>231</v>
      </c>
      <c r="CE2777" s="4">
        <v>14</v>
      </c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4"/>
      <c r="CX2777" s="4"/>
      <c r="CY2777" s="4"/>
      <c r="CZ2777" s="4">
        <v>148</v>
      </c>
      <c r="DA2777" s="4"/>
      <c r="DB2777" s="4"/>
      <c r="DC2777" s="4"/>
      <c r="DD2777" s="4"/>
      <c r="DE2777" s="4"/>
      <c r="DF2777" s="4"/>
      <c r="DG2777" s="4"/>
      <c r="DH2777" s="4"/>
      <c r="DI2777" s="4"/>
      <c r="DJ2777" s="4"/>
      <c r="DK2777" s="4"/>
      <c r="DL2777" s="4"/>
      <c r="DM2777" s="4"/>
      <c r="DN2777" s="4"/>
      <c r="DO2777" s="4"/>
      <c r="DP2777" s="4"/>
      <c r="DQ2777" s="4"/>
      <c r="DR2777" s="4"/>
      <c r="DS2777" s="4"/>
      <c r="DT2777" s="4"/>
      <c r="DU2777" s="4"/>
      <c r="DV2777" s="4"/>
      <c r="DW2777" s="4"/>
      <c r="DX2777" s="4"/>
      <c r="DY2777" s="4"/>
      <c r="DZ2777" s="4"/>
      <c r="EA2777" s="4"/>
      <c r="EB2777" s="4"/>
      <c r="EC2777" s="4"/>
      <c r="ED2777" s="4"/>
      <c r="EE2777" s="4"/>
      <c r="EF2777" s="4"/>
      <c r="EG2777" s="4"/>
      <c r="EH2777" s="4"/>
      <c r="EI2777" s="4"/>
      <c r="EJ2777" s="4"/>
      <c r="EK2777" s="4"/>
      <c r="EL2777" s="4"/>
      <c r="EM2777" s="4"/>
      <c r="EN2777" s="4"/>
      <c r="EO2777" s="4"/>
      <c r="EP2777" s="4"/>
      <c r="EQ2777" s="4"/>
      <c r="ER2777" s="4"/>
      <c r="ES2777" s="4"/>
      <c r="ET2777" s="4"/>
      <c r="EU2777" s="4"/>
      <c r="EV2777" s="4"/>
      <c r="EW2777" s="4"/>
      <c r="EX2777" s="4"/>
      <c r="EY2777" s="4"/>
      <c r="EZ2777" s="4"/>
      <c r="FA2777" s="4"/>
      <c r="FB2777" s="4"/>
      <c r="FC2777" s="4"/>
      <c r="FD2777" s="4"/>
      <c r="FE2777" s="4"/>
      <c r="FF2777" s="4"/>
      <c r="FG2777" s="4"/>
      <c r="FH2777" s="4"/>
      <c r="FI2777" s="4"/>
      <c r="FJ2777" s="4"/>
      <c r="FK2777" s="4"/>
      <c r="FL2777" s="4"/>
      <c r="FM2777" s="4"/>
      <c r="FN2777" s="4"/>
      <c r="FO2777" s="4"/>
      <c r="FP2777" s="4"/>
      <c r="FQ2777" s="4"/>
      <c r="FR2777" s="4"/>
      <c r="FS2777" s="4"/>
      <c r="FT2777" s="4"/>
      <c r="FU2777" s="4"/>
      <c r="FV2777" s="4"/>
      <c r="FW2777" s="4"/>
      <c r="FX2777" s="4"/>
      <c r="FY2777" s="4"/>
      <c r="FZ2777" s="4"/>
      <c r="GA2777" s="4"/>
      <c r="GB2777" s="4"/>
      <c r="GC2777" s="4"/>
      <c r="GD2777" s="4"/>
      <c r="GE2777" s="4"/>
      <c r="GF2777" s="4"/>
      <c r="GG2777" s="4"/>
      <c r="GH2777" s="4"/>
      <c r="GI2777" s="4"/>
      <c r="GJ2777" s="4"/>
      <c r="GK2777" s="4"/>
      <c r="GL2777" s="4"/>
      <c r="GM2777" s="4"/>
      <c r="GN2777" s="4"/>
      <c r="GO2777" s="4"/>
      <c r="GP2777" s="4"/>
      <c r="GQ2777" s="4"/>
      <c r="GR2777" s="4"/>
      <c r="GS2777" s="4"/>
      <c r="GT2777" s="4"/>
      <c r="GU2777" s="4"/>
      <c r="GV2777" s="4"/>
      <c r="GW2777" s="4"/>
      <c r="GX2777" s="4"/>
      <c r="GY2777" s="4"/>
      <c r="GZ2777" s="4"/>
      <c r="HA2777" s="4"/>
      <c r="HB2777" s="4"/>
      <c r="HC2777" s="4"/>
      <c r="HD2777" s="4"/>
      <c r="HE2777" s="4"/>
      <c r="HF2777" s="4"/>
      <c r="HG2777" s="4"/>
      <c r="HH2777" s="4"/>
      <c r="HI2777" s="4"/>
      <c r="HJ2777" s="4"/>
      <c r="HK2777" s="4"/>
      <c r="HL2777" s="4"/>
    </row>
    <row r="2778">
      <c r="A2778" s="2" t="s">
        <v>11776</v>
      </c>
      <c r="B2778" s="2" t="s">
        <v>992</v>
      </c>
      <c r="C2778" s="2" t="s">
        <v>825</v>
      </c>
      <c r="D2778" s="2" t="s">
        <v>993</v>
      </c>
      <c r="E2778" s="2" t="s">
        <v>994</v>
      </c>
      <c r="F2778" s="2" t="s">
        <v>3938</v>
      </c>
      <c r="G2778" s="2" t="s">
        <v>7483</v>
      </c>
      <c r="H2778" s="2" t="s">
        <v>5082</v>
      </c>
      <c r="I2778" s="2" t="s">
        <v>11771</v>
      </c>
      <c r="J2778" s="2" t="s">
        <v>996</v>
      </c>
      <c r="K2778" s="2" t="s">
        <v>486</v>
      </c>
      <c r="L2778" s="3">
        <v>14</v>
      </c>
      <c r="M2778" s="3">
        <v>14.7</v>
      </c>
      <c r="N2778" s="3">
        <v>34.99</v>
      </c>
      <c r="O2778" s="2" t="s">
        <v>243</v>
      </c>
      <c r="P2778" s="2" t="s">
        <v>917</v>
      </c>
      <c r="Q2778" s="2" t="s">
        <v>237</v>
      </c>
      <c r="R2778" s="2" t="s">
        <v>231</v>
      </c>
      <c r="S2778" s="2" t="s">
        <v>11777</v>
      </c>
      <c r="T2778" s="2" t="s">
        <v>1432</v>
      </c>
      <c r="U2778" s="2" t="s">
        <v>327</v>
      </c>
      <c r="V2778" s="2" t="s">
        <v>3942</v>
      </c>
      <c r="W2778" s="2" t="s">
        <v>273</v>
      </c>
      <c r="X2778" s="2" t="s">
        <v>231</v>
      </c>
      <c r="Y2778" s="2" t="s">
        <v>5414</v>
      </c>
      <c r="Z2778" s="4">
        <v>263</v>
      </c>
      <c r="AA2778" s="4">
        <f>=ROUNDDOWN(16.4375,0)</f>
      </c>
      <c r="AB2778" s="5">
        <v>16</v>
      </c>
      <c r="AC2778" s="2" t="s">
        <v>231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231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 t="s">
        <v>231</v>
      </c>
      <c r="BD2778" s="8" t="s">
        <v>231</v>
      </c>
      <c r="BE2778" s="4" t="s">
        <v>231</v>
      </c>
      <c r="BF2778" s="8" t="s">
        <v>231</v>
      </c>
      <c r="BG2778" s="7" t="s">
        <v>231</v>
      </c>
      <c r="BH2778" s="7" t="s">
        <v>231</v>
      </c>
      <c r="BI2778" s="7"/>
      <c r="BJ2778" s="4">
        <v>46</v>
      </c>
      <c r="BK2778" s="8">
        <v>574.8</v>
      </c>
      <c r="BL2778" s="2" t="s">
        <v>2806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11778</v>
      </c>
      <c r="BV2778" s="2" t="s">
        <v>231</v>
      </c>
      <c r="BW2778" s="2" t="s">
        <v>231</v>
      </c>
      <c r="BX2778" s="2" t="s">
        <v>231</v>
      </c>
      <c r="BY2778" s="2" t="s">
        <v>277</v>
      </c>
      <c r="BZ2778" s="2" t="s">
        <v>243</v>
      </c>
      <c r="CA2778" s="2" t="s">
        <v>5414</v>
      </c>
      <c r="CB2778" s="2" t="s">
        <v>854</v>
      </c>
      <c r="CC2778" s="2" t="s">
        <v>244</v>
      </c>
      <c r="CD2778" s="2" t="s">
        <v>231</v>
      </c>
      <c r="CE2778" s="4">
        <v>263</v>
      </c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4"/>
      <c r="CX2778" s="4"/>
      <c r="CY2778" s="4"/>
      <c r="CZ2778" s="4"/>
      <c r="DA2778" s="4"/>
      <c r="DB2778" s="4"/>
      <c r="DC2778" s="4"/>
      <c r="DD2778" s="4"/>
      <c r="DE2778" s="4"/>
      <c r="DF2778" s="4"/>
      <c r="DG2778" s="4"/>
      <c r="DH2778" s="4"/>
      <c r="DI2778" s="4"/>
      <c r="DJ2778" s="4"/>
      <c r="DK2778" s="4"/>
      <c r="DL2778" s="4"/>
      <c r="DM2778" s="4"/>
      <c r="DN2778" s="4"/>
      <c r="DO2778" s="4"/>
      <c r="DP2778" s="4"/>
      <c r="DQ2778" s="4"/>
      <c r="DR2778" s="4"/>
      <c r="DS2778" s="4"/>
      <c r="DT2778" s="4"/>
      <c r="DU2778" s="4"/>
      <c r="DV2778" s="4"/>
      <c r="DW2778" s="4"/>
      <c r="DX2778" s="4"/>
      <c r="DY2778" s="4"/>
      <c r="DZ2778" s="4"/>
      <c r="EA2778" s="4"/>
      <c r="EB2778" s="4"/>
      <c r="EC2778" s="4"/>
      <c r="ED2778" s="4"/>
      <c r="EE2778" s="4"/>
      <c r="EF2778" s="4"/>
      <c r="EG2778" s="4"/>
      <c r="EH2778" s="4"/>
      <c r="EI2778" s="4"/>
      <c r="EJ2778" s="4"/>
      <c r="EK2778" s="4"/>
      <c r="EL2778" s="4"/>
      <c r="EM2778" s="4"/>
      <c r="EN2778" s="4"/>
      <c r="EO2778" s="4"/>
      <c r="EP2778" s="4"/>
      <c r="EQ2778" s="4"/>
      <c r="ER2778" s="4"/>
      <c r="ES2778" s="4"/>
      <c r="ET2778" s="4"/>
      <c r="EU2778" s="4"/>
      <c r="EV2778" s="4"/>
      <c r="EW2778" s="4"/>
      <c r="EX2778" s="4"/>
      <c r="EY2778" s="4"/>
      <c r="EZ2778" s="4"/>
      <c r="FA2778" s="4"/>
      <c r="FB2778" s="4"/>
      <c r="FC2778" s="4"/>
      <c r="FD2778" s="4"/>
      <c r="FE2778" s="4"/>
      <c r="FF2778" s="4"/>
      <c r="FG2778" s="4"/>
      <c r="FH2778" s="4"/>
      <c r="FI2778" s="4"/>
      <c r="FJ2778" s="4"/>
      <c r="FK2778" s="4"/>
      <c r="FL2778" s="4"/>
      <c r="FM2778" s="4"/>
      <c r="FN2778" s="4"/>
      <c r="FO2778" s="4"/>
      <c r="FP2778" s="4"/>
      <c r="FQ2778" s="4"/>
      <c r="FR2778" s="4"/>
      <c r="FS2778" s="4"/>
      <c r="FT2778" s="4"/>
      <c r="FU2778" s="4"/>
      <c r="FV2778" s="4"/>
      <c r="FW2778" s="4"/>
      <c r="FX2778" s="4"/>
      <c r="FY2778" s="4"/>
      <c r="FZ2778" s="4"/>
      <c r="GA2778" s="4"/>
      <c r="GB2778" s="4"/>
      <c r="GC2778" s="4"/>
      <c r="GD2778" s="4"/>
      <c r="GE2778" s="4"/>
      <c r="GF2778" s="4"/>
      <c r="GG2778" s="4"/>
      <c r="GH2778" s="4"/>
      <c r="GI2778" s="4"/>
      <c r="GJ2778" s="4"/>
      <c r="GK2778" s="4"/>
      <c r="GL2778" s="4"/>
      <c r="GM2778" s="4"/>
      <c r="GN2778" s="4"/>
      <c r="GO2778" s="4"/>
      <c r="GP2778" s="4"/>
      <c r="GQ2778" s="4"/>
      <c r="GR2778" s="4"/>
      <c r="GS2778" s="4"/>
      <c r="GT2778" s="4"/>
      <c r="GU2778" s="4"/>
      <c r="GV2778" s="4"/>
      <c r="GW2778" s="4"/>
      <c r="GX2778" s="4"/>
      <c r="GY2778" s="4"/>
      <c r="GZ2778" s="4"/>
      <c r="HA2778" s="4"/>
      <c r="HB2778" s="4"/>
      <c r="HC2778" s="4"/>
      <c r="HD2778" s="4"/>
      <c r="HE2778" s="4"/>
      <c r="HF2778" s="4"/>
      <c r="HG2778" s="4"/>
      <c r="HH2778" s="4"/>
      <c r="HI2778" s="4"/>
      <c r="HJ2778" s="4"/>
      <c r="HK2778" s="4"/>
      <c r="HL2778" s="4"/>
    </row>
    <row r="2779">
      <c r="A2779" s="2" t="s">
        <v>11779</v>
      </c>
      <c r="B2779" s="2" t="s">
        <v>1389</v>
      </c>
      <c r="C2779" s="2" t="s">
        <v>288</v>
      </c>
      <c r="D2779" s="2" t="s">
        <v>1389</v>
      </c>
      <c r="E2779" s="2" t="s">
        <v>1389</v>
      </c>
      <c r="F2779" s="2" t="s">
        <v>3938</v>
      </c>
      <c r="G2779" s="2" t="s">
        <v>3938</v>
      </c>
      <c r="H2779" s="2" t="s">
        <v>3938</v>
      </c>
      <c r="I2779" s="2" t="s">
        <v>11766</v>
      </c>
      <c r="J2779" s="2" t="s">
        <v>2030</v>
      </c>
      <c r="K2779" s="2" t="s">
        <v>1136</v>
      </c>
      <c r="L2779" s="3">
        <v>29</v>
      </c>
      <c r="M2779" s="3">
        <v>30.45</v>
      </c>
      <c r="N2779" s="3">
        <v>59.99</v>
      </c>
      <c r="O2779" s="2" t="s">
        <v>243</v>
      </c>
      <c r="P2779" s="2" t="s">
        <v>341</v>
      </c>
      <c r="Q2779" s="2" t="s">
        <v>237</v>
      </c>
      <c r="R2779" s="2" t="s">
        <v>231</v>
      </c>
      <c r="S2779" s="2" t="s">
        <v>11780</v>
      </c>
      <c r="T2779" s="2" t="s">
        <v>231</v>
      </c>
      <c r="U2779" s="2" t="s">
        <v>327</v>
      </c>
      <c r="V2779" s="2" t="s">
        <v>987</v>
      </c>
      <c r="W2779" s="2" t="s">
        <v>792</v>
      </c>
      <c r="X2779" s="2" t="s">
        <v>231</v>
      </c>
      <c r="Y2779" s="2" t="s">
        <v>2033</v>
      </c>
      <c r="Z2779" s="4">
        <v>59</v>
      </c>
      <c r="AA2779" s="4">
        <f>=ROUNDDOWN(196.666666666667,0)</f>
      </c>
      <c r="AB2779" s="5">
        <v>0.3</v>
      </c>
      <c r="AC2779" s="2" t="s">
        <v>231</v>
      </c>
      <c r="AD2779" s="4"/>
      <c r="AE2779" s="4"/>
      <c r="AF2779" s="6">
        <v>63</v>
      </c>
      <c r="AG2779" s="6"/>
      <c r="AH2779" s="7">
        <v>1</v>
      </c>
      <c r="AI2779" s="4"/>
      <c r="AJ2779" s="4">
        <f>=ROUNDDOWN({0},0)</f>
      </c>
      <c r="AK2779" s="5"/>
      <c r="AL2779" s="2" t="s">
        <v>231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 t="s">
        <v>231</v>
      </c>
      <c r="BD2779" s="8" t="s">
        <v>231</v>
      </c>
      <c r="BE2779" s="4" t="s">
        <v>231</v>
      </c>
      <c r="BF2779" s="8" t="s">
        <v>231</v>
      </c>
      <c r="BG2779" s="7" t="s">
        <v>231</v>
      </c>
      <c r="BH2779" s="7" t="s">
        <v>231</v>
      </c>
      <c r="BI2779" s="7"/>
      <c r="BJ2779" s="4">
        <v>1</v>
      </c>
      <c r="BK2779" s="8">
        <v>35.02</v>
      </c>
      <c r="BL2779" s="2" t="s">
        <v>465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11781</v>
      </c>
      <c r="BV2779" s="2" t="s">
        <v>231</v>
      </c>
      <c r="BW2779" s="2" t="s">
        <v>231</v>
      </c>
      <c r="BX2779" s="2" t="s">
        <v>231</v>
      </c>
      <c r="BY2779" s="2" t="s">
        <v>277</v>
      </c>
      <c r="BZ2779" s="2" t="s">
        <v>243</v>
      </c>
      <c r="CA2779" s="2" t="s">
        <v>5855</v>
      </c>
      <c r="CB2779" s="2" t="s">
        <v>231</v>
      </c>
      <c r="CC2779" s="2" t="s">
        <v>244</v>
      </c>
      <c r="CD2779" s="2" t="s">
        <v>231</v>
      </c>
      <c r="CE2779" s="4"/>
      <c r="CF2779" s="4">
        <v>59</v>
      </c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4"/>
      <c r="CX2779" s="4"/>
      <c r="CY2779" s="4"/>
      <c r="CZ2779" s="4"/>
      <c r="DA2779" s="4"/>
      <c r="DB2779" s="4"/>
      <c r="DC2779" s="4"/>
      <c r="DD2779" s="4"/>
      <c r="DE2779" s="4"/>
      <c r="DF2779" s="4"/>
      <c r="DG2779" s="4"/>
      <c r="DH2779" s="4"/>
      <c r="DI2779" s="4"/>
      <c r="DJ2779" s="4"/>
      <c r="DK2779" s="4"/>
      <c r="DL2779" s="4"/>
      <c r="DM2779" s="4"/>
      <c r="DN2779" s="4"/>
      <c r="DO2779" s="4"/>
      <c r="DP2779" s="4"/>
      <c r="DQ2779" s="4"/>
      <c r="DR2779" s="4"/>
      <c r="DS2779" s="4"/>
      <c r="DT2779" s="4"/>
      <c r="DU2779" s="4"/>
      <c r="DV2779" s="4"/>
      <c r="DW2779" s="4"/>
      <c r="DX2779" s="4"/>
      <c r="DY2779" s="4"/>
      <c r="DZ2779" s="4"/>
      <c r="EA2779" s="4"/>
      <c r="EB2779" s="4"/>
      <c r="EC2779" s="4"/>
      <c r="ED2779" s="4"/>
      <c r="EE2779" s="4"/>
      <c r="EF2779" s="4"/>
      <c r="EG2779" s="4"/>
      <c r="EH2779" s="4"/>
      <c r="EI2779" s="4"/>
      <c r="EJ2779" s="4"/>
      <c r="EK2779" s="4"/>
      <c r="EL2779" s="4"/>
      <c r="EM2779" s="4"/>
      <c r="EN2779" s="4"/>
      <c r="EO2779" s="4"/>
      <c r="EP2779" s="4"/>
      <c r="EQ2779" s="4"/>
      <c r="ER2779" s="4"/>
      <c r="ES2779" s="4"/>
      <c r="ET2779" s="4"/>
      <c r="EU2779" s="4"/>
      <c r="EV2779" s="4"/>
      <c r="EW2779" s="4"/>
      <c r="EX2779" s="4"/>
      <c r="EY2779" s="4"/>
      <c r="EZ2779" s="4"/>
      <c r="FA2779" s="4"/>
      <c r="FB2779" s="4"/>
      <c r="FC2779" s="4"/>
      <c r="FD2779" s="4"/>
      <c r="FE2779" s="4"/>
      <c r="FF2779" s="4"/>
      <c r="FG2779" s="4"/>
      <c r="FH2779" s="4"/>
      <c r="FI2779" s="4"/>
      <c r="FJ2779" s="4"/>
      <c r="FK2779" s="4"/>
      <c r="FL2779" s="4"/>
      <c r="FM2779" s="4"/>
      <c r="FN2779" s="4"/>
      <c r="FO2779" s="4"/>
      <c r="FP2779" s="4"/>
      <c r="FQ2779" s="4"/>
      <c r="FR2779" s="4"/>
      <c r="FS2779" s="4"/>
      <c r="FT2779" s="4"/>
      <c r="FU2779" s="4"/>
      <c r="FV2779" s="4"/>
      <c r="FW2779" s="4"/>
      <c r="FX2779" s="4"/>
      <c r="FY2779" s="4"/>
      <c r="FZ2779" s="4"/>
      <c r="GA2779" s="4"/>
      <c r="GB2779" s="4"/>
      <c r="GC2779" s="4"/>
      <c r="GD2779" s="4"/>
      <c r="GE2779" s="4"/>
      <c r="GF2779" s="4"/>
      <c r="GG2779" s="4"/>
      <c r="GH2779" s="4"/>
      <c r="GI2779" s="4"/>
      <c r="GJ2779" s="4"/>
      <c r="GK2779" s="4"/>
      <c r="GL2779" s="4"/>
      <c r="GM2779" s="4"/>
      <c r="GN2779" s="4"/>
      <c r="GO2779" s="4"/>
      <c r="GP2779" s="4"/>
      <c r="GQ2779" s="4"/>
      <c r="GR2779" s="4"/>
      <c r="GS2779" s="4"/>
      <c r="GT2779" s="4"/>
      <c r="GU2779" s="4"/>
      <c r="GV2779" s="4"/>
      <c r="GW2779" s="4"/>
      <c r="GX2779" s="4"/>
      <c r="GY2779" s="4"/>
      <c r="GZ2779" s="4"/>
      <c r="HA2779" s="4"/>
      <c r="HB2779" s="4"/>
      <c r="HC2779" s="4"/>
      <c r="HD2779" s="4"/>
      <c r="HE2779" s="4"/>
      <c r="HF2779" s="4"/>
      <c r="HG2779" s="4"/>
      <c r="HH2779" s="4"/>
      <c r="HI2779" s="4"/>
      <c r="HJ2779" s="4"/>
      <c r="HK2779" s="4"/>
      <c r="HL2779" s="4"/>
    </row>
    <row r="2780">
      <c r="A2780" s="2" t="s">
        <v>11782</v>
      </c>
      <c r="B2780" s="2" t="s">
        <v>1389</v>
      </c>
      <c r="C2780" s="2" t="s">
        <v>288</v>
      </c>
      <c r="D2780" s="2" t="s">
        <v>1389</v>
      </c>
      <c r="E2780" s="2" t="s">
        <v>1389</v>
      </c>
      <c r="F2780" s="2" t="s">
        <v>3938</v>
      </c>
      <c r="G2780" s="2" t="s">
        <v>3938</v>
      </c>
      <c r="H2780" s="2" t="s">
        <v>3938</v>
      </c>
      <c r="I2780" s="2" t="s">
        <v>11783</v>
      </c>
      <c r="J2780" s="2" t="s">
        <v>2030</v>
      </c>
      <c r="K2780" s="2" t="s">
        <v>7710</v>
      </c>
      <c r="L2780" s="3">
        <v>29</v>
      </c>
      <c r="M2780" s="3">
        <v>30.45</v>
      </c>
      <c r="N2780" s="3">
        <v>59.99</v>
      </c>
      <c r="O2780" s="2" t="s">
        <v>243</v>
      </c>
      <c r="P2780" s="2" t="s">
        <v>341</v>
      </c>
      <c r="Q2780" s="2" t="s">
        <v>237</v>
      </c>
      <c r="R2780" s="2" t="s">
        <v>231</v>
      </c>
      <c r="S2780" s="2" t="s">
        <v>11784</v>
      </c>
      <c r="T2780" s="2" t="s">
        <v>231</v>
      </c>
      <c r="U2780" s="2" t="s">
        <v>327</v>
      </c>
      <c r="V2780" s="2" t="s">
        <v>987</v>
      </c>
      <c r="W2780" s="2" t="s">
        <v>792</v>
      </c>
      <c r="X2780" s="2" t="s">
        <v>231</v>
      </c>
      <c r="Y2780" s="2" t="s">
        <v>2033</v>
      </c>
      <c r="Z2780" s="4">
        <v>26</v>
      </c>
      <c r="AA2780" s="4">
        <f>=ROUNDDOWN(37.1428571428571,0)</f>
      </c>
      <c r="AB2780" s="5">
        <v>0.7</v>
      </c>
      <c r="AC2780" s="2" t="s">
        <v>231</v>
      </c>
      <c r="AD2780" s="4"/>
      <c r="AE2780" s="4"/>
      <c r="AF2780" s="6">
        <v>63</v>
      </c>
      <c r="AG2780" s="6"/>
      <c r="AH2780" s="7">
        <v>1</v>
      </c>
      <c r="AI2780" s="4"/>
      <c r="AJ2780" s="4">
        <f>=ROUNDDOWN({0},0)</f>
      </c>
      <c r="AK2780" s="5"/>
      <c r="AL2780" s="2" t="s">
        <v>231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231</v>
      </c>
      <c r="AW2780" s="8" t="s">
        <v>231</v>
      </c>
      <c r="AX2780" s="4" t="s">
        <v>231</v>
      </c>
      <c r="AY2780" s="8" t="s">
        <v>231</v>
      </c>
      <c r="AZ2780" s="7" t="s">
        <v>231</v>
      </c>
      <c r="BA2780" s="7" t="s">
        <v>231</v>
      </c>
      <c r="BB2780" s="7"/>
      <c r="BC2780" s="4" t="s">
        <v>231</v>
      </c>
      <c r="BD2780" s="8" t="s">
        <v>231</v>
      </c>
      <c r="BE2780" s="4" t="s">
        <v>231</v>
      </c>
      <c r="BF2780" s="8" t="s">
        <v>231</v>
      </c>
      <c r="BG2780" s="7" t="s">
        <v>231</v>
      </c>
      <c r="BH2780" s="7" t="s">
        <v>231</v>
      </c>
      <c r="BI2780" s="7"/>
      <c r="BJ2780" s="4">
        <v>4</v>
      </c>
      <c r="BK2780" s="8">
        <v>113.32</v>
      </c>
      <c r="BL2780" s="2" t="s">
        <v>11785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11786</v>
      </c>
      <c r="BV2780" s="2" t="s">
        <v>231</v>
      </c>
      <c r="BW2780" s="2" t="s">
        <v>231</v>
      </c>
      <c r="BX2780" s="2" t="s">
        <v>231</v>
      </c>
      <c r="BY2780" s="2" t="s">
        <v>277</v>
      </c>
      <c r="BZ2780" s="2" t="s">
        <v>243</v>
      </c>
      <c r="CA2780" s="2" t="s">
        <v>5855</v>
      </c>
      <c r="CB2780" s="2" t="s">
        <v>231</v>
      </c>
      <c r="CC2780" s="2" t="s">
        <v>244</v>
      </c>
      <c r="CD2780" s="2" t="s">
        <v>231</v>
      </c>
      <c r="CE2780" s="4"/>
      <c r="CF2780" s="4">
        <v>26</v>
      </c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4"/>
      <c r="CX2780" s="4"/>
      <c r="CY2780" s="4"/>
      <c r="CZ2780" s="4"/>
      <c r="DA2780" s="4"/>
      <c r="DB2780" s="4"/>
      <c r="DC2780" s="4"/>
      <c r="DD2780" s="4"/>
      <c r="DE2780" s="4"/>
      <c r="DF2780" s="4"/>
      <c r="DG2780" s="4"/>
      <c r="DH2780" s="4"/>
      <c r="DI2780" s="4"/>
      <c r="DJ2780" s="4"/>
      <c r="DK2780" s="4"/>
      <c r="DL2780" s="4"/>
      <c r="DM2780" s="4"/>
      <c r="DN2780" s="4"/>
      <c r="DO2780" s="4"/>
      <c r="DP2780" s="4"/>
      <c r="DQ2780" s="4"/>
      <c r="DR2780" s="4"/>
      <c r="DS2780" s="4"/>
      <c r="DT2780" s="4"/>
      <c r="DU2780" s="4"/>
      <c r="DV2780" s="4"/>
      <c r="DW2780" s="4"/>
      <c r="DX2780" s="4"/>
      <c r="DY2780" s="4"/>
      <c r="DZ2780" s="4"/>
      <c r="EA2780" s="4"/>
      <c r="EB2780" s="4"/>
      <c r="EC2780" s="4"/>
      <c r="ED2780" s="4"/>
      <c r="EE2780" s="4"/>
      <c r="EF2780" s="4"/>
      <c r="EG2780" s="4"/>
      <c r="EH2780" s="4"/>
      <c r="EI2780" s="4"/>
      <c r="EJ2780" s="4"/>
      <c r="EK2780" s="4"/>
      <c r="EL2780" s="4"/>
      <c r="EM2780" s="4"/>
      <c r="EN2780" s="4"/>
      <c r="EO2780" s="4"/>
      <c r="EP2780" s="4"/>
      <c r="EQ2780" s="4"/>
      <c r="ER2780" s="4"/>
      <c r="ES2780" s="4"/>
      <c r="ET2780" s="4"/>
      <c r="EU2780" s="4"/>
      <c r="EV2780" s="4"/>
      <c r="EW2780" s="4"/>
      <c r="EX2780" s="4"/>
      <c r="EY2780" s="4"/>
      <c r="EZ2780" s="4"/>
      <c r="FA2780" s="4"/>
      <c r="FB2780" s="4"/>
      <c r="FC2780" s="4"/>
      <c r="FD2780" s="4"/>
      <c r="FE2780" s="4"/>
      <c r="FF2780" s="4"/>
      <c r="FG2780" s="4"/>
      <c r="FH2780" s="4"/>
      <c r="FI2780" s="4"/>
      <c r="FJ2780" s="4"/>
      <c r="FK2780" s="4"/>
      <c r="FL2780" s="4"/>
      <c r="FM2780" s="4"/>
      <c r="FN2780" s="4"/>
      <c r="FO2780" s="4"/>
      <c r="FP2780" s="4"/>
      <c r="FQ2780" s="4"/>
      <c r="FR2780" s="4"/>
      <c r="FS2780" s="4"/>
      <c r="FT2780" s="4"/>
      <c r="FU2780" s="4"/>
      <c r="FV2780" s="4"/>
      <c r="FW2780" s="4"/>
      <c r="FX2780" s="4"/>
      <c r="FY2780" s="4"/>
      <c r="FZ2780" s="4"/>
      <c r="GA2780" s="4"/>
      <c r="GB2780" s="4"/>
      <c r="GC2780" s="4"/>
      <c r="GD2780" s="4"/>
      <c r="GE2780" s="4"/>
      <c r="GF2780" s="4"/>
      <c r="GG2780" s="4"/>
      <c r="GH2780" s="4"/>
      <c r="GI2780" s="4"/>
      <c r="GJ2780" s="4"/>
      <c r="GK2780" s="4"/>
      <c r="GL2780" s="4"/>
      <c r="GM2780" s="4"/>
      <c r="GN2780" s="4"/>
      <c r="GO2780" s="4"/>
      <c r="GP2780" s="4"/>
      <c r="GQ2780" s="4"/>
      <c r="GR2780" s="4"/>
      <c r="GS2780" s="4"/>
      <c r="GT2780" s="4"/>
      <c r="GU2780" s="4"/>
      <c r="GV2780" s="4"/>
      <c r="GW2780" s="4"/>
      <c r="GX2780" s="4"/>
      <c r="GY2780" s="4"/>
      <c r="GZ2780" s="4"/>
      <c r="HA2780" s="4"/>
      <c r="HB2780" s="4"/>
      <c r="HC2780" s="4"/>
      <c r="HD2780" s="4"/>
      <c r="HE2780" s="4"/>
      <c r="HF2780" s="4"/>
      <c r="HG2780" s="4"/>
      <c r="HH2780" s="4"/>
      <c r="HI2780" s="4"/>
      <c r="HJ2780" s="4"/>
      <c r="HK2780" s="4"/>
      <c r="HL2780" s="4"/>
    </row>
    <row r="2781">
      <c r="A2781" s="2" t="s">
        <v>11787</v>
      </c>
      <c r="B2781" s="2" t="s">
        <v>1389</v>
      </c>
      <c r="C2781" s="2" t="s">
        <v>288</v>
      </c>
      <c r="D2781" s="2" t="s">
        <v>1389</v>
      </c>
      <c r="E2781" s="2" t="s">
        <v>1389</v>
      </c>
      <c r="F2781" s="2" t="s">
        <v>3938</v>
      </c>
      <c r="G2781" s="2" t="s">
        <v>3938</v>
      </c>
      <c r="H2781" s="2" t="s">
        <v>3938</v>
      </c>
      <c r="I2781" s="2" t="s">
        <v>11783</v>
      </c>
      <c r="J2781" s="2" t="s">
        <v>1393</v>
      </c>
      <c r="K2781" s="2" t="s">
        <v>7710</v>
      </c>
      <c r="L2781" s="3">
        <v>89.7</v>
      </c>
      <c r="M2781" s="3">
        <v>94.19</v>
      </c>
      <c r="N2781" s="3">
        <v>199.99</v>
      </c>
      <c r="O2781" s="2" t="s">
        <v>243</v>
      </c>
      <c r="P2781" s="2" t="s">
        <v>341</v>
      </c>
      <c r="Q2781" s="2" t="s">
        <v>237</v>
      </c>
      <c r="R2781" s="2" t="s">
        <v>231</v>
      </c>
      <c r="S2781" s="2" t="s">
        <v>11784</v>
      </c>
      <c r="T2781" s="2" t="s">
        <v>231</v>
      </c>
      <c r="U2781" s="2" t="s">
        <v>327</v>
      </c>
      <c r="V2781" s="2" t="s">
        <v>987</v>
      </c>
      <c r="W2781" s="2" t="s">
        <v>792</v>
      </c>
      <c r="X2781" s="2" t="s">
        <v>231</v>
      </c>
      <c r="Y2781" s="2" t="s">
        <v>2033</v>
      </c>
      <c r="Z2781" s="4">
        <v>118</v>
      </c>
      <c r="AA2781" s="4">
        <f>=ROUNDDOWN({0},0)</f>
      </c>
      <c r="AB2781" s="5"/>
      <c r="AC2781" s="2" t="s">
        <v>231</v>
      </c>
      <c r="AD2781" s="4"/>
      <c r="AE2781" s="4"/>
      <c r="AF2781" s="6">
        <v>63</v>
      </c>
      <c r="AG2781" s="6"/>
      <c r="AH2781" s="7">
        <v>1</v>
      </c>
      <c r="AI2781" s="4"/>
      <c r="AJ2781" s="4">
        <f>=ROUNDDOWN({0},0)</f>
      </c>
      <c r="AK2781" s="5"/>
      <c r="AL2781" s="2" t="s">
        <v>231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231</v>
      </c>
      <c r="AW2781" s="8" t="s">
        <v>231</v>
      </c>
      <c r="AX2781" s="4" t="s">
        <v>231</v>
      </c>
      <c r="AY2781" s="8" t="s">
        <v>231</v>
      </c>
      <c r="AZ2781" s="7" t="s">
        <v>231</v>
      </c>
      <c r="BA2781" s="7" t="s">
        <v>231</v>
      </c>
      <c r="BB2781" s="7"/>
      <c r="BC2781" s="4" t="s">
        <v>231</v>
      </c>
      <c r="BD2781" s="8" t="s">
        <v>231</v>
      </c>
      <c r="BE2781" s="4" t="s">
        <v>231</v>
      </c>
      <c r="BF2781" s="8" t="s">
        <v>231</v>
      </c>
      <c r="BG2781" s="7" t="s">
        <v>231</v>
      </c>
      <c r="BH2781" s="7" t="s">
        <v>231</v>
      </c>
      <c r="BI2781" s="7"/>
      <c r="BJ2781" s="4">
        <v>1</v>
      </c>
      <c r="BK2781" s="8">
        <v>103.16</v>
      </c>
      <c r="BL2781" s="2" t="s">
        <v>1020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11788</v>
      </c>
      <c r="BV2781" s="2" t="s">
        <v>231</v>
      </c>
      <c r="BW2781" s="2" t="s">
        <v>231</v>
      </c>
      <c r="BX2781" s="2" t="s">
        <v>231</v>
      </c>
      <c r="BY2781" s="2" t="s">
        <v>277</v>
      </c>
      <c r="BZ2781" s="2" t="s">
        <v>243</v>
      </c>
      <c r="CA2781" s="2" t="s">
        <v>5855</v>
      </c>
      <c r="CB2781" s="2" t="s">
        <v>231</v>
      </c>
      <c r="CC2781" s="2" t="s">
        <v>244</v>
      </c>
      <c r="CD2781" s="2" t="s">
        <v>231</v>
      </c>
      <c r="CE2781" s="4"/>
      <c r="CF2781" s="4">
        <v>118</v>
      </c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4"/>
      <c r="CX2781" s="4"/>
      <c r="CY2781" s="4"/>
      <c r="CZ2781" s="4"/>
      <c r="DA2781" s="4"/>
      <c r="DB2781" s="4"/>
      <c r="DC2781" s="4"/>
      <c r="DD2781" s="4"/>
      <c r="DE2781" s="4"/>
      <c r="DF2781" s="4"/>
      <c r="DG2781" s="4"/>
      <c r="DH2781" s="4"/>
      <c r="DI2781" s="4"/>
      <c r="DJ2781" s="4"/>
      <c r="DK2781" s="4"/>
      <c r="DL2781" s="4"/>
      <c r="DM2781" s="4"/>
      <c r="DN2781" s="4"/>
      <c r="DO2781" s="4"/>
      <c r="DP2781" s="4"/>
      <c r="DQ2781" s="4"/>
      <c r="DR2781" s="4"/>
      <c r="DS2781" s="4"/>
      <c r="DT2781" s="4"/>
      <c r="DU2781" s="4"/>
      <c r="DV2781" s="4"/>
      <c r="DW2781" s="4"/>
      <c r="DX2781" s="4"/>
      <c r="DY2781" s="4"/>
      <c r="DZ2781" s="4"/>
      <c r="EA2781" s="4"/>
      <c r="EB2781" s="4"/>
      <c r="EC2781" s="4"/>
      <c r="ED2781" s="4"/>
      <c r="EE2781" s="4"/>
      <c r="EF2781" s="4"/>
      <c r="EG2781" s="4"/>
      <c r="EH2781" s="4"/>
      <c r="EI2781" s="4"/>
      <c r="EJ2781" s="4"/>
      <c r="EK2781" s="4"/>
      <c r="EL2781" s="4"/>
      <c r="EM2781" s="4"/>
      <c r="EN2781" s="4"/>
      <c r="EO2781" s="4"/>
      <c r="EP2781" s="4"/>
      <c r="EQ2781" s="4"/>
      <c r="ER2781" s="4"/>
      <c r="ES2781" s="4"/>
      <c r="ET2781" s="4"/>
      <c r="EU2781" s="4"/>
      <c r="EV2781" s="4"/>
      <c r="EW2781" s="4"/>
      <c r="EX2781" s="4"/>
      <c r="EY2781" s="4"/>
      <c r="EZ2781" s="4"/>
      <c r="FA2781" s="4"/>
      <c r="FB2781" s="4"/>
      <c r="FC2781" s="4"/>
      <c r="FD2781" s="4"/>
      <c r="FE2781" s="4"/>
      <c r="FF2781" s="4"/>
      <c r="FG2781" s="4"/>
      <c r="FH2781" s="4"/>
      <c r="FI2781" s="4"/>
      <c r="FJ2781" s="4"/>
      <c r="FK2781" s="4"/>
      <c r="FL2781" s="4"/>
      <c r="FM2781" s="4"/>
      <c r="FN2781" s="4"/>
      <c r="FO2781" s="4"/>
      <c r="FP2781" s="4"/>
      <c r="FQ2781" s="4"/>
      <c r="FR2781" s="4"/>
      <c r="FS2781" s="4"/>
      <c r="FT2781" s="4"/>
      <c r="FU2781" s="4"/>
      <c r="FV2781" s="4"/>
      <c r="FW2781" s="4"/>
      <c r="FX2781" s="4"/>
      <c r="FY2781" s="4"/>
      <c r="FZ2781" s="4"/>
      <c r="GA2781" s="4"/>
      <c r="GB2781" s="4"/>
      <c r="GC2781" s="4"/>
      <c r="GD2781" s="4"/>
      <c r="GE2781" s="4"/>
      <c r="GF2781" s="4"/>
      <c r="GG2781" s="4"/>
      <c r="GH2781" s="4"/>
      <c r="GI2781" s="4"/>
      <c r="GJ2781" s="4"/>
      <c r="GK2781" s="4"/>
      <c r="GL2781" s="4"/>
      <c r="GM2781" s="4"/>
      <c r="GN2781" s="4"/>
      <c r="GO2781" s="4"/>
      <c r="GP2781" s="4"/>
      <c r="GQ2781" s="4"/>
      <c r="GR2781" s="4"/>
      <c r="GS2781" s="4"/>
      <c r="GT2781" s="4"/>
      <c r="GU2781" s="4"/>
      <c r="GV2781" s="4"/>
      <c r="GW2781" s="4"/>
      <c r="GX2781" s="4"/>
      <c r="GY2781" s="4"/>
      <c r="GZ2781" s="4"/>
      <c r="HA2781" s="4"/>
      <c r="HB2781" s="4"/>
      <c r="HC2781" s="4"/>
      <c r="HD2781" s="4"/>
      <c r="HE2781" s="4"/>
      <c r="HF2781" s="4"/>
      <c r="HG2781" s="4"/>
      <c r="HH2781" s="4"/>
      <c r="HI2781" s="4"/>
      <c r="HJ2781" s="4"/>
      <c r="HK2781" s="4"/>
      <c r="HL2781" s="4"/>
    </row>
    <row r="2782">
      <c r="A2782" s="2" t="s">
        <v>11789</v>
      </c>
      <c r="B2782" s="2" t="s">
        <v>1389</v>
      </c>
      <c r="C2782" s="2" t="s">
        <v>288</v>
      </c>
      <c r="D2782" s="2" t="s">
        <v>1389</v>
      </c>
      <c r="E2782" s="2" t="s">
        <v>1389</v>
      </c>
      <c r="F2782" s="2" t="s">
        <v>3938</v>
      </c>
      <c r="G2782" s="2" t="s">
        <v>3938</v>
      </c>
      <c r="H2782" s="2" t="s">
        <v>3938</v>
      </c>
      <c r="I2782" s="2" t="s">
        <v>11783</v>
      </c>
      <c r="J2782" s="2" t="s">
        <v>2039</v>
      </c>
      <c r="K2782" s="2" t="s">
        <v>7710</v>
      </c>
      <c r="L2782" s="3">
        <v>211.98</v>
      </c>
      <c r="M2782" s="3">
        <v>222.58</v>
      </c>
      <c r="N2782" s="3">
        <v>474.99</v>
      </c>
      <c r="O2782" s="2" t="s">
        <v>243</v>
      </c>
      <c r="P2782" s="2" t="s">
        <v>341</v>
      </c>
      <c r="Q2782" s="2" t="s">
        <v>237</v>
      </c>
      <c r="R2782" s="2" t="s">
        <v>231</v>
      </c>
      <c r="S2782" s="2" t="s">
        <v>11784</v>
      </c>
      <c r="T2782" s="2" t="s">
        <v>231</v>
      </c>
      <c r="U2782" s="2" t="s">
        <v>327</v>
      </c>
      <c r="V2782" s="2" t="s">
        <v>987</v>
      </c>
      <c r="W2782" s="2" t="s">
        <v>792</v>
      </c>
      <c r="X2782" s="2" t="s">
        <v>231</v>
      </c>
      <c r="Y2782" s="2" t="s">
        <v>2033</v>
      </c>
      <c r="Z2782" s="4">
        <v>104</v>
      </c>
      <c r="AA2782" s="4">
        <f>=ROUNDDOWN({0},0)</f>
      </c>
      <c r="AB2782" s="5"/>
      <c r="AC2782" s="2" t="s">
        <v>231</v>
      </c>
      <c r="AD2782" s="4"/>
      <c r="AE2782" s="4"/>
      <c r="AF2782" s="6">
        <v>63</v>
      </c>
      <c r="AG2782" s="6"/>
      <c r="AH2782" s="7">
        <v>1</v>
      </c>
      <c r="AI2782" s="4"/>
      <c r="AJ2782" s="4">
        <f>=ROUNDDOWN({0},0)</f>
      </c>
      <c r="AK2782" s="5"/>
      <c r="AL2782" s="2" t="s">
        <v>231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231</v>
      </c>
      <c r="AW2782" s="8" t="s">
        <v>231</v>
      </c>
      <c r="AX2782" s="4" t="s">
        <v>231</v>
      </c>
      <c r="AY2782" s="8" t="s">
        <v>231</v>
      </c>
      <c r="AZ2782" s="7" t="s">
        <v>231</v>
      </c>
      <c r="BA2782" s="7" t="s">
        <v>231</v>
      </c>
      <c r="BB2782" s="7"/>
      <c r="BC2782" s="4" t="s">
        <v>231</v>
      </c>
      <c r="BD2782" s="8" t="s">
        <v>231</v>
      </c>
      <c r="BE2782" s="4" t="s">
        <v>231</v>
      </c>
      <c r="BF2782" s="8" t="s">
        <v>231</v>
      </c>
      <c r="BG2782" s="7" t="s">
        <v>231</v>
      </c>
      <c r="BH2782" s="7" t="s">
        <v>231</v>
      </c>
      <c r="BI2782" s="7"/>
      <c r="BJ2782" s="4"/>
      <c r="BK2782" s="8"/>
      <c r="BL2782" s="2" t="s">
        <v>231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11790</v>
      </c>
      <c r="BV2782" s="2" t="s">
        <v>231</v>
      </c>
      <c r="BW2782" s="2" t="s">
        <v>231</v>
      </c>
      <c r="BX2782" s="2" t="s">
        <v>231</v>
      </c>
      <c r="BY2782" s="2" t="s">
        <v>277</v>
      </c>
      <c r="BZ2782" s="2" t="s">
        <v>243</v>
      </c>
      <c r="CA2782" s="2" t="s">
        <v>5855</v>
      </c>
      <c r="CB2782" s="2" t="s">
        <v>231</v>
      </c>
      <c r="CC2782" s="2" t="s">
        <v>244</v>
      </c>
      <c r="CD2782" s="2" t="s">
        <v>231</v>
      </c>
      <c r="CE2782" s="4"/>
      <c r="CF2782" s="4">
        <v>104</v>
      </c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4"/>
      <c r="CX2782" s="4"/>
      <c r="CY2782" s="4"/>
      <c r="CZ2782" s="4"/>
      <c r="DA2782" s="4"/>
      <c r="DB2782" s="4"/>
      <c r="DC2782" s="4"/>
      <c r="DD2782" s="4"/>
      <c r="DE2782" s="4"/>
      <c r="DF2782" s="4"/>
      <c r="DG2782" s="4"/>
      <c r="DH2782" s="4"/>
      <c r="DI2782" s="4"/>
      <c r="DJ2782" s="4"/>
      <c r="DK2782" s="4"/>
      <c r="DL2782" s="4"/>
      <c r="DM2782" s="4"/>
      <c r="DN2782" s="4"/>
      <c r="DO2782" s="4"/>
      <c r="DP2782" s="4"/>
      <c r="DQ2782" s="4"/>
      <c r="DR2782" s="4"/>
      <c r="DS2782" s="4"/>
      <c r="DT2782" s="4"/>
      <c r="DU2782" s="4"/>
      <c r="DV2782" s="4"/>
      <c r="DW2782" s="4"/>
      <c r="DX2782" s="4"/>
      <c r="DY2782" s="4"/>
      <c r="DZ2782" s="4"/>
      <c r="EA2782" s="4"/>
      <c r="EB2782" s="4"/>
      <c r="EC2782" s="4"/>
      <c r="ED2782" s="4"/>
      <c r="EE2782" s="4"/>
      <c r="EF2782" s="4"/>
      <c r="EG2782" s="4"/>
      <c r="EH2782" s="4"/>
      <c r="EI2782" s="4"/>
      <c r="EJ2782" s="4"/>
      <c r="EK2782" s="4"/>
      <c r="EL2782" s="4"/>
      <c r="EM2782" s="4"/>
      <c r="EN2782" s="4"/>
      <c r="EO2782" s="4"/>
      <c r="EP2782" s="4"/>
      <c r="EQ2782" s="4"/>
      <c r="ER2782" s="4"/>
      <c r="ES2782" s="4"/>
      <c r="ET2782" s="4"/>
      <c r="EU2782" s="4"/>
      <c r="EV2782" s="4"/>
      <c r="EW2782" s="4"/>
      <c r="EX2782" s="4"/>
      <c r="EY2782" s="4"/>
      <c r="EZ2782" s="4"/>
      <c r="FA2782" s="4"/>
      <c r="FB2782" s="4"/>
      <c r="FC2782" s="4"/>
      <c r="FD2782" s="4"/>
      <c r="FE2782" s="4"/>
      <c r="FF2782" s="4"/>
      <c r="FG2782" s="4"/>
      <c r="FH2782" s="4"/>
      <c r="FI2782" s="4"/>
      <c r="FJ2782" s="4"/>
      <c r="FK2782" s="4"/>
      <c r="FL2782" s="4"/>
      <c r="FM2782" s="4"/>
      <c r="FN2782" s="4"/>
      <c r="FO2782" s="4"/>
      <c r="FP2782" s="4"/>
      <c r="FQ2782" s="4"/>
      <c r="FR2782" s="4"/>
      <c r="FS2782" s="4"/>
      <c r="FT2782" s="4"/>
      <c r="FU2782" s="4"/>
      <c r="FV2782" s="4"/>
      <c r="FW2782" s="4"/>
      <c r="FX2782" s="4"/>
      <c r="FY2782" s="4"/>
      <c r="FZ2782" s="4"/>
      <c r="GA2782" s="4"/>
      <c r="GB2782" s="4"/>
      <c r="GC2782" s="4"/>
      <c r="GD2782" s="4"/>
      <c r="GE2782" s="4"/>
      <c r="GF2782" s="4"/>
      <c r="GG2782" s="4"/>
      <c r="GH2782" s="4"/>
      <c r="GI2782" s="4"/>
      <c r="GJ2782" s="4"/>
      <c r="GK2782" s="4"/>
      <c r="GL2782" s="4"/>
      <c r="GM2782" s="4"/>
      <c r="GN2782" s="4"/>
      <c r="GO2782" s="4"/>
      <c r="GP2782" s="4"/>
      <c r="GQ2782" s="4"/>
      <c r="GR2782" s="4"/>
      <c r="GS2782" s="4"/>
      <c r="GT2782" s="4"/>
      <c r="GU2782" s="4"/>
      <c r="GV2782" s="4"/>
      <c r="GW2782" s="4"/>
      <c r="GX2782" s="4"/>
      <c r="GY2782" s="4"/>
      <c r="GZ2782" s="4"/>
      <c r="HA2782" s="4"/>
      <c r="HB2782" s="4"/>
      <c r="HC2782" s="4"/>
      <c r="HD2782" s="4"/>
      <c r="HE2782" s="4"/>
      <c r="HF2782" s="4"/>
      <c r="HG2782" s="4"/>
      <c r="HH2782" s="4"/>
      <c r="HI2782" s="4"/>
      <c r="HJ2782" s="4"/>
      <c r="HK2782" s="4"/>
      <c r="HL2782" s="4"/>
    </row>
    <row r="2783">
      <c r="A2783" s="2" t="s">
        <v>11791</v>
      </c>
      <c r="B2783" s="2" t="s">
        <v>940</v>
      </c>
      <c r="C2783" s="2" t="s">
        <v>288</v>
      </c>
      <c r="D2783" s="2" t="s">
        <v>941</v>
      </c>
      <c r="E2783" s="2" t="s">
        <v>942</v>
      </c>
      <c r="F2783" s="2" t="s">
        <v>11792</v>
      </c>
      <c r="G2783" s="2" t="s">
        <v>11792</v>
      </c>
      <c r="H2783" s="2" t="s">
        <v>11792</v>
      </c>
      <c r="I2783" s="2" t="s">
        <v>11793</v>
      </c>
      <c r="J2783" s="2" t="s">
        <v>11794</v>
      </c>
      <c r="K2783" s="2" t="s">
        <v>452</v>
      </c>
      <c r="L2783" s="3">
        <v>24</v>
      </c>
      <c r="M2783" s="3">
        <v>25.2</v>
      </c>
      <c r="N2783" s="3">
        <v>49.99</v>
      </c>
      <c r="O2783" s="2" t="s">
        <v>243</v>
      </c>
      <c r="P2783" s="2" t="s">
        <v>871</v>
      </c>
      <c r="Q2783" s="2" t="s">
        <v>237</v>
      </c>
      <c r="R2783" s="2" t="s">
        <v>231</v>
      </c>
      <c r="S2783" s="2" t="s">
        <v>11795</v>
      </c>
      <c r="T2783" s="2" t="s">
        <v>231</v>
      </c>
      <c r="U2783" s="2" t="s">
        <v>231</v>
      </c>
      <c r="V2783" s="2" t="s">
        <v>391</v>
      </c>
      <c r="W2783" s="2" t="s">
        <v>273</v>
      </c>
      <c r="X2783" s="2" t="s">
        <v>231</v>
      </c>
      <c r="Y2783" s="2" t="s">
        <v>274</v>
      </c>
      <c r="Z2783" s="4">
        <v>267</v>
      </c>
      <c r="AA2783" s="4">
        <f>=ROUNDDOWN(20.5384615384615,0)</f>
      </c>
      <c r="AB2783" s="5">
        <v>13</v>
      </c>
      <c r="AC2783" s="2" t="s">
        <v>2262</v>
      </c>
      <c r="AD2783" s="4">
        <v>210</v>
      </c>
      <c r="AE2783" s="4">
        <v>230</v>
      </c>
      <c r="AF2783" s="6">
        <v>67</v>
      </c>
      <c r="AG2783" s="6"/>
      <c r="AH2783" s="7">
        <v>1</v>
      </c>
      <c r="AI2783" s="4"/>
      <c r="AJ2783" s="4">
        <f>=ROUNDDOWN({0},0)</f>
      </c>
      <c r="AK2783" s="5"/>
      <c r="AL2783" s="2" t="s">
        <v>231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/>
      <c r="BD2783" s="8"/>
      <c r="BE2783" s="4"/>
      <c r="BF2783" s="8"/>
      <c r="BG2783" s="7"/>
      <c r="BH2783" s="7"/>
      <c r="BI2783" s="7"/>
      <c r="BJ2783" s="4">
        <v>41</v>
      </c>
      <c r="BK2783" s="8">
        <v>1085.7</v>
      </c>
      <c r="BL2783" s="2" t="s">
        <v>11796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11797</v>
      </c>
      <c r="BV2783" s="2" t="s">
        <v>231</v>
      </c>
      <c r="BW2783" s="2" t="s">
        <v>231</v>
      </c>
      <c r="BX2783" s="2" t="s">
        <v>231</v>
      </c>
      <c r="BY2783" s="2" t="s">
        <v>277</v>
      </c>
      <c r="BZ2783" s="2" t="s">
        <v>243</v>
      </c>
      <c r="CA2783" s="2" t="s">
        <v>2052</v>
      </c>
      <c r="CB2783" s="2" t="s">
        <v>4723</v>
      </c>
      <c r="CC2783" s="2" t="s">
        <v>244</v>
      </c>
      <c r="CD2783" s="2" t="s">
        <v>231</v>
      </c>
      <c r="CE2783" s="4">
        <v>267</v>
      </c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4"/>
      <c r="CX2783" s="4"/>
      <c r="CY2783" s="4"/>
      <c r="CZ2783" s="4"/>
      <c r="DA2783" s="4"/>
      <c r="DB2783" s="4"/>
      <c r="DC2783" s="4"/>
      <c r="DD2783" s="4"/>
      <c r="DE2783" s="4"/>
      <c r="DF2783" s="4"/>
      <c r="DG2783" s="4"/>
      <c r="DH2783" s="4"/>
      <c r="DI2783" s="4"/>
      <c r="DJ2783" s="4"/>
      <c r="DK2783" s="4"/>
      <c r="DL2783" s="4"/>
      <c r="DM2783" s="4"/>
      <c r="DN2783" s="4"/>
      <c r="DO2783" s="4"/>
      <c r="DP2783" s="4"/>
      <c r="DQ2783" s="4"/>
      <c r="DR2783" s="4"/>
      <c r="DS2783" s="4"/>
      <c r="DT2783" s="4"/>
      <c r="DU2783" s="4"/>
      <c r="DV2783" s="4"/>
      <c r="DW2783" s="4"/>
      <c r="DX2783" s="4"/>
      <c r="DY2783" s="4"/>
      <c r="DZ2783" s="4"/>
      <c r="EA2783" s="4"/>
      <c r="EB2783" s="4"/>
      <c r="EC2783" s="4"/>
      <c r="ED2783" s="4"/>
      <c r="EE2783" s="4"/>
      <c r="EF2783" s="4"/>
      <c r="EG2783" s="4"/>
      <c r="EH2783" s="4"/>
      <c r="EI2783" s="4"/>
      <c r="EJ2783" s="4"/>
      <c r="EK2783" s="4"/>
      <c r="EL2783" s="4"/>
      <c r="EM2783" s="4"/>
      <c r="EN2783" s="4"/>
      <c r="EO2783" s="4"/>
      <c r="EP2783" s="4"/>
      <c r="EQ2783" s="4">
        <v>210</v>
      </c>
      <c r="ER2783" s="4"/>
      <c r="ES2783" s="4"/>
      <c r="ET2783" s="4"/>
      <c r="EU2783" s="4"/>
      <c r="EV2783" s="4"/>
      <c r="EW2783" s="4"/>
      <c r="EX2783" s="4"/>
      <c r="EY2783" s="4"/>
      <c r="EZ2783" s="4"/>
      <c r="FA2783" s="4"/>
      <c r="FB2783" s="4"/>
      <c r="FC2783" s="4"/>
      <c r="FD2783" s="4"/>
      <c r="FE2783" s="4"/>
      <c r="FF2783" s="4"/>
      <c r="FG2783" s="4"/>
      <c r="FH2783" s="4"/>
      <c r="FI2783" s="4"/>
      <c r="FJ2783" s="4"/>
      <c r="FK2783" s="4"/>
      <c r="FL2783" s="4"/>
      <c r="FM2783" s="4"/>
      <c r="FN2783" s="4"/>
      <c r="FO2783" s="4"/>
      <c r="FP2783" s="4"/>
      <c r="FQ2783" s="4"/>
      <c r="FR2783" s="4"/>
      <c r="FS2783" s="4"/>
      <c r="FT2783" s="4"/>
      <c r="FU2783" s="4"/>
      <c r="FV2783" s="4"/>
      <c r="FW2783" s="4"/>
      <c r="FX2783" s="4"/>
      <c r="FY2783" s="4"/>
      <c r="FZ2783" s="4"/>
      <c r="GA2783" s="4"/>
      <c r="GB2783" s="4"/>
      <c r="GC2783" s="4"/>
      <c r="GD2783" s="4"/>
      <c r="GE2783" s="4"/>
      <c r="GF2783" s="4"/>
      <c r="GG2783" s="4"/>
      <c r="GH2783" s="4"/>
      <c r="GI2783" s="4"/>
      <c r="GJ2783" s="4"/>
      <c r="GK2783" s="4"/>
      <c r="GL2783" s="4"/>
      <c r="GM2783" s="4"/>
      <c r="GN2783" s="4"/>
      <c r="GO2783" s="4"/>
      <c r="GP2783" s="4"/>
      <c r="GQ2783" s="4"/>
      <c r="GR2783" s="4"/>
      <c r="GS2783" s="4"/>
      <c r="GT2783" s="4"/>
      <c r="GU2783" s="4"/>
      <c r="GV2783" s="4"/>
      <c r="GW2783" s="4"/>
      <c r="GX2783" s="4"/>
      <c r="GY2783" s="4"/>
      <c r="GZ2783" s="4">
        <v>20</v>
      </c>
      <c r="HA2783" s="4"/>
      <c r="HB2783" s="4"/>
      <c r="HC2783" s="4"/>
      <c r="HD2783" s="4"/>
      <c r="HE2783" s="4"/>
      <c r="HF2783" s="4"/>
      <c r="HG2783" s="4"/>
      <c r="HH2783" s="4"/>
      <c r="HI2783" s="4"/>
      <c r="HJ2783" s="4"/>
      <c r="HK2783" s="4"/>
      <c r="HL2783" s="4"/>
    </row>
    <row r="2784">
      <c r="A2784" s="2" t="s">
        <v>11798</v>
      </c>
      <c r="B2784" s="2" t="s">
        <v>940</v>
      </c>
      <c r="C2784" s="2" t="s">
        <v>288</v>
      </c>
      <c r="D2784" s="2" t="s">
        <v>1533</v>
      </c>
      <c r="E2784" s="2" t="s">
        <v>1534</v>
      </c>
      <c r="F2784" s="2" t="s">
        <v>11799</v>
      </c>
      <c r="G2784" s="2" t="s">
        <v>11799</v>
      </c>
      <c r="H2784" s="2" t="s">
        <v>11799</v>
      </c>
      <c r="I2784" s="2" t="s">
        <v>11800</v>
      </c>
      <c r="J2784" s="2" t="s">
        <v>11801</v>
      </c>
      <c r="K2784" s="2" t="s">
        <v>294</v>
      </c>
      <c r="L2784" s="3">
        <v>15.84</v>
      </c>
      <c r="M2784" s="3">
        <v>16.63</v>
      </c>
      <c r="N2784" s="3">
        <v>34.99</v>
      </c>
      <c r="O2784" s="2" t="s">
        <v>243</v>
      </c>
      <c r="P2784" s="2" t="s">
        <v>295</v>
      </c>
      <c r="Q2784" s="2" t="s">
        <v>237</v>
      </c>
      <c r="R2784" s="2" t="s">
        <v>231</v>
      </c>
      <c r="S2784" s="2" t="s">
        <v>11802</v>
      </c>
      <c r="T2784" s="2" t="s">
        <v>231</v>
      </c>
      <c r="U2784" s="2" t="s">
        <v>327</v>
      </c>
      <c r="V2784" s="2" t="s">
        <v>391</v>
      </c>
      <c r="W2784" s="2" t="s">
        <v>273</v>
      </c>
      <c r="X2784" s="2" t="s">
        <v>231</v>
      </c>
      <c r="Y2784" s="2" t="s">
        <v>1137</v>
      </c>
      <c r="Z2784" s="4"/>
      <c r="AA2784" s="4">
        <f>=ROUNDDOWN({0},0)</f>
      </c>
      <c r="AB2784" s="5"/>
      <c r="AC2784" s="2" t="s">
        <v>3693</v>
      </c>
      <c r="AD2784" s="4">
        <v>744</v>
      </c>
      <c r="AE2784" s="4">
        <v>744</v>
      </c>
      <c r="AF2784" s="6">
        <v>65</v>
      </c>
      <c r="AG2784" s="6"/>
      <c r="AH2784" s="7">
        <v>0</v>
      </c>
      <c r="AI2784" s="4"/>
      <c r="AJ2784" s="4">
        <f>=ROUNDDOWN({0},0)</f>
      </c>
      <c r="AK2784" s="5"/>
      <c r="AL2784" s="2" t="s">
        <v>231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231</v>
      </c>
      <c r="AW2784" s="8" t="s">
        <v>231</v>
      </c>
      <c r="AX2784" s="4" t="s">
        <v>231</v>
      </c>
      <c r="AY2784" s="8" t="s">
        <v>231</v>
      </c>
      <c r="AZ2784" s="7" t="s">
        <v>231</v>
      </c>
      <c r="BA2784" s="7" t="s">
        <v>231</v>
      </c>
      <c r="BB2784" s="7"/>
      <c r="BC2784" s="4" t="s">
        <v>231</v>
      </c>
      <c r="BD2784" s="8" t="s">
        <v>231</v>
      </c>
      <c r="BE2784" s="4" t="s">
        <v>231</v>
      </c>
      <c r="BF2784" s="8" t="s">
        <v>231</v>
      </c>
      <c r="BG2784" s="7" t="s">
        <v>231</v>
      </c>
      <c r="BH2784" s="7" t="s">
        <v>231</v>
      </c>
      <c r="BI2784" s="7"/>
      <c r="BJ2784" s="4"/>
      <c r="BK2784" s="8"/>
      <c r="BL2784" s="2" t="s">
        <v>231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241</v>
      </c>
      <c r="BV2784" s="2" t="s">
        <v>231</v>
      </c>
      <c r="BW2784" s="2" t="s">
        <v>231</v>
      </c>
      <c r="BX2784" s="2" t="s">
        <v>241</v>
      </c>
      <c r="BY2784" s="2" t="s">
        <v>242</v>
      </c>
      <c r="BZ2784" s="2" t="s">
        <v>243</v>
      </c>
      <c r="CA2784" s="2" t="s">
        <v>231</v>
      </c>
      <c r="CB2784" s="2" t="s">
        <v>231</v>
      </c>
      <c r="CC2784" s="2" t="s">
        <v>244</v>
      </c>
      <c r="CD2784" s="2" t="s">
        <v>231</v>
      </c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4"/>
      <c r="CX2784" s="4"/>
      <c r="CY2784" s="4"/>
      <c r="CZ2784" s="4">
        <v>744</v>
      </c>
      <c r="DA2784" s="4"/>
      <c r="DB2784" s="4"/>
      <c r="DC2784" s="4"/>
      <c r="DD2784" s="4"/>
      <c r="DE2784" s="4"/>
      <c r="DF2784" s="4"/>
      <c r="DG2784" s="4"/>
      <c r="DH2784" s="4"/>
      <c r="DI2784" s="4"/>
      <c r="DJ2784" s="4"/>
      <c r="DK2784" s="4"/>
      <c r="DL2784" s="4"/>
      <c r="DM2784" s="4"/>
      <c r="DN2784" s="4"/>
      <c r="DO2784" s="4"/>
      <c r="DP2784" s="4"/>
      <c r="DQ2784" s="4"/>
      <c r="DR2784" s="4"/>
      <c r="DS2784" s="4"/>
      <c r="DT2784" s="4"/>
      <c r="DU2784" s="4"/>
      <c r="DV2784" s="4"/>
      <c r="DW2784" s="4"/>
      <c r="DX2784" s="4"/>
      <c r="DY2784" s="4"/>
      <c r="DZ2784" s="4"/>
      <c r="EA2784" s="4"/>
      <c r="EB2784" s="4"/>
      <c r="EC2784" s="4"/>
      <c r="ED2784" s="4"/>
      <c r="EE2784" s="4"/>
      <c r="EF2784" s="4"/>
      <c r="EG2784" s="4"/>
      <c r="EH2784" s="4"/>
      <c r="EI2784" s="4"/>
      <c r="EJ2784" s="4"/>
      <c r="EK2784" s="4"/>
      <c r="EL2784" s="4"/>
      <c r="EM2784" s="4"/>
      <c r="EN2784" s="4"/>
      <c r="EO2784" s="4"/>
      <c r="EP2784" s="4"/>
      <c r="EQ2784" s="4"/>
      <c r="ER2784" s="4"/>
      <c r="ES2784" s="4"/>
      <c r="ET2784" s="4"/>
      <c r="EU2784" s="4"/>
      <c r="EV2784" s="4"/>
      <c r="EW2784" s="4"/>
      <c r="EX2784" s="4"/>
      <c r="EY2784" s="4"/>
      <c r="EZ2784" s="4"/>
      <c r="FA2784" s="4"/>
      <c r="FB2784" s="4"/>
      <c r="FC2784" s="4"/>
      <c r="FD2784" s="4"/>
      <c r="FE2784" s="4"/>
      <c r="FF2784" s="4"/>
      <c r="FG2784" s="4"/>
      <c r="FH2784" s="4"/>
      <c r="FI2784" s="4"/>
      <c r="FJ2784" s="4"/>
      <c r="FK2784" s="4"/>
      <c r="FL2784" s="4"/>
      <c r="FM2784" s="4"/>
      <c r="FN2784" s="4"/>
      <c r="FO2784" s="4"/>
      <c r="FP2784" s="4"/>
      <c r="FQ2784" s="4"/>
      <c r="FR2784" s="4"/>
      <c r="FS2784" s="4"/>
      <c r="FT2784" s="4"/>
      <c r="FU2784" s="4"/>
      <c r="FV2784" s="4"/>
      <c r="FW2784" s="4"/>
      <c r="FX2784" s="4"/>
      <c r="FY2784" s="4"/>
      <c r="FZ2784" s="4"/>
      <c r="GA2784" s="4"/>
      <c r="GB2784" s="4"/>
      <c r="GC2784" s="4"/>
      <c r="GD2784" s="4"/>
      <c r="GE2784" s="4"/>
      <c r="GF2784" s="4"/>
      <c r="GG2784" s="4"/>
      <c r="GH2784" s="4"/>
      <c r="GI2784" s="4"/>
      <c r="GJ2784" s="4"/>
      <c r="GK2784" s="4"/>
      <c r="GL2784" s="4"/>
      <c r="GM2784" s="4"/>
      <c r="GN2784" s="4"/>
      <c r="GO2784" s="4"/>
      <c r="GP2784" s="4"/>
      <c r="GQ2784" s="4"/>
      <c r="GR2784" s="4"/>
      <c r="GS2784" s="4"/>
      <c r="GT2784" s="4"/>
      <c r="GU2784" s="4"/>
      <c r="GV2784" s="4"/>
      <c r="GW2784" s="4"/>
      <c r="GX2784" s="4"/>
      <c r="GY2784" s="4"/>
      <c r="GZ2784" s="4"/>
      <c r="HA2784" s="4"/>
      <c r="HB2784" s="4"/>
      <c r="HC2784" s="4"/>
      <c r="HD2784" s="4"/>
      <c r="HE2784" s="4"/>
      <c r="HF2784" s="4"/>
      <c r="HG2784" s="4"/>
      <c r="HH2784" s="4"/>
      <c r="HI2784" s="4"/>
      <c r="HJ2784" s="4"/>
      <c r="HK2784" s="4"/>
      <c r="HL2784" s="4"/>
    </row>
    <row r="2785">
      <c r="A2785" s="2" t="s">
        <v>11803</v>
      </c>
      <c r="B2785" s="2" t="s">
        <v>940</v>
      </c>
      <c r="C2785" s="2" t="s">
        <v>288</v>
      </c>
      <c r="D2785" s="2" t="s">
        <v>1533</v>
      </c>
      <c r="E2785" s="2" t="s">
        <v>1534</v>
      </c>
      <c r="F2785" s="2" t="s">
        <v>11799</v>
      </c>
      <c r="G2785" s="2" t="s">
        <v>11799</v>
      </c>
      <c r="H2785" s="2" t="s">
        <v>11799</v>
      </c>
      <c r="I2785" s="2" t="s">
        <v>11800</v>
      </c>
      <c r="J2785" s="2" t="s">
        <v>1536</v>
      </c>
      <c r="K2785" s="2" t="s">
        <v>294</v>
      </c>
      <c r="L2785" s="3">
        <v>14.65</v>
      </c>
      <c r="M2785" s="3">
        <v>15.38</v>
      </c>
      <c r="N2785" s="3">
        <v>31.99</v>
      </c>
      <c r="O2785" s="2" t="s">
        <v>243</v>
      </c>
      <c r="P2785" s="2" t="s">
        <v>295</v>
      </c>
      <c r="Q2785" s="2" t="s">
        <v>237</v>
      </c>
      <c r="R2785" s="2" t="s">
        <v>231</v>
      </c>
      <c r="S2785" s="2" t="s">
        <v>11802</v>
      </c>
      <c r="T2785" s="2" t="s">
        <v>231</v>
      </c>
      <c r="U2785" s="2" t="s">
        <v>327</v>
      </c>
      <c r="V2785" s="2" t="s">
        <v>391</v>
      </c>
      <c r="W2785" s="2" t="s">
        <v>273</v>
      </c>
      <c r="X2785" s="2" t="s">
        <v>231</v>
      </c>
      <c r="Y2785" s="2" t="s">
        <v>1137</v>
      </c>
      <c r="Z2785" s="4"/>
      <c r="AA2785" s="4">
        <f>=ROUNDDOWN({0},0)</f>
      </c>
      <c r="AB2785" s="5"/>
      <c r="AC2785" s="2" t="s">
        <v>3693</v>
      </c>
      <c r="AD2785" s="4">
        <v>3060</v>
      </c>
      <c r="AE2785" s="4">
        <v>3060</v>
      </c>
      <c r="AF2785" s="6">
        <v>65</v>
      </c>
      <c r="AG2785" s="6"/>
      <c r="AH2785" s="7">
        <v>0</v>
      </c>
      <c r="AI2785" s="4"/>
      <c r="AJ2785" s="4">
        <f>=ROUNDDOWN({0},0)</f>
      </c>
      <c r="AK2785" s="5"/>
      <c r="AL2785" s="2" t="s">
        <v>231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231</v>
      </c>
      <c r="AW2785" s="8" t="s">
        <v>231</v>
      </c>
      <c r="AX2785" s="4" t="s">
        <v>231</v>
      </c>
      <c r="AY2785" s="8" t="s">
        <v>231</v>
      </c>
      <c r="AZ2785" s="7" t="s">
        <v>231</v>
      </c>
      <c r="BA2785" s="7" t="s">
        <v>231</v>
      </c>
      <c r="BB2785" s="7"/>
      <c r="BC2785" s="4" t="s">
        <v>231</v>
      </c>
      <c r="BD2785" s="8" t="s">
        <v>231</v>
      </c>
      <c r="BE2785" s="4" t="s">
        <v>231</v>
      </c>
      <c r="BF2785" s="8" t="s">
        <v>231</v>
      </c>
      <c r="BG2785" s="7" t="s">
        <v>231</v>
      </c>
      <c r="BH2785" s="7" t="s">
        <v>231</v>
      </c>
      <c r="BI2785" s="7"/>
      <c r="BJ2785" s="4"/>
      <c r="BK2785" s="8"/>
      <c r="BL2785" s="2" t="s">
        <v>231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241</v>
      </c>
      <c r="BV2785" s="2" t="s">
        <v>231</v>
      </c>
      <c r="BW2785" s="2" t="s">
        <v>231</v>
      </c>
      <c r="BX2785" s="2" t="s">
        <v>241</v>
      </c>
      <c r="BY2785" s="2" t="s">
        <v>242</v>
      </c>
      <c r="BZ2785" s="2" t="s">
        <v>243</v>
      </c>
      <c r="CA2785" s="2" t="s">
        <v>231</v>
      </c>
      <c r="CB2785" s="2" t="s">
        <v>231</v>
      </c>
      <c r="CC2785" s="2" t="s">
        <v>244</v>
      </c>
      <c r="CD2785" s="2" t="s">
        <v>231</v>
      </c>
      <c r="CE2785" s="4"/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4"/>
      <c r="CX2785" s="4"/>
      <c r="CY2785" s="4"/>
      <c r="CZ2785" s="4">
        <v>3060</v>
      </c>
      <c r="DA2785" s="4"/>
      <c r="DB2785" s="4"/>
      <c r="DC2785" s="4"/>
      <c r="DD2785" s="4"/>
      <c r="DE2785" s="4"/>
      <c r="DF2785" s="4"/>
      <c r="DG2785" s="4"/>
      <c r="DH2785" s="4"/>
      <c r="DI2785" s="4"/>
      <c r="DJ2785" s="4"/>
      <c r="DK2785" s="4"/>
      <c r="DL2785" s="4"/>
      <c r="DM2785" s="4"/>
      <c r="DN2785" s="4"/>
      <c r="DO2785" s="4"/>
      <c r="DP2785" s="4"/>
      <c r="DQ2785" s="4"/>
      <c r="DR2785" s="4"/>
      <c r="DS2785" s="4"/>
      <c r="DT2785" s="4"/>
      <c r="DU2785" s="4"/>
      <c r="DV2785" s="4"/>
      <c r="DW2785" s="4"/>
      <c r="DX2785" s="4"/>
      <c r="DY2785" s="4"/>
      <c r="DZ2785" s="4"/>
      <c r="EA2785" s="4"/>
      <c r="EB2785" s="4"/>
      <c r="EC2785" s="4"/>
      <c r="ED2785" s="4"/>
      <c r="EE2785" s="4"/>
      <c r="EF2785" s="4"/>
      <c r="EG2785" s="4"/>
      <c r="EH2785" s="4"/>
      <c r="EI2785" s="4"/>
      <c r="EJ2785" s="4"/>
      <c r="EK2785" s="4"/>
      <c r="EL2785" s="4"/>
      <c r="EM2785" s="4"/>
      <c r="EN2785" s="4"/>
      <c r="EO2785" s="4"/>
      <c r="EP2785" s="4"/>
      <c r="EQ2785" s="4"/>
      <c r="ER2785" s="4"/>
      <c r="ES2785" s="4"/>
      <c r="ET2785" s="4"/>
      <c r="EU2785" s="4"/>
      <c r="EV2785" s="4"/>
      <c r="EW2785" s="4"/>
      <c r="EX2785" s="4"/>
      <c r="EY2785" s="4"/>
      <c r="EZ2785" s="4"/>
      <c r="FA2785" s="4"/>
      <c r="FB2785" s="4"/>
      <c r="FC2785" s="4"/>
      <c r="FD2785" s="4"/>
      <c r="FE2785" s="4"/>
      <c r="FF2785" s="4"/>
      <c r="FG2785" s="4"/>
      <c r="FH2785" s="4"/>
      <c r="FI2785" s="4"/>
      <c r="FJ2785" s="4"/>
      <c r="FK2785" s="4"/>
      <c r="FL2785" s="4"/>
      <c r="FM2785" s="4"/>
      <c r="FN2785" s="4"/>
      <c r="FO2785" s="4"/>
      <c r="FP2785" s="4"/>
      <c r="FQ2785" s="4"/>
      <c r="FR2785" s="4"/>
      <c r="FS2785" s="4"/>
      <c r="FT2785" s="4"/>
      <c r="FU2785" s="4"/>
      <c r="FV2785" s="4"/>
      <c r="FW2785" s="4"/>
      <c r="FX2785" s="4"/>
      <c r="FY2785" s="4"/>
      <c r="FZ2785" s="4"/>
      <c r="GA2785" s="4"/>
      <c r="GB2785" s="4"/>
      <c r="GC2785" s="4"/>
      <c r="GD2785" s="4"/>
      <c r="GE2785" s="4"/>
      <c r="GF2785" s="4"/>
      <c r="GG2785" s="4"/>
      <c r="GH2785" s="4"/>
      <c r="GI2785" s="4"/>
      <c r="GJ2785" s="4"/>
      <c r="GK2785" s="4"/>
      <c r="GL2785" s="4"/>
      <c r="GM2785" s="4"/>
      <c r="GN2785" s="4"/>
      <c r="GO2785" s="4"/>
      <c r="GP2785" s="4"/>
      <c r="GQ2785" s="4"/>
      <c r="GR2785" s="4"/>
      <c r="GS2785" s="4"/>
      <c r="GT2785" s="4"/>
      <c r="GU2785" s="4"/>
      <c r="GV2785" s="4"/>
      <c r="GW2785" s="4"/>
      <c r="GX2785" s="4"/>
      <c r="GY2785" s="4"/>
      <c r="GZ2785" s="4"/>
      <c r="HA2785" s="4"/>
      <c r="HB2785" s="4"/>
      <c r="HC2785" s="4"/>
      <c r="HD2785" s="4"/>
      <c r="HE2785" s="4"/>
      <c r="HF2785" s="4"/>
      <c r="HG2785" s="4"/>
      <c r="HH2785" s="4"/>
      <c r="HI2785" s="4"/>
      <c r="HJ2785" s="4"/>
      <c r="HK2785" s="4"/>
      <c r="HL2785" s="4"/>
    </row>
    <row r="2786">
      <c r="A2786" s="2" t="s">
        <v>11804</v>
      </c>
      <c r="B2786" s="2" t="s">
        <v>940</v>
      </c>
      <c r="C2786" s="2" t="s">
        <v>288</v>
      </c>
      <c r="D2786" s="2" t="s">
        <v>1533</v>
      </c>
      <c r="E2786" s="2" t="s">
        <v>1534</v>
      </c>
      <c r="F2786" s="2" t="s">
        <v>11799</v>
      </c>
      <c r="G2786" s="2" t="s">
        <v>11799</v>
      </c>
      <c r="H2786" s="2" t="s">
        <v>11799</v>
      </c>
      <c r="I2786" s="2" t="s">
        <v>11800</v>
      </c>
      <c r="J2786" s="2" t="s">
        <v>11801</v>
      </c>
      <c r="K2786" s="2" t="s">
        <v>255</v>
      </c>
      <c r="L2786" s="3">
        <v>15.84</v>
      </c>
      <c r="M2786" s="3">
        <v>16.63</v>
      </c>
      <c r="N2786" s="3">
        <v>34.99</v>
      </c>
      <c r="O2786" s="2" t="s">
        <v>243</v>
      </c>
      <c r="P2786" s="2" t="s">
        <v>295</v>
      </c>
      <c r="Q2786" s="2" t="s">
        <v>237</v>
      </c>
      <c r="R2786" s="2" t="s">
        <v>231</v>
      </c>
      <c r="S2786" s="2" t="s">
        <v>11805</v>
      </c>
      <c r="T2786" s="2" t="s">
        <v>231</v>
      </c>
      <c r="U2786" s="2" t="s">
        <v>327</v>
      </c>
      <c r="V2786" s="2" t="s">
        <v>391</v>
      </c>
      <c r="W2786" s="2" t="s">
        <v>273</v>
      </c>
      <c r="X2786" s="2" t="s">
        <v>231</v>
      </c>
      <c r="Y2786" s="2" t="s">
        <v>1137</v>
      </c>
      <c r="Z2786" s="4"/>
      <c r="AA2786" s="4">
        <f>=ROUNDDOWN({0},0)</f>
      </c>
      <c r="AB2786" s="5"/>
      <c r="AC2786" s="2" t="s">
        <v>3693</v>
      </c>
      <c r="AD2786" s="4">
        <v>360</v>
      </c>
      <c r="AE2786" s="4">
        <v>360</v>
      </c>
      <c r="AF2786" s="6">
        <v>65</v>
      </c>
      <c r="AG2786" s="6"/>
      <c r="AH2786" s="7">
        <v>0</v>
      </c>
      <c r="AI2786" s="4"/>
      <c r="AJ2786" s="4">
        <f>=ROUNDDOWN({0},0)</f>
      </c>
      <c r="AK2786" s="5"/>
      <c r="AL2786" s="2" t="s">
        <v>231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231</v>
      </c>
      <c r="AW2786" s="8" t="s">
        <v>231</v>
      </c>
      <c r="AX2786" s="4" t="s">
        <v>231</v>
      </c>
      <c r="AY2786" s="8" t="s">
        <v>231</v>
      </c>
      <c r="AZ2786" s="7" t="s">
        <v>231</v>
      </c>
      <c r="BA2786" s="7" t="s">
        <v>231</v>
      </c>
      <c r="BB2786" s="7"/>
      <c r="BC2786" s="4" t="s">
        <v>231</v>
      </c>
      <c r="BD2786" s="8" t="s">
        <v>231</v>
      </c>
      <c r="BE2786" s="4" t="s">
        <v>231</v>
      </c>
      <c r="BF2786" s="8" t="s">
        <v>231</v>
      </c>
      <c r="BG2786" s="7" t="s">
        <v>231</v>
      </c>
      <c r="BH2786" s="7" t="s">
        <v>231</v>
      </c>
      <c r="BI2786" s="7"/>
      <c r="BJ2786" s="4"/>
      <c r="BK2786" s="8"/>
      <c r="BL2786" s="2" t="s">
        <v>231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241</v>
      </c>
      <c r="BV2786" s="2" t="s">
        <v>231</v>
      </c>
      <c r="BW2786" s="2" t="s">
        <v>231</v>
      </c>
      <c r="BX2786" s="2" t="s">
        <v>241</v>
      </c>
      <c r="BY2786" s="2" t="s">
        <v>242</v>
      </c>
      <c r="BZ2786" s="2" t="s">
        <v>243</v>
      </c>
      <c r="CA2786" s="2" t="s">
        <v>231</v>
      </c>
      <c r="CB2786" s="2" t="s">
        <v>231</v>
      </c>
      <c r="CC2786" s="2" t="s">
        <v>244</v>
      </c>
      <c r="CD2786" s="2" t="s">
        <v>231</v>
      </c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4"/>
      <c r="CX2786" s="4"/>
      <c r="CY2786" s="4"/>
      <c r="CZ2786" s="4">
        <v>360</v>
      </c>
      <c r="DA2786" s="4"/>
      <c r="DB2786" s="4"/>
      <c r="DC2786" s="4"/>
      <c r="DD2786" s="4"/>
      <c r="DE2786" s="4"/>
      <c r="DF2786" s="4"/>
      <c r="DG2786" s="4"/>
      <c r="DH2786" s="4"/>
      <c r="DI2786" s="4"/>
      <c r="DJ2786" s="4"/>
      <c r="DK2786" s="4"/>
      <c r="DL2786" s="4"/>
      <c r="DM2786" s="4"/>
      <c r="DN2786" s="4"/>
      <c r="DO2786" s="4"/>
      <c r="DP2786" s="4"/>
      <c r="DQ2786" s="4"/>
      <c r="DR2786" s="4"/>
      <c r="DS2786" s="4"/>
      <c r="DT2786" s="4"/>
      <c r="DU2786" s="4"/>
      <c r="DV2786" s="4"/>
      <c r="DW2786" s="4"/>
      <c r="DX2786" s="4"/>
      <c r="DY2786" s="4"/>
      <c r="DZ2786" s="4"/>
      <c r="EA2786" s="4"/>
      <c r="EB2786" s="4"/>
      <c r="EC2786" s="4"/>
      <c r="ED2786" s="4"/>
      <c r="EE2786" s="4"/>
      <c r="EF2786" s="4"/>
      <c r="EG2786" s="4"/>
      <c r="EH2786" s="4"/>
      <c r="EI2786" s="4"/>
      <c r="EJ2786" s="4"/>
      <c r="EK2786" s="4"/>
      <c r="EL2786" s="4"/>
      <c r="EM2786" s="4"/>
      <c r="EN2786" s="4"/>
      <c r="EO2786" s="4"/>
      <c r="EP2786" s="4"/>
      <c r="EQ2786" s="4"/>
      <c r="ER2786" s="4"/>
      <c r="ES2786" s="4"/>
      <c r="ET2786" s="4"/>
      <c r="EU2786" s="4"/>
      <c r="EV2786" s="4"/>
      <c r="EW2786" s="4"/>
      <c r="EX2786" s="4"/>
      <c r="EY2786" s="4"/>
      <c r="EZ2786" s="4"/>
      <c r="FA2786" s="4"/>
      <c r="FB2786" s="4"/>
      <c r="FC2786" s="4"/>
      <c r="FD2786" s="4"/>
      <c r="FE2786" s="4"/>
      <c r="FF2786" s="4"/>
      <c r="FG2786" s="4"/>
      <c r="FH2786" s="4"/>
      <c r="FI2786" s="4"/>
      <c r="FJ2786" s="4"/>
      <c r="FK2786" s="4"/>
      <c r="FL2786" s="4"/>
      <c r="FM2786" s="4"/>
      <c r="FN2786" s="4"/>
      <c r="FO2786" s="4"/>
      <c r="FP2786" s="4"/>
      <c r="FQ2786" s="4"/>
      <c r="FR2786" s="4"/>
      <c r="FS2786" s="4"/>
      <c r="FT2786" s="4"/>
      <c r="FU2786" s="4"/>
      <c r="FV2786" s="4"/>
      <c r="FW2786" s="4"/>
      <c r="FX2786" s="4"/>
      <c r="FY2786" s="4"/>
      <c r="FZ2786" s="4"/>
      <c r="GA2786" s="4"/>
      <c r="GB2786" s="4"/>
      <c r="GC2786" s="4"/>
      <c r="GD2786" s="4"/>
      <c r="GE2786" s="4"/>
      <c r="GF2786" s="4"/>
      <c r="GG2786" s="4"/>
      <c r="GH2786" s="4"/>
      <c r="GI2786" s="4"/>
      <c r="GJ2786" s="4"/>
      <c r="GK2786" s="4"/>
      <c r="GL2786" s="4"/>
      <c r="GM2786" s="4"/>
      <c r="GN2786" s="4"/>
      <c r="GO2786" s="4"/>
      <c r="GP2786" s="4"/>
      <c r="GQ2786" s="4"/>
      <c r="GR2786" s="4"/>
      <c r="GS2786" s="4"/>
      <c r="GT2786" s="4"/>
      <c r="GU2786" s="4"/>
      <c r="GV2786" s="4"/>
      <c r="GW2786" s="4"/>
      <c r="GX2786" s="4"/>
      <c r="GY2786" s="4"/>
      <c r="GZ2786" s="4"/>
      <c r="HA2786" s="4"/>
      <c r="HB2786" s="4"/>
      <c r="HC2786" s="4"/>
      <c r="HD2786" s="4"/>
      <c r="HE2786" s="4"/>
      <c r="HF2786" s="4"/>
      <c r="HG2786" s="4"/>
      <c r="HH2786" s="4"/>
      <c r="HI2786" s="4"/>
      <c r="HJ2786" s="4"/>
      <c r="HK2786" s="4"/>
      <c r="HL2786" s="4"/>
    </row>
    <row r="2787">
      <c r="A2787" s="2" t="s">
        <v>11806</v>
      </c>
      <c r="B2787" s="2" t="s">
        <v>940</v>
      </c>
      <c r="C2787" s="2" t="s">
        <v>288</v>
      </c>
      <c r="D2787" s="2" t="s">
        <v>1533</v>
      </c>
      <c r="E2787" s="2" t="s">
        <v>1534</v>
      </c>
      <c r="F2787" s="2" t="s">
        <v>11799</v>
      </c>
      <c r="G2787" s="2" t="s">
        <v>11799</v>
      </c>
      <c r="H2787" s="2" t="s">
        <v>11799</v>
      </c>
      <c r="I2787" s="2" t="s">
        <v>11800</v>
      </c>
      <c r="J2787" s="2" t="s">
        <v>1536</v>
      </c>
      <c r="K2787" s="2" t="s">
        <v>255</v>
      </c>
      <c r="L2787" s="3">
        <v>14.65</v>
      </c>
      <c r="M2787" s="3">
        <v>15.38</v>
      </c>
      <c r="N2787" s="3">
        <v>31.99</v>
      </c>
      <c r="O2787" s="2" t="s">
        <v>243</v>
      </c>
      <c r="P2787" s="2" t="s">
        <v>295</v>
      </c>
      <c r="Q2787" s="2" t="s">
        <v>237</v>
      </c>
      <c r="R2787" s="2" t="s">
        <v>231</v>
      </c>
      <c r="S2787" s="2" t="s">
        <v>11805</v>
      </c>
      <c r="T2787" s="2" t="s">
        <v>231</v>
      </c>
      <c r="U2787" s="2" t="s">
        <v>327</v>
      </c>
      <c r="V2787" s="2" t="s">
        <v>391</v>
      </c>
      <c r="W2787" s="2" t="s">
        <v>273</v>
      </c>
      <c r="X2787" s="2" t="s">
        <v>231</v>
      </c>
      <c r="Y2787" s="2" t="s">
        <v>1137</v>
      </c>
      <c r="Z2787" s="4"/>
      <c r="AA2787" s="4">
        <f>=ROUNDDOWN({0},0)</f>
      </c>
      <c r="AB2787" s="5"/>
      <c r="AC2787" s="2" t="s">
        <v>3693</v>
      </c>
      <c r="AD2787" s="4">
        <v>1480</v>
      </c>
      <c r="AE2787" s="4">
        <v>1480</v>
      </c>
      <c r="AF2787" s="6">
        <v>65</v>
      </c>
      <c r="AG2787" s="6"/>
      <c r="AH2787" s="7">
        <v>0</v>
      </c>
      <c r="AI2787" s="4"/>
      <c r="AJ2787" s="4">
        <f>=ROUNDDOWN({0},0)</f>
      </c>
      <c r="AK2787" s="5"/>
      <c r="AL2787" s="2" t="s">
        <v>231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231</v>
      </c>
      <c r="AW2787" s="8" t="s">
        <v>231</v>
      </c>
      <c r="AX2787" s="4" t="s">
        <v>231</v>
      </c>
      <c r="AY2787" s="8" t="s">
        <v>231</v>
      </c>
      <c r="AZ2787" s="7" t="s">
        <v>231</v>
      </c>
      <c r="BA2787" s="7" t="s">
        <v>231</v>
      </c>
      <c r="BB2787" s="7"/>
      <c r="BC2787" s="4" t="s">
        <v>231</v>
      </c>
      <c r="BD2787" s="8" t="s">
        <v>231</v>
      </c>
      <c r="BE2787" s="4" t="s">
        <v>231</v>
      </c>
      <c r="BF2787" s="8" t="s">
        <v>231</v>
      </c>
      <c r="BG2787" s="7" t="s">
        <v>231</v>
      </c>
      <c r="BH2787" s="7" t="s">
        <v>231</v>
      </c>
      <c r="BI2787" s="7"/>
      <c r="BJ2787" s="4"/>
      <c r="BK2787" s="8"/>
      <c r="BL2787" s="2" t="s">
        <v>231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241</v>
      </c>
      <c r="BV2787" s="2" t="s">
        <v>231</v>
      </c>
      <c r="BW2787" s="2" t="s">
        <v>231</v>
      </c>
      <c r="BX2787" s="2" t="s">
        <v>241</v>
      </c>
      <c r="BY2787" s="2" t="s">
        <v>242</v>
      </c>
      <c r="BZ2787" s="2" t="s">
        <v>243</v>
      </c>
      <c r="CA2787" s="2" t="s">
        <v>231</v>
      </c>
      <c r="CB2787" s="2" t="s">
        <v>231</v>
      </c>
      <c r="CC2787" s="2" t="s">
        <v>244</v>
      </c>
      <c r="CD2787" s="2" t="s">
        <v>231</v>
      </c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4"/>
      <c r="CX2787" s="4"/>
      <c r="CY2787" s="4"/>
      <c r="CZ2787" s="4">
        <v>1480</v>
      </c>
      <c r="DA2787" s="4"/>
      <c r="DB2787" s="4"/>
      <c r="DC2787" s="4"/>
      <c r="DD2787" s="4"/>
      <c r="DE2787" s="4"/>
      <c r="DF2787" s="4"/>
      <c r="DG2787" s="4"/>
      <c r="DH2787" s="4"/>
      <c r="DI2787" s="4"/>
      <c r="DJ2787" s="4"/>
      <c r="DK2787" s="4"/>
      <c r="DL2787" s="4"/>
      <c r="DM2787" s="4"/>
      <c r="DN2787" s="4"/>
      <c r="DO2787" s="4"/>
      <c r="DP2787" s="4"/>
      <c r="DQ2787" s="4"/>
      <c r="DR2787" s="4"/>
      <c r="DS2787" s="4"/>
      <c r="DT2787" s="4"/>
      <c r="DU2787" s="4"/>
      <c r="DV2787" s="4"/>
      <c r="DW2787" s="4"/>
      <c r="DX2787" s="4"/>
      <c r="DY2787" s="4"/>
      <c r="DZ2787" s="4"/>
      <c r="EA2787" s="4"/>
      <c r="EB2787" s="4"/>
      <c r="EC2787" s="4"/>
      <c r="ED2787" s="4"/>
      <c r="EE2787" s="4"/>
      <c r="EF2787" s="4"/>
      <c r="EG2787" s="4"/>
      <c r="EH2787" s="4"/>
      <c r="EI2787" s="4"/>
      <c r="EJ2787" s="4"/>
      <c r="EK2787" s="4"/>
      <c r="EL2787" s="4"/>
      <c r="EM2787" s="4"/>
      <c r="EN2787" s="4"/>
      <c r="EO2787" s="4"/>
      <c r="EP2787" s="4"/>
      <c r="EQ2787" s="4"/>
      <c r="ER2787" s="4"/>
      <c r="ES2787" s="4"/>
      <c r="ET2787" s="4"/>
      <c r="EU2787" s="4"/>
      <c r="EV2787" s="4"/>
      <c r="EW2787" s="4"/>
      <c r="EX2787" s="4"/>
      <c r="EY2787" s="4"/>
      <c r="EZ2787" s="4"/>
      <c r="FA2787" s="4"/>
      <c r="FB2787" s="4"/>
      <c r="FC2787" s="4"/>
      <c r="FD2787" s="4"/>
      <c r="FE2787" s="4"/>
      <c r="FF2787" s="4"/>
      <c r="FG2787" s="4"/>
      <c r="FH2787" s="4"/>
      <c r="FI2787" s="4"/>
      <c r="FJ2787" s="4"/>
      <c r="FK2787" s="4"/>
      <c r="FL2787" s="4"/>
      <c r="FM2787" s="4"/>
      <c r="FN2787" s="4"/>
      <c r="FO2787" s="4"/>
      <c r="FP2787" s="4"/>
      <c r="FQ2787" s="4"/>
      <c r="FR2787" s="4"/>
      <c r="FS2787" s="4"/>
      <c r="FT2787" s="4"/>
      <c r="FU2787" s="4"/>
      <c r="FV2787" s="4"/>
      <c r="FW2787" s="4"/>
      <c r="FX2787" s="4"/>
      <c r="FY2787" s="4"/>
      <c r="FZ2787" s="4"/>
      <c r="GA2787" s="4"/>
      <c r="GB2787" s="4"/>
      <c r="GC2787" s="4"/>
      <c r="GD2787" s="4"/>
      <c r="GE2787" s="4"/>
      <c r="GF2787" s="4"/>
      <c r="GG2787" s="4"/>
      <c r="GH2787" s="4"/>
      <c r="GI2787" s="4"/>
      <c r="GJ2787" s="4"/>
      <c r="GK2787" s="4"/>
      <c r="GL2787" s="4"/>
      <c r="GM2787" s="4"/>
      <c r="GN2787" s="4"/>
      <c r="GO2787" s="4"/>
      <c r="GP2787" s="4"/>
      <c r="GQ2787" s="4"/>
      <c r="GR2787" s="4"/>
      <c r="GS2787" s="4"/>
      <c r="GT2787" s="4"/>
      <c r="GU2787" s="4"/>
      <c r="GV2787" s="4"/>
      <c r="GW2787" s="4"/>
      <c r="GX2787" s="4"/>
      <c r="GY2787" s="4"/>
      <c r="GZ2787" s="4"/>
      <c r="HA2787" s="4"/>
      <c r="HB2787" s="4"/>
      <c r="HC2787" s="4"/>
      <c r="HD2787" s="4"/>
      <c r="HE2787" s="4"/>
      <c r="HF2787" s="4"/>
      <c r="HG2787" s="4"/>
      <c r="HH2787" s="4"/>
      <c r="HI2787" s="4"/>
      <c r="HJ2787" s="4"/>
      <c r="HK2787" s="4"/>
      <c r="HL2787" s="4"/>
    </row>
    <row r="2788">
      <c r="A2788" s="2" t="s">
        <v>11807</v>
      </c>
      <c r="B2788" s="2" t="s">
        <v>847</v>
      </c>
      <c r="C2788" s="2" t="s">
        <v>288</v>
      </c>
      <c r="D2788" s="2" t="s">
        <v>848</v>
      </c>
      <c r="E2788" s="2" t="s">
        <v>849</v>
      </c>
      <c r="F2788" s="2" t="s">
        <v>11808</v>
      </c>
      <c r="G2788" s="2" t="s">
        <v>11808</v>
      </c>
      <c r="H2788" s="2" t="s">
        <v>11808</v>
      </c>
      <c r="I2788" s="2" t="s">
        <v>11809</v>
      </c>
      <c r="J2788" s="2" t="s">
        <v>807</v>
      </c>
      <c r="K2788" s="2" t="s">
        <v>269</v>
      </c>
      <c r="L2788" s="3">
        <v>36.42</v>
      </c>
      <c r="M2788" s="3">
        <v>38.24</v>
      </c>
      <c r="N2788" s="3">
        <v>76.49</v>
      </c>
      <c r="O2788" s="2" t="s">
        <v>243</v>
      </c>
      <c r="P2788" s="2" t="s">
        <v>236</v>
      </c>
      <c r="Q2788" s="2" t="s">
        <v>237</v>
      </c>
      <c r="R2788" s="2" t="s">
        <v>231</v>
      </c>
      <c r="S2788" s="2" t="s">
        <v>231</v>
      </c>
      <c r="T2788" s="2" t="s">
        <v>231</v>
      </c>
      <c r="U2788" s="2" t="s">
        <v>327</v>
      </c>
      <c r="V2788" s="2" t="s">
        <v>363</v>
      </c>
      <c r="W2788" s="2" t="s">
        <v>363</v>
      </c>
      <c r="X2788" s="2" t="s">
        <v>792</v>
      </c>
      <c r="Y2788" s="2" t="s">
        <v>1579</v>
      </c>
      <c r="Z2788" s="4">
        <v>35</v>
      </c>
      <c r="AA2788" s="4">
        <f>=ROUNDDOWN(17.5,0)</f>
      </c>
      <c r="AB2788" s="5">
        <v>2</v>
      </c>
      <c r="AC2788" s="2" t="s">
        <v>1137</v>
      </c>
      <c r="AD2788" s="4">
        <v>100</v>
      </c>
      <c r="AE2788" s="4">
        <v>100</v>
      </c>
      <c r="AF2788" s="6">
        <v>63</v>
      </c>
      <c r="AG2788" s="6"/>
      <c r="AH2788" s="7">
        <v>1</v>
      </c>
      <c r="AI2788" s="4"/>
      <c r="AJ2788" s="4">
        <f>=ROUNDDOWN({0},0)</f>
      </c>
      <c r="AK2788" s="5"/>
      <c r="AL2788" s="2" t="s">
        <v>231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/>
      <c r="BD2788" s="8"/>
      <c r="BE2788" s="4"/>
      <c r="BF2788" s="8"/>
      <c r="BG2788" s="7"/>
      <c r="BH2788" s="7"/>
      <c r="BI2788" s="7"/>
      <c r="BJ2788" s="4">
        <v>5</v>
      </c>
      <c r="BK2788" s="8">
        <v>234.53</v>
      </c>
      <c r="BL2788" s="2" t="s">
        <v>2197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11810</v>
      </c>
      <c r="BV2788" s="2" t="s">
        <v>231</v>
      </c>
      <c r="BW2788" s="2" t="s">
        <v>231</v>
      </c>
      <c r="BX2788" s="2" t="s">
        <v>241</v>
      </c>
      <c r="BY2788" s="2" t="s">
        <v>277</v>
      </c>
      <c r="BZ2788" s="2" t="s">
        <v>243</v>
      </c>
      <c r="CA2788" s="2" t="s">
        <v>2376</v>
      </c>
      <c r="CB2788" s="2" t="s">
        <v>231</v>
      </c>
      <c r="CC2788" s="2" t="s">
        <v>244</v>
      </c>
      <c r="CD2788" s="2" t="s">
        <v>231</v>
      </c>
      <c r="CE2788" s="4">
        <v>35</v>
      </c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4"/>
      <c r="CX2788" s="4"/>
      <c r="CY2788" s="4"/>
      <c r="CZ2788" s="4"/>
      <c r="DA2788" s="4"/>
      <c r="DB2788" s="4"/>
      <c r="DC2788" s="4"/>
      <c r="DD2788" s="4"/>
      <c r="DE2788" s="4"/>
      <c r="DF2788" s="4"/>
      <c r="DG2788" s="4"/>
      <c r="DH2788" s="4"/>
      <c r="DI2788" s="4"/>
      <c r="DJ2788" s="4"/>
      <c r="DK2788" s="4">
        <v>100</v>
      </c>
      <c r="DL2788" s="4"/>
      <c r="DM2788" s="4"/>
      <c r="DN2788" s="4"/>
      <c r="DO2788" s="4"/>
      <c r="DP2788" s="4"/>
      <c r="DQ2788" s="4"/>
      <c r="DR2788" s="4"/>
      <c r="DS2788" s="4"/>
      <c r="DT2788" s="4"/>
      <c r="DU2788" s="4"/>
      <c r="DV2788" s="4"/>
      <c r="DW2788" s="4"/>
      <c r="DX2788" s="4"/>
      <c r="DY2788" s="4"/>
      <c r="DZ2788" s="4"/>
      <c r="EA2788" s="4"/>
      <c r="EB2788" s="4"/>
      <c r="EC2788" s="4"/>
      <c r="ED2788" s="4"/>
      <c r="EE2788" s="4"/>
      <c r="EF2788" s="4"/>
      <c r="EG2788" s="4"/>
      <c r="EH2788" s="4"/>
      <c r="EI2788" s="4"/>
      <c r="EJ2788" s="4"/>
      <c r="EK2788" s="4"/>
      <c r="EL2788" s="4"/>
      <c r="EM2788" s="4"/>
      <c r="EN2788" s="4"/>
      <c r="EO2788" s="4"/>
      <c r="EP2788" s="4"/>
      <c r="EQ2788" s="4"/>
      <c r="ER2788" s="4"/>
      <c r="ES2788" s="4"/>
      <c r="ET2788" s="4"/>
      <c r="EU2788" s="4"/>
      <c r="EV2788" s="4"/>
      <c r="EW2788" s="4"/>
      <c r="EX2788" s="4"/>
      <c r="EY2788" s="4"/>
      <c r="EZ2788" s="4"/>
      <c r="FA2788" s="4"/>
      <c r="FB2788" s="4"/>
      <c r="FC2788" s="4"/>
      <c r="FD2788" s="4"/>
      <c r="FE2788" s="4"/>
      <c r="FF2788" s="4"/>
      <c r="FG2788" s="4"/>
      <c r="FH2788" s="4"/>
      <c r="FI2788" s="4"/>
      <c r="FJ2788" s="4"/>
      <c r="FK2788" s="4"/>
      <c r="FL2788" s="4"/>
      <c r="FM2788" s="4"/>
      <c r="FN2788" s="4"/>
      <c r="FO2788" s="4"/>
      <c r="FP2788" s="4"/>
      <c r="FQ2788" s="4"/>
      <c r="FR2788" s="4"/>
      <c r="FS2788" s="4"/>
      <c r="FT2788" s="4"/>
      <c r="FU2788" s="4"/>
      <c r="FV2788" s="4"/>
      <c r="FW2788" s="4"/>
      <c r="FX2788" s="4"/>
      <c r="FY2788" s="4"/>
      <c r="FZ2788" s="4"/>
      <c r="GA2788" s="4"/>
      <c r="GB2788" s="4"/>
      <c r="GC2788" s="4"/>
      <c r="GD2788" s="4"/>
      <c r="GE2788" s="4"/>
      <c r="GF2788" s="4"/>
      <c r="GG2788" s="4"/>
      <c r="GH2788" s="4"/>
      <c r="GI2788" s="4"/>
      <c r="GJ2788" s="4"/>
      <c r="GK2788" s="4"/>
      <c r="GL2788" s="4"/>
      <c r="GM2788" s="4"/>
      <c r="GN2788" s="4"/>
      <c r="GO2788" s="4"/>
      <c r="GP2788" s="4"/>
      <c r="GQ2788" s="4"/>
      <c r="GR2788" s="4"/>
      <c r="GS2788" s="4"/>
      <c r="GT2788" s="4"/>
      <c r="GU2788" s="4"/>
      <c r="GV2788" s="4"/>
      <c r="GW2788" s="4"/>
      <c r="GX2788" s="4"/>
      <c r="GY2788" s="4"/>
      <c r="GZ2788" s="4"/>
      <c r="HA2788" s="4"/>
      <c r="HB2788" s="4"/>
      <c r="HC2788" s="4"/>
      <c r="HD2788" s="4"/>
      <c r="HE2788" s="4"/>
      <c r="HF2788" s="4"/>
      <c r="HG2788" s="4"/>
      <c r="HH2788" s="4"/>
      <c r="HI2788" s="4"/>
      <c r="HJ2788" s="4"/>
      <c r="HK2788" s="4"/>
      <c r="HL2788" s="4"/>
    </row>
    <row r="2789">
      <c r="A2789" s="2" t="s">
        <v>11811</v>
      </c>
      <c r="B2789" s="2" t="s">
        <v>784</v>
      </c>
      <c r="C2789" s="2" t="s">
        <v>653</v>
      </c>
      <c r="D2789" s="2" t="s">
        <v>785</v>
      </c>
      <c r="E2789" s="2" t="s">
        <v>786</v>
      </c>
      <c r="F2789" s="2" t="s">
        <v>11812</v>
      </c>
      <c r="G2789" s="2" t="s">
        <v>11812</v>
      </c>
      <c r="H2789" s="2" t="s">
        <v>11812</v>
      </c>
      <c r="I2789" s="2" t="s">
        <v>11813</v>
      </c>
      <c r="J2789" s="2" t="s">
        <v>1070</v>
      </c>
      <c r="K2789" s="2" t="s">
        <v>1496</v>
      </c>
      <c r="L2789" s="3">
        <v>50.4</v>
      </c>
      <c r="M2789" s="3">
        <v>52.92</v>
      </c>
      <c r="N2789" s="3">
        <v>104.99</v>
      </c>
      <c r="O2789" s="2" t="s">
        <v>243</v>
      </c>
      <c r="P2789" s="2" t="s">
        <v>1281</v>
      </c>
      <c r="Q2789" s="2" t="s">
        <v>237</v>
      </c>
      <c r="R2789" s="2" t="s">
        <v>231</v>
      </c>
      <c r="S2789" s="2" t="s">
        <v>11814</v>
      </c>
      <c r="T2789" s="2" t="s">
        <v>362</v>
      </c>
      <c r="U2789" s="2" t="s">
        <v>765</v>
      </c>
      <c r="V2789" s="2" t="s">
        <v>239</v>
      </c>
      <c r="W2789" s="2" t="s">
        <v>299</v>
      </c>
      <c r="X2789" s="2" t="s">
        <v>691</v>
      </c>
      <c r="Y2789" s="2" t="s">
        <v>4366</v>
      </c>
      <c r="Z2789" s="4">
        <v>523</v>
      </c>
      <c r="AA2789" s="4">
        <f>=ROUNDDOWN(47.5454545454545,0)</f>
      </c>
      <c r="AB2789" s="5">
        <v>11</v>
      </c>
      <c r="AC2789" s="2" t="s">
        <v>717</v>
      </c>
      <c r="AD2789" s="4">
        <v>300</v>
      </c>
      <c r="AE2789" s="4">
        <v>300</v>
      </c>
      <c r="AF2789" s="6">
        <v>67</v>
      </c>
      <c r="AG2789" s="6"/>
      <c r="AH2789" s="7">
        <v>1</v>
      </c>
      <c r="AI2789" s="4"/>
      <c r="AJ2789" s="4">
        <f>=ROUNDDOWN({0},0)</f>
      </c>
      <c r="AK2789" s="5"/>
      <c r="AL2789" s="2" t="s">
        <v>231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/>
      <c r="BD2789" s="8"/>
      <c r="BE2789" s="4"/>
      <c r="BF2789" s="8"/>
      <c r="BG2789" s="7"/>
      <c r="BH2789" s="7"/>
      <c r="BI2789" s="7"/>
      <c r="BJ2789" s="4">
        <v>40</v>
      </c>
      <c r="BK2789" s="8">
        <v>2282.71</v>
      </c>
      <c r="BL2789" s="2" t="s">
        <v>11815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11816</v>
      </c>
      <c r="BV2789" s="2" t="s">
        <v>231</v>
      </c>
      <c r="BW2789" s="2" t="s">
        <v>231</v>
      </c>
      <c r="BX2789" s="2" t="s">
        <v>231</v>
      </c>
      <c r="BY2789" s="2" t="s">
        <v>277</v>
      </c>
      <c r="BZ2789" s="2" t="s">
        <v>243</v>
      </c>
      <c r="CA2789" s="2" t="s">
        <v>11817</v>
      </c>
      <c r="CB2789" s="2" t="s">
        <v>11818</v>
      </c>
      <c r="CC2789" s="2" t="s">
        <v>244</v>
      </c>
      <c r="CD2789" s="2" t="s">
        <v>231</v>
      </c>
      <c r="CE2789" s="4">
        <v>511</v>
      </c>
      <c r="CF2789" s="4"/>
      <c r="CG2789" s="4"/>
      <c r="CH2789" s="4"/>
      <c r="CI2789" s="4"/>
      <c r="CJ2789" s="4"/>
      <c r="CK2789" s="4"/>
      <c r="CL2789" s="4">
        <v>12</v>
      </c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4"/>
      <c r="CX2789" s="4"/>
      <c r="CY2789" s="4"/>
      <c r="CZ2789" s="4"/>
      <c r="DA2789" s="4"/>
      <c r="DB2789" s="4"/>
      <c r="DC2789" s="4"/>
      <c r="DD2789" s="4"/>
      <c r="DE2789" s="4"/>
      <c r="DF2789" s="4"/>
      <c r="DG2789" s="4"/>
      <c r="DH2789" s="4"/>
      <c r="DI2789" s="4"/>
      <c r="DJ2789" s="4"/>
      <c r="DK2789" s="4"/>
      <c r="DL2789" s="4"/>
      <c r="DM2789" s="4"/>
      <c r="DN2789" s="4"/>
      <c r="DO2789" s="4"/>
      <c r="DP2789" s="4"/>
      <c r="DQ2789" s="4"/>
      <c r="DR2789" s="4"/>
      <c r="DS2789" s="4"/>
      <c r="DT2789" s="4"/>
      <c r="DU2789" s="4"/>
      <c r="DV2789" s="4"/>
      <c r="DW2789" s="4"/>
      <c r="DX2789" s="4"/>
      <c r="DY2789" s="4"/>
      <c r="DZ2789" s="4"/>
      <c r="EA2789" s="4"/>
      <c r="EB2789" s="4"/>
      <c r="EC2789" s="4"/>
      <c r="ED2789" s="4"/>
      <c r="EE2789" s="4"/>
      <c r="EF2789" s="4"/>
      <c r="EG2789" s="4"/>
      <c r="EH2789" s="4"/>
      <c r="EI2789" s="4"/>
      <c r="EJ2789" s="4"/>
      <c r="EK2789" s="4"/>
      <c r="EL2789" s="4"/>
      <c r="EM2789" s="4"/>
      <c r="EN2789" s="4"/>
      <c r="EO2789" s="4"/>
      <c r="EP2789" s="4"/>
      <c r="EQ2789" s="4"/>
      <c r="ER2789" s="4"/>
      <c r="ES2789" s="4"/>
      <c r="ET2789" s="4"/>
      <c r="EU2789" s="4"/>
      <c r="EV2789" s="4"/>
      <c r="EW2789" s="4"/>
      <c r="EX2789" s="4"/>
      <c r="EY2789" s="4"/>
      <c r="EZ2789" s="4"/>
      <c r="FA2789" s="4">
        <v>300</v>
      </c>
      <c r="FB2789" s="4"/>
      <c r="FC2789" s="4"/>
      <c r="FD2789" s="4"/>
      <c r="FE2789" s="4"/>
      <c r="FF2789" s="4"/>
      <c r="FG2789" s="4"/>
      <c r="FH2789" s="4"/>
      <c r="FI2789" s="4"/>
      <c r="FJ2789" s="4"/>
      <c r="FK2789" s="4"/>
      <c r="FL2789" s="4"/>
      <c r="FM2789" s="4"/>
      <c r="FN2789" s="4"/>
      <c r="FO2789" s="4"/>
      <c r="FP2789" s="4"/>
      <c r="FQ2789" s="4"/>
      <c r="FR2789" s="4"/>
      <c r="FS2789" s="4"/>
      <c r="FT2789" s="4"/>
      <c r="FU2789" s="4"/>
      <c r="FV2789" s="4"/>
      <c r="FW2789" s="4"/>
      <c r="FX2789" s="4"/>
      <c r="FY2789" s="4"/>
      <c r="FZ2789" s="4"/>
      <c r="GA2789" s="4"/>
      <c r="GB2789" s="4"/>
      <c r="GC2789" s="4"/>
      <c r="GD2789" s="4"/>
      <c r="GE2789" s="4"/>
      <c r="GF2789" s="4"/>
      <c r="GG2789" s="4"/>
      <c r="GH2789" s="4"/>
      <c r="GI2789" s="4"/>
      <c r="GJ2789" s="4"/>
      <c r="GK2789" s="4"/>
      <c r="GL2789" s="4"/>
      <c r="GM2789" s="4"/>
      <c r="GN2789" s="4"/>
      <c r="GO2789" s="4"/>
      <c r="GP2789" s="4"/>
      <c r="GQ2789" s="4"/>
      <c r="GR2789" s="4"/>
      <c r="GS2789" s="4"/>
      <c r="GT2789" s="4"/>
      <c r="GU2789" s="4"/>
      <c r="GV2789" s="4"/>
      <c r="GW2789" s="4"/>
      <c r="GX2789" s="4"/>
      <c r="GY2789" s="4"/>
      <c r="GZ2789" s="4"/>
      <c r="HA2789" s="4"/>
      <c r="HB2789" s="4"/>
      <c r="HC2789" s="4"/>
      <c r="HD2789" s="4"/>
      <c r="HE2789" s="4"/>
      <c r="HF2789" s="4"/>
      <c r="HG2789" s="4"/>
      <c r="HH2789" s="4"/>
      <c r="HI2789" s="4"/>
      <c r="HJ2789" s="4"/>
      <c r="HK2789" s="4"/>
      <c r="HL2789" s="4"/>
    </row>
    <row r="2790">
      <c r="A2790" s="2" t="s">
        <v>11819</v>
      </c>
      <c r="B2790" s="2" t="s">
        <v>824</v>
      </c>
      <c r="C2790" s="2" t="s">
        <v>11820</v>
      </c>
      <c r="D2790" s="2" t="s">
        <v>654</v>
      </c>
      <c r="E2790" s="2" t="s">
        <v>655</v>
      </c>
      <c r="F2790" s="2" t="s">
        <v>11821</v>
      </c>
      <c r="G2790" s="2" t="s">
        <v>231</v>
      </c>
      <c r="H2790" s="2" t="s">
        <v>231</v>
      </c>
      <c r="I2790" s="2" t="s">
        <v>1483</v>
      </c>
      <c r="J2790" s="2" t="s">
        <v>293</v>
      </c>
      <c r="K2790" s="2" t="s">
        <v>1077</v>
      </c>
      <c r="L2790" s="3">
        <v>30</v>
      </c>
      <c r="M2790" s="3">
        <v>31.5</v>
      </c>
      <c r="N2790" s="3">
        <v>77.77</v>
      </c>
      <c r="O2790" s="2" t="s">
        <v>250</v>
      </c>
      <c r="P2790" s="2" t="s">
        <v>1019</v>
      </c>
      <c r="Q2790" s="2" t="s">
        <v>237</v>
      </c>
      <c r="R2790" s="2" t="s">
        <v>1020</v>
      </c>
      <c r="S2790" s="2" t="s">
        <v>231</v>
      </c>
      <c r="T2790" s="2" t="s">
        <v>231</v>
      </c>
      <c r="U2790" s="2" t="s">
        <v>231</v>
      </c>
      <c r="V2790" s="2" t="s">
        <v>1685</v>
      </c>
      <c r="W2790" s="2" t="s">
        <v>2541</v>
      </c>
      <c r="X2790" s="2" t="s">
        <v>231</v>
      </c>
      <c r="Y2790" s="2" t="s">
        <v>6440</v>
      </c>
      <c r="Z2790" s="4"/>
      <c r="AA2790" s="4">
        <f>=ROUNDDOWN({0},0)</f>
      </c>
      <c r="AB2790" s="5">
        <v>14</v>
      </c>
      <c r="AC2790" s="2" t="s">
        <v>231</v>
      </c>
      <c r="AD2790" s="4"/>
      <c r="AE2790" s="4"/>
      <c r="AF2790" s="6">
        <v>64</v>
      </c>
      <c r="AG2790" s="6"/>
      <c r="AH2790" s="7">
        <v>0.0323</v>
      </c>
      <c r="AI2790" s="4"/>
      <c r="AJ2790" s="4">
        <f>=ROUNDDOWN({0},0)</f>
      </c>
      <c r="AK2790" s="5"/>
      <c r="AL2790" s="2" t="s">
        <v>231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/>
      <c r="BD2790" s="8"/>
      <c r="BE2790" s="4"/>
      <c r="BF2790" s="8"/>
      <c r="BG2790" s="7"/>
      <c r="BH2790" s="7"/>
      <c r="BI2790" s="7"/>
      <c r="BJ2790" s="4">
        <v>2</v>
      </c>
      <c r="BK2790" s="8">
        <v>119.98</v>
      </c>
      <c r="BL2790" s="2" t="s">
        <v>1028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11822</v>
      </c>
      <c r="BV2790" s="2" t="s">
        <v>231</v>
      </c>
      <c r="BW2790" s="2" t="s">
        <v>231</v>
      </c>
      <c r="BX2790" s="2" t="s">
        <v>241</v>
      </c>
      <c r="BY2790" s="2" t="s">
        <v>277</v>
      </c>
      <c r="BZ2790" s="2" t="s">
        <v>243</v>
      </c>
      <c r="CA2790" s="2" t="s">
        <v>6451</v>
      </c>
      <c r="CB2790" s="2" t="s">
        <v>231</v>
      </c>
      <c r="CC2790" s="2" t="s">
        <v>244</v>
      </c>
      <c r="CD2790" s="2" t="s">
        <v>231</v>
      </c>
      <c r="CE2790" s="4"/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4"/>
      <c r="CX2790" s="4"/>
      <c r="CY2790" s="4"/>
      <c r="CZ2790" s="4"/>
      <c r="DA2790" s="4"/>
      <c r="DB2790" s="4"/>
      <c r="DC2790" s="4"/>
      <c r="DD2790" s="4"/>
      <c r="DE2790" s="4"/>
      <c r="DF2790" s="4"/>
      <c r="DG2790" s="4"/>
      <c r="DH2790" s="4"/>
      <c r="DI2790" s="4"/>
      <c r="DJ2790" s="4"/>
      <c r="DK2790" s="4"/>
      <c r="DL2790" s="4"/>
      <c r="DM2790" s="4"/>
      <c r="DN2790" s="4"/>
      <c r="DO2790" s="4"/>
      <c r="DP2790" s="4"/>
      <c r="DQ2790" s="4"/>
      <c r="DR2790" s="4"/>
      <c r="DS2790" s="4"/>
      <c r="DT2790" s="4"/>
      <c r="DU2790" s="4"/>
      <c r="DV2790" s="4"/>
      <c r="DW2790" s="4"/>
      <c r="DX2790" s="4"/>
      <c r="DY2790" s="4"/>
      <c r="DZ2790" s="4"/>
      <c r="EA2790" s="4"/>
      <c r="EB2790" s="4"/>
      <c r="EC2790" s="4"/>
      <c r="ED2790" s="4"/>
      <c r="EE2790" s="4"/>
      <c r="EF2790" s="4"/>
      <c r="EG2790" s="4"/>
      <c r="EH2790" s="4"/>
      <c r="EI2790" s="4"/>
      <c r="EJ2790" s="4"/>
      <c r="EK2790" s="4"/>
      <c r="EL2790" s="4"/>
      <c r="EM2790" s="4"/>
      <c r="EN2790" s="4"/>
      <c r="EO2790" s="4"/>
      <c r="EP2790" s="4"/>
      <c r="EQ2790" s="4"/>
      <c r="ER2790" s="4"/>
      <c r="ES2790" s="4"/>
      <c r="ET2790" s="4"/>
      <c r="EU2790" s="4"/>
      <c r="EV2790" s="4"/>
      <c r="EW2790" s="4"/>
      <c r="EX2790" s="4"/>
      <c r="EY2790" s="4"/>
      <c r="EZ2790" s="4"/>
      <c r="FA2790" s="4"/>
      <c r="FB2790" s="4"/>
      <c r="FC2790" s="4"/>
      <c r="FD2790" s="4"/>
      <c r="FE2790" s="4"/>
      <c r="FF2790" s="4"/>
      <c r="FG2790" s="4"/>
      <c r="FH2790" s="4"/>
      <c r="FI2790" s="4"/>
      <c r="FJ2790" s="4"/>
      <c r="FK2790" s="4"/>
      <c r="FL2790" s="4"/>
      <c r="FM2790" s="4"/>
      <c r="FN2790" s="4"/>
      <c r="FO2790" s="4"/>
      <c r="FP2790" s="4"/>
      <c r="FQ2790" s="4"/>
      <c r="FR2790" s="4"/>
      <c r="FS2790" s="4"/>
      <c r="FT2790" s="4"/>
      <c r="FU2790" s="4"/>
      <c r="FV2790" s="4"/>
      <c r="FW2790" s="4"/>
      <c r="FX2790" s="4"/>
      <c r="FY2790" s="4"/>
      <c r="FZ2790" s="4"/>
      <c r="GA2790" s="4"/>
      <c r="GB2790" s="4"/>
      <c r="GC2790" s="4"/>
      <c r="GD2790" s="4"/>
      <c r="GE2790" s="4"/>
      <c r="GF2790" s="4"/>
      <c r="GG2790" s="4"/>
      <c r="GH2790" s="4"/>
      <c r="GI2790" s="4"/>
      <c r="GJ2790" s="4"/>
      <c r="GK2790" s="4"/>
      <c r="GL2790" s="4"/>
      <c r="GM2790" s="4"/>
      <c r="GN2790" s="4"/>
      <c r="GO2790" s="4"/>
      <c r="GP2790" s="4"/>
      <c r="GQ2790" s="4"/>
      <c r="GR2790" s="4"/>
      <c r="GS2790" s="4"/>
      <c r="GT2790" s="4"/>
      <c r="GU2790" s="4"/>
      <c r="GV2790" s="4"/>
      <c r="GW2790" s="4"/>
      <c r="GX2790" s="4"/>
      <c r="GY2790" s="4"/>
      <c r="GZ2790" s="4"/>
      <c r="HA2790" s="4"/>
      <c r="HB2790" s="4"/>
      <c r="HC2790" s="4"/>
      <c r="HD2790" s="4"/>
      <c r="HE2790" s="4"/>
      <c r="HF2790" s="4"/>
      <c r="HG2790" s="4"/>
      <c r="HH2790" s="4"/>
      <c r="HI2790" s="4"/>
      <c r="HJ2790" s="4"/>
      <c r="HK2790" s="4"/>
      <c r="HL2790" s="4"/>
    </row>
    <row r="2791">
      <c r="A2791" s="2" t="s">
        <v>11823</v>
      </c>
      <c r="B2791" s="2" t="s">
        <v>1186</v>
      </c>
      <c r="C2791" s="2" t="s">
        <v>1299</v>
      </c>
      <c r="D2791" s="2" t="s">
        <v>1462</v>
      </c>
      <c r="E2791" s="2" t="s">
        <v>7034</v>
      </c>
      <c r="F2791" s="2" t="s">
        <v>11824</v>
      </c>
      <c r="G2791" s="2" t="s">
        <v>11824</v>
      </c>
      <c r="H2791" s="2" t="s">
        <v>11824</v>
      </c>
      <c r="I2791" s="2" t="s">
        <v>7035</v>
      </c>
      <c r="J2791" s="2" t="s">
        <v>658</v>
      </c>
      <c r="K2791" s="2" t="s">
        <v>1491</v>
      </c>
      <c r="L2791" s="3">
        <v>52.8</v>
      </c>
      <c r="M2791" s="3">
        <v>55.43</v>
      </c>
      <c r="N2791" s="3">
        <v>109.99</v>
      </c>
      <c r="O2791" s="2" t="s">
        <v>243</v>
      </c>
      <c r="P2791" s="2" t="s">
        <v>270</v>
      </c>
      <c r="Q2791" s="2" t="s">
        <v>237</v>
      </c>
      <c r="R2791" s="2" t="s">
        <v>231</v>
      </c>
      <c r="S2791" s="2" t="s">
        <v>11825</v>
      </c>
      <c r="T2791" s="2" t="s">
        <v>362</v>
      </c>
      <c r="U2791" s="2" t="s">
        <v>835</v>
      </c>
      <c r="V2791" s="2" t="s">
        <v>11826</v>
      </c>
      <c r="W2791" s="2" t="s">
        <v>897</v>
      </c>
      <c r="X2791" s="2" t="s">
        <v>676</v>
      </c>
      <c r="Y2791" s="2" t="s">
        <v>708</v>
      </c>
      <c r="Z2791" s="4">
        <v>77</v>
      </c>
      <c r="AA2791" s="4">
        <f>=ROUNDDOWN(7.7,0)</f>
      </c>
      <c r="AB2791" s="5">
        <v>10</v>
      </c>
      <c r="AC2791" s="2" t="s">
        <v>477</v>
      </c>
      <c r="AD2791" s="4">
        <v>120</v>
      </c>
      <c r="AE2791" s="4">
        <v>320</v>
      </c>
      <c r="AF2791" s="6">
        <v>69</v>
      </c>
      <c r="AG2791" s="6"/>
      <c r="AH2791" s="7">
        <v>1</v>
      </c>
      <c r="AI2791" s="4"/>
      <c r="AJ2791" s="4">
        <f>=ROUNDDOWN({0},0)</f>
      </c>
      <c r="AK2791" s="5"/>
      <c r="AL2791" s="2" t="s">
        <v>231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/>
      <c r="BD2791" s="8"/>
      <c r="BE2791" s="4"/>
      <c r="BF2791" s="8"/>
      <c r="BG2791" s="7"/>
      <c r="BH2791" s="7"/>
      <c r="BI2791" s="7"/>
      <c r="BJ2791" s="4">
        <v>24</v>
      </c>
      <c r="BK2791" s="8">
        <v>1424.98</v>
      </c>
      <c r="BL2791" s="2" t="s">
        <v>11827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11828</v>
      </c>
      <c r="BV2791" s="2" t="s">
        <v>231</v>
      </c>
      <c r="BW2791" s="2" t="s">
        <v>231</v>
      </c>
      <c r="BX2791" s="2" t="s">
        <v>231</v>
      </c>
      <c r="BY2791" s="2" t="s">
        <v>277</v>
      </c>
      <c r="BZ2791" s="2" t="s">
        <v>243</v>
      </c>
      <c r="CA2791" s="2" t="s">
        <v>708</v>
      </c>
      <c r="CB2791" s="2" t="s">
        <v>3016</v>
      </c>
      <c r="CC2791" s="2" t="s">
        <v>244</v>
      </c>
      <c r="CD2791" s="2" t="s">
        <v>231</v>
      </c>
      <c r="CE2791" s="4">
        <v>77</v>
      </c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4"/>
      <c r="CX2791" s="4"/>
      <c r="CY2791" s="4"/>
      <c r="CZ2791" s="4"/>
      <c r="DA2791" s="4"/>
      <c r="DB2791" s="4"/>
      <c r="DC2791" s="4"/>
      <c r="DD2791" s="4"/>
      <c r="DE2791" s="4"/>
      <c r="DF2791" s="4"/>
      <c r="DG2791" s="4"/>
      <c r="DH2791" s="4"/>
      <c r="DI2791" s="4"/>
      <c r="DJ2791" s="4"/>
      <c r="DK2791" s="4"/>
      <c r="DL2791" s="4"/>
      <c r="DM2791" s="4"/>
      <c r="DN2791" s="4"/>
      <c r="DO2791" s="4"/>
      <c r="DP2791" s="4"/>
      <c r="DQ2791" s="4"/>
      <c r="DR2791" s="4"/>
      <c r="DS2791" s="4">
        <v>120</v>
      </c>
      <c r="DT2791" s="4"/>
      <c r="DU2791" s="4"/>
      <c r="DV2791" s="4"/>
      <c r="DW2791" s="4"/>
      <c r="DX2791" s="4"/>
      <c r="DY2791" s="4"/>
      <c r="DZ2791" s="4"/>
      <c r="EA2791" s="4"/>
      <c r="EB2791" s="4"/>
      <c r="EC2791" s="4"/>
      <c r="ED2791" s="4"/>
      <c r="EE2791" s="4"/>
      <c r="EF2791" s="4"/>
      <c r="EG2791" s="4"/>
      <c r="EH2791" s="4"/>
      <c r="EI2791" s="4"/>
      <c r="EJ2791" s="4"/>
      <c r="EK2791" s="4"/>
      <c r="EL2791" s="4"/>
      <c r="EM2791" s="4"/>
      <c r="EN2791" s="4"/>
      <c r="EO2791" s="4"/>
      <c r="EP2791" s="4"/>
      <c r="EQ2791" s="4"/>
      <c r="ER2791" s="4"/>
      <c r="ES2791" s="4"/>
      <c r="ET2791" s="4"/>
      <c r="EU2791" s="4"/>
      <c r="EV2791" s="4"/>
      <c r="EW2791" s="4">
        <v>50</v>
      </c>
      <c r="EX2791" s="4"/>
      <c r="EY2791" s="4"/>
      <c r="EZ2791" s="4"/>
      <c r="FA2791" s="4"/>
      <c r="FB2791" s="4"/>
      <c r="FC2791" s="4"/>
      <c r="FD2791" s="4"/>
      <c r="FE2791" s="4"/>
      <c r="FF2791" s="4"/>
      <c r="FG2791" s="4"/>
      <c r="FH2791" s="4"/>
      <c r="FI2791" s="4"/>
      <c r="FJ2791" s="4"/>
      <c r="FK2791" s="4"/>
      <c r="FL2791" s="4"/>
      <c r="FM2791" s="4"/>
      <c r="FN2791" s="4"/>
      <c r="FO2791" s="4"/>
      <c r="FP2791" s="4"/>
      <c r="FQ2791" s="4"/>
      <c r="FR2791" s="4"/>
      <c r="FS2791" s="4"/>
      <c r="FT2791" s="4"/>
      <c r="FU2791" s="4"/>
      <c r="FV2791" s="4">
        <v>150</v>
      </c>
      <c r="FW2791" s="4"/>
      <c r="FX2791" s="4"/>
      <c r="FY2791" s="4"/>
      <c r="FZ2791" s="4"/>
      <c r="GA2791" s="4"/>
      <c r="GB2791" s="4"/>
      <c r="GC2791" s="4"/>
      <c r="GD2791" s="4"/>
      <c r="GE2791" s="4"/>
      <c r="GF2791" s="4"/>
      <c r="GG2791" s="4"/>
      <c r="GH2791" s="4"/>
      <c r="GI2791" s="4"/>
      <c r="GJ2791" s="4"/>
      <c r="GK2791" s="4"/>
      <c r="GL2791" s="4"/>
      <c r="GM2791" s="4"/>
      <c r="GN2791" s="4"/>
      <c r="GO2791" s="4"/>
      <c r="GP2791" s="4"/>
      <c r="GQ2791" s="4"/>
      <c r="GR2791" s="4"/>
      <c r="GS2791" s="4"/>
      <c r="GT2791" s="4"/>
      <c r="GU2791" s="4"/>
      <c r="GV2791" s="4"/>
      <c r="GW2791" s="4"/>
      <c r="GX2791" s="4"/>
      <c r="GY2791" s="4"/>
      <c r="GZ2791" s="4"/>
      <c r="HA2791" s="4"/>
      <c r="HB2791" s="4"/>
      <c r="HC2791" s="4"/>
      <c r="HD2791" s="4"/>
      <c r="HE2791" s="4"/>
      <c r="HF2791" s="4"/>
      <c r="HG2791" s="4"/>
      <c r="HH2791" s="4"/>
      <c r="HI2791" s="4"/>
      <c r="HJ2791" s="4"/>
      <c r="HK2791" s="4"/>
      <c r="HL2791" s="4"/>
    </row>
    <row r="2792">
      <c r="A2792" s="2" t="s">
        <v>11829</v>
      </c>
      <c r="B2792" s="2" t="s">
        <v>847</v>
      </c>
      <c r="C2792" s="2" t="s">
        <v>867</v>
      </c>
      <c r="D2792" s="2" t="s">
        <v>2003</v>
      </c>
      <c r="E2792" s="2" t="s">
        <v>2623</v>
      </c>
      <c r="F2792" s="2" t="s">
        <v>11830</v>
      </c>
      <c r="G2792" s="2" t="s">
        <v>11830</v>
      </c>
      <c r="H2792" s="2" t="s">
        <v>11830</v>
      </c>
      <c r="I2792" s="2" t="s">
        <v>11831</v>
      </c>
      <c r="J2792" s="2" t="s">
        <v>807</v>
      </c>
      <c r="K2792" s="2" t="s">
        <v>269</v>
      </c>
      <c r="L2792" s="3">
        <v>32</v>
      </c>
      <c r="M2792" s="3">
        <v>33.6</v>
      </c>
      <c r="N2792" s="3">
        <v>69.99</v>
      </c>
      <c r="O2792" s="2" t="s">
        <v>243</v>
      </c>
      <c r="P2792" s="2" t="s">
        <v>236</v>
      </c>
      <c r="Q2792" s="2" t="s">
        <v>237</v>
      </c>
      <c r="R2792" s="2" t="s">
        <v>231</v>
      </c>
      <c r="S2792" s="2" t="s">
        <v>231</v>
      </c>
      <c r="T2792" s="2" t="s">
        <v>231</v>
      </c>
      <c r="U2792" s="2" t="s">
        <v>327</v>
      </c>
      <c r="V2792" s="2" t="s">
        <v>836</v>
      </c>
      <c r="W2792" s="2" t="s">
        <v>5476</v>
      </c>
      <c r="X2792" s="2" t="s">
        <v>691</v>
      </c>
      <c r="Y2792" s="2" t="s">
        <v>11660</v>
      </c>
      <c r="Z2792" s="4">
        <v>97</v>
      </c>
      <c r="AA2792" s="4">
        <f>=ROUNDDOWN(32.3333333333333,0)</f>
      </c>
      <c r="AB2792" s="5">
        <v>3</v>
      </c>
      <c r="AC2792" s="2" t="s">
        <v>231</v>
      </c>
      <c r="AD2792" s="4"/>
      <c r="AE2792" s="4"/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231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 t="s">
        <v>231</v>
      </c>
      <c r="BD2792" s="8" t="s">
        <v>231</v>
      </c>
      <c r="BE2792" s="4" t="s">
        <v>231</v>
      </c>
      <c r="BF2792" s="8" t="s">
        <v>231</v>
      </c>
      <c r="BG2792" s="7" t="s">
        <v>231</v>
      </c>
      <c r="BH2792" s="7" t="s">
        <v>231</v>
      </c>
      <c r="BI2792" s="7"/>
      <c r="BJ2792" s="4">
        <v>2</v>
      </c>
      <c r="BK2792" s="8">
        <v>73.6</v>
      </c>
      <c r="BL2792" s="2" t="s">
        <v>1020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11832</v>
      </c>
      <c r="BV2792" s="2" t="s">
        <v>231</v>
      </c>
      <c r="BW2792" s="2" t="s">
        <v>231</v>
      </c>
      <c r="BX2792" s="2" t="s">
        <v>241</v>
      </c>
      <c r="BY2792" s="2" t="s">
        <v>277</v>
      </c>
      <c r="BZ2792" s="2" t="s">
        <v>243</v>
      </c>
      <c r="CA2792" s="2" t="s">
        <v>11833</v>
      </c>
      <c r="CB2792" s="2" t="s">
        <v>231</v>
      </c>
      <c r="CC2792" s="2" t="s">
        <v>244</v>
      </c>
      <c r="CD2792" s="2" t="s">
        <v>231</v>
      </c>
      <c r="CE2792" s="4"/>
      <c r="CF2792" s="4">
        <v>97</v>
      </c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4"/>
      <c r="CX2792" s="4"/>
      <c r="CY2792" s="4"/>
      <c r="CZ2792" s="4"/>
      <c r="DA2792" s="4"/>
      <c r="DB2792" s="4"/>
      <c r="DC2792" s="4"/>
      <c r="DD2792" s="4"/>
      <c r="DE2792" s="4"/>
      <c r="DF2792" s="4"/>
      <c r="DG2792" s="4"/>
      <c r="DH2792" s="4"/>
      <c r="DI2792" s="4"/>
      <c r="DJ2792" s="4"/>
      <c r="DK2792" s="4"/>
      <c r="DL2792" s="4"/>
      <c r="DM2792" s="4"/>
      <c r="DN2792" s="4"/>
      <c r="DO2792" s="4"/>
      <c r="DP2792" s="4"/>
      <c r="DQ2792" s="4"/>
      <c r="DR2792" s="4"/>
      <c r="DS2792" s="4"/>
      <c r="DT2792" s="4"/>
      <c r="DU2792" s="4"/>
      <c r="DV2792" s="4"/>
      <c r="DW2792" s="4"/>
      <c r="DX2792" s="4"/>
      <c r="DY2792" s="4"/>
      <c r="DZ2792" s="4"/>
      <c r="EA2792" s="4"/>
      <c r="EB2792" s="4"/>
      <c r="EC2792" s="4"/>
      <c r="ED2792" s="4"/>
      <c r="EE2792" s="4"/>
      <c r="EF2792" s="4"/>
      <c r="EG2792" s="4"/>
      <c r="EH2792" s="4"/>
      <c r="EI2792" s="4"/>
      <c r="EJ2792" s="4"/>
      <c r="EK2792" s="4"/>
      <c r="EL2792" s="4"/>
      <c r="EM2792" s="4"/>
      <c r="EN2792" s="4"/>
      <c r="EO2792" s="4"/>
      <c r="EP2792" s="4"/>
      <c r="EQ2792" s="4"/>
      <c r="ER2792" s="4"/>
      <c r="ES2792" s="4"/>
      <c r="ET2792" s="4"/>
      <c r="EU2792" s="4"/>
      <c r="EV2792" s="4"/>
      <c r="EW2792" s="4"/>
      <c r="EX2792" s="4"/>
      <c r="EY2792" s="4"/>
      <c r="EZ2792" s="4"/>
      <c r="FA2792" s="4"/>
      <c r="FB2792" s="4"/>
      <c r="FC2792" s="4"/>
      <c r="FD2792" s="4"/>
      <c r="FE2792" s="4"/>
      <c r="FF2792" s="4"/>
      <c r="FG2792" s="4"/>
      <c r="FH2792" s="4"/>
      <c r="FI2792" s="4"/>
      <c r="FJ2792" s="4"/>
      <c r="FK2792" s="4"/>
      <c r="FL2792" s="4"/>
      <c r="FM2792" s="4"/>
      <c r="FN2792" s="4"/>
      <c r="FO2792" s="4"/>
      <c r="FP2792" s="4"/>
      <c r="FQ2792" s="4"/>
      <c r="FR2792" s="4"/>
      <c r="FS2792" s="4"/>
      <c r="FT2792" s="4"/>
      <c r="FU2792" s="4"/>
      <c r="FV2792" s="4"/>
      <c r="FW2792" s="4"/>
      <c r="FX2792" s="4"/>
      <c r="FY2792" s="4"/>
      <c r="FZ2792" s="4"/>
      <c r="GA2792" s="4"/>
      <c r="GB2792" s="4"/>
      <c r="GC2792" s="4"/>
      <c r="GD2792" s="4"/>
      <c r="GE2792" s="4"/>
      <c r="GF2792" s="4"/>
      <c r="GG2792" s="4"/>
      <c r="GH2792" s="4"/>
      <c r="GI2792" s="4"/>
      <c r="GJ2792" s="4"/>
      <c r="GK2792" s="4"/>
      <c r="GL2792" s="4"/>
      <c r="GM2792" s="4"/>
      <c r="GN2792" s="4"/>
      <c r="GO2792" s="4"/>
      <c r="GP2792" s="4"/>
      <c r="GQ2792" s="4"/>
      <c r="GR2792" s="4"/>
      <c r="GS2792" s="4"/>
      <c r="GT2792" s="4"/>
      <c r="GU2792" s="4"/>
      <c r="GV2792" s="4"/>
      <c r="GW2792" s="4"/>
      <c r="GX2792" s="4"/>
      <c r="GY2792" s="4"/>
      <c r="GZ2792" s="4"/>
      <c r="HA2792" s="4"/>
      <c r="HB2792" s="4"/>
      <c r="HC2792" s="4"/>
      <c r="HD2792" s="4"/>
      <c r="HE2792" s="4"/>
      <c r="HF2792" s="4"/>
      <c r="HG2792" s="4"/>
      <c r="HH2792" s="4"/>
      <c r="HI2792" s="4"/>
      <c r="HJ2792" s="4"/>
      <c r="HK2792" s="4"/>
      <c r="HL2792" s="4"/>
    </row>
    <row r="2793">
      <c r="A2793" s="2" t="s">
        <v>11834</v>
      </c>
      <c r="B2793" s="2" t="s">
        <v>847</v>
      </c>
      <c r="C2793" s="2" t="s">
        <v>867</v>
      </c>
      <c r="D2793" s="2" t="s">
        <v>2003</v>
      </c>
      <c r="E2793" s="2" t="s">
        <v>2623</v>
      </c>
      <c r="F2793" s="2" t="s">
        <v>11830</v>
      </c>
      <c r="G2793" s="2" t="s">
        <v>11830</v>
      </c>
      <c r="H2793" s="2" t="s">
        <v>11830</v>
      </c>
      <c r="I2793" s="2" t="s">
        <v>11835</v>
      </c>
      <c r="J2793" s="2" t="s">
        <v>807</v>
      </c>
      <c r="K2793" s="2" t="s">
        <v>2312</v>
      </c>
      <c r="L2793" s="3">
        <v>32</v>
      </c>
      <c r="M2793" s="3">
        <v>33.6</v>
      </c>
      <c r="N2793" s="3">
        <v>69.99</v>
      </c>
      <c r="O2793" s="2" t="s">
        <v>243</v>
      </c>
      <c r="P2793" s="2" t="s">
        <v>236</v>
      </c>
      <c r="Q2793" s="2" t="s">
        <v>237</v>
      </c>
      <c r="R2793" s="2" t="s">
        <v>231</v>
      </c>
      <c r="S2793" s="2" t="s">
        <v>231</v>
      </c>
      <c r="T2793" s="2" t="s">
        <v>231</v>
      </c>
      <c r="U2793" s="2" t="s">
        <v>327</v>
      </c>
      <c r="V2793" s="2" t="s">
        <v>836</v>
      </c>
      <c r="W2793" s="2" t="s">
        <v>5476</v>
      </c>
      <c r="X2793" s="2" t="s">
        <v>691</v>
      </c>
      <c r="Y2793" s="2" t="s">
        <v>11660</v>
      </c>
      <c r="Z2793" s="4">
        <v>95</v>
      </c>
      <c r="AA2793" s="4">
        <f>=ROUNDDOWN(316.666666666667,0)</f>
      </c>
      <c r="AB2793" s="5">
        <v>0.3</v>
      </c>
      <c r="AC2793" s="2" t="s">
        <v>231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231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 t="s">
        <v>231</v>
      </c>
      <c r="BD2793" s="8" t="s">
        <v>231</v>
      </c>
      <c r="BE2793" s="4" t="s">
        <v>231</v>
      </c>
      <c r="BF2793" s="8" t="s">
        <v>231</v>
      </c>
      <c r="BG2793" s="7" t="s">
        <v>231</v>
      </c>
      <c r="BH2793" s="7" t="s">
        <v>231</v>
      </c>
      <c r="BI2793" s="7"/>
      <c r="BJ2793" s="4">
        <v>3</v>
      </c>
      <c r="BK2793" s="8">
        <v>104</v>
      </c>
      <c r="BL2793" s="2" t="s">
        <v>863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11836</v>
      </c>
      <c r="BV2793" s="2" t="s">
        <v>231</v>
      </c>
      <c r="BW2793" s="2" t="s">
        <v>231</v>
      </c>
      <c r="BX2793" s="2" t="s">
        <v>241</v>
      </c>
      <c r="BY2793" s="2" t="s">
        <v>277</v>
      </c>
      <c r="BZ2793" s="2" t="s">
        <v>243</v>
      </c>
      <c r="CA2793" s="2" t="s">
        <v>11833</v>
      </c>
      <c r="CB2793" s="2" t="s">
        <v>231</v>
      </c>
      <c r="CC2793" s="2" t="s">
        <v>244</v>
      </c>
      <c r="CD2793" s="2" t="s">
        <v>231</v>
      </c>
      <c r="CE2793" s="4"/>
      <c r="CF2793" s="4">
        <v>95</v>
      </c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4"/>
      <c r="CX2793" s="4"/>
      <c r="CY2793" s="4"/>
      <c r="CZ2793" s="4"/>
      <c r="DA2793" s="4"/>
      <c r="DB2793" s="4"/>
      <c r="DC2793" s="4"/>
      <c r="DD2793" s="4"/>
      <c r="DE2793" s="4"/>
      <c r="DF2793" s="4"/>
      <c r="DG2793" s="4"/>
      <c r="DH2793" s="4"/>
      <c r="DI2793" s="4"/>
      <c r="DJ2793" s="4"/>
      <c r="DK2793" s="4"/>
      <c r="DL2793" s="4"/>
      <c r="DM2793" s="4"/>
      <c r="DN2793" s="4"/>
      <c r="DO2793" s="4"/>
      <c r="DP2793" s="4"/>
      <c r="DQ2793" s="4"/>
      <c r="DR2793" s="4"/>
      <c r="DS2793" s="4"/>
      <c r="DT2793" s="4"/>
      <c r="DU2793" s="4"/>
      <c r="DV2793" s="4"/>
      <c r="DW2793" s="4"/>
      <c r="DX2793" s="4"/>
      <c r="DY2793" s="4"/>
      <c r="DZ2793" s="4"/>
      <c r="EA2793" s="4"/>
      <c r="EB2793" s="4"/>
      <c r="EC2793" s="4"/>
      <c r="ED2793" s="4"/>
      <c r="EE2793" s="4"/>
      <c r="EF2793" s="4"/>
      <c r="EG2793" s="4"/>
      <c r="EH2793" s="4"/>
      <c r="EI2793" s="4"/>
      <c r="EJ2793" s="4"/>
      <c r="EK2793" s="4"/>
      <c r="EL2793" s="4"/>
      <c r="EM2793" s="4"/>
      <c r="EN2793" s="4"/>
      <c r="EO2793" s="4"/>
      <c r="EP2793" s="4"/>
      <c r="EQ2793" s="4"/>
      <c r="ER2793" s="4"/>
      <c r="ES2793" s="4"/>
      <c r="ET2793" s="4"/>
      <c r="EU2793" s="4"/>
      <c r="EV2793" s="4"/>
      <c r="EW2793" s="4"/>
      <c r="EX2793" s="4"/>
      <c r="EY2793" s="4"/>
      <c r="EZ2793" s="4"/>
      <c r="FA2793" s="4"/>
      <c r="FB2793" s="4"/>
      <c r="FC2793" s="4"/>
      <c r="FD2793" s="4"/>
      <c r="FE2793" s="4"/>
      <c r="FF2793" s="4"/>
      <c r="FG2793" s="4"/>
      <c r="FH2793" s="4"/>
      <c r="FI2793" s="4"/>
      <c r="FJ2793" s="4"/>
      <c r="FK2793" s="4"/>
      <c r="FL2793" s="4"/>
      <c r="FM2793" s="4"/>
      <c r="FN2793" s="4"/>
      <c r="FO2793" s="4"/>
      <c r="FP2793" s="4"/>
      <c r="FQ2793" s="4"/>
      <c r="FR2793" s="4"/>
      <c r="FS2793" s="4"/>
      <c r="FT2793" s="4"/>
      <c r="FU2793" s="4"/>
      <c r="FV2793" s="4"/>
      <c r="FW2793" s="4"/>
      <c r="FX2793" s="4"/>
      <c r="FY2793" s="4"/>
      <c r="FZ2793" s="4"/>
      <c r="GA2793" s="4"/>
      <c r="GB2793" s="4"/>
      <c r="GC2793" s="4"/>
      <c r="GD2793" s="4"/>
      <c r="GE2793" s="4"/>
      <c r="GF2793" s="4"/>
      <c r="GG2793" s="4"/>
      <c r="GH2793" s="4"/>
      <c r="GI2793" s="4"/>
      <c r="GJ2793" s="4"/>
      <c r="GK2793" s="4"/>
      <c r="GL2793" s="4"/>
      <c r="GM2793" s="4"/>
      <c r="GN2793" s="4"/>
      <c r="GO2793" s="4"/>
      <c r="GP2793" s="4"/>
      <c r="GQ2793" s="4"/>
      <c r="GR2793" s="4"/>
      <c r="GS2793" s="4"/>
      <c r="GT2793" s="4"/>
      <c r="GU2793" s="4"/>
      <c r="GV2793" s="4"/>
      <c r="GW2793" s="4"/>
      <c r="GX2793" s="4"/>
      <c r="GY2793" s="4"/>
      <c r="GZ2793" s="4"/>
      <c r="HA2793" s="4"/>
      <c r="HB2793" s="4"/>
      <c r="HC2793" s="4"/>
      <c r="HD2793" s="4"/>
      <c r="HE2793" s="4"/>
      <c r="HF2793" s="4"/>
      <c r="HG2793" s="4"/>
      <c r="HH2793" s="4"/>
      <c r="HI2793" s="4"/>
      <c r="HJ2793" s="4"/>
      <c r="HK2793" s="4"/>
      <c r="HL2793" s="4"/>
    </row>
    <row r="2794">
      <c r="A2794" s="2" t="s">
        <v>11837</v>
      </c>
      <c r="B2794" s="2" t="s">
        <v>824</v>
      </c>
      <c r="C2794" s="2" t="s">
        <v>2557</v>
      </c>
      <c r="D2794" s="2" t="s">
        <v>1462</v>
      </c>
      <c r="E2794" s="2" t="s">
        <v>2563</v>
      </c>
      <c r="F2794" s="2" t="s">
        <v>11838</v>
      </c>
      <c r="G2794" s="2" t="s">
        <v>11839</v>
      </c>
      <c r="H2794" s="2" t="s">
        <v>11840</v>
      </c>
      <c r="I2794" s="2" t="s">
        <v>11841</v>
      </c>
      <c r="J2794" s="2" t="s">
        <v>318</v>
      </c>
      <c r="K2794" s="2" t="s">
        <v>682</v>
      </c>
      <c r="L2794" s="3">
        <v>31.5</v>
      </c>
      <c r="M2794" s="3">
        <v>33.08</v>
      </c>
      <c r="N2794" s="3">
        <v>69.99</v>
      </c>
      <c r="O2794" s="2" t="s">
        <v>243</v>
      </c>
      <c r="P2794" s="2" t="s">
        <v>917</v>
      </c>
      <c r="Q2794" s="2" t="s">
        <v>237</v>
      </c>
      <c r="R2794" s="2" t="s">
        <v>231</v>
      </c>
      <c r="S2794" s="2" t="s">
        <v>11842</v>
      </c>
      <c r="T2794" s="2" t="s">
        <v>472</v>
      </c>
      <c r="U2794" s="2" t="s">
        <v>835</v>
      </c>
      <c r="V2794" s="2" t="s">
        <v>1685</v>
      </c>
      <c r="W2794" s="2" t="s">
        <v>273</v>
      </c>
      <c r="X2794" s="2" t="s">
        <v>231</v>
      </c>
      <c r="Y2794" s="2" t="s">
        <v>11843</v>
      </c>
      <c r="Z2794" s="4"/>
      <c r="AA2794" s="4">
        <f>=ROUNDDOWN({0},0)</f>
      </c>
      <c r="AB2794" s="5">
        <v>4</v>
      </c>
      <c r="AC2794" s="2" t="s">
        <v>231</v>
      </c>
      <c r="AD2794" s="4"/>
      <c r="AE2794" s="4"/>
      <c r="AF2794" s="6">
        <v>65</v>
      </c>
      <c r="AG2794" s="6"/>
      <c r="AH2794" s="7">
        <v>0</v>
      </c>
      <c r="AI2794" s="4"/>
      <c r="AJ2794" s="4">
        <f>=ROUNDDOWN({0},0)</f>
      </c>
      <c r="AK2794" s="5"/>
      <c r="AL2794" s="2" t="s">
        <v>231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/>
      <c r="BD2794" s="8"/>
      <c r="BE2794" s="4"/>
      <c r="BF2794" s="8"/>
      <c r="BG2794" s="7"/>
      <c r="BH2794" s="7"/>
      <c r="BI2794" s="7"/>
      <c r="BJ2794" s="4"/>
      <c r="BK2794" s="8"/>
      <c r="BL2794" s="2" t="s">
        <v>11844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11845</v>
      </c>
      <c r="BV2794" s="2" t="s">
        <v>231</v>
      </c>
      <c r="BW2794" s="2" t="s">
        <v>231</v>
      </c>
      <c r="BX2794" s="2" t="s">
        <v>231</v>
      </c>
      <c r="BY2794" s="2" t="s">
        <v>277</v>
      </c>
      <c r="BZ2794" s="2" t="s">
        <v>243</v>
      </c>
      <c r="CA2794" s="2" t="s">
        <v>10952</v>
      </c>
      <c r="CB2794" s="2" t="s">
        <v>1337</v>
      </c>
      <c r="CC2794" s="2" t="s">
        <v>244</v>
      </c>
      <c r="CD2794" s="2" t="s">
        <v>231</v>
      </c>
      <c r="CE2794" s="4"/>
      <c r="CF2794" s="4"/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4"/>
      <c r="CX2794" s="4"/>
      <c r="CY2794" s="4"/>
      <c r="CZ2794" s="4"/>
      <c r="DA2794" s="4"/>
      <c r="DB2794" s="4"/>
      <c r="DC2794" s="4"/>
      <c r="DD2794" s="4"/>
      <c r="DE2794" s="4"/>
      <c r="DF2794" s="4"/>
      <c r="DG2794" s="4"/>
      <c r="DH2794" s="4"/>
      <c r="DI2794" s="4"/>
      <c r="DJ2794" s="4"/>
      <c r="DK2794" s="4"/>
      <c r="DL2794" s="4"/>
      <c r="DM2794" s="4"/>
      <c r="DN2794" s="4"/>
      <c r="DO2794" s="4"/>
      <c r="DP2794" s="4"/>
      <c r="DQ2794" s="4"/>
      <c r="DR2794" s="4"/>
      <c r="DS2794" s="4"/>
      <c r="DT2794" s="4"/>
      <c r="DU2794" s="4"/>
      <c r="DV2794" s="4"/>
      <c r="DW2794" s="4"/>
      <c r="DX2794" s="4"/>
      <c r="DY2794" s="4"/>
      <c r="DZ2794" s="4"/>
      <c r="EA2794" s="4"/>
      <c r="EB2794" s="4"/>
      <c r="EC2794" s="4"/>
      <c r="ED2794" s="4"/>
      <c r="EE2794" s="4"/>
      <c r="EF2794" s="4"/>
      <c r="EG2794" s="4"/>
      <c r="EH2794" s="4"/>
      <c r="EI2794" s="4"/>
      <c r="EJ2794" s="4"/>
      <c r="EK2794" s="4"/>
      <c r="EL2794" s="4"/>
      <c r="EM2794" s="4"/>
      <c r="EN2794" s="4"/>
      <c r="EO2794" s="4"/>
      <c r="EP2794" s="4"/>
      <c r="EQ2794" s="4"/>
      <c r="ER2794" s="4"/>
      <c r="ES2794" s="4"/>
      <c r="ET2794" s="4"/>
      <c r="EU2794" s="4"/>
      <c r="EV2794" s="4"/>
      <c r="EW2794" s="4"/>
      <c r="EX2794" s="4"/>
      <c r="EY2794" s="4"/>
      <c r="EZ2794" s="4"/>
      <c r="FA2794" s="4"/>
      <c r="FB2794" s="4"/>
      <c r="FC2794" s="4"/>
      <c r="FD2794" s="4"/>
      <c r="FE2794" s="4"/>
      <c r="FF2794" s="4"/>
      <c r="FG2794" s="4"/>
      <c r="FH2794" s="4"/>
      <c r="FI2794" s="4"/>
      <c r="FJ2794" s="4"/>
      <c r="FK2794" s="4"/>
      <c r="FL2794" s="4"/>
      <c r="FM2794" s="4"/>
      <c r="FN2794" s="4"/>
      <c r="FO2794" s="4"/>
      <c r="FP2794" s="4"/>
      <c r="FQ2794" s="4"/>
      <c r="FR2794" s="4"/>
      <c r="FS2794" s="4"/>
      <c r="FT2794" s="4"/>
      <c r="FU2794" s="4"/>
      <c r="FV2794" s="4"/>
      <c r="FW2794" s="4"/>
      <c r="FX2794" s="4"/>
      <c r="FY2794" s="4"/>
      <c r="FZ2794" s="4"/>
      <c r="GA2794" s="4"/>
      <c r="GB2794" s="4"/>
      <c r="GC2794" s="4"/>
      <c r="GD2794" s="4"/>
      <c r="GE2794" s="4"/>
      <c r="GF2794" s="4"/>
      <c r="GG2794" s="4"/>
      <c r="GH2794" s="4"/>
      <c r="GI2794" s="4"/>
      <c r="GJ2794" s="4"/>
      <c r="GK2794" s="4"/>
      <c r="GL2794" s="4"/>
      <c r="GM2794" s="4"/>
      <c r="GN2794" s="4"/>
      <c r="GO2794" s="4"/>
      <c r="GP2794" s="4"/>
      <c r="GQ2794" s="4"/>
      <c r="GR2794" s="4"/>
      <c r="GS2794" s="4"/>
      <c r="GT2794" s="4"/>
      <c r="GU2794" s="4"/>
      <c r="GV2794" s="4"/>
      <c r="GW2794" s="4"/>
      <c r="GX2794" s="4"/>
      <c r="GY2794" s="4"/>
      <c r="GZ2794" s="4"/>
      <c r="HA2794" s="4"/>
      <c r="HB2794" s="4"/>
      <c r="HC2794" s="4"/>
      <c r="HD2794" s="4"/>
      <c r="HE2794" s="4"/>
      <c r="HF2794" s="4"/>
      <c r="HG2794" s="4"/>
      <c r="HH2794" s="4"/>
      <c r="HI2794" s="4"/>
      <c r="HJ2794" s="4"/>
      <c r="HK2794" s="4"/>
      <c r="HL2794" s="4"/>
    </row>
    <row r="2795">
      <c r="A2795" s="2" t="s">
        <v>11846</v>
      </c>
      <c r="B2795" s="2" t="s">
        <v>262</v>
      </c>
      <c r="C2795" s="2" t="s">
        <v>288</v>
      </c>
      <c r="D2795" s="2" t="s">
        <v>654</v>
      </c>
      <c r="E2795" s="2" t="s">
        <v>1212</v>
      </c>
      <c r="F2795" s="2" t="s">
        <v>11847</v>
      </c>
      <c r="G2795" s="2" t="s">
        <v>11847</v>
      </c>
      <c r="H2795" s="2" t="s">
        <v>11847</v>
      </c>
      <c r="I2795" s="2" t="s">
        <v>11848</v>
      </c>
      <c r="J2795" s="2" t="s">
        <v>658</v>
      </c>
      <c r="K2795" s="2" t="s">
        <v>1146</v>
      </c>
      <c r="L2795" s="3">
        <v>54.47</v>
      </c>
      <c r="M2795" s="3">
        <v>57.19</v>
      </c>
      <c r="N2795" s="3">
        <v>109.99</v>
      </c>
      <c r="O2795" s="2" t="s">
        <v>243</v>
      </c>
      <c r="P2795" s="2" t="s">
        <v>236</v>
      </c>
      <c r="Q2795" s="2" t="s">
        <v>237</v>
      </c>
      <c r="R2795" s="2" t="s">
        <v>231</v>
      </c>
      <c r="S2795" s="2" t="s">
        <v>11849</v>
      </c>
      <c r="T2795" s="2" t="s">
        <v>472</v>
      </c>
      <c r="U2795" s="2" t="s">
        <v>327</v>
      </c>
      <c r="V2795" s="2" t="s">
        <v>239</v>
      </c>
      <c r="W2795" s="2" t="s">
        <v>273</v>
      </c>
      <c r="X2795" s="2" t="s">
        <v>299</v>
      </c>
      <c r="Y2795" s="2" t="s">
        <v>2279</v>
      </c>
      <c r="Z2795" s="4">
        <v>24</v>
      </c>
      <c r="AA2795" s="4">
        <f>=ROUNDDOWN({0},0)</f>
      </c>
      <c r="AB2795" s="5"/>
      <c r="AC2795" s="2" t="s">
        <v>2082</v>
      </c>
      <c r="AD2795" s="4">
        <v>260</v>
      </c>
      <c r="AE2795" s="4">
        <v>260</v>
      </c>
      <c r="AF2795" s="6">
        <v>65</v>
      </c>
      <c r="AG2795" s="6"/>
      <c r="AH2795" s="7">
        <v>0</v>
      </c>
      <c r="AI2795" s="4"/>
      <c r="AJ2795" s="4">
        <f>=ROUNDDOWN({0},0)</f>
      </c>
      <c r="AK2795" s="5"/>
      <c r="AL2795" s="2" t="s">
        <v>231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231</v>
      </c>
      <c r="AW2795" s="8" t="s">
        <v>231</v>
      </c>
      <c r="AX2795" s="4" t="s">
        <v>231</v>
      </c>
      <c r="AY2795" s="8" t="s">
        <v>231</v>
      </c>
      <c r="AZ2795" s="7" t="s">
        <v>231</v>
      </c>
      <c r="BA2795" s="7" t="s">
        <v>231</v>
      </c>
      <c r="BB2795" s="7"/>
      <c r="BC2795" s="4" t="s">
        <v>231</v>
      </c>
      <c r="BD2795" s="8" t="s">
        <v>231</v>
      </c>
      <c r="BE2795" s="4" t="s">
        <v>231</v>
      </c>
      <c r="BF2795" s="8" t="s">
        <v>231</v>
      </c>
      <c r="BG2795" s="7" t="s">
        <v>231</v>
      </c>
      <c r="BH2795" s="7" t="s">
        <v>231</v>
      </c>
      <c r="BI2795" s="7"/>
      <c r="BJ2795" s="4"/>
      <c r="BK2795" s="8"/>
      <c r="BL2795" s="2" t="s">
        <v>231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11850</v>
      </c>
      <c r="BV2795" s="2" t="s">
        <v>231</v>
      </c>
      <c r="BW2795" s="2" t="s">
        <v>231</v>
      </c>
      <c r="BX2795" s="2" t="s">
        <v>241</v>
      </c>
      <c r="BY2795" s="2" t="s">
        <v>277</v>
      </c>
      <c r="BZ2795" s="2" t="s">
        <v>243</v>
      </c>
      <c r="CA2795" s="2" t="s">
        <v>9506</v>
      </c>
      <c r="CB2795" s="2" t="s">
        <v>231</v>
      </c>
      <c r="CC2795" s="2" t="s">
        <v>244</v>
      </c>
      <c r="CD2795" s="2" t="s">
        <v>231</v>
      </c>
      <c r="CE2795" s="4">
        <v>24</v>
      </c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4"/>
      <c r="CX2795" s="4"/>
      <c r="CY2795" s="4"/>
      <c r="CZ2795" s="4"/>
      <c r="DA2795" s="4"/>
      <c r="DB2795" s="4"/>
      <c r="DC2795" s="4"/>
      <c r="DD2795" s="4"/>
      <c r="DE2795" s="4"/>
      <c r="DF2795" s="4"/>
      <c r="DG2795" s="4"/>
      <c r="DH2795" s="4"/>
      <c r="DI2795" s="4"/>
      <c r="DJ2795" s="4"/>
      <c r="DK2795" s="4"/>
      <c r="DL2795" s="4"/>
      <c r="DM2795" s="4"/>
      <c r="DN2795" s="4"/>
      <c r="DO2795" s="4"/>
      <c r="DP2795" s="4"/>
      <c r="DQ2795" s="4"/>
      <c r="DR2795" s="4"/>
      <c r="DS2795" s="4"/>
      <c r="DT2795" s="4"/>
      <c r="DU2795" s="4"/>
      <c r="DV2795" s="4"/>
      <c r="DW2795" s="4"/>
      <c r="DX2795" s="4"/>
      <c r="DY2795" s="4"/>
      <c r="DZ2795" s="4"/>
      <c r="EA2795" s="4"/>
      <c r="EB2795" s="4"/>
      <c r="EC2795" s="4"/>
      <c r="ED2795" s="4"/>
      <c r="EE2795" s="4"/>
      <c r="EF2795" s="4"/>
      <c r="EG2795" s="4"/>
      <c r="EH2795" s="4"/>
      <c r="EI2795" s="4"/>
      <c r="EJ2795" s="4"/>
      <c r="EK2795" s="4"/>
      <c r="EL2795" s="4"/>
      <c r="EM2795" s="4"/>
      <c r="EN2795" s="4"/>
      <c r="EO2795" s="4"/>
      <c r="EP2795" s="4"/>
      <c r="EQ2795" s="4"/>
      <c r="ER2795" s="4"/>
      <c r="ES2795" s="4"/>
      <c r="ET2795" s="4"/>
      <c r="EU2795" s="4"/>
      <c r="EV2795" s="4"/>
      <c r="EW2795" s="4">
        <v>260</v>
      </c>
      <c r="EX2795" s="4"/>
      <c r="EY2795" s="4"/>
      <c r="EZ2795" s="4"/>
      <c r="FA2795" s="4"/>
      <c r="FB2795" s="4"/>
      <c r="FC2795" s="4"/>
      <c r="FD2795" s="4"/>
      <c r="FE2795" s="4"/>
      <c r="FF2795" s="4"/>
      <c r="FG2795" s="4"/>
      <c r="FH2795" s="4"/>
      <c r="FI2795" s="4"/>
      <c r="FJ2795" s="4"/>
      <c r="FK2795" s="4"/>
      <c r="FL2795" s="4"/>
      <c r="FM2795" s="4"/>
      <c r="FN2795" s="4"/>
      <c r="FO2795" s="4"/>
      <c r="FP2795" s="4"/>
      <c r="FQ2795" s="4"/>
      <c r="FR2795" s="4"/>
      <c r="FS2795" s="4"/>
      <c r="FT2795" s="4"/>
      <c r="FU2795" s="4"/>
      <c r="FV2795" s="4"/>
      <c r="FW2795" s="4"/>
      <c r="FX2795" s="4"/>
      <c r="FY2795" s="4"/>
      <c r="FZ2795" s="4"/>
      <c r="GA2795" s="4"/>
      <c r="GB2795" s="4"/>
      <c r="GC2795" s="4"/>
      <c r="GD2795" s="4"/>
      <c r="GE2795" s="4"/>
      <c r="GF2795" s="4"/>
      <c r="GG2795" s="4"/>
      <c r="GH2795" s="4"/>
      <c r="GI2795" s="4"/>
      <c r="GJ2795" s="4"/>
      <c r="GK2795" s="4"/>
      <c r="GL2795" s="4"/>
      <c r="GM2795" s="4"/>
      <c r="GN2795" s="4"/>
      <c r="GO2795" s="4"/>
      <c r="GP2795" s="4"/>
      <c r="GQ2795" s="4"/>
      <c r="GR2795" s="4"/>
      <c r="GS2795" s="4"/>
      <c r="GT2795" s="4"/>
      <c r="GU2795" s="4"/>
      <c r="GV2795" s="4"/>
      <c r="GW2795" s="4"/>
      <c r="GX2795" s="4"/>
      <c r="GY2795" s="4"/>
      <c r="GZ2795" s="4"/>
      <c r="HA2795" s="4"/>
      <c r="HB2795" s="4"/>
      <c r="HC2795" s="4"/>
      <c r="HD2795" s="4"/>
      <c r="HE2795" s="4"/>
      <c r="HF2795" s="4"/>
      <c r="HG2795" s="4"/>
      <c r="HH2795" s="4"/>
      <c r="HI2795" s="4"/>
      <c r="HJ2795" s="4"/>
      <c r="HK2795" s="4"/>
      <c r="HL2795" s="4"/>
    </row>
    <row r="2796">
      <c r="A2796" s="2" t="s">
        <v>11851</v>
      </c>
      <c r="B2796" s="2" t="s">
        <v>262</v>
      </c>
      <c r="C2796" s="2" t="s">
        <v>288</v>
      </c>
      <c r="D2796" s="2" t="s">
        <v>458</v>
      </c>
      <c r="E2796" s="2" t="s">
        <v>10793</v>
      </c>
      <c r="F2796" s="2" t="s">
        <v>11847</v>
      </c>
      <c r="G2796" s="2" t="s">
        <v>11847</v>
      </c>
      <c r="H2796" s="2" t="s">
        <v>11847</v>
      </c>
      <c r="I2796" s="2" t="s">
        <v>11852</v>
      </c>
      <c r="J2796" s="2" t="s">
        <v>302</v>
      </c>
      <c r="K2796" s="2" t="s">
        <v>1146</v>
      </c>
      <c r="L2796" s="3">
        <v>15</v>
      </c>
      <c r="M2796" s="3">
        <v>15.75</v>
      </c>
      <c r="N2796" s="3">
        <v>34.99</v>
      </c>
      <c r="O2796" s="2" t="s">
        <v>243</v>
      </c>
      <c r="P2796" s="2" t="s">
        <v>236</v>
      </c>
      <c r="Q2796" s="2" t="s">
        <v>237</v>
      </c>
      <c r="R2796" s="2" t="s">
        <v>231</v>
      </c>
      <c r="S2796" s="2" t="s">
        <v>11853</v>
      </c>
      <c r="T2796" s="2" t="s">
        <v>472</v>
      </c>
      <c r="U2796" s="2" t="s">
        <v>327</v>
      </c>
      <c r="V2796" s="2" t="s">
        <v>239</v>
      </c>
      <c r="W2796" s="2" t="s">
        <v>273</v>
      </c>
      <c r="X2796" s="2" t="s">
        <v>299</v>
      </c>
      <c r="Y2796" s="2" t="s">
        <v>2279</v>
      </c>
      <c r="Z2796" s="4"/>
      <c r="AA2796" s="4">
        <f>=ROUNDDOWN({0},0)</f>
      </c>
      <c r="AB2796" s="5"/>
      <c r="AC2796" s="2" t="s">
        <v>231</v>
      </c>
      <c r="AD2796" s="4"/>
      <c r="AE2796" s="4"/>
      <c r="AF2796" s="6">
        <v>65</v>
      </c>
      <c r="AG2796" s="6"/>
      <c r="AH2796" s="7">
        <v>0</v>
      </c>
      <c r="AI2796" s="4"/>
      <c r="AJ2796" s="4">
        <f>=ROUNDDOWN({0},0)</f>
      </c>
      <c r="AK2796" s="5"/>
      <c r="AL2796" s="2" t="s">
        <v>231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231</v>
      </c>
      <c r="AW2796" s="8" t="s">
        <v>231</v>
      </c>
      <c r="AX2796" s="4" t="s">
        <v>231</v>
      </c>
      <c r="AY2796" s="8" t="s">
        <v>231</v>
      </c>
      <c r="AZ2796" s="7" t="s">
        <v>231</v>
      </c>
      <c r="BA2796" s="7" t="s">
        <v>231</v>
      </c>
      <c r="BB2796" s="7"/>
      <c r="BC2796" s="4" t="s">
        <v>231</v>
      </c>
      <c r="BD2796" s="8" t="s">
        <v>231</v>
      </c>
      <c r="BE2796" s="4" t="s">
        <v>231</v>
      </c>
      <c r="BF2796" s="8" t="s">
        <v>231</v>
      </c>
      <c r="BG2796" s="7" t="s">
        <v>231</v>
      </c>
      <c r="BH2796" s="7" t="s">
        <v>231</v>
      </c>
      <c r="BI2796" s="7"/>
      <c r="BJ2796" s="4"/>
      <c r="BK2796" s="8"/>
      <c r="BL2796" s="2" t="s">
        <v>231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241</v>
      </c>
      <c r="BV2796" s="2" t="s">
        <v>231</v>
      </c>
      <c r="BW2796" s="2" t="s">
        <v>231</v>
      </c>
      <c r="BX2796" s="2" t="s">
        <v>241</v>
      </c>
      <c r="BY2796" s="2" t="s">
        <v>242</v>
      </c>
      <c r="BZ2796" s="2" t="s">
        <v>243</v>
      </c>
      <c r="CA2796" s="2" t="s">
        <v>231</v>
      </c>
      <c r="CB2796" s="2" t="s">
        <v>231</v>
      </c>
      <c r="CC2796" s="2" t="s">
        <v>244</v>
      </c>
      <c r="CD2796" s="2" t="s">
        <v>231</v>
      </c>
      <c r="CE2796" s="4"/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4"/>
      <c r="CX2796" s="4"/>
      <c r="CY2796" s="4"/>
      <c r="CZ2796" s="4"/>
      <c r="DA2796" s="4"/>
      <c r="DB2796" s="4"/>
      <c r="DC2796" s="4"/>
      <c r="DD2796" s="4"/>
      <c r="DE2796" s="4"/>
      <c r="DF2796" s="4"/>
      <c r="DG2796" s="4"/>
      <c r="DH2796" s="4"/>
      <c r="DI2796" s="4"/>
      <c r="DJ2796" s="4"/>
      <c r="DK2796" s="4"/>
      <c r="DL2796" s="4"/>
      <c r="DM2796" s="4"/>
      <c r="DN2796" s="4"/>
      <c r="DO2796" s="4"/>
      <c r="DP2796" s="4"/>
      <c r="DQ2796" s="4"/>
      <c r="DR2796" s="4"/>
      <c r="DS2796" s="4"/>
      <c r="DT2796" s="4"/>
      <c r="DU2796" s="4"/>
      <c r="DV2796" s="4"/>
      <c r="DW2796" s="4"/>
      <c r="DX2796" s="4"/>
      <c r="DY2796" s="4"/>
      <c r="DZ2796" s="4"/>
      <c r="EA2796" s="4"/>
      <c r="EB2796" s="4"/>
      <c r="EC2796" s="4"/>
      <c r="ED2796" s="4"/>
      <c r="EE2796" s="4"/>
      <c r="EF2796" s="4"/>
      <c r="EG2796" s="4"/>
      <c r="EH2796" s="4"/>
      <c r="EI2796" s="4"/>
      <c r="EJ2796" s="4"/>
      <c r="EK2796" s="4"/>
      <c r="EL2796" s="4"/>
      <c r="EM2796" s="4"/>
      <c r="EN2796" s="4"/>
      <c r="EO2796" s="4"/>
      <c r="EP2796" s="4"/>
      <c r="EQ2796" s="4"/>
      <c r="ER2796" s="4"/>
      <c r="ES2796" s="4"/>
      <c r="ET2796" s="4"/>
      <c r="EU2796" s="4"/>
      <c r="EV2796" s="4"/>
      <c r="EW2796" s="4"/>
      <c r="EX2796" s="4"/>
      <c r="EY2796" s="4"/>
      <c r="EZ2796" s="4"/>
      <c r="FA2796" s="4"/>
      <c r="FB2796" s="4"/>
      <c r="FC2796" s="4"/>
      <c r="FD2796" s="4"/>
      <c r="FE2796" s="4"/>
      <c r="FF2796" s="4"/>
      <c r="FG2796" s="4"/>
      <c r="FH2796" s="4"/>
      <c r="FI2796" s="4"/>
      <c r="FJ2796" s="4"/>
      <c r="FK2796" s="4"/>
      <c r="FL2796" s="4"/>
      <c r="FM2796" s="4"/>
      <c r="FN2796" s="4"/>
      <c r="FO2796" s="4"/>
      <c r="FP2796" s="4"/>
      <c r="FQ2796" s="4"/>
      <c r="FR2796" s="4"/>
      <c r="FS2796" s="4"/>
      <c r="FT2796" s="4"/>
      <c r="FU2796" s="4"/>
      <c r="FV2796" s="4"/>
      <c r="FW2796" s="4"/>
      <c r="FX2796" s="4"/>
      <c r="FY2796" s="4"/>
      <c r="FZ2796" s="4"/>
      <c r="GA2796" s="4"/>
      <c r="GB2796" s="4"/>
      <c r="GC2796" s="4"/>
      <c r="GD2796" s="4"/>
      <c r="GE2796" s="4"/>
      <c r="GF2796" s="4"/>
      <c r="GG2796" s="4"/>
      <c r="GH2796" s="4"/>
      <c r="GI2796" s="4"/>
      <c r="GJ2796" s="4"/>
      <c r="GK2796" s="4"/>
      <c r="GL2796" s="4"/>
      <c r="GM2796" s="4"/>
      <c r="GN2796" s="4"/>
      <c r="GO2796" s="4"/>
      <c r="GP2796" s="4"/>
      <c r="GQ2796" s="4"/>
      <c r="GR2796" s="4"/>
      <c r="GS2796" s="4"/>
      <c r="GT2796" s="4"/>
      <c r="GU2796" s="4"/>
      <c r="GV2796" s="4"/>
      <c r="GW2796" s="4"/>
      <c r="GX2796" s="4"/>
      <c r="GY2796" s="4"/>
      <c r="GZ2796" s="4"/>
      <c r="HA2796" s="4"/>
      <c r="HB2796" s="4"/>
      <c r="HC2796" s="4"/>
      <c r="HD2796" s="4"/>
      <c r="HE2796" s="4"/>
      <c r="HF2796" s="4"/>
      <c r="HG2796" s="4"/>
      <c r="HH2796" s="4"/>
      <c r="HI2796" s="4"/>
      <c r="HJ2796" s="4"/>
      <c r="HK2796" s="4"/>
      <c r="HL2796" s="4"/>
    </row>
    <row r="2797">
      <c r="A2797" s="2" t="s">
        <v>11854</v>
      </c>
      <c r="B2797" s="2" t="s">
        <v>262</v>
      </c>
      <c r="C2797" s="2" t="s">
        <v>288</v>
      </c>
      <c r="D2797" s="2" t="s">
        <v>654</v>
      </c>
      <c r="E2797" s="2" t="s">
        <v>1212</v>
      </c>
      <c r="F2797" s="2" t="s">
        <v>11847</v>
      </c>
      <c r="G2797" s="2" t="s">
        <v>11847</v>
      </c>
      <c r="H2797" s="2" t="s">
        <v>11847</v>
      </c>
      <c r="I2797" s="2" t="s">
        <v>11848</v>
      </c>
      <c r="J2797" s="2" t="s">
        <v>669</v>
      </c>
      <c r="K2797" s="2" t="s">
        <v>1146</v>
      </c>
      <c r="L2797" s="3">
        <v>64.38</v>
      </c>
      <c r="M2797" s="3">
        <v>67.6</v>
      </c>
      <c r="N2797" s="3">
        <v>129.99</v>
      </c>
      <c r="O2797" s="2" t="s">
        <v>243</v>
      </c>
      <c r="P2797" s="2" t="s">
        <v>236</v>
      </c>
      <c r="Q2797" s="2" t="s">
        <v>237</v>
      </c>
      <c r="R2797" s="2" t="s">
        <v>231</v>
      </c>
      <c r="S2797" s="2" t="s">
        <v>11849</v>
      </c>
      <c r="T2797" s="2" t="s">
        <v>472</v>
      </c>
      <c r="U2797" s="2" t="s">
        <v>327</v>
      </c>
      <c r="V2797" s="2" t="s">
        <v>239</v>
      </c>
      <c r="W2797" s="2" t="s">
        <v>273</v>
      </c>
      <c r="X2797" s="2" t="s">
        <v>299</v>
      </c>
      <c r="Y2797" s="2" t="s">
        <v>2279</v>
      </c>
      <c r="Z2797" s="4">
        <v>36</v>
      </c>
      <c r="AA2797" s="4">
        <f>=ROUNDDOWN({0},0)</f>
      </c>
      <c r="AB2797" s="5"/>
      <c r="AC2797" s="2" t="s">
        <v>2082</v>
      </c>
      <c r="AD2797" s="4">
        <v>300</v>
      </c>
      <c r="AE2797" s="4">
        <v>300</v>
      </c>
      <c r="AF2797" s="6">
        <v>65</v>
      </c>
      <c r="AG2797" s="6"/>
      <c r="AH2797" s="7">
        <v>0</v>
      </c>
      <c r="AI2797" s="4"/>
      <c r="AJ2797" s="4">
        <f>=ROUNDDOWN({0},0)</f>
      </c>
      <c r="AK2797" s="5"/>
      <c r="AL2797" s="2" t="s">
        <v>231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231</v>
      </c>
      <c r="AW2797" s="8" t="s">
        <v>231</v>
      </c>
      <c r="AX2797" s="4" t="s">
        <v>231</v>
      </c>
      <c r="AY2797" s="8" t="s">
        <v>231</v>
      </c>
      <c r="AZ2797" s="7" t="s">
        <v>231</v>
      </c>
      <c r="BA2797" s="7" t="s">
        <v>231</v>
      </c>
      <c r="BB2797" s="7"/>
      <c r="BC2797" s="4" t="s">
        <v>231</v>
      </c>
      <c r="BD2797" s="8" t="s">
        <v>231</v>
      </c>
      <c r="BE2797" s="4" t="s">
        <v>231</v>
      </c>
      <c r="BF2797" s="8" t="s">
        <v>231</v>
      </c>
      <c r="BG2797" s="7" t="s">
        <v>231</v>
      </c>
      <c r="BH2797" s="7" t="s">
        <v>231</v>
      </c>
      <c r="BI2797" s="7"/>
      <c r="BJ2797" s="4"/>
      <c r="BK2797" s="8"/>
      <c r="BL2797" s="2" t="s">
        <v>231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11855</v>
      </c>
      <c r="BV2797" s="2" t="s">
        <v>231</v>
      </c>
      <c r="BW2797" s="2" t="s">
        <v>231</v>
      </c>
      <c r="BX2797" s="2" t="s">
        <v>241</v>
      </c>
      <c r="BY2797" s="2" t="s">
        <v>277</v>
      </c>
      <c r="BZ2797" s="2" t="s">
        <v>243</v>
      </c>
      <c r="CA2797" s="2" t="s">
        <v>9506</v>
      </c>
      <c r="CB2797" s="2" t="s">
        <v>231</v>
      </c>
      <c r="CC2797" s="2" t="s">
        <v>244</v>
      </c>
      <c r="CD2797" s="2" t="s">
        <v>231</v>
      </c>
      <c r="CE2797" s="4">
        <v>36</v>
      </c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4"/>
      <c r="CX2797" s="4"/>
      <c r="CY2797" s="4"/>
      <c r="CZ2797" s="4"/>
      <c r="DA2797" s="4"/>
      <c r="DB2797" s="4"/>
      <c r="DC2797" s="4"/>
      <c r="DD2797" s="4"/>
      <c r="DE2797" s="4"/>
      <c r="DF2797" s="4"/>
      <c r="DG2797" s="4"/>
      <c r="DH2797" s="4"/>
      <c r="DI2797" s="4"/>
      <c r="DJ2797" s="4"/>
      <c r="DK2797" s="4"/>
      <c r="DL2797" s="4"/>
      <c r="DM2797" s="4"/>
      <c r="DN2797" s="4"/>
      <c r="DO2797" s="4"/>
      <c r="DP2797" s="4"/>
      <c r="DQ2797" s="4"/>
      <c r="DR2797" s="4"/>
      <c r="DS2797" s="4"/>
      <c r="DT2797" s="4"/>
      <c r="DU2797" s="4"/>
      <c r="DV2797" s="4"/>
      <c r="DW2797" s="4"/>
      <c r="DX2797" s="4"/>
      <c r="DY2797" s="4"/>
      <c r="DZ2797" s="4"/>
      <c r="EA2797" s="4"/>
      <c r="EB2797" s="4"/>
      <c r="EC2797" s="4"/>
      <c r="ED2797" s="4"/>
      <c r="EE2797" s="4"/>
      <c r="EF2797" s="4"/>
      <c r="EG2797" s="4"/>
      <c r="EH2797" s="4"/>
      <c r="EI2797" s="4"/>
      <c r="EJ2797" s="4"/>
      <c r="EK2797" s="4"/>
      <c r="EL2797" s="4"/>
      <c r="EM2797" s="4"/>
      <c r="EN2797" s="4"/>
      <c r="EO2797" s="4"/>
      <c r="EP2797" s="4"/>
      <c r="EQ2797" s="4"/>
      <c r="ER2797" s="4"/>
      <c r="ES2797" s="4"/>
      <c r="ET2797" s="4"/>
      <c r="EU2797" s="4"/>
      <c r="EV2797" s="4"/>
      <c r="EW2797" s="4">
        <v>300</v>
      </c>
      <c r="EX2797" s="4"/>
      <c r="EY2797" s="4"/>
      <c r="EZ2797" s="4"/>
      <c r="FA2797" s="4"/>
      <c r="FB2797" s="4"/>
      <c r="FC2797" s="4"/>
      <c r="FD2797" s="4"/>
      <c r="FE2797" s="4"/>
      <c r="FF2797" s="4"/>
      <c r="FG2797" s="4"/>
      <c r="FH2797" s="4"/>
      <c r="FI2797" s="4"/>
      <c r="FJ2797" s="4"/>
      <c r="FK2797" s="4"/>
      <c r="FL2797" s="4"/>
      <c r="FM2797" s="4"/>
      <c r="FN2797" s="4"/>
      <c r="FO2797" s="4"/>
      <c r="FP2797" s="4"/>
      <c r="FQ2797" s="4"/>
      <c r="FR2797" s="4"/>
      <c r="FS2797" s="4"/>
      <c r="FT2797" s="4"/>
      <c r="FU2797" s="4"/>
      <c r="FV2797" s="4"/>
      <c r="FW2797" s="4"/>
      <c r="FX2797" s="4"/>
      <c r="FY2797" s="4"/>
      <c r="FZ2797" s="4"/>
      <c r="GA2797" s="4"/>
      <c r="GB2797" s="4"/>
      <c r="GC2797" s="4"/>
      <c r="GD2797" s="4"/>
      <c r="GE2797" s="4"/>
      <c r="GF2797" s="4"/>
      <c r="GG2797" s="4"/>
      <c r="GH2797" s="4"/>
      <c r="GI2797" s="4"/>
      <c r="GJ2797" s="4"/>
      <c r="GK2797" s="4"/>
      <c r="GL2797" s="4"/>
      <c r="GM2797" s="4"/>
      <c r="GN2797" s="4"/>
      <c r="GO2797" s="4"/>
      <c r="GP2797" s="4"/>
      <c r="GQ2797" s="4"/>
      <c r="GR2797" s="4"/>
      <c r="GS2797" s="4"/>
      <c r="GT2797" s="4"/>
      <c r="GU2797" s="4"/>
      <c r="GV2797" s="4"/>
      <c r="GW2797" s="4"/>
      <c r="GX2797" s="4"/>
      <c r="GY2797" s="4"/>
      <c r="GZ2797" s="4"/>
      <c r="HA2797" s="4"/>
      <c r="HB2797" s="4"/>
      <c r="HC2797" s="4"/>
      <c r="HD2797" s="4"/>
      <c r="HE2797" s="4"/>
      <c r="HF2797" s="4"/>
      <c r="HG2797" s="4"/>
      <c r="HH2797" s="4"/>
      <c r="HI2797" s="4"/>
      <c r="HJ2797" s="4"/>
      <c r="HK2797" s="4"/>
      <c r="HL2797" s="4"/>
    </row>
    <row r="2798">
      <c r="A2798" s="2" t="s">
        <v>11856</v>
      </c>
      <c r="B2798" s="2" t="s">
        <v>262</v>
      </c>
      <c r="C2798" s="2" t="s">
        <v>288</v>
      </c>
      <c r="D2798" s="2" t="s">
        <v>458</v>
      </c>
      <c r="E2798" s="2" t="s">
        <v>10793</v>
      </c>
      <c r="F2798" s="2" t="s">
        <v>11847</v>
      </c>
      <c r="G2798" s="2" t="s">
        <v>11847</v>
      </c>
      <c r="H2798" s="2" t="s">
        <v>11847</v>
      </c>
      <c r="I2798" s="2" t="s">
        <v>11852</v>
      </c>
      <c r="J2798" s="2" t="s">
        <v>8282</v>
      </c>
      <c r="K2798" s="2" t="s">
        <v>1146</v>
      </c>
      <c r="L2798" s="3">
        <v>13.71</v>
      </c>
      <c r="M2798" s="3">
        <v>14.4</v>
      </c>
      <c r="N2798" s="3">
        <v>31.99</v>
      </c>
      <c r="O2798" s="2" t="s">
        <v>243</v>
      </c>
      <c r="P2798" s="2" t="s">
        <v>236</v>
      </c>
      <c r="Q2798" s="2" t="s">
        <v>237</v>
      </c>
      <c r="R2798" s="2" t="s">
        <v>231</v>
      </c>
      <c r="S2798" s="2" t="s">
        <v>11853</v>
      </c>
      <c r="T2798" s="2" t="s">
        <v>472</v>
      </c>
      <c r="U2798" s="2" t="s">
        <v>327</v>
      </c>
      <c r="V2798" s="2" t="s">
        <v>239</v>
      </c>
      <c r="W2798" s="2" t="s">
        <v>273</v>
      </c>
      <c r="X2798" s="2" t="s">
        <v>299</v>
      </c>
      <c r="Y2798" s="2" t="s">
        <v>2279</v>
      </c>
      <c r="Z2798" s="4"/>
      <c r="AA2798" s="4">
        <f>=ROUNDDOWN({0},0)</f>
      </c>
      <c r="AB2798" s="5"/>
      <c r="AC2798" s="2" t="s">
        <v>231</v>
      </c>
      <c r="AD2798" s="4"/>
      <c r="AE2798" s="4"/>
      <c r="AF2798" s="6">
        <v>65</v>
      </c>
      <c r="AG2798" s="6"/>
      <c r="AH2798" s="7">
        <v>0</v>
      </c>
      <c r="AI2798" s="4"/>
      <c r="AJ2798" s="4">
        <f>=ROUNDDOWN({0},0)</f>
      </c>
      <c r="AK2798" s="5"/>
      <c r="AL2798" s="2" t="s">
        <v>231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231</v>
      </c>
      <c r="AW2798" s="8" t="s">
        <v>231</v>
      </c>
      <c r="AX2798" s="4" t="s">
        <v>231</v>
      </c>
      <c r="AY2798" s="8" t="s">
        <v>231</v>
      </c>
      <c r="AZ2798" s="7" t="s">
        <v>231</v>
      </c>
      <c r="BA2798" s="7" t="s">
        <v>231</v>
      </c>
      <c r="BB2798" s="7"/>
      <c r="BC2798" s="4" t="s">
        <v>231</v>
      </c>
      <c r="BD2798" s="8" t="s">
        <v>231</v>
      </c>
      <c r="BE2798" s="4" t="s">
        <v>231</v>
      </c>
      <c r="BF2798" s="8" t="s">
        <v>231</v>
      </c>
      <c r="BG2798" s="7" t="s">
        <v>231</v>
      </c>
      <c r="BH2798" s="7" t="s">
        <v>231</v>
      </c>
      <c r="BI2798" s="7"/>
      <c r="BJ2798" s="4"/>
      <c r="BK2798" s="8"/>
      <c r="BL2798" s="2" t="s">
        <v>231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241</v>
      </c>
      <c r="BV2798" s="2" t="s">
        <v>231</v>
      </c>
      <c r="BW2798" s="2" t="s">
        <v>231</v>
      </c>
      <c r="BX2798" s="2" t="s">
        <v>241</v>
      </c>
      <c r="BY2798" s="2" t="s">
        <v>242</v>
      </c>
      <c r="BZ2798" s="2" t="s">
        <v>243</v>
      </c>
      <c r="CA2798" s="2" t="s">
        <v>231</v>
      </c>
      <c r="CB2798" s="2" t="s">
        <v>231</v>
      </c>
      <c r="CC2798" s="2" t="s">
        <v>244</v>
      </c>
      <c r="CD2798" s="2" t="s">
        <v>231</v>
      </c>
      <c r="CE2798" s="4"/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4"/>
      <c r="CX2798" s="4"/>
      <c r="CY2798" s="4"/>
      <c r="CZ2798" s="4"/>
      <c r="DA2798" s="4"/>
      <c r="DB2798" s="4"/>
      <c r="DC2798" s="4"/>
      <c r="DD2798" s="4"/>
      <c r="DE2798" s="4"/>
      <c r="DF2798" s="4"/>
      <c r="DG2798" s="4"/>
      <c r="DH2798" s="4"/>
      <c r="DI2798" s="4"/>
      <c r="DJ2798" s="4"/>
      <c r="DK2798" s="4"/>
      <c r="DL2798" s="4"/>
      <c r="DM2798" s="4"/>
      <c r="DN2798" s="4"/>
      <c r="DO2798" s="4"/>
      <c r="DP2798" s="4"/>
      <c r="DQ2798" s="4"/>
      <c r="DR2798" s="4"/>
      <c r="DS2798" s="4"/>
      <c r="DT2798" s="4"/>
      <c r="DU2798" s="4"/>
      <c r="DV2798" s="4"/>
      <c r="DW2798" s="4"/>
      <c r="DX2798" s="4"/>
      <c r="DY2798" s="4"/>
      <c r="DZ2798" s="4"/>
      <c r="EA2798" s="4"/>
      <c r="EB2798" s="4"/>
      <c r="EC2798" s="4"/>
      <c r="ED2798" s="4"/>
      <c r="EE2798" s="4"/>
      <c r="EF2798" s="4"/>
      <c r="EG2798" s="4"/>
      <c r="EH2798" s="4"/>
      <c r="EI2798" s="4"/>
      <c r="EJ2798" s="4"/>
      <c r="EK2798" s="4"/>
      <c r="EL2798" s="4"/>
      <c r="EM2798" s="4"/>
      <c r="EN2798" s="4"/>
      <c r="EO2798" s="4"/>
      <c r="EP2798" s="4"/>
      <c r="EQ2798" s="4"/>
      <c r="ER2798" s="4"/>
      <c r="ES2798" s="4"/>
      <c r="ET2798" s="4"/>
      <c r="EU2798" s="4"/>
      <c r="EV2798" s="4"/>
      <c r="EW2798" s="4"/>
      <c r="EX2798" s="4"/>
      <c r="EY2798" s="4"/>
      <c r="EZ2798" s="4"/>
      <c r="FA2798" s="4"/>
      <c r="FB2798" s="4"/>
      <c r="FC2798" s="4"/>
      <c r="FD2798" s="4"/>
      <c r="FE2798" s="4"/>
      <c r="FF2798" s="4"/>
      <c r="FG2798" s="4"/>
      <c r="FH2798" s="4"/>
      <c r="FI2798" s="4"/>
      <c r="FJ2798" s="4"/>
      <c r="FK2798" s="4"/>
      <c r="FL2798" s="4"/>
      <c r="FM2798" s="4"/>
      <c r="FN2798" s="4"/>
      <c r="FO2798" s="4"/>
      <c r="FP2798" s="4"/>
      <c r="FQ2798" s="4"/>
      <c r="FR2798" s="4"/>
      <c r="FS2798" s="4"/>
      <c r="FT2798" s="4"/>
      <c r="FU2798" s="4"/>
      <c r="FV2798" s="4"/>
      <c r="FW2798" s="4"/>
      <c r="FX2798" s="4"/>
      <c r="FY2798" s="4"/>
      <c r="FZ2798" s="4"/>
      <c r="GA2798" s="4"/>
      <c r="GB2798" s="4"/>
      <c r="GC2798" s="4"/>
      <c r="GD2798" s="4"/>
      <c r="GE2798" s="4"/>
      <c r="GF2798" s="4"/>
      <c r="GG2798" s="4"/>
      <c r="GH2798" s="4"/>
      <c r="GI2798" s="4"/>
      <c r="GJ2798" s="4"/>
      <c r="GK2798" s="4"/>
      <c r="GL2798" s="4"/>
      <c r="GM2798" s="4"/>
      <c r="GN2798" s="4"/>
      <c r="GO2798" s="4"/>
      <c r="GP2798" s="4"/>
      <c r="GQ2798" s="4"/>
      <c r="GR2798" s="4"/>
      <c r="GS2798" s="4"/>
      <c r="GT2798" s="4"/>
      <c r="GU2798" s="4"/>
      <c r="GV2798" s="4"/>
      <c r="GW2798" s="4"/>
      <c r="GX2798" s="4"/>
      <c r="GY2798" s="4"/>
      <c r="GZ2798" s="4"/>
      <c r="HA2798" s="4"/>
      <c r="HB2798" s="4"/>
      <c r="HC2798" s="4"/>
      <c r="HD2798" s="4"/>
      <c r="HE2798" s="4"/>
      <c r="HF2798" s="4"/>
      <c r="HG2798" s="4"/>
      <c r="HH2798" s="4"/>
      <c r="HI2798" s="4"/>
      <c r="HJ2798" s="4"/>
      <c r="HK2798" s="4"/>
      <c r="HL2798" s="4"/>
    </row>
    <row r="2799">
      <c r="A2799" s="2" t="s">
        <v>11857</v>
      </c>
      <c r="B2799" s="2" t="s">
        <v>847</v>
      </c>
      <c r="C2799" s="2" t="s">
        <v>288</v>
      </c>
      <c r="D2799" s="2" t="s">
        <v>882</v>
      </c>
      <c r="E2799" s="2" t="s">
        <v>2191</v>
      </c>
      <c r="F2799" s="2" t="s">
        <v>11858</v>
      </c>
      <c r="G2799" s="2" t="s">
        <v>11858</v>
      </c>
      <c r="H2799" s="2" t="s">
        <v>11858</v>
      </c>
      <c r="I2799" s="2" t="s">
        <v>11859</v>
      </c>
      <c r="J2799" s="2" t="s">
        <v>807</v>
      </c>
      <c r="K2799" s="2" t="s">
        <v>253</v>
      </c>
      <c r="L2799" s="3">
        <v>68.02</v>
      </c>
      <c r="M2799" s="3">
        <v>71.42</v>
      </c>
      <c r="N2799" s="3">
        <v>146.99</v>
      </c>
      <c r="O2799" s="2" t="s">
        <v>250</v>
      </c>
      <c r="P2799" s="2" t="s">
        <v>341</v>
      </c>
      <c r="Q2799" s="2" t="s">
        <v>237</v>
      </c>
      <c r="R2799" s="2" t="s">
        <v>231</v>
      </c>
      <c r="S2799" s="2" t="s">
        <v>11860</v>
      </c>
      <c r="T2799" s="2" t="s">
        <v>231</v>
      </c>
      <c r="U2799" s="2" t="s">
        <v>835</v>
      </c>
      <c r="V2799" s="2" t="s">
        <v>836</v>
      </c>
      <c r="W2799" s="2" t="s">
        <v>299</v>
      </c>
      <c r="X2799" s="2" t="s">
        <v>11861</v>
      </c>
      <c r="Y2799" s="2" t="s">
        <v>11862</v>
      </c>
      <c r="Z2799" s="4">
        <v>25</v>
      </c>
      <c r="AA2799" s="4">
        <f>=ROUNDDOWN(20.8333333333333,0)</f>
      </c>
      <c r="AB2799" s="5">
        <v>1.2</v>
      </c>
      <c r="AC2799" s="2" t="s">
        <v>231</v>
      </c>
      <c r="AD2799" s="4"/>
      <c r="AE2799" s="4"/>
      <c r="AF2799" s="6">
        <v>63</v>
      </c>
      <c r="AG2799" s="6"/>
      <c r="AH2799" s="7">
        <v>1</v>
      </c>
      <c r="AI2799" s="4"/>
      <c r="AJ2799" s="4">
        <f>=ROUNDDOWN({0},0)</f>
      </c>
      <c r="AK2799" s="5"/>
      <c r="AL2799" s="2" t="s">
        <v>231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/>
      <c r="BD2799" s="8"/>
      <c r="BE2799" s="4"/>
      <c r="BF2799" s="8"/>
      <c r="BG2799" s="7"/>
      <c r="BH2799" s="7"/>
      <c r="BI2799" s="7"/>
      <c r="BJ2799" s="4">
        <v>8</v>
      </c>
      <c r="BK2799" s="8">
        <v>591.66</v>
      </c>
      <c r="BL2799" s="2" t="s">
        <v>11863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11864</v>
      </c>
      <c r="BV2799" s="2" t="s">
        <v>231</v>
      </c>
      <c r="BW2799" s="2" t="s">
        <v>231</v>
      </c>
      <c r="BX2799" s="2" t="s">
        <v>231</v>
      </c>
      <c r="BY2799" s="2" t="s">
        <v>277</v>
      </c>
      <c r="BZ2799" s="2" t="s">
        <v>243</v>
      </c>
      <c r="CA2799" s="2" t="s">
        <v>1343</v>
      </c>
      <c r="CB2799" s="2" t="s">
        <v>10085</v>
      </c>
      <c r="CC2799" s="2" t="s">
        <v>244</v>
      </c>
      <c r="CD2799" s="2" t="s">
        <v>231</v>
      </c>
      <c r="CE2799" s="4"/>
      <c r="CF2799" s="4">
        <v>25</v>
      </c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4"/>
      <c r="CX2799" s="4"/>
      <c r="CY2799" s="4"/>
      <c r="CZ2799" s="4"/>
      <c r="DA2799" s="4"/>
      <c r="DB2799" s="4"/>
      <c r="DC2799" s="4"/>
      <c r="DD2799" s="4"/>
      <c r="DE2799" s="4"/>
      <c r="DF2799" s="4"/>
      <c r="DG2799" s="4"/>
      <c r="DH2799" s="4"/>
      <c r="DI2799" s="4"/>
      <c r="DJ2799" s="4"/>
      <c r="DK2799" s="4"/>
      <c r="DL2799" s="4"/>
      <c r="DM2799" s="4"/>
      <c r="DN2799" s="4"/>
      <c r="DO2799" s="4"/>
      <c r="DP2799" s="4"/>
      <c r="DQ2799" s="4"/>
      <c r="DR2799" s="4"/>
      <c r="DS2799" s="4"/>
      <c r="DT2799" s="4"/>
      <c r="DU2799" s="4"/>
      <c r="DV2799" s="4"/>
      <c r="DW2799" s="4"/>
      <c r="DX2799" s="4"/>
      <c r="DY2799" s="4"/>
      <c r="DZ2799" s="4"/>
      <c r="EA2799" s="4"/>
      <c r="EB2799" s="4"/>
      <c r="EC2799" s="4"/>
      <c r="ED2799" s="4"/>
      <c r="EE2799" s="4"/>
      <c r="EF2799" s="4"/>
      <c r="EG2799" s="4"/>
      <c r="EH2799" s="4"/>
      <c r="EI2799" s="4"/>
      <c r="EJ2799" s="4"/>
      <c r="EK2799" s="4"/>
      <c r="EL2799" s="4"/>
      <c r="EM2799" s="4"/>
      <c r="EN2799" s="4"/>
      <c r="EO2799" s="4"/>
      <c r="EP2799" s="4"/>
      <c r="EQ2799" s="4"/>
      <c r="ER2799" s="4"/>
      <c r="ES2799" s="4"/>
      <c r="ET2799" s="4"/>
      <c r="EU2799" s="4"/>
      <c r="EV2799" s="4"/>
      <c r="EW2799" s="4"/>
      <c r="EX2799" s="4"/>
      <c r="EY2799" s="4"/>
      <c r="EZ2799" s="4"/>
      <c r="FA2799" s="4"/>
      <c r="FB2799" s="4"/>
      <c r="FC2799" s="4"/>
      <c r="FD2799" s="4"/>
      <c r="FE2799" s="4"/>
      <c r="FF2799" s="4"/>
      <c r="FG2799" s="4"/>
      <c r="FH2799" s="4"/>
      <c r="FI2799" s="4"/>
      <c r="FJ2799" s="4"/>
      <c r="FK2799" s="4"/>
      <c r="FL2799" s="4"/>
      <c r="FM2799" s="4"/>
      <c r="FN2799" s="4"/>
      <c r="FO2799" s="4"/>
      <c r="FP2799" s="4"/>
      <c r="FQ2799" s="4"/>
      <c r="FR2799" s="4"/>
      <c r="FS2799" s="4"/>
      <c r="FT2799" s="4"/>
      <c r="FU2799" s="4"/>
      <c r="FV2799" s="4"/>
      <c r="FW2799" s="4"/>
      <c r="FX2799" s="4"/>
      <c r="FY2799" s="4"/>
      <c r="FZ2799" s="4"/>
      <c r="GA2799" s="4"/>
      <c r="GB2799" s="4"/>
      <c r="GC2799" s="4"/>
      <c r="GD2799" s="4"/>
      <c r="GE2799" s="4"/>
      <c r="GF2799" s="4"/>
      <c r="GG2799" s="4"/>
      <c r="GH2799" s="4"/>
      <c r="GI2799" s="4"/>
      <c r="GJ2799" s="4"/>
      <c r="GK2799" s="4"/>
      <c r="GL2799" s="4"/>
      <c r="GM2799" s="4"/>
      <c r="GN2799" s="4"/>
      <c r="GO2799" s="4"/>
      <c r="GP2799" s="4"/>
      <c r="GQ2799" s="4"/>
      <c r="GR2799" s="4"/>
      <c r="GS2799" s="4"/>
      <c r="GT2799" s="4"/>
      <c r="GU2799" s="4"/>
      <c r="GV2799" s="4"/>
      <c r="GW2799" s="4"/>
      <c r="GX2799" s="4"/>
      <c r="GY2799" s="4"/>
      <c r="GZ2799" s="4"/>
      <c r="HA2799" s="4"/>
      <c r="HB2799" s="4"/>
      <c r="HC2799" s="4"/>
      <c r="HD2799" s="4"/>
      <c r="HE2799" s="4"/>
      <c r="HF2799" s="4"/>
      <c r="HG2799" s="4"/>
      <c r="HH2799" s="4"/>
      <c r="HI2799" s="4"/>
      <c r="HJ2799" s="4"/>
      <c r="HK2799" s="4"/>
      <c r="HL2799" s="4"/>
    </row>
    <row r="2800">
      <c r="A2800" s="2" t="s">
        <v>11865</v>
      </c>
      <c r="B2800" s="2" t="s">
        <v>1004</v>
      </c>
      <c r="C2800" s="2" t="s">
        <v>815</v>
      </c>
      <c r="D2800" s="2" t="s">
        <v>1912</v>
      </c>
      <c r="E2800" s="2" t="s">
        <v>1913</v>
      </c>
      <c r="F2800" s="2" t="s">
        <v>11866</v>
      </c>
      <c r="G2800" s="2" t="s">
        <v>11866</v>
      </c>
      <c r="H2800" s="2" t="s">
        <v>11866</v>
      </c>
      <c r="I2800" s="2" t="s">
        <v>11867</v>
      </c>
      <c r="J2800" s="2" t="s">
        <v>11868</v>
      </c>
      <c r="K2800" s="2" t="s">
        <v>1136</v>
      </c>
      <c r="L2800" s="3">
        <v>135</v>
      </c>
      <c r="M2800" s="3">
        <v>141.75</v>
      </c>
      <c r="N2800" s="3">
        <v>265</v>
      </c>
      <c r="O2800" s="2" t="s">
        <v>243</v>
      </c>
      <c r="P2800" s="2" t="s">
        <v>236</v>
      </c>
      <c r="Q2800" s="2" t="s">
        <v>237</v>
      </c>
      <c r="R2800" s="2" t="s">
        <v>231</v>
      </c>
      <c r="S2800" s="2" t="s">
        <v>231</v>
      </c>
      <c r="T2800" s="2" t="s">
        <v>231</v>
      </c>
      <c r="U2800" s="2" t="s">
        <v>327</v>
      </c>
      <c r="V2800" s="2" t="s">
        <v>662</v>
      </c>
      <c r="W2800" s="2" t="s">
        <v>273</v>
      </c>
      <c r="X2800" s="2" t="s">
        <v>231</v>
      </c>
      <c r="Y2800" s="2" t="s">
        <v>11869</v>
      </c>
      <c r="Z2800" s="4">
        <v>232</v>
      </c>
      <c r="AA2800" s="4">
        <f>=ROUNDDOWN(154.666666666667,0)</f>
      </c>
      <c r="AB2800" s="5">
        <v>1.5</v>
      </c>
      <c r="AC2800" s="2" t="s">
        <v>701</v>
      </c>
      <c r="AD2800" s="4">
        <v>20</v>
      </c>
      <c r="AE2800" s="4">
        <v>20</v>
      </c>
      <c r="AF2800" s="6">
        <v>66</v>
      </c>
      <c r="AG2800" s="6"/>
      <c r="AH2800" s="7">
        <v>1</v>
      </c>
      <c r="AI2800" s="4"/>
      <c r="AJ2800" s="4">
        <f>=ROUNDDOWN({0},0)</f>
      </c>
      <c r="AK2800" s="5"/>
      <c r="AL2800" s="2" t="s">
        <v>231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/>
      <c r="BD2800" s="8"/>
      <c r="BE2800" s="4"/>
      <c r="BF2800" s="8"/>
      <c r="BG2800" s="7"/>
      <c r="BH2800" s="7"/>
      <c r="BI2800" s="7"/>
      <c r="BJ2800" s="4">
        <v>7</v>
      </c>
      <c r="BK2800" s="8">
        <v>1066.89</v>
      </c>
      <c r="BL2800" s="2" t="s">
        <v>2343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11870</v>
      </c>
      <c r="BV2800" s="2" t="s">
        <v>231</v>
      </c>
      <c r="BW2800" s="2" t="s">
        <v>231</v>
      </c>
      <c r="BX2800" s="2" t="s">
        <v>241</v>
      </c>
      <c r="BY2800" s="2" t="s">
        <v>277</v>
      </c>
      <c r="BZ2800" s="2" t="s">
        <v>243</v>
      </c>
      <c r="CA2800" s="2" t="s">
        <v>3693</v>
      </c>
      <c r="CB2800" s="2" t="s">
        <v>231</v>
      </c>
      <c r="CC2800" s="2" t="s">
        <v>244</v>
      </c>
      <c r="CD2800" s="2" t="s">
        <v>231</v>
      </c>
      <c r="CE2800" s="4"/>
      <c r="CF2800" s="4">
        <v>232</v>
      </c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4"/>
      <c r="CX2800" s="4"/>
      <c r="CY2800" s="4"/>
      <c r="CZ2800" s="4"/>
      <c r="DA2800" s="4"/>
      <c r="DB2800" s="4"/>
      <c r="DC2800" s="4"/>
      <c r="DD2800" s="4"/>
      <c r="DE2800" s="4"/>
      <c r="DF2800" s="4"/>
      <c r="DG2800" s="4"/>
      <c r="DH2800" s="4"/>
      <c r="DI2800" s="4"/>
      <c r="DJ2800" s="4"/>
      <c r="DK2800" s="4"/>
      <c r="DL2800" s="4"/>
      <c r="DM2800" s="4"/>
      <c r="DN2800" s="4"/>
      <c r="DO2800" s="4"/>
      <c r="DP2800" s="4"/>
      <c r="DQ2800" s="4"/>
      <c r="DR2800" s="4"/>
      <c r="DS2800" s="4"/>
      <c r="DT2800" s="4"/>
      <c r="DU2800" s="4"/>
      <c r="DV2800" s="4"/>
      <c r="DW2800" s="4"/>
      <c r="DX2800" s="4"/>
      <c r="DY2800" s="4"/>
      <c r="DZ2800" s="4"/>
      <c r="EA2800" s="4"/>
      <c r="EB2800" s="4">
        <v>20</v>
      </c>
      <c r="EC2800" s="4"/>
      <c r="ED2800" s="4"/>
      <c r="EE2800" s="4"/>
      <c r="EF2800" s="4"/>
      <c r="EG2800" s="4"/>
      <c r="EH2800" s="4"/>
      <c r="EI2800" s="4"/>
      <c r="EJ2800" s="4"/>
      <c r="EK2800" s="4"/>
      <c r="EL2800" s="4"/>
      <c r="EM2800" s="4"/>
      <c r="EN2800" s="4"/>
      <c r="EO2800" s="4"/>
      <c r="EP2800" s="4"/>
      <c r="EQ2800" s="4"/>
      <c r="ER2800" s="4"/>
      <c r="ES2800" s="4"/>
      <c r="ET2800" s="4"/>
      <c r="EU2800" s="4"/>
      <c r="EV2800" s="4"/>
      <c r="EW2800" s="4"/>
      <c r="EX2800" s="4"/>
      <c r="EY2800" s="4"/>
      <c r="EZ2800" s="4"/>
      <c r="FA2800" s="4"/>
      <c r="FB2800" s="4"/>
      <c r="FC2800" s="4"/>
      <c r="FD2800" s="4"/>
      <c r="FE2800" s="4"/>
      <c r="FF2800" s="4"/>
      <c r="FG2800" s="4"/>
      <c r="FH2800" s="4"/>
      <c r="FI2800" s="4"/>
      <c r="FJ2800" s="4"/>
      <c r="FK2800" s="4"/>
      <c r="FL2800" s="4"/>
      <c r="FM2800" s="4"/>
      <c r="FN2800" s="4"/>
      <c r="FO2800" s="4"/>
      <c r="FP2800" s="4"/>
      <c r="FQ2800" s="4"/>
      <c r="FR2800" s="4"/>
      <c r="FS2800" s="4"/>
      <c r="FT2800" s="4"/>
      <c r="FU2800" s="4"/>
      <c r="FV2800" s="4"/>
      <c r="FW2800" s="4"/>
      <c r="FX2800" s="4"/>
      <c r="FY2800" s="4"/>
      <c r="FZ2800" s="4"/>
      <c r="GA2800" s="4"/>
      <c r="GB2800" s="4"/>
      <c r="GC2800" s="4"/>
      <c r="GD2800" s="4"/>
      <c r="GE2800" s="4"/>
      <c r="GF2800" s="4"/>
      <c r="GG2800" s="4"/>
      <c r="GH2800" s="4"/>
      <c r="GI2800" s="4"/>
      <c r="GJ2800" s="4"/>
      <c r="GK2800" s="4"/>
      <c r="GL2800" s="4"/>
      <c r="GM2800" s="4"/>
      <c r="GN2800" s="4"/>
      <c r="GO2800" s="4"/>
      <c r="GP2800" s="4"/>
      <c r="GQ2800" s="4"/>
      <c r="GR2800" s="4"/>
      <c r="GS2800" s="4"/>
      <c r="GT2800" s="4"/>
      <c r="GU2800" s="4"/>
      <c r="GV2800" s="4"/>
      <c r="GW2800" s="4"/>
      <c r="GX2800" s="4"/>
      <c r="GY2800" s="4"/>
      <c r="GZ2800" s="4"/>
      <c r="HA2800" s="4"/>
      <c r="HB2800" s="4"/>
      <c r="HC2800" s="4"/>
      <c r="HD2800" s="4"/>
      <c r="HE2800" s="4"/>
      <c r="HF2800" s="4"/>
      <c r="HG2800" s="4"/>
      <c r="HH2800" s="4"/>
      <c r="HI2800" s="4"/>
      <c r="HJ2800" s="4"/>
      <c r="HK2800" s="4"/>
      <c r="HL2800" s="4"/>
    </row>
    <row r="2801">
      <c r="A2801" s="2" t="s">
        <v>11871</v>
      </c>
      <c r="B2801" s="2" t="s">
        <v>1004</v>
      </c>
      <c r="C2801" s="2" t="s">
        <v>288</v>
      </c>
      <c r="D2801" s="2" t="s">
        <v>1917</v>
      </c>
      <c r="E2801" s="2" t="s">
        <v>1918</v>
      </c>
      <c r="F2801" s="2" t="s">
        <v>11872</v>
      </c>
      <c r="G2801" s="2" t="s">
        <v>11429</v>
      </c>
      <c r="H2801" s="2" t="s">
        <v>3343</v>
      </c>
      <c r="I2801" s="2" t="s">
        <v>11873</v>
      </c>
      <c r="J2801" s="2" t="s">
        <v>807</v>
      </c>
      <c r="K2801" s="2" t="s">
        <v>1146</v>
      </c>
      <c r="L2801" s="3">
        <v>171</v>
      </c>
      <c r="M2801" s="3">
        <v>179.55</v>
      </c>
      <c r="N2801" s="3">
        <v>359</v>
      </c>
      <c r="O2801" s="2" t="s">
        <v>243</v>
      </c>
      <c r="P2801" s="2" t="s">
        <v>1985</v>
      </c>
      <c r="Q2801" s="2" t="s">
        <v>237</v>
      </c>
      <c r="R2801" s="2" t="s">
        <v>231</v>
      </c>
      <c r="S2801" s="2" t="s">
        <v>231</v>
      </c>
      <c r="T2801" s="2" t="s">
        <v>231</v>
      </c>
      <c r="U2801" s="2" t="s">
        <v>327</v>
      </c>
      <c r="V2801" s="2" t="s">
        <v>239</v>
      </c>
      <c r="W2801" s="2" t="s">
        <v>792</v>
      </c>
      <c r="X2801" s="2" t="s">
        <v>896</v>
      </c>
      <c r="Y2801" s="2" t="s">
        <v>1727</v>
      </c>
      <c r="Z2801" s="4">
        <v>48</v>
      </c>
      <c r="AA2801" s="4">
        <f>=ROUNDDOWN(48,0)</f>
      </c>
      <c r="AB2801" s="5">
        <v>1</v>
      </c>
      <c r="AC2801" s="2" t="s">
        <v>231</v>
      </c>
      <c r="AD2801" s="4"/>
      <c r="AE2801" s="4"/>
      <c r="AF2801" s="6">
        <v>66</v>
      </c>
      <c r="AG2801" s="6"/>
      <c r="AH2801" s="7">
        <v>1</v>
      </c>
      <c r="AI2801" s="4"/>
      <c r="AJ2801" s="4">
        <f>=ROUNDDOWN({0},0)</f>
      </c>
      <c r="AK2801" s="5"/>
      <c r="AL2801" s="2" t="s">
        <v>231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/>
      <c r="BD2801" s="8"/>
      <c r="BE2801" s="4"/>
      <c r="BF2801" s="8"/>
      <c r="BG2801" s="7"/>
      <c r="BH2801" s="7"/>
      <c r="BI2801" s="7"/>
      <c r="BJ2801" s="4">
        <v>10</v>
      </c>
      <c r="BK2801" s="8">
        <v>1420.95</v>
      </c>
      <c r="BL2801" s="2" t="s">
        <v>2343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11874</v>
      </c>
      <c r="BV2801" s="2" t="s">
        <v>231</v>
      </c>
      <c r="BW2801" s="2" t="s">
        <v>231</v>
      </c>
      <c r="BX2801" s="2" t="s">
        <v>231</v>
      </c>
      <c r="BY2801" s="2" t="s">
        <v>277</v>
      </c>
      <c r="BZ2801" s="2" t="s">
        <v>243</v>
      </c>
      <c r="CA2801" s="2" t="s">
        <v>8365</v>
      </c>
      <c r="CB2801" s="2" t="s">
        <v>3776</v>
      </c>
      <c r="CC2801" s="2" t="s">
        <v>244</v>
      </c>
      <c r="CD2801" s="2" t="s">
        <v>231</v>
      </c>
      <c r="CE2801" s="4"/>
      <c r="CF2801" s="4">
        <v>48</v>
      </c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4"/>
      <c r="CX2801" s="4"/>
      <c r="CY2801" s="4"/>
      <c r="CZ2801" s="4"/>
      <c r="DA2801" s="4"/>
      <c r="DB2801" s="4"/>
      <c r="DC2801" s="4"/>
      <c r="DD2801" s="4"/>
      <c r="DE2801" s="4"/>
      <c r="DF2801" s="4"/>
      <c r="DG2801" s="4"/>
      <c r="DH2801" s="4"/>
      <c r="DI2801" s="4"/>
      <c r="DJ2801" s="4"/>
      <c r="DK2801" s="4"/>
      <c r="DL2801" s="4"/>
      <c r="DM2801" s="4"/>
      <c r="DN2801" s="4"/>
      <c r="DO2801" s="4"/>
      <c r="DP2801" s="4"/>
      <c r="DQ2801" s="4"/>
      <c r="DR2801" s="4"/>
      <c r="DS2801" s="4"/>
      <c r="DT2801" s="4"/>
      <c r="DU2801" s="4"/>
      <c r="DV2801" s="4"/>
      <c r="DW2801" s="4"/>
      <c r="DX2801" s="4"/>
      <c r="DY2801" s="4"/>
      <c r="DZ2801" s="4"/>
      <c r="EA2801" s="4"/>
      <c r="EB2801" s="4"/>
      <c r="EC2801" s="4"/>
      <c r="ED2801" s="4"/>
      <c r="EE2801" s="4"/>
      <c r="EF2801" s="4"/>
      <c r="EG2801" s="4"/>
      <c r="EH2801" s="4"/>
      <c r="EI2801" s="4"/>
      <c r="EJ2801" s="4"/>
      <c r="EK2801" s="4"/>
      <c r="EL2801" s="4"/>
      <c r="EM2801" s="4"/>
      <c r="EN2801" s="4"/>
      <c r="EO2801" s="4"/>
      <c r="EP2801" s="4"/>
      <c r="EQ2801" s="4"/>
      <c r="ER2801" s="4"/>
      <c r="ES2801" s="4"/>
      <c r="ET2801" s="4"/>
      <c r="EU2801" s="4"/>
      <c r="EV2801" s="4"/>
      <c r="EW2801" s="4"/>
      <c r="EX2801" s="4"/>
      <c r="EY2801" s="4"/>
      <c r="EZ2801" s="4"/>
      <c r="FA2801" s="4"/>
      <c r="FB2801" s="4"/>
      <c r="FC2801" s="4"/>
      <c r="FD2801" s="4"/>
      <c r="FE2801" s="4"/>
      <c r="FF2801" s="4"/>
      <c r="FG2801" s="4"/>
      <c r="FH2801" s="4"/>
      <c r="FI2801" s="4"/>
      <c r="FJ2801" s="4"/>
      <c r="FK2801" s="4"/>
      <c r="FL2801" s="4"/>
      <c r="FM2801" s="4"/>
      <c r="FN2801" s="4"/>
      <c r="FO2801" s="4"/>
      <c r="FP2801" s="4"/>
      <c r="FQ2801" s="4"/>
      <c r="FR2801" s="4"/>
      <c r="FS2801" s="4"/>
      <c r="FT2801" s="4"/>
      <c r="FU2801" s="4"/>
      <c r="FV2801" s="4"/>
      <c r="FW2801" s="4"/>
      <c r="FX2801" s="4"/>
      <c r="FY2801" s="4"/>
      <c r="FZ2801" s="4"/>
      <c r="GA2801" s="4"/>
      <c r="GB2801" s="4"/>
      <c r="GC2801" s="4"/>
      <c r="GD2801" s="4"/>
      <c r="GE2801" s="4"/>
      <c r="GF2801" s="4"/>
      <c r="GG2801" s="4"/>
      <c r="GH2801" s="4"/>
      <c r="GI2801" s="4"/>
      <c r="GJ2801" s="4"/>
      <c r="GK2801" s="4"/>
      <c r="GL2801" s="4"/>
      <c r="GM2801" s="4"/>
      <c r="GN2801" s="4"/>
      <c r="GO2801" s="4"/>
      <c r="GP2801" s="4"/>
      <c r="GQ2801" s="4"/>
      <c r="GR2801" s="4"/>
      <c r="GS2801" s="4"/>
      <c r="GT2801" s="4"/>
      <c r="GU2801" s="4"/>
      <c r="GV2801" s="4"/>
      <c r="GW2801" s="4"/>
      <c r="GX2801" s="4"/>
      <c r="GY2801" s="4"/>
      <c r="GZ2801" s="4"/>
      <c r="HA2801" s="4"/>
      <c r="HB2801" s="4"/>
      <c r="HC2801" s="4"/>
      <c r="HD2801" s="4"/>
      <c r="HE2801" s="4"/>
      <c r="HF2801" s="4"/>
      <c r="HG2801" s="4"/>
      <c r="HH2801" s="4"/>
      <c r="HI2801" s="4"/>
      <c r="HJ2801" s="4"/>
      <c r="HK2801" s="4"/>
      <c r="HL2801" s="4"/>
    </row>
    <row r="2802">
      <c r="A2802" s="2" t="s">
        <v>11875</v>
      </c>
      <c r="B2802" s="2" t="s">
        <v>847</v>
      </c>
      <c r="C2802" s="2" t="s">
        <v>825</v>
      </c>
      <c r="D2802" s="2" t="s">
        <v>2003</v>
      </c>
      <c r="E2802" s="2" t="s">
        <v>6975</v>
      </c>
      <c r="F2802" s="2" t="s">
        <v>11876</v>
      </c>
      <c r="G2802" s="2" t="s">
        <v>11876</v>
      </c>
      <c r="H2802" s="2" t="s">
        <v>11876</v>
      </c>
      <c r="I2802" s="2" t="s">
        <v>11877</v>
      </c>
      <c r="J2802" s="2" t="s">
        <v>807</v>
      </c>
      <c r="K2802" s="2" t="s">
        <v>870</v>
      </c>
      <c r="L2802" s="3">
        <v>19.21</v>
      </c>
      <c r="M2802" s="3">
        <v>20.17</v>
      </c>
      <c r="N2802" s="3">
        <v>36.99</v>
      </c>
      <c r="O2802" s="2" t="s">
        <v>235</v>
      </c>
      <c r="P2802" s="2" t="s">
        <v>341</v>
      </c>
      <c r="Q2802" s="2" t="s">
        <v>237</v>
      </c>
      <c r="R2802" s="2" t="s">
        <v>231</v>
      </c>
      <c r="S2802" s="2" t="s">
        <v>11878</v>
      </c>
      <c r="T2802" s="2" t="s">
        <v>231</v>
      </c>
      <c r="U2802" s="2" t="s">
        <v>835</v>
      </c>
      <c r="V2802" s="2" t="s">
        <v>1192</v>
      </c>
      <c r="W2802" s="2" t="s">
        <v>273</v>
      </c>
      <c r="X2802" s="2" t="s">
        <v>231</v>
      </c>
      <c r="Y2802" s="2" t="s">
        <v>274</v>
      </c>
      <c r="Z2802" s="4">
        <v>139</v>
      </c>
      <c r="AA2802" s="4">
        <f>=ROUNDDOWN(66.1904761904762,0)</f>
      </c>
      <c r="AB2802" s="5">
        <v>2.1</v>
      </c>
      <c r="AC2802" s="2" t="s">
        <v>231</v>
      </c>
      <c r="AD2802" s="4"/>
      <c r="AE2802" s="4"/>
      <c r="AF2802" s="6">
        <v>63</v>
      </c>
      <c r="AG2802" s="6"/>
      <c r="AH2802" s="7">
        <v>1</v>
      </c>
      <c r="AI2802" s="4"/>
      <c r="AJ2802" s="4">
        <f>=ROUNDDOWN({0},0)</f>
      </c>
      <c r="AK2802" s="5"/>
      <c r="AL2802" s="2" t="s">
        <v>231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/>
      <c r="BD2802" s="8"/>
      <c r="BE2802" s="4"/>
      <c r="BF2802" s="8"/>
      <c r="BG2802" s="7"/>
      <c r="BH2802" s="7"/>
      <c r="BI2802" s="7"/>
      <c r="BJ2802" s="4">
        <v>11</v>
      </c>
      <c r="BK2802" s="8">
        <v>190.41</v>
      </c>
      <c r="BL2802" s="2" t="s">
        <v>11879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11880</v>
      </c>
      <c r="BV2802" s="2" t="s">
        <v>231</v>
      </c>
      <c r="BW2802" s="2" t="s">
        <v>231</v>
      </c>
      <c r="BX2802" s="2" t="s">
        <v>231</v>
      </c>
      <c r="BY2802" s="2" t="s">
        <v>277</v>
      </c>
      <c r="BZ2802" s="2" t="s">
        <v>243</v>
      </c>
      <c r="CA2802" s="2" t="s">
        <v>2052</v>
      </c>
      <c r="CB2802" s="2" t="s">
        <v>4201</v>
      </c>
      <c r="CC2802" s="2" t="s">
        <v>244</v>
      </c>
      <c r="CD2802" s="2" t="s">
        <v>231</v>
      </c>
      <c r="CE2802" s="4"/>
      <c r="CF2802" s="4">
        <v>139</v>
      </c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4"/>
      <c r="CX2802" s="4"/>
      <c r="CY2802" s="4"/>
      <c r="CZ2802" s="4"/>
      <c r="DA2802" s="4"/>
      <c r="DB2802" s="4"/>
      <c r="DC2802" s="4"/>
      <c r="DD2802" s="4"/>
      <c r="DE2802" s="4"/>
      <c r="DF2802" s="4"/>
      <c r="DG2802" s="4"/>
      <c r="DH2802" s="4"/>
      <c r="DI2802" s="4"/>
      <c r="DJ2802" s="4"/>
      <c r="DK2802" s="4"/>
      <c r="DL2802" s="4"/>
      <c r="DM2802" s="4"/>
      <c r="DN2802" s="4"/>
      <c r="DO2802" s="4"/>
      <c r="DP2802" s="4"/>
      <c r="DQ2802" s="4"/>
      <c r="DR2802" s="4"/>
      <c r="DS2802" s="4"/>
      <c r="DT2802" s="4"/>
      <c r="DU2802" s="4"/>
      <c r="DV2802" s="4"/>
      <c r="DW2802" s="4"/>
      <c r="DX2802" s="4"/>
      <c r="DY2802" s="4"/>
      <c r="DZ2802" s="4"/>
      <c r="EA2802" s="4"/>
      <c r="EB2802" s="4"/>
      <c r="EC2802" s="4"/>
      <c r="ED2802" s="4"/>
      <c r="EE2802" s="4"/>
      <c r="EF2802" s="4"/>
      <c r="EG2802" s="4"/>
      <c r="EH2802" s="4"/>
      <c r="EI2802" s="4"/>
      <c r="EJ2802" s="4"/>
      <c r="EK2802" s="4"/>
      <c r="EL2802" s="4"/>
      <c r="EM2802" s="4"/>
      <c r="EN2802" s="4"/>
      <c r="EO2802" s="4"/>
      <c r="EP2802" s="4"/>
      <c r="EQ2802" s="4"/>
      <c r="ER2802" s="4"/>
      <c r="ES2802" s="4"/>
      <c r="ET2802" s="4"/>
      <c r="EU2802" s="4"/>
      <c r="EV2802" s="4"/>
      <c r="EW2802" s="4"/>
      <c r="EX2802" s="4"/>
      <c r="EY2802" s="4"/>
      <c r="EZ2802" s="4"/>
      <c r="FA2802" s="4"/>
      <c r="FB2802" s="4"/>
      <c r="FC2802" s="4"/>
      <c r="FD2802" s="4"/>
      <c r="FE2802" s="4"/>
      <c r="FF2802" s="4"/>
      <c r="FG2802" s="4"/>
      <c r="FH2802" s="4"/>
      <c r="FI2802" s="4"/>
      <c r="FJ2802" s="4"/>
      <c r="FK2802" s="4"/>
      <c r="FL2802" s="4"/>
      <c r="FM2802" s="4"/>
      <c r="FN2802" s="4"/>
      <c r="FO2802" s="4"/>
      <c r="FP2802" s="4"/>
      <c r="FQ2802" s="4"/>
      <c r="FR2802" s="4"/>
      <c r="FS2802" s="4"/>
      <c r="FT2802" s="4"/>
      <c r="FU2802" s="4"/>
      <c r="FV2802" s="4"/>
      <c r="FW2802" s="4"/>
      <c r="FX2802" s="4"/>
      <c r="FY2802" s="4"/>
      <c r="FZ2802" s="4"/>
      <c r="GA2802" s="4"/>
      <c r="GB2802" s="4"/>
      <c r="GC2802" s="4"/>
      <c r="GD2802" s="4"/>
      <c r="GE2802" s="4"/>
      <c r="GF2802" s="4"/>
      <c r="GG2802" s="4"/>
      <c r="GH2802" s="4"/>
      <c r="GI2802" s="4"/>
      <c r="GJ2802" s="4"/>
      <c r="GK2802" s="4"/>
      <c r="GL2802" s="4"/>
      <c r="GM2802" s="4"/>
      <c r="GN2802" s="4"/>
      <c r="GO2802" s="4"/>
      <c r="GP2802" s="4"/>
      <c r="GQ2802" s="4"/>
      <c r="GR2802" s="4"/>
      <c r="GS2802" s="4"/>
      <c r="GT2802" s="4"/>
      <c r="GU2802" s="4"/>
      <c r="GV2802" s="4"/>
      <c r="GW2802" s="4"/>
      <c r="GX2802" s="4"/>
      <c r="GY2802" s="4"/>
      <c r="GZ2802" s="4"/>
      <c r="HA2802" s="4"/>
      <c r="HB2802" s="4"/>
      <c r="HC2802" s="4"/>
      <c r="HD2802" s="4"/>
      <c r="HE2802" s="4"/>
      <c r="HF2802" s="4"/>
      <c r="HG2802" s="4"/>
      <c r="HH2802" s="4"/>
      <c r="HI2802" s="4"/>
      <c r="HJ2802" s="4"/>
      <c r="HK2802" s="4"/>
      <c r="HL2802" s="4"/>
    </row>
    <row r="2803">
      <c r="A2803" s="2" t="s">
        <v>11881</v>
      </c>
      <c r="B2803" s="2" t="s">
        <v>847</v>
      </c>
      <c r="C2803" s="2" t="s">
        <v>653</v>
      </c>
      <c r="D2803" s="2" t="s">
        <v>2003</v>
      </c>
      <c r="E2803" s="2" t="s">
        <v>7338</v>
      </c>
      <c r="F2803" s="2" t="s">
        <v>11882</v>
      </c>
      <c r="G2803" s="2" t="s">
        <v>11882</v>
      </c>
      <c r="H2803" s="2" t="s">
        <v>11882</v>
      </c>
      <c r="I2803" s="2" t="s">
        <v>11883</v>
      </c>
      <c r="J2803" s="2" t="s">
        <v>11884</v>
      </c>
      <c r="K2803" s="2" t="s">
        <v>698</v>
      </c>
      <c r="L2803" s="3">
        <v>47.09</v>
      </c>
      <c r="M2803" s="3">
        <v>49.44</v>
      </c>
      <c r="N2803" s="3">
        <v>98.99</v>
      </c>
      <c r="O2803" s="2" t="s">
        <v>243</v>
      </c>
      <c r="P2803" s="2" t="s">
        <v>871</v>
      </c>
      <c r="Q2803" s="2" t="s">
        <v>237</v>
      </c>
      <c r="R2803" s="2" t="s">
        <v>231</v>
      </c>
      <c r="S2803" s="2" t="s">
        <v>11885</v>
      </c>
      <c r="T2803" s="2" t="s">
        <v>231</v>
      </c>
      <c r="U2803" s="2" t="s">
        <v>327</v>
      </c>
      <c r="V2803" s="2" t="s">
        <v>836</v>
      </c>
      <c r="W2803" s="2" t="s">
        <v>299</v>
      </c>
      <c r="X2803" s="2" t="s">
        <v>231</v>
      </c>
      <c r="Y2803" s="2" t="s">
        <v>4389</v>
      </c>
      <c r="Z2803" s="4">
        <v>376</v>
      </c>
      <c r="AA2803" s="4">
        <f>=ROUNDDOWN(45.8536585365854,0)</f>
      </c>
      <c r="AB2803" s="5">
        <v>8.2</v>
      </c>
      <c r="AC2803" s="2" t="s">
        <v>231</v>
      </c>
      <c r="AD2803" s="4"/>
      <c r="AE2803" s="4"/>
      <c r="AF2803" s="6">
        <v>63</v>
      </c>
      <c r="AG2803" s="6"/>
      <c r="AH2803" s="7">
        <v>1</v>
      </c>
      <c r="AI2803" s="4"/>
      <c r="AJ2803" s="4">
        <f>=ROUNDDOWN({0},0)</f>
      </c>
      <c r="AK2803" s="5"/>
      <c r="AL2803" s="2" t="s">
        <v>231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231</v>
      </c>
      <c r="BD2803" s="8" t="s">
        <v>231</v>
      </c>
      <c r="BE2803" s="4" t="s">
        <v>231</v>
      </c>
      <c r="BF2803" s="8" t="s">
        <v>231</v>
      </c>
      <c r="BG2803" s="7" t="s">
        <v>231</v>
      </c>
      <c r="BH2803" s="7" t="s">
        <v>231</v>
      </c>
      <c r="BI2803" s="7"/>
      <c r="BJ2803" s="4">
        <v>35</v>
      </c>
      <c r="BK2803" s="8">
        <v>1875.95</v>
      </c>
      <c r="BL2803" s="2" t="s">
        <v>11886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11887</v>
      </c>
      <c r="BV2803" s="2" t="s">
        <v>231</v>
      </c>
      <c r="BW2803" s="2" t="s">
        <v>231</v>
      </c>
      <c r="BX2803" s="2" t="s">
        <v>241</v>
      </c>
      <c r="BY2803" s="2" t="s">
        <v>277</v>
      </c>
      <c r="BZ2803" s="2" t="s">
        <v>243</v>
      </c>
      <c r="CA2803" s="2" t="s">
        <v>782</v>
      </c>
      <c r="CB2803" s="2" t="s">
        <v>11888</v>
      </c>
      <c r="CC2803" s="2" t="s">
        <v>244</v>
      </c>
      <c r="CD2803" s="2" t="s">
        <v>231</v>
      </c>
      <c r="CE2803" s="4"/>
      <c r="CF2803" s="4">
        <v>376</v>
      </c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4"/>
      <c r="CX2803" s="4"/>
      <c r="CY2803" s="4"/>
      <c r="CZ2803" s="4"/>
      <c r="DA2803" s="4"/>
      <c r="DB2803" s="4"/>
      <c r="DC2803" s="4"/>
      <c r="DD2803" s="4"/>
      <c r="DE2803" s="4"/>
      <c r="DF2803" s="4"/>
      <c r="DG2803" s="4"/>
      <c r="DH2803" s="4"/>
      <c r="DI2803" s="4"/>
      <c r="DJ2803" s="4"/>
      <c r="DK2803" s="4"/>
      <c r="DL2803" s="4"/>
      <c r="DM2803" s="4"/>
      <c r="DN2803" s="4"/>
      <c r="DO2803" s="4"/>
      <c r="DP2803" s="4"/>
      <c r="DQ2803" s="4"/>
      <c r="DR2803" s="4"/>
      <c r="DS2803" s="4"/>
      <c r="DT2803" s="4"/>
      <c r="DU2803" s="4"/>
      <c r="DV2803" s="4"/>
      <c r="DW2803" s="4"/>
      <c r="DX2803" s="4"/>
      <c r="DY2803" s="4"/>
      <c r="DZ2803" s="4"/>
      <c r="EA2803" s="4"/>
      <c r="EB2803" s="4"/>
      <c r="EC2803" s="4"/>
      <c r="ED2803" s="4"/>
      <c r="EE2803" s="4"/>
      <c r="EF2803" s="4"/>
      <c r="EG2803" s="4"/>
      <c r="EH2803" s="4"/>
      <c r="EI2803" s="4"/>
      <c r="EJ2803" s="4"/>
      <c r="EK2803" s="4"/>
      <c r="EL2803" s="4"/>
      <c r="EM2803" s="4"/>
      <c r="EN2803" s="4"/>
      <c r="EO2803" s="4"/>
      <c r="EP2803" s="4"/>
      <c r="EQ2803" s="4"/>
      <c r="ER2803" s="4"/>
      <c r="ES2803" s="4"/>
      <c r="ET2803" s="4"/>
      <c r="EU2803" s="4"/>
      <c r="EV2803" s="4"/>
      <c r="EW2803" s="4"/>
      <c r="EX2803" s="4"/>
      <c r="EY2803" s="4"/>
      <c r="EZ2803" s="4"/>
      <c r="FA2803" s="4"/>
      <c r="FB2803" s="4"/>
      <c r="FC2803" s="4"/>
      <c r="FD2803" s="4"/>
      <c r="FE2803" s="4"/>
      <c r="FF2803" s="4"/>
      <c r="FG2803" s="4"/>
      <c r="FH2803" s="4"/>
      <c r="FI2803" s="4"/>
      <c r="FJ2803" s="4"/>
      <c r="FK2803" s="4"/>
      <c r="FL2803" s="4"/>
      <c r="FM2803" s="4"/>
      <c r="FN2803" s="4"/>
      <c r="FO2803" s="4"/>
      <c r="FP2803" s="4"/>
      <c r="FQ2803" s="4"/>
      <c r="FR2803" s="4"/>
      <c r="FS2803" s="4"/>
      <c r="FT2803" s="4"/>
      <c r="FU2803" s="4"/>
      <c r="FV2803" s="4"/>
      <c r="FW2803" s="4"/>
      <c r="FX2803" s="4"/>
      <c r="FY2803" s="4"/>
      <c r="FZ2803" s="4"/>
      <c r="GA2803" s="4"/>
      <c r="GB2803" s="4"/>
      <c r="GC2803" s="4"/>
      <c r="GD2803" s="4"/>
      <c r="GE2803" s="4"/>
      <c r="GF2803" s="4"/>
      <c r="GG2803" s="4"/>
      <c r="GH2803" s="4"/>
      <c r="GI2803" s="4"/>
      <c r="GJ2803" s="4"/>
      <c r="GK2803" s="4"/>
      <c r="GL2803" s="4"/>
      <c r="GM2803" s="4"/>
      <c r="GN2803" s="4"/>
      <c r="GO2803" s="4"/>
      <c r="GP2803" s="4"/>
      <c r="GQ2803" s="4"/>
      <c r="GR2803" s="4"/>
      <c r="GS2803" s="4"/>
      <c r="GT2803" s="4"/>
      <c r="GU2803" s="4"/>
      <c r="GV2803" s="4"/>
      <c r="GW2803" s="4"/>
      <c r="GX2803" s="4"/>
      <c r="GY2803" s="4"/>
      <c r="GZ2803" s="4"/>
      <c r="HA2803" s="4"/>
      <c r="HB2803" s="4"/>
      <c r="HC2803" s="4"/>
      <c r="HD2803" s="4"/>
      <c r="HE2803" s="4"/>
      <c r="HF2803" s="4"/>
      <c r="HG2803" s="4"/>
      <c r="HH2803" s="4"/>
      <c r="HI2803" s="4"/>
      <c r="HJ2803" s="4"/>
      <c r="HK2803" s="4"/>
      <c r="HL2803" s="4"/>
    </row>
    <row r="2804">
      <c r="A2804" s="2" t="s">
        <v>11889</v>
      </c>
      <c r="B2804" s="2" t="s">
        <v>847</v>
      </c>
      <c r="C2804" s="2" t="s">
        <v>653</v>
      </c>
      <c r="D2804" s="2" t="s">
        <v>2003</v>
      </c>
      <c r="E2804" s="2" t="s">
        <v>6975</v>
      </c>
      <c r="F2804" s="2" t="s">
        <v>11882</v>
      </c>
      <c r="G2804" s="2" t="s">
        <v>11882</v>
      </c>
      <c r="H2804" s="2" t="s">
        <v>11882</v>
      </c>
      <c r="I2804" s="2" t="s">
        <v>11890</v>
      </c>
      <c r="J2804" s="2" t="s">
        <v>11891</v>
      </c>
      <c r="K2804" s="2" t="s">
        <v>463</v>
      </c>
      <c r="L2804" s="3">
        <v>93.25</v>
      </c>
      <c r="M2804" s="3">
        <v>97.91</v>
      </c>
      <c r="N2804" s="3">
        <v>206.99</v>
      </c>
      <c r="O2804" s="2" t="s">
        <v>243</v>
      </c>
      <c r="P2804" s="2" t="s">
        <v>270</v>
      </c>
      <c r="Q2804" s="2" t="s">
        <v>237</v>
      </c>
      <c r="R2804" s="2" t="s">
        <v>231</v>
      </c>
      <c r="S2804" s="2" t="s">
        <v>231</v>
      </c>
      <c r="T2804" s="2" t="s">
        <v>231</v>
      </c>
      <c r="U2804" s="2" t="s">
        <v>835</v>
      </c>
      <c r="V2804" s="2" t="s">
        <v>662</v>
      </c>
      <c r="W2804" s="2" t="s">
        <v>299</v>
      </c>
      <c r="X2804" s="2" t="s">
        <v>691</v>
      </c>
      <c r="Y2804" s="2" t="s">
        <v>5872</v>
      </c>
      <c r="Z2804" s="4">
        <v>28</v>
      </c>
      <c r="AA2804" s="4">
        <f>=ROUNDDOWN(14,0)</f>
      </c>
      <c r="AB2804" s="5">
        <v>2</v>
      </c>
      <c r="AC2804" s="2" t="s">
        <v>392</v>
      </c>
      <c r="AD2804" s="4">
        <v>60</v>
      </c>
      <c r="AE2804" s="4">
        <v>60</v>
      </c>
      <c r="AF2804" s="6">
        <v>63</v>
      </c>
      <c r="AG2804" s="6"/>
      <c r="AH2804" s="7">
        <v>1</v>
      </c>
      <c r="AI2804" s="4"/>
      <c r="AJ2804" s="4">
        <f>=ROUNDDOWN({0},0)</f>
      </c>
      <c r="AK2804" s="5"/>
      <c r="AL2804" s="2" t="s">
        <v>231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231</v>
      </c>
      <c r="BD2804" s="8" t="s">
        <v>231</v>
      </c>
      <c r="BE2804" s="4" t="s">
        <v>231</v>
      </c>
      <c r="BF2804" s="8" t="s">
        <v>231</v>
      </c>
      <c r="BG2804" s="7" t="s">
        <v>231</v>
      </c>
      <c r="BH2804" s="7" t="s">
        <v>231</v>
      </c>
      <c r="BI2804" s="7"/>
      <c r="BJ2804" s="4">
        <v>11</v>
      </c>
      <c r="BK2804" s="8">
        <v>1029.62</v>
      </c>
      <c r="BL2804" s="2" t="s">
        <v>624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11892</v>
      </c>
      <c r="BV2804" s="2" t="s">
        <v>231</v>
      </c>
      <c r="BW2804" s="2" t="s">
        <v>231</v>
      </c>
      <c r="BX2804" s="2" t="s">
        <v>241</v>
      </c>
      <c r="BY2804" s="2" t="s">
        <v>277</v>
      </c>
      <c r="BZ2804" s="2" t="s">
        <v>243</v>
      </c>
      <c r="CA2804" s="2" t="s">
        <v>1583</v>
      </c>
      <c r="CB2804" s="2" t="s">
        <v>2079</v>
      </c>
      <c r="CC2804" s="2" t="s">
        <v>244</v>
      </c>
      <c r="CD2804" s="2" t="s">
        <v>231</v>
      </c>
      <c r="CE2804" s="4"/>
      <c r="CF2804" s="4">
        <v>28</v>
      </c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4"/>
      <c r="CX2804" s="4"/>
      <c r="CY2804" s="4"/>
      <c r="CZ2804" s="4"/>
      <c r="DA2804" s="4"/>
      <c r="DB2804" s="4"/>
      <c r="DC2804" s="4"/>
      <c r="DD2804" s="4"/>
      <c r="DE2804" s="4"/>
      <c r="DF2804" s="4"/>
      <c r="DG2804" s="4"/>
      <c r="DH2804" s="4"/>
      <c r="DI2804" s="4"/>
      <c r="DJ2804" s="4"/>
      <c r="DK2804" s="4"/>
      <c r="DL2804" s="4"/>
      <c r="DM2804" s="4"/>
      <c r="DN2804" s="4"/>
      <c r="DO2804" s="4"/>
      <c r="DP2804" s="4"/>
      <c r="DQ2804" s="4"/>
      <c r="DR2804" s="4"/>
      <c r="DS2804" s="4"/>
      <c r="DT2804" s="4"/>
      <c r="DU2804" s="4"/>
      <c r="DV2804" s="4"/>
      <c r="DW2804" s="4"/>
      <c r="DX2804" s="4"/>
      <c r="DY2804" s="4"/>
      <c r="DZ2804" s="4"/>
      <c r="EA2804" s="4"/>
      <c r="EB2804" s="4"/>
      <c r="EC2804" s="4"/>
      <c r="ED2804" s="4"/>
      <c r="EE2804" s="4"/>
      <c r="EF2804" s="4"/>
      <c r="EG2804" s="4"/>
      <c r="EH2804" s="4"/>
      <c r="EI2804" s="4"/>
      <c r="EJ2804" s="4"/>
      <c r="EK2804" s="4"/>
      <c r="EL2804" s="4"/>
      <c r="EM2804" s="4"/>
      <c r="EN2804" s="4"/>
      <c r="EO2804" s="4"/>
      <c r="EP2804" s="4"/>
      <c r="EQ2804" s="4"/>
      <c r="ER2804" s="4">
        <v>60</v>
      </c>
      <c r="ES2804" s="4"/>
      <c r="ET2804" s="4"/>
      <c r="EU2804" s="4"/>
      <c r="EV2804" s="4"/>
      <c r="EW2804" s="4"/>
      <c r="EX2804" s="4"/>
      <c r="EY2804" s="4"/>
      <c r="EZ2804" s="4"/>
      <c r="FA2804" s="4"/>
      <c r="FB2804" s="4"/>
      <c r="FC2804" s="4"/>
      <c r="FD2804" s="4"/>
      <c r="FE2804" s="4"/>
      <c r="FF2804" s="4"/>
      <c r="FG2804" s="4"/>
      <c r="FH2804" s="4"/>
      <c r="FI2804" s="4"/>
      <c r="FJ2804" s="4"/>
      <c r="FK2804" s="4"/>
      <c r="FL2804" s="4"/>
      <c r="FM2804" s="4"/>
      <c r="FN2804" s="4"/>
      <c r="FO2804" s="4"/>
      <c r="FP2804" s="4"/>
      <c r="FQ2804" s="4"/>
      <c r="FR2804" s="4"/>
      <c r="FS2804" s="4"/>
      <c r="FT2804" s="4"/>
      <c r="FU2804" s="4"/>
      <c r="FV2804" s="4"/>
      <c r="FW2804" s="4"/>
      <c r="FX2804" s="4"/>
      <c r="FY2804" s="4"/>
      <c r="FZ2804" s="4"/>
      <c r="GA2804" s="4"/>
      <c r="GB2804" s="4"/>
      <c r="GC2804" s="4"/>
      <c r="GD2804" s="4"/>
      <c r="GE2804" s="4"/>
      <c r="GF2804" s="4"/>
      <c r="GG2804" s="4"/>
      <c r="GH2804" s="4"/>
      <c r="GI2804" s="4"/>
      <c r="GJ2804" s="4"/>
      <c r="GK2804" s="4"/>
      <c r="GL2804" s="4"/>
      <c r="GM2804" s="4"/>
      <c r="GN2804" s="4"/>
      <c r="GO2804" s="4"/>
      <c r="GP2804" s="4"/>
      <c r="GQ2804" s="4"/>
      <c r="GR2804" s="4"/>
      <c r="GS2804" s="4"/>
      <c r="GT2804" s="4"/>
      <c r="GU2804" s="4"/>
      <c r="GV2804" s="4"/>
      <c r="GW2804" s="4"/>
      <c r="GX2804" s="4"/>
      <c r="GY2804" s="4"/>
      <c r="GZ2804" s="4"/>
      <c r="HA2804" s="4"/>
      <c r="HB2804" s="4"/>
      <c r="HC2804" s="4"/>
      <c r="HD2804" s="4"/>
      <c r="HE2804" s="4"/>
      <c r="HF2804" s="4"/>
      <c r="HG2804" s="4"/>
      <c r="HH2804" s="4"/>
      <c r="HI2804" s="4"/>
      <c r="HJ2804" s="4"/>
      <c r="HK2804" s="4"/>
      <c r="HL2804" s="4"/>
    </row>
    <row r="2805">
      <c r="A2805" s="2" t="s">
        <v>11893</v>
      </c>
      <c r="B2805" s="2" t="s">
        <v>847</v>
      </c>
      <c r="C2805" s="2" t="s">
        <v>653</v>
      </c>
      <c r="D2805" s="2" t="s">
        <v>2003</v>
      </c>
      <c r="E2805" s="2" t="s">
        <v>6975</v>
      </c>
      <c r="F2805" s="2" t="s">
        <v>11882</v>
      </c>
      <c r="G2805" s="2" t="s">
        <v>11882</v>
      </c>
      <c r="H2805" s="2" t="s">
        <v>11882</v>
      </c>
      <c r="I2805" s="2" t="s">
        <v>11890</v>
      </c>
      <c r="J2805" s="2" t="s">
        <v>11891</v>
      </c>
      <c r="K2805" s="2" t="s">
        <v>319</v>
      </c>
      <c r="L2805" s="3">
        <v>93.25</v>
      </c>
      <c r="M2805" s="3">
        <v>97.91</v>
      </c>
      <c r="N2805" s="3">
        <v>206.99</v>
      </c>
      <c r="O2805" s="2" t="s">
        <v>243</v>
      </c>
      <c r="P2805" s="2" t="s">
        <v>236</v>
      </c>
      <c r="Q2805" s="2" t="s">
        <v>237</v>
      </c>
      <c r="R2805" s="2" t="s">
        <v>231</v>
      </c>
      <c r="S2805" s="2" t="s">
        <v>231</v>
      </c>
      <c r="T2805" s="2" t="s">
        <v>231</v>
      </c>
      <c r="U2805" s="2" t="s">
        <v>835</v>
      </c>
      <c r="V2805" s="2" t="s">
        <v>662</v>
      </c>
      <c r="W2805" s="2" t="s">
        <v>299</v>
      </c>
      <c r="X2805" s="2" t="s">
        <v>691</v>
      </c>
      <c r="Y2805" s="2" t="s">
        <v>5872</v>
      </c>
      <c r="Z2805" s="4">
        <v>77</v>
      </c>
      <c r="AA2805" s="4">
        <f>=ROUNDDOWN(38.5,0)</f>
      </c>
      <c r="AB2805" s="5">
        <v>2</v>
      </c>
      <c r="AC2805" s="2" t="s">
        <v>231</v>
      </c>
      <c r="AD2805" s="4"/>
      <c r="AE2805" s="4"/>
      <c r="AF2805" s="6">
        <v>63</v>
      </c>
      <c r="AG2805" s="6"/>
      <c r="AH2805" s="7">
        <v>1</v>
      </c>
      <c r="AI2805" s="4"/>
      <c r="AJ2805" s="4">
        <f>=ROUNDDOWN({0},0)</f>
      </c>
      <c r="AK2805" s="5"/>
      <c r="AL2805" s="2" t="s">
        <v>231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231</v>
      </c>
      <c r="AW2805" s="8" t="s">
        <v>231</v>
      </c>
      <c r="AX2805" s="4" t="s">
        <v>231</v>
      </c>
      <c r="AY2805" s="8" t="s">
        <v>231</v>
      </c>
      <c r="AZ2805" s="7" t="s">
        <v>231</v>
      </c>
      <c r="BA2805" s="7" t="s">
        <v>231</v>
      </c>
      <c r="BB2805" s="7"/>
      <c r="BC2805" s="4" t="s">
        <v>231</v>
      </c>
      <c r="BD2805" s="8" t="s">
        <v>231</v>
      </c>
      <c r="BE2805" s="4" t="s">
        <v>231</v>
      </c>
      <c r="BF2805" s="8" t="s">
        <v>231</v>
      </c>
      <c r="BG2805" s="7" t="s">
        <v>231</v>
      </c>
      <c r="BH2805" s="7" t="s">
        <v>231</v>
      </c>
      <c r="BI2805" s="7"/>
      <c r="BJ2805" s="4">
        <v>6</v>
      </c>
      <c r="BK2805" s="8">
        <v>589.81</v>
      </c>
      <c r="BL2805" s="2" t="s">
        <v>11894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11895</v>
      </c>
      <c r="BV2805" s="2" t="s">
        <v>231</v>
      </c>
      <c r="BW2805" s="2" t="s">
        <v>231</v>
      </c>
      <c r="BX2805" s="2" t="s">
        <v>241</v>
      </c>
      <c r="BY2805" s="2" t="s">
        <v>277</v>
      </c>
      <c r="BZ2805" s="2" t="s">
        <v>243</v>
      </c>
      <c r="CA2805" s="2" t="s">
        <v>1583</v>
      </c>
      <c r="CB2805" s="2" t="s">
        <v>5875</v>
      </c>
      <c r="CC2805" s="2" t="s">
        <v>244</v>
      </c>
      <c r="CD2805" s="2" t="s">
        <v>231</v>
      </c>
      <c r="CE2805" s="4"/>
      <c r="CF2805" s="4">
        <v>77</v>
      </c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4"/>
      <c r="CX2805" s="4"/>
      <c r="CY2805" s="4"/>
      <c r="CZ2805" s="4"/>
      <c r="DA2805" s="4"/>
      <c r="DB2805" s="4"/>
      <c r="DC2805" s="4"/>
      <c r="DD2805" s="4"/>
      <c r="DE2805" s="4"/>
      <c r="DF2805" s="4"/>
      <c r="DG2805" s="4"/>
      <c r="DH2805" s="4"/>
      <c r="DI2805" s="4"/>
      <c r="DJ2805" s="4"/>
      <c r="DK2805" s="4"/>
      <c r="DL2805" s="4"/>
      <c r="DM2805" s="4"/>
      <c r="DN2805" s="4"/>
      <c r="DO2805" s="4"/>
      <c r="DP2805" s="4"/>
      <c r="DQ2805" s="4"/>
      <c r="DR2805" s="4"/>
      <c r="DS2805" s="4"/>
      <c r="DT2805" s="4"/>
      <c r="DU2805" s="4"/>
      <c r="DV2805" s="4"/>
      <c r="DW2805" s="4"/>
      <c r="DX2805" s="4"/>
      <c r="DY2805" s="4"/>
      <c r="DZ2805" s="4"/>
      <c r="EA2805" s="4"/>
      <c r="EB2805" s="4"/>
      <c r="EC2805" s="4"/>
      <c r="ED2805" s="4"/>
      <c r="EE2805" s="4"/>
      <c r="EF2805" s="4"/>
      <c r="EG2805" s="4"/>
      <c r="EH2805" s="4"/>
      <c r="EI2805" s="4"/>
      <c r="EJ2805" s="4"/>
      <c r="EK2805" s="4"/>
      <c r="EL2805" s="4"/>
      <c r="EM2805" s="4"/>
      <c r="EN2805" s="4"/>
      <c r="EO2805" s="4"/>
      <c r="EP2805" s="4"/>
      <c r="EQ2805" s="4"/>
      <c r="ER2805" s="4"/>
      <c r="ES2805" s="4"/>
      <c r="ET2805" s="4"/>
      <c r="EU2805" s="4"/>
      <c r="EV2805" s="4"/>
      <c r="EW2805" s="4"/>
      <c r="EX2805" s="4"/>
      <c r="EY2805" s="4"/>
      <c r="EZ2805" s="4"/>
      <c r="FA2805" s="4"/>
      <c r="FB2805" s="4"/>
      <c r="FC2805" s="4"/>
      <c r="FD2805" s="4"/>
      <c r="FE2805" s="4"/>
      <c r="FF2805" s="4"/>
      <c r="FG2805" s="4"/>
      <c r="FH2805" s="4"/>
      <c r="FI2805" s="4"/>
      <c r="FJ2805" s="4"/>
      <c r="FK2805" s="4"/>
      <c r="FL2805" s="4"/>
      <c r="FM2805" s="4"/>
      <c r="FN2805" s="4"/>
      <c r="FO2805" s="4"/>
      <c r="FP2805" s="4"/>
      <c r="FQ2805" s="4"/>
      <c r="FR2805" s="4"/>
      <c r="FS2805" s="4"/>
      <c r="FT2805" s="4"/>
      <c r="FU2805" s="4"/>
      <c r="FV2805" s="4"/>
      <c r="FW2805" s="4"/>
      <c r="FX2805" s="4"/>
      <c r="FY2805" s="4"/>
      <c r="FZ2805" s="4"/>
      <c r="GA2805" s="4"/>
      <c r="GB2805" s="4"/>
      <c r="GC2805" s="4"/>
      <c r="GD2805" s="4"/>
      <c r="GE2805" s="4"/>
      <c r="GF2805" s="4"/>
      <c r="GG2805" s="4"/>
      <c r="GH2805" s="4"/>
      <c r="GI2805" s="4"/>
      <c r="GJ2805" s="4"/>
      <c r="GK2805" s="4"/>
      <c r="GL2805" s="4"/>
      <c r="GM2805" s="4"/>
      <c r="GN2805" s="4"/>
      <c r="GO2805" s="4"/>
      <c r="GP2805" s="4"/>
      <c r="GQ2805" s="4"/>
      <c r="GR2805" s="4"/>
      <c r="GS2805" s="4"/>
      <c r="GT2805" s="4"/>
      <c r="GU2805" s="4"/>
      <c r="GV2805" s="4"/>
      <c r="GW2805" s="4"/>
      <c r="GX2805" s="4"/>
      <c r="GY2805" s="4"/>
      <c r="GZ2805" s="4"/>
      <c r="HA2805" s="4"/>
      <c r="HB2805" s="4"/>
      <c r="HC2805" s="4"/>
      <c r="HD2805" s="4"/>
      <c r="HE2805" s="4"/>
      <c r="HF2805" s="4"/>
      <c r="HG2805" s="4"/>
      <c r="HH2805" s="4"/>
      <c r="HI2805" s="4"/>
      <c r="HJ2805" s="4"/>
      <c r="HK2805" s="4"/>
      <c r="HL2805" s="4"/>
    </row>
    <row r="2806">
      <c r="A2806" s="2" t="s">
        <v>11896</v>
      </c>
      <c r="B2806" s="2" t="s">
        <v>847</v>
      </c>
      <c r="C2806" s="2" t="s">
        <v>653</v>
      </c>
      <c r="D2806" s="2" t="s">
        <v>2003</v>
      </c>
      <c r="E2806" s="2" t="s">
        <v>7338</v>
      </c>
      <c r="F2806" s="2" t="s">
        <v>11882</v>
      </c>
      <c r="G2806" s="2" t="s">
        <v>11882</v>
      </c>
      <c r="H2806" s="2" t="s">
        <v>11882</v>
      </c>
      <c r="I2806" s="2" t="s">
        <v>11883</v>
      </c>
      <c r="J2806" s="2" t="s">
        <v>11884</v>
      </c>
      <c r="K2806" s="2" t="s">
        <v>319</v>
      </c>
      <c r="L2806" s="3">
        <v>47.09</v>
      </c>
      <c r="M2806" s="3">
        <v>49.44</v>
      </c>
      <c r="N2806" s="3">
        <v>98.99</v>
      </c>
      <c r="O2806" s="2" t="s">
        <v>243</v>
      </c>
      <c r="P2806" s="2" t="s">
        <v>871</v>
      </c>
      <c r="Q2806" s="2" t="s">
        <v>237</v>
      </c>
      <c r="R2806" s="2" t="s">
        <v>231</v>
      </c>
      <c r="S2806" s="2" t="s">
        <v>11897</v>
      </c>
      <c r="T2806" s="2" t="s">
        <v>231</v>
      </c>
      <c r="U2806" s="2" t="s">
        <v>327</v>
      </c>
      <c r="V2806" s="2" t="s">
        <v>836</v>
      </c>
      <c r="W2806" s="2" t="s">
        <v>299</v>
      </c>
      <c r="X2806" s="2" t="s">
        <v>691</v>
      </c>
      <c r="Y2806" s="2" t="s">
        <v>854</v>
      </c>
      <c r="Z2806" s="4">
        <v>186</v>
      </c>
      <c r="AA2806" s="4">
        <f>=ROUNDDOWN(15.5,0)</f>
      </c>
      <c r="AB2806" s="5">
        <v>12</v>
      </c>
      <c r="AC2806" s="2" t="s">
        <v>876</v>
      </c>
      <c r="AD2806" s="4">
        <v>100</v>
      </c>
      <c r="AE2806" s="4">
        <v>100</v>
      </c>
      <c r="AF2806" s="6">
        <v>63</v>
      </c>
      <c r="AG2806" s="6"/>
      <c r="AH2806" s="7">
        <v>1</v>
      </c>
      <c r="AI2806" s="4"/>
      <c r="AJ2806" s="4">
        <f>=ROUNDDOWN({0},0)</f>
      </c>
      <c r="AK2806" s="5"/>
      <c r="AL2806" s="2" t="s">
        <v>231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231</v>
      </c>
      <c r="AW2806" s="8" t="s">
        <v>231</v>
      </c>
      <c r="AX2806" s="4" t="s">
        <v>231</v>
      </c>
      <c r="AY2806" s="8" t="s">
        <v>231</v>
      </c>
      <c r="AZ2806" s="7" t="s">
        <v>231</v>
      </c>
      <c r="BA2806" s="7" t="s">
        <v>231</v>
      </c>
      <c r="BB2806" s="7"/>
      <c r="BC2806" s="4" t="s">
        <v>231</v>
      </c>
      <c r="BD2806" s="8" t="s">
        <v>231</v>
      </c>
      <c r="BE2806" s="4" t="s">
        <v>231</v>
      </c>
      <c r="BF2806" s="8" t="s">
        <v>231</v>
      </c>
      <c r="BG2806" s="7" t="s">
        <v>231</v>
      </c>
      <c r="BH2806" s="7" t="s">
        <v>231</v>
      </c>
      <c r="BI2806" s="7"/>
      <c r="BJ2806" s="4">
        <v>69</v>
      </c>
      <c r="BK2806" s="8">
        <v>3407.47</v>
      </c>
      <c r="BL2806" s="2" t="s">
        <v>11898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11899</v>
      </c>
      <c r="BV2806" s="2" t="s">
        <v>231</v>
      </c>
      <c r="BW2806" s="2" t="s">
        <v>231</v>
      </c>
      <c r="BX2806" s="2" t="s">
        <v>241</v>
      </c>
      <c r="BY2806" s="2" t="s">
        <v>277</v>
      </c>
      <c r="BZ2806" s="2" t="s">
        <v>243</v>
      </c>
      <c r="CA2806" s="2" t="s">
        <v>11900</v>
      </c>
      <c r="CB2806" s="2" t="s">
        <v>8852</v>
      </c>
      <c r="CC2806" s="2" t="s">
        <v>244</v>
      </c>
      <c r="CD2806" s="2" t="s">
        <v>231</v>
      </c>
      <c r="CE2806" s="4"/>
      <c r="CF2806" s="4">
        <v>186</v>
      </c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4"/>
      <c r="CX2806" s="4"/>
      <c r="CY2806" s="4"/>
      <c r="CZ2806" s="4"/>
      <c r="DA2806" s="4"/>
      <c r="DB2806" s="4"/>
      <c r="DC2806" s="4"/>
      <c r="DD2806" s="4"/>
      <c r="DE2806" s="4"/>
      <c r="DF2806" s="4"/>
      <c r="DG2806" s="4"/>
      <c r="DH2806" s="4"/>
      <c r="DI2806" s="4"/>
      <c r="DJ2806" s="4"/>
      <c r="DK2806" s="4"/>
      <c r="DL2806" s="4"/>
      <c r="DM2806" s="4"/>
      <c r="DN2806" s="4"/>
      <c r="DO2806" s="4"/>
      <c r="DP2806" s="4"/>
      <c r="DQ2806" s="4"/>
      <c r="DR2806" s="4"/>
      <c r="DS2806" s="4"/>
      <c r="DT2806" s="4">
        <v>100</v>
      </c>
      <c r="DU2806" s="4"/>
      <c r="DV2806" s="4"/>
      <c r="DW2806" s="4"/>
      <c r="DX2806" s="4"/>
      <c r="DY2806" s="4"/>
      <c r="DZ2806" s="4"/>
      <c r="EA2806" s="4"/>
      <c r="EB2806" s="4"/>
      <c r="EC2806" s="4"/>
      <c r="ED2806" s="4"/>
      <c r="EE2806" s="4"/>
      <c r="EF2806" s="4"/>
      <c r="EG2806" s="4"/>
      <c r="EH2806" s="4"/>
      <c r="EI2806" s="4"/>
      <c r="EJ2806" s="4"/>
      <c r="EK2806" s="4"/>
      <c r="EL2806" s="4"/>
      <c r="EM2806" s="4"/>
      <c r="EN2806" s="4"/>
      <c r="EO2806" s="4"/>
      <c r="EP2806" s="4"/>
      <c r="EQ2806" s="4"/>
      <c r="ER2806" s="4"/>
      <c r="ES2806" s="4"/>
      <c r="ET2806" s="4"/>
      <c r="EU2806" s="4"/>
      <c r="EV2806" s="4"/>
      <c r="EW2806" s="4"/>
      <c r="EX2806" s="4"/>
      <c r="EY2806" s="4"/>
      <c r="EZ2806" s="4"/>
      <c r="FA2806" s="4"/>
      <c r="FB2806" s="4"/>
      <c r="FC2806" s="4"/>
      <c r="FD2806" s="4"/>
      <c r="FE2806" s="4"/>
      <c r="FF2806" s="4"/>
      <c r="FG2806" s="4"/>
      <c r="FH2806" s="4"/>
      <c r="FI2806" s="4"/>
      <c r="FJ2806" s="4"/>
      <c r="FK2806" s="4"/>
      <c r="FL2806" s="4"/>
      <c r="FM2806" s="4"/>
      <c r="FN2806" s="4"/>
      <c r="FO2806" s="4"/>
      <c r="FP2806" s="4"/>
      <c r="FQ2806" s="4"/>
      <c r="FR2806" s="4"/>
      <c r="FS2806" s="4"/>
      <c r="FT2806" s="4"/>
      <c r="FU2806" s="4"/>
      <c r="FV2806" s="4"/>
      <c r="FW2806" s="4"/>
      <c r="FX2806" s="4"/>
      <c r="FY2806" s="4"/>
      <c r="FZ2806" s="4"/>
      <c r="GA2806" s="4"/>
      <c r="GB2806" s="4"/>
      <c r="GC2806" s="4"/>
      <c r="GD2806" s="4"/>
      <c r="GE2806" s="4"/>
      <c r="GF2806" s="4"/>
      <c r="GG2806" s="4"/>
      <c r="GH2806" s="4"/>
      <c r="GI2806" s="4"/>
      <c r="GJ2806" s="4"/>
      <c r="GK2806" s="4"/>
      <c r="GL2806" s="4"/>
      <c r="GM2806" s="4"/>
      <c r="GN2806" s="4"/>
      <c r="GO2806" s="4"/>
      <c r="GP2806" s="4"/>
      <c r="GQ2806" s="4"/>
      <c r="GR2806" s="4"/>
      <c r="GS2806" s="4"/>
      <c r="GT2806" s="4"/>
      <c r="GU2806" s="4"/>
      <c r="GV2806" s="4"/>
      <c r="GW2806" s="4"/>
      <c r="GX2806" s="4"/>
      <c r="GY2806" s="4"/>
      <c r="GZ2806" s="4"/>
      <c r="HA2806" s="4"/>
      <c r="HB2806" s="4"/>
      <c r="HC2806" s="4"/>
      <c r="HD2806" s="4"/>
      <c r="HE2806" s="4"/>
      <c r="HF2806" s="4"/>
      <c r="HG2806" s="4"/>
      <c r="HH2806" s="4"/>
      <c r="HI2806" s="4"/>
      <c r="HJ2806" s="4"/>
      <c r="HK2806" s="4"/>
      <c r="HL2806" s="4"/>
    </row>
    <row r="2807">
      <c r="A2807" s="2" t="s">
        <v>11901</v>
      </c>
      <c r="B2807" s="2" t="s">
        <v>3036</v>
      </c>
      <c r="C2807" s="2" t="s">
        <v>1233</v>
      </c>
      <c r="D2807" s="2" t="s">
        <v>3037</v>
      </c>
      <c r="E2807" s="2" t="s">
        <v>3038</v>
      </c>
      <c r="F2807" s="2" t="s">
        <v>11902</v>
      </c>
      <c r="G2807" s="2" t="s">
        <v>11902</v>
      </c>
      <c r="H2807" s="2" t="s">
        <v>11902</v>
      </c>
      <c r="I2807" s="2" t="s">
        <v>11903</v>
      </c>
      <c r="J2807" s="2" t="s">
        <v>807</v>
      </c>
      <c r="K2807" s="2" t="s">
        <v>253</v>
      </c>
      <c r="L2807" s="3">
        <v>21.46</v>
      </c>
      <c r="M2807" s="3">
        <v>22.53</v>
      </c>
      <c r="N2807" s="3">
        <v>29.99</v>
      </c>
      <c r="O2807" s="2" t="s">
        <v>243</v>
      </c>
      <c r="P2807" s="2" t="s">
        <v>236</v>
      </c>
      <c r="Q2807" s="2" t="s">
        <v>237</v>
      </c>
      <c r="R2807" s="2" t="s">
        <v>231</v>
      </c>
      <c r="S2807" s="2" t="s">
        <v>231</v>
      </c>
      <c r="T2807" s="2" t="s">
        <v>231</v>
      </c>
      <c r="U2807" s="2" t="s">
        <v>327</v>
      </c>
      <c r="V2807" s="2" t="s">
        <v>662</v>
      </c>
      <c r="W2807" s="2" t="s">
        <v>273</v>
      </c>
      <c r="X2807" s="2" t="s">
        <v>231</v>
      </c>
      <c r="Y2807" s="2" t="s">
        <v>6386</v>
      </c>
      <c r="Z2807" s="4">
        <v>557</v>
      </c>
      <c r="AA2807" s="4">
        <f>=ROUNDDOWN(557,0)</f>
      </c>
      <c r="AB2807" s="5">
        <v>1</v>
      </c>
      <c r="AC2807" s="2" t="s">
        <v>231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231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/>
      <c r="BD2807" s="8"/>
      <c r="BE2807" s="4"/>
      <c r="BF2807" s="8"/>
      <c r="BG2807" s="7"/>
      <c r="BH2807" s="7"/>
      <c r="BI2807" s="7"/>
      <c r="BJ2807" s="4">
        <v>1</v>
      </c>
      <c r="BK2807" s="8">
        <v>24.68</v>
      </c>
      <c r="BL2807" s="2" t="s">
        <v>1022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11904</v>
      </c>
      <c r="BV2807" s="2" t="s">
        <v>231</v>
      </c>
      <c r="BW2807" s="2" t="s">
        <v>231</v>
      </c>
      <c r="BX2807" s="2" t="s">
        <v>241</v>
      </c>
      <c r="BY2807" s="2" t="s">
        <v>277</v>
      </c>
      <c r="BZ2807" s="2" t="s">
        <v>243</v>
      </c>
      <c r="CA2807" s="2" t="s">
        <v>1119</v>
      </c>
      <c r="CB2807" s="2" t="s">
        <v>231</v>
      </c>
      <c r="CC2807" s="2" t="s">
        <v>244</v>
      </c>
      <c r="CD2807" s="2" t="s">
        <v>231</v>
      </c>
      <c r="CE2807" s="4"/>
      <c r="CF2807" s="4">
        <v>266</v>
      </c>
      <c r="CG2807" s="4"/>
      <c r="CH2807" s="4"/>
      <c r="CI2807" s="4">
        <v>291</v>
      </c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4"/>
      <c r="CX2807" s="4"/>
      <c r="CY2807" s="4"/>
      <c r="CZ2807" s="4"/>
      <c r="DA2807" s="4"/>
      <c r="DB2807" s="4"/>
      <c r="DC2807" s="4"/>
      <c r="DD2807" s="4"/>
      <c r="DE2807" s="4"/>
      <c r="DF2807" s="4"/>
      <c r="DG2807" s="4"/>
      <c r="DH2807" s="4"/>
      <c r="DI2807" s="4"/>
      <c r="DJ2807" s="4"/>
      <c r="DK2807" s="4"/>
      <c r="DL2807" s="4"/>
      <c r="DM2807" s="4"/>
      <c r="DN2807" s="4"/>
      <c r="DO2807" s="4"/>
      <c r="DP2807" s="4"/>
      <c r="DQ2807" s="4"/>
      <c r="DR2807" s="4"/>
      <c r="DS2807" s="4"/>
      <c r="DT2807" s="4"/>
      <c r="DU2807" s="4"/>
      <c r="DV2807" s="4"/>
      <c r="DW2807" s="4"/>
      <c r="DX2807" s="4"/>
      <c r="DY2807" s="4"/>
      <c r="DZ2807" s="4"/>
      <c r="EA2807" s="4"/>
      <c r="EB2807" s="4"/>
      <c r="EC2807" s="4"/>
      <c r="ED2807" s="4"/>
      <c r="EE2807" s="4"/>
      <c r="EF2807" s="4"/>
      <c r="EG2807" s="4"/>
      <c r="EH2807" s="4"/>
      <c r="EI2807" s="4"/>
      <c r="EJ2807" s="4"/>
      <c r="EK2807" s="4"/>
      <c r="EL2807" s="4"/>
      <c r="EM2807" s="4"/>
      <c r="EN2807" s="4"/>
      <c r="EO2807" s="4"/>
      <c r="EP2807" s="4"/>
      <c r="EQ2807" s="4"/>
      <c r="ER2807" s="4"/>
      <c r="ES2807" s="4"/>
      <c r="ET2807" s="4"/>
      <c r="EU2807" s="4"/>
      <c r="EV2807" s="4"/>
      <c r="EW2807" s="4"/>
      <c r="EX2807" s="4"/>
      <c r="EY2807" s="4"/>
      <c r="EZ2807" s="4"/>
      <c r="FA2807" s="4"/>
      <c r="FB2807" s="4"/>
      <c r="FC2807" s="4"/>
      <c r="FD2807" s="4"/>
      <c r="FE2807" s="4"/>
      <c r="FF2807" s="4"/>
      <c r="FG2807" s="4"/>
      <c r="FH2807" s="4"/>
      <c r="FI2807" s="4"/>
      <c r="FJ2807" s="4"/>
      <c r="FK2807" s="4"/>
      <c r="FL2807" s="4"/>
      <c r="FM2807" s="4"/>
      <c r="FN2807" s="4"/>
      <c r="FO2807" s="4"/>
      <c r="FP2807" s="4"/>
      <c r="FQ2807" s="4"/>
      <c r="FR2807" s="4"/>
      <c r="FS2807" s="4"/>
      <c r="FT2807" s="4"/>
      <c r="FU2807" s="4"/>
      <c r="FV2807" s="4"/>
      <c r="FW2807" s="4"/>
      <c r="FX2807" s="4"/>
      <c r="FY2807" s="4"/>
      <c r="FZ2807" s="4"/>
      <c r="GA2807" s="4"/>
      <c r="GB2807" s="4"/>
      <c r="GC2807" s="4"/>
      <c r="GD2807" s="4"/>
      <c r="GE2807" s="4"/>
      <c r="GF2807" s="4"/>
      <c r="GG2807" s="4"/>
      <c r="GH2807" s="4"/>
      <c r="GI2807" s="4"/>
      <c r="GJ2807" s="4"/>
      <c r="GK2807" s="4"/>
      <c r="GL2807" s="4"/>
      <c r="GM2807" s="4"/>
      <c r="GN2807" s="4"/>
      <c r="GO2807" s="4"/>
      <c r="GP2807" s="4"/>
      <c r="GQ2807" s="4"/>
      <c r="GR2807" s="4"/>
      <c r="GS2807" s="4"/>
      <c r="GT2807" s="4"/>
      <c r="GU2807" s="4"/>
      <c r="GV2807" s="4"/>
      <c r="GW2807" s="4"/>
      <c r="GX2807" s="4"/>
      <c r="GY2807" s="4"/>
      <c r="GZ2807" s="4"/>
      <c r="HA2807" s="4"/>
      <c r="HB2807" s="4"/>
      <c r="HC2807" s="4"/>
      <c r="HD2807" s="4"/>
      <c r="HE2807" s="4"/>
      <c r="HF2807" s="4"/>
      <c r="HG2807" s="4"/>
      <c r="HH2807" s="4"/>
      <c r="HI2807" s="4"/>
      <c r="HJ2807" s="4"/>
      <c r="HK2807" s="4"/>
      <c r="HL2807" s="4"/>
    </row>
    <row r="2808">
      <c r="A2808" s="2" t="s">
        <v>11905</v>
      </c>
      <c r="B2808" s="2" t="s">
        <v>1186</v>
      </c>
      <c r="C2808" s="2" t="s">
        <v>1299</v>
      </c>
      <c r="D2808" s="2" t="s">
        <v>1462</v>
      </c>
      <c r="E2808" s="2" t="s">
        <v>7034</v>
      </c>
      <c r="F2808" s="2" t="s">
        <v>11906</v>
      </c>
      <c r="G2808" s="2" t="s">
        <v>11906</v>
      </c>
      <c r="H2808" s="2" t="s">
        <v>11906</v>
      </c>
      <c r="I2808" s="2" t="s">
        <v>7035</v>
      </c>
      <c r="J2808" s="2" t="s">
        <v>658</v>
      </c>
      <c r="K2808" s="2" t="s">
        <v>1513</v>
      </c>
      <c r="L2808" s="3">
        <v>49.99</v>
      </c>
      <c r="M2808" s="3">
        <v>52.49</v>
      </c>
      <c r="N2808" s="3">
        <v>109.99</v>
      </c>
      <c r="O2808" s="2" t="s">
        <v>243</v>
      </c>
      <c r="P2808" s="2" t="s">
        <v>871</v>
      </c>
      <c r="Q2808" s="2" t="s">
        <v>237</v>
      </c>
      <c r="R2808" s="2" t="s">
        <v>231</v>
      </c>
      <c r="S2808" s="2" t="s">
        <v>11907</v>
      </c>
      <c r="T2808" s="2" t="s">
        <v>231</v>
      </c>
      <c r="U2808" s="2" t="s">
        <v>231</v>
      </c>
      <c r="V2808" s="2" t="s">
        <v>1304</v>
      </c>
      <c r="W2808" s="2" t="s">
        <v>897</v>
      </c>
      <c r="X2808" s="2" t="s">
        <v>8680</v>
      </c>
      <c r="Y2808" s="2" t="s">
        <v>274</v>
      </c>
      <c r="Z2808" s="4">
        <v>151</v>
      </c>
      <c r="AA2808" s="4">
        <f>=ROUNDDOWN(16.7777777777778,0)</f>
      </c>
      <c r="AB2808" s="5">
        <v>9</v>
      </c>
      <c r="AC2808" s="2" t="s">
        <v>477</v>
      </c>
      <c r="AD2808" s="4">
        <v>210</v>
      </c>
      <c r="AE2808" s="4">
        <v>480</v>
      </c>
      <c r="AF2808" s="6">
        <v>69</v>
      </c>
      <c r="AG2808" s="6"/>
      <c r="AH2808" s="7">
        <v>1</v>
      </c>
      <c r="AI2808" s="4"/>
      <c r="AJ2808" s="4">
        <f>=ROUNDDOWN({0},0)</f>
      </c>
      <c r="AK2808" s="5"/>
      <c r="AL2808" s="2" t="s">
        <v>231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231</v>
      </c>
      <c r="AW2808" s="8" t="s">
        <v>231</v>
      </c>
      <c r="AX2808" s="4" t="s">
        <v>231</v>
      </c>
      <c r="AY2808" s="8" t="s">
        <v>231</v>
      </c>
      <c r="AZ2808" s="7" t="s">
        <v>231</v>
      </c>
      <c r="BA2808" s="7" t="s">
        <v>231</v>
      </c>
      <c r="BB2808" s="7"/>
      <c r="BC2808" s="4" t="s">
        <v>231</v>
      </c>
      <c r="BD2808" s="8" t="s">
        <v>231</v>
      </c>
      <c r="BE2808" s="4" t="s">
        <v>231</v>
      </c>
      <c r="BF2808" s="8" t="s">
        <v>231</v>
      </c>
      <c r="BG2808" s="7" t="s">
        <v>231</v>
      </c>
      <c r="BH2808" s="7" t="s">
        <v>231</v>
      </c>
      <c r="BI2808" s="7"/>
      <c r="BJ2808" s="4">
        <v>30</v>
      </c>
      <c r="BK2808" s="8">
        <v>1609.69</v>
      </c>
      <c r="BL2808" s="2" t="s">
        <v>11908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11909</v>
      </c>
      <c r="BV2808" s="2" t="s">
        <v>231</v>
      </c>
      <c r="BW2808" s="2" t="s">
        <v>231</v>
      </c>
      <c r="BX2808" s="2" t="s">
        <v>231</v>
      </c>
      <c r="BY2808" s="2" t="s">
        <v>277</v>
      </c>
      <c r="BZ2808" s="2" t="s">
        <v>243</v>
      </c>
      <c r="CA2808" s="2" t="s">
        <v>1271</v>
      </c>
      <c r="CB2808" s="2" t="s">
        <v>5314</v>
      </c>
      <c r="CC2808" s="2" t="s">
        <v>244</v>
      </c>
      <c r="CD2808" s="2" t="s">
        <v>231</v>
      </c>
      <c r="CE2808" s="4">
        <v>151</v>
      </c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4"/>
      <c r="CX2808" s="4"/>
      <c r="CY2808" s="4"/>
      <c r="CZ2808" s="4"/>
      <c r="DA2808" s="4"/>
      <c r="DB2808" s="4"/>
      <c r="DC2808" s="4"/>
      <c r="DD2808" s="4"/>
      <c r="DE2808" s="4"/>
      <c r="DF2808" s="4"/>
      <c r="DG2808" s="4"/>
      <c r="DH2808" s="4"/>
      <c r="DI2808" s="4"/>
      <c r="DJ2808" s="4"/>
      <c r="DK2808" s="4"/>
      <c r="DL2808" s="4"/>
      <c r="DM2808" s="4"/>
      <c r="DN2808" s="4"/>
      <c r="DO2808" s="4"/>
      <c r="DP2808" s="4"/>
      <c r="DQ2808" s="4"/>
      <c r="DR2808" s="4"/>
      <c r="DS2808" s="4">
        <v>210</v>
      </c>
      <c r="DT2808" s="4"/>
      <c r="DU2808" s="4"/>
      <c r="DV2808" s="4"/>
      <c r="DW2808" s="4"/>
      <c r="DX2808" s="4"/>
      <c r="DY2808" s="4"/>
      <c r="DZ2808" s="4"/>
      <c r="EA2808" s="4"/>
      <c r="EB2808" s="4"/>
      <c r="EC2808" s="4"/>
      <c r="ED2808" s="4"/>
      <c r="EE2808" s="4"/>
      <c r="EF2808" s="4"/>
      <c r="EG2808" s="4"/>
      <c r="EH2808" s="4"/>
      <c r="EI2808" s="4"/>
      <c r="EJ2808" s="4"/>
      <c r="EK2808" s="4"/>
      <c r="EL2808" s="4"/>
      <c r="EM2808" s="4"/>
      <c r="EN2808" s="4"/>
      <c r="EO2808" s="4"/>
      <c r="EP2808" s="4"/>
      <c r="EQ2808" s="4"/>
      <c r="ER2808" s="4"/>
      <c r="ES2808" s="4"/>
      <c r="ET2808" s="4"/>
      <c r="EU2808" s="4"/>
      <c r="EV2808" s="4"/>
      <c r="EW2808" s="4"/>
      <c r="EX2808" s="4"/>
      <c r="EY2808" s="4"/>
      <c r="EZ2808" s="4"/>
      <c r="FA2808" s="4"/>
      <c r="FB2808" s="4"/>
      <c r="FC2808" s="4">
        <v>100</v>
      </c>
      <c r="FD2808" s="4"/>
      <c r="FE2808" s="4"/>
      <c r="FF2808" s="4"/>
      <c r="FG2808" s="4"/>
      <c r="FH2808" s="4"/>
      <c r="FI2808" s="4"/>
      <c r="FJ2808" s="4"/>
      <c r="FK2808" s="4"/>
      <c r="FL2808" s="4"/>
      <c r="FM2808" s="4"/>
      <c r="FN2808" s="4"/>
      <c r="FO2808" s="4"/>
      <c r="FP2808" s="4"/>
      <c r="FQ2808" s="4"/>
      <c r="FR2808" s="4"/>
      <c r="FS2808" s="4"/>
      <c r="FT2808" s="4"/>
      <c r="FU2808" s="4"/>
      <c r="FV2808" s="4"/>
      <c r="FW2808" s="4"/>
      <c r="FX2808" s="4"/>
      <c r="FY2808" s="4"/>
      <c r="FZ2808" s="4"/>
      <c r="GA2808" s="4"/>
      <c r="GB2808" s="4">
        <v>80</v>
      </c>
      <c r="GC2808" s="4"/>
      <c r="GD2808" s="4"/>
      <c r="GE2808" s="4"/>
      <c r="GF2808" s="4"/>
      <c r="GG2808" s="4"/>
      <c r="GH2808" s="4"/>
      <c r="GI2808" s="4"/>
      <c r="GJ2808" s="4"/>
      <c r="GK2808" s="4"/>
      <c r="GL2808" s="4"/>
      <c r="GM2808" s="4"/>
      <c r="GN2808" s="4"/>
      <c r="GO2808" s="4"/>
      <c r="GP2808" s="4"/>
      <c r="GQ2808" s="4"/>
      <c r="GR2808" s="4"/>
      <c r="GS2808" s="4"/>
      <c r="GT2808" s="4"/>
      <c r="GU2808" s="4"/>
      <c r="GV2808" s="4"/>
      <c r="GW2808" s="4"/>
      <c r="GX2808" s="4"/>
      <c r="GY2808" s="4"/>
      <c r="GZ2808" s="4">
        <v>90</v>
      </c>
      <c r="HA2808" s="4"/>
      <c r="HB2808" s="4"/>
      <c r="HC2808" s="4"/>
      <c r="HD2808" s="4"/>
      <c r="HE2808" s="4"/>
      <c r="HF2808" s="4"/>
      <c r="HG2808" s="4"/>
      <c r="HH2808" s="4"/>
      <c r="HI2808" s="4"/>
      <c r="HJ2808" s="4"/>
      <c r="HK2808" s="4"/>
      <c r="HL2808" s="4"/>
    </row>
    <row r="2809">
      <c r="A2809" s="2" t="s">
        <v>11910</v>
      </c>
      <c r="B2809" s="2" t="s">
        <v>1186</v>
      </c>
      <c r="C2809" s="2" t="s">
        <v>1299</v>
      </c>
      <c r="D2809" s="2" t="s">
        <v>1624</v>
      </c>
      <c r="E2809" s="2" t="s">
        <v>1625</v>
      </c>
      <c r="F2809" s="2" t="s">
        <v>11906</v>
      </c>
      <c r="G2809" s="2" t="s">
        <v>11906</v>
      </c>
      <c r="H2809" s="2" t="s">
        <v>11906</v>
      </c>
      <c r="I2809" s="2" t="s">
        <v>7058</v>
      </c>
      <c r="J2809" s="2" t="s">
        <v>1628</v>
      </c>
      <c r="K2809" s="2" t="s">
        <v>1513</v>
      </c>
      <c r="L2809" s="3">
        <v>22.05</v>
      </c>
      <c r="M2809" s="3">
        <v>23.15</v>
      </c>
      <c r="N2809" s="3">
        <v>44.99</v>
      </c>
      <c r="O2809" s="2" t="s">
        <v>243</v>
      </c>
      <c r="P2809" s="2" t="s">
        <v>270</v>
      </c>
      <c r="Q2809" s="2" t="s">
        <v>237</v>
      </c>
      <c r="R2809" s="2" t="s">
        <v>231</v>
      </c>
      <c r="S2809" s="2" t="s">
        <v>7059</v>
      </c>
      <c r="T2809" s="2" t="s">
        <v>231</v>
      </c>
      <c r="U2809" s="2" t="s">
        <v>231</v>
      </c>
      <c r="V2809" s="2" t="s">
        <v>1304</v>
      </c>
      <c r="W2809" s="2" t="s">
        <v>897</v>
      </c>
      <c r="X2809" s="2" t="s">
        <v>8680</v>
      </c>
      <c r="Y2809" s="2" t="s">
        <v>274</v>
      </c>
      <c r="Z2809" s="4">
        <v>960</v>
      </c>
      <c r="AA2809" s="4">
        <f>=ROUNDDOWN(28.2352941176471,0)</f>
      </c>
      <c r="AB2809" s="5">
        <v>34</v>
      </c>
      <c r="AC2809" s="2" t="s">
        <v>477</v>
      </c>
      <c r="AD2809" s="4">
        <v>50</v>
      </c>
      <c r="AE2809" s="4">
        <v>2270</v>
      </c>
      <c r="AF2809" s="6">
        <v>69</v>
      </c>
      <c r="AG2809" s="6"/>
      <c r="AH2809" s="7">
        <v>1</v>
      </c>
      <c r="AI2809" s="4"/>
      <c r="AJ2809" s="4">
        <f>=ROUNDDOWN({0},0)</f>
      </c>
      <c r="AK2809" s="5"/>
      <c r="AL2809" s="2" t="s">
        <v>231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231</v>
      </c>
      <c r="AW2809" s="8" t="s">
        <v>231</v>
      </c>
      <c r="AX2809" s="4" t="s">
        <v>231</v>
      </c>
      <c r="AY2809" s="8" t="s">
        <v>231</v>
      </c>
      <c r="AZ2809" s="7" t="s">
        <v>231</v>
      </c>
      <c r="BA2809" s="7" t="s">
        <v>231</v>
      </c>
      <c r="BB2809" s="7"/>
      <c r="BC2809" s="4" t="s">
        <v>231</v>
      </c>
      <c r="BD2809" s="8" t="s">
        <v>231</v>
      </c>
      <c r="BE2809" s="4" t="s">
        <v>231</v>
      </c>
      <c r="BF2809" s="8" t="s">
        <v>231</v>
      </c>
      <c r="BG2809" s="7" t="s">
        <v>231</v>
      </c>
      <c r="BH2809" s="7" t="s">
        <v>231</v>
      </c>
      <c r="BI2809" s="7"/>
      <c r="BJ2809" s="4">
        <v>95</v>
      </c>
      <c r="BK2809" s="8">
        <v>2182.93</v>
      </c>
      <c r="BL2809" s="2" t="s">
        <v>11911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11912</v>
      </c>
      <c r="BV2809" s="2" t="s">
        <v>231</v>
      </c>
      <c r="BW2809" s="2" t="s">
        <v>231</v>
      </c>
      <c r="BX2809" s="2" t="s">
        <v>231</v>
      </c>
      <c r="BY2809" s="2" t="s">
        <v>277</v>
      </c>
      <c r="BZ2809" s="2" t="s">
        <v>243</v>
      </c>
      <c r="CA2809" s="2" t="s">
        <v>1271</v>
      </c>
      <c r="CB2809" s="2" t="s">
        <v>4200</v>
      </c>
      <c r="CC2809" s="2" t="s">
        <v>244</v>
      </c>
      <c r="CD2809" s="2" t="s">
        <v>231</v>
      </c>
      <c r="CE2809" s="4">
        <v>960</v>
      </c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4"/>
      <c r="CX2809" s="4"/>
      <c r="CY2809" s="4"/>
      <c r="CZ2809" s="4"/>
      <c r="DA2809" s="4"/>
      <c r="DB2809" s="4"/>
      <c r="DC2809" s="4"/>
      <c r="DD2809" s="4"/>
      <c r="DE2809" s="4"/>
      <c r="DF2809" s="4"/>
      <c r="DG2809" s="4"/>
      <c r="DH2809" s="4"/>
      <c r="DI2809" s="4"/>
      <c r="DJ2809" s="4"/>
      <c r="DK2809" s="4"/>
      <c r="DL2809" s="4"/>
      <c r="DM2809" s="4"/>
      <c r="DN2809" s="4"/>
      <c r="DO2809" s="4"/>
      <c r="DP2809" s="4"/>
      <c r="DQ2809" s="4"/>
      <c r="DR2809" s="4"/>
      <c r="DS2809" s="4">
        <v>50</v>
      </c>
      <c r="DT2809" s="4"/>
      <c r="DU2809" s="4"/>
      <c r="DV2809" s="4"/>
      <c r="DW2809" s="4"/>
      <c r="DX2809" s="4"/>
      <c r="DY2809" s="4"/>
      <c r="DZ2809" s="4"/>
      <c r="EA2809" s="4"/>
      <c r="EB2809" s="4"/>
      <c r="EC2809" s="4"/>
      <c r="ED2809" s="4"/>
      <c r="EE2809" s="4"/>
      <c r="EF2809" s="4"/>
      <c r="EG2809" s="4"/>
      <c r="EH2809" s="4"/>
      <c r="EI2809" s="4"/>
      <c r="EJ2809" s="4"/>
      <c r="EK2809" s="4"/>
      <c r="EL2809" s="4"/>
      <c r="EM2809" s="4"/>
      <c r="EN2809" s="4"/>
      <c r="EO2809" s="4"/>
      <c r="EP2809" s="4"/>
      <c r="EQ2809" s="4"/>
      <c r="ER2809" s="4"/>
      <c r="ES2809" s="4"/>
      <c r="ET2809" s="4"/>
      <c r="EU2809" s="4"/>
      <c r="EV2809" s="4"/>
      <c r="EW2809" s="4"/>
      <c r="EX2809" s="4"/>
      <c r="EY2809" s="4"/>
      <c r="EZ2809" s="4"/>
      <c r="FA2809" s="4"/>
      <c r="FB2809" s="4"/>
      <c r="FC2809" s="4">
        <v>670</v>
      </c>
      <c r="FD2809" s="4"/>
      <c r="FE2809" s="4"/>
      <c r="FF2809" s="4"/>
      <c r="FG2809" s="4"/>
      <c r="FH2809" s="4"/>
      <c r="FI2809" s="4"/>
      <c r="FJ2809" s="4"/>
      <c r="FK2809" s="4"/>
      <c r="FL2809" s="4"/>
      <c r="FM2809" s="4"/>
      <c r="FN2809" s="4"/>
      <c r="FO2809" s="4"/>
      <c r="FP2809" s="4"/>
      <c r="FQ2809" s="4"/>
      <c r="FR2809" s="4"/>
      <c r="FS2809" s="4"/>
      <c r="FT2809" s="4"/>
      <c r="FU2809" s="4"/>
      <c r="FV2809" s="4"/>
      <c r="FW2809" s="4"/>
      <c r="FX2809" s="4"/>
      <c r="FY2809" s="4"/>
      <c r="FZ2809" s="4"/>
      <c r="GA2809" s="4"/>
      <c r="GB2809" s="4">
        <v>1150</v>
      </c>
      <c r="GC2809" s="4"/>
      <c r="GD2809" s="4"/>
      <c r="GE2809" s="4"/>
      <c r="GF2809" s="4"/>
      <c r="GG2809" s="4"/>
      <c r="GH2809" s="4"/>
      <c r="GI2809" s="4"/>
      <c r="GJ2809" s="4"/>
      <c r="GK2809" s="4"/>
      <c r="GL2809" s="4"/>
      <c r="GM2809" s="4"/>
      <c r="GN2809" s="4"/>
      <c r="GO2809" s="4"/>
      <c r="GP2809" s="4"/>
      <c r="GQ2809" s="4"/>
      <c r="GR2809" s="4"/>
      <c r="GS2809" s="4"/>
      <c r="GT2809" s="4"/>
      <c r="GU2809" s="4"/>
      <c r="GV2809" s="4"/>
      <c r="GW2809" s="4"/>
      <c r="GX2809" s="4"/>
      <c r="GY2809" s="4"/>
      <c r="GZ2809" s="4">
        <v>400</v>
      </c>
      <c r="HA2809" s="4"/>
      <c r="HB2809" s="4"/>
      <c r="HC2809" s="4"/>
      <c r="HD2809" s="4"/>
      <c r="HE2809" s="4"/>
      <c r="HF2809" s="4"/>
      <c r="HG2809" s="4"/>
      <c r="HH2809" s="4"/>
      <c r="HI2809" s="4"/>
      <c r="HJ2809" s="4"/>
      <c r="HK2809" s="4"/>
      <c r="HL2809" s="4"/>
    </row>
    <row r="2810">
      <c r="A2810" s="2" t="s">
        <v>11913</v>
      </c>
      <c r="B2810" s="2" t="s">
        <v>940</v>
      </c>
      <c r="C2810" s="2" t="s">
        <v>1299</v>
      </c>
      <c r="D2810" s="2" t="s">
        <v>1533</v>
      </c>
      <c r="E2810" s="2" t="s">
        <v>1534</v>
      </c>
      <c r="F2810" s="2" t="s">
        <v>11906</v>
      </c>
      <c r="G2810" s="2" t="s">
        <v>11906</v>
      </c>
      <c r="H2810" s="2" t="s">
        <v>11906</v>
      </c>
      <c r="I2810" s="2" t="s">
        <v>11914</v>
      </c>
      <c r="J2810" s="2" t="s">
        <v>1536</v>
      </c>
      <c r="K2810" s="2" t="s">
        <v>1513</v>
      </c>
      <c r="L2810" s="3">
        <v>20.5</v>
      </c>
      <c r="M2810" s="3">
        <v>21.52</v>
      </c>
      <c r="N2810" s="3">
        <v>42.99</v>
      </c>
      <c r="O2810" s="2" t="s">
        <v>243</v>
      </c>
      <c r="P2810" s="2" t="s">
        <v>1985</v>
      </c>
      <c r="Q2810" s="2" t="s">
        <v>237</v>
      </c>
      <c r="R2810" s="2" t="s">
        <v>231</v>
      </c>
      <c r="S2810" s="2" t="s">
        <v>11907</v>
      </c>
      <c r="T2810" s="2" t="s">
        <v>231</v>
      </c>
      <c r="U2810" s="2" t="s">
        <v>231</v>
      </c>
      <c r="V2810" s="2" t="s">
        <v>1304</v>
      </c>
      <c r="W2810" s="2" t="s">
        <v>897</v>
      </c>
      <c r="X2810" s="2" t="s">
        <v>231</v>
      </c>
      <c r="Y2810" s="2" t="s">
        <v>274</v>
      </c>
      <c r="Z2810" s="4">
        <v>180</v>
      </c>
      <c r="AA2810" s="4">
        <f>=ROUNDDOWN(25.7142857142857,0)</f>
      </c>
      <c r="AB2810" s="5">
        <v>7</v>
      </c>
      <c r="AC2810" s="2" t="s">
        <v>477</v>
      </c>
      <c r="AD2810" s="4">
        <v>32</v>
      </c>
      <c r="AE2810" s="4">
        <v>404</v>
      </c>
      <c r="AF2810" s="6">
        <v>69</v>
      </c>
      <c r="AG2810" s="6"/>
      <c r="AH2810" s="7">
        <v>1</v>
      </c>
      <c r="AI2810" s="4"/>
      <c r="AJ2810" s="4">
        <f>=ROUNDDOWN({0},0)</f>
      </c>
      <c r="AK2810" s="5"/>
      <c r="AL2810" s="2" t="s">
        <v>231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231</v>
      </c>
      <c r="AW2810" s="8" t="s">
        <v>231</v>
      </c>
      <c r="AX2810" s="4" t="s">
        <v>231</v>
      </c>
      <c r="AY2810" s="8" t="s">
        <v>231</v>
      </c>
      <c r="AZ2810" s="7" t="s">
        <v>231</v>
      </c>
      <c r="BA2810" s="7" t="s">
        <v>231</v>
      </c>
      <c r="BB2810" s="7"/>
      <c r="BC2810" s="4" t="s">
        <v>231</v>
      </c>
      <c r="BD2810" s="8" t="s">
        <v>231</v>
      </c>
      <c r="BE2810" s="4" t="s">
        <v>231</v>
      </c>
      <c r="BF2810" s="8" t="s">
        <v>231</v>
      </c>
      <c r="BG2810" s="7" t="s">
        <v>231</v>
      </c>
      <c r="BH2810" s="7" t="s">
        <v>231</v>
      </c>
      <c r="BI2810" s="7"/>
      <c r="BJ2810" s="4">
        <v>26</v>
      </c>
      <c r="BK2810" s="8">
        <v>547.47</v>
      </c>
      <c r="BL2810" s="2" t="s">
        <v>1652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11915</v>
      </c>
      <c r="BV2810" s="2" t="s">
        <v>231</v>
      </c>
      <c r="BW2810" s="2" t="s">
        <v>231</v>
      </c>
      <c r="BX2810" s="2" t="s">
        <v>231</v>
      </c>
      <c r="BY2810" s="2" t="s">
        <v>277</v>
      </c>
      <c r="BZ2810" s="2" t="s">
        <v>243</v>
      </c>
      <c r="CA2810" s="2" t="s">
        <v>1779</v>
      </c>
      <c r="CB2810" s="2" t="s">
        <v>6893</v>
      </c>
      <c r="CC2810" s="2" t="s">
        <v>244</v>
      </c>
      <c r="CD2810" s="2" t="s">
        <v>231</v>
      </c>
      <c r="CE2810" s="4">
        <v>180</v>
      </c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  <c r="DP2810" s="4"/>
      <c r="DQ2810" s="4"/>
      <c r="DR2810" s="4"/>
      <c r="DS2810" s="4">
        <v>32</v>
      </c>
      <c r="DT2810" s="4"/>
      <c r="DU2810" s="4"/>
      <c r="DV2810" s="4"/>
      <c r="DW2810" s="4"/>
      <c r="DX2810" s="4"/>
      <c r="DY2810" s="4"/>
      <c r="DZ2810" s="4"/>
      <c r="EA2810" s="4"/>
      <c r="EB2810" s="4"/>
      <c r="EC2810" s="4"/>
      <c r="ED2810" s="4"/>
      <c r="EE2810" s="4"/>
      <c r="EF2810" s="4"/>
      <c r="EG2810" s="4"/>
      <c r="EH2810" s="4"/>
      <c r="EI2810" s="4"/>
      <c r="EJ2810" s="4"/>
      <c r="EK2810" s="4"/>
      <c r="EL2810" s="4"/>
      <c r="EM2810" s="4"/>
      <c r="EN2810" s="4"/>
      <c r="EO2810" s="4"/>
      <c r="EP2810" s="4"/>
      <c r="EQ2810" s="4"/>
      <c r="ER2810" s="4"/>
      <c r="ES2810" s="4"/>
      <c r="ET2810" s="4"/>
      <c r="EU2810" s="4"/>
      <c r="EV2810" s="4"/>
      <c r="EW2810" s="4"/>
      <c r="EX2810" s="4"/>
      <c r="EY2810" s="4"/>
      <c r="EZ2810" s="4"/>
      <c r="FA2810" s="4"/>
      <c r="FB2810" s="4"/>
      <c r="FC2810" s="4">
        <v>192</v>
      </c>
      <c r="FD2810" s="4"/>
      <c r="FE2810" s="4"/>
      <c r="FF2810" s="4"/>
      <c r="FG2810" s="4"/>
      <c r="FH2810" s="4"/>
      <c r="FI2810" s="4"/>
      <c r="FJ2810" s="4"/>
      <c r="FK2810" s="4"/>
      <c r="FL2810" s="4"/>
      <c r="FM2810" s="4"/>
      <c r="FN2810" s="4"/>
      <c r="FO2810" s="4"/>
      <c r="FP2810" s="4"/>
      <c r="FQ2810" s="4"/>
      <c r="FR2810" s="4"/>
      <c r="FS2810" s="4"/>
      <c r="FT2810" s="4"/>
      <c r="FU2810" s="4"/>
      <c r="FV2810" s="4"/>
      <c r="FW2810" s="4"/>
      <c r="FX2810" s="4"/>
      <c r="FY2810" s="4"/>
      <c r="FZ2810" s="4"/>
      <c r="GA2810" s="4"/>
      <c r="GB2810" s="4">
        <v>60</v>
      </c>
      <c r="GC2810" s="4"/>
      <c r="GD2810" s="4"/>
      <c r="GE2810" s="4"/>
      <c r="GF2810" s="4"/>
      <c r="GG2810" s="4"/>
      <c r="GH2810" s="4"/>
      <c r="GI2810" s="4"/>
      <c r="GJ2810" s="4"/>
      <c r="GK2810" s="4"/>
      <c r="GL2810" s="4"/>
      <c r="GM2810" s="4"/>
      <c r="GN2810" s="4"/>
      <c r="GO2810" s="4"/>
      <c r="GP2810" s="4"/>
      <c r="GQ2810" s="4"/>
      <c r="GR2810" s="4"/>
      <c r="GS2810" s="4"/>
      <c r="GT2810" s="4"/>
      <c r="GU2810" s="4"/>
      <c r="GV2810" s="4"/>
      <c r="GW2810" s="4"/>
      <c r="GX2810" s="4"/>
      <c r="GY2810" s="4"/>
      <c r="GZ2810" s="4">
        <v>120</v>
      </c>
      <c r="HA2810" s="4"/>
      <c r="HB2810" s="4"/>
      <c r="HC2810" s="4"/>
      <c r="HD2810" s="4"/>
      <c r="HE2810" s="4"/>
      <c r="HF2810" s="4"/>
      <c r="HG2810" s="4"/>
      <c r="HH2810" s="4"/>
      <c r="HI2810" s="4"/>
      <c r="HJ2810" s="4"/>
      <c r="HK2810" s="4"/>
      <c r="HL2810" s="4"/>
    </row>
    <row r="2811">
      <c r="A2811" s="2" t="s">
        <v>11916</v>
      </c>
      <c r="B2811" s="2" t="s">
        <v>1004</v>
      </c>
      <c r="C2811" s="2" t="s">
        <v>815</v>
      </c>
      <c r="D2811" s="2" t="s">
        <v>1295</v>
      </c>
      <c r="E2811" s="2" t="s">
        <v>2253</v>
      </c>
      <c r="F2811" s="2" t="s">
        <v>11917</v>
      </c>
      <c r="G2811" s="2" t="s">
        <v>11917</v>
      </c>
      <c r="H2811" s="2" t="s">
        <v>11917</v>
      </c>
      <c r="I2811" s="2" t="s">
        <v>11918</v>
      </c>
      <c r="J2811" s="2" t="s">
        <v>293</v>
      </c>
      <c r="K2811" s="2" t="s">
        <v>901</v>
      </c>
      <c r="L2811" s="3">
        <v>390</v>
      </c>
      <c r="M2811" s="3">
        <v>409.5</v>
      </c>
      <c r="N2811" s="3">
        <v>829</v>
      </c>
      <c r="O2811" s="2" t="s">
        <v>243</v>
      </c>
      <c r="P2811" s="2" t="s">
        <v>1985</v>
      </c>
      <c r="Q2811" s="2" t="s">
        <v>237</v>
      </c>
      <c r="R2811" s="2" t="s">
        <v>231</v>
      </c>
      <c r="S2811" s="2" t="s">
        <v>231</v>
      </c>
      <c r="T2811" s="2" t="s">
        <v>231</v>
      </c>
      <c r="U2811" s="2" t="s">
        <v>231</v>
      </c>
      <c r="V2811" s="2" t="s">
        <v>662</v>
      </c>
      <c r="W2811" s="2" t="s">
        <v>691</v>
      </c>
      <c r="X2811" s="2" t="s">
        <v>231</v>
      </c>
      <c r="Y2811" s="2" t="s">
        <v>3080</v>
      </c>
      <c r="Z2811" s="4">
        <v>86</v>
      </c>
      <c r="AA2811" s="4">
        <f>=ROUNDDOWN(286.666666666667,0)</f>
      </c>
      <c r="AB2811" s="5">
        <v>0.3</v>
      </c>
      <c r="AC2811" s="2" t="s">
        <v>231</v>
      </c>
      <c r="AD2811" s="4"/>
      <c r="AE2811" s="4"/>
      <c r="AF2811" s="6">
        <v>74</v>
      </c>
      <c r="AG2811" s="6"/>
      <c r="AH2811" s="7">
        <v>1</v>
      </c>
      <c r="AI2811" s="4"/>
      <c r="AJ2811" s="4">
        <f>=ROUNDDOWN({0},0)</f>
      </c>
      <c r="AK2811" s="5"/>
      <c r="AL2811" s="2" t="s">
        <v>231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231</v>
      </c>
      <c r="AW2811" s="8" t="s">
        <v>231</v>
      </c>
      <c r="AX2811" s="4" t="s">
        <v>231</v>
      </c>
      <c r="AY2811" s="8" t="s">
        <v>231</v>
      </c>
      <c r="AZ2811" s="7" t="s">
        <v>231</v>
      </c>
      <c r="BA2811" s="7" t="s">
        <v>231</v>
      </c>
      <c r="BB2811" s="7"/>
      <c r="BC2811" s="4" t="s">
        <v>231</v>
      </c>
      <c r="BD2811" s="8" t="s">
        <v>231</v>
      </c>
      <c r="BE2811" s="4" t="s">
        <v>231</v>
      </c>
      <c r="BF2811" s="8" t="s">
        <v>231</v>
      </c>
      <c r="BG2811" s="7" t="s">
        <v>231</v>
      </c>
      <c r="BH2811" s="7" t="s">
        <v>231</v>
      </c>
      <c r="BI2811" s="7"/>
      <c r="BJ2811" s="4">
        <v>2</v>
      </c>
      <c r="BK2811" s="8">
        <v>872.23</v>
      </c>
      <c r="BL2811" s="2" t="s">
        <v>1306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11919</v>
      </c>
      <c r="BV2811" s="2" t="s">
        <v>231</v>
      </c>
      <c r="BW2811" s="2" t="s">
        <v>231</v>
      </c>
      <c r="BX2811" s="2" t="s">
        <v>241</v>
      </c>
      <c r="BY2811" s="2" t="s">
        <v>277</v>
      </c>
      <c r="BZ2811" s="2" t="s">
        <v>243</v>
      </c>
      <c r="CA2811" s="2" t="s">
        <v>3760</v>
      </c>
      <c r="CB2811" s="2" t="s">
        <v>3284</v>
      </c>
      <c r="CC2811" s="2" t="s">
        <v>244</v>
      </c>
      <c r="CD2811" s="2" t="s">
        <v>231</v>
      </c>
      <c r="CE2811" s="4"/>
      <c r="CF2811" s="4">
        <v>86</v>
      </c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4"/>
      <c r="CX2811" s="4"/>
      <c r="CY2811" s="4"/>
      <c r="CZ2811" s="4"/>
      <c r="DA2811" s="4"/>
      <c r="DB2811" s="4"/>
      <c r="DC2811" s="4"/>
      <c r="DD2811" s="4"/>
      <c r="DE2811" s="4"/>
      <c r="DF2811" s="4"/>
      <c r="DG2811" s="4"/>
      <c r="DH2811" s="4"/>
      <c r="DI2811" s="4"/>
      <c r="DJ2811" s="4"/>
      <c r="DK2811" s="4"/>
      <c r="DL2811" s="4"/>
      <c r="DM2811" s="4"/>
      <c r="DN2811" s="4"/>
      <c r="DO2811" s="4"/>
      <c r="DP2811" s="4"/>
      <c r="DQ2811" s="4"/>
      <c r="DR2811" s="4"/>
      <c r="DS2811" s="4"/>
      <c r="DT2811" s="4"/>
      <c r="DU2811" s="4"/>
      <c r="DV2811" s="4"/>
      <c r="DW2811" s="4"/>
      <c r="DX2811" s="4"/>
      <c r="DY2811" s="4"/>
      <c r="DZ2811" s="4"/>
      <c r="EA2811" s="4"/>
      <c r="EB2811" s="4"/>
      <c r="EC2811" s="4"/>
      <c r="ED2811" s="4"/>
      <c r="EE2811" s="4"/>
      <c r="EF2811" s="4"/>
      <c r="EG2811" s="4"/>
      <c r="EH2811" s="4"/>
      <c r="EI2811" s="4"/>
      <c r="EJ2811" s="4"/>
      <c r="EK2811" s="4"/>
      <c r="EL2811" s="4"/>
      <c r="EM2811" s="4"/>
      <c r="EN2811" s="4"/>
      <c r="EO2811" s="4"/>
      <c r="EP2811" s="4"/>
      <c r="EQ2811" s="4"/>
      <c r="ER2811" s="4"/>
      <c r="ES2811" s="4"/>
      <c r="ET2811" s="4"/>
      <c r="EU2811" s="4"/>
      <c r="EV2811" s="4"/>
      <c r="EW2811" s="4"/>
      <c r="EX2811" s="4"/>
      <c r="EY2811" s="4"/>
      <c r="EZ2811" s="4"/>
      <c r="FA2811" s="4"/>
      <c r="FB2811" s="4"/>
      <c r="FC2811" s="4"/>
      <c r="FD2811" s="4"/>
      <c r="FE2811" s="4"/>
      <c r="FF2811" s="4"/>
      <c r="FG2811" s="4"/>
      <c r="FH2811" s="4"/>
      <c r="FI2811" s="4"/>
      <c r="FJ2811" s="4"/>
      <c r="FK2811" s="4"/>
      <c r="FL2811" s="4"/>
      <c r="FM2811" s="4"/>
      <c r="FN2811" s="4"/>
      <c r="FO2811" s="4"/>
      <c r="FP2811" s="4"/>
      <c r="FQ2811" s="4"/>
      <c r="FR2811" s="4"/>
      <c r="FS2811" s="4"/>
      <c r="FT2811" s="4"/>
      <c r="FU2811" s="4"/>
      <c r="FV2811" s="4"/>
      <c r="FW2811" s="4"/>
      <c r="FX2811" s="4"/>
      <c r="FY2811" s="4"/>
      <c r="FZ2811" s="4"/>
      <c r="GA2811" s="4"/>
      <c r="GB2811" s="4"/>
      <c r="GC2811" s="4"/>
      <c r="GD2811" s="4"/>
      <c r="GE2811" s="4"/>
      <c r="GF2811" s="4"/>
      <c r="GG2811" s="4"/>
      <c r="GH2811" s="4"/>
      <c r="GI2811" s="4"/>
      <c r="GJ2811" s="4"/>
      <c r="GK2811" s="4"/>
      <c r="GL2811" s="4"/>
      <c r="GM2811" s="4"/>
      <c r="GN2811" s="4"/>
      <c r="GO2811" s="4"/>
      <c r="GP2811" s="4"/>
      <c r="GQ2811" s="4"/>
      <c r="GR2811" s="4"/>
      <c r="GS2811" s="4"/>
      <c r="GT2811" s="4"/>
      <c r="GU2811" s="4"/>
      <c r="GV2811" s="4"/>
      <c r="GW2811" s="4"/>
      <c r="GX2811" s="4"/>
      <c r="GY2811" s="4"/>
      <c r="GZ2811" s="4"/>
      <c r="HA2811" s="4"/>
      <c r="HB2811" s="4"/>
      <c r="HC2811" s="4"/>
      <c r="HD2811" s="4"/>
      <c r="HE2811" s="4"/>
      <c r="HF2811" s="4"/>
      <c r="HG2811" s="4"/>
      <c r="HH2811" s="4"/>
      <c r="HI2811" s="4"/>
      <c r="HJ2811" s="4"/>
      <c r="HK2811" s="4"/>
      <c r="HL2811" s="4"/>
    </row>
    <row r="2812">
      <c r="A2812" s="2" t="s">
        <v>11920</v>
      </c>
      <c r="B2812" s="2" t="s">
        <v>1004</v>
      </c>
      <c r="C2812" s="2" t="s">
        <v>815</v>
      </c>
      <c r="D2812" s="2" t="s">
        <v>2260</v>
      </c>
      <c r="E2812" s="2" t="s">
        <v>2261</v>
      </c>
      <c r="F2812" s="2" t="s">
        <v>11917</v>
      </c>
      <c r="G2812" s="2" t="s">
        <v>11917</v>
      </c>
      <c r="H2812" s="2" t="s">
        <v>11917</v>
      </c>
      <c r="I2812" s="2" t="s">
        <v>11921</v>
      </c>
      <c r="J2812" s="2" t="s">
        <v>807</v>
      </c>
      <c r="K2812" s="2" t="s">
        <v>901</v>
      </c>
      <c r="L2812" s="3">
        <v>143</v>
      </c>
      <c r="M2812" s="3">
        <v>150.15</v>
      </c>
      <c r="N2812" s="3">
        <v>299</v>
      </c>
      <c r="O2812" s="2" t="s">
        <v>243</v>
      </c>
      <c r="P2812" s="2" t="s">
        <v>1985</v>
      </c>
      <c r="Q2812" s="2" t="s">
        <v>237</v>
      </c>
      <c r="R2812" s="2" t="s">
        <v>231</v>
      </c>
      <c r="S2812" s="2" t="s">
        <v>231</v>
      </c>
      <c r="T2812" s="2" t="s">
        <v>231</v>
      </c>
      <c r="U2812" s="2" t="s">
        <v>231</v>
      </c>
      <c r="V2812" s="2" t="s">
        <v>662</v>
      </c>
      <c r="W2812" s="2" t="s">
        <v>691</v>
      </c>
      <c r="X2812" s="2" t="s">
        <v>231</v>
      </c>
      <c r="Y2812" s="2" t="s">
        <v>2270</v>
      </c>
      <c r="Z2812" s="4">
        <v>24</v>
      </c>
      <c r="AA2812" s="4">
        <f>=ROUNDDOWN(12,0)</f>
      </c>
      <c r="AB2812" s="5">
        <v>2</v>
      </c>
      <c r="AC2812" s="2" t="s">
        <v>3723</v>
      </c>
      <c r="AD2812" s="4">
        <v>100</v>
      </c>
      <c r="AE2812" s="4">
        <v>100</v>
      </c>
      <c r="AF2812" s="6">
        <v>74</v>
      </c>
      <c r="AG2812" s="6"/>
      <c r="AH2812" s="7">
        <v>1</v>
      </c>
      <c r="AI2812" s="4"/>
      <c r="AJ2812" s="4">
        <f>=ROUNDDOWN({0},0)</f>
      </c>
      <c r="AK2812" s="5"/>
      <c r="AL2812" s="2" t="s">
        <v>231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231</v>
      </c>
      <c r="AW2812" s="8" t="s">
        <v>231</v>
      </c>
      <c r="AX2812" s="4" t="s">
        <v>231</v>
      </c>
      <c r="AY2812" s="8" t="s">
        <v>231</v>
      </c>
      <c r="AZ2812" s="7" t="s">
        <v>231</v>
      </c>
      <c r="BA2812" s="7" t="s">
        <v>231</v>
      </c>
      <c r="BB2812" s="7"/>
      <c r="BC2812" s="4" t="s">
        <v>231</v>
      </c>
      <c r="BD2812" s="8" t="s">
        <v>231</v>
      </c>
      <c r="BE2812" s="4" t="s">
        <v>231</v>
      </c>
      <c r="BF2812" s="8" t="s">
        <v>231</v>
      </c>
      <c r="BG2812" s="7" t="s">
        <v>231</v>
      </c>
      <c r="BH2812" s="7" t="s">
        <v>231</v>
      </c>
      <c r="BI2812" s="7"/>
      <c r="BJ2812" s="4">
        <v>6</v>
      </c>
      <c r="BK2812" s="8">
        <v>941.43</v>
      </c>
      <c r="BL2812" s="2" t="s">
        <v>2343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11922</v>
      </c>
      <c r="BV2812" s="2" t="s">
        <v>231</v>
      </c>
      <c r="BW2812" s="2" t="s">
        <v>231</v>
      </c>
      <c r="BX2812" s="2" t="s">
        <v>241</v>
      </c>
      <c r="BY2812" s="2" t="s">
        <v>277</v>
      </c>
      <c r="BZ2812" s="2" t="s">
        <v>243</v>
      </c>
      <c r="CA2812" s="2" t="s">
        <v>3760</v>
      </c>
      <c r="CB2812" s="2" t="s">
        <v>3284</v>
      </c>
      <c r="CC2812" s="2" t="s">
        <v>244</v>
      </c>
      <c r="CD2812" s="2" t="s">
        <v>231</v>
      </c>
      <c r="CE2812" s="4"/>
      <c r="CF2812" s="4">
        <v>24</v>
      </c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4"/>
      <c r="CX2812" s="4"/>
      <c r="CY2812" s="4"/>
      <c r="CZ2812" s="4"/>
      <c r="DA2812" s="4"/>
      <c r="DB2812" s="4"/>
      <c r="DC2812" s="4"/>
      <c r="DD2812" s="4"/>
      <c r="DE2812" s="4"/>
      <c r="DF2812" s="4"/>
      <c r="DG2812" s="4"/>
      <c r="DH2812" s="4"/>
      <c r="DI2812" s="4"/>
      <c r="DJ2812" s="4"/>
      <c r="DK2812" s="4"/>
      <c r="DL2812" s="4"/>
      <c r="DM2812" s="4"/>
      <c r="DN2812" s="4"/>
      <c r="DO2812" s="4"/>
      <c r="DP2812" s="4"/>
      <c r="DQ2812" s="4"/>
      <c r="DR2812" s="4"/>
      <c r="DS2812" s="4"/>
      <c r="DT2812" s="4"/>
      <c r="DU2812" s="4"/>
      <c r="DV2812" s="4"/>
      <c r="DW2812" s="4"/>
      <c r="DX2812" s="4"/>
      <c r="DY2812" s="4"/>
      <c r="DZ2812" s="4"/>
      <c r="EA2812" s="4"/>
      <c r="EB2812" s="4"/>
      <c r="EC2812" s="4"/>
      <c r="ED2812" s="4"/>
      <c r="EE2812" s="4"/>
      <c r="EF2812" s="4"/>
      <c r="EG2812" s="4"/>
      <c r="EH2812" s="4"/>
      <c r="EI2812" s="4"/>
      <c r="EJ2812" s="4">
        <v>100</v>
      </c>
      <c r="EK2812" s="4"/>
      <c r="EL2812" s="4"/>
      <c r="EM2812" s="4"/>
      <c r="EN2812" s="4"/>
      <c r="EO2812" s="4"/>
      <c r="EP2812" s="4"/>
      <c r="EQ2812" s="4"/>
      <c r="ER2812" s="4"/>
      <c r="ES2812" s="4"/>
      <c r="ET2812" s="4"/>
      <c r="EU2812" s="4"/>
      <c r="EV2812" s="4"/>
      <c r="EW2812" s="4"/>
      <c r="EX2812" s="4"/>
      <c r="EY2812" s="4"/>
      <c r="EZ2812" s="4"/>
      <c r="FA2812" s="4"/>
      <c r="FB2812" s="4"/>
      <c r="FC2812" s="4"/>
      <c r="FD2812" s="4"/>
      <c r="FE2812" s="4"/>
      <c r="FF2812" s="4"/>
      <c r="FG2812" s="4"/>
      <c r="FH2812" s="4"/>
      <c r="FI2812" s="4"/>
      <c r="FJ2812" s="4"/>
      <c r="FK2812" s="4"/>
      <c r="FL2812" s="4"/>
      <c r="FM2812" s="4"/>
      <c r="FN2812" s="4"/>
      <c r="FO2812" s="4"/>
      <c r="FP2812" s="4"/>
      <c r="FQ2812" s="4"/>
      <c r="FR2812" s="4"/>
      <c r="FS2812" s="4"/>
      <c r="FT2812" s="4"/>
      <c r="FU2812" s="4"/>
      <c r="FV2812" s="4"/>
      <c r="FW2812" s="4"/>
      <c r="FX2812" s="4"/>
      <c r="FY2812" s="4"/>
      <c r="FZ2812" s="4"/>
      <c r="GA2812" s="4"/>
      <c r="GB2812" s="4"/>
      <c r="GC2812" s="4"/>
      <c r="GD2812" s="4"/>
      <c r="GE2812" s="4"/>
      <c r="GF2812" s="4"/>
      <c r="GG2812" s="4"/>
      <c r="GH2812" s="4"/>
      <c r="GI2812" s="4"/>
      <c r="GJ2812" s="4"/>
      <c r="GK2812" s="4"/>
      <c r="GL2812" s="4"/>
      <c r="GM2812" s="4"/>
      <c r="GN2812" s="4"/>
      <c r="GO2812" s="4"/>
      <c r="GP2812" s="4"/>
      <c r="GQ2812" s="4"/>
      <c r="GR2812" s="4"/>
      <c r="GS2812" s="4"/>
      <c r="GT2812" s="4"/>
      <c r="GU2812" s="4"/>
      <c r="GV2812" s="4"/>
      <c r="GW2812" s="4"/>
      <c r="GX2812" s="4"/>
      <c r="GY2812" s="4"/>
      <c r="GZ2812" s="4"/>
      <c r="HA2812" s="4"/>
      <c r="HB2812" s="4"/>
      <c r="HC2812" s="4"/>
      <c r="HD2812" s="4"/>
      <c r="HE2812" s="4"/>
      <c r="HF2812" s="4"/>
      <c r="HG2812" s="4"/>
      <c r="HH2812" s="4"/>
      <c r="HI2812" s="4"/>
      <c r="HJ2812" s="4"/>
      <c r="HK2812" s="4"/>
      <c r="HL2812" s="4"/>
    </row>
    <row r="2813">
      <c r="A2813" s="2" t="s">
        <v>11923</v>
      </c>
      <c r="B2813" s="2" t="s">
        <v>847</v>
      </c>
      <c r="C2813" s="2" t="s">
        <v>288</v>
      </c>
      <c r="D2813" s="2" t="s">
        <v>882</v>
      </c>
      <c r="E2813" s="2" t="s">
        <v>2191</v>
      </c>
      <c r="F2813" s="2" t="s">
        <v>11924</v>
      </c>
      <c r="G2813" s="2" t="s">
        <v>11924</v>
      </c>
      <c r="H2813" s="2" t="s">
        <v>11924</v>
      </c>
      <c r="I2813" s="2" t="s">
        <v>11925</v>
      </c>
      <c r="J2813" s="2" t="s">
        <v>807</v>
      </c>
      <c r="K2813" s="2" t="s">
        <v>11926</v>
      </c>
      <c r="L2813" s="3">
        <v>6.66</v>
      </c>
      <c r="M2813" s="3">
        <v>6.99</v>
      </c>
      <c r="N2813" s="3">
        <v>19.99</v>
      </c>
      <c r="O2813" s="2" t="s">
        <v>243</v>
      </c>
      <c r="P2813" s="2" t="s">
        <v>236</v>
      </c>
      <c r="Q2813" s="2" t="s">
        <v>237</v>
      </c>
      <c r="R2813" s="2" t="s">
        <v>231</v>
      </c>
      <c r="S2813" s="2" t="s">
        <v>231</v>
      </c>
      <c r="T2813" s="2" t="s">
        <v>231</v>
      </c>
      <c r="U2813" s="2" t="s">
        <v>327</v>
      </c>
      <c r="V2813" s="2" t="s">
        <v>2195</v>
      </c>
      <c r="W2813" s="2" t="s">
        <v>1891</v>
      </c>
      <c r="X2813" s="2" t="s">
        <v>971</v>
      </c>
      <c r="Y2813" s="2" t="s">
        <v>2203</v>
      </c>
      <c r="Z2813" s="4">
        <v>180</v>
      </c>
      <c r="AA2813" s="4">
        <f>=ROUNDDOWN(180,0)</f>
      </c>
      <c r="AB2813" s="5">
        <v>1</v>
      </c>
      <c r="AC2813" s="2" t="s">
        <v>231</v>
      </c>
      <c r="AD2813" s="4"/>
      <c r="AE2813" s="4"/>
      <c r="AF2813" s="6">
        <v>63</v>
      </c>
      <c r="AG2813" s="6"/>
      <c r="AH2813" s="7">
        <v>1</v>
      </c>
      <c r="AI2813" s="4"/>
      <c r="AJ2813" s="4">
        <f>=ROUNDDOWN({0},0)</f>
      </c>
      <c r="AK2813" s="5"/>
      <c r="AL2813" s="2" t="s">
        <v>231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231</v>
      </c>
      <c r="BD2813" s="8" t="s">
        <v>231</v>
      </c>
      <c r="BE2813" s="4" t="s">
        <v>231</v>
      </c>
      <c r="BF2813" s="8" t="s">
        <v>231</v>
      </c>
      <c r="BG2813" s="7" t="s">
        <v>231</v>
      </c>
      <c r="BH2813" s="7" t="s">
        <v>231</v>
      </c>
      <c r="BI2813" s="7"/>
      <c r="BJ2813" s="4">
        <v>14</v>
      </c>
      <c r="BK2813" s="8">
        <v>120.81</v>
      </c>
      <c r="BL2813" s="2" t="s">
        <v>8995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11927</v>
      </c>
      <c r="BV2813" s="2" t="s">
        <v>231</v>
      </c>
      <c r="BW2813" s="2" t="s">
        <v>231</v>
      </c>
      <c r="BX2813" s="2" t="s">
        <v>1812</v>
      </c>
      <c r="BY2813" s="2" t="s">
        <v>277</v>
      </c>
      <c r="BZ2813" s="2" t="s">
        <v>243</v>
      </c>
      <c r="CA2813" s="2" t="s">
        <v>2199</v>
      </c>
      <c r="CB2813" s="2" t="s">
        <v>231</v>
      </c>
      <c r="CC2813" s="2" t="s">
        <v>244</v>
      </c>
      <c r="CD2813" s="2" t="s">
        <v>231</v>
      </c>
      <c r="CE2813" s="4"/>
      <c r="CF2813" s="4">
        <v>180</v>
      </c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4"/>
      <c r="CX2813" s="4"/>
      <c r="CY2813" s="4"/>
      <c r="CZ2813" s="4"/>
      <c r="DA2813" s="4"/>
      <c r="DB2813" s="4"/>
      <c r="DC2813" s="4"/>
      <c r="DD2813" s="4"/>
      <c r="DE2813" s="4"/>
      <c r="DF2813" s="4"/>
      <c r="DG2813" s="4"/>
      <c r="DH2813" s="4"/>
      <c r="DI2813" s="4"/>
      <c r="DJ2813" s="4"/>
      <c r="DK2813" s="4"/>
      <c r="DL2813" s="4"/>
      <c r="DM2813" s="4"/>
      <c r="DN2813" s="4"/>
      <c r="DO2813" s="4"/>
      <c r="DP2813" s="4"/>
      <c r="DQ2813" s="4"/>
      <c r="DR2813" s="4"/>
      <c r="DS2813" s="4"/>
      <c r="DT2813" s="4"/>
      <c r="DU2813" s="4"/>
      <c r="DV2813" s="4"/>
      <c r="DW2813" s="4"/>
      <c r="DX2813" s="4"/>
      <c r="DY2813" s="4"/>
      <c r="DZ2813" s="4"/>
      <c r="EA2813" s="4"/>
      <c r="EB2813" s="4"/>
      <c r="EC2813" s="4"/>
      <c r="ED2813" s="4"/>
      <c r="EE2813" s="4"/>
      <c r="EF2813" s="4"/>
      <c r="EG2813" s="4"/>
      <c r="EH2813" s="4"/>
      <c r="EI2813" s="4"/>
      <c r="EJ2813" s="4"/>
      <c r="EK2813" s="4"/>
      <c r="EL2813" s="4"/>
      <c r="EM2813" s="4"/>
      <c r="EN2813" s="4"/>
      <c r="EO2813" s="4"/>
      <c r="EP2813" s="4"/>
      <c r="EQ2813" s="4"/>
      <c r="ER2813" s="4"/>
      <c r="ES2813" s="4"/>
      <c r="ET2813" s="4"/>
      <c r="EU2813" s="4"/>
      <c r="EV2813" s="4"/>
      <c r="EW2813" s="4"/>
      <c r="EX2813" s="4"/>
      <c r="EY2813" s="4"/>
      <c r="EZ2813" s="4"/>
      <c r="FA2813" s="4"/>
      <c r="FB2813" s="4"/>
      <c r="FC2813" s="4"/>
      <c r="FD2813" s="4"/>
      <c r="FE2813" s="4"/>
      <c r="FF2813" s="4"/>
      <c r="FG2813" s="4"/>
      <c r="FH2813" s="4"/>
      <c r="FI2813" s="4"/>
      <c r="FJ2813" s="4"/>
      <c r="FK2813" s="4"/>
      <c r="FL2813" s="4"/>
      <c r="FM2813" s="4"/>
      <c r="FN2813" s="4"/>
      <c r="FO2813" s="4"/>
      <c r="FP2813" s="4"/>
      <c r="FQ2813" s="4"/>
      <c r="FR2813" s="4"/>
      <c r="FS2813" s="4"/>
      <c r="FT2813" s="4"/>
      <c r="FU2813" s="4"/>
      <c r="FV2813" s="4"/>
      <c r="FW2813" s="4"/>
      <c r="FX2813" s="4"/>
      <c r="FY2813" s="4"/>
      <c r="FZ2813" s="4"/>
      <c r="GA2813" s="4"/>
      <c r="GB2813" s="4"/>
      <c r="GC2813" s="4"/>
      <c r="GD2813" s="4"/>
      <c r="GE2813" s="4"/>
      <c r="GF2813" s="4"/>
      <c r="GG2813" s="4"/>
      <c r="GH2813" s="4"/>
      <c r="GI2813" s="4"/>
      <c r="GJ2813" s="4"/>
      <c r="GK2813" s="4"/>
      <c r="GL2813" s="4"/>
      <c r="GM2813" s="4"/>
      <c r="GN2813" s="4"/>
      <c r="GO2813" s="4"/>
      <c r="GP2813" s="4"/>
      <c r="GQ2813" s="4"/>
      <c r="GR2813" s="4"/>
      <c r="GS2813" s="4"/>
      <c r="GT2813" s="4"/>
      <c r="GU2813" s="4"/>
      <c r="GV2813" s="4"/>
      <c r="GW2813" s="4"/>
      <c r="GX2813" s="4"/>
      <c r="GY2813" s="4"/>
      <c r="GZ2813" s="4"/>
      <c r="HA2813" s="4"/>
      <c r="HB2813" s="4"/>
      <c r="HC2813" s="4"/>
      <c r="HD2813" s="4"/>
      <c r="HE2813" s="4"/>
      <c r="HF2813" s="4"/>
      <c r="HG2813" s="4"/>
      <c r="HH2813" s="4"/>
      <c r="HI2813" s="4"/>
      <c r="HJ2813" s="4"/>
      <c r="HK2813" s="4"/>
      <c r="HL2813" s="4"/>
    </row>
    <row r="2814">
      <c r="A2814" s="2" t="s">
        <v>11928</v>
      </c>
      <c r="B2814" s="2" t="s">
        <v>847</v>
      </c>
      <c r="C2814" s="2" t="s">
        <v>288</v>
      </c>
      <c r="D2814" s="2" t="s">
        <v>882</v>
      </c>
      <c r="E2814" s="2" t="s">
        <v>2191</v>
      </c>
      <c r="F2814" s="2" t="s">
        <v>11924</v>
      </c>
      <c r="G2814" s="2" t="s">
        <v>11924</v>
      </c>
      <c r="H2814" s="2" t="s">
        <v>11924</v>
      </c>
      <c r="I2814" s="2" t="s">
        <v>11929</v>
      </c>
      <c r="J2814" s="2" t="s">
        <v>807</v>
      </c>
      <c r="K2814" s="2" t="s">
        <v>11930</v>
      </c>
      <c r="L2814" s="3">
        <v>6.66</v>
      </c>
      <c r="M2814" s="3">
        <v>6.99</v>
      </c>
      <c r="N2814" s="3">
        <v>19.99</v>
      </c>
      <c r="O2814" s="2" t="s">
        <v>243</v>
      </c>
      <c r="P2814" s="2" t="s">
        <v>236</v>
      </c>
      <c r="Q2814" s="2" t="s">
        <v>237</v>
      </c>
      <c r="R2814" s="2" t="s">
        <v>231</v>
      </c>
      <c r="S2814" s="2" t="s">
        <v>231</v>
      </c>
      <c r="T2814" s="2" t="s">
        <v>231</v>
      </c>
      <c r="U2814" s="2" t="s">
        <v>327</v>
      </c>
      <c r="V2814" s="2" t="s">
        <v>2195</v>
      </c>
      <c r="W2814" s="2" t="s">
        <v>1891</v>
      </c>
      <c r="X2814" s="2" t="s">
        <v>971</v>
      </c>
      <c r="Y2814" s="2" t="s">
        <v>2203</v>
      </c>
      <c r="Z2814" s="4">
        <v>144</v>
      </c>
      <c r="AA2814" s="4">
        <f>=ROUNDDOWN(72,0)</f>
      </c>
      <c r="AB2814" s="5">
        <v>2</v>
      </c>
      <c r="AC2814" s="2" t="s">
        <v>231</v>
      </c>
      <c r="AD2814" s="4"/>
      <c r="AE2814" s="4"/>
      <c r="AF2814" s="6">
        <v>63</v>
      </c>
      <c r="AG2814" s="6"/>
      <c r="AH2814" s="7">
        <v>1</v>
      </c>
      <c r="AI2814" s="4"/>
      <c r="AJ2814" s="4">
        <f>=ROUNDDOWN({0},0)</f>
      </c>
      <c r="AK2814" s="5"/>
      <c r="AL2814" s="2" t="s">
        <v>231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231</v>
      </c>
      <c r="BD2814" s="8" t="s">
        <v>231</v>
      </c>
      <c r="BE2814" s="4" t="s">
        <v>231</v>
      </c>
      <c r="BF2814" s="8" t="s">
        <v>231</v>
      </c>
      <c r="BG2814" s="7" t="s">
        <v>231</v>
      </c>
      <c r="BH2814" s="7" t="s">
        <v>231</v>
      </c>
      <c r="BI2814" s="7"/>
      <c r="BJ2814" s="4">
        <v>8</v>
      </c>
      <c r="BK2814" s="8">
        <v>83.11</v>
      </c>
      <c r="BL2814" s="2" t="s">
        <v>11931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11932</v>
      </c>
      <c r="BV2814" s="2" t="s">
        <v>231</v>
      </c>
      <c r="BW2814" s="2" t="s">
        <v>231</v>
      </c>
      <c r="BX2814" s="2" t="s">
        <v>1812</v>
      </c>
      <c r="BY2814" s="2" t="s">
        <v>277</v>
      </c>
      <c r="BZ2814" s="2" t="s">
        <v>243</v>
      </c>
      <c r="CA2814" s="2" t="s">
        <v>2199</v>
      </c>
      <c r="CB2814" s="2" t="s">
        <v>231</v>
      </c>
      <c r="CC2814" s="2" t="s">
        <v>244</v>
      </c>
      <c r="CD2814" s="2" t="s">
        <v>231</v>
      </c>
      <c r="CE2814" s="4"/>
      <c r="CF2814" s="4">
        <v>144</v>
      </c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4"/>
      <c r="CX2814" s="4"/>
      <c r="CY2814" s="4"/>
      <c r="CZ2814" s="4"/>
      <c r="DA2814" s="4"/>
      <c r="DB2814" s="4"/>
      <c r="DC2814" s="4"/>
      <c r="DD2814" s="4"/>
      <c r="DE2814" s="4"/>
      <c r="DF2814" s="4"/>
      <c r="DG2814" s="4"/>
      <c r="DH2814" s="4"/>
      <c r="DI2814" s="4"/>
      <c r="DJ2814" s="4"/>
      <c r="DK2814" s="4"/>
      <c r="DL2814" s="4"/>
      <c r="DM2814" s="4"/>
      <c r="DN2814" s="4"/>
      <c r="DO2814" s="4"/>
      <c r="DP2814" s="4"/>
      <c r="DQ2814" s="4"/>
      <c r="DR2814" s="4"/>
      <c r="DS2814" s="4"/>
      <c r="DT2814" s="4"/>
      <c r="DU2814" s="4"/>
      <c r="DV2814" s="4"/>
      <c r="DW2814" s="4"/>
      <c r="DX2814" s="4"/>
      <c r="DY2814" s="4"/>
      <c r="DZ2814" s="4"/>
      <c r="EA2814" s="4"/>
      <c r="EB2814" s="4"/>
      <c r="EC2814" s="4"/>
      <c r="ED2814" s="4"/>
      <c r="EE2814" s="4"/>
      <c r="EF2814" s="4"/>
      <c r="EG2814" s="4"/>
      <c r="EH2814" s="4"/>
      <c r="EI2814" s="4"/>
      <c r="EJ2814" s="4"/>
      <c r="EK2814" s="4"/>
      <c r="EL2814" s="4"/>
      <c r="EM2814" s="4"/>
      <c r="EN2814" s="4"/>
      <c r="EO2814" s="4"/>
      <c r="EP2814" s="4"/>
      <c r="EQ2814" s="4"/>
      <c r="ER2814" s="4"/>
      <c r="ES2814" s="4"/>
      <c r="ET2814" s="4"/>
      <c r="EU2814" s="4"/>
      <c r="EV2814" s="4"/>
      <c r="EW2814" s="4"/>
      <c r="EX2814" s="4"/>
      <c r="EY2814" s="4"/>
      <c r="EZ2814" s="4"/>
      <c r="FA2814" s="4"/>
      <c r="FB2814" s="4"/>
      <c r="FC2814" s="4"/>
      <c r="FD2814" s="4"/>
      <c r="FE2814" s="4"/>
      <c r="FF2814" s="4"/>
      <c r="FG2814" s="4"/>
      <c r="FH2814" s="4"/>
      <c r="FI2814" s="4"/>
      <c r="FJ2814" s="4"/>
      <c r="FK2814" s="4"/>
      <c r="FL2814" s="4"/>
      <c r="FM2814" s="4"/>
      <c r="FN2814" s="4"/>
      <c r="FO2814" s="4"/>
      <c r="FP2814" s="4"/>
      <c r="FQ2814" s="4"/>
      <c r="FR2814" s="4"/>
      <c r="FS2814" s="4"/>
      <c r="FT2814" s="4"/>
      <c r="FU2814" s="4"/>
      <c r="FV2814" s="4"/>
      <c r="FW2814" s="4"/>
      <c r="FX2814" s="4"/>
      <c r="FY2814" s="4"/>
      <c r="FZ2814" s="4"/>
      <c r="GA2814" s="4"/>
      <c r="GB2814" s="4"/>
      <c r="GC2814" s="4"/>
      <c r="GD2814" s="4"/>
      <c r="GE2814" s="4"/>
      <c r="GF2814" s="4"/>
      <c r="GG2814" s="4"/>
      <c r="GH2814" s="4"/>
      <c r="GI2814" s="4"/>
      <c r="GJ2814" s="4"/>
      <c r="GK2814" s="4"/>
      <c r="GL2814" s="4"/>
      <c r="GM2814" s="4"/>
      <c r="GN2814" s="4"/>
      <c r="GO2814" s="4"/>
      <c r="GP2814" s="4"/>
      <c r="GQ2814" s="4"/>
      <c r="GR2814" s="4"/>
      <c r="GS2814" s="4"/>
      <c r="GT2814" s="4"/>
      <c r="GU2814" s="4"/>
      <c r="GV2814" s="4"/>
      <c r="GW2814" s="4"/>
      <c r="GX2814" s="4"/>
      <c r="GY2814" s="4"/>
      <c r="GZ2814" s="4"/>
      <c r="HA2814" s="4"/>
      <c r="HB2814" s="4"/>
      <c r="HC2814" s="4"/>
      <c r="HD2814" s="4"/>
      <c r="HE2814" s="4"/>
      <c r="HF2814" s="4"/>
      <c r="HG2814" s="4"/>
      <c r="HH2814" s="4"/>
      <c r="HI2814" s="4"/>
      <c r="HJ2814" s="4"/>
      <c r="HK2814" s="4"/>
      <c r="HL2814" s="4"/>
    </row>
    <row r="2815">
      <c r="A2815" s="2" t="s">
        <v>11933</v>
      </c>
      <c r="B2815" s="2" t="s">
        <v>847</v>
      </c>
      <c r="C2815" s="2" t="s">
        <v>288</v>
      </c>
      <c r="D2815" s="2" t="s">
        <v>882</v>
      </c>
      <c r="E2815" s="2" t="s">
        <v>2191</v>
      </c>
      <c r="F2815" s="2" t="s">
        <v>11924</v>
      </c>
      <c r="G2815" s="2" t="s">
        <v>11924</v>
      </c>
      <c r="H2815" s="2" t="s">
        <v>11924</v>
      </c>
      <c r="I2815" s="2" t="s">
        <v>11934</v>
      </c>
      <c r="J2815" s="2" t="s">
        <v>807</v>
      </c>
      <c r="K2815" s="2" t="s">
        <v>11935</v>
      </c>
      <c r="L2815" s="3">
        <v>6.66</v>
      </c>
      <c r="M2815" s="3">
        <v>6.99</v>
      </c>
      <c r="N2815" s="3">
        <v>19.99</v>
      </c>
      <c r="O2815" s="2" t="s">
        <v>243</v>
      </c>
      <c r="P2815" s="2" t="s">
        <v>236</v>
      </c>
      <c r="Q2815" s="2" t="s">
        <v>237</v>
      </c>
      <c r="R2815" s="2" t="s">
        <v>231</v>
      </c>
      <c r="S2815" s="2" t="s">
        <v>231</v>
      </c>
      <c r="T2815" s="2" t="s">
        <v>231</v>
      </c>
      <c r="U2815" s="2" t="s">
        <v>327</v>
      </c>
      <c r="V2815" s="2" t="s">
        <v>2195</v>
      </c>
      <c r="W2815" s="2" t="s">
        <v>1891</v>
      </c>
      <c r="X2815" s="2" t="s">
        <v>971</v>
      </c>
      <c r="Y2815" s="2" t="s">
        <v>2203</v>
      </c>
      <c r="Z2815" s="4">
        <v>182</v>
      </c>
      <c r="AA2815" s="4">
        <f>=ROUNDDOWN(91,0)</f>
      </c>
      <c r="AB2815" s="5">
        <v>2</v>
      </c>
      <c r="AC2815" s="2" t="s">
        <v>231</v>
      </c>
      <c r="AD2815" s="4"/>
      <c r="AE2815" s="4"/>
      <c r="AF2815" s="6">
        <v>63</v>
      </c>
      <c r="AG2815" s="6"/>
      <c r="AH2815" s="7">
        <v>1</v>
      </c>
      <c r="AI2815" s="4"/>
      <c r="AJ2815" s="4">
        <f>=ROUNDDOWN({0},0)</f>
      </c>
      <c r="AK2815" s="5"/>
      <c r="AL2815" s="2" t="s">
        <v>231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231</v>
      </c>
      <c r="BD2815" s="8" t="s">
        <v>231</v>
      </c>
      <c r="BE2815" s="4" t="s">
        <v>231</v>
      </c>
      <c r="BF2815" s="8" t="s">
        <v>231</v>
      </c>
      <c r="BG2815" s="7" t="s">
        <v>231</v>
      </c>
      <c r="BH2815" s="7" t="s">
        <v>231</v>
      </c>
      <c r="BI2815" s="7"/>
      <c r="BJ2815" s="4">
        <v>9</v>
      </c>
      <c r="BK2815" s="8">
        <v>71.79</v>
      </c>
      <c r="BL2815" s="2" t="s">
        <v>8995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11936</v>
      </c>
      <c r="BV2815" s="2" t="s">
        <v>231</v>
      </c>
      <c r="BW2815" s="2" t="s">
        <v>231</v>
      </c>
      <c r="BX2815" s="2" t="s">
        <v>1812</v>
      </c>
      <c r="BY2815" s="2" t="s">
        <v>277</v>
      </c>
      <c r="BZ2815" s="2" t="s">
        <v>243</v>
      </c>
      <c r="CA2815" s="2" t="s">
        <v>2199</v>
      </c>
      <c r="CB2815" s="2" t="s">
        <v>231</v>
      </c>
      <c r="CC2815" s="2" t="s">
        <v>244</v>
      </c>
      <c r="CD2815" s="2" t="s">
        <v>231</v>
      </c>
      <c r="CE2815" s="4"/>
      <c r="CF2815" s="4">
        <v>182</v>
      </c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4"/>
      <c r="CX2815" s="4"/>
      <c r="CY2815" s="4"/>
      <c r="CZ2815" s="4"/>
      <c r="DA2815" s="4"/>
      <c r="DB2815" s="4"/>
      <c r="DC2815" s="4"/>
      <c r="DD2815" s="4"/>
      <c r="DE2815" s="4"/>
      <c r="DF2815" s="4"/>
      <c r="DG2815" s="4"/>
      <c r="DH2815" s="4"/>
      <c r="DI2815" s="4"/>
      <c r="DJ2815" s="4"/>
      <c r="DK2815" s="4"/>
      <c r="DL2815" s="4"/>
      <c r="DM2815" s="4"/>
      <c r="DN2815" s="4"/>
      <c r="DO2815" s="4"/>
      <c r="DP2815" s="4"/>
      <c r="DQ2815" s="4"/>
      <c r="DR2815" s="4"/>
      <c r="DS2815" s="4"/>
      <c r="DT2815" s="4"/>
      <c r="DU2815" s="4"/>
      <c r="DV2815" s="4"/>
      <c r="DW2815" s="4"/>
      <c r="DX2815" s="4"/>
      <c r="DY2815" s="4"/>
      <c r="DZ2815" s="4"/>
      <c r="EA2815" s="4"/>
      <c r="EB2815" s="4"/>
      <c r="EC2815" s="4"/>
      <c r="ED2815" s="4"/>
      <c r="EE2815" s="4"/>
      <c r="EF2815" s="4"/>
      <c r="EG2815" s="4"/>
      <c r="EH2815" s="4"/>
      <c r="EI2815" s="4"/>
      <c r="EJ2815" s="4"/>
      <c r="EK2815" s="4"/>
      <c r="EL2815" s="4"/>
      <c r="EM2815" s="4"/>
      <c r="EN2815" s="4"/>
      <c r="EO2815" s="4"/>
      <c r="EP2815" s="4"/>
      <c r="EQ2815" s="4"/>
      <c r="ER2815" s="4"/>
      <c r="ES2815" s="4"/>
      <c r="ET2815" s="4"/>
      <c r="EU2815" s="4"/>
      <c r="EV2815" s="4"/>
      <c r="EW2815" s="4"/>
      <c r="EX2815" s="4"/>
      <c r="EY2815" s="4"/>
      <c r="EZ2815" s="4"/>
      <c r="FA2815" s="4"/>
      <c r="FB2815" s="4"/>
      <c r="FC2815" s="4"/>
      <c r="FD2815" s="4"/>
      <c r="FE2815" s="4"/>
      <c r="FF2815" s="4"/>
      <c r="FG2815" s="4"/>
      <c r="FH2815" s="4"/>
      <c r="FI2815" s="4"/>
      <c r="FJ2815" s="4"/>
      <c r="FK2815" s="4"/>
      <c r="FL2815" s="4"/>
      <c r="FM2815" s="4"/>
      <c r="FN2815" s="4"/>
      <c r="FO2815" s="4"/>
      <c r="FP2815" s="4"/>
      <c r="FQ2815" s="4"/>
      <c r="FR2815" s="4"/>
      <c r="FS2815" s="4"/>
      <c r="FT2815" s="4"/>
      <c r="FU2815" s="4"/>
      <c r="FV2815" s="4"/>
      <c r="FW2815" s="4"/>
      <c r="FX2815" s="4"/>
      <c r="FY2815" s="4"/>
      <c r="FZ2815" s="4"/>
      <c r="GA2815" s="4"/>
      <c r="GB2815" s="4"/>
      <c r="GC2815" s="4"/>
      <c r="GD2815" s="4"/>
      <c r="GE2815" s="4"/>
      <c r="GF2815" s="4"/>
      <c r="GG2815" s="4"/>
      <c r="GH2815" s="4"/>
      <c r="GI2815" s="4"/>
      <c r="GJ2815" s="4"/>
      <c r="GK2815" s="4"/>
      <c r="GL2815" s="4"/>
      <c r="GM2815" s="4"/>
      <c r="GN2815" s="4"/>
      <c r="GO2815" s="4"/>
      <c r="GP2815" s="4"/>
      <c r="GQ2815" s="4"/>
      <c r="GR2815" s="4"/>
      <c r="GS2815" s="4"/>
      <c r="GT2815" s="4"/>
      <c r="GU2815" s="4"/>
      <c r="GV2815" s="4"/>
      <c r="GW2815" s="4"/>
      <c r="GX2815" s="4"/>
      <c r="GY2815" s="4"/>
      <c r="GZ2815" s="4"/>
      <c r="HA2815" s="4"/>
      <c r="HB2815" s="4"/>
      <c r="HC2815" s="4"/>
      <c r="HD2815" s="4"/>
      <c r="HE2815" s="4"/>
      <c r="HF2815" s="4"/>
      <c r="HG2815" s="4"/>
      <c r="HH2815" s="4"/>
      <c r="HI2815" s="4"/>
      <c r="HJ2815" s="4"/>
      <c r="HK2815" s="4"/>
      <c r="HL2815" s="4"/>
    </row>
    <row r="2816">
      <c r="A2816" s="2" t="s">
        <v>11937</v>
      </c>
      <c r="B2816" s="2" t="s">
        <v>847</v>
      </c>
      <c r="C2816" s="2" t="s">
        <v>288</v>
      </c>
      <c r="D2816" s="2" t="s">
        <v>882</v>
      </c>
      <c r="E2816" s="2" t="s">
        <v>2191</v>
      </c>
      <c r="F2816" s="2" t="s">
        <v>11924</v>
      </c>
      <c r="G2816" s="2" t="s">
        <v>11924</v>
      </c>
      <c r="H2816" s="2" t="s">
        <v>11924</v>
      </c>
      <c r="I2816" s="2" t="s">
        <v>11938</v>
      </c>
      <c r="J2816" s="2" t="s">
        <v>807</v>
      </c>
      <c r="K2816" s="2" t="s">
        <v>11939</v>
      </c>
      <c r="L2816" s="3">
        <v>6.66</v>
      </c>
      <c r="M2816" s="3">
        <v>6.99</v>
      </c>
      <c r="N2816" s="3">
        <v>19.99</v>
      </c>
      <c r="O2816" s="2" t="s">
        <v>243</v>
      </c>
      <c r="P2816" s="2" t="s">
        <v>270</v>
      </c>
      <c r="Q2816" s="2" t="s">
        <v>237</v>
      </c>
      <c r="R2816" s="2" t="s">
        <v>231</v>
      </c>
      <c r="S2816" s="2" t="s">
        <v>231</v>
      </c>
      <c r="T2816" s="2" t="s">
        <v>231</v>
      </c>
      <c r="U2816" s="2" t="s">
        <v>327</v>
      </c>
      <c r="V2816" s="2" t="s">
        <v>2195</v>
      </c>
      <c r="W2816" s="2" t="s">
        <v>1891</v>
      </c>
      <c r="X2816" s="2" t="s">
        <v>971</v>
      </c>
      <c r="Y2816" s="2" t="s">
        <v>2196</v>
      </c>
      <c r="Z2816" s="4">
        <v>345</v>
      </c>
      <c r="AA2816" s="4">
        <f>=ROUNDDOWN(86.25,0)</f>
      </c>
      <c r="AB2816" s="5">
        <v>4</v>
      </c>
      <c r="AC2816" s="2" t="s">
        <v>231</v>
      </c>
      <c r="AD2816" s="4"/>
      <c r="AE2816" s="4"/>
      <c r="AF2816" s="6">
        <v>63</v>
      </c>
      <c r="AG2816" s="6"/>
      <c r="AH2816" s="7">
        <v>1</v>
      </c>
      <c r="AI2816" s="4"/>
      <c r="AJ2816" s="4">
        <f>=ROUNDDOWN({0},0)</f>
      </c>
      <c r="AK2816" s="5"/>
      <c r="AL2816" s="2" t="s">
        <v>231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231</v>
      </c>
      <c r="BD2816" s="8" t="s">
        <v>231</v>
      </c>
      <c r="BE2816" s="4" t="s">
        <v>231</v>
      </c>
      <c r="BF2816" s="8" t="s">
        <v>231</v>
      </c>
      <c r="BG2816" s="7" t="s">
        <v>231</v>
      </c>
      <c r="BH2816" s="7" t="s">
        <v>231</v>
      </c>
      <c r="BI2816" s="7"/>
      <c r="BJ2816" s="4">
        <v>18</v>
      </c>
      <c r="BK2816" s="8">
        <v>156.32</v>
      </c>
      <c r="BL2816" s="2" t="s">
        <v>4174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11940</v>
      </c>
      <c r="BV2816" s="2" t="s">
        <v>231</v>
      </c>
      <c r="BW2816" s="2" t="s">
        <v>231</v>
      </c>
      <c r="BX2816" s="2" t="s">
        <v>1812</v>
      </c>
      <c r="BY2816" s="2" t="s">
        <v>277</v>
      </c>
      <c r="BZ2816" s="2" t="s">
        <v>243</v>
      </c>
      <c r="CA2816" s="2" t="s">
        <v>2199</v>
      </c>
      <c r="CB2816" s="2" t="s">
        <v>231</v>
      </c>
      <c r="CC2816" s="2" t="s">
        <v>244</v>
      </c>
      <c r="CD2816" s="2" t="s">
        <v>231</v>
      </c>
      <c r="CE2816" s="4"/>
      <c r="CF2816" s="4">
        <v>345</v>
      </c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4"/>
      <c r="CX2816" s="4"/>
      <c r="CY2816" s="4"/>
      <c r="CZ2816" s="4"/>
      <c r="DA2816" s="4"/>
      <c r="DB2816" s="4"/>
      <c r="DC2816" s="4"/>
      <c r="DD2816" s="4"/>
      <c r="DE2816" s="4"/>
      <c r="DF2816" s="4"/>
      <c r="DG2816" s="4"/>
      <c r="DH2816" s="4"/>
      <c r="DI2816" s="4"/>
      <c r="DJ2816" s="4"/>
      <c r="DK2816" s="4"/>
      <c r="DL2816" s="4"/>
      <c r="DM2816" s="4"/>
      <c r="DN2816" s="4"/>
      <c r="DO2816" s="4"/>
      <c r="DP2816" s="4"/>
      <c r="DQ2816" s="4"/>
      <c r="DR2816" s="4"/>
      <c r="DS2816" s="4"/>
      <c r="DT2816" s="4"/>
      <c r="DU2816" s="4"/>
      <c r="DV2816" s="4"/>
      <c r="DW2816" s="4"/>
      <c r="DX2816" s="4"/>
      <c r="DY2816" s="4"/>
      <c r="DZ2816" s="4"/>
      <c r="EA2816" s="4"/>
      <c r="EB2816" s="4"/>
      <c r="EC2816" s="4"/>
      <c r="ED2816" s="4"/>
      <c r="EE2816" s="4"/>
      <c r="EF2816" s="4"/>
      <c r="EG2816" s="4"/>
      <c r="EH2816" s="4"/>
      <c r="EI2816" s="4"/>
      <c r="EJ2816" s="4"/>
      <c r="EK2816" s="4"/>
      <c r="EL2816" s="4"/>
      <c r="EM2816" s="4"/>
      <c r="EN2816" s="4"/>
      <c r="EO2816" s="4"/>
      <c r="EP2816" s="4"/>
      <c r="EQ2816" s="4"/>
      <c r="ER2816" s="4"/>
      <c r="ES2816" s="4"/>
      <c r="ET2816" s="4"/>
      <c r="EU2816" s="4"/>
      <c r="EV2816" s="4"/>
      <c r="EW2816" s="4"/>
      <c r="EX2816" s="4"/>
      <c r="EY2816" s="4"/>
      <c r="EZ2816" s="4"/>
      <c r="FA2816" s="4"/>
      <c r="FB2816" s="4"/>
      <c r="FC2816" s="4"/>
      <c r="FD2816" s="4"/>
      <c r="FE2816" s="4"/>
      <c r="FF2816" s="4"/>
      <c r="FG2816" s="4"/>
      <c r="FH2816" s="4"/>
      <c r="FI2816" s="4"/>
      <c r="FJ2816" s="4"/>
      <c r="FK2816" s="4"/>
      <c r="FL2816" s="4"/>
      <c r="FM2816" s="4"/>
      <c r="FN2816" s="4"/>
      <c r="FO2816" s="4"/>
      <c r="FP2816" s="4"/>
      <c r="FQ2816" s="4"/>
      <c r="FR2816" s="4"/>
      <c r="FS2816" s="4"/>
      <c r="FT2816" s="4"/>
      <c r="FU2816" s="4"/>
      <c r="FV2816" s="4"/>
      <c r="FW2816" s="4"/>
      <c r="FX2816" s="4"/>
      <c r="FY2816" s="4"/>
      <c r="FZ2816" s="4"/>
      <c r="GA2816" s="4"/>
      <c r="GB2816" s="4"/>
      <c r="GC2816" s="4"/>
      <c r="GD2816" s="4"/>
      <c r="GE2816" s="4"/>
      <c r="GF2816" s="4"/>
      <c r="GG2816" s="4"/>
      <c r="GH2816" s="4"/>
      <c r="GI2816" s="4"/>
      <c r="GJ2816" s="4"/>
      <c r="GK2816" s="4"/>
      <c r="GL2816" s="4"/>
      <c r="GM2816" s="4"/>
      <c r="GN2816" s="4"/>
      <c r="GO2816" s="4"/>
      <c r="GP2816" s="4"/>
      <c r="GQ2816" s="4"/>
      <c r="GR2816" s="4"/>
      <c r="GS2816" s="4"/>
      <c r="GT2816" s="4"/>
      <c r="GU2816" s="4"/>
      <c r="GV2816" s="4"/>
      <c r="GW2816" s="4"/>
      <c r="GX2816" s="4"/>
      <c r="GY2816" s="4"/>
      <c r="GZ2816" s="4"/>
      <c r="HA2816" s="4"/>
      <c r="HB2816" s="4"/>
      <c r="HC2816" s="4"/>
      <c r="HD2816" s="4"/>
      <c r="HE2816" s="4"/>
      <c r="HF2816" s="4"/>
      <c r="HG2816" s="4"/>
      <c r="HH2816" s="4"/>
      <c r="HI2816" s="4"/>
      <c r="HJ2816" s="4"/>
      <c r="HK2816" s="4"/>
      <c r="HL2816" s="4"/>
    </row>
    <row r="2817">
      <c r="A2817" s="2" t="s">
        <v>11941</v>
      </c>
      <c r="B2817" s="2" t="s">
        <v>847</v>
      </c>
      <c r="C2817" s="2" t="s">
        <v>288</v>
      </c>
      <c r="D2817" s="2" t="s">
        <v>882</v>
      </c>
      <c r="E2817" s="2" t="s">
        <v>2191</v>
      </c>
      <c r="F2817" s="2" t="s">
        <v>11924</v>
      </c>
      <c r="G2817" s="2" t="s">
        <v>11924</v>
      </c>
      <c r="H2817" s="2" t="s">
        <v>11924</v>
      </c>
      <c r="I2817" s="2" t="s">
        <v>11942</v>
      </c>
      <c r="J2817" s="2" t="s">
        <v>807</v>
      </c>
      <c r="K2817" s="2" t="s">
        <v>11943</v>
      </c>
      <c r="L2817" s="3">
        <v>6.66</v>
      </c>
      <c r="M2817" s="3">
        <v>6.99</v>
      </c>
      <c r="N2817" s="3">
        <v>19.99</v>
      </c>
      <c r="O2817" s="2" t="s">
        <v>243</v>
      </c>
      <c r="P2817" s="2" t="s">
        <v>236</v>
      </c>
      <c r="Q2817" s="2" t="s">
        <v>237</v>
      </c>
      <c r="R2817" s="2" t="s">
        <v>231</v>
      </c>
      <c r="S2817" s="2" t="s">
        <v>231</v>
      </c>
      <c r="T2817" s="2" t="s">
        <v>231</v>
      </c>
      <c r="U2817" s="2" t="s">
        <v>327</v>
      </c>
      <c r="V2817" s="2" t="s">
        <v>2195</v>
      </c>
      <c r="W2817" s="2" t="s">
        <v>1891</v>
      </c>
      <c r="X2817" s="2" t="s">
        <v>971</v>
      </c>
      <c r="Y2817" s="2" t="s">
        <v>2196</v>
      </c>
      <c r="Z2817" s="4">
        <v>201</v>
      </c>
      <c r="AA2817" s="4">
        <f>=ROUNDDOWN(201,0)</f>
      </c>
      <c r="AB2817" s="5">
        <v>1</v>
      </c>
      <c r="AC2817" s="2" t="s">
        <v>231</v>
      </c>
      <c r="AD2817" s="4"/>
      <c r="AE2817" s="4"/>
      <c r="AF2817" s="6">
        <v>63</v>
      </c>
      <c r="AG2817" s="6"/>
      <c r="AH2817" s="7">
        <v>1</v>
      </c>
      <c r="AI2817" s="4"/>
      <c r="AJ2817" s="4">
        <f>=ROUNDDOWN({0},0)</f>
      </c>
      <c r="AK2817" s="5"/>
      <c r="AL2817" s="2" t="s">
        <v>231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231</v>
      </c>
      <c r="BD2817" s="8" t="s">
        <v>231</v>
      </c>
      <c r="BE2817" s="4" t="s">
        <v>231</v>
      </c>
      <c r="BF2817" s="8" t="s">
        <v>231</v>
      </c>
      <c r="BG2817" s="7" t="s">
        <v>231</v>
      </c>
      <c r="BH2817" s="7" t="s">
        <v>231</v>
      </c>
      <c r="BI2817" s="7"/>
      <c r="BJ2817" s="4">
        <v>2</v>
      </c>
      <c r="BK2817" s="8">
        <v>13.98</v>
      </c>
      <c r="BL2817" s="2" t="s">
        <v>1306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11944</v>
      </c>
      <c r="BV2817" s="2" t="s">
        <v>231</v>
      </c>
      <c r="BW2817" s="2" t="s">
        <v>231</v>
      </c>
      <c r="BX2817" s="2" t="s">
        <v>1812</v>
      </c>
      <c r="BY2817" s="2" t="s">
        <v>277</v>
      </c>
      <c r="BZ2817" s="2" t="s">
        <v>243</v>
      </c>
      <c r="CA2817" s="2" t="s">
        <v>2199</v>
      </c>
      <c r="CB2817" s="2" t="s">
        <v>231</v>
      </c>
      <c r="CC2817" s="2" t="s">
        <v>244</v>
      </c>
      <c r="CD2817" s="2" t="s">
        <v>231</v>
      </c>
      <c r="CE2817" s="4"/>
      <c r="CF2817" s="4">
        <v>201</v>
      </c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4"/>
      <c r="CX2817" s="4"/>
      <c r="CY2817" s="4"/>
      <c r="CZ2817" s="4"/>
      <c r="DA2817" s="4"/>
      <c r="DB2817" s="4"/>
      <c r="DC2817" s="4"/>
      <c r="DD2817" s="4"/>
      <c r="DE2817" s="4"/>
      <c r="DF2817" s="4"/>
      <c r="DG2817" s="4"/>
      <c r="DH2817" s="4"/>
      <c r="DI2817" s="4"/>
      <c r="DJ2817" s="4"/>
      <c r="DK2817" s="4"/>
      <c r="DL2817" s="4"/>
      <c r="DM2817" s="4"/>
      <c r="DN2817" s="4"/>
      <c r="DO2817" s="4"/>
      <c r="DP2817" s="4"/>
      <c r="DQ2817" s="4"/>
      <c r="DR2817" s="4"/>
      <c r="DS2817" s="4"/>
      <c r="DT2817" s="4"/>
      <c r="DU2817" s="4"/>
      <c r="DV2817" s="4"/>
      <c r="DW2817" s="4"/>
      <c r="DX2817" s="4"/>
      <c r="DY2817" s="4"/>
      <c r="DZ2817" s="4"/>
      <c r="EA2817" s="4"/>
      <c r="EB2817" s="4"/>
      <c r="EC2817" s="4"/>
      <c r="ED2817" s="4"/>
      <c r="EE2817" s="4"/>
      <c r="EF2817" s="4"/>
      <c r="EG2817" s="4"/>
      <c r="EH2817" s="4"/>
      <c r="EI2817" s="4"/>
      <c r="EJ2817" s="4"/>
      <c r="EK2817" s="4"/>
      <c r="EL2817" s="4"/>
      <c r="EM2817" s="4"/>
      <c r="EN2817" s="4"/>
      <c r="EO2817" s="4"/>
      <c r="EP2817" s="4"/>
      <c r="EQ2817" s="4"/>
      <c r="ER2817" s="4"/>
      <c r="ES2817" s="4"/>
      <c r="ET2817" s="4"/>
      <c r="EU2817" s="4"/>
      <c r="EV2817" s="4"/>
      <c r="EW2817" s="4"/>
      <c r="EX2817" s="4"/>
      <c r="EY2817" s="4"/>
      <c r="EZ2817" s="4"/>
      <c r="FA2817" s="4"/>
      <c r="FB2817" s="4"/>
      <c r="FC2817" s="4"/>
      <c r="FD2817" s="4"/>
      <c r="FE2817" s="4"/>
      <c r="FF2817" s="4"/>
      <c r="FG2817" s="4"/>
      <c r="FH2817" s="4"/>
      <c r="FI2817" s="4"/>
      <c r="FJ2817" s="4"/>
      <c r="FK2817" s="4"/>
      <c r="FL2817" s="4"/>
      <c r="FM2817" s="4"/>
      <c r="FN2817" s="4"/>
      <c r="FO2817" s="4"/>
      <c r="FP2817" s="4"/>
      <c r="FQ2817" s="4"/>
      <c r="FR2817" s="4"/>
      <c r="FS2817" s="4"/>
      <c r="FT2817" s="4"/>
      <c r="FU2817" s="4"/>
      <c r="FV2817" s="4"/>
      <c r="FW2817" s="4"/>
      <c r="FX2817" s="4"/>
      <c r="FY2817" s="4"/>
      <c r="FZ2817" s="4"/>
      <c r="GA2817" s="4"/>
      <c r="GB2817" s="4"/>
      <c r="GC2817" s="4"/>
      <c r="GD2817" s="4"/>
      <c r="GE2817" s="4"/>
      <c r="GF2817" s="4"/>
      <c r="GG2817" s="4"/>
      <c r="GH2817" s="4"/>
      <c r="GI2817" s="4"/>
      <c r="GJ2817" s="4"/>
      <c r="GK2817" s="4"/>
      <c r="GL2817" s="4"/>
      <c r="GM2817" s="4"/>
      <c r="GN2817" s="4"/>
      <c r="GO2817" s="4"/>
      <c r="GP2817" s="4"/>
      <c r="GQ2817" s="4"/>
      <c r="GR2817" s="4"/>
      <c r="GS2817" s="4"/>
      <c r="GT2817" s="4"/>
      <c r="GU2817" s="4"/>
      <c r="GV2817" s="4"/>
      <c r="GW2817" s="4"/>
      <c r="GX2817" s="4"/>
      <c r="GY2817" s="4"/>
      <c r="GZ2817" s="4"/>
      <c r="HA2817" s="4"/>
      <c r="HB2817" s="4"/>
      <c r="HC2817" s="4"/>
      <c r="HD2817" s="4"/>
      <c r="HE2817" s="4"/>
      <c r="HF2817" s="4"/>
      <c r="HG2817" s="4"/>
      <c r="HH2817" s="4"/>
      <c r="HI2817" s="4"/>
      <c r="HJ2817" s="4"/>
      <c r="HK2817" s="4"/>
      <c r="HL2817" s="4"/>
    </row>
    <row r="2818">
      <c r="A2818" s="2" t="s">
        <v>11945</v>
      </c>
      <c r="B2818" s="2" t="s">
        <v>847</v>
      </c>
      <c r="C2818" s="2" t="s">
        <v>288</v>
      </c>
      <c r="D2818" s="2" t="s">
        <v>882</v>
      </c>
      <c r="E2818" s="2" t="s">
        <v>2191</v>
      </c>
      <c r="F2818" s="2" t="s">
        <v>11924</v>
      </c>
      <c r="G2818" s="2" t="s">
        <v>11924</v>
      </c>
      <c r="H2818" s="2" t="s">
        <v>11924</v>
      </c>
      <c r="I2818" s="2" t="s">
        <v>11946</v>
      </c>
      <c r="J2818" s="2" t="s">
        <v>807</v>
      </c>
      <c r="K2818" s="2" t="s">
        <v>11947</v>
      </c>
      <c r="L2818" s="3">
        <v>6.66</v>
      </c>
      <c r="M2818" s="3">
        <v>6.99</v>
      </c>
      <c r="N2818" s="3">
        <v>19.99</v>
      </c>
      <c r="O2818" s="2" t="s">
        <v>243</v>
      </c>
      <c r="P2818" s="2" t="s">
        <v>236</v>
      </c>
      <c r="Q2818" s="2" t="s">
        <v>237</v>
      </c>
      <c r="R2818" s="2" t="s">
        <v>231</v>
      </c>
      <c r="S2818" s="2" t="s">
        <v>231</v>
      </c>
      <c r="T2818" s="2" t="s">
        <v>231</v>
      </c>
      <c r="U2818" s="2" t="s">
        <v>327</v>
      </c>
      <c r="V2818" s="2" t="s">
        <v>2195</v>
      </c>
      <c r="W2818" s="2" t="s">
        <v>1891</v>
      </c>
      <c r="X2818" s="2" t="s">
        <v>971</v>
      </c>
      <c r="Y2818" s="2" t="s">
        <v>2196</v>
      </c>
      <c r="Z2818" s="4">
        <v>143</v>
      </c>
      <c r="AA2818" s="4">
        <f>=ROUNDDOWN(158.888888888889,0)</f>
      </c>
      <c r="AB2818" s="5">
        <v>0.9</v>
      </c>
      <c r="AC2818" s="2" t="s">
        <v>231</v>
      </c>
      <c r="AD2818" s="4"/>
      <c r="AE2818" s="4"/>
      <c r="AF2818" s="6">
        <v>63</v>
      </c>
      <c r="AG2818" s="6"/>
      <c r="AH2818" s="7">
        <v>1</v>
      </c>
      <c r="AI2818" s="4"/>
      <c r="AJ2818" s="4">
        <f>=ROUNDDOWN({0},0)</f>
      </c>
      <c r="AK2818" s="5"/>
      <c r="AL2818" s="2" t="s">
        <v>231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231</v>
      </c>
      <c r="BD2818" s="8" t="s">
        <v>231</v>
      </c>
      <c r="BE2818" s="4" t="s">
        <v>231</v>
      </c>
      <c r="BF2818" s="8" t="s">
        <v>231</v>
      </c>
      <c r="BG2818" s="7" t="s">
        <v>231</v>
      </c>
      <c r="BH2818" s="7" t="s">
        <v>231</v>
      </c>
      <c r="BI2818" s="7"/>
      <c r="BJ2818" s="4">
        <v>4</v>
      </c>
      <c r="BK2818" s="8">
        <v>27.96</v>
      </c>
      <c r="BL2818" s="2" t="s">
        <v>1306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11948</v>
      </c>
      <c r="BV2818" s="2" t="s">
        <v>231</v>
      </c>
      <c r="BW2818" s="2" t="s">
        <v>231</v>
      </c>
      <c r="BX2818" s="2" t="s">
        <v>1812</v>
      </c>
      <c r="BY2818" s="2" t="s">
        <v>277</v>
      </c>
      <c r="BZ2818" s="2" t="s">
        <v>243</v>
      </c>
      <c r="CA2818" s="2" t="s">
        <v>2199</v>
      </c>
      <c r="CB2818" s="2" t="s">
        <v>3772</v>
      </c>
      <c r="CC2818" s="2" t="s">
        <v>244</v>
      </c>
      <c r="CD2818" s="2" t="s">
        <v>231</v>
      </c>
      <c r="CE2818" s="4"/>
      <c r="CF2818" s="4">
        <v>143</v>
      </c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4"/>
      <c r="CX2818" s="4"/>
      <c r="CY2818" s="4"/>
      <c r="CZ2818" s="4"/>
      <c r="DA2818" s="4"/>
      <c r="DB2818" s="4"/>
      <c r="DC2818" s="4"/>
      <c r="DD2818" s="4"/>
      <c r="DE2818" s="4"/>
      <c r="DF2818" s="4"/>
      <c r="DG2818" s="4"/>
      <c r="DH2818" s="4"/>
      <c r="DI2818" s="4"/>
      <c r="DJ2818" s="4"/>
      <c r="DK2818" s="4"/>
      <c r="DL2818" s="4"/>
      <c r="DM2818" s="4"/>
      <c r="DN2818" s="4"/>
      <c r="DO2818" s="4"/>
      <c r="DP2818" s="4"/>
      <c r="DQ2818" s="4"/>
      <c r="DR2818" s="4"/>
      <c r="DS2818" s="4"/>
      <c r="DT2818" s="4"/>
      <c r="DU2818" s="4"/>
      <c r="DV2818" s="4"/>
      <c r="DW2818" s="4"/>
      <c r="DX2818" s="4"/>
      <c r="DY2818" s="4"/>
      <c r="DZ2818" s="4"/>
      <c r="EA2818" s="4"/>
      <c r="EB2818" s="4"/>
      <c r="EC2818" s="4"/>
      <c r="ED2818" s="4"/>
      <c r="EE2818" s="4"/>
      <c r="EF2818" s="4"/>
      <c r="EG2818" s="4"/>
      <c r="EH2818" s="4"/>
      <c r="EI2818" s="4"/>
      <c r="EJ2818" s="4"/>
      <c r="EK2818" s="4"/>
      <c r="EL2818" s="4"/>
      <c r="EM2818" s="4"/>
      <c r="EN2818" s="4"/>
      <c r="EO2818" s="4"/>
      <c r="EP2818" s="4"/>
      <c r="EQ2818" s="4"/>
      <c r="ER2818" s="4"/>
      <c r="ES2818" s="4"/>
      <c r="ET2818" s="4"/>
      <c r="EU2818" s="4"/>
      <c r="EV2818" s="4"/>
      <c r="EW2818" s="4"/>
      <c r="EX2818" s="4"/>
      <c r="EY2818" s="4"/>
      <c r="EZ2818" s="4"/>
      <c r="FA2818" s="4"/>
      <c r="FB2818" s="4"/>
      <c r="FC2818" s="4"/>
      <c r="FD2818" s="4"/>
      <c r="FE2818" s="4"/>
      <c r="FF2818" s="4"/>
      <c r="FG2818" s="4"/>
      <c r="FH2818" s="4"/>
      <c r="FI2818" s="4"/>
      <c r="FJ2818" s="4"/>
      <c r="FK2818" s="4"/>
      <c r="FL2818" s="4"/>
      <c r="FM2818" s="4"/>
      <c r="FN2818" s="4"/>
      <c r="FO2818" s="4"/>
      <c r="FP2818" s="4"/>
      <c r="FQ2818" s="4"/>
      <c r="FR2818" s="4"/>
      <c r="FS2818" s="4"/>
      <c r="FT2818" s="4"/>
      <c r="FU2818" s="4"/>
      <c r="FV2818" s="4"/>
      <c r="FW2818" s="4"/>
      <c r="FX2818" s="4"/>
      <c r="FY2818" s="4"/>
      <c r="FZ2818" s="4"/>
      <c r="GA2818" s="4"/>
      <c r="GB2818" s="4"/>
      <c r="GC2818" s="4"/>
      <c r="GD2818" s="4"/>
      <c r="GE2818" s="4"/>
      <c r="GF2818" s="4"/>
      <c r="GG2818" s="4"/>
      <c r="GH2818" s="4"/>
      <c r="GI2818" s="4"/>
      <c r="GJ2818" s="4"/>
      <c r="GK2818" s="4"/>
      <c r="GL2818" s="4"/>
      <c r="GM2818" s="4"/>
      <c r="GN2818" s="4"/>
      <c r="GO2818" s="4"/>
      <c r="GP2818" s="4"/>
      <c r="GQ2818" s="4"/>
      <c r="GR2818" s="4"/>
      <c r="GS2818" s="4"/>
      <c r="GT2818" s="4"/>
      <c r="GU2818" s="4"/>
      <c r="GV2818" s="4"/>
      <c r="GW2818" s="4"/>
      <c r="GX2818" s="4"/>
      <c r="GY2818" s="4"/>
      <c r="GZ2818" s="4"/>
      <c r="HA2818" s="4"/>
      <c r="HB2818" s="4"/>
      <c r="HC2818" s="4"/>
      <c r="HD2818" s="4"/>
      <c r="HE2818" s="4"/>
      <c r="HF2818" s="4"/>
      <c r="HG2818" s="4"/>
      <c r="HH2818" s="4"/>
      <c r="HI2818" s="4"/>
      <c r="HJ2818" s="4"/>
      <c r="HK2818" s="4"/>
      <c r="HL2818" s="4"/>
    </row>
    <row r="2819">
      <c r="A2819" s="2" t="s">
        <v>11949</v>
      </c>
      <c r="B2819" s="2" t="s">
        <v>1186</v>
      </c>
      <c r="C2819" s="2" t="s">
        <v>815</v>
      </c>
      <c r="D2819" s="2" t="s">
        <v>654</v>
      </c>
      <c r="E2819" s="2" t="s">
        <v>655</v>
      </c>
      <c r="F2819" s="2" t="s">
        <v>10817</v>
      </c>
      <c r="G2819" s="2" t="s">
        <v>10817</v>
      </c>
      <c r="H2819" s="2" t="s">
        <v>10817</v>
      </c>
      <c r="I2819" s="2" t="s">
        <v>11950</v>
      </c>
      <c r="J2819" s="2" t="s">
        <v>318</v>
      </c>
      <c r="K2819" s="2" t="s">
        <v>269</v>
      </c>
      <c r="L2819" s="3">
        <v>52.8</v>
      </c>
      <c r="M2819" s="3">
        <v>55.43</v>
      </c>
      <c r="N2819" s="3">
        <v>109.99</v>
      </c>
      <c r="O2819" s="2" t="s">
        <v>243</v>
      </c>
      <c r="P2819" s="2" t="s">
        <v>341</v>
      </c>
      <c r="Q2819" s="2" t="s">
        <v>237</v>
      </c>
      <c r="R2819" s="2" t="s">
        <v>231</v>
      </c>
      <c r="S2819" s="2" t="s">
        <v>11951</v>
      </c>
      <c r="T2819" s="2" t="s">
        <v>231</v>
      </c>
      <c r="U2819" s="2" t="s">
        <v>231</v>
      </c>
      <c r="V2819" s="2" t="s">
        <v>391</v>
      </c>
      <c r="W2819" s="2" t="s">
        <v>7614</v>
      </c>
      <c r="X2819" s="2" t="s">
        <v>11952</v>
      </c>
      <c r="Y2819" s="2" t="s">
        <v>274</v>
      </c>
      <c r="Z2819" s="4">
        <v>21</v>
      </c>
      <c r="AA2819" s="4">
        <f>=ROUNDDOWN(3.9622641509434,0)</f>
      </c>
      <c r="AB2819" s="5">
        <v>5.3</v>
      </c>
      <c r="AC2819" s="2" t="s">
        <v>231</v>
      </c>
      <c r="AD2819" s="4"/>
      <c r="AE2819" s="4"/>
      <c r="AF2819" s="6">
        <v>66</v>
      </c>
      <c r="AG2819" s="6"/>
      <c r="AH2819" s="7">
        <v>1</v>
      </c>
      <c r="AI2819" s="4"/>
      <c r="AJ2819" s="4">
        <f>=ROUNDDOWN({0},0)</f>
      </c>
      <c r="AK2819" s="5"/>
      <c r="AL2819" s="2" t="s">
        <v>231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231</v>
      </c>
      <c r="AW2819" s="8" t="s">
        <v>231</v>
      </c>
      <c r="AX2819" s="4" t="s">
        <v>231</v>
      </c>
      <c r="AY2819" s="8" t="s">
        <v>231</v>
      </c>
      <c r="AZ2819" s="7" t="s">
        <v>231</v>
      </c>
      <c r="BA2819" s="7" t="s">
        <v>231</v>
      </c>
      <c r="BB2819" s="7"/>
      <c r="BC2819" s="4" t="s">
        <v>231</v>
      </c>
      <c r="BD2819" s="8" t="s">
        <v>231</v>
      </c>
      <c r="BE2819" s="4" t="s">
        <v>231</v>
      </c>
      <c r="BF2819" s="8" t="s">
        <v>231</v>
      </c>
      <c r="BG2819" s="7" t="s">
        <v>231</v>
      </c>
      <c r="BH2819" s="7" t="s">
        <v>231</v>
      </c>
      <c r="BI2819" s="7"/>
      <c r="BJ2819" s="4">
        <v>26</v>
      </c>
      <c r="BK2819" s="8">
        <v>1371.2</v>
      </c>
      <c r="BL2819" s="2" t="s">
        <v>1474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11953</v>
      </c>
      <c r="BV2819" s="2" t="s">
        <v>231</v>
      </c>
      <c r="BW2819" s="2" t="s">
        <v>231</v>
      </c>
      <c r="BX2819" s="2" t="s">
        <v>231</v>
      </c>
      <c r="BY2819" s="2" t="s">
        <v>277</v>
      </c>
      <c r="BZ2819" s="2" t="s">
        <v>243</v>
      </c>
      <c r="CA2819" s="2" t="s">
        <v>284</v>
      </c>
      <c r="CB2819" s="2" t="s">
        <v>11954</v>
      </c>
      <c r="CC2819" s="2" t="s">
        <v>244</v>
      </c>
      <c r="CD2819" s="2" t="s">
        <v>231</v>
      </c>
      <c r="CE2819" s="4">
        <v>21</v>
      </c>
      <c r="CF2819" s="4"/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4"/>
      <c r="CX2819" s="4"/>
      <c r="CY2819" s="4"/>
      <c r="CZ2819" s="4"/>
      <c r="DA2819" s="4"/>
      <c r="DB2819" s="4"/>
      <c r="DC2819" s="4"/>
      <c r="DD2819" s="4"/>
      <c r="DE2819" s="4"/>
      <c r="DF2819" s="4"/>
      <c r="DG2819" s="4"/>
      <c r="DH2819" s="4"/>
      <c r="DI2819" s="4"/>
      <c r="DJ2819" s="4"/>
      <c r="DK2819" s="4"/>
      <c r="DL2819" s="4"/>
      <c r="DM2819" s="4"/>
      <c r="DN2819" s="4"/>
      <c r="DO2819" s="4"/>
      <c r="DP2819" s="4"/>
      <c r="DQ2819" s="4"/>
      <c r="DR2819" s="4"/>
      <c r="DS2819" s="4"/>
      <c r="DT2819" s="4"/>
      <c r="DU2819" s="4"/>
      <c r="DV2819" s="4"/>
      <c r="DW2819" s="4"/>
      <c r="DX2819" s="4"/>
      <c r="DY2819" s="4"/>
      <c r="DZ2819" s="4"/>
      <c r="EA2819" s="4"/>
      <c r="EB2819" s="4"/>
      <c r="EC2819" s="4"/>
      <c r="ED2819" s="4"/>
      <c r="EE2819" s="4"/>
      <c r="EF2819" s="4"/>
      <c r="EG2819" s="4"/>
      <c r="EH2819" s="4"/>
      <c r="EI2819" s="4"/>
      <c r="EJ2819" s="4"/>
      <c r="EK2819" s="4"/>
      <c r="EL2819" s="4"/>
      <c r="EM2819" s="4"/>
      <c r="EN2819" s="4"/>
      <c r="EO2819" s="4"/>
      <c r="EP2819" s="4"/>
      <c r="EQ2819" s="4"/>
      <c r="ER2819" s="4"/>
      <c r="ES2819" s="4"/>
      <c r="ET2819" s="4"/>
      <c r="EU2819" s="4"/>
      <c r="EV2819" s="4"/>
      <c r="EW2819" s="4"/>
      <c r="EX2819" s="4"/>
      <c r="EY2819" s="4"/>
      <c r="EZ2819" s="4"/>
      <c r="FA2819" s="4"/>
      <c r="FB2819" s="4"/>
      <c r="FC2819" s="4"/>
      <c r="FD2819" s="4"/>
      <c r="FE2819" s="4"/>
      <c r="FF2819" s="4"/>
      <c r="FG2819" s="4"/>
      <c r="FH2819" s="4"/>
      <c r="FI2819" s="4"/>
      <c r="FJ2819" s="4"/>
      <c r="FK2819" s="4"/>
      <c r="FL2819" s="4"/>
      <c r="FM2819" s="4"/>
      <c r="FN2819" s="4"/>
      <c r="FO2819" s="4"/>
      <c r="FP2819" s="4"/>
      <c r="FQ2819" s="4"/>
      <c r="FR2819" s="4"/>
      <c r="FS2819" s="4"/>
      <c r="FT2819" s="4"/>
      <c r="FU2819" s="4"/>
      <c r="FV2819" s="4"/>
      <c r="FW2819" s="4"/>
      <c r="FX2819" s="4"/>
      <c r="FY2819" s="4"/>
      <c r="FZ2819" s="4"/>
      <c r="GA2819" s="4"/>
      <c r="GB2819" s="4"/>
      <c r="GC2819" s="4"/>
      <c r="GD2819" s="4"/>
      <c r="GE2819" s="4"/>
      <c r="GF2819" s="4"/>
      <c r="GG2819" s="4"/>
      <c r="GH2819" s="4"/>
      <c r="GI2819" s="4"/>
      <c r="GJ2819" s="4"/>
      <c r="GK2819" s="4"/>
      <c r="GL2819" s="4"/>
      <c r="GM2819" s="4"/>
      <c r="GN2819" s="4"/>
      <c r="GO2819" s="4"/>
      <c r="GP2819" s="4"/>
      <c r="GQ2819" s="4"/>
      <c r="GR2819" s="4"/>
      <c r="GS2819" s="4"/>
      <c r="GT2819" s="4"/>
      <c r="GU2819" s="4"/>
      <c r="GV2819" s="4"/>
      <c r="GW2819" s="4"/>
      <c r="GX2819" s="4"/>
      <c r="GY2819" s="4"/>
      <c r="GZ2819" s="4"/>
      <c r="HA2819" s="4"/>
      <c r="HB2819" s="4"/>
      <c r="HC2819" s="4"/>
      <c r="HD2819" s="4"/>
      <c r="HE2819" s="4"/>
      <c r="HF2819" s="4"/>
      <c r="HG2819" s="4"/>
      <c r="HH2819" s="4"/>
      <c r="HI2819" s="4"/>
      <c r="HJ2819" s="4"/>
      <c r="HK2819" s="4"/>
      <c r="HL2819" s="4"/>
    </row>
    <row r="2820">
      <c r="A2820" s="2" t="s">
        <v>11955</v>
      </c>
      <c r="B2820" s="2" t="s">
        <v>1186</v>
      </c>
      <c r="C2820" s="2" t="s">
        <v>815</v>
      </c>
      <c r="D2820" s="2" t="s">
        <v>826</v>
      </c>
      <c r="E2820" s="2" t="s">
        <v>827</v>
      </c>
      <c r="F2820" s="2" t="s">
        <v>10817</v>
      </c>
      <c r="G2820" s="2" t="s">
        <v>10817</v>
      </c>
      <c r="H2820" s="2" t="s">
        <v>10817</v>
      </c>
      <c r="I2820" s="2" t="s">
        <v>1863</v>
      </c>
      <c r="J2820" s="2" t="s">
        <v>302</v>
      </c>
      <c r="K2820" s="2" t="s">
        <v>269</v>
      </c>
      <c r="L2820" s="3">
        <v>68.11</v>
      </c>
      <c r="M2820" s="3">
        <v>71.52</v>
      </c>
      <c r="N2820" s="3">
        <v>139</v>
      </c>
      <c r="O2820" s="2" t="s">
        <v>243</v>
      </c>
      <c r="P2820" s="2" t="s">
        <v>341</v>
      </c>
      <c r="Q2820" s="2" t="s">
        <v>237</v>
      </c>
      <c r="R2820" s="2" t="s">
        <v>231</v>
      </c>
      <c r="S2820" s="2" t="s">
        <v>11951</v>
      </c>
      <c r="T2820" s="2" t="s">
        <v>231</v>
      </c>
      <c r="U2820" s="2" t="s">
        <v>231</v>
      </c>
      <c r="V2820" s="2" t="s">
        <v>391</v>
      </c>
      <c r="W2820" s="2" t="s">
        <v>7614</v>
      </c>
      <c r="X2820" s="2" t="s">
        <v>273</v>
      </c>
      <c r="Y2820" s="2" t="s">
        <v>274</v>
      </c>
      <c r="Z2820" s="4">
        <v>50</v>
      </c>
      <c r="AA2820" s="4">
        <f>=ROUNDDOWN(33.3333333333333,0)</f>
      </c>
      <c r="AB2820" s="5">
        <v>1.5</v>
      </c>
      <c r="AC2820" s="2" t="s">
        <v>231</v>
      </c>
      <c r="AD2820" s="4"/>
      <c r="AE2820" s="4"/>
      <c r="AF2820" s="6">
        <v>66</v>
      </c>
      <c r="AG2820" s="6"/>
      <c r="AH2820" s="7">
        <v>1</v>
      </c>
      <c r="AI2820" s="4"/>
      <c r="AJ2820" s="4">
        <f>=ROUNDDOWN({0},0)</f>
      </c>
      <c r="AK2820" s="5"/>
      <c r="AL2820" s="2" t="s">
        <v>231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231</v>
      </c>
      <c r="AW2820" s="8" t="s">
        <v>231</v>
      </c>
      <c r="AX2820" s="4" t="s">
        <v>231</v>
      </c>
      <c r="AY2820" s="8" t="s">
        <v>231</v>
      </c>
      <c r="AZ2820" s="7" t="s">
        <v>231</v>
      </c>
      <c r="BA2820" s="7" t="s">
        <v>231</v>
      </c>
      <c r="BB2820" s="7"/>
      <c r="BC2820" s="4" t="s">
        <v>231</v>
      </c>
      <c r="BD2820" s="8" t="s">
        <v>231</v>
      </c>
      <c r="BE2820" s="4" t="s">
        <v>231</v>
      </c>
      <c r="BF2820" s="8" t="s">
        <v>231</v>
      </c>
      <c r="BG2820" s="7" t="s">
        <v>231</v>
      </c>
      <c r="BH2820" s="7" t="s">
        <v>231</v>
      </c>
      <c r="BI2820" s="7"/>
      <c r="BJ2820" s="4">
        <v>8</v>
      </c>
      <c r="BK2820" s="8">
        <v>467.31</v>
      </c>
      <c r="BL2820" s="2" t="s">
        <v>11956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11957</v>
      </c>
      <c r="BV2820" s="2" t="s">
        <v>231</v>
      </c>
      <c r="BW2820" s="2" t="s">
        <v>231</v>
      </c>
      <c r="BX2820" s="2" t="s">
        <v>231</v>
      </c>
      <c r="BY2820" s="2" t="s">
        <v>277</v>
      </c>
      <c r="BZ2820" s="2" t="s">
        <v>243</v>
      </c>
      <c r="CA2820" s="2" t="s">
        <v>284</v>
      </c>
      <c r="CB2820" s="2" t="s">
        <v>11958</v>
      </c>
      <c r="CC2820" s="2" t="s">
        <v>244</v>
      </c>
      <c r="CD2820" s="2" t="s">
        <v>231</v>
      </c>
      <c r="CE2820" s="4">
        <v>50</v>
      </c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4"/>
      <c r="CX2820" s="4"/>
      <c r="CY2820" s="4"/>
      <c r="CZ2820" s="4"/>
      <c r="DA2820" s="4"/>
      <c r="DB2820" s="4"/>
      <c r="DC2820" s="4"/>
      <c r="DD2820" s="4"/>
      <c r="DE2820" s="4"/>
      <c r="DF2820" s="4"/>
      <c r="DG2820" s="4"/>
      <c r="DH2820" s="4"/>
      <c r="DI2820" s="4"/>
      <c r="DJ2820" s="4"/>
      <c r="DK2820" s="4"/>
      <c r="DL2820" s="4"/>
      <c r="DM2820" s="4"/>
      <c r="DN2820" s="4"/>
      <c r="DO2820" s="4"/>
      <c r="DP2820" s="4"/>
      <c r="DQ2820" s="4"/>
      <c r="DR2820" s="4"/>
      <c r="DS2820" s="4"/>
      <c r="DT2820" s="4"/>
      <c r="DU2820" s="4"/>
      <c r="DV2820" s="4"/>
      <c r="DW2820" s="4"/>
      <c r="DX2820" s="4"/>
      <c r="DY2820" s="4"/>
      <c r="DZ2820" s="4"/>
      <c r="EA2820" s="4"/>
      <c r="EB2820" s="4"/>
      <c r="EC2820" s="4"/>
      <c r="ED2820" s="4"/>
      <c r="EE2820" s="4"/>
      <c r="EF2820" s="4"/>
      <c r="EG2820" s="4"/>
      <c r="EH2820" s="4"/>
      <c r="EI2820" s="4"/>
      <c r="EJ2820" s="4"/>
      <c r="EK2820" s="4"/>
      <c r="EL2820" s="4"/>
      <c r="EM2820" s="4"/>
      <c r="EN2820" s="4"/>
      <c r="EO2820" s="4"/>
      <c r="EP2820" s="4"/>
      <c r="EQ2820" s="4"/>
      <c r="ER2820" s="4"/>
      <c r="ES2820" s="4"/>
      <c r="ET2820" s="4"/>
      <c r="EU2820" s="4"/>
      <c r="EV2820" s="4"/>
      <c r="EW2820" s="4"/>
      <c r="EX2820" s="4"/>
      <c r="EY2820" s="4"/>
      <c r="EZ2820" s="4"/>
      <c r="FA2820" s="4"/>
      <c r="FB2820" s="4"/>
      <c r="FC2820" s="4"/>
      <c r="FD2820" s="4"/>
      <c r="FE2820" s="4"/>
      <c r="FF2820" s="4"/>
      <c r="FG2820" s="4"/>
      <c r="FH2820" s="4"/>
      <c r="FI2820" s="4"/>
      <c r="FJ2820" s="4"/>
      <c r="FK2820" s="4"/>
      <c r="FL2820" s="4"/>
      <c r="FM2820" s="4"/>
      <c r="FN2820" s="4"/>
      <c r="FO2820" s="4"/>
      <c r="FP2820" s="4"/>
      <c r="FQ2820" s="4"/>
      <c r="FR2820" s="4"/>
      <c r="FS2820" s="4"/>
      <c r="FT2820" s="4"/>
      <c r="FU2820" s="4"/>
      <c r="FV2820" s="4"/>
      <c r="FW2820" s="4"/>
      <c r="FX2820" s="4"/>
      <c r="FY2820" s="4"/>
      <c r="FZ2820" s="4"/>
      <c r="GA2820" s="4"/>
      <c r="GB2820" s="4"/>
      <c r="GC2820" s="4"/>
      <c r="GD2820" s="4"/>
      <c r="GE2820" s="4"/>
      <c r="GF2820" s="4"/>
      <c r="GG2820" s="4"/>
      <c r="GH2820" s="4"/>
      <c r="GI2820" s="4"/>
      <c r="GJ2820" s="4"/>
      <c r="GK2820" s="4"/>
      <c r="GL2820" s="4"/>
      <c r="GM2820" s="4"/>
      <c r="GN2820" s="4"/>
      <c r="GO2820" s="4"/>
      <c r="GP2820" s="4"/>
      <c r="GQ2820" s="4"/>
      <c r="GR2820" s="4"/>
      <c r="GS2820" s="4"/>
      <c r="GT2820" s="4"/>
      <c r="GU2820" s="4"/>
      <c r="GV2820" s="4"/>
      <c r="GW2820" s="4"/>
      <c r="GX2820" s="4"/>
      <c r="GY2820" s="4"/>
      <c r="GZ2820" s="4"/>
      <c r="HA2820" s="4"/>
      <c r="HB2820" s="4"/>
      <c r="HC2820" s="4"/>
      <c r="HD2820" s="4"/>
      <c r="HE2820" s="4"/>
      <c r="HF2820" s="4"/>
      <c r="HG2820" s="4"/>
      <c r="HH2820" s="4"/>
      <c r="HI2820" s="4"/>
      <c r="HJ2820" s="4"/>
      <c r="HK2820" s="4"/>
      <c r="HL2820" s="4"/>
    </row>
    <row r="2821">
      <c r="A2821" s="2" t="s">
        <v>11959</v>
      </c>
      <c r="B2821" s="2" t="s">
        <v>1186</v>
      </c>
      <c r="C2821" s="2" t="s">
        <v>1836</v>
      </c>
      <c r="D2821" s="2" t="s">
        <v>826</v>
      </c>
      <c r="E2821" s="2" t="s">
        <v>827</v>
      </c>
      <c r="F2821" s="2" t="s">
        <v>11960</v>
      </c>
      <c r="G2821" s="2" t="s">
        <v>231</v>
      </c>
      <c r="H2821" s="2" t="s">
        <v>231</v>
      </c>
      <c r="I2821" s="2" t="s">
        <v>1060</v>
      </c>
      <c r="J2821" s="2" t="s">
        <v>658</v>
      </c>
      <c r="K2821" s="2" t="s">
        <v>306</v>
      </c>
      <c r="L2821" s="3">
        <v>96.89</v>
      </c>
      <c r="M2821" s="3">
        <v>101.74</v>
      </c>
      <c r="N2821" s="3">
        <v>199.99</v>
      </c>
      <c r="O2821" s="2" t="s">
        <v>243</v>
      </c>
      <c r="P2821" s="2" t="s">
        <v>270</v>
      </c>
      <c r="Q2821" s="2" t="s">
        <v>237</v>
      </c>
      <c r="R2821" s="2" t="s">
        <v>231</v>
      </c>
      <c r="S2821" s="2" t="s">
        <v>11961</v>
      </c>
      <c r="T2821" s="2" t="s">
        <v>231</v>
      </c>
      <c r="U2821" s="2" t="s">
        <v>231</v>
      </c>
      <c r="V2821" s="2" t="s">
        <v>1828</v>
      </c>
      <c r="W2821" s="2" t="s">
        <v>971</v>
      </c>
      <c r="X2821" s="2" t="s">
        <v>2897</v>
      </c>
      <c r="Y2821" s="2" t="s">
        <v>274</v>
      </c>
      <c r="Z2821" s="4">
        <v>50</v>
      </c>
      <c r="AA2821" s="4">
        <f>=ROUNDDOWN(25,0)</f>
      </c>
      <c r="AB2821" s="5">
        <v>2</v>
      </c>
      <c r="AC2821" s="2" t="s">
        <v>1754</v>
      </c>
      <c r="AD2821" s="4">
        <v>35</v>
      </c>
      <c r="AE2821" s="4">
        <v>35</v>
      </c>
      <c r="AF2821" s="6">
        <v>69</v>
      </c>
      <c r="AG2821" s="6"/>
      <c r="AH2821" s="7">
        <v>1</v>
      </c>
      <c r="AI2821" s="4"/>
      <c r="AJ2821" s="4">
        <f>=ROUNDDOWN({0},0)</f>
      </c>
      <c r="AK2821" s="5"/>
      <c r="AL2821" s="2" t="s">
        <v>231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231</v>
      </c>
      <c r="BD2821" s="8" t="s">
        <v>231</v>
      </c>
      <c r="BE2821" s="4" t="s">
        <v>231</v>
      </c>
      <c r="BF2821" s="8" t="s">
        <v>231</v>
      </c>
      <c r="BG2821" s="7" t="s">
        <v>231</v>
      </c>
      <c r="BH2821" s="7" t="s">
        <v>231</v>
      </c>
      <c r="BI2821" s="7"/>
      <c r="BJ2821" s="4">
        <v>3</v>
      </c>
      <c r="BK2821" s="8">
        <v>263.53</v>
      </c>
      <c r="BL2821" s="2" t="s">
        <v>11962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11963</v>
      </c>
      <c r="BV2821" s="2" t="s">
        <v>231</v>
      </c>
      <c r="BW2821" s="2" t="s">
        <v>231</v>
      </c>
      <c r="BX2821" s="2" t="s">
        <v>231</v>
      </c>
      <c r="BY2821" s="2" t="s">
        <v>277</v>
      </c>
      <c r="BZ2821" s="2" t="s">
        <v>243</v>
      </c>
      <c r="CA2821" s="2" t="s">
        <v>284</v>
      </c>
      <c r="CB2821" s="2" t="s">
        <v>11964</v>
      </c>
      <c r="CC2821" s="2" t="s">
        <v>244</v>
      </c>
      <c r="CD2821" s="2" t="s">
        <v>231</v>
      </c>
      <c r="CE2821" s="4">
        <v>50</v>
      </c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4"/>
      <c r="CX2821" s="4"/>
      <c r="CY2821" s="4"/>
      <c r="CZ2821" s="4"/>
      <c r="DA2821" s="4"/>
      <c r="DB2821" s="4"/>
      <c r="DC2821" s="4"/>
      <c r="DD2821" s="4"/>
      <c r="DE2821" s="4"/>
      <c r="DF2821" s="4"/>
      <c r="DG2821" s="4"/>
      <c r="DH2821" s="4"/>
      <c r="DI2821" s="4"/>
      <c r="DJ2821" s="4"/>
      <c r="DK2821" s="4"/>
      <c r="DL2821" s="4"/>
      <c r="DM2821" s="4"/>
      <c r="DN2821" s="4"/>
      <c r="DO2821" s="4"/>
      <c r="DP2821" s="4"/>
      <c r="DQ2821" s="4"/>
      <c r="DR2821" s="4"/>
      <c r="DS2821" s="4"/>
      <c r="DT2821" s="4"/>
      <c r="DU2821" s="4"/>
      <c r="DV2821" s="4"/>
      <c r="DW2821" s="4"/>
      <c r="DX2821" s="4"/>
      <c r="DY2821" s="4"/>
      <c r="DZ2821" s="4"/>
      <c r="EA2821" s="4"/>
      <c r="EB2821" s="4"/>
      <c r="EC2821" s="4"/>
      <c r="ED2821" s="4"/>
      <c r="EE2821" s="4"/>
      <c r="EF2821" s="4"/>
      <c r="EG2821" s="4">
        <v>35</v>
      </c>
      <c r="EH2821" s="4"/>
      <c r="EI2821" s="4"/>
      <c r="EJ2821" s="4"/>
      <c r="EK2821" s="4"/>
      <c r="EL2821" s="4"/>
      <c r="EM2821" s="4"/>
      <c r="EN2821" s="4"/>
      <c r="EO2821" s="4"/>
      <c r="EP2821" s="4"/>
      <c r="EQ2821" s="4"/>
      <c r="ER2821" s="4"/>
      <c r="ES2821" s="4"/>
      <c r="ET2821" s="4"/>
      <c r="EU2821" s="4"/>
      <c r="EV2821" s="4"/>
      <c r="EW2821" s="4"/>
      <c r="EX2821" s="4"/>
      <c r="EY2821" s="4"/>
      <c r="EZ2821" s="4"/>
      <c r="FA2821" s="4"/>
      <c r="FB2821" s="4"/>
      <c r="FC2821" s="4"/>
      <c r="FD2821" s="4"/>
      <c r="FE2821" s="4"/>
      <c r="FF2821" s="4"/>
      <c r="FG2821" s="4"/>
      <c r="FH2821" s="4"/>
      <c r="FI2821" s="4"/>
      <c r="FJ2821" s="4"/>
      <c r="FK2821" s="4"/>
      <c r="FL2821" s="4"/>
      <c r="FM2821" s="4"/>
      <c r="FN2821" s="4"/>
      <c r="FO2821" s="4"/>
      <c r="FP2821" s="4"/>
      <c r="FQ2821" s="4"/>
      <c r="FR2821" s="4"/>
      <c r="FS2821" s="4"/>
      <c r="FT2821" s="4"/>
      <c r="FU2821" s="4"/>
      <c r="FV2821" s="4"/>
      <c r="FW2821" s="4"/>
      <c r="FX2821" s="4"/>
      <c r="FY2821" s="4"/>
      <c r="FZ2821" s="4"/>
      <c r="GA2821" s="4"/>
      <c r="GB2821" s="4"/>
      <c r="GC2821" s="4"/>
      <c r="GD2821" s="4"/>
      <c r="GE2821" s="4"/>
      <c r="GF2821" s="4"/>
      <c r="GG2821" s="4"/>
      <c r="GH2821" s="4"/>
      <c r="GI2821" s="4"/>
      <c r="GJ2821" s="4"/>
      <c r="GK2821" s="4"/>
      <c r="GL2821" s="4"/>
      <c r="GM2821" s="4"/>
      <c r="GN2821" s="4"/>
      <c r="GO2821" s="4"/>
      <c r="GP2821" s="4"/>
      <c r="GQ2821" s="4"/>
      <c r="GR2821" s="4"/>
      <c r="GS2821" s="4"/>
      <c r="GT2821" s="4"/>
      <c r="GU2821" s="4"/>
      <c r="GV2821" s="4"/>
      <c r="GW2821" s="4"/>
      <c r="GX2821" s="4"/>
      <c r="GY2821" s="4"/>
      <c r="GZ2821" s="4"/>
      <c r="HA2821" s="4"/>
      <c r="HB2821" s="4"/>
      <c r="HC2821" s="4"/>
      <c r="HD2821" s="4"/>
      <c r="HE2821" s="4"/>
      <c r="HF2821" s="4"/>
      <c r="HG2821" s="4"/>
      <c r="HH2821" s="4"/>
      <c r="HI2821" s="4"/>
      <c r="HJ2821" s="4"/>
      <c r="HK2821" s="4"/>
      <c r="HL2821" s="4"/>
    </row>
    <row r="2822">
      <c r="A2822" s="2" t="s">
        <v>11965</v>
      </c>
      <c r="B2822" s="2" t="s">
        <v>1186</v>
      </c>
      <c r="C2822" s="2" t="s">
        <v>1836</v>
      </c>
      <c r="D2822" s="2" t="s">
        <v>1139</v>
      </c>
      <c r="E2822" s="2" t="s">
        <v>1140</v>
      </c>
      <c r="F2822" s="2" t="s">
        <v>11960</v>
      </c>
      <c r="G2822" s="2" t="s">
        <v>231</v>
      </c>
      <c r="H2822" s="2" t="s">
        <v>231</v>
      </c>
      <c r="I2822" s="2" t="s">
        <v>3463</v>
      </c>
      <c r="J2822" s="2" t="s">
        <v>2478</v>
      </c>
      <c r="K2822" s="2" t="s">
        <v>452</v>
      </c>
      <c r="L2822" s="3">
        <v>22.5</v>
      </c>
      <c r="M2822" s="3">
        <v>23.62</v>
      </c>
      <c r="N2822" s="3">
        <v>49.99</v>
      </c>
      <c r="O2822" s="2" t="s">
        <v>243</v>
      </c>
      <c r="P2822" s="2" t="s">
        <v>270</v>
      </c>
      <c r="Q2822" s="2" t="s">
        <v>237</v>
      </c>
      <c r="R2822" s="2" t="s">
        <v>231</v>
      </c>
      <c r="S2822" s="2" t="s">
        <v>11966</v>
      </c>
      <c r="T2822" s="2" t="s">
        <v>231</v>
      </c>
      <c r="U2822" s="2" t="s">
        <v>231</v>
      </c>
      <c r="V2822" s="2" t="s">
        <v>1828</v>
      </c>
      <c r="W2822" s="2" t="s">
        <v>971</v>
      </c>
      <c r="X2822" s="2" t="s">
        <v>2897</v>
      </c>
      <c r="Y2822" s="2" t="s">
        <v>2851</v>
      </c>
      <c r="Z2822" s="4">
        <v>168</v>
      </c>
      <c r="AA2822" s="4">
        <f>=ROUNDDOWN(24,0)</f>
      </c>
      <c r="AB2822" s="5">
        <v>7</v>
      </c>
      <c r="AC2822" s="2" t="s">
        <v>2140</v>
      </c>
      <c r="AD2822" s="4">
        <v>100</v>
      </c>
      <c r="AE2822" s="4">
        <v>100</v>
      </c>
      <c r="AF2822" s="6">
        <v>64</v>
      </c>
      <c r="AG2822" s="6"/>
      <c r="AH2822" s="7">
        <v>1</v>
      </c>
      <c r="AI2822" s="4"/>
      <c r="AJ2822" s="4">
        <f>=ROUNDDOWN({0},0)</f>
      </c>
      <c r="AK2822" s="5"/>
      <c r="AL2822" s="2" t="s">
        <v>231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231</v>
      </c>
      <c r="BD2822" s="8" t="s">
        <v>231</v>
      </c>
      <c r="BE2822" s="4" t="s">
        <v>231</v>
      </c>
      <c r="BF2822" s="8" t="s">
        <v>231</v>
      </c>
      <c r="BG2822" s="7" t="s">
        <v>231</v>
      </c>
      <c r="BH2822" s="7" t="s">
        <v>231</v>
      </c>
      <c r="BI2822" s="7"/>
      <c r="BJ2822" s="4">
        <v>16</v>
      </c>
      <c r="BK2822" s="8">
        <v>362.97</v>
      </c>
      <c r="BL2822" s="2" t="s">
        <v>11967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11968</v>
      </c>
      <c r="BV2822" s="2" t="s">
        <v>231</v>
      </c>
      <c r="BW2822" s="2" t="s">
        <v>231</v>
      </c>
      <c r="BX2822" s="2" t="s">
        <v>241</v>
      </c>
      <c r="BY2822" s="2" t="s">
        <v>277</v>
      </c>
      <c r="BZ2822" s="2" t="s">
        <v>243</v>
      </c>
      <c r="CA2822" s="2" t="s">
        <v>6828</v>
      </c>
      <c r="CB2822" s="2" t="s">
        <v>11969</v>
      </c>
      <c r="CC2822" s="2" t="s">
        <v>244</v>
      </c>
      <c r="CD2822" s="2" t="s">
        <v>231</v>
      </c>
      <c r="CE2822" s="4">
        <v>168</v>
      </c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4"/>
      <c r="CX2822" s="4"/>
      <c r="CY2822" s="4"/>
      <c r="CZ2822" s="4"/>
      <c r="DA2822" s="4"/>
      <c r="DB2822" s="4"/>
      <c r="DC2822" s="4"/>
      <c r="DD2822" s="4"/>
      <c r="DE2822" s="4"/>
      <c r="DF2822" s="4"/>
      <c r="DG2822" s="4"/>
      <c r="DH2822" s="4"/>
      <c r="DI2822" s="4"/>
      <c r="DJ2822" s="4"/>
      <c r="DK2822" s="4"/>
      <c r="DL2822" s="4"/>
      <c r="DM2822" s="4"/>
      <c r="DN2822" s="4"/>
      <c r="DO2822" s="4"/>
      <c r="DP2822" s="4"/>
      <c r="DQ2822" s="4"/>
      <c r="DR2822" s="4"/>
      <c r="DS2822" s="4"/>
      <c r="DT2822" s="4"/>
      <c r="DU2822" s="4"/>
      <c r="DV2822" s="4"/>
      <c r="DW2822" s="4"/>
      <c r="DX2822" s="4"/>
      <c r="DY2822" s="4"/>
      <c r="DZ2822" s="4"/>
      <c r="EA2822" s="4"/>
      <c r="EB2822" s="4"/>
      <c r="EC2822" s="4"/>
      <c r="ED2822" s="4"/>
      <c r="EE2822" s="4"/>
      <c r="EF2822" s="4"/>
      <c r="EG2822" s="4"/>
      <c r="EH2822" s="4"/>
      <c r="EI2822" s="4"/>
      <c r="EJ2822" s="4"/>
      <c r="EK2822" s="4"/>
      <c r="EL2822" s="4"/>
      <c r="EM2822" s="4"/>
      <c r="EN2822" s="4"/>
      <c r="EO2822" s="4"/>
      <c r="EP2822" s="4"/>
      <c r="EQ2822" s="4"/>
      <c r="ER2822" s="4"/>
      <c r="ES2822" s="4"/>
      <c r="ET2822" s="4"/>
      <c r="EU2822" s="4"/>
      <c r="EV2822" s="4"/>
      <c r="EW2822" s="4"/>
      <c r="EX2822" s="4"/>
      <c r="EY2822" s="4"/>
      <c r="EZ2822" s="4"/>
      <c r="FA2822" s="4"/>
      <c r="FB2822" s="4"/>
      <c r="FC2822" s="4">
        <v>100</v>
      </c>
      <c r="FD2822" s="4"/>
      <c r="FE2822" s="4"/>
      <c r="FF2822" s="4"/>
      <c r="FG2822" s="4"/>
      <c r="FH2822" s="4"/>
      <c r="FI2822" s="4"/>
      <c r="FJ2822" s="4"/>
      <c r="FK2822" s="4"/>
      <c r="FL2822" s="4"/>
      <c r="FM2822" s="4"/>
      <c r="FN2822" s="4"/>
      <c r="FO2822" s="4"/>
      <c r="FP2822" s="4"/>
      <c r="FQ2822" s="4"/>
      <c r="FR2822" s="4"/>
      <c r="FS2822" s="4"/>
      <c r="FT2822" s="4"/>
      <c r="FU2822" s="4"/>
      <c r="FV2822" s="4"/>
      <c r="FW2822" s="4"/>
      <c r="FX2822" s="4"/>
      <c r="FY2822" s="4"/>
      <c r="FZ2822" s="4"/>
      <c r="GA2822" s="4"/>
      <c r="GB2822" s="4"/>
      <c r="GC2822" s="4"/>
      <c r="GD2822" s="4"/>
      <c r="GE2822" s="4"/>
      <c r="GF2822" s="4"/>
      <c r="GG2822" s="4"/>
      <c r="GH2822" s="4"/>
      <c r="GI2822" s="4"/>
      <c r="GJ2822" s="4"/>
      <c r="GK2822" s="4"/>
      <c r="GL2822" s="4"/>
      <c r="GM2822" s="4"/>
      <c r="GN2822" s="4"/>
      <c r="GO2822" s="4"/>
      <c r="GP2822" s="4"/>
      <c r="GQ2822" s="4"/>
      <c r="GR2822" s="4"/>
      <c r="GS2822" s="4"/>
      <c r="GT2822" s="4"/>
      <c r="GU2822" s="4"/>
      <c r="GV2822" s="4"/>
      <c r="GW2822" s="4"/>
      <c r="GX2822" s="4"/>
      <c r="GY2822" s="4"/>
      <c r="GZ2822" s="4"/>
      <c r="HA2822" s="4"/>
      <c r="HB2822" s="4"/>
      <c r="HC2822" s="4"/>
      <c r="HD2822" s="4"/>
      <c r="HE2822" s="4"/>
      <c r="HF2822" s="4"/>
      <c r="HG2822" s="4"/>
      <c r="HH2822" s="4"/>
      <c r="HI2822" s="4"/>
      <c r="HJ2822" s="4"/>
      <c r="HK2822" s="4"/>
      <c r="HL2822" s="4"/>
    </row>
    <row r="2823">
      <c r="A2823" s="2" t="s">
        <v>11970</v>
      </c>
      <c r="B2823" s="2" t="s">
        <v>1186</v>
      </c>
      <c r="C2823" s="2" t="s">
        <v>1836</v>
      </c>
      <c r="D2823" s="2" t="s">
        <v>1139</v>
      </c>
      <c r="E2823" s="2" t="s">
        <v>1140</v>
      </c>
      <c r="F2823" s="2" t="s">
        <v>11960</v>
      </c>
      <c r="G2823" s="2" t="s">
        <v>231</v>
      </c>
      <c r="H2823" s="2" t="s">
        <v>231</v>
      </c>
      <c r="I2823" s="2" t="s">
        <v>11971</v>
      </c>
      <c r="J2823" s="2" t="s">
        <v>2749</v>
      </c>
      <c r="K2823" s="2" t="s">
        <v>319</v>
      </c>
      <c r="L2823" s="3">
        <v>16.8</v>
      </c>
      <c r="M2823" s="3">
        <v>17.63</v>
      </c>
      <c r="N2823" s="3">
        <v>49.99</v>
      </c>
      <c r="O2823" s="2" t="s">
        <v>243</v>
      </c>
      <c r="P2823" s="2" t="s">
        <v>270</v>
      </c>
      <c r="Q2823" s="2" t="s">
        <v>237</v>
      </c>
      <c r="R2823" s="2" t="s">
        <v>231</v>
      </c>
      <c r="S2823" s="2" t="s">
        <v>11966</v>
      </c>
      <c r="T2823" s="2" t="s">
        <v>231</v>
      </c>
      <c r="U2823" s="2" t="s">
        <v>231</v>
      </c>
      <c r="V2823" s="2" t="s">
        <v>1828</v>
      </c>
      <c r="W2823" s="2" t="s">
        <v>971</v>
      </c>
      <c r="X2823" s="2" t="s">
        <v>2897</v>
      </c>
      <c r="Y2823" s="2" t="s">
        <v>2611</v>
      </c>
      <c r="Z2823" s="4">
        <v>159</v>
      </c>
      <c r="AA2823" s="4">
        <f>=ROUNDDOWN(39.75,0)</f>
      </c>
      <c r="AB2823" s="5">
        <v>4</v>
      </c>
      <c r="AC2823" s="2" t="s">
        <v>2140</v>
      </c>
      <c r="AD2823" s="4">
        <v>100</v>
      </c>
      <c r="AE2823" s="4">
        <v>100</v>
      </c>
      <c r="AF2823" s="6">
        <v>64</v>
      </c>
      <c r="AG2823" s="6"/>
      <c r="AH2823" s="7">
        <v>1</v>
      </c>
      <c r="AI2823" s="4"/>
      <c r="AJ2823" s="4">
        <f>=ROUNDDOWN({0},0)</f>
      </c>
      <c r="AK2823" s="5"/>
      <c r="AL2823" s="2" t="s">
        <v>231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231</v>
      </c>
      <c r="BD2823" s="8" t="s">
        <v>231</v>
      </c>
      <c r="BE2823" s="4" t="s">
        <v>231</v>
      </c>
      <c r="BF2823" s="8" t="s">
        <v>231</v>
      </c>
      <c r="BG2823" s="7" t="s">
        <v>231</v>
      </c>
      <c r="BH2823" s="7" t="s">
        <v>231</v>
      </c>
      <c r="BI2823" s="7"/>
      <c r="BJ2823" s="4">
        <v>10</v>
      </c>
      <c r="BK2823" s="8">
        <v>176.13</v>
      </c>
      <c r="BL2823" s="2" t="s">
        <v>11972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11973</v>
      </c>
      <c r="BV2823" s="2" t="s">
        <v>231</v>
      </c>
      <c r="BW2823" s="2" t="s">
        <v>231</v>
      </c>
      <c r="BX2823" s="2" t="s">
        <v>241</v>
      </c>
      <c r="BY2823" s="2" t="s">
        <v>277</v>
      </c>
      <c r="BZ2823" s="2" t="s">
        <v>243</v>
      </c>
      <c r="CA2823" s="2" t="s">
        <v>6828</v>
      </c>
      <c r="CB2823" s="2" t="s">
        <v>11969</v>
      </c>
      <c r="CC2823" s="2" t="s">
        <v>244</v>
      </c>
      <c r="CD2823" s="2" t="s">
        <v>231</v>
      </c>
      <c r="CE2823" s="4">
        <v>159</v>
      </c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4"/>
      <c r="CX2823" s="4"/>
      <c r="CY2823" s="4"/>
      <c r="CZ2823" s="4"/>
      <c r="DA2823" s="4"/>
      <c r="DB2823" s="4"/>
      <c r="DC2823" s="4"/>
      <c r="DD2823" s="4"/>
      <c r="DE2823" s="4"/>
      <c r="DF2823" s="4"/>
      <c r="DG2823" s="4"/>
      <c r="DH2823" s="4"/>
      <c r="DI2823" s="4"/>
      <c r="DJ2823" s="4"/>
      <c r="DK2823" s="4"/>
      <c r="DL2823" s="4"/>
      <c r="DM2823" s="4"/>
      <c r="DN2823" s="4"/>
      <c r="DO2823" s="4"/>
      <c r="DP2823" s="4"/>
      <c r="DQ2823" s="4"/>
      <c r="DR2823" s="4"/>
      <c r="DS2823" s="4"/>
      <c r="DT2823" s="4"/>
      <c r="DU2823" s="4"/>
      <c r="DV2823" s="4"/>
      <c r="DW2823" s="4"/>
      <c r="DX2823" s="4"/>
      <c r="DY2823" s="4"/>
      <c r="DZ2823" s="4"/>
      <c r="EA2823" s="4"/>
      <c r="EB2823" s="4"/>
      <c r="EC2823" s="4"/>
      <c r="ED2823" s="4"/>
      <c r="EE2823" s="4"/>
      <c r="EF2823" s="4"/>
      <c r="EG2823" s="4"/>
      <c r="EH2823" s="4"/>
      <c r="EI2823" s="4"/>
      <c r="EJ2823" s="4"/>
      <c r="EK2823" s="4"/>
      <c r="EL2823" s="4"/>
      <c r="EM2823" s="4"/>
      <c r="EN2823" s="4"/>
      <c r="EO2823" s="4"/>
      <c r="EP2823" s="4"/>
      <c r="EQ2823" s="4"/>
      <c r="ER2823" s="4"/>
      <c r="ES2823" s="4"/>
      <c r="ET2823" s="4"/>
      <c r="EU2823" s="4"/>
      <c r="EV2823" s="4"/>
      <c r="EW2823" s="4"/>
      <c r="EX2823" s="4"/>
      <c r="EY2823" s="4"/>
      <c r="EZ2823" s="4"/>
      <c r="FA2823" s="4"/>
      <c r="FB2823" s="4"/>
      <c r="FC2823" s="4">
        <v>100</v>
      </c>
      <c r="FD2823" s="4"/>
      <c r="FE2823" s="4"/>
      <c r="FF2823" s="4"/>
      <c r="FG2823" s="4"/>
      <c r="FH2823" s="4"/>
      <c r="FI2823" s="4"/>
      <c r="FJ2823" s="4"/>
      <c r="FK2823" s="4"/>
      <c r="FL2823" s="4"/>
      <c r="FM2823" s="4"/>
      <c r="FN2823" s="4"/>
      <c r="FO2823" s="4"/>
      <c r="FP2823" s="4"/>
      <c r="FQ2823" s="4"/>
      <c r="FR2823" s="4"/>
      <c r="FS2823" s="4"/>
      <c r="FT2823" s="4"/>
      <c r="FU2823" s="4"/>
      <c r="FV2823" s="4"/>
      <c r="FW2823" s="4"/>
      <c r="FX2823" s="4"/>
      <c r="FY2823" s="4"/>
      <c r="FZ2823" s="4"/>
      <c r="GA2823" s="4"/>
      <c r="GB2823" s="4"/>
      <c r="GC2823" s="4"/>
      <c r="GD2823" s="4"/>
      <c r="GE2823" s="4"/>
      <c r="GF2823" s="4"/>
      <c r="GG2823" s="4"/>
      <c r="GH2823" s="4"/>
      <c r="GI2823" s="4"/>
      <c r="GJ2823" s="4"/>
      <c r="GK2823" s="4"/>
      <c r="GL2823" s="4"/>
      <c r="GM2823" s="4"/>
      <c r="GN2823" s="4"/>
      <c r="GO2823" s="4"/>
      <c r="GP2823" s="4"/>
      <c r="GQ2823" s="4"/>
      <c r="GR2823" s="4"/>
      <c r="GS2823" s="4"/>
      <c r="GT2823" s="4"/>
      <c r="GU2823" s="4"/>
      <c r="GV2823" s="4"/>
      <c r="GW2823" s="4"/>
      <c r="GX2823" s="4"/>
      <c r="GY2823" s="4"/>
      <c r="GZ2823" s="4"/>
      <c r="HA2823" s="4"/>
      <c r="HB2823" s="4"/>
      <c r="HC2823" s="4"/>
      <c r="HD2823" s="4"/>
      <c r="HE2823" s="4"/>
      <c r="HF2823" s="4"/>
      <c r="HG2823" s="4"/>
      <c r="HH2823" s="4"/>
      <c r="HI2823" s="4"/>
      <c r="HJ2823" s="4"/>
      <c r="HK2823" s="4"/>
      <c r="HL2823" s="4"/>
    </row>
    <row r="2824">
      <c r="A2824" s="2" t="s">
        <v>11974</v>
      </c>
      <c r="B2824" s="2" t="s">
        <v>1004</v>
      </c>
      <c r="C2824" s="2" t="s">
        <v>815</v>
      </c>
      <c r="D2824" s="2" t="s">
        <v>1917</v>
      </c>
      <c r="E2824" s="2" t="s">
        <v>1918</v>
      </c>
      <c r="F2824" s="2" t="s">
        <v>11975</v>
      </c>
      <c r="G2824" s="2" t="s">
        <v>11975</v>
      </c>
      <c r="H2824" s="2" t="s">
        <v>11975</v>
      </c>
      <c r="I2824" s="2" t="s">
        <v>11976</v>
      </c>
      <c r="J2824" s="2" t="s">
        <v>807</v>
      </c>
      <c r="K2824" s="2" t="s">
        <v>294</v>
      </c>
      <c r="L2824" s="3">
        <v>114</v>
      </c>
      <c r="M2824" s="3">
        <v>119.7</v>
      </c>
      <c r="N2824" s="3">
        <v>239</v>
      </c>
      <c r="O2824" s="2" t="s">
        <v>243</v>
      </c>
      <c r="P2824" s="2" t="s">
        <v>270</v>
      </c>
      <c r="Q2824" s="2" t="s">
        <v>237</v>
      </c>
      <c r="R2824" s="2" t="s">
        <v>231</v>
      </c>
      <c r="S2824" s="2" t="s">
        <v>11977</v>
      </c>
      <c r="T2824" s="2" t="s">
        <v>231</v>
      </c>
      <c r="U2824" s="2" t="s">
        <v>231</v>
      </c>
      <c r="V2824" s="2" t="s">
        <v>239</v>
      </c>
      <c r="W2824" s="2" t="s">
        <v>2500</v>
      </c>
      <c r="X2824" s="2" t="s">
        <v>231</v>
      </c>
      <c r="Y2824" s="2" t="s">
        <v>2416</v>
      </c>
      <c r="Z2824" s="4">
        <v>24</v>
      </c>
      <c r="AA2824" s="4">
        <f>=ROUNDDOWN(12,0)</f>
      </c>
      <c r="AB2824" s="5">
        <v>2</v>
      </c>
      <c r="AC2824" s="2" t="s">
        <v>2530</v>
      </c>
      <c r="AD2824" s="4">
        <v>180</v>
      </c>
      <c r="AE2824" s="4">
        <v>180</v>
      </c>
      <c r="AF2824" s="6">
        <v>76</v>
      </c>
      <c r="AG2824" s="6">
        <v>62</v>
      </c>
      <c r="AH2824" s="7">
        <v>1</v>
      </c>
      <c r="AI2824" s="4"/>
      <c r="AJ2824" s="4">
        <f>=ROUNDDOWN({0},0)</f>
      </c>
      <c r="AK2824" s="5"/>
      <c r="AL2824" s="2" t="s">
        <v>231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 t="s">
        <v>231</v>
      </c>
      <c r="BD2824" s="8" t="s">
        <v>231</v>
      </c>
      <c r="BE2824" s="4" t="s">
        <v>231</v>
      </c>
      <c r="BF2824" s="8" t="s">
        <v>231</v>
      </c>
      <c r="BG2824" s="7" t="s">
        <v>231</v>
      </c>
      <c r="BH2824" s="7" t="s">
        <v>231</v>
      </c>
      <c r="BI2824" s="7"/>
      <c r="BJ2824" s="4">
        <v>6</v>
      </c>
      <c r="BK2824" s="8">
        <v>667.38</v>
      </c>
      <c r="BL2824" s="2" t="s">
        <v>2210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11978</v>
      </c>
      <c r="BV2824" s="2" t="s">
        <v>231</v>
      </c>
      <c r="BW2824" s="2" t="s">
        <v>231</v>
      </c>
      <c r="BX2824" s="2" t="s">
        <v>231</v>
      </c>
      <c r="BY2824" s="2" t="s">
        <v>277</v>
      </c>
      <c r="BZ2824" s="2" t="s">
        <v>243</v>
      </c>
      <c r="CA2824" s="2" t="s">
        <v>6533</v>
      </c>
      <c r="CB2824" s="2" t="s">
        <v>4745</v>
      </c>
      <c r="CC2824" s="2" t="s">
        <v>244</v>
      </c>
      <c r="CD2824" s="2" t="s">
        <v>231</v>
      </c>
      <c r="CE2824" s="4"/>
      <c r="CF2824" s="4">
        <v>23</v>
      </c>
      <c r="CG2824" s="4"/>
      <c r="CH2824" s="4"/>
      <c r="CI2824" s="4">
        <v>1</v>
      </c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4"/>
      <c r="CX2824" s="4"/>
      <c r="CY2824" s="4"/>
      <c r="CZ2824" s="4"/>
      <c r="DA2824" s="4"/>
      <c r="DB2824" s="4"/>
      <c r="DC2824" s="4"/>
      <c r="DD2824" s="4"/>
      <c r="DE2824" s="4"/>
      <c r="DF2824" s="4"/>
      <c r="DG2824" s="4"/>
      <c r="DH2824" s="4"/>
      <c r="DI2824" s="4"/>
      <c r="DJ2824" s="4"/>
      <c r="DK2824" s="4"/>
      <c r="DL2824" s="4"/>
      <c r="DM2824" s="4"/>
      <c r="DN2824" s="4"/>
      <c r="DO2824" s="4"/>
      <c r="DP2824" s="4"/>
      <c r="DQ2824" s="4"/>
      <c r="DR2824" s="4"/>
      <c r="DS2824" s="4"/>
      <c r="DT2824" s="4"/>
      <c r="DU2824" s="4"/>
      <c r="DV2824" s="4"/>
      <c r="DW2824" s="4"/>
      <c r="DX2824" s="4"/>
      <c r="DY2824" s="4"/>
      <c r="DZ2824" s="4"/>
      <c r="EA2824" s="4"/>
      <c r="EB2824" s="4"/>
      <c r="EC2824" s="4"/>
      <c r="ED2824" s="4"/>
      <c r="EE2824" s="4"/>
      <c r="EF2824" s="4"/>
      <c r="EG2824" s="4"/>
      <c r="EH2824" s="4"/>
      <c r="EI2824" s="4"/>
      <c r="EJ2824" s="4"/>
      <c r="EK2824" s="4"/>
      <c r="EL2824" s="4"/>
      <c r="EM2824" s="4"/>
      <c r="EN2824" s="4"/>
      <c r="EO2824" s="4"/>
      <c r="EP2824" s="4"/>
      <c r="EQ2824" s="4"/>
      <c r="ER2824" s="4"/>
      <c r="ES2824" s="4"/>
      <c r="ET2824" s="4"/>
      <c r="EU2824" s="4"/>
      <c r="EV2824" s="4"/>
      <c r="EW2824" s="4"/>
      <c r="EX2824" s="4"/>
      <c r="EY2824" s="4"/>
      <c r="EZ2824" s="4"/>
      <c r="FA2824" s="4"/>
      <c r="FB2824" s="4">
        <v>180</v>
      </c>
      <c r="FC2824" s="4"/>
      <c r="FD2824" s="4"/>
      <c r="FE2824" s="4"/>
      <c r="FF2824" s="4"/>
      <c r="FG2824" s="4"/>
      <c r="FH2824" s="4"/>
      <c r="FI2824" s="4"/>
      <c r="FJ2824" s="4"/>
      <c r="FK2824" s="4"/>
      <c r="FL2824" s="4"/>
      <c r="FM2824" s="4"/>
      <c r="FN2824" s="4"/>
      <c r="FO2824" s="4"/>
      <c r="FP2824" s="4"/>
      <c r="FQ2824" s="4"/>
      <c r="FR2824" s="4"/>
      <c r="FS2824" s="4"/>
      <c r="FT2824" s="4"/>
      <c r="FU2824" s="4"/>
      <c r="FV2824" s="4"/>
      <c r="FW2824" s="4"/>
      <c r="FX2824" s="4"/>
      <c r="FY2824" s="4"/>
      <c r="FZ2824" s="4"/>
      <c r="GA2824" s="4"/>
      <c r="GB2824" s="4"/>
      <c r="GC2824" s="4"/>
      <c r="GD2824" s="4"/>
      <c r="GE2824" s="4"/>
      <c r="GF2824" s="4"/>
      <c r="GG2824" s="4"/>
      <c r="GH2824" s="4"/>
      <c r="GI2824" s="4"/>
      <c r="GJ2824" s="4"/>
      <c r="GK2824" s="4"/>
      <c r="GL2824" s="4"/>
      <c r="GM2824" s="4"/>
      <c r="GN2824" s="4"/>
      <c r="GO2824" s="4"/>
      <c r="GP2824" s="4"/>
      <c r="GQ2824" s="4"/>
      <c r="GR2824" s="4"/>
      <c r="GS2824" s="4"/>
      <c r="GT2824" s="4"/>
      <c r="GU2824" s="4"/>
      <c r="GV2824" s="4"/>
      <c r="GW2824" s="4"/>
      <c r="GX2824" s="4"/>
      <c r="GY2824" s="4"/>
      <c r="GZ2824" s="4"/>
      <c r="HA2824" s="4"/>
      <c r="HB2824" s="4"/>
      <c r="HC2824" s="4"/>
      <c r="HD2824" s="4"/>
      <c r="HE2824" s="4"/>
      <c r="HF2824" s="4"/>
      <c r="HG2824" s="4"/>
      <c r="HH2824" s="4"/>
      <c r="HI2824" s="4"/>
      <c r="HJ2824" s="4"/>
      <c r="HK2824" s="4"/>
      <c r="HL2824" s="4"/>
    </row>
    <row r="2825">
      <c r="A2825" s="2" t="s">
        <v>11979</v>
      </c>
      <c r="B2825" s="2" t="s">
        <v>1004</v>
      </c>
      <c r="C2825" s="2" t="s">
        <v>815</v>
      </c>
      <c r="D2825" s="2" t="s">
        <v>1917</v>
      </c>
      <c r="E2825" s="2" t="s">
        <v>2495</v>
      </c>
      <c r="F2825" s="2" t="s">
        <v>11975</v>
      </c>
      <c r="G2825" s="2" t="s">
        <v>231</v>
      </c>
      <c r="H2825" s="2" t="s">
        <v>231</v>
      </c>
      <c r="I2825" s="2" t="s">
        <v>11980</v>
      </c>
      <c r="J2825" s="2" t="s">
        <v>807</v>
      </c>
      <c r="K2825" s="2" t="s">
        <v>253</v>
      </c>
      <c r="L2825" s="3">
        <v>122</v>
      </c>
      <c r="M2825" s="3">
        <v>128.1</v>
      </c>
      <c r="N2825" s="3">
        <v>259</v>
      </c>
      <c r="O2825" s="2" t="s">
        <v>250</v>
      </c>
      <c r="P2825" s="2" t="s">
        <v>341</v>
      </c>
      <c r="Q2825" s="2" t="s">
        <v>237</v>
      </c>
      <c r="R2825" s="2" t="s">
        <v>231</v>
      </c>
      <c r="S2825" s="2" t="s">
        <v>11981</v>
      </c>
      <c r="T2825" s="2" t="s">
        <v>231</v>
      </c>
      <c r="U2825" s="2" t="s">
        <v>231</v>
      </c>
      <c r="V2825" s="2" t="s">
        <v>239</v>
      </c>
      <c r="W2825" s="2" t="s">
        <v>2500</v>
      </c>
      <c r="X2825" s="2" t="s">
        <v>231</v>
      </c>
      <c r="Y2825" s="2" t="s">
        <v>274</v>
      </c>
      <c r="Z2825" s="4"/>
      <c r="AA2825" s="4">
        <f>=ROUNDDOWN({0},0)</f>
      </c>
      <c r="AB2825" s="5">
        <v>2</v>
      </c>
      <c r="AC2825" s="2" t="s">
        <v>231</v>
      </c>
      <c r="AD2825" s="4"/>
      <c r="AE2825" s="4"/>
      <c r="AF2825" s="6">
        <v>75</v>
      </c>
      <c r="AG2825" s="6"/>
      <c r="AH2825" s="7">
        <v>0</v>
      </c>
      <c r="AI2825" s="4"/>
      <c r="AJ2825" s="4">
        <f>=ROUNDDOWN({0},0)</f>
      </c>
      <c r="AK2825" s="5"/>
      <c r="AL2825" s="2" t="s">
        <v>231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231</v>
      </c>
      <c r="AW2825" s="8" t="s">
        <v>231</v>
      </c>
      <c r="AX2825" s="4" t="s">
        <v>231</v>
      </c>
      <c r="AY2825" s="8" t="s">
        <v>231</v>
      </c>
      <c r="AZ2825" s="7" t="s">
        <v>231</v>
      </c>
      <c r="BA2825" s="7" t="s">
        <v>231</v>
      </c>
      <c r="BB2825" s="7" t="s">
        <v>231</v>
      </c>
      <c r="BC2825" s="4" t="s">
        <v>231</v>
      </c>
      <c r="BD2825" s="8" t="s">
        <v>231</v>
      </c>
      <c r="BE2825" s="4" t="s">
        <v>231</v>
      </c>
      <c r="BF2825" s="8" t="s">
        <v>231</v>
      </c>
      <c r="BG2825" s="7" t="s">
        <v>231</v>
      </c>
      <c r="BH2825" s="7" t="s">
        <v>231</v>
      </c>
      <c r="BI2825" s="7"/>
      <c r="BJ2825" s="4"/>
      <c r="BK2825" s="8"/>
      <c r="BL2825" s="2" t="s">
        <v>11301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11982</v>
      </c>
      <c r="BV2825" s="2" t="s">
        <v>231</v>
      </c>
      <c r="BW2825" s="2" t="s">
        <v>231</v>
      </c>
      <c r="BX2825" s="2" t="s">
        <v>231</v>
      </c>
      <c r="BY2825" s="2" t="s">
        <v>277</v>
      </c>
      <c r="BZ2825" s="2" t="s">
        <v>243</v>
      </c>
      <c r="CA2825" s="2" t="s">
        <v>5466</v>
      </c>
      <c r="CB2825" s="2" t="s">
        <v>5625</v>
      </c>
      <c r="CC2825" s="2" t="s">
        <v>244</v>
      </c>
      <c r="CD2825" s="2" t="s">
        <v>231</v>
      </c>
      <c r="CE2825" s="4"/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4"/>
      <c r="CX2825" s="4"/>
      <c r="CY2825" s="4"/>
      <c r="CZ2825" s="4"/>
      <c r="DA2825" s="4"/>
      <c r="DB2825" s="4"/>
      <c r="DC2825" s="4"/>
      <c r="DD2825" s="4"/>
      <c r="DE2825" s="4"/>
      <c r="DF2825" s="4"/>
      <c r="DG2825" s="4"/>
      <c r="DH2825" s="4"/>
      <c r="DI2825" s="4"/>
      <c r="DJ2825" s="4"/>
      <c r="DK2825" s="4"/>
      <c r="DL2825" s="4"/>
      <c r="DM2825" s="4"/>
      <c r="DN2825" s="4"/>
      <c r="DO2825" s="4"/>
      <c r="DP2825" s="4"/>
      <c r="DQ2825" s="4"/>
      <c r="DR2825" s="4"/>
      <c r="DS2825" s="4"/>
      <c r="DT2825" s="4"/>
      <c r="DU2825" s="4"/>
      <c r="DV2825" s="4"/>
      <c r="DW2825" s="4"/>
      <c r="DX2825" s="4"/>
      <c r="DY2825" s="4"/>
      <c r="DZ2825" s="4"/>
      <c r="EA2825" s="4"/>
      <c r="EB2825" s="4"/>
      <c r="EC2825" s="4"/>
      <c r="ED2825" s="4"/>
      <c r="EE2825" s="4"/>
      <c r="EF2825" s="4"/>
      <c r="EG2825" s="4"/>
      <c r="EH2825" s="4"/>
      <c r="EI2825" s="4"/>
      <c r="EJ2825" s="4"/>
      <c r="EK2825" s="4"/>
      <c r="EL2825" s="4"/>
      <c r="EM2825" s="4"/>
      <c r="EN2825" s="4"/>
      <c r="EO2825" s="4"/>
      <c r="EP2825" s="4"/>
      <c r="EQ2825" s="4"/>
      <c r="ER2825" s="4"/>
      <c r="ES2825" s="4"/>
      <c r="ET2825" s="4"/>
      <c r="EU2825" s="4"/>
      <c r="EV2825" s="4"/>
      <c r="EW2825" s="4"/>
      <c r="EX2825" s="4"/>
      <c r="EY2825" s="4"/>
      <c r="EZ2825" s="4"/>
      <c r="FA2825" s="4"/>
      <c r="FB2825" s="4"/>
      <c r="FC2825" s="4"/>
      <c r="FD2825" s="4"/>
      <c r="FE2825" s="4"/>
      <c r="FF2825" s="4"/>
      <c r="FG2825" s="4"/>
      <c r="FH2825" s="4"/>
      <c r="FI2825" s="4"/>
      <c r="FJ2825" s="4"/>
      <c r="FK2825" s="4"/>
      <c r="FL2825" s="4"/>
      <c r="FM2825" s="4"/>
      <c r="FN2825" s="4"/>
      <c r="FO2825" s="4"/>
      <c r="FP2825" s="4"/>
      <c r="FQ2825" s="4"/>
      <c r="FR2825" s="4"/>
      <c r="FS2825" s="4"/>
      <c r="FT2825" s="4"/>
      <c r="FU2825" s="4"/>
      <c r="FV2825" s="4"/>
      <c r="FW2825" s="4"/>
      <c r="FX2825" s="4"/>
      <c r="FY2825" s="4"/>
      <c r="FZ2825" s="4"/>
      <c r="GA2825" s="4"/>
      <c r="GB2825" s="4"/>
      <c r="GC2825" s="4"/>
      <c r="GD2825" s="4"/>
      <c r="GE2825" s="4"/>
      <c r="GF2825" s="4"/>
      <c r="GG2825" s="4"/>
      <c r="GH2825" s="4"/>
      <c r="GI2825" s="4"/>
      <c r="GJ2825" s="4"/>
      <c r="GK2825" s="4"/>
      <c r="GL2825" s="4"/>
      <c r="GM2825" s="4"/>
      <c r="GN2825" s="4"/>
      <c r="GO2825" s="4"/>
      <c r="GP2825" s="4"/>
      <c r="GQ2825" s="4"/>
      <c r="GR2825" s="4"/>
      <c r="GS2825" s="4"/>
      <c r="GT2825" s="4"/>
      <c r="GU2825" s="4"/>
      <c r="GV2825" s="4"/>
      <c r="GW2825" s="4"/>
      <c r="GX2825" s="4"/>
      <c r="GY2825" s="4"/>
      <c r="GZ2825" s="4"/>
      <c r="HA2825" s="4"/>
      <c r="HB2825" s="4"/>
      <c r="HC2825" s="4"/>
      <c r="HD2825" s="4"/>
      <c r="HE2825" s="4"/>
      <c r="HF2825" s="4"/>
      <c r="HG2825" s="4"/>
      <c r="HH2825" s="4"/>
      <c r="HI2825" s="4"/>
      <c r="HJ2825" s="4"/>
      <c r="HK2825" s="4"/>
      <c r="HL2825" s="4"/>
    </row>
    <row r="2826">
      <c r="A2826" s="2" t="s">
        <v>11983</v>
      </c>
      <c r="B2826" s="2" t="s">
        <v>1004</v>
      </c>
      <c r="C2826" s="2" t="s">
        <v>815</v>
      </c>
      <c r="D2826" s="2" t="s">
        <v>1922</v>
      </c>
      <c r="E2826" s="2" t="s">
        <v>1923</v>
      </c>
      <c r="F2826" s="2" t="s">
        <v>11975</v>
      </c>
      <c r="G2826" s="2" t="s">
        <v>11975</v>
      </c>
      <c r="H2826" s="2" t="s">
        <v>11975</v>
      </c>
      <c r="I2826" s="2" t="s">
        <v>11984</v>
      </c>
      <c r="J2826" s="2" t="s">
        <v>807</v>
      </c>
      <c r="K2826" s="2" t="s">
        <v>253</v>
      </c>
      <c r="L2826" s="3">
        <v>195</v>
      </c>
      <c r="M2826" s="3">
        <v>204.75</v>
      </c>
      <c r="N2826" s="3">
        <v>409</v>
      </c>
      <c r="O2826" s="2" t="s">
        <v>243</v>
      </c>
      <c r="P2826" s="2" t="s">
        <v>1985</v>
      </c>
      <c r="Q2826" s="2" t="s">
        <v>237</v>
      </c>
      <c r="R2826" s="2" t="s">
        <v>231</v>
      </c>
      <c r="S2826" s="2" t="s">
        <v>11985</v>
      </c>
      <c r="T2826" s="2" t="s">
        <v>231</v>
      </c>
      <c r="U2826" s="2" t="s">
        <v>231</v>
      </c>
      <c r="V2826" s="2" t="s">
        <v>239</v>
      </c>
      <c r="W2826" s="2" t="s">
        <v>2500</v>
      </c>
      <c r="X2826" s="2" t="s">
        <v>231</v>
      </c>
      <c r="Y2826" s="2" t="s">
        <v>274</v>
      </c>
      <c r="Z2826" s="4">
        <v>67</v>
      </c>
      <c r="AA2826" s="4">
        <f>=ROUNDDOWN(33.5,0)</f>
      </c>
      <c r="AB2826" s="5">
        <v>2</v>
      </c>
      <c r="AC2826" s="2" t="s">
        <v>2530</v>
      </c>
      <c r="AD2826" s="4">
        <v>50</v>
      </c>
      <c r="AE2826" s="4">
        <v>50</v>
      </c>
      <c r="AF2826" s="6">
        <v>76</v>
      </c>
      <c r="AG2826" s="6"/>
      <c r="AH2826" s="7">
        <v>1</v>
      </c>
      <c r="AI2826" s="4"/>
      <c r="AJ2826" s="4">
        <f>=ROUNDDOWN({0},0)</f>
      </c>
      <c r="AK2826" s="5"/>
      <c r="AL2826" s="2" t="s">
        <v>231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231</v>
      </c>
      <c r="AW2826" s="8" t="s">
        <v>231</v>
      </c>
      <c r="AX2826" s="4" t="s">
        <v>231</v>
      </c>
      <c r="AY2826" s="8" t="s">
        <v>231</v>
      </c>
      <c r="AZ2826" s="7" t="s">
        <v>231</v>
      </c>
      <c r="BA2826" s="7" t="s">
        <v>231</v>
      </c>
      <c r="BB2826" s="7" t="s">
        <v>231</v>
      </c>
      <c r="BC2826" s="4" t="s">
        <v>231</v>
      </c>
      <c r="BD2826" s="8" t="s">
        <v>231</v>
      </c>
      <c r="BE2826" s="4" t="s">
        <v>231</v>
      </c>
      <c r="BF2826" s="8" t="s">
        <v>231</v>
      </c>
      <c r="BG2826" s="7" t="s">
        <v>231</v>
      </c>
      <c r="BH2826" s="7" t="s">
        <v>231</v>
      </c>
      <c r="BI2826" s="7"/>
      <c r="BJ2826" s="4">
        <v>11</v>
      </c>
      <c r="BK2826" s="8">
        <v>2081.46</v>
      </c>
      <c r="BL2826" s="2" t="s">
        <v>11110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11986</v>
      </c>
      <c r="BV2826" s="2" t="s">
        <v>231</v>
      </c>
      <c r="BW2826" s="2" t="s">
        <v>231</v>
      </c>
      <c r="BX2826" s="2" t="s">
        <v>231</v>
      </c>
      <c r="BY2826" s="2" t="s">
        <v>277</v>
      </c>
      <c r="BZ2826" s="2" t="s">
        <v>243</v>
      </c>
      <c r="CA2826" s="2" t="s">
        <v>4509</v>
      </c>
      <c r="CB2826" s="2" t="s">
        <v>4483</v>
      </c>
      <c r="CC2826" s="2" t="s">
        <v>244</v>
      </c>
      <c r="CD2826" s="2" t="s">
        <v>231</v>
      </c>
      <c r="CE2826" s="4"/>
      <c r="CF2826" s="4">
        <v>67</v>
      </c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4"/>
      <c r="CX2826" s="4"/>
      <c r="CY2826" s="4"/>
      <c r="CZ2826" s="4"/>
      <c r="DA2826" s="4"/>
      <c r="DB2826" s="4"/>
      <c r="DC2826" s="4"/>
      <c r="DD2826" s="4"/>
      <c r="DE2826" s="4"/>
      <c r="DF2826" s="4"/>
      <c r="DG2826" s="4"/>
      <c r="DH2826" s="4"/>
      <c r="DI2826" s="4"/>
      <c r="DJ2826" s="4"/>
      <c r="DK2826" s="4"/>
      <c r="DL2826" s="4"/>
      <c r="DM2826" s="4"/>
      <c r="DN2826" s="4"/>
      <c r="DO2826" s="4"/>
      <c r="DP2826" s="4"/>
      <c r="DQ2826" s="4"/>
      <c r="DR2826" s="4"/>
      <c r="DS2826" s="4"/>
      <c r="DT2826" s="4"/>
      <c r="DU2826" s="4"/>
      <c r="DV2826" s="4"/>
      <c r="DW2826" s="4"/>
      <c r="DX2826" s="4"/>
      <c r="DY2826" s="4"/>
      <c r="DZ2826" s="4"/>
      <c r="EA2826" s="4"/>
      <c r="EB2826" s="4"/>
      <c r="EC2826" s="4"/>
      <c r="ED2826" s="4"/>
      <c r="EE2826" s="4"/>
      <c r="EF2826" s="4"/>
      <c r="EG2826" s="4"/>
      <c r="EH2826" s="4"/>
      <c r="EI2826" s="4"/>
      <c r="EJ2826" s="4"/>
      <c r="EK2826" s="4"/>
      <c r="EL2826" s="4"/>
      <c r="EM2826" s="4"/>
      <c r="EN2826" s="4"/>
      <c r="EO2826" s="4"/>
      <c r="EP2826" s="4"/>
      <c r="EQ2826" s="4"/>
      <c r="ER2826" s="4"/>
      <c r="ES2826" s="4"/>
      <c r="ET2826" s="4"/>
      <c r="EU2826" s="4"/>
      <c r="EV2826" s="4"/>
      <c r="EW2826" s="4"/>
      <c r="EX2826" s="4"/>
      <c r="EY2826" s="4"/>
      <c r="EZ2826" s="4"/>
      <c r="FA2826" s="4"/>
      <c r="FB2826" s="4">
        <v>50</v>
      </c>
      <c r="FC2826" s="4"/>
      <c r="FD2826" s="4"/>
      <c r="FE2826" s="4"/>
      <c r="FF2826" s="4"/>
      <c r="FG2826" s="4"/>
      <c r="FH2826" s="4"/>
      <c r="FI2826" s="4"/>
      <c r="FJ2826" s="4"/>
      <c r="FK2826" s="4"/>
      <c r="FL2826" s="4"/>
      <c r="FM2826" s="4"/>
      <c r="FN2826" s="4"/>
      <c r="FO2826" s="4"/>
      <c r="FP2826" s="4"/>
      <c r="FQ2826" s="4"/>
      <c r="FR2826" s="4"/>
      <c r="FS2826" s="4"/>
      <c r="FT2826" s="4"/>
      <c r="FU2826" s="4"/>
      <c r="FV2826" s="4"/>
      <c r="FW2826" s="4"/>
      <c r="FX2826" s="4"/>
      <c r="FY2826" s="4"/>
      <c r="FZ2826" s="4"/>
      <c r="GA2826" s="4"/>
      <c r="GB2826" s="4"/>
      <c r="GC2826" s="4"/>
      <c r="GD2826" s="4"/>
      <c r="GE2826" s="4"/>
      <c r="GF2826" s="4"/>
      <c r="GG2826" s="4"/>
      <c r="GH2826" s="4"/>
      <c r="GI2826" s="4"/>
      <c r="GJ2826" s="4"/>
      <c r="GK2826" s="4"/>
      <c r="GL2826" s="4"/>
      <c r="GM2826" s="4"/>
      <c r="GN2826" s="4"/>
      <c r="GO2826" s="4"/>
      <c r="GP2826" s="4"/>
      <c r="GQ2826" s="4"/>
      <c r="GR2826" s="4"/>
      <c r="GS2826" s="4"/>
      <c r="GT2826" s="4"/>
      <c r="GU2826" s="4"/>
      <c r="GV2826" s="4"/>
      <c r="GW2826" s="4"/>
      <c r="GX2826" s="4"/>
      <c r="GY2826" s="4"/>
      <c r="GZ2826" s="4"/>
      <c r="HA2826" s="4"/>
      <c r="HB2826" s="4"/>
      <c r="HC2826" s="4"/>
      <c r="HD2826" s="4"/>
      <c r="HE2826" s="4"/>
      <c r="HF2826" s="4"/>
      <c r="HG2826" s="4"/>
      <c r="HH2826" s="4"/>
      <c r="HI2826" s="4"/>
      <c r="HJ2826" s="4"/>
      <c r="HK2826" s="4"/>
      <c r="HL2826" s="4"/>
    </row>
    <row r="2827">
      <c r="A2827" s="2" t="s">
        <v>11987</v>
      </c>
      <c r="B2827" s="2" t="s">
        <v>992</v>
      </c>
      <c r="C2827" s="2" t="s">
        <v>1439</v>
      </c>
      <c r="D2827" s="2" t="s">
        <v>993</v>
      </c>
      <c r="E2827" s="2" t="s">
        <v>1157</v>
      </c>
      <c r="F2827" s="2" t="s">
        <v>11988</v>
      </c>
      <c r="G2827" s="2" t="s">
        <v>11989</v>
      </c>
      <c r="H2827" s="2" t="s">
        <v>11990</v>
      </c>
      <c r="I2827" s="2" t="s">
        <v>11991</v>
      </c>
      <c r="J2827" s="2" t="s">
        <v>1162</v>
      </c>
      <c r="K2827" s="2" t="s">
        <v>2321</v>
      </c>
      <c r="L2827" s="3">
        <v>14.19</v>
      </c>
      <c r="M2827" s="3">
        <v>14.9</v>
      </c>
      <c r="N2827" s="3">
        <v>34.99</v>
      </c>
      <c r="O2827" s="2" t="s">
        <v>243</v>
      </c>
      <c r="P2827" s="2" t="s">
        <v>917</v>
      </c>
      <c r="Q2827" s="2" t="s">
        <v>237</v>
      </c>
      <c r="R2827" s="2" t="s">
        <v>231</v>
      </c>
      <c r="S2827" s="2" t="s">
        <v>11992</v>
      </c>
      <c r="T2827" s="2" t="s">
        <v>472</v>
      </c>
      <c r="U2827" s="2" t="s">
        <v>791</v>
      </c>
      <c r="V2827" s="2" t="s">
        <v>239</v>
      </c>
      <c r="W2827" s="2" t="s">
        <v>691</v>
      </c>
      <c r="X2827" s="2" t="s">
        <v>231</v>
      </c>
      <c r="Y2827" s="2" t="s">
        <v>6395</v>
      </c>
      <c r="Z2827" s="4">
        <v>9</v>
      </c>
      <c r="AA2827" s="4">
        <f>=ROUNDDOWN(0.391304347826087,0)</f>
      </c>
      <c r="AB2827" s="5">
        <v>23</v>
      </c>
      <c r="AC2827" s="2" t="s">
        <v>231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231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/>
      <c r="BD2827" s="8"/>
      <c r="BE2827" s="4"/>
      <c r="BF2827" s="8"/>
      <c r="BG2827" s="7"/>
      <c r="BH2827" s="7"/>
      <c r="BI2827" s="7"/>
      <c r="BJ2827" s="4">
        <v>2</v>
      </c>
      <c r="BK2827" s="8">
        <v>22.02</v>
      </c>
      <c r="BL2827" s="2" t="s">
        <v>587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11993</v>
      </c>
      <c r="BV2827" s="2" t="s">
        <v>231</v>
      </c>
      <c r="BW2827" s="2" t="s">
        <v>231</v>
      </c>
      <c r="BX2827" s="2" t="s">
        <v>231</v>
      </c>
      <c r="BY2827" s="2" t="s">
        <v>277</v>
      </c>
      <c r="BZ2827" s="2" t="s">
        <v>243</v>
      </c>
      <c r="CA2827" s="2" t="s">
        <v>6395</v>
      </c>
      <c r="CB2827" s="2" t="s">
        <v>1354</v>
      </c>
      <c r="CC2827" s="2" t="s">
        <v>244</v>
      </c>
      <c r="CD2827" s="2" t="s">
        <v>231</v>
      </c>
      <c r="CE2827" s="4">
        <v>1</v>
      </c>
      <c r="CF2827" s="4">
        <v>8</v>
      </c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4"/>
      <c r="CX2827" s="4"/>
      <c r="CY2827" s="4"/>
      <c r="CZ2827" s="4"/>
      <c r="DA2827" s="4"/>
      <c r="DB2827" s="4"/>
      <c r="DC2827" s="4"/>
      <c r="DD2827" s="4"/>
      <c r="DE2827" s="4"/>
      <c r="DF2827" s="4"/>
      <c r="DG2827" s="4"/>
      <c r="DH2827" s="4"/>
      <c r="DI2827" s="4"/>
      <c r="DJ2827" s="4"/>
      <c r="DK2827" s="4"/>
      <c r="DL2827" s="4"/>
      <c r="DM2827" s="4"/>
      <c r="DN2827" s="4"/>
      <c r="DO2827" s="4"/>
      <c r="DP2827" s="4"/>
      <c r="DQ2827" s="4"/>
      <c r="DR2827" s="4"/>
      <c r="DS2827" s="4"/>
      <c r="DT2827" s="4"/>
      <c r="DU2827" s="4"/>
      <c r="DV2827" s="4"/>
      <c r="DW2827" s="4"/>
      <c r="DX2827" s="4"/>
      <c r="DY2827" s="4"/>
      <c r="DZ2827" s="4"/>
      <c r="EA2827" s="4"/>
      <c r="EB2827" s="4"/>
      <c r="EC2827" s="4"/>
      <c r="ED2827" s="4"/>
      <c r="EE2827" s="4"/>
      <c r="EF2827" s="4"/>
      <c r="EG2827" s="4"/>
      <c r="EH2827" s="4"/>
      <c r="EI2827" s="4"/>
      <c r="EJ2827" s="4"/>
      <c r="EK2827" s="4"/>
      <c r="EL2827" s="4"/>
      <c r="EM2827" s="4"/>
      <c r="EN2827" s="4"/>
      <c r="EO2827" s="4"/>
      <c r="EP2827" s="4"/>
      <c r="EQ2827" s="4"/>
      <c r="ER2827" s="4"/>
      <c r="ES2827" s="4"/>
      <c r="ET2827" s="4"/>
      <c r="EU2827" s="4"/>
      <c r="EV2827" s="4"/>
      <c r="EW2827" s="4"/>
      <c r="EX2827" s="4"/>
      <c r="EY2827" s="4"/>
      <c r="EZ2827" s="4"/>
      <c r="FA2827" s="4"/>
      <c r="FB2827" s="4"/>
      <c r="FC2827" s="4"/>
      <c r="FD2827" s="4"/>
      <c r="FE2827" s="4"/>
      <c r="FF2827" s="4"/>
      <c r="FG2827" s="4"/>
      <c r="FH2827" s="4"/>
      <c r="FI2827" s="4"/>
      <c r="FJ2827" s="4"/>
      <c r="FK2827" s="4"/>
      <c r="FL2827" s="4"/>
      <c r="FM2827" s="4"/>
      <c r="FN2827" s="4"/>
      <c r="FO2827" s="4"/>
      <c r="FP2827" s="4"/>
      <c r="FQ2827" s="4"/>
      <c r="FR2827" s="4"/>
      <c r="FS2827" s="4"/>
      <c r="FT2827" s="4"/>
      <c r="FU2827" s="4"/>
      <c r="FV2827" s="4"/>
      <c r="FW2827" s="4"/>
      <c r="FX2827" s="4"/>
      <c r="FY2827" s="4"/>
      <c r="FZ2827" s="4"/>
      <c r="GA2827" s="4"/>
      <c r="GB2827" s="4"/>
      <c r="GC2827" s="4"/>
      <c r="GD2827" s="4"/>
      <c r="GE2827" s="4"/>
      <c r="GF2827" s="4"/>
      <c r="GG2827" s="4"/>
      <c r="GH2827" s="4"/>
      <c r="GI2827" s="4"/>
      <c r="GJ2827" s="4"/>
      <c r="GK2827" s="4"/>
      <c r="GL2827" s="4"/>
      <c r="GM2827" s="4"/>
      <c r="GN2827" s="4"/>
      <c r="GO2827" s="4"/>
      <c r="GP2827" s="4"/>
      <c r="GQ2827" s="4"/>
      <c r="GR2827" s="4"/>
      <c r="GS2827" s="4"/>
      <c r="GT2827" s="4"/>
      <c r="GU2827" s="4"/>
      <c r="GV2827" s="4"/>
      <c r="GW2827" s="4"/>
      <c r="GX2827" s="4"/>
      <c r="GY2827" s="4"/>
      <c r="GZ2827" s="4"/>
      <c r="HA2827" s="4"/>
      <c r="HB2827" s="4"/>
      <c r="HC2827" s="4"/>
      <c r="HD2827" s="4"/>
      <c r="HE2827" s="4"/>
      <c r="HF2827" s="4"/>
      <c r="HG2827" s="4"/>
      <c r="HH2827" s="4"/>
      <c r="HI2827" s="4"/>
      <c r="HJ2827" s="4"/>
      <c r="HK2827" s="4"/>
      <c r="HL2827" s="4"/>
    </row>
    <row r="2828">
      <c r="A2828" s="2" t="s">
        <v>11994</v>
      </c>
      <c r="B2828" s="2" t="s">
        <v>1186</v>
      </c>
      <c r="C2828" s="2" t="s">
        <v>1299</v>
      </c>
      <c r="D2828" s="2" t="s">
        <v>1624</v>
      </c>
      <c r="E2828" s="2" t="s">
        <v>1625</v>
      </c>
      <c r="F2828" s="2" t="s">
        <v>11995</v>
      </c>
      <c r="G2828" s="2" t="s">
        <v>11995</v>
      </c>
      <c r="H2828" s="2" t="s">
        <v>11995</v>
      </c>
      <c r="I2828" s="2" t="s">
        <v>7058</v>
      </c>
      <c r="J2828" s="2" t="s">
        <v>1628</v>
      </c>
      <c r="K2828" s="2" t="s">
        <v>1513</v>
      </c>
      <c r="L2828" s="3">
        <v>22.05</v>
      </c>
      <c r="M2828" s="3">
        <v>23.15</v>
      </c>
      <c r="N2828" s="3">
        <v>44.99</v>
      </c>
      <c r="O2828" s="2" t="s">
        <v>243</v>
      </c>
      <c r="P2828" s="2" t="s">
        <v>270</v>
      </c>
      <c r="Q2828" s="2" t="s">
        <v>237</v>
      </c>
      <c r="R2828" s="2" t="s">
        <v>231</v>
      </c>
      <c r="S2828" s="2" t="s">
        <v>7059</v>
      </c>
      <c r="T2828" s="2" t="s">
        <v>231</v>
      </c>
      <c r="U2828" s="2" t="s">
        <v>231</v>
      </c>
      <c r="V2828" s="2" t="s">
        <v>1304</v>
      </c>
      <c r="W2828" s="2" t="s">
        <v>897</v>
      </c>
      <c r="X2828" s="2" t="s">
        <v>8680</v>
      </c>
      <c r="Y2828" s="2" t="s">
        <v>274</v>
      </c>
      <c r="Z2828" s="4">
        <v>470</v>
      </c>
      <c r="AA2828" s="4">
        <f>=ROUNDDOWN(58.75,0)</f>
      </c>
      <c r="AB2828" s="5">
        <v>8</v>
      </c>
      <c r="AC2828" s="2" t="s">
        <v>222</v>
      </c>
      <c r="AD2828" s="4">
        <v>40</v>
      </c>
      <c r="AE2828" s="4">
        <v>40</v>
      </c>
      <c r="AF2828" s="6">
        <v>69</v>
      </c>
      <c r="AG2828" s="6"/>
      <c r="AH2828" s="7">
        <v>1</v>
      </c>
      <c r="AI2828" s="4"/>
      <c r="AJ2828" s="4">
        <f>=ROUNDDOWN({0},0)</f>
      </c>
      <c r="AK2828" s="5"/>
      <c r="AL2828" s="2" t="s">
        <v>231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231</v>
      </c>
      <c r="AW2828" s="8" t="s">
        <v>231</v>
      </c>
      <c r="AX2828" s="4" t="s">
        <v>231</v>
      </c>
      <c r="AY2828" s="8" t="s">
        <v>231</v>
      </c>
      <c r="AZ2828" s="7" t="s">
        <v>231</v>
      </c>
      <c r="BA2828" s="7" t="s">
        <v>231</v>
      </c>
      <c r="BB2828" s="7"/>
      <c r="BC2828" s="4" t="s">
        <v>231</v>
      </c>
      <c r="BD2828" s="8" t="s">
        <v>231</v>
      </c>
      <c r="BE2828" s="4" t="s">
        <v>231</v>
      </c>
      <c r="BF2828" s="8" t="s">
        <v>231</v>
      </c>
      <c r="BG2828" s="7" t="s">
        <v>231</v>
      </c>
      <c r="BH2828" s="7" t="s">
        <v>231</v>
      </c>
      <c r="BI2828" s="7"/>
      <c r="BJ2828" s="4">
        <v>4</v>
      </c>
      <c r="BK2828" s="8">
        <v>85.66</v>
      </c>
      <c r="BL2828" s="2" t="s">
        <v>6123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11996</v>
      </c>
      <c r="BV2828" s="2" t="s">
        <v>231</v>
      </c>
      <c r="BW2828" s="2" t="s">
        <v>231</v>
      </c>
      <c r="BX2828" s="2" t="s">
        <v>231</v>
      </c>
      <c r="BY2828" s="2" t="s">
        <v>277</v>
      </c>
      <c r="BZ2828" s="2" t="s">
        <v>243</v>
      </c>
      <c r="CA2828" s="2" t="s">
        <v>1271</v>
      </c>
      <c r="CB2828" s="2" t="s">
        <v>5314</v>
      </c>
      <c r="CC2828" s="2" t="s">
        <v>244</v>
      </c>
      <c r="CD2828" s="2" t="s">
        <v>231</v>
      </c>
      <c r="CE2828" s="4">
        <v>470</v>
      </c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4"/>
      <c r="CX2828" s="4"/>
      <c r="CY2828" s="4"/>
      <c r="CZ2828" s="4"/>
      <c r="DA2828" s="4"/>
      <c r="DB2828" s="4"/>
      <c r="DC2828" s="4"/>
      <c r="DD2828" s="4"/>
      <c r="DE2828" s="4"/>
      <c r="DF2828" s="4"/>
      <c r="DG2828" s="4"/>
      <c r="DH2828" s="4"/>
      <c r="DI2828" s="4"/>
      <c r="DJ2828" s="4"/>
      <c r="DK2828" s="4"/>
      <c r="DL2828" s="4"/>
      <c r="DM2828" s="4"/>
      <c r="DN2828" s="4"/>
      <c r="DO2828" s="4"/>
      <c r="DP2828" s="4"/>
      <c r="DQ2828" s="4"/>
      <c r="DR2828" s="4"/>
      <c r="DS2828" s="4"/>
      <c r="DT2828" s="4"/>
      <c r="DU2828" s="4"/>
      <c r="DV2828" s="4"/>
      <c r="DW2828" s="4"/>
      <c r="DX2828" s="4"/>
      <c r="DY2828" s="4"/>
      <c r="DZ2828" s="4"/>
      <c r="EA2828" s="4"/>
      <c r="EB2828" s="4"/>
      <c r="EC2828" s="4"/>
      <c r="ED2828" s="4"/>
      <c r="EE2828" s="4"/>
      <c r="EF2828" s="4"/>
      <c r="EG2828" s="4"/>
      <c r="EH2828" s="4"/>
      <c r="EI2828" s="4"/>
      <c r="EJ2828" s="4"/>
      <c r="EK2828" s="4"/>
      <c r="EL2828" s="4"/>
      <c r="EM2828" s="4"/>
      <c r="EN2828" s="4"/>
      <c r="EO2828" s="4"/>
      <c r="EP2828" s="4"/>
      <c r="EQ2828" s="4"/>
      <c r="ER2828" s="4"/>
      <c r="ES2828" s="4"/>
      <c r="ET2828" s="4"/>
      <c r="EU2828" s="4"/>
      <c r="EV2828" s="4"/>
      <c r="EW2828" s="4"/>
      <c r="EX2828" s="4"/>
      <c r="EY2828" s="4"/>
      <c r="EZ2828" s="4"/>
      <c r="FA2828" s="4"/>
      <c r="FB2828" s="4"/>
      <c r="FC2828" s="4"/>
      <c r="FD2828" s="4"/>
      <c r="FE2828" s="4"/>
      <c r="FF2828" s="4"/>
      <c r="FG2828" s="4"/>
      <c r="FH2828" s="4"/>
      <c r="FI2828" s="4"/>
      <c r="FJ2828" s="4"/>
      <c r="FK2828" s="4"/>
      <c r="FL2828" s="4"/>
      <c r="FM2828" s="4"/>
      <c r="FN2828" s="4"/>
      <c r="FO2828" s="4"/>
      <c r="FP2828" s="4"/>
      <c r="FQ2828" s="4"/>
      <c r="FR2828" s="4"/>
      <c r="FS2828" s="4"/>
      <c r="FT2828" s="4"/>
      <c r="FU2828" s="4"/>
      <c r="FV2828" s="4"/>
      <c r="FW2828" s="4"/>
      <c r="FX2828" s="4"/>
      <c r="FY2828" s="4"/>
      <c r="FZ2828" s="4"/>
      <c r="GA2828" s="4"/>
      <c r="GB2828" s="4"/>
      <c r="GC2828" s="4"/>
      <c r="GD2828" s="4"/>
      <c r="GE2828" s="4"/>
      <c r="GF2828" s="4"/>
      <c r="GG2828" s="4"/>
      <c r="GH2828" s="4"/>
      <c r="GI2828" s="4"/>
      <c r="GJ2828" s="4"/>
      <c r="GK2828" s="4"/>
      <c r="GL2828" s="4"/>
      <c r="GM2828" s="4"/>
      <c r="GN2828" s="4"/>
      <c r="GO2828" s="4"/>
      <c r="GP2828" s="4"/>
      <c r="GQ2828" s="4"/>
      <c r="GR2828" s="4"/>
      <c r="GS2828" s="4"/>
      <c r="GT2828" s="4"/>
      <c r="GU2828" s="4"/>
      <c r="GV2828" s="4"/>
      <c r="GW2828" s="4"/>
      <c r="GX2828" s="4"/>
      <c r="GY2828" s="4"/>
      <c r="GZ2828" s="4"/>
      <c r="HA2828" s="4"/>
      <c r="HB2828" s="4"/>
      <c r="HC2828" s="4"/>
      <c r="HD2828" s="4"/>
      <c r="HE2828" s="4">
        <v>40</v>
      </c>
      <c r="HF2828" s="4"/>
      <c r="HG2828" s="4"/>
      <c r="HH2828" s="4"/>
      <c r="HI2828" s="4"/>
      <c r="HJ2828" s="4"/>
      <c r="HK2828" s="4"/>
      <c r="HL2828" s="4"/>
    </row>
    <row r="2829">
      <c r="A2829" s="2" t="s">
        <v>11997</v>
      </c>
      <c r="B2829" s="2" t="s">
        <v>226</v>
      </c>
      <c r="C2829" s="2" t="s">
        <v>1299</v>
      </c>
      <c r="D2829" s="2" t="s">
        <v>1549</v>
      </c>
      <c r="E2829" s="2" t="s">
        <v>1550</v>
      </c>
      <c r="F2829" s="2" t="s">
        <v>11995</v>
      </c>
      <c r="G2829" s="2" t="s">
        <v>11995</v>
      </c>
      <c r="H2829" s="2" t="s">
        <v>231</v>
      </c>
      <c r="I2829" s="2" t="s">
        <v>2844</v>
      </c>
      <c r="J2829" s="2" t="s">
        <v>2845</v>
      </c>
      <c r="K2829" s="2" t="s">
        <v>1513</v>
      </c>
      <c r="L2829" s="3">
        <v>37.72</v>
      </c>
      <c r="M2829" s="3">
        <v>39.61</v>
      </c>
      <c r="N2829" s="3">
        <v>81.99</v>
      </c>
      <c r="O2829" s="2" t="s">
        <v>243</v>
      </c>
      <c r="P2829" s="2" t="s">
        <v>270</v>
      </c>
      <c r="Q2829" s="2" t="s">
        <v>237</v>
      </c>
      <c r="R2829" s="2" t="s">
        <v>231</v>
      </c>
      <c r="S2829" s="2" t="s">
        <v>11998</v>
      </c>
      <c r="T2829" s="2" t="s">
        <v>970</v>
      </c>
      <c r="U2829" s="2" t="s">
        <v>231</v>
      </c>
      <c r="V2829" s="2" t="s">
        <v>1304</v>
      </c>
      <c r="W2829" s="2" t="s">
        <v>897</v>
      </c>
      <c r="X2829" s="2" t="s">
        <v>971</v>
      </c>
      <c r="Y2829" s="2" t="s">
        <v>274</v>
      </c>
      <c r="Z2829" s="4"/>
      <c r="AA2829" s="4">
        <f>=ROUNDDOWN({0},0)</f>
      </c>
      <c r="AB2829" s="5">
        <v>31</v>
      </c>
      <c r="AC2829" s="2" t="s">
        <v>3723</v>
      </c>
      <c r="AD2829" s="4">
        <v>200</v>
      </c>
      <c r="AE2829" s="4">
        <v>940</v>
      </c>
      <c r="AF2829" s="6">
        <v>65</v>
      </c>
      <c r="AG2829" s="6"/>
      <c r="AH2829" s="7">
        <v>0</v>
      </c>
      <c r="AI2829" s="4"/>
      <c r="AJ2829" s="4">
        <f>=ROUNDDOWN({0},0)</f>
      </c>
      <c r="AK2829" s="5"/>
      <c r="AL2829" s="2" t="s">
        <v>231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231</v>
      </c>
      <c r="AW2829" s="8" t="s">
        <v>231</v>
      </c>
      <c r="AX2829" s="4" t="s">
        <v>231</v>
      </c>
      <c r="AY2829" s="8" t="s">
        <v>231</v>
      </c>
      <c r="AZ2829" s="7" t="s">
        <v>231</v>
      </c>
      <c r="BA2829" s="7" t="s">
        <v>231</v>
      </c>
      <c r="BB2829" s="7"/>
      <c r="BC2829" s="4" t="s">
        <v>231</v>
      </c>
      <c r="BD2829" s="8" t="s">
        <v>231</v>
      </c>
      <c r="BE2829" s="4" t="s">
        <v>231</v>
      </c>
      <c r="BF2829" s="8" t="s">
        <v>231</v>
      </c>
      <c r="BG2829" s="7" t="s">
        <v>231</v>
      </c>
      <c r="BH2829" s="7" t="s">
        <v>231</v>
      </c>
      <c r="BI2829" s="7"/>
      <c r="BJ2829" s="4"/>
      <c r="BK2829" s="8"/>
      <c r="BL2829" s="2" t="s">
        <v>11999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12000</v>
      </c>
      <c r="BV2829" s="2" t="s">
        <v>231</v>
      </c>
      <c r="BW2829" s="2" t="s">
        <v>231</v>
      </c>
      <c r="BX2829" s="2" t="s">
        <v>231</v>
      </c>
      <c r="BY2829" s="2" t="s">
        <v>277</v>
      </c>
      <c r="BZ2829" s="2" t="s">
        <v>243</v>
      </c>
      <c r="CA2829" s="2" t="s">
        <v>1779</v>
      </c>
      <c r="CB2829" s="2" t="s">
        <v>5625</v>
      </c>
      <c r="CC2829" s="2" t="s">
        <v>244</v>
      </c>
      <c r="CD2829" s="2" t="s">
        <v>231</v>
      </c>
      <c r="CE2829" s="4"/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4"/>
      <c r="CX2829" s="4"/>
      <c r="CY2829" s="4"/>
      <c r="CZ2829" s="4"/>
      <c r="DA2829" s="4"/>
      <c r="DB2829" s="4"/>
      <c r="DC2829" s="4"/>
      <c r="DD2829" s="4"/>
      <c r="DE2829" s="4"/>
      <c r="DF2829" s="4"/>
      <c r="DG2829" s="4"/>
      <c r="DH2829" s="4"/>
      <c r="DI2829" s="4"/>
      <c r="DJ2829" s="4"/>
      <c r="DK2829" s="4"/>
      <c r="DL2829" s="4"/>
      <c r="DM2829" s="4"/>
      <c r="DN2829" s="4"/>
      <c r="DO2829" s="4"/>
      <c r="DP2829" s="4"/>
      <c r="DQ2829" s="4"/>
      <c r="DR2829" s="4"/>
      <c r="DS2829" s="4"/>
      <c r="DT2829" s="4"/>
      <c r="DU2829" s="4"/>
      <c r="DV2829" s="4"/>
      <c r="DW2829" s="4"/>
      <c r="DX2829" s="4"/>
      <c r="DY2829" s="4"/>
      <c r="DZ2829" s="4"/>
      <c r="EA2829" s="4"/>
      <c r="EB2829" s="4"/>
      <c r="EC2829" s="4"/>
      <c r="ED2829" s="4"/>
      <c r="EE2829" s="4"/>
      <c r="EF2829" s="4"/>
      <c r="EG2829" s="4"/>
      <c r="EH2829" s="4"/>
      <c r="EI2829" s="4"/>
      <c r="EJ2829" s="4">
        <v>200</v>
      </c>
      <c r="EK2829" s="4"/>
      <c r="EL2829" s="4"/>
      <c r="EM2829" s="4"/>
      <c r="EN2829" s="4"/>
      <c r="EO2829" s="4"/>
      <c r="EP2829" s="4"/>
      <c r="EQ2829" s="4"/>
      <c r="ER2829" s="4"/>
      <c r="ES2829" s="4"/>
      <c r="ET2829" s="4"/>
      <c r="EU2829" s="4"/>
      <c r="EV2829" s="4"/>
      <c r="EW2829" s="4"/>
      <c r="EX2829" s="4"/>
      <c r="EY2829" s="4"/>
      <c r="EZ2829" s="4"/>
      <c r="FA2829" s="4"/>
      <c r="FB2829" s="4"/>
      <c r="FC2829" s="4"/>
      <c r="FD2829" s="4"/>
      <c r="FE2829" s="4"/>
      <c r="FF2829" s="4"/>
      <c r="FG2829" s="4"/>
      <c r="FH2829" s="4"/>
      <c r="FI2829" s="4"/>
      <c r="FJ2829" s="4"/>
      <c r="FK2829" s="4"/>
      <c r="FL2829" s="4"/>
      <c r="FM2829" s="4"/>
      <c r="FN2829" s="4"/>
      <c r="FO2829" s="4"/>
      <c r="FP2829" s="4"/>
      <c r="FQ2829" s="4"/>
      <c r="FR2829" s="4"/>
      <c r="FS2829" s="4"/>
      <c r="FT2829" s="4"/>
      <c r="FU2829" s="4"/>
      <c r="FV2829" s="4"/>
      <c r="FW2829" s="4"/>
      <c r="FX2829" s="4"/>
      <c r="FY2829" s="4"/>
      <c r="FZ2829" s="4"/>
      <c r="GA2829" s="4"/>
      <c r="GB2829" s="4"/>
      <c r="GC2829" s="4"/>
      <c r="GD2829" s="4"/>
      <c r="GE2829" s="4">
        <v>320</v>
      </c>
      <c r="GF2829" s="4"/>
      <c r="GG2829" s="4"/>
      <c r="GH2829" s="4"/>
      <c r="GI2829" s="4"/>
      <c r="GJ2829" s="4"/>
      <c r="GK2829" s="4"/>
      <c r="GL2829" s="4"/>
      <c r="GM2829" s="4"/>
      <c r="GN2829" s="4"/>
      <c r="GO2829" s="4"/>
      <c r="GP2829" s="4"/>
      <c r="GQ2829" s="4"/>
      <c r="GR2829" s="4"/>
      <c r="GS2829" s="4"/>
      <c r="GT2829" s="4"/>
      <c r="GU2829" s="4"/>
      <c r="GV2829" s="4"/>
      <c r="GW2829" s="4"/>
      <c r="GX2829" s="4"/>
      <c r="GY2829" s="4"/>
      <c r="GZ2829" s="4">
        <v>420</v>
      </c>
      <c r="HA2829" s="4"/>
      <c r="HB2829" s="4"/>
      <c r="HC2829" s="4"/>
      <c r="HD2829" s="4"/>
      <c r="HE2829" s="4"/>
      <c r="HF2829" s="4"/>
      <c r="HG2829" s="4"/>
      <c r="HH2829" s="4"/>
      <c r="HI2829" s="4"/>
      <c r="HJ2829" s="4"/>
      <c r="HK2829" s="4"/>
      <c r="HL2829" s="4"/>
    </row>
    <row r="2830">
      <c r="A2830" s="2" t="s">
        <v>12001</v>
      </c>
      <c r="B2830" s="2" t="s">
        <v>1186</v>
      </c>
      <c r="C2830" s="2" t="s">
        <v>1299</v>
      </c>
      <c r="D2830" s="2" t="s">
        <v>1624</v>
      </c>
      <c r="E2830" s="2" t="s">
        <v>1625</v>
      </c>
      <c r="F2830" s="2" t="s">
        <v>11995</v>
      </c>
      <c r="G2830" s="2" t="s">
        <v>11995</v>
      </c>
      <c r="H2830" s="2" t="s">
        <v>11995</v>
      </c>
      <c r="I2830" s="2" t="s">
        <v>7058</v>
      </c>
      <c r="J2830" s="2" t="s">
        <v>1628</v>
      </c>
      <c r="K2830" s="2" t="s">
        <v>1146</v>
      </c>
      <c r="L2830" s="3">
        <v>22.05</v>
      </c>
      <c r="M2830" s="3">
        <v>23.15</v>
      </c>
      <c r="N2830" s="3">
        <v>44.99</v>
      </c>
      <c r="O2830" s="2" t="s">
        <v>243</v>
      </c>
      <c r="P2830" s="2" t="s">
        <v>270</v>
      </c>
      <c r="Q2830" s="2" t="s">
        <v>237</v>
      </c>
      <c r="R2830" s="2" t="s">
        <v>231</v>
      </c>
      <c r="S2830" s="2" t="s">
        <v>7059</v>
      </c>
      <c r="T2830" s="2" t="s">
        <v>231</v>
      </c>
      <c r="U2830" s="2" t="s">
        <v>231</v>
      </c>
      <c r="V2830" s="2" t="s">
        <v>1304</v>
      </c>
      <c r="W2830" s="2" t="s">
        <v>897</v>
      </c>
      <c r="X2830" s="2" t="s">
        <v>8680</v>
      </c>
      <c r="Y2830" s="2" t="s">
        <v>274</v>
      </c>
      <c r="Z2830" s="4">
        <v>154</v>
      </c>
      <c r="AA2830" s="4">
        <f>=ROUNDDOWN(7.33333333333333,0)</f>
      </c>
      <c r="AB2830" s="5">
        <v>21</v>
      </c>
      <c r="AC2830" s="2" t="s">
        <v>3288</v>
      </c>
      <c r="AD2830" s="4">
        <v>260</v>
      </c>
      <c r="AE2830" s="4">
        <v>1280</v>
      </c>
      <c r="AF2830" s="6">
        <v>69</v>
      </c>
      <c r="AG2830" s="6"/>
      <c r="AH2830" s="7">
        <v>1</v>
      </c>
      <c r="AI2830" s="4"/>
      <c r="AJ2830" s="4">
        <f>=ROUNDDOWN({0},0)</f>
      </c>
      <c r="AK2830" s="5"/>
      <c r="AL2830" s="2" t="s">
        <v>231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231</v>
      </c>
      <c r="BD2830" s="8" t="s">
        <v>231</v>
      </c>
      <c r="BE2830" s="4" t="s">
        <v>231</v>
      </c>
      <c r="BF2830" s="8" t="s">
        <v>231</v>
      </c>
      <c r="BG2830" s="7" t="s">
        <v>231</v>
      </c>
      <c r="BH2830" s="7" t="s">
        <v>231</v>
      </c>
      <c r="BI2830" s="7"/>
      <c r="BJ2830" s="4">
        <v>91</v>
      </c>
      <c r="BK2830" s="8">
        <v>2106.17</v>
      </c>
      <c r="BL2830" s="2" t="s">
        <v>12002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12003</v>
      </c>
      <c r="BV2830" s="2" t="s">
        <v>231</v>
      </c>
      <c r="BW2830" s="2" t="s">
        <v>231</v>
      </c>
      <c r="BX2830" s="2" t="s">
        <v>241</v>
      </c>
      <c r="BY2830" s="2" t="s">
        <v>277</v>
      </c>
      <c r="BZ2830" s="2" t="s">
        <v>243</v>
      </c>
      <c r="CA2830" s="2" t="s">
        <v>1271</v>
      </c>
      <c r="CB2830" s="2" t="s">
        <v>4201</v>
      </c>
      <c r="CC2830" s="2" t="s">
        <v>244</v>
      </c>
      <c r="CD2830" s="2" t="s">
        <v>231</v>
      </c>
      <c r="CE2830" s="4">
        <v>154</v>
      </c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4"/>
      <c r="CX2830" s="4"/>
      <c r="CY2830" s="4"/>
      <c r="CZ2830" s="4"/>
      <c r="DA2830" s="4"/>
      <c r="DB2830" s="4"/>
      <c r="DC2830" s="4"/>
      <c r="DD2830" s="4"/>
      <c r="DE2830" s="4"/>
      <c r="DF2830" s="4"/>
      <c r="DG2830" s="4"/>
      <c r="DH2830" s="4"/>
      <c r="DI2830" s="4"/>
      <c r="DJ2830" s="4"/>
      <c r="DK2830" s="4"/>
      <c r="DL2830" s="4"/>
      <c r="DM2830" s="4"/>
      <c r="DN2830" s="4">
        <v>260</v>
      </c>
      <c r="DO2830" s="4"/>
      <c r="DP2830" s="4"/>
      <c r="DQ2830" s="4"/>
      <c r="DR2830" s="4"/>
      <c r="DS2830" s="4"/>
      <c r="DT2830" s="4"/>
      <c r="DU2830" s="4"/>
      <c r="DV2830" s="4"/>
      <c r="DW2830" s="4"/>
      <c r="DX2830" s="4"/>
      <c r="DY2830" s="4"/>
      <c r="DZ2830" s="4"/>
      <c r="EA2830" s="4"/>
      <c r="EB2830" s="4"/>
      <c r="EC2830" s="4"/>
      <c r="ED2830" s="4"/>
      <c r="EE2830" s="4"/>
      <c r="EF2830" s="4"/>
      <c r="EG2830" s="4"/>
      <c r="EH2830" s="4"/>
      <c r="EI2830" s="4"/>
      <c r="EJ2830" s="4"/>
      <c r="EK2830" s="4"/>
      <c r="EL2830" s="4"/>
      <c r="EM2830" s="4"/>
      <c r="EN2830" s="4"/>
      <c r="EO2830" s="4"/>
      <c r="EP2830" s="4"/>
      <c r="EQ2830" s="4"/>
      <c r="ER2830" s="4"/>
      <c r="ES2830" s="4"/>
      <c r="ET2830" s="4"/>
      <c r="EU2830" s="4"/>
      <c r="EV2830" s="4"/>
      <c r="EW2830" s="4"/>
      <c r="EX2830" s="4"/>
      <c r="EY2830" s="4"/>
      <c r="EZ2830" s="4"/>
      <c r="FA2830" s="4"/>
      <c r="FB2830" s="4"/>
      <c r="FC2830" s="4"/>
      <c r="FD2830" s="4"/>
      <c r="FE2830" s="4"/>
      <c r="FF2830" s="4"/>
      <c r="FG2830" s="4"/>
      <c r="FH2830" s="4"/>
      <c r="FI2830" s="4"/>
      <c r="FJ2830" s="4"/>
      <c r="FK2830" s="4"/>
      <c r="FL2830" s="4"/>
      <c r="FM2830" s="4"/>
      <c r="FN2830" s="4"/>
      <c r="FO2830" s="4">
        <v>700</v>
      </c>
      <c r="FP2830" s="4"/>
      <c r="FQ2830" s="4"/>
      <c r="FR2830" s="4"/>
      <c r="FS2830" s="4"/>
      <c r="FT2830" s="4"/>
      <c r="FU2830" s="4"/>
      <c r="FV2830" s="4"/>
      <c r="FW2830" s="4"/>
      <c r="FX2830" s="4"/>
      <c r="FY2830" s="4"/>
      <c r="FZ2830" s="4"/>
      <c r="GA2830" s="4"/>
      <c r="GB2830" s="4"/>
      <c r="GC2830" s="4"/>
      <c r="GD2830" s="4"/>
      <c r="GE2830" s="4"/>
      <c r="GF2830" s="4"/>
      <c r="GG2830" s="4"/>
      <c r="GH2830" s="4"/>
      <c r="GI2830" s="4"/>
      <c r="GJ2830" s="4"/>
      <c r="GK2830" s="4"/>
      <c r="GL2830" s="4"/>
      <c r="GM2830" s="4"/>
      <c r="GN2830" s="4"/>
      <c r="GO2830" s="4"/>
      <c r="GP2830" s="4"/>
      <c r="GQ2830" s="4"/>
      <c r="GR2830" s="4"/>
      <c r="GS2830" s="4"/>
      <c r="GT2830" s="4"/>
      <c r="GU2830" s="4"/>
      <c r="GV2830" s="4"/>
      <c r="GW2830" s="4"/>
      <c r="GX2830" s="4"/>
      <c r="GY2830" s="4"/>
      <c r="GZ2830" s="4"/>
      <c r="HA2830" s="4"/>
      <c r="HB2830" s="4"/>
      <c r="HC2830" s="4"/>
      <c r="HD2830" s="4"/>
      <c r="HE2830" s="4">
        <v>320</v>
      </c>
      <c r="HF2830" s="4"/>
      <c r="HG2830" s="4"/>
      <c r="HH2830" s="4"/>
      <c r="HI2830" s="4"/>
      <c r="HJ2830" s="4"/>
      <c r="HK2830" s="4"/>
      <c r="HL2830" s="4"/>
    </row>
    <row r="2831">
      <c r="A2831" s="2" t="s">
        <v>12004</v>
      </c>
      <c r="B2831" s="2" t="s">
        <v>1004</v>
      </c>
      <c r="C2831" s="2" t="s">
        <v>288</v>
      </c>
      <c r="D2831" s="2" t="s">
        <v>1689</v>
      </c>
      <c r="E2831" s="2" t="s">
        <v>1690</v>
      </c>
      <c r="F2831" s="2" t="s">
        <v>12005</v>
      </c>
      <c r="G2831" s="2" t="s">
        <v>12006</v>
      </c>
      <c r="H2831" s="2" t="s">
        <v>5849</v>
      </c>
      <c r="I2831" s="2" t="s">
        <v>10051</v>
      </c>
      <c r="J2831" s="2" t="s">
        <v>807</v>
      </c>
      <c r="K2831" s="2" t="s">
        <v>269</v>
      </c>
      <c r="L2831" s="3">
        <v>147.25</v>
      </c>
      <c r="M2831" s="3">
        <v>154.61</v>
      </c>
      <c r="N2831" s="3">
        <v>309</v>
      </c>
      <c r="O2831" s="2" t="s">
        <v>243</v>
      </c>
      <c r="P2831" s="2" t="s">
        <v>1985</v>
      </c>
      <c r="Q2831" s="2" t="s">
        <v>237</v>
      </c>
      <c r="R2831" s="2" t="s">
        <v>231</v>
      </c>
      <c r="S2831" s="2" t="s">
        <v>12007</v>
      </c>
      <c r="T2831" s="2" t="s">
        <v>231</v>
      </c>
      <c r="U2831" s="2" t="s">
        <v>231</v>
      </c>
      <c r="V2831" s="2" t="s">
        <v>239</v>
      </c>
      <c r="W2831" s="2" t="s">
        <v>808</v>
      </c>
      <c r="X2831" s="2" t="s">
        <v>231</v>
      </c>
      <c r="Y2831" s="2" t="s">
        <v>274</v>
      </c>
      <c r="Z2831" s="4">
        <v>78</v>
      </c>
      <c r="AA2831" s="4">
        <f>=ROUNDDOWN(28.8888888888889,0)</f>
      </c>
      <c r="AB2831" s="5">
        <v>2.7</v>
      </c>
      <c r="AC2831" s="2" t="s">
        <v>717</v>
      </c>
      <c r="AD2831" s="4">
        <v>100</v>
      </c>
      <c r="AE2831" s="4">
        <v>100</v>
      </c>
      <c r="AF2831" s="6">
        <v>74</v>
      </c>
      <c r="AG2831" s="6">
        <v>60</v>
      </c>
      <c r="AH2831" s="7">
        <v>1</v>
      </c>
      <c r="AI2831" s="4"/>
      <c r="AJ2831" s="4">
        <f>=ROUNDDOWN({0},0)</f>
      </c>
      <c r="AK2831" s="5"/>
      <c r="AL2831" s="2" t="s">
        <v>231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 t="s">
        <v>231</v>
      </c>
      <c r="BD2831" s="8" t="s">
        <v>231</v>
      </c>
      <c r="BE2831" s="4" t="s">
        <v>231</v>
      </c>
      <c r="BF2831" s="8" t="s">
        <v>231</v>
      </c>
      <c r="BG2831" s="7" t="s">
        <v>231</v>
      </c>
      <c r="BH2831" s="7" t="s">
        <v>231</v>
      </c>
      <c r="BI2831" s="7"/>
      <c r="BJ2831" s="4">
        <v>9</v>
      </c>
      <c r="BK2831" s="8">
        <v>1186.44</v>
      </c>
      <c r="BL2831" s="2" t="s">
        <v>12008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12009</v>
      </c>
      <c r="BV2831" s="2" t="s">
        <v>231</v>
      </c>
      <c r="BW2831" s="2" t="s">
        <v>231</v>
      </c>
      <c r="BX2831" s="2" t="s">
        <v>241</v>
      </c>
      <c r="BY2831" s="2" t="s">
        <v>277</v>
      </c>
      <c r="BZ2831" s="2" t="s">
        <v>243</v>
      </c>
      <c r="CA2831" s="2" t="s">
        <v>284</v>
      </c>
      <c r="CB2831" s="2" t="s">
        <v>6843</v>
      </c>
      <c r="CC2831" s="2" t="s">
        <v>244</v>
      </c>
      <c r="CD2831" s="2" t="s">
        <v>231</v>
      </c>
      <c r="CE2831" s="4"/>
      <c r="CF2831" s="4">
        <v>78</v>
      </c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  <c r="DP2831" s="4"/>
      <c r="DQ2831" s="4"/>
      <c r="DR2831" s="4"/>
      <c r="DS2831" s="4"/>
      <c r="DT2831" s="4"/>
      <c r="DU2831" s="4"/>
      <c r="DV2831" s="4"/>
      <c r="DW2831" s="4"/>
      <c r="DX2831" s="4"/>
      <c r="DY2831" s="4"/>
      <c r="DZ2831" s="4"/>
      <c r="EA2831" s="4"/>
      <c r="EB2831" s="4"/>
      <c r="EC2831" s="4"/>
      <c r="ED2831" s="4"/>
      <c r="EE2831" s="4"/>
      <c r="EF2831" s="4"/>
      <c r="EG2831" s="4"/>
      <c r="EH2831" s="4"/>
      <c r="EI2831" s="4"/>
      <c r="EJ2831" s="4"/>
      <c r="EK2831" s="4"/>
      <c r="EL2831" s="4"/>
      <c r="EM2831" s="4"/>
      <c r="EN2831" s="4"/>
      <c r="EO2831" s="4"/>
      <c r="EP2831" s="4"/>
      <c r="EQ2831" s="4"/>
      <c r="ER2831" s="4"/>
      <c r="ES2831" s="4"/>
      <c r="ET2831" s="4"/>
      <c r="EU2831" s="4"/>
      <c r="EV2831" s="4"/>
      <c r="EW2831" s="4"/>
      <c r="EX2831" s="4"/>
      <c r="EY2831" s="4"/>
      <c r="EZ2831" s="4"/>
      <c r="FA2831" s="4">
        <v>100</v>
      </c>
      <c r="FB2831" s="4"/>
      <c r="FC2831" s="4"/>
      <c r="FD2831" s="4"/>
      <c r="FE2831" s="4"/>
      <c r="FF2831" s="4"/>
      <c r="FG2831" s="4"/>
      <c r="FH2831" s="4"/>
      <c r="FI2831" s="4"/>
      <c r="FJ2831" s="4"/>
      <c r="FK2831" s="4"/>
      <c r="FL2831" s="4"/>
      <c r="FM2831" s="4"/>
      <c r="FN2831" s="4"/>
      <c r="FO2831" s="4"/>
      <c r="FP2831" s="4"/>
      <c r="FQ2831" s="4"/>
      <c r="FR2831" s="4"/>
      <c r="FS2831" s="4"/>
      <c r="FT2831" s="4"/>
      <c r="FU2831" s="4"/>
      <c r="FV2831" s="4"/>
      <c r="FW2831" s="4"/>
      <c r="FX2831" s="4"/>
      <c r="FY2831" s="4"/>
      <c r="FZ2831" s="4"/>
      <c r="GA2831" s="4"/>
      <c r="GB2831" s="4"/>
      <c r="GC2831" s="4"/>
      <c r="GD2831" s="4"/>
      <c r="GE2831" s="4"/>
      <c r="GF2831" s="4"/>
      <c r="GG2831" s="4"/>
      <c r="GH2831" s="4"/>
      <c r="GI2831" s="4"/>
      <c r="GJ2831" s="4"/>
      <c r="GK2831" s="4"/>
      <c r="GL2831" s="4"/>
      <c r="GM2831" s="4"/>
      <c r="GN2831" s="4"/>
      <c r="GO2831" s="4"/>
      <c r="GP2831" s="4"/>
      <c r="GQ2831" s="4"/>
      <c r="GR2831" s="4"/>
      <c r="GS2831" s="4"/>
      <c r="GT2831" s="4"/>
      <c r="GU2831" s="4"/>
      <c r="GV2831" s="4"/>
      <c r="GW2831" s="4"/>
      <c r="GX2831" s="4"/>
      <c r="GY2831" s="4"/>
      <c r="GZ2831" s="4"/>
      <c r="HA2831" s="4"/>
      <c r="HB2831" s="4"/>
      <c r="HC2831" s="4"/>
      <c r="HD2831" s="4"/>
      <c r="HE2831" s="4"/>
      <c r="HF2831" s="4"/>
      <c r="HG2831" s="4"/>
      <c r="HH2831" s="4"/>
      <c r="HI2831" s="4"/>
      <c r="HJ2831" s="4"/>
      <c r="HK2831" s="4"/>
      <c r="HL2831" s="4"/>
    </row>
    <row r="2832">
      <c r="A2832" s="2" t="s">
        <v>12010</v>
      </c>
      <c r="B2832" s="2" t="s">
        <v>1186</v>
      </c>
      <c r="C2832" s="2" t="s">
        <v>288</v>
      </c>
      <c r="D2832" s="2" t="s">
        <v>826</v>
      </c>
      <c r="E2832" s="2" t="s">
        <v>1060</v>
      </c>
      <c r="F2832" s="2" t="s">
        <v>12005</v>
      </c>
      <c r="G2832" s="2" t="s">
        <v>12011</v>
      </c>
      <c r="H2832" s="2" t="s">
        <v>12012</v>
      </c>
      <c r="I2832" s="2" t="s">
        <v>5246</v>
      </c>
      <c r="J2832" s="2" t="s">
        <v>658</v>
      </c>
      <c r="K2832" s="2" t="s">
        <v>1496</v>
      </c>
      <c r="L2832" s="3">
        <v>23.8</v>
      </c>
      <c r="M2832" s="3">
        <v>24.99</v>
      </c>
      <c r="N2832" s="3">
        <v>49.99</v>
      </c>
      <c r="O2832" s="2" t="s">
        <v>243</v>
      </c>
      <c r="P2832" s="2" t="s">
        <v>1985</v>
      </c>
      <c r="Q2832" s="2" t="s">
        <v>237</v>
      </c>
      <c r="R2832" s="2" t="s">
        <v>231</v>
      </c>
      <c r="S2832" s="2" t="s">
        <v>12013</v>
      </c>
      <c r="T2832" s="2" t="s">
        <v>231</v>
      </c>
      <c r="U2832" s="2" t="s">
        <v>835</v>
      </c>
      <c r="V2832" s="2" t="s">
        <v>391</v>
      </c>
      <c r="W2832" s="2" t="s">
        <v>896</v>
      </c>
      <c r="X2832" s="2" t="s">
        <v>273</v>
      </c>
      <c r="Y2832" s="2" t="s">
        <v>12014</v>
      </c>
      <c r="Z2832" s="4">
        <v>150</v>
      </c>
      <c r="AA2832" s="4">
        <f>=ROUNDDOWN(50,0)</f>
      </c>
      <c r="AB2832" s="5">
        <v>3</v>
      </c>
      <c r="AC2832" s="2" t="s">
        <v>231</v>
      </c>
      <c r="AD2832" s="4"/>
      <c r="AE2832" s="4"/>
      <c r="AF2832" s="6">
        <v>66</v>
      </c>
      <c r="AG2832" s="6"/>
      <c r="AH2832" s="7">
        <v>1</v>
      </c>
      <c r="AI2832" s="4"/>
      <c r="AJ2832" s="4">
        <f>=ROUNDDOWN({0},0)</f>
      </c>
      <c r="AK2832" s="5"/>
      <c r="AL2832" s="2" t="s">
        <v>231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231</v>
      </c>
      <c r="AW2832" s="8" t="s">
        <v>231</v>
      </c>
      <c r="AX2832" s="4" t="s">
        <v>231</v>
      </c>
      <c r="AY2832" s="8" t="s">
        <v>231</v>
      </c>
      <c r="AZ2832" s="7" t="s">
        <v>231</v>
      </c>
      <c r="BA2832" s="7" t="s">
        <v>231</v>
      </c>
      <c r="BB2832" s="7"/>
      <c r="BC2832" s="4" t="s">
        <v>231</v>
      </c>
      <c r="BD2832" s="8" t="s">
        <v>231</v>
      </c>
      <c r="BE2832" s="4" t="s">
        <v>231</v>
      </c>
      <c r="BF2832" s="8" t="s">
        <v>231</v>
      </c>
      <c r="BG2832" s="7" t="s">
        <v>231</v>
      </c>
      <c r="BH2832" s="7" t="s">
        <v>231</v>
      </c>
      <c r="BI2832" s="7"/>
      <c r="BJ2832" s="4">
        <v>14</v>
      </c>
      <c r="BK2832" s="8">
        <v>373.86</v>
      </c>
      <c r="BL2832" s="2" t="s">
        <v>1474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12015</v>
      </c>
      <c r="BV2832" s="2" t="s">
        <v>231</v>
      </c>
      <c r="BW2832" s="2" t="s">
        <v>231</v>
      </c>
      <c r="BX2832" s="2" t="s">
        <v>231</v>
      </c>
      <c r="BY2832" s="2" t="s">
        <v>277</v>
      </c>
      <c r="BZ2832" s="2" t="s">
        <v>243</v>
      </c>
      <c r="CA2832" s="2" t="s">
        <v>3257</v>
      </c>
      <c r="CB2832" s="2" t="s">
        <v>12016</v>
      </c>
      <c r="CC2832" s="2" t="s">
        <v>244</v>
      </c>
      <c r="CD2832" s="2" t="s">
        <v>231</v>
      </c>
      <c r="CE2832" s="4">
        <v>150</v>
      </c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4"/>
      <c r="CX2832" s="4"/>
      <c r="CY2832" s="4"/>
      <c r="CZ2832" s="4"/>
      <c r="DA2832" s="4"/>
      <c r="DB2832" s="4"/>
      <c r="DC2832" s="4"/>
      <c r="DD2832" s="4"/>
      <c r="DE2832" s="4"/>
      <c r="DF2832" s="4"/>
      <c r="DG2832" s="4"/>
      <c r="DH2832" s="4"/>
      <c r="DI2832" s="4"/>
      <c r="DJ2832" s="4"/>
      <c r="DK2832" s="4"/>
      <c r="DL2832" s="4"/>
      <c r="DM2832" s="4"/>
      <c r="DN2832" s="4"/>
      <c r="DO2832" s="4"/>
      <c r="DP2832" s="4"/>
      <c r="DQ2832" s="4"/>
      <c r="DR2832" s="4"/>
      <c r="DS2832" s="4"/>
      <c r="DT2832" s="4"/>
      <c r="DU2832" s="4"/>
      <c r="DV2832" s="4"/>
      <c r="DW2832" s="4"/>
      <c r="DX2832" s="4"/>
      <c r="DY2832" s="4"/>
      <c r="DZ2832" s="4"/>
      <c r="EA2832" s="4"/>
      <c r="EB2832" s="4"/>
      <c r="EC2832" s="4"/>
      <c r="ED2832" s="4"/>
      <c r="EE2832" s="4"/>
      <c r="EF2832" s="4"/>
      <c r="EG2832" s="4"/>
      <c r="EH2832" s="4"/>
      <c r="EI2832" s="4"/>
      <c r="EJ2832" s="4"/>
      <c r="EK2832" s="4"/>
      <c r="EL2832" s="4"/>
      <c r="EM2832" s="4"/>
      <c r="EN2832" s="4"/>
      <c r="EO2832" s="4"/>
      <c r="EP2832" s="4"/>
      <c r="EQ2832" s="4"/>
      <c r="ER2832" s="4"/>
      <c r="ES2832" s="4"/>
      <c r="ET2832" s="4"/>
      <c r="EU2832" s="4"/>
      <c r="EV2832" s="4"/>
      <c r="EW2832" s="4"/>
      <c r="EX2832" s="4"/>
      <c r="EY2832" s="4"/>
      <c r="EZ2832" s="4"/>
      <c r="FA2832" s="4"/>
      <c r="FB2832" s="4"/>
      <c r="FC2832" s="4"/>
      <c r="FD2832" s="4"/>
      <c r="FE2832" s="4"/>
      <c r="FF2832" s="4"/>
      <c r="FG2832" s="4"/>
      <c r="FH2832" s="4"/>
      <c r="FI2832" s="4"/>
      <c r="FJ2832" s="4"/>
      <c r="FK2832" s="4"/>
      <c r="FL2832" s="4"/>
      <c r="FM2832" s="4"/>
      <c r="FN2832" s="4"/>
      <c r="FO2832" s="4"/>
      <c r="FP2832" s="4"/>
      <c r="FQ2832" s="4"/>
      <c r="FR2832" s="4"/>
      <c r="FS2832" s="4"/>
      <c r="FT2832" s="4"/>
      <c r="FU2832" s="4"/>
      <c r="FV2832" s="4"/>
      <c r="FW2832" s="4"/>
      <c r="FX2832" s="4"/>
      <c r="FY2832" s="4"/>
      <c r="FZ2832" s="4"/>
      <c r="GA2832" s="4"/>
      <c r="GB2832" s="4"/>
      <c r="GC2832" s="4"/>
      <c r="GD2832" s="4"/>
      <c r="GE2832" s="4"/>
      <c r="GF2832" s="4"/>
      <c r="GG2832" s="4"/>
      <c r="GH2832" s="4"/>
      <c r="GI2832" s="4"/>
      <c r="GJ2832" s="4"/>
      <c r="GK2832" s="4"/>
      <c r="GL2832" s="4"/>
      <c r="GM2832" s="4"/>
      <c r="GN2832" s="4"/>
      <c r="GO2832" s="4"/>
      <c r="GP2832" s="4"/>
      <c r="GQ2832" s="4"/>
      <c r="GR2832" s="4"/>
      <c r="GS2832" s="4"/>
      <c r="GT2832" s="4"/>
      <c r="GU2832" s="4"/>
      <c r="GV2832" s="4"/>
      <c r="GW2832" s="4"/>
      <c r="GX2832" s="4"/>
      <c r="GY2832" s="4"/>
      <c r="GZ2832" s="4"/>
      <c r="HA2832" s="4"/>
      <c r="HB2832" s="4"/>
      <c r="HC2832" s="4"/>
      <c r="HD2832" s="4"/>
      <c r="HE2832" s="4"/>
      <c r="HF2832" s="4"/>
      <c r="HG2832" s="4"/>
      <c r="HH2832" s="4"/>
      <c r="HI2832" s="4"/>
      <c r="HJ2832" s="4"/>
      <c r="HK2832" s="4"/>
      <c r="HL2832" s="4"/>
    </row>
    <row r="2833">
      <c r="A2833" s="2" t="s">
        <v>12017</v>
      </c>
      <c r="B2833" s="2" t="s">
        <v>1186</v>
      </c>
      <c r="C2833" s="2" t="s">
        <v>288</v>
      </c>
      <c r="D2833" s="2" t="s">
        <v>826</v>
      </c>
      <c r="E2833" s="2" t="s">
        <v>1060</v>
      </c>
      <c r="F2833" s="2" t="s">
        <v>12005</v>
      </c>
      <c r="G2833" s="2" t="s">
        <v>12011</v>
      </c>
      <c r="H2833" s="2" t="s">
        <v>12012</v>
      </c>
      <c r="I2833" s="2" t="s">
        <v>5246</v>
      </c>
      <c r="J2833" s="2" t="s">
        <v>669</v>
      </c>
      <c r="K2833" s="2" t="s">
        <v>1496</v>
      </c>
      <c r="L2833" s="3">
        <v>28.57</v>
      </c>
      <c r="M2833" s="3">
        <v>30</v>
      </c>
      <c r="N2833" s="3">
        <v>59.99</v>
      </c>
      <c r="O2833" s="2" t="s">
        <v>243</v>
      </c>
      <c r="P2833" s="2" t="s">
        <v>1985</v>
      </c>
      <c r="Q2833" s="2" t="s">
        <v>237</v>
      </c>
      <c r="R2833" s="2" t="s">
        <v>231</v>
      </c>
      <c r="S2833" s="2" t="s">
        <v>12013</v>
      </c>
      <c r="T2833" s="2" t="s">
        <v>231</v>
      </c>
      <c r="U2833" s="2" t="s">
        <v>835</v>
      </c>
      <c r="V2833" s="2" t="s">
        <v>391</v>
      </c>
      <c r="W2833" s="2" t="s">
        <v>896</v>
      </c>
      <c r="X2833" s="2" t="s">
        <v>273</v>
      </c>
      <c r="Y2833" s="2" t="s">
        <v>12014</v>
      </c>
      <c r="Z2833" s="4">
        <v>223</v>
      </c>
      <c r="AA2833" s="4">
        <f>=ROUNDDOWN(55.75,0)</f>
      </c>
      <c r="AB2833" s="5">
        <v>4</v>
      </c>
      <c r="AC2833" s="2" t="s">
        <v>231</v>
      </c>
      <c r="AD2833" s="4"/>
      <c r="AE2833" s="4"/>
      <c r="AF2833" s="6">
        <v>66</v>
      </c>
      <c r="AG2833" s="6"/>
      <c r="AH2833" s="7">
        <v>1</v>
      </c>
      <c r="AI2833" s="4"/>
      <c r="AJ2833" s="4">
        <f>=ROUNDDOWN({0},0)</f>
      </c>
      <c r="AK2833" s="5"/>
      <c r="AL2833" s="2" t="s">
        <v>231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231</v>
      </c>
      <c r="AW2833" s="8" t="s">
        <v>231</v>
      </c>
      <c r="AX2833" s="4" t="s">
        <v>231</v>
      </c>
      <c r="AY2833" s="8" t="s">
        <v>231</v>
      </c>
      <c r="AZ2833" s="7" t="s">
        <v>231</v>
      </c>
      <c r="BA2833" s="7" t="s">
        <v>231</v>
      </c>
      <c r="BB2833" s="7"/>
      <c r="BC2833" s="4" t="s">
        <v>231</v>
      </c>
      <c r="BD2833" s="8" t="s">
        <v>231</v>
      </c>
      <c r="BE2833" s="4" t="s">
        <v>231</v>
      </c>
      <c r="BF2833" s="8" t="s">
        <v>231</v>
      </c>
      <c r="BG2833" s="7" t="s">
        <v>231</v>
      </c>
      <c r="BH2833" s="7" t="s">
        <v>231</v>
      </c>
      <c r="BI2833" s="7"/>
      <c r="BJ2833" s="4">
        <v>18</v>
      </c>
      <c r="BK2833" s="8">
        <v>566.4</v>
      </c>
      <c r="BL2833" s="2" t="s">
        <v>7495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12018</v>
      </c>
      <c r="BV2833" s="2" t="s">
        <v>231</v>
      </c>
      <c r="BW2833" s="2" t="s">
        <v>231</v>
      </c>
      <c r="BX2833" s="2" t="s">
        <v>231</v>
      </c>
      <c r="BY2833" s="2" t="s">
        <v>277</v>
      </c>
      <c r="BZ2833" s="2" t="s">
        <v>243</v>
      </c>
      <c r="CA2833" s="2" t="s">
        <v>3257</v>
      </c>
      <c r="CB2833" s="2" t="s">
        <v>7009</v>
      </c>
      <c r="CC2833" s="2" t="s">
        <v>244</v>
      </c>
      <c r="CD2833" s="2" t="s">
        <v>231</v>
      </c>
      <c r="CE2833" s="4">
        <v>223</v>
      </c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4"/>
      <c r="CX2833" s="4"/>
      <c r="CY2833" s="4"/>
      <c r="CZ2833" s="4"/>
      <c r="DA2833" s="4"/>
      <c r="DB2833" s="4"/>
      <c r="DC2833" s="4"/>
      <c r="DD2833" s="4"/>
      <c r="DE2833" s="4"/>
      <c r="DF2833" s="4"/>
      <c r="DG2833" s="4"/>
      <c r="DH2833" s="4"/>
      <c r="DI2833" s="4"/>
      <c r="DJ2833" s="4"/>
      <c r="DK2833" s="4"/>
      <c r="DL2833" s="4"/>
      <c r="DM2833" s="4"/>
      <c r="DN2833" s="4"/>
      <c r="DO2833" s="4"/>
      <c r="DP2833" s="4"/>
      <c r="DQ2833" s="4"/>
      <c r="DR2833" s="4"/>
      <c r="DS2833" s="4"/>
      <c r="DT2833" s="4"/>
      <c r="DU2833" s="4"/>
      <c r="DV2833" s="4"/>
      <c r="DW2833" s="4"/>
      <c r="DX2833" s="4"/>
      <c r="DY2833" s="4"/>
      <c r="DZ2833" s="4"/>
      <c r="EA2833" s="4"/>
      <c r="EB2833" s="4"/>
      <c r="EC2833" s="4"/>
      <c r="ED2833" s="4"/>
      <c r="EE2833" s="4"/>
      <c r="EF2833" s="4"/>
      <c r="EG2833" s="4"/>
      <c r="EH2833" s="4"/>
      <c r="EI2833" s="4"/>
      <c r="EJ2833" s="4"/>
      <c r="EK2833" s="4"/>
      <c r="EL2833" s="4"/>
      <c r="EM2833" s="4"/>
      <c r="EN2833" s="4"/>
      <c r="EO2833" s="4"/>
      <c r="EP2833" s="4"/>
      <c r="EQ2833" s="4"/>
      <c r="ER2833" s="4"/>
      <c r="ES2833" s="4"/>
      <c r="ET2833" s="4"/>
      <c r="EU2833" s="4"/>
      <c r="EV2833" s="4"/>
      <c r="EW2833" s="4"/>
      <c r="EX2833" s="4"/>
      <c r="EY2833" s="4"/>
      <c r="EZ2833" s="4"/>
      <c r="FA2833" s="4"/>
      <c r="FB2833" s="4"/>
      <c r="FC2833" s="4"/>
      <c r="FD2833" s="4"/>
      <c r="FE2833" s="4"/>
      <c r="FF2833" s="4"/>
      <c r="FG2833" s="4"/>
      <c r="FH2833" s="4"/>
      <c r="FI2833" s="4"/>
      <c r="FJ2833" s="4"/>
      <c r="FK2833" s="4"/>
      <c r="FL2833" s="4"/>
      <c r="FM2833" s="4"/>
      <c r="FN2833" s="4"/>
      <c r="FO2833" s="4"/>
      <c r="FP2833" s="4"/>
      <c r="FQ2833" s="4"/>
      <c r="FR2833" s="4"/>
      <c r="FS2833" s="4"/>
      <c r="FT2833" s="4"/>
      <c r="FU2833" s="4"/>
      <c r="FV2833" s="4"/>
      <c r="FW2833" s="4"/>
      <c r="FX2833" s="4"/>
      <c r="FY2833" s="4"/>
      <c r="FZ2833" s="4"/>
      <c r="GA2833" s="4"/>
      <c r="GB2833" s="4"/>
      <c r="GC2833" s="4"/>
      <c r="GD2833" s="4"/>
      <c r="GE2833" s="4"/>
      <c r="GF2833" s="4"/>
      <c r="GG2833" s="4"/>
      <c r="GH2833" s="4"/>
      <c r="GI2833" s="4"/>
      <c r="GJ2833" s="4"/>
      <c r="GK2833" s="4"/>
      <c r="GL2833" s="4"/>
      <c r="GM2833" s="4"/>
      <c r="GN2833" s="4"/>
      <c r="GO2833" s="4"/>
      <c r="GP2833" s="4"/>
      <c r="GQ2833" s="4"/>
      <c r="GR2833" s="4"/>
      <c r="GS2833" s="4"/>
      <c r="GT2833" s="4"/>
      <c r="GU2833" s="4"/>
      <c r="GV2833" s="4"/>
      <c r="GW2833" s="4"/>
      <c r="GX2833" s="4"/>
      <c r="GY2833" s="4"/>
      <c r="GZ2833" s="4"/>
      <c r="HA2833" s="4"/>
      <c r="HB2833" s="4"/>
      <c r="HC2833" s="4"/>
      <c r="HD2833" s="4"/>
      <c r="HE2833" s="4"/>
      <c r="HF2833" s="4"/>
      <c r="HG2833" s="4"/>
      <c r="HH2833" s="4"/>
      <c r="HI2833" s="4"/>
      <c r="HJ2833" s="4"/>
      <c r="HK2833" s="4"/>
      <c r="HL2833" s="4"/>
    </row>
    <row r="2834">
      <c r="A2834" s="2" t="s">
        <v>12019</v>
      </c>
      <c r="B2834" s="2" t="s">
        <v>992</v>
      </c>
      <c r="C2834" s="2" t="s">
        <v>288</v>
      </c>
      <c r="D2834" s="2" t="s">
        <v>993</v>
      </c>
      <c r="E2834" s="2" t="s">
        <v>994</v>
      </c>
      <c r="F2834" s="2" t="s">
        <v>12005</v>
      </c>
      <c r="G2834" s="2" t="s">
        <v>12011</v>
      </c>
      <c r="H2834" s="2" t="s">
        <v>12012</v>
      </c>
      <c r="I2834" s="2" t="s">
        <v>12020</v>
      </c>
      <c r="J2834" s="2" t="s">
        <v>6473</v>
      </c>
      <c r="K2834" s="2" t="s">
        <v>1496</v>
      </c>
      <c r="L2834" s="3">
        <v>12</v>
      </c>
      <c r="M2834" s="3">
        <v>12.6</v>
      </c>
      <c r="N2834" s="3">
        <v>29.99</v>
      </c>
      <c r="O2834" s="2" t="s">
        <v>243</v>
      </c>
      <c r="P2834" s="2" t="s">
        <v>236</v>
      </c>
      <c r="Q2834" s="2" t="s">
        <v>237</v>
      </c>
      <c r="R2834" s="2" t="s">
        <v>231</v>
      </c>
      <c r="S2834" s="2" t="s">
        <v>12021</v>
      </c>
      <c r="T2834" s="2" t="s">
        <v>1432</v>
      </c>
      <c r="U2834" s="2" t="s">
        <v>327</v>
      </c>
      <c r="V2834" s="2" t="s">
        <v>391</v>
      </c>
      <c r="W2834" s="2" t="s">
        <v>1745</v>
      </c>
      <c r="X2834" s="2" t="s">
        <v>1520</v>
      </c>
      <c r="Y2834" s="2" t="s">
        <v>1193</v>
      </c>
      <c r="Z2834" s="4">
        <v>172</v>
      </c>
      <c r="AA2834" s="4">
        <f>=ROUNDDOWN({0},0)</f>
      </c>
      <c r="AB2834" s="5"/>
      <c r="AC2834" s="2" t="s">
        <v>1128</v>
      </c>
      <c r="AD2834" s="4">
        <v>180</v>
      </c>
      <c r="AE2834" s="4">
        <v>180</v>
      </c>
      <c r="AF2834" s="6">
        <v>66</v>
      </c>
      <c r="AG2834" s="6"/>
      <c r="AH2834" s="7">
        <v>1</v>
      </c>
      <c r="AI2834" s="4"/>
      <c r="AJ2834" s="4">
        <f>=ROUNDDOWN({0},0)</f>
      </c>
      <c r="AK2834" s="5"/>
      <c r="AL2834" s="2" t="s">
        <v>231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231</v>
      </c>
      <c r="AW2834" s="8" t="s">
        <v>231</v>
      </c>
      <c r="AX2834" s="4" t="s">
        <v>231</v>
      </c>
      <c r="AY2834" s="8" t="s">
        <v>231</v>
      </c>
      <c r="AZ2834" s="7" t="s">
        <v>231</v>
      </c>
      <c r="BA2834" s="7" t="s">
        <v>231</v>
      </c>
      <c r="BB2834" s="7"/>
      <c r="BC2834" s="4" t="s">
        <v>231</v>
      </c>
      <c r="BD2834" s="8" t="s">
        <v>231</v>
      </c>
      <c r="BE2834" s="4" t="s">
        <v>231</v>
      </c>
      <c r="BF2834" s="8" t="s">
        <v>231</v>
      </c>
      <c r="BG2834" s="7" t="s">
        <v>231</v>
      </c>
      <c r="BH2834" s="7" t="s">
        <v>231</v>
      </c>
      <c r="BI2834" s="7"/>
      <c r="BJ2834" s="4"/>
      <c r="BK2834" s="8"/>
      <c r="BL2834" s="2" t="s">
        <v>231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12022</v>
      </c>
      <c r="BV2834" s="2" t="s">
        <v>231</v>
      </c>
      <c r="BW2834" s="2" t="s">
        <v>231</v>
      </c>
      <c r="BX2834" s="2" t="s">
        <v>241</v>
      </c>
      <c r="BY2834" s="2" t="s">
        <v>277</v>
      </c>
      <c r="BZ2834" s="2" t="s">
        <v>243</v>
      </c>
      <c r="CA2834" s="2" t="s">
        <v>3693</v>
      </c>
      <c r="CB2834" s="2" t="s">
        <v>231</v>
      </c>
      <c r="CC2834" s="2" t="s">
        <v>244</v>
      </c>
      <c r="CD2834" s="2" t="s">
        <v>231</v>
      </c>
      <c r="CE2834" s="4">
        <v>172</v>
      </c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4"/>
      <c r="CX2834" s="4"/>
      <c r="CY2834" s="4"/>
      <c r="CZ2834" s="4"/>
      <c r="DA2834" s="4"/>
      <c r="DB2834" s="4"/>
      <c r="DC2834" s="4"/>
      <c r="DD2834" s="4"/>
      <c r="DE2834" s="4"/>
      <c r="DF2834" s="4"/>
      <c r="DG2834" s="4"/>
      <c r="DH2834" s="4"/>
      <c r="DI2834" s="4"/>
      <c r="DJ2834" s="4"/>
      <c r="DK2834" s="4"/>
      <c r="DL2834" s="4"/>
      <c r="DM2834" s="4"/>
      <c r="DN2834" s="4"/>
      <c r="DO2834" s="4">
        <v>180</v>
      </c>
      <c r="DP2834" s="4"/>
      <c r="DQ2834" s="4"/>
      <c r="DR2834" s="4"/>
      <c r="DS2834" s="4"/>
      <c r="DT2834" s="4"/>
      <c r="DU2834" s="4"/>
      <c r="DV2834" s="4"/>
      <c r="DW2834" s="4"/>
      <c r="DX2834" s="4"/>
      <c r="DY2834" s="4"/>
      <c r="DZ2834" s="4"/>
      <c r="EA2834" s="4"/>
      <c r="EB2834" s="4"/>
      <c r="EC2834" s="4"/>
      <c r="ED2834" s="4"/>
      <c r="EE2834" s="4"/>
      <c r="EF2834" s="4"/>
      <c r="EG2834" s="4"/>
      <c r="EH2834" s="4"/>
      <c r="EI2834" s="4"/>
      <c r="EJ2834" s="4"/>
      <c r="EK2834" s="4"/>
      <c r="EL2834" s="4"/>
      <c r="EM2834" s="4"/>
      <c r="EN2834" s="4"/>
      <c r="EO2834" s="4"/>
      <c r="EP2834" s="4"/>
      <c r="EQ2834" s="4"/>
      <c r="ER2834" s="4"/>
      <c r="ES2834" s="4"/>
      <c r="ET2834" s="4"/>
      <c r="EU2834" s="4"/>
      <c r="EV2834" s="4"/>
      <c r="EW2834" s="4"/>
      <c r="EX2834" s="4"/>
      <c r="EY2834" s="4"/>
      <c r="EZ2834" s="4"/>
      <c r="FA2834" s="4"/>
      <c r="FB2834" s="4"/>
      <c r="FC2834" s="4"/>
      <c r="FD2834" s="4"/>
      <c r="FE2834" s="4"/>
      <c r="FF2834" s="4"/>
      <c r="FG2834" s="4"/>
      <c r="FH2834" s="4"/>
      <c r="FI2834" s="4"/>
      <c r="FJ2834" s="4"/>
      <c r="FK2834" s="4"/>
      <c r="FL2834" s="4"/>
      <c r="FM2834" s="4"/>
      <c r="FN2834" s="4"/>
      <c r="FO2834" s="4"/>
      <c r="FP2834" s="4"/>
      <c r="FQ2834" s="4"/>
      <c r="FR2834" s="4"/>
      <c r="FS2834" s="4"/>
      <c r="FT2834" s="4"/>
      <c r="FU2834" s="4"/>
      <c r="FV2834" s="4"/>
      <c r="FW2834" s="4"/>
      <c r="FX2834" s="4"/>
      <c r="FY2834" s="4"/>
      <c r="FZ2834" s="4"/>
      <c r="GA2834" s="4"/>
      <c r="GB2834" s="4"/>
      <c r="GC2834" s="4"/>
      <c r="GD2834" s="4"/>
      <c r="GE2834" s="4"/>
      <c r="GF2834" s="4"/>
      <c r="GG2834" s="4"/>
      <c r="GH2834" s="4"/>
      <c r="GI2834" s="4"/>
      <c r="GJ2834" s="4"/>
      <c r="GK2834" s="4"/>
      <c r="GL2834" s="4"/>
      <c r="GM2834" s="4"/>
      <c r="GN2834" s="4"/>
      <c r="GO2834" s="4"/>
      <c r="GP2834" s="4"/>
      <c r="GQ2834" s="4"/>
      <c r="GR2834" s="4"/>
      <c r="GS2834" s="4"/>
      <c r="GT2834" s="4"/>
      <c r="GU2834" s="4"/>
      <c r="GV2834" s="4"/>
      <c r="GW2834" s="4"/>
      <c r="GX2834" s="4"/>
      <c r="GY2834" s="4"/>
      <c r="GZ2834" s="4"/>
      <c r="HA2834" s="4"/>
      <c r="HB2834" s="4"/>
      <c r="HC2834" s="4"/>
      <c r="HD2834" s="4"/>
      <c r="HE2834" s="4"/>
      <c r="HF2834" s="4"/>
      <c r="HG2834" s="4"/>
      <c r="HH2834" s="4"/>
      <c r="HI2834" s="4"/>
      <c r="HJ2834" s="4"/>
      <c r="HK2834" s="4"/>
      <c r="HL2834" s="4"/>
    </row>
    <row r="2835">
      <c r="A2835" s="2" t="s">
        <v>12023</v>
      </c>
      <c r="B2835" s="2" t="s">
        <v>847</v>
      </c>
      <c r="C2835" s="2" t="s">
        <v>288</v>
      </c>
      <c r="D2835" s="2" t="s">
        <v>882</v>
      </c>
      <c r="E2835" s="2" t="s">
        <v>2191</v>
      </c>
      <c r="F2835" s="2" t="s">
        <v>12024</v>
      </c>
      <c r="G2835" s="2" t="s">
        <v>231</v>
      </c>
      <c r="H2835" s="2" t="s">
        <v>231</v>
      </c>
      <c r="I2835" s="2" t="s">
        <v>6038</v>
      </c>
      <c r="J2835" s="2" t="s">
        <v>807</v>
      </c>
      <c r="K2835" s="2" t="s">
        <v>269</v>
      </c>
      <c r="L2835" s="3">
        <v>58.7</v>
      </c>
      <c r="M2835" s="3">
        <v>61.64</v>
      </c>
      <c r="N2835" s="3">
        <v>118.99</v>
      </c>
      <c r="O2835" s="2" t="s">
        <v>243</v>
      </c>
      <c r="P2835" s="2" t="s">
        <v>341</v>
      </c>
      <c r="Q2835" s="2" t="s">
        <v>237</v>
      </c>
      <c r="R2835" s="2" t="s">
        <v>231</v>
      </c>
      <c r="S2835" s="2" t="s">
        <v>12025</v>
      </c>
      <c r="T2835" s="2" t="s">
        <v>231</v>
      </c>
      <c r="U2835" s="2" t="s">
        <v>835</v>
      </c>
      <c r="V2835" s="2" t="s">
        <v>363</v>
      </c>
      <c r="W2835" s="2" t="s">
        <v>363</v>
      </c>
      <c r="X2835" s="2" t="s">
        <v>231</v>
      </c>
      <c r="Y2835" s="2" t="s">
        <v>1336</v>
      </c>
      <c r="Z2835" s="4">
        <v>12</v>
      </c>
      <c r="AA2835" s="4">
        <f>=ROUNDDOWN(10.9090909090909,0)</f>
      </c>
      <c r="AB2835" s="5">
        <v>1.1</v>
      </c>
      <c r="AC2835" s="2" t="s">
        <v>231</v>
      </c>
      <c r="AD2835" s="4"/>
      <c r="AE2835" s="4"/>
      <c r="AF2835" s="6">
        <v>63</v>
      </c>
      <c r="AG2835" s="6"/>
      <c r="AH2835" s="7">
        <v>1</v>
      </c>
      <c r="AI2835" s="4"/>
      <c r="AJ2835" s="4">
        <f>=ROUNDDOWN({0},0)</f>
      </c>
      <c r="AK2835" s="5"/>
      <c r="AL2835" s="2" t="s">
        <v>231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/>
      <c r="BD2835" s="8"/>
      <c r="BE2835" s="4"/>
      <c r="BF2835" s="8"/>
      <c r="BG2835" s="7"/>
      <c r="BH2835" s="7"/>
      <c r="BI2835" s="7"/>
      <c r="BJ2835" s="4">
        <v>7</v>
      </c>
      <c r="BK2835" s="8">
        <v>428.95</v>
      </c>
      <c r="BL2835" s="2" t="s">
        <v>12026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12027</v>
      </c>
      <c r="BV2835" s="2" t="s">
        <v>231</v>
      </c>
      <c r="BW2835" s="2" t="s">
        <v>231</v>
      </c>
      <c r="BX2835" s="2" t="s">
        <v>231</v>
      </c>
      <c r="BY2835" s="2" t="s">
        <v>277</v>
      </c>
      <c r="BZ2835" s="2" t="s">
        <v>243</v>
      </c>
      <c r="CA2835" s="2" t="s">
        <v>1361</v>
      </c>
      <c r="CB2835" s="2" t="s">
        <v>336</v>
      </c>
      <c r="CC2835" s="2" t="s">
        <v>244</v>
      </c>
      <c r="CD2835" s="2" t="s">
        <v>231</v>
      </c>
      <c r="CE2835" s="4"/>
      <c r="CF2835" s="4">
        <v>12</v>
      </c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  <c r="DP2835" s="4"/>
      <c r="DQ2835" s="4"/>
      <c r="DR2835" s="4"/>
      <c r="DS2835" s="4"/>
      <c r="DT2835" s="4"/>
      <c r="DU2835" s="4"/>
      <c r="DV2835" s="4"/>
      <c r="DW2835" s="4"/>
      <c r="DX2835" s="4"/>
      <c r="DY2835" s="4"/>
      <c r="DZ2835" s="4"/>
      <c r="EA2835" s="4"/>
      <c r="EB2835" s="4"/>
      <c r="EC2835" s="4"/>
      <c r="ED2835" s="4"/>
      <c r="EE2835" s="4"/>
      <c r="EF2835" s="4"/>
      <c r="EG2835" s="4"/>
      <c r="EH2835" s="4"/>
      <c r="EI2835" s="4"/>
      <c r="EJ2835" s="4"/>
      <c r="EK2835" s="4"/>
      <c r="EL2835" s="4"/>
      <c r="EM2835" s="4"/>
      <c r="EN2835" s="4"/>
      <c r="EO2835" s="4"/>
      <c r="EP2835" s="4"/>
      <c r="EQ2835" s="4"/>
      <c r="ER2835" s="4"/>
      <c r="ES2835" s="4"/>
      <c r="ET2835" s="4"/>
      <c r="EU2835" s="4"/>
      <c r="EV2835" s="4"/>
      <c r="EW2835" s="4"/>
      <c r="EX2835" s="4"/>
      <c r="EY2835" s="4"/>
      <c r="EZ2835" s="4"/>
      <c r="FA2835" s="4"/>
      <c r="FB2835" s="4"/>
      <c r="FC2835" s="4"/>
      <c r="FD2835" s="4"/>
      <c r="FE2835" s="4"/>
      <c r="FF2835" s="4"/>
      <c r="FG2835" s="4"/>
      <c r="FH2835" s="4"/>
      <c r="FI2835" s="4"/>
      <c r="FJ2835" s="4"/>
      <c r="FK2835" s="4"/>
      <c r="FL2835" s="4"/>
      <c r="FM2835" s="4"/>
      <c r="FN2835" s="4"/>
      <c r="FO2835" s="4"/>
      <c r="FP2835" s="4"/>
      <c r="FQ2835" s="4"/>
      <c r="FR2835" s="4"/>
      <c r="FS2835" s="4"/>
      <c r="FT2835" s="4"/>
      <c r="FU2835" s="4"/>
      <c r="FV2835" s="4"/>
      <c r="FW2835" s="4"/>
      <c r="FX2835" s="4"/>
      <c r="FY2835" s="4"/>
      <c r="FZ2835" s="4"/>
      <c r="GA2835" s="4"/>
      <c r="GB2835" s="4"/>
      <c r="GC2835" s="4"/>
      <c r="GD2835" s="4"/>
      <c r="GE2835" s="4"/>
      <c r="GF2835" s="4"/>
      <c r="GG2835" s="4"/>
      <c r="GH2835" s="4"/>
      <c r="GI2835" s="4"/>
      <c r="GJ2835" s="4"/>
      <c r="GK2835" s="4"/>
      <c r="GL2835" s="4"/>
      <c r="GM2835" s="4"/>
      <c r="GN2835" s="4"/>
      <c r="GO2835" s="4"/>
      <c r="GP2835" s="4"/>
      <c r="GQ2835" s="4"/>
      <c r="GR2835" s="4"/>
      <c r="GS2835" s="4"/>
      <c r="GT2835" s="4"/>
      <c r="GU2835" s="4"/>
      <c r="GV2835" s="4"/>
      <c r="GW2835" s="4"/>
      <c r="GX2835" s="4"/>
      <c r="GY2835" s="4"/>
      <c r="GZ2835" s="4"/>
      <c r="HA2835" s="4"/>
      <c r="HB2835" s="4"/>
      <c r="HC2835" s="4"/>
      <c r="HD2835" s="4"/>
      <c r="HE2835" s="4"/>
      <c r="HF2835" s="4"/>
      <c r="HG2835" s="4"/>
      <c r="HH2835" s="4"/>
      <c r="HI2835" s="4"/>
      <c r="HJ2835" s="4"/>
      <c r="HK2835" s="4"/>
      <c r="HL2835" s="4"/>
    </row>
    <row r="2836">
      <c r="A2836" s="2" t="s">
        <v>12028</v>
      </c>
      <c r="B2836" s="2" t="s">
        <v>287</v>
      </c>
      <c r="C2836" s="2" t="s">
        <v>631</v>
      </c>
      <c r="D2836" s="2" t="s">
        <v>289</v>
      </c>
      <c r="E2836" s="2" t="s">
        <v>290</v>
      </c>
      <c r="F2836" s="2" t="s">
        <v>12029</v>
      </c>
      <c r="G2836" s="2" t="s">
        <v>12029</v>
      </c>
      <c r="H2836" s="2" t="s">
        <v>12029</v>
      </c>
      <c r="I2836" s="2" t="s">
        <v>359</v>
      </c>
      <c r="J2836" s="2" t="s">
        <v>318</v>
      </c>
      <c r="K2836" s="2" t="s">
        <v>269</v>
      </c>
      <c r="L2836" s="3">
        <v>22.15</v>
      </c>
      <c r="M2836" s="3">
        <v>23.26</v>
      </c>
      <c r="N2836" s="3">
        <v>49.99</v>
      </c>
      <c r="O2836" s="2" t="s">
        <v>243</v>
      </c>
      <c r="P2836" s="2" t="s">
        <v>341</v>
      </c>
      <c r="Q2836" s="2" t="s">
        <v>237</v>
      </c>
      <c r="R2836" s="2" t="s">
        <v>231</v>
      </c>
      <c r="S2836" s="2" t="s">
        <v>12030</v>
      </c>
      <c r="T2836" s="2" t="s">
        <v>12031</v>
      </c>
      <c r="U2836" s="2" t="s">
        <v>835</v>
      </c>
      <c r="V2836" s="2" t="s">
        <v>239</v>
      </c>
      <c r="W2836" s="2" t="s">
        <v>273</v>
      </c>
      <c r="X2836" s="2" t="s">
        <v>231</v>
      </c>
      <c r="Y2836" s="2" t="s">
        <v>7375</v>
      </c>
      <c r="Z2836" s="4">
        <v>36</v>
      </c>
      <c r="AA2836" s="4">
        <f>=ROUNDDOWN(36,0)</f>
      </c>
      <c r="AB2836" s="5">
        <v>1</v>
      </c>
      <c r="AC2836" s="2" t="s">
        <v>231</v>
      </c>
      <c r="AD2836" s="4"/>
      <c r="AE2836" s="4"/>
      <c r="AF2836" s="6">
        <v>67</v>
      </c>
      <c r="AG2836" s="6"/>
      <c r="AH2836" s="7">
        <v>1</v>
      </c>
      <c r="AI2836" s="4"/>
      <c r="AJ2836" s="4">
        <f>=ROUNDDOWN({0},0)</f>
      </c>
      <c r="AK2836" s="5"/>
      <c r="AL2836" s="2" t="s">
        <v>231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 t="s">
        <v>231</v>
      </c>
      <c r="BD2836" s="8" t="s">
        <v>231</v>
      </c>
      <c r="BE2836" s="4" t="s">
        <v>231</v>
      </c>
      <c r="BF2836" s="8" t="s">
        <v>231</v>
      </c>
      <c r="BG2836" s="7" t="s">
        <v>231</v>
      </c>
      <c r="BH2836" s="7" t="s">
        <v>231</v>
      </c>
      <c r="BI2836" s="7"/>
      <c r="BJ2836" s="4">
        <v>5</v>
      </c>
      <c r="BK2836" s="8">
        <v>108.03</v>
      </c>
      <c r="BL2836" s="2" t="s">
        <v>643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12032</v>
      </c>
      <c r="BV2836" s="2" t="s">
        <v>231</v>
      </c>
      <c r="BW2836" s="2" t="s">
        <v>231</v>
      </c>
      <c r="BX2836" s="2" t="s">
        <v>231</v>
      </c>
      <c r="BY2836" s="2" t="s">
        <v>277</v>
      </c>
      <c r="BZ2836" s="2" t="s">
        <v>243</v>
      </c>
      <c r="CA2836" s="2" t="s">
        <v>12033</v>
      </c>
      <c r="CB2836" s="2" t="s">
        <v>12034</v>
      </c>
      <c r="CC2836" s="2" t="s">
        <v>244</v>
      </c>
      <c r="CD2836" s="2" t="s">
        <v>231</v>
      </c>
      <c r="CE2836" s="4">
        <v>36</v>
      </c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4"/>
      <c r="CX2836" s="4"/>
      <c r="CY2836" s="4"/>
      <c r="CZ2836" s="4"/>
      <c r="DA2836" s="4"/>
      <c r="DB2836" s="4"/>
      <c r="DC2836" s="4"/>
      <c r="DD2836" s="4"/>
      <c r="DE2836" s="4"/>
      <c r="DF2836" s="4"/>
      <c r="DG2836" s="4"/>
      <c r="DH2836" s="4"/>
      <c r="DI2836" s="4"/>
      <c r="DJ2836" s="4"/>
      <c r="DK2836" s="4"/>
      <c r="DL2836" s="4"/>
      <c r="DM2836" s="4"/>
      <c r="DN2836" s="4"/>
      <c r="DO2836" s="4"/>
      <c r="DP2836" s="4"/>
      <c r="DQ2836" s="4"/>
      <c r="DR2836" s="4"/>
      <c r="DS2836" s="4"/>
      <c r="DT2836" s="4"/>
      <c r="DU2836" s="4"/>
      <c r="DV2836" s="4"/>
      <c r="DW2836" s="4"/>
      <c r="DX2836" s="4"/>
      <c r="DY2836" s="4"/>
      <c r="DZ2836" s="4"/>
      <c r="EA2836" s="4"/>
      <c r="EB2836" s="4"/>
      <c r="EC2836" s="4"/>
      <c r="ED2836" s="4"/>
      <c r="EE2836" s="4"/>
      <c r="EF2836" s="4"/>
      <c r="EG2836" s="4"/>
      <c r="EH2836" s="4"/>
      <c r="EI2836" s="4"/>
      <c r="EJ2836" s="4"/>
      <c r="EK2836" s="4"/>
      <c r="EL2836" s="4"/>
      <c r="EM2836" s="4"/>
      <c r="EN2836" s="4"/>
      <c r="EO2836" s="4"/>
      <c r="EP2836" s="4"/>
      <c r="EQ2836" s="4"/>
      <c r="ER2836" s="4"/>
      <c r="ES2836" s="4"/>
      <c r="ET2836" s="4"/>
      <c r="EU2836" s="4"/>
      <c r="EV2836" s="4"/>
      <c r="EW2836" s="4"/>
      <c r="EX2836" s="4"/>
      <c r="EY2836" s="4"/>
      <c r="EZ2836" s="4"/>
      <c r="FA2836" s="4"/>
      <c r="FB2836" s="4"/>
      <c r="FC2836" s="4"/>
      <c r="FD2836" s="4"/>
      <c r="FE2836" s="4"/>
      <c r="FF2836" s="4"/>
      <c r="FG2836" s="4"/>
      <c r="FH2836" s="4"/>
      <c r="FI2836" s="4"/>
      <c r="FJ2836" s="4"/>
      <c r="FK2836" s="4"/>
      <c r="FL2836" s="4"/>
      <c r="FM2836" s="4"/>
      <c r="FN2836" s="4"/>
      <c r="FO2836" s="4"/>
      <c r="FP2836" s="4"/>
      <c r="FQ2836" s="4"/>
      <c r="FR2836" s="4"/>
      <c r="FS2836" s="4"/>
      <c r="FT2836" s="4"/>
      <c r="FU2836" s="4"/>
      <c r="FV2836" s="4"/>
      <c r="FW2836" s="4"/>
      <c r="FX2836" s="4"/>
      <c r="FY2836" s="4"/>
      <c r="FZ2836" s="4"/>
      <c r="GA2836" s="4"/>
      <c r="GB2836" s="4"/>
      <c r="GC2836" s="4"/>
      <c r="GD2836" s="4"/>
      <c r="GE2836" s="4"/>
      <c r="GF2836" s="4"/>
      <c r="GG2836" s="4"/>
      <c r="GH2836" s="4"/>
      <c r="GI2836" s="4"/>
      <c r="GJ2836" s="4"/>
      <c r="GK2836" s="4"/>
      <c r="GL2836" s="4"/>
      <c r="GM2836" s="4"/>
      <c r="GN2836" s="4"/>
      <c r="GO2836" s="4"/>
      <c r="GP2836" s="4"/>
      <c r="GQ2836" s="4"/>
      <c r="GR2836" s="4"/>
      <c r="GS2836" s="4"/>
      <c r="GT2836" s="4"/>
      <c r="GU2836" s="4"/>
      <c r="GV2836" s="4"/>
      <c r="GW2836" s="4"/>
      <c r="GX2836" s="4"/>
      <c r="GY2836" s="4"/>
      <c r="GZ2836" s="4"/>
      <c r="HA2836" s="4"/>
      <c r="HB2836" s="4"/>
      <c r="HC2836" s="4"/>
      <c r="HD2836" s="4"/>
      <c r="HE2836" s="4"/>
      <c r="HF2836" s="4"/>
      <c r="HG2836" s="4"/>
      <c r="HH2836" s="4"/>
      <c r="HI2836" s="4"/>
      <c r="HJ2836" s="4"/>
      <c r="HK2836" s="4"/>
      <c r="HL2836" s="4"/>
    </row>
    <row r="2837">
      <c r="A2837" s="2" t="s">
        <v>12035</v>
      </c>
      <c r="B2837" s="2" t="s">
        <v>287</v>
      </c>
      <c r="C2837" s="2" t="s">
        <v>631</v>
      </c>
      <c r="D2837" s="2" t="s">
        <v>289</v>
      </c>
      <c r="E2837" s="2" t="s">
        <v>290</v>
      </c>
      <c r="F2837" s="2" t="s">
        <v>12029</v>
      </c>
      <c r="G2837" s="2" t="s">
        <v>12029</v>
      </c>
      <c r="H2837" s="2" t="s">
        <v>12029</v>
      </c>
      <c r="I2837" s="2" t="s">
        <v>359</v>
      </c>
      <c r="J2837" s="2" t="s">
        <v>318</v>
      </c>
      <c r="K2837" s="2" t="s">
        <v>253</v>
      </c>
      <c r="L2837" s="3">
        <v>22.15</v>
      </c>
      <c r="M2837" s="3">
        <v>23.26</v>
      </c>
      <c r="N2837" s="3">
        <v>49.99</v>
      </c>
      <c r="O2837" s="2" t="s">
        <v>243</v>
      </c>
      <c r="P2837" s="2" t="s">
        <v>341</v>
      </c>
      <c r="Q2837" s="2" t="s">
        <v>237</v>
      </c>
      <c r="R2837" s="2" t="s">
        <v>231</v>
      </c>
      <c r="S2837" s="2" t="s">
        <v>12036</v>
      </c>
      <c r="T2837" s="2" t="s">
        <v>12031</v>
      </c>
      <c r="U2837" s="2" t="s">
        <v>835</v>
      </c>
      <c r="V2837" s="2" t="s">
        <v>239</v>
      </c>
      <c r="W2837" s="2" t="s">
        <v>273</v>
      </c>
      <c r="X2837" s="2" t="s">
        <v>231</v>
      </c>
      <c r="Y2837" s="2" t="s">
        <v>7375</v>
      </c>
      <c r="Z2837" s="4">
        <v>39</v>
      </c>
      <c r="AA2837" s="4">
        <f>=ROUNDDOWN(39,0)</f>
      </c>
      <c r="AB2837" s="5">
        <v>1</v>
      </c>
      <c r="AC2837" s="2" t="s">
        <v>231</v>
      </c>
      <c r="AD2837" s="4"/>
      <c r="AE2837" s="4"/>
      <c r="AF2837" s="6">
        <v>67</v>
      </c>
      <c r="AG2837" s="6"/>
      <c r="AH2837" s="7">
        <v>1</v>
      </c>
      <c r="AI2837" s="4"/>
      <c r="AJ2837" s="4">
        <f>=ROUNDDOWN({0},0)</f>
      </c>
      <c r="AK2837" s="5"/>
      <c r="AL2837" s="2" t="s">
        <v>231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 t="s">
        <v>231</v>
      </c>
      <c r="BD2837" s="8" t="s">
        <v>231</v>
      </c>
      <c r="BE2837" s="4" t="s">
        <v>231</v>
      </c>
      <c r="BF2837" s="8" t="s">
        <v>231</v>
      </c>
      <c r="BG2837" s="7" t="s">
        <v>231</v>
      </c>
      <c r="BH2837" s="7" t="s">
        <v>231</v>
      </c>
      <c r="BI2837" s="7"/>
      <c r="BJ2837" s="4">
        <v>1</v>
      </c>
      <c r="BK2837" s="8">
        <v>17.83</v>
      </c>
      <c r="BL2837" s="2" t="s">
        <v>1020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12037</v>
      </c>
      <c r="BV2837" s="2" t="s">
        <v>231</v>
      </c>
      <c r="BW2837" s="2" t="s">
        <v>231</v>
      </c>
      <c r="BX2837" s="2" t="s">
        <v>231</v>
      </c>
      <c r="BY2837" s="2" t="s">
        <v>277</v>
      </c>
      <c r="BZ2837" s="2" t="s">
        <v>243</v>
      </c>
      <c r="CA2837" s="2" t="s">
        <v>12033</v>
      </c>
      <c r="CB2837" s="2" t="s">
        <v>4540</v>
      </c>
      <c r="CC2837" s="2" t="s">
        <v>244</v>
      </c>
      <c r="CD2837" s="2" t="s">
        <v>231</v>
      </c>
      <c r="CE2837" s="4">
        <v>39</v>
      </c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4"/>
      <c r="CX2837" s="4"/>
      <c r="CY2837" s="4"/>
      <c r="CZ2837" s="4"/>
      <c r="DA2837" s="4"/>
      <c r="DB2837" s="4"/>
      <c r="DC2837" s="4"/>
      <c r="DD2837" s="4"/>
      <c r="DE2837" s="4"/>
      <c r="DF2837" s="4"/>
      <c r="DG2837" s="4"/>
      <c r="DH2837" s="4"/>
      <c r="DI2837" s="4"/>
      <c r="DJ2837" s="4"/>
      <c r="DK2837" s="4"/>
      <c r="DL2837" s="4"/>
      <c r="DM2837" s="4"/>
      <c r="DN2837" s="4"/>
      <c r="DO2837" s="4"/>
      <c r="DP2837" s="4"/>
      <c r="DQ2837" s="4"/>
      <c r="DR2837" s="4"/>
      <c r="DS2837" s="4"/>
      <c r="DT2837" s="4"/>
      <c r="DU2837" s="4"/>
      <c r="DV2837" s="4"/>
      <c r="DW2837" s="4"/>
      <c r="DX2837" s="4"/>
      <c r="DY2837" s="4"/>
      <c r="DZ2837" s="4"/>
      <c r="EA2837" s="4"/>
      <c r="EB2837" s="4"/>
      <c r="EC2837" s="4"/>
      <c r="ED2837" s="4"/>
      <c r="EE2837" s="4"/>
      <c r="EF2837" s="4"/>
      <c r="EG2837" s="4"/>
      <c r="EH2837" s="4"/>
      <c r="EI2837" s="4"/>
      <c r="EJ2837" s="4"/>
      <c r="EK2837" s="4"/>
      <c r="EL2837" s="4"/>
      <c r="EM2837" s="4"/>
      <c r="EN2837" s="4"/>
      <c r="EO2837" s="4"/>
      <c r="EP2837" s="4"/>
      <c r="EQ2837" s="4"/>
      <c r="ER2837" s="4"/>
      <c r="ES2837" s="4"/>
      <c r="ET2837" s="4"/>
      <c r="EU2837" s="4"/>
      <c r="EV2837" s="4"/>
      <c r="EW2837" s="4"/>
      <c r="EX2837" s="4"/>
      <c r="EY2837" s="4"/>
      <c r="EZ2837" s="4"/>
      <c r="FA2837" s="4"/>
      <c r="FB2837" s="4"/>
      <c r="FC2837" s="4"/>
      <c r="FD2837" s="4"/>
      <c r="FE2837" s="4"/>
      <c r="FF2837" s="4"/>
      <c r="FG2837" s="4"/>
      <c r="FH2837" s="4"/>
      <c r="FI2837" s="4"/>
      <c r="FJ2837" s="4"/>
      <c r="FK2837" s="4"/>
      <c r="FL2837" s="4"/>
      <c r="FM2837" s="4"/>
      <c r="FN2837" s="4"/>
      <c r="FO2837" s="4"/>
      <c r="FP2837" s="4"/>
      <c r="FQ2837" s="4"/>
      <c r="FR2837" s="4"/>
      <c r="FS2837" s="4"/>
      <c r="FT2837" s="4"/>
      <c r="FU2837" s="4"/>
      <c r="FV2837" s="4"/>
      <c r="FW2837" s="4"/>
      <c r="FX2837" s="4"/>
      <c r="FY2837" s="4"/>
      <c r="FZ2837" s="4"/>
      <c r="GA2837" s="4"/>
      <c r="GB2837" s="4"/>
      <c r="GC2837" s="4"/>
      <c r="GD2837" s="4"/>
      <c r="GE2837" s="4"/>
      <c r="GF2837" s="4"/>
      <c r="GG2837" s="4"/>
      <c r="GH2837" s="4"/>
      <c r="GI2837" s="4"/>
      <c r="GJ2837" s="4"/>
      <c r="GK2837" s="4"/>
      <c r="GL2837" s="4"/>
      <c r="GM2837" s="4"/>
      <c r="GN2837" s="4"/>
      <c r="GO2837" s="4"/>
      <c r="GP2837" s="4"/>
      <c r="GQ2837" s="4"/>
      <c r="GR2837" s="4"/>
      <c r="GS2837" s="4"/>
      <c r="GT2837" s="4"/>
      <c r="GU2837" s="4"/>
      <c r="GV2837" s="4"/>
      <c r="GW2837" s="4"/>
      <c r="GX2837" s="4"/>
      <c r="GY2837" s="4"/>
      <c r="GZ2837" s="4"/>
      <c r="HA2837" s="4"/>
      <c r="HB2837" s="4"/>
      <c r="HC2837" s="4"/>
      <c r="HD2837" s="4"/>
      <c r="HE2837" s="4"/>
      <c r="HF2837" s="4"/>
      <c r="HG2837" s="4"/>
      <c r="HH2837" s="4"/>
      <c r="HI2837" s="4"/>
      <c r="HJ2837" s="4"/>
      <c r="HK2837" s="4"/>
      <c r="HL2837" s="4"/>
    </row>
    <row r="2838">
      <c r="A2838" s="2" t="s">
        <v>12038</v>
      </c>
      <c r="B2838" s="2" t="s">
        <v>287</v>
      </c>
      <c r="C2838" s="2" t="s">
        <v>631</v>
      </c>
      <c r="D2838" s="2" t="s">
        <v>289</v>
      </c>
      <c r="E2838" s="2" t="s">
        <v>290</v>
      </c>
      <c r="F2838" s="2" t="s">
        <v>12029</v>
      </c>
      <c r="G2838" s="2" t="s">
        <v>12029</v>
      </c>
      <c r="H2838" s="2" t="s">
        <v>12029</v>
      </c>
      <c r="I2838" s="2" t="s">
        <v>359</v>
      </c>
      <c r="J2838" s="2" t="s">
        <v>318</v>
      </c>
      <c r="K2838" s="2" t="s">
        <v>1800</v>
      </c>
      <c r="L2838" s="3">
        <v>22.15</v>
      </c>
      <c r="M2838" s="3">
        <v>23.26</v>
      </c>
      <c r="N2838" s="3">
        <v>49.99</v>
      </c>
      <c r="O2838" s="2" t="s">
        <v>243</v>
      </c>
      <c r="P2838" s="2" t="s">
        <v>341</v>
      </c>
      <c r="Q2838" s="2" t="s">
        <v>237</v>
      </c>
      <c r="R2838" s="2" t="s">
        <v>231</v>
      </c>
      <c r="S2838" s="2" t="s">
        <v>12039</v>
      </c>
      <c r="T2838" s="2" t="s">
        <v>12031</v>
      </c>
      <c r="U2838" s="2" t="s">
        <v>835</v>
      </c>
      <c r="V2838" s="2" t="s">
        <v>239</v>
      </c>
      <c r="W2838" s="2" t="s">
        <v>273</v>
      </c>
      <c r="X2838" s="2" t="s">
        <v>231</v>
      </c>
      <c r="Y2838" s="2" t="s">
        <v>7375</v>
      </c>
      <c r="Z2838" s="4">
        <v>37</v>
      </c>
      <c r="AA2838" s="4">
        <f>=ROUNDDOWN(37,0)</f>
      </c>
      <c r="AB2838" s="5">
        <v>1</v>
      </c>
      <c r="AC2838" s="2" t="s">
        <v>231</v>
      </c>
      <c r="AD2838" s="4"/>
      <c r="AE2838" s="4"/>
      <c r="AF2838" s="6">
        <v>67</v>
      </c>
      <c r="AG2838" s="6"/>
      <c r="AH2838" s="7">
        <v>1</v>
      </c>
      <c r="AI2838" s="4"/>
      <c r="AJ2838" s="4">
        <f>=ROUNDDOWN({0},0)</f>
      </c>
      <c r="AK2838" s="5"/>
      <c r="AL2838" s="2" t="s">
        <v>231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 t="s">
        <v>231</v>
      </c>
      <c r="BD2838" s="8" t="s">
        <v>231</v>
      </c>
      <c r="BE2838" s="4" t="s">
        <v>231</v>
      </c>
      <c r="BF2838" s="8" t="s">
        <v>231</v>
      </c>
      <c r="BG2838" s="7" t="s">
        <v>231</v>
      </c>
      <c r="BH2838" s="7" t="s">
        <v>231</v>
      </c>
      <c r="BI2838" s="7"/>
      <c r="BJ2838" s="4">
        <v>2</v>
      </c>
      <c r="BK2838" s="8">
        <v>41.4</v>
      </c>
      <c r="BL2838" s="2" t="s">
        <v>1240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12040</v>
      </c>
      <c r="BV2838" s="2" t="s">
        <v>231</v>
      </c>
      <c r="BW2838" s="2" t="s">
        <v>231</v>
      </c>
      <c r="BX2838" s="2" t="s">
        <v>231</v>
      </c>
      <c r="BY2838" s="2" t="s">
        <v>277</v>
      </c>
      <c r="BZ2838" s="2" t="s">
        <v>243</v>
      </c>
      <c r="CA2838" s="2" t="s">
        <v>12033</v>
      </c>
      <c r="CB2838" s="2" t="s">
        <v>9412</v>
      </c>
      <c r="CC2838" s="2" t="s">
        <v>244</v>
      </c>
      <c r="CD2838" s="2" t="s">
        <v>231</v>
      </c>
      <c r="CE2838" s="4">
        <v>37</v>
      </c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4"/>
      <c r="CX2838" s="4"/>
      <c r="CY2838" s="4"/>
      <c r="CZ2838" s="4"/>
      <c r="DA2838" s="4"/>
      <c r="DB2838" s="4"/>
      <c r="DC2838" s="4"/>
      <c r="DD2838" s="4"/>
      <c r="DE2838" s="4"/>
      <c r="DF2838" s="4"/>
      <c r="DG2838" s="4"/>
      <c r="DH2838" s="4"/>
      <c r="DI2838" s="4"/>
      <c r="DJ2838" s="4"/>
      <c r="DK2838" s="4"/>
      <c r="DL2838" s="4"/>
      <c r="DM2838" s="4"/>
      <c r="DN2838" s="4"/>
      <c r="DO2838" s="4"/>
      <c r="DP2838" s="4"/>
      <c r="DQ2838" s="4"/>
      <c r="DR2838" s="4"/>
      <c r="DS2838" s="4"/>
      <c r="DT2838" s="4"/>
      <c r="DU2838" s="4"/>
      <c r="DV2838" s="4"/>
      <c r="DW2838" s="4"/>
      <c r="DX2838" s="4"/>
      <c r="DY2838" s="4"/>
      <c r="DZ2838" s="4"/>
      <c r="EA2838" s="4"/>
      <c r="EB2838" s="4"/>
      <c r="EC2838" s="4"/>
      <c r="ED2838" s="4"/>
      <c r="EE2838" s="4"/>
      <c r="EF2838" s="4"/>
      <c r="EG2838" s="4"/>
      <c r="EH2838" s="4"/>
      <c r="EI2838" s="4"/>
      <c r="EJ2838" s="4"/>
      <c r="EK2838" s="4"/>
      <c r="EL2838" s="4"/>
      <c r="EM2838" s="4"/>
      <c r="EN2838" s="4"/>
      <c r="EO2838" s="4"/>
      <c r="EP2838" s="4"/>
      <c r="EQ2838" s="4"/>
      <c r="ER2838" s="4"/>
      <c r="ES2838" s="4"/>
      <c r="ET2838" s="4"/>
      <c r="EU2838" s="4"/>
      <c r="EV2838" s="4"/>
      <c r="EW2838" s="4"/>
      <c r="EX2838" s="4"/>
      <c r="EY2838" s="4"/>
      <c r="EZ2838" s="4"/>
      <c r="FA2838" s="4"/>
      <c r="FB2838" s="4"/>
      <c r="FC2838" s="4"/>
      <c r="FD2838" s="4"/>
      <c r="FE2838" s="4"/>
      <c r="FF2838" s="4"/>
      <c r="FG2838" s="4"/>
      <c r="FH2838" s="4"/>
      <c r="FI2838" s="4"/>
      <c r="FJ2838" s="4"/>
      <c r="FK2838" s="4"/>
      <c r="FL2838" s="4"/>
      <c r="FM2838" s="4"/>
      <c r="FN2838" s="4"/>
      <c r="FO2838" s="4"/>
      <c r="FP2838" s="4"/>
      <c r="FQ2838" s="4"/>
      <c r="FR2838" s="4"/>
      <c r="FS2838" s="4"/>
      <c r="FT2838" s="4"/>
      <c r="FU2838" s="4"/>
      <c r="FV2838" s="4"/>
      <c r="FW2838" s="4"/>
      <c r="FX2838" s="4"/>
      <c r="FY2838" s="4"/>
      <c r="FZ2838" s="4"/>
      <c r="GA2838" s="4"/>
      <c r="GB2838" s="4"/>
      <c r="GC2838" s="4"/>
      <c r="GD2838" s="4"/>
      <c r="GE2838" s="4"/>
      <c r="GF2838" s="4"/>
      <c r="GG2838" s="4"/>
      <c r="GH2838" s="4"/>
      <c r="GI2838" s="4"/>
      <c r="GJ2838" s="4"/>
      <c r="GK2838" s="4"/>
      <c r="GL2838" s="4"/>
      <c r="GM2838" s="4"/>
      <c r="GN2838" s="4"/>
      <c r="GO2838" s="4"/>
      <c r="GP2838" s="4"/>
      <c r="GQ2838" s="4"/>
      <c r="GR2838" s="4"/>
      <c r="GS2838" s="4"/>
      <c r="GT2838" s="4"/>
      <c r="GU2838" s="4"/>
      <c r="GV2838" s="4"/>
      <c r="GW2838" s="4"/>
      <c r="GX2838" s="4"/>
      <c r="GY2838" s="4"/>
      <c r="GZ2838" s="4"/>
      <c r="HA2838" s="4"/>
      <c r="HB2838" s="4"/>
      <c r="HC2838" s="4"/>
      <c r="HD2838" s="4"/>
      <c r="HE2838" s="4"/>
      <c r="HF2838" s="4"/>
      <c r="HG2838" s="4"/>
      <c r="HH2838" s="4"/>
      <c r="HI2838" s="4"/>
      <c r="HJ2838" s="4"/>
      <c r="HK2838" s="4"/>
      <c r="HL2838" s="4"/>
    </row>
    <row r="2839">
      <c r="A2839" s="2" t="s">
        <v>12041</v>
      </c>
      <c r="B2839" s="2" t="s">
        <v>824</v>
      </c>
      <c r="C2839" s="2" t="s">
        <v>825</v>
      </c>
      <c r="D2839" s="2" t="s">
        <v>654</v>
      </c>
      <c r="E2839" s="2" t="s">
        <v>890</v>
      </c>
      <c r="F2839" s="2" t="s">
        <v>12042</v>
      </c>
      <c r="G2839" s="2" t="s">
        <v>12043</v>
      </c>
      <c r="H2839" s="2" t="s">
        <v>12044</v>
      </c>
      <c r="I2839" s="2" t="s">
        <v>12045</v>
      </c>
      <c r="J2839" s="2" t="s">
        <v>832</v>
      </c>
      <c r="K2839" s="2" t="s">
        <v>2599</v>
      </c>
      <c r="L2839" s="3">
        <v>23.8</v>
      </c>
      <c r="M2839" s="3">
        <v>24.99</v>
      </c>
      <c r="N2839" s="3">
        <v>49.99</v>
      </c>
      <c r="O2839" s="2" t="s">
        <v>243</v>
      </c>
      <c r="P2839" s="2" t="s">
        <v>341</v>
      </c>
      <c r="Q2839" s="2" t="s">
        <v>237</v>
      </c>
      <c r="R2839" s="2" t="s">
        <v>231</v>
      </c>
      <c r="S2839" s="2" t="s">
        <v>12046</v>
      </c>
      <c r="T2839" s="2" t="s">
        <v>472</v>
      </c>
      <c r="U2839" s="2" t="s">
        <v>791</v>
      </c>
      <c r="V2839" s="2" t="s">
        <v>836</v>
      </c>
      <c r="W2839" s="2" t="s">
        <v>691</v>
      </c>
      <c r="X2839" s="2" t="s">
        <v>231</v>
      </c>
      <c r="Y2839" s="2" t="s">
        <v>1798</v>
      </c>
      <c r="Z2839" s="4">
        <v>100</v>
      </c>
      <c r="AA2839" s="4">
        <f>=ROUNDDOWN(11.1111111111111,0)</f>
      </c>
      <c r="AB2839" s="5">
        <v>9</v>
      </c>
      <c r="AC2839" s="2" t="s">
        <v>231</v>
      </c>
      <c r="AD2839" s="4"/>
      <c r="AE2839" s="4"/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231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231</v>
      </c>
      <c r="AW2839" s="8" t="s">
        <v>231</v>
      </c>
      <c r="AX2839" s="4" t="s">
        <v>231</v>
      </c>
      <c r="AY2839" s="8" t="s">
        <v>231</v>
      </c>
      <c r="AZ2839" s="7" t="s">
        <v>231</v>
      </c>
      <c r="BA2839" s="7" t="s">
        <v>231</v>
      </c>
      <c r="BB2839" s="7"/>
      <c r="BC2839" s="4" t="s">
        <v>231</v>
      </c>
      <c r="BD2839" s="8" t="s">
        <v>231</v>
      </c>
      <c r="BE2839" s="4" t="s">
        <v>231</v>
      </c>
      <c r="BF2839" s="8" t="s">
        <v>231</v>
      </c>
      <c r="BG2839" s="7" t="s">
        <v>231</v>
      </c>
      <c r="BH2839" s="7" t="s">
        <v>231</v>
      </c>
      <c r="BI2839" s="7"/>
      <c r="BJ2839" s="4">
        <v>42</v>
      </c>
      <c r="BK2839" s="8">
        <v>751.81</v>
      </c>
      <c r="BL2839" s="2" t="s">
        <v>1657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12047</v>
      </c>
      <c r="BV2839" s="2" t="s">
        <v>231</v>
      </c>
      <c r="BW2839" s="2" t="s">
        <v>231</v>
      </c>
      <c r="BX2839" s="2" t="s">
        <v>231</v>
      </c>
      <c r="BY2839" s="2" t="s">
        <v>277</v>
      </c>
      <c r="BZ2839" s="2" t="s">
        <v>243</v>
      </c>
      <c r="CA2839" s="2" t="s">
        <v>12048</v>
      </c>
      <c r="CB2839" s="2" t="s">
        <v>9778</v>
      </c>
      <c r="CC2839" s="2" t="s">
        <v>244</v>
      </c>
      <c r="CD2839" s="2" t="s">
        <v>231</v>
      </c>
      <c r="CE2839" s="4">
        <v>100</v>
      </c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4"/>
      <c r="CX2839" s="4"/>
      <c r="CY2839" s="4"/>
      <c r="CZ2839" s="4"/>
      <c r="DA2839" s="4"/>
      <c r="DB2839" s="4"/>
      <c r="DC2839" s="4"/>
      <c r="DD2839" s="4"/>
      <c r="DE2839" s="4"/>
      <c r="DF2839" s="4"/>
      <c r="DG2839" s="4"/>
      <c r="DH2839" s="4"/>
      <c r="DI2839" s="4"/>
      <c r="DJ2839" s="4"/>
      <c r="DK2839" s="4"/>
      <c r="DL2839" s="4"/>
      <c r="DM2839" s="4"/>
      <c r="DN2839" s="4"/>
      <c r="DO2839" s="4"/>
      <c r="DP2839" s="4"/>
      <c r="DQ2839" s="4"/>
      <c r="DR2839" s="4"/>
      <c r="DS2839" s="4"/>
      <c r="DT2839" s="4"/>
      <c r="DU2839" s="4"/>
      <c r="DV2839" s="4"/>
      <c r="DW2839" s="4"/>
      <c r="DX2839" s="4"/>
      <c r="DY2839" s="4"/>
      <c r="DZ2839" s="4"/>
      <c r="EA2839" s="4"/>
      <c r="EB2839" s="4"/>
      <c r="EC2839" s="4"/>
      <c r="ED2839" s="4"/>
      <c r="EE2839" s="4"/>
      <c r="EF2839" s="4"/>
      <c r="EG2839" s="4"/>
      <c r="EH2839" s="4"/>
      <c r="EI2839" s="4"/>
      <c r="EJ2839" s="4"/>
      <c r="EK2839" s="4"/>
      <c r="EL2839" s="4"/>
      <c r="EM2839" s="4"/>
      <c r="EN2839" s="4"/>
      <c r="EO2839" s="4"/>
      <c r="EP2839" s="4"/>
      <c r="EQ2839" s="4"/>
      <c r="ER2839" s="4"/>
      <c r="ES2839" s="4"/>
      <c r="ET2839" s="4"/>
      <c r="EU2839" s="4"/>
      <c r="EV2839" s="4"/>
      <c r="EW2839" s="4"/>
      <c r="EX2839" s="4"/>
      <c r="EY2839" s="4"/>
      <c r="EZ2839" s="4"/>
      <c r="FA2839" s="4"/>
      <c r="FB2839" s="4"/>
      <c r="FC2839" s="4"/>
      <c r="FD2839" s="4"/>
      <c r="FE2839" s="4"/>
      <c r="FF2839" s="4"/>
      <c r="FG2839" s="4"/>
      <c r="FH2839" s="4"/>
      <c r="FI2839" s="4"/>
      <c r="FJ2839" s="4"/>
      <c r="FK2839" s="4"/>
      <c r="FL2839" s="4"/>
      <c r="FM2839" s="4"/>
      <c r="FN2839" s="4"/>
      <c r="FO2839" s="4"/>
      <c r="FP2839" s="4"/>
      <c r="FQ2839" s="4"/>
      <c r="FR2839" s="4"/>
      <c r="FS2839" s="4"/>
      <c r="FT2839" s="4"/>
      <c r="FU2839" s="4"/>
      <c r="FV2839" s="4"/>
      <c r="FW2839" s="4"/>
      <c r="FX2839" s="4"/>
      <c r="FY2839" s="4"/>
      <c r="FZ2839" s="4"/>
      <c r="GA2839" s="4"/>
      <c r="GB2839" s="4"/>
      <c r="GC2839" s="4"/>
      <c r="GD2839" s="4"/>
      <c r="GE2839" s="4"/>
      <c r="GF2839" s="4"/>
      <c r="GG2839" s="4"/>
      <c r="GH2839" s="4"/>
      <c r="GI2839" s="4"/>
      <c r="GJ2839" s="4"/>
      <c r="GK2839" s="4"/>
      <c r="GL2839" s="4"/>
      <c r="GM2839" s="4"/>
      <c r="GN2839" s="4"/>
      <c r="GO2839" s="4"/>
      <c r="GP2839" s="4"/>
      <c r="GQ2839" s="4"/>
      <c r="GR2839" s="4"/>
      <c r="GS2839" s="4"/>
      <c r="GT2839" s="4"/>
      <c r="GU2839" s="4"/>
      <c r="GV2839" s="4"/>
      <c r="GW2839" s="4"/>
      <c r="GX2839" s="4"/>
      <c r="GY2839" s="4"/>
      <c r="GZ2839" s="4"/>
      <c r="HA2839" s="4"/>
      <c r="HB2839" s="4"/>
      <c r="HC2839" s="4"/>
      <c r="HD2839" s="4"/>
      <c r="HE2839" s="4"/>
      <c r="HF2839" s="4"/>
      <c r="HG2839" s="4"/>
      <c r="HH2839" s="4"/>
      <c r="HI2839" s="4"/>
      <c r="HJ2839" s="4"/>
      <c r="HK2839" s="4"/>
      <c r="HL2839" s="4"/>
    </row>
    <row r="2840">
      <c r="A2840" s="2" t="s">
        <v>12049</v>
      </c>
      <c r="B2840" s="2" t="s">
        <v>824</v>
      </c>
      <c r="C2840" s="2" t="s">
        <v>825</v>
      </c>
      <c r="D2840" s="2" t="s">
        <v>654</v>
      </c>
      <c r="E2840" s="2" t="s">
        <v>890</v>
      </c>
      <c r="F2840" s="2" t="s">
        <v>12042</v>
      </c>
      <c r="G2840" s="2" t="s">
        <v>12043</v>
      </c>
      <c r="H2840" s="2" t="s">
        <v>12044</v>
      </c>
      <c r="I2840" s="2" t="s">
        <v>12045</v>
      </c>
      <c r="J2840" s="2" t="s">
        <v>658</v>
      </c>
      <c r="K2840" s="2" t="s">
        <v>2599</v>
      </c>
      <c r="L2840" s="3">
        <v>28.57</v>
      </c>
      <c r="M2840" s="3">
        <v>30</v>
      </c>
      <c r="N2840" s="3">
        <v>59.99</v>
      </c>
      <c r="O2840" s="2" t="s">
        <v>243</v>
      </c>
      <c r="P2840" s="2" t="s">
        <v>341</v>
      </c>
      <c r="Q2840" s="2" t="s">
        <v>237</v>
      </c>
      <c r="R2840" s="2" t="s">
        <v>231</v>
      </c>
      <c r="S2840" s="2" t="s">
        <v>12046</v>
      </c>
      <c r="T2840" s="2" t="s">
        <v>472</v>
      </c>
      <c r="U2840" s="2" t="s">
        <v>835</v>
      </c>
      <c r="V2840" s="2" t="s">
        <v>836</v>
      </c>
      <c r="W2840" s="2" t="s">
        <v>691</v>
      </c>
      <c r="X2840" s="2" t="s">
        <v>231</v>
      </c>
      <c r="Y2840" s="2" t="s">
        <v>1798</v>
      </c>
      <c r="Z2840" s="4">
        <v>224</v>
      </c>
      <c r="AA2840" s="4">
        <f>=ROUNDDOWN(8.2051282051282,0)</f>
      </c>
      <c r="AB2840" s="5">
        <v>27.3</v>
      </c>
      <c r="AC2840" s="2" t="s">
        <v>231</v>
      </c>
      <c r="AD2840" s="4"/>
      <c r="AE2840" s="4"/>
      <c r="AF2840" s="6">
        <v>64</v>
      </c>
      <c r="AG2840" s="6"/>
      <c r="AH2840" s="7">
        <v>1</v>
      </c>
      <c r="AI2840" s="4"/>
      <c r="AJ2840" s="4">
        <f>=ROUNDDOWN({0},0)</f>
      </c>
      <c r="AK2840" s="5"/>
      <c r="AL2840" s="2" t="s">
        <v>231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231</v>
      </c>
      <c r="AW2840" s="8" t="s">
        <v>231</v>
      </c>
      <c r="AX2840" s="4" t="s">
        <v>231</v>
      </c>
      <c r="AY2840" s="8" t="s">
        <v>231</v>
      </c>
      <c r="AZ2840" s="7" t="s">
        <v>231</v>
      </c>
      <c r="BA2840" s="7" t="s">
        <v>231</v>
      </c>
      <c r="BB2840" s="7"/>
      <c r="BC2840" s="4" t="s">
        <v>231</v>
      </c>
      <c r="BD2840" s="8" t="s">
        <v>231</v>
      </c>
      <c r="BE2840" s="4" t="s">
        <v>231</v>
      </c>
      <c r="BF2840" s="8" t="s">
        <v>231</v>
      </c>
      <c r="BG2840" s="7" t="s">
        <v>231</v>
      </c>
      <c r="BH2840" s="7" t="s">
        <v>231</v>
      </c>
      <c r="BI2840" s="7"/>
      <c r="BJ2840" s="4">
        <v>116</v>
      </c>
      <c r="BK2840" s="8">
        <v>2397.42</v>
      </c>
      <c r="BL2840" s="2" t="s">
        <v>587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12050</v>
      </c>
      <c r="BV2840" s="2" t="s">
        <v>231</v>
      </c>
      <c r="BW2840" s="2" t="s">
        <v>231</v>
      </c>
      <c r="BX2840" s="2" t="s">
        <v>231</v>
      </c>
      <c r="BY2840" s="2" t="s">
        <v>277</v>
      </c>
      <c r="BZ2840" s="2" t="s">
        <v>243</v>
      </c>
      <c r="CA2840" s="2" t="s">
        <v>12048</v>
      </c>
      <c r="CB2840" s="2" t="s">
        <v>12016</v>
      </c>
      <c r="CC2840" s="2" t="s">
        <v>244</v>
      </c>
      <c r="CD2840" s="2" t="s">
        <v>231</v>
      </c>
      <c r="CE2840" s="4">
        <v>224</v>
      </c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4"/>
      <c r="CX2840" s="4"/>
      <c r="CY2840" s="4"/>
      <c r="CZ2840" s="4"/>
      <c r="DA2840" s="4"/>
      <c r="DB2840" s="4"/>
      <c r="DC2840" s="4"/>
      <c r="DD2840" s="4"/>
      <c r="DE2840" s="4"/>
      <c r="DF2840" s="4"/>
      <c r="DG2840" s="4"/>
      <c r="DH2840" s="4"/>
      <c r="DI2840" s="4"/>
      <c r="DJ2840" s="4"/>
      <c r="DK2840" s="4"/>
      <c r="DL2840" s="4"/>
      <c r="DM2840" s="4"/>
      <c r="DN2840" s="4"/>
      <c r="DO2840" s="4"/>
      <c r="DP2840" s="4"/>
      <c r="DQ2840" s="4"/>
      <c r="DR2840" s="4"/>
      <c r="DS2840" s="4"/>
      <c r="DT2840" s="4"/>
      <c r="DU2840" s="4"/>
      <c r="DV2840" s="4"/>
      <c r="DW2840" s="4"/>
      <c r="DX2840" s="4"/>
      <c r="DY2840" s="4"/>
      <c r="DZ2840" s="4"/>
      <c r="EA2840" s="4"/>
      <c r="EB2840" s="4"/>
      <c r="EC2840" s="4"/>
      <c r="ED2840" s="4"/>
      <c r="EE2840" s="4"/>
      <c r="EF2840" s="4"/>
      <c r="EG2840" s="4"/>
      <c r="EH2840" s="4"/>
      <c r="EI2840" s="4"/>
      <c r="EJ2840" s="4"/>
      <c r="EK2840" s="4"/>
      <c r="EL2840" s="4"/>
      <c r="EM2840" s="4"/>
      <c r="EN2840" s="4"/>
      <c r="EO2840" s="4"/>
      <c r="EP2840" s="4"/>
      <c r="EQ2840" s="4"/>
      <c r="ER2840" s="4"/>
      <c r="ES2840" s="4"/>
      <c r="ET2840" s="4"/>
      <c r="EU2840" s="4"/>
      <c r="EV2840" s="4"/>
      <c r="EW2840" s="4"/>
      <c r="EX2840" s="4"/>
      <c r="EY2840" s="4"/>
      <c r="EZ2840" s="4"/>
      <c r="FA2840" s="4"/>
      <c r="FB2840" s="4"/>
      <c r="FC2840" s="4"/>
      <c r="FD2840" s="4"/>
      <c r="FE2840" s="4"/>
      <c r="FF2840" s="4"/>
      <c r="FG2840" s="4"/>
      <c r="FH2840" s="4"/>
      <c r="FI2840" s="4"/>
      <c r="FJ2840" s="4"/>
      <c r="FK2840" s="4"/>
      <c r="FL2840" s="4"/>
      <c r="FM2840" s="4"/>
      <c r="FN2840" s="4"/>
      <c r="FO2840" s="4"/>
      <c r="FP2840" s="4"/>
      <c r="FQ2840" s="4"/>
      <c r="FR2840" s="4"/>
      <c r="FS2840" s="4"/>
      <c r="FT2840" s="4"/>
      <c r="FU2840" s="4"/>
      <c r="FV2840" s="4"/>
      <c r="FW2840" s="4"/>
      <c r="FX2840" s="4"/>
      <c r="FY2840" s="4"/>
      <c r="FZ2840" s="4"/>
      <c r="GA2840" s="4"/>
      <c r="GB2840" s="4"/>
      <c r="GC2840" s="4"/>
      <c r="GD2840" s="4"/>
      <c r="GE2840" s="4"/>
      <c r="GF2840" s="4"/>
      <c r="GG2840" s="4"/>
      <c r="GH2840" s="4"/>
      <c r="GI2840" s="4"/>
      <c r="GJ2840" s="4"/>
      <c r="GK2840" s="4"/>
      <c r="GL2840" s="4"/>
      <c r="GM2840" s="4"/>
      <c r="GN2840" s="4"/>
      <c r="GO2840" s="4"/>
      <c r="GP2840" s="4"/>
      <c r="GQ2840" s="4"/>
      <c r="GR2840" s="4"/>
      <c r="GS2840" s="4"/>
      <c r="GT2840" s="4"/>
      <c r="GU2840" s="4"/>
      <c r="GV2840" s="4"/>
      <c r="GW2840" s="4"/>
      <c r="GX2840" s="4"/>
      <c r="GY2840" s="4"/>
      <c r="GZ2840" s="4"/>
      <c r="HA2840" s="4"/>
      <c r="HB2840" s="4"/>
      <c r="HC2840" s="4"/>
      <c r="HD2840" s="4"/>
      <c r="HE2840" s="4"/>
      <c r="HF2840" s="4"/>
      <c r="HG2840" s="4"/>
      <c r="HH2840" s="4"/>
      <c r="HI2840" s="4"/>
      <c r="HJ2840" s="4"/>
      <c r="HK2840" s="4"/>
      <c r="HL2840" s="4"/>
    </row>
    <row r="2841">
      <c r="A2841" s="2" t="s">
        <v>12051</v>
      </c>
      <c r="B2841" s="2" t="s">
        <v>824</v>
      </c>
      <c r="C2841" s="2" t="s">
        <v>2557</v>
      </c>
      <c r="D2841" s="2" t="s">
        <v>654</v>
      </c>
      <c r="E2841" s="2" t="s">
        <v>655</v>
      </c>
      <c r="F2841" s="2" t="s">
        <v>8140</v>
      </c>
      <c r="G2841" s="2" t="s">
        <v>12052</v>
      </c>
      <c r="H2841" s="2" t="s">
        <v>12053</v>
      </c>
      <c r="I2841" s="2" t="s">
        <v>12054</v>
      </c>
      <c r="J2841" s="2" t="s">
        <v>318</v>
      </c>
      <c r="K2841" s="2" t="s">
        <v>1677</v>
      </c>
      <c r="L2841" s="3">
        <v>30.95</v>
      </c>
      <c r="M2841" s="3">
        <v>32.5</v>
      </c>
      <c r="N2841" s="3">
        <v>64.99</v>
      </c>
      <c r="O2841" s="2" t="s">
        <v>243</v>
      </c>
      <c r="P2841" s="2" t="s">
        <v>270</v>
      </c>
      <c r="Q2841" s="2" t="s">
        <v>237</v>
      </c>
      <c r="R2841" s="2" t="s">
        <v>231</v>
      </c>
      <c r="S2841" s="2" t="s">
        <v>12055</v>
      </c>
      <c r="T2841" s="2" t="s">
        <v>472</v>
      </c>
      <c r="U2841" s="2" t="s">
        <v>835</v>
      </c>
      <c r="V2841" s="2" t="s">
        <v>239</v>
      </c>
      <c r="W2841" s="2" t="s">
        <v>273</v>
      </c>
      <c r="X2841" s="2" t="s">
        <v>231</v>
      </c>
      <c r="Y2841" s="2" t="s">
        <v>231</v>
      </c>
      <c r="Z2841" s="4"/>
      <c r="AA2841" s="4">
        <f>=ROUNDDOWN({0},0)</f>
      </c>
      <c r="AB2841" s="5">
        <v>11</v>
      </c>
      <c r="AC2841" s="2" t="s">
        <v>1315</v>
      </c>
      <c r="AD2841" s="4">
        <v>180</v>
      </c>
      <c r="AE2841" s="4">
        <v>460</v>
      </c>
      <c r="AF2841" s="6">
        <v>65</v>
      </c>
      <c r="AG2841" s="6"/>
      <c r="AH2841" s="7">
        <v>0</v>
      </c>
      <c r="AI2841" s="4"/>
      <c r="AJ2841" s="4">
        <f>=ROUNDDOWN({0},0)</f>
      </c>
      <c r="AK2841" s="5"/>
      <c r="AL2841" s="2" t="s">
        <v>231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231</v>
      </c>
      <c r="AW2841" s="8" t="s">
        <v>231</v>
      </c>
      <c r="AX2841" s="4" t="s">
        <v>231</v>
      </c>
      <c r="AY2841" s="8" t="s">
        <v>231</v>
      </c>
      <c r="AZ2841" s="7" t="s">
        <v>231</v>
      </c>
      <c r="BA2841" s="7" t="s">
        <v>231</v>
      </c>
      <c r="BB2841" s="7"/>
      <c r="BC2841" s="4" t="s">
        <v>231</v>
      </c>
      <c r="BD2841" s="8" t="s">
        <v>231</v>
      </c>
      <c r="BE2841" s="4" t="s">
        <v>231</v>
      </c>
      <c r="BF2841" s="8" t="s">
        <v>231</v>
      </c>
      <c r="BG2841" s="7" t="s">
        <v>231</v>
      </c>
      <c r="BH2841" s="7" t="s">
        <v>231</v>
      </c>
      <c r="BI2841" s="7"/>
      <c r="BJ2841" s="4"/>
      <c r="BK2841" s="8"/>
      <c r="BL2841" s="2" t="s">
        <v>231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241</v>
      </c>
      <c r="BV2841" s="2" t="s">
        <v>231</v>
      </c>
      <c r="BW2841" s="2" t="s">
        <v>231</v>
      </c>
      <c r="BX2841" s="2" t="s">
        <v>312</v>
      </c>
      <c r="BY2841" s="2" t="s">
        <v>242</v>
      </c>
      <c r="BZ2841" s="2" t="s">
        <v>243</v>
      </c>
      <c r="CA2841" s="2" t="s">
        <v>231</v>
      </c>
      <c r="CB2841" s="2" t="s">
        <v>231</v>
      </c>
      <c r="CC2841" s="2" t="s">
        <v>244</v>
      </c>
      <c r="CD2841" s="2" t="s">
        <v>231</v>
      </c>
      <c r="CE2841" s="4"/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4"/>
      <c r="CX2841" s="4"/>
      <c r="CY2841" s="4"/>
      <c r="CZ2841" s="4"/>
      <c r="DA2841" s="4"/>
      <c r="DB2841" s="4"/>
      <c r="DC2841" s="4"/>
      <c r="DD2841" s="4"/>
      <c r="DE2841" s="4"/>
      <c r="DF2841" s="4"/>
      <c r="DG2841" s="4"/>
      <c r="DH2841" s="4"/>
      <c r="DI2841" s="4"/>
      <c r="DJ2841" s="4"/>
      <c r="DK2841" s="4"/>
      <c r="DL2841" s="4"/>
      <c r="DM2841" s="4"/>
      <c r="DN2841" s="4"/>
      <c r="DO2841" s="4"/>
      <c r="DP2841" s="4"/>
      <c r="DQ2841" s="4"/>
      <c r="DR2841" s="4"/>
      <c r="DS2841" s="4"/>
      <c r="DT2841" s="4"/>
      <c r="DU2841" s="4"/>
      <c r="DV2841" s="4"/>
      <c r="DW2841" s="4"/>
      <c r="DX2841" s="4"/>
      <c r="DY2841" s="4"/>
      <c r="DZ2841" s="4"/>
      <c r="EA2841" s="4"/>
      <c r="EB2841" s="4"/>
      <c r="EC2841" s="4"/>
      <c r="ED2841" s="4"/>
      <c r="EE2841" s="4">
        <v>180</v>
      </c>
      <c r="EF2841" s="4"/>
      <c r="EG2841" s="4"/>
      <c r="EH2841" s="4"/>
      <c r="EI2841" s="4"/>
      <c r="EJ2841" s="4"/>
      <c r="EK2841" s="4"/>
      <c r="EL2841" s="4"/>
      <c r="EM2841" s="4"/>
      <c r="EN2841" s="4"/>
      <c r="EO2841" s="4"/>
      <c r="EP2841" s="4"/>
      <c r="EQ2841" s="4"/>
      <c r="ER2841" s="4"/>
      <c r="ES2841" s="4"/>
      <c r="ET2841" s="4"/>
      <c r="EU2841" s="4"/>
      <c r="EV2841" s="4"/>
      <c r="EW2841" s="4"/>
      <c r="EX2841" s="4"/>
      <c r="EY2841" s="4"/>
      <c r="EZ2841" s="4"/>
      <c r="FA2841" s="4"/>
      <c r="FB2841" s="4"/>
      <c r="FC2841" s="4"/>
      <c r="FD2841" s="4"/>
      <c r="FE2841" s="4"/>
      <c r="FF2841" s="4"/>
      <c r="FG2841" s="4"/>
      <c r="FH2841" s="4"/>
      <c r="FI2841" s="4"/>
      <c r="FJ2841" s="4"/>
      <c r="FK2841" s="4"/>
      <c r="FL2841" s="4"/>
      <c r="FM2841" s="4"/>
      <c r="FN2841" s="4"/>
      <c r="FO2841" s="4"/>
      <c r="FP2841" s="4"/>
      <c r="FQ2841" s="4"/>
      <c r="FR2841" s="4"/>
      <c r="FS2841" s="4"/>
      <c r="FT2841" s="4"/>
      <c r="FU2841" s="4"/>
      <c r="FV2841" s="4"/>
      <c r="FW2841" s="4"/>
      <c r="FX2841" s="4"/>
      <c r="FY2841" s="4"/>
      <c r="FZ2841" s="4"/>
      <c r="GA2841" s="4"/>
      <c r="GB2841" s="4">
        <v>280</v>
      </c>
      <c r="GC2841" s="4"/>
      <c r="GD2841" s="4"/>
      <c r="GE2841" s="4"/>
      <c r="GF2841" s="4"/>
      <c r="GG2841" s="4"/>
      <c r="GH2841" s="4"/>
      <c r="GI2841" s="4"/>
      <c r="GJ2841" s="4"/>
      <c r="GK2841" s="4"/>
      <c r="GL2841" s="4"/>
      <c r="GM2841" s="4"/>
      <c r="GN2841" s="4"/>
      <c r="GO2841" s="4"/>
      <c r="GP2841" s="4"/>
      <c r="GQ2841" s="4"/>
      <c r="GR2841" s="4"/>
      <c r="GS2841" s="4"/>
      <c r="GT2841" s="4"/>
      <c r="GU2841" s="4"/>
      <c r="GV2841" s="4"/>
      <c r="GW2841" s="4"/>
      <c r="GX2841" s="4"/>
      <c r="GY2841" s="4"/>
      <c r="GZ2841" s="4"/>
      <c r="HA2841" s="4"/>
      <c r="HB2841" s="4"/>
      <c r="HC2841" s="4"/>
      <c r="HD2841" s="4"/>
      <c r="HE2841" s="4"/>
      <c r="HF2841" s="4"/>
      <c r="HG2841" s="4"/>
      <c r="HH2841" s="4"/>
      <c r="HI2841" s="4"/>
      <c r="HJ2841" s="4"/>
      <c r="HK2841" s="4"/>
      <c r="HL2841" s="4"/>
    </row>
    <row r="2842">
      <c r="A2842" s="2" t="s">
        <v>12056</v>
      </c>
      <c r="B2842" s="2" t="s">
        <v>824</v>
      </c>
      <c r="C2842" s="2" t="s">
        <v>2557</v>
      </c>
      <c r="D2842" s="2" t="s">
        <v>654</v>
      </c>
      <c r="E2842" s="2" t="s">
        <v>655</v>
      </c>
      <c r="F2842" s="2" t="s">
        <v>8140</v>
      </c>
      <c r="G2842" s="2" t="s">
        <v>12052</v>
      </c>
      <c r="H2842" s="2" t="s">
        <v>12053</v>
      </c>
      <c r="I2842" s="2" t="s">
        <v>12054</v>
      </c>
      <c r="J2842" s="2" t="s">
        <v>658</v>
      </c>
      <c r="K2842" s="2" t="s">
        <v>1677</v>
      </c>
      <c r="L2842" s="3">
        <v>38.09</v>
      </c>
      <c r="M2842" s="3">
        <v>39.99</v>
      </c>
      <c r="N2842" s="3">
        <v>79.99</v>
      </c>
      <c r="O2842" s="2" t="s">
        <v>243</v>
      </c>
      <c r="P2842" s="2" t="s">
        <v>270</v>
      </c>
      <c r="Q2842" s="2" t="s">
        <v>237</v>
      </c>
      <c r="R2842" s="2" t="s">
        <v>231</v>
      </c>
      <c r="S2842" s="2" t="s">
        <v>12055</v>
      </c>
      <c r="T2842" s="2" t="s">
        <v>472</v>
      </c>
      <c r="U2842" s="2" t="s">
        <v>298</v>
      </c>
      <c r="V2842" s="2" t="s">
        <v>239</v>
      </c>
      <c r="W2842" s="2" t="s">
        <v>273</v>
      </c>
      <c r="X2842" s="2" t="s">
        <v>231</v>
      </c>
      <c r="Y2842" s="2" t="s">
        <v>231</v>
      </c>
      <c r="Z2842" s="4"/>
      <c r="AA2842" s="4">
        <f>=ROUNDDOWN({0},0)</f>
      </c>
      <c r="AB2842" s="5">
        <v>9</v>
      </c>
      <c r="AC2842" s="2" t="s">
        <v>1315</v>
      </c>
      <c r="AD2842" s="4">
        <v>140</v>
      </c>
      <c r="AE2842" s="4">
        <v>340</v>
      </c>
      <c r="AF2842" s="6">
        <v>65</v>
      </c>
      <c r="AG2842" s="6"/>
      <c r="AH2842" s="7">
        <v>0</v>
      </c>
      <c r="AI2842" s="4"/>
      <c r="AJ2842" s="4">
        <f>=ROUNDDOWN({0},0)</f>
      </c>
      <c r="AK2842" s="5"/>
      <c r="AL2842" s="2" t="s">
        <v>231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231</v>
      </c>
      <c r="AW2842" s="8" t="s">
        <v>231</v>
      </c>
      <c r="AX2842" s="4" t="s">
        <v>231</v>
      </c>
      <c r="AY2842" s="8" t="s">
        <v>231</v>
      </c>
      <c r="AZ2842" s="7" t="s">
        <v>231</v>
      </c>
      <c r="BA2842" s="7" t="s">
        <v>231</v>
      </c>
      <c r="BB2842" s="7"/>
      <c r="BC2842" s="4" t="s">
        <v>231</v>
      </c>
      <c r="BD2842" s="8" t="s">
        <v>231</v>
      </c>
      <c r="BE2842" s="4" t="s">
        <v>231</v>
      </c>
      <c r="BF2842" s="8" t="s">
        <v>231</v>
      </c>
      <c r="BG2842" s="7" t="s">
        <v>231</v>
      </c>
      <c r="BH2842" s="7" t="s">
        <v>231</v>
      </c>
      <c r="BI2842" s="7"/>
      <c r="BJ2842" s="4"/>
      <c r="BK2842" s="8"/>
      <c r="BL2842" s="2" t="s">
        <v>231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241</v>
      </c>
      <c r="BV2842" s="2" t="s">
        <v>231</v>
      </c>
      <c r="BW2842" s="2" t="s">
        <v>231</v>
      </c>
      <c r="BX2842" s="2" t="s">
        <v>312</v>
      </c>
      <c r="BY2842" s="2" t="s">
        <v>242</v>
      </c>
      <c r="BZ2842" s="2" t="s">
        <v>243</v>
      </c>
      <c r="CA2842" s="2" t="s">
        <v>231</v>
      </c>
      <c r="CB2842" s="2" t="s">
        <v>231</v>
      </c>
      <c r="CC2842" s="2" t="s">
        <v>244</v>
      </c>
      <c r="CD2842" s="2" t="s">
        <v>231</v>
      </c>
      <c r="CE2842" s="4"/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4"/>
      <c r="CX2842" s="4"/>
      <c r="CY2842" s="4"/>
      <c r="CZ2842" s="4"/>
      <c r="DA2842" s="4"/>
      <c r="DB2842" s="4"/>
      <c r="DC2842" s="4"/>
      <c r="DD2842" s="4"/>
      <c r="DE2842" s="4"/>
      <c r="DF2842" s="4"/>
      <c r="DG2842" s="4"/>
      <c r="DH2842" s="4"/>
      <c r="DI2842" s="4"/>
      <c r="DJ2842" s="4"/>
      <c r="DK2842" s="4"/>
      <c r="DL2842" s="4"/>
      <c r="DM2842" s="4"/>
      <c r="DN2842" s="4"/>
      <c r="DO2842" s="4"/>
      <c r="DP2842" s="4"/>
      <c r="DQ2842" s="4"/>
      <c r="DR2842" s="4"/>
      <c r="DS2842" s="4"/>
      <c r="DT2842" s="4"/>
      <c r="DU2842" s="4"/>
      <c r="DV2842" s="4"/>
      <c r="DW2842" s="4"/>
      <c r="DX2842" s="4"/>
      <c r="DY2842" s="4"/>
      <c r="DZ2842" s="4"/>
      <c r="EA2842" s="4"/>
      <c r="EB2842" s="4"/>
      <c r="EC2842" s="4"/>
      <c r="ED2842" s="4"/>
      <c r="EE2842" s="4">
        <v>140</v>
      </c>
      <c r="EF2842" s="4"/>
      <c r="EG2842" s="4"/>
      <c r="EH2842" s="4"/>
      <c r="EI2842" s="4"/>
      <c r="EJ2842" s="4"/>
      <c r="EK2842" s="4"/>
      <c r="EL2842" s="4"/>
      <c r="EM2842" s="4"/>
      <c r="EN2842" s="4"/>
      <c r="EO2842" s="4"/>
      <c r="EP2842" s="4"/>
      <c r="EQ2842" s="4"/>
      <c r="ER2842" s="4"/>
      <c r="ES2842" s="4"/>
      <c r="ET2842" s="4"/>
      <c r="EU2842" s="4"/>
      <c r="EV2842" s="4"/>
      <c r="EW2842" s="4"/>
      <c r="EX2842" s="4"/>
      <c r="EY2842" s="4"/>
      <c r="EZ2842" s="4"/>
      <c r="FA2842" s="4"/>
      <c r="FB2842" s="4"/>
      <c r="FC2842" s="4"/>
      <c r="FD2842" s="4"/>
      <c r="FE2842" s="4"/>
      <c r="FF2842" s="4"/>
      <c r="FG2842" s="4"/>
      <c r="FH2842" s="4"/>
      <c r="FI2842" s="4"/>
      <c r="FJ2842" s="4"/>
      <c r="FK2842" s="4"/>
      <c r="FL2842" s="4"/>
      <c r="FM2842" s="4"/>
      <c r="FN2842" s="4"/>
      <c r="FO2842" s="4"/>
      <c r="FP2842" s="4"/>
      <c r="FQ2842" s="4"/>
      <c r="FR2842" s="4"/>
      <c r="FS2842" s="4"/>
      <c r="FT2842" s="4"/>
      <c r="FU2842" s="4"/>
      <c r="FV2842" s="4"/>
      <c r="FW2842" s="4"/>
      <c r="FX2842" s="4"/>
      <c r="FY2842" s="4"/>
      <c r="FZ2842" s="4"/>
      <c r="GA2842" s="4"/>
      <c r="GB2842" s="4">
        <v>200</v>
      </c>
      <c r="GC2842" s="4"/>
      <c r="GD2842" s="4"/>
      <c r="GE2842" s="4"/>
      <c r="GF2842" s="4"/>
      <c r="GG2842" s="4"/>
      <c r="GH2842" s="4"/>
      <c r="GI2842" s="4"/>
      <c r="GJ2842" s="4"/>
      <c r="GK2842" s="4"/>
      <c r="GL2842" s="4"/>
      <c r="GM2842" s="4"/>
      <c r="GN2842" s="4"/>
      <c r="GO2842" s="4"/>
      <c r="GP2842" s="4"/>
      <c r="GQ2842" s="4"/>
      <c r="GR2842" s="4"/>
      <c r="GS2842" s="4"/>
      <c r="GT2842" s="4"/>
      <c r="GU2842" s="4"/>
      <c r="GV2842" s="4"/>
      <c r="GW2842" s="4"/>
      <c r="GX2842" s="4"/>
      <c r="GY2842" s="4"/>
      <c r="GZ2842" s="4"/>
      <c r="HA2842" s="4"/>
      <c r="HB2842" s="4"/>
      <c r="HC2842" s="4"/>
      <c r="HD2842" s="4"/>
      <c r="HE2842" s="4"/>
      <c r="HF2842" s="4"/>
      <c r="HG2842" s="4"/>
      <c r="HH2842" s="4"/>
      <c r="HI2842" s="4"/>
      <c r="HJ2842" s="4"/>
      <c r="HK2842" s="4"/>
      <c r="HL2842" s="4"/>
    </row>
    <row r="2843">
      <c r="A2843" s="2" t="s">
        <v>12057</v>
      </c>
      <c r="B2843" s="2" t="s">
        <v>226</v>
      </c>
      <c r="C2843" s="2" t="s">
        <v>1299</v>
      </c>
      <c r="D2843" s="2" t="s">
        <v>1462</v>
      </c>
      <c r="E2843" s="2" t="s">
        <v>2563</v>
      </c>
      <c r="F2843" s="2" t="s">
        <v>12058</v>
      </c>
      <c r="G2843" s="2" t="s">
        <v>12058</v>
      </c>
      <c r="H2843" s="2" t="s">
        <v>12058</v>
      </c>
      <c r="I2843" s="2" t="s">
        <v>12059</v>
      </c>
      <c r="J2843" s="2" t="s">
        <v>658</v>
      </c>
      <c r="K2843" s="2" t="s">
        <v>306</v>
      </c>
      <c r="L2843" s="3">
        <v>42.75</v>
      </c>
      <c r="M2843" s="3">
        <v>44.89</v>
      </c>
      <c r="N2843" s="3">
        <v>94.99</v>
      </c>
      <c r="O2843" s="2" t="s">
        <v>243</v>
      </c>
      <c r="P2843" s="2" t="s">
        <v>341</v>
      </c>
      <c r="Q2843" s="2" t="s">
        <v>237</v>
      </c>
      <c r="R2843" s="2" t="s">
        <v>231</v>
      </c>
      <c r="S2843" s="2" t="s">
        <v>12060</v>
      </c>
      <c r="T2843" s="2" t="s">
        <v>895</v>
      </c>
      <c r="U2843" s="2" t="s">
        <v>231</v>
      </c>
      <c r="V2843" s="2" t="s">
        <v>836</v>
      </c>
      <c r="W2843" s="2" t="s">
        <v>897</v>
      </c>
      <c r="X2843" s="2" t="s">
        <v>5673</v>
      </c>
      <c r="Y2843" s="2" t="s">
        <v>9254</v>
      </c>
      <c r="Z2843" s="4">
        <v>97</v>
      </c>
      <c r="AA2843" s="4">
        <f>=ROUNDDOWN(9.7,0)</f>
      </c>
      <c r="AB2843" s="5">
        <v>10</v>
      </c>
      <c r="AC2843" s="2" t="s">
        <v>231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231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231</v>
      </c>
      <c r="AW2843" s="8" t="s">
        <v>231</v>
      </c>
      <c r="AX2843" s="4" t="s">
        <v>231</v>
      </c>
      <c r="AY2843" s="8" t="s">
        <v>231</v>
      </c>
      <c r="AZ2843" s="7" t="s">
        <v>231</v>
      </c>
      <c r="BA2843" s="7" t="s">
        <v>231</v>
      </c>
      <c r="BB2843" s="7"/>
      <c r="BC2843" s="4" t="s">
        <v>231</v>
      </c>
      <c r="BD2843" s="8" t="s">
        <v>231</v>
      </c>
      <c r="BE2843" s="4" t="s">
        <v>231</v>
      </c>
      <c r="BF2843" s="8" t="s">
        <v>231</v>
      </c>
      <c r="BG2843" s="7" t="s">
        <v>231</v>
      </c>
      <c r="BH2843" s="7" t="s">
        <v>231</v>
      </c>
      <c r="BI2843" s="7"/>
      <c r="BJ2843" s="4">
        <v>16</v>
      </c>
      <c r="BK2843" s="8">
        <v>592.46</v>
      </c>
      <c r="BL2843" s="2" t="s">
        <v>12061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12062</v>
      </c>
      <c r="BV2843" s="2" t="s">
        <v>231</v>
      </c>
      <c r="BW2843" s="2" t="s">
        <v>231</v>
      </c>
      <c r="BX2843" s="2" t="s">
        <v>231</v>
      </c>
      <c r="BY2843" s="2" t="s">
        <v>277</v>
      </c>
      <c r="BZ2843" s="2" t="s">
        <v>243</v>
      </c>
      <c r="CA2843" s="2" t="s">
        <v>1336</v>
      </c>
      <c r="CB2843" s="2" t="s">
        <v>5300</v>
      </c>
      <c r="CC2843" s="2" t="s">
        <v>244</v>
      </c>
      <c r="CD2843" s="2" t="s">
        <v>231</v>
      </c>
      <c r="CE2843" s="4">
        <v>97</v>
      </c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4"/>
      <c r="CX2843" s="4"/>
      <c r="CY2843" s="4"/>
      <c r="CZ2843" s="4"/>
      <c r="DA2843" s="4"/>
      <c r="DB2843" s="4"/>
      <c r="DC2843" s="4"/>
      <c r="DD2843" s="4"/>
      <c r="DE2843" s="4"/>
      <c r="DF2843" s="4"/>
      <c r="DG2843" s="4"/>
      <c r="DH2843" s="4"/>
      <c r="DI2843" s="4"/>
      <c r="DJ2843" s="4"/>
      <c r="DK2843" s="4"/>
      <c r="DL2843" s="4"/>
      <c r="DM2843" s="4"/>
      <c r="DN2843" s="4"/>
      <c r="DO2843" s="4"/>
      <c r="DP2843" s="4"/>
      <c r="DQ2843" s="4"/>
      <c r="DR2843" s="4"/>
      <c r="DS2843" s="4"/>
      <c r="DT2843" s="4"/>
      <c r="DU2843" s="4"/>
      <c r="DV2843" s="4"/>
      <c r="DW2843" s="4"/>
      <c r="DX2843" s="4"/>
      <c r="DY2843" s="4"/>
      <c r="DZ2843" s="4"/>
      <c r="EA2843" s="4"/>
      <c r="EB2843" s="4"/>
      <c r="EC2843" s="4"/>
      <c r="ED2843" s="4"/>
      <c r="EE2843" s="4"/>
      <c r="EF2843" s="4"/>
      <c r="EG2843" s="4"/>
      <c r="EH2843" s="4"/>
      <c r="EI2843" s="4"/>
      <c r="EJ2843" s="4"/>
      <c r="EK2843" s="4"/>
      <c r="EL2843" s="4"/>
      <c r="EM2843" s="4"/>
      <c r="EN2843" s="4"/>
      <c r="EO2843" s="4"/>
      <c r="EP2843" s="4"/>
      <c r="EQ2843" s="4"/>
      <c r="ER2843" s="4"/>
      <c r="ES2843" s="4"/>
      <c r="ET2843" s="4"/>
      <c r="EU2843" s="4"/>
      <c r="EV2843" s="4"/>
      <c r="EW2843" s="4"/>
      <c r="EX2843" s="4"/>
      <c r="EY2843" s="4"/>
      <c r="EZ2843" s="4"/>
      <c r="FA2843" s="4"/>
      <c r="FB2843" s="4"/>
      <c r="FC2843" s="4"/>
      <c r="FD2843" s="4"/>
      <c r="FE2843" s="4"/>
      <c r="FF2843" s="4"/>
      <c r="FG2843" s="4"/>
      <c r="FH2843" s="4"/>
      <c r="FI2843" s="4"/>
      <c r="FJ2843" s="4"/>
      <c r="FK2843" s="4"/>
      <c r="FL2843" s="4"/>
      <c r="FM2843" s="4"/>
      <c r="FN2843" s="4"/>
      <c r="FO2843" s="4"/>
      <c r="FP2843" s="4"/>
      <c r="FQ2843" s="4"/>
      <c r="FR2843" s="4"/>
      <c r="FS2843" s="4"/>
      <c r="FT2843" s="4"/>
      <c r="FU2843" s="4"/>
      <c r="FV2843" s="4"/>
      <c r="FW2843" s="4"/>
      <c r="FX2843" s="4"/>
      <c r="FY2843" s="4"/>
      <c r="FZ2843" s="4"/>
      <c r="GA2843" s="4"/>
      <c r="GB2843" s="4"/>
      <c r="GC2843" s="4"/>
      <c r="GD2843" s="4"/>
      <c r="GE2843" s="4"/>
      <c r="GF2843" s="4"/>
      <c r="GG2843" s="4"/>
      <c r="GH2843" s="4"/>
      <c r="GI2843" s="4"/>
      <c r="GJ2843" s="4"/>
      <c r="GK2843" s="4"/>
      <c r="GL2843" s="4"/>
      <c r="GM2843" s="4"/>
      <c r="GN2843" s="4"/>
      <c r="GO2843" s="4"/>
      <c r="GP2843" s="4"/>
      <c r="GQ2843" s="4"/>
      <c r="GR2843" s="4"/>
      <c r="GS2843" s="4"/>
      <c r="GT2843" s="4"/>
      <c r="GU2843" s="4"/>
      <c r="GV2843" s="4"/>
      <c r="GW2843" s="4"/>
      <c r="GX2843" s="4"/>
      <c r="GY2843" s="4"/>
      <c r="GZ2843" s="4"/>
      <c r="HA2843" s="4"/>
      <c r="HB2843" s="4"/>
      <c r="HC2843" s="4"/>
      <c r="HD2843" s="4"/>
      <c r="HE2843" s="4"/>
      <c r="HF2843" s="4"/>
      <c r="HG2843" s="4"/>
      <c r="HH2843" s="4"/>
      <c r="HI2843" s="4"/>
      <c r="HJ2843" s="4"/>
      <c r="HK2843" s="4"/>
      <c r="HL2843" s="4"/>
    </row>
    <row r="2844">
      <c r="A2844" s="2" t="s">
        <v>12063</v>
      </c>
      <c r="B2844" s="2" t="s">
        <v>226</v>
      </c>
      <c r="C2844" s="2" t="s">
        <v>1299</v>
      </c>
      <c r="D2844" s="2" t="s">
        <v>1462</v>
      </c>
      <c r="E2844" s="2" t="s">
        <v>2563</v>
      </c>
      <c r="F2844" s="2" t="s">
        <v>12058</v>
      </c>
      <c r="G2844" s="2" t="s">
        <v>12058</v>
      </c>
      <c r="H2844" s="2" t="s">
        <v>12058</v>
      </c>
      <c r="I2844" s="2" t="s">
        <v>12059</v>
      </c>
      <c r="J2844" s="2" t="s">
        <v>669</v>
      </c>
      <c r="K2844" s="2" t="s">
        <v>306</v>
      </c>
      <c r="L2844" s="3">
        <v>48.3</v>
      </c>
      <c r="M2844" s="3">
        <v>50.72</v>
      </c>
      <c r="N2844" s="3">
        <v>104.99</v>
      </c>
      <c r="O2844" s="2" t="s">
        <v>243</v>
      </c>
      <c r="P2844" s="2" t="s">
        <v>341</v>
      </c>
      <c r="Q2844" s="2" t="s">
        <v>237</v>
      </c>
      <c r="R2844" s="2" t="s">
        <v>231</v>
      </c>
      <c r="S2844" s="2" t="s">
        <v>12060</v>
      </c>
      <c r="T2844" s="2" t="s">
        <v>895</v>
      </c>
      <c r="U2844" s="2" t="s">
        <v>231</v>
      </c>
      <c r="V2844" s="2" t="s">
        <v>836</v>
      </c>
      <c r="W2844" s="2" t="s">
        <v>897</v>
      </c>
      <c r="X2844" s="2" t="s">
        <v>5673</v>
      </c>
      <c r="Y2844" s="2" t="s">
        <v>9254</v>
      </c>
      <c r="Z2844" s="4">
        <v>364</v>
      </c>
      <c r="AA2844" s="4">
        <f>=ROUNDDOWN(20.2222222222222,0)</f>
      </c>
      <c r="AB2844" s="5">
        <v>18</v>
      </c>
      <c r="AC2844" s="2" t="s">
        <v>231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231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231</v>
      </c>
      <c r="AW2844" s="8" t="s">
        <v>231</v>
      </c>
      <c r="AX2844" s="4" t="s">
        <v>231</v>
      </c>
      <c r="AY2844" s="8" t="s">
        <v>231</v>
      </c>
      <c r="AZ2844" s="7" t="s">
        <v>231</v>
      </c>
      <c r="BA2844" s="7" t="s">
        <v>231</v>
      </c>
      <c r="BB2844" s="7"/>
      <c r="BC2844" s="4" t="s">
        <v>231</v>
      </c>
      <c r="BD2844" s="8" t="s">
        <v>231</v>
      </c>
      <c r="BE2844" s="4" t="s">
        <v>231</v>
      </c>
      <c r="BF2844" s="8" t="s">
        <v>231</v>
      </c>
      <c r="BG2844" s="7" t="s">
        <v>231</v>
      </c>
      <c r="BH2844" s="7" t="s">
        <v>231</v>
      </c>
      <c r="BI2844" s="7"/>
      <c r="BJ2844" s="4">
        <v>28</v>
      </c>
      <c r="BK2844" s="8">
        <v>1273.91</v>
      </c>
      <c r="BL2844" s="2" t="s">
        <v>12064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12065</v>
      </c>
      <c r="BV2844" s="2" t="s">
        <v>231</v>
      </c>
      <c r="BW2844" s="2" t="s">
        <v>231</v>
      </c>
      <c r="BX2844" s="2" t="s">
        <v>231</v>
      </c>
      <c r="BY2844" s="2" t="s">
        <v>277</v>
      </c>
      <c r="BZ2844" s="2" t="s">
        <v>243</v>
      </c>
      <c r="CA2844" s="2" t="s">
        <v>1336</v>
      </c>
      <c r="CB2844" s="2" t="s">
        <v>5300</v>
      </c>
      <c r="CC2844" s="2" t="s">
        <v>244</v>
      </c>
      <c r="CD2844" s="2" t="s">
        <v>231</v>
      </c>
      <c r="CE2844" s="4">
        <v>364</v>
      </c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4"/>
      <c r="CX2844" s="4"/>
      <c r="CY2844" s="4"/>
      <c r="CZ2844" s="4"/>
      <c r="DA2844" s="4"/>
      <c r="DB2844" s="4"/>
      <c r="DC2844" s="4"/>
      <c r="DD2844" s="4"/>
      <c r="DE2844" s="4"/>
      <c r="DF2844" s="4"/>
      <c r="DG2844" s="4"/>
      <c r="DH2844" s="4"/>
      <c r="DI2844" s="4"/>
      <c r="DJ2844" s="4"/>
      <c r="DK2844" s="4"/>
      <c r="DL2844" s="4"/>
      <c r="DM2844" s="4"/>
      <c r="DN2844" s="4"/>
      <c r="DO2844" s="4"/>
      <c r="DP2844" s="4"/>
      <c r="DQ2844" s="4"/>
      <c r="DR2844" s="4"/>
      <c r="DS2844" s="4"/>
      <c r="DT2844" s="4"/>
      <c r="DU2844" s="4"/>
      <c r="DV2844" s="4"/>
      <c r="DW2844" s="4"/>
      <c r="DX2844" s="4"/>
      <c r="DY2844" s="4"/>
      <c r="DZ2844" s="4"/>
      <c r="EA2844" s="4"/>
      <c r="EB2844" s="4"/>
      <c r="EC2844" s="4"/>
      <c r="ED2844" s="4"/>
      <c r="EE2844" s="4"/>
      <c r="EF2844" s="4"/>
      <c r="EG2844" s="4"/>
      <c r="EH2844" s="4"/>
      <c r="EI2844" s="4"/>
      <c r="EJ2844" s="4"/>
      <c r="EK2844" s="4"/>
      <c r="EL2844" s="4"/>
      <c r="EM2844" s="4"/>
      <c r="EN2844" s="4"/>
      <c r="EO2844" s="4"/>
      <c r="EP2844" s="4"/>
      <c r="EQ2844" s="4"/>
      <c r="ER2844" s="4"/>
      <c r="ES2844" s="4"/>
      <c r="ET2844" s="4"/>
      <c r="EU2844" s="4"/>
      <c r="EV2844" s="4"/>
      <c r="EW2844" s="4"/>
      <c r="EX2844" s="4"/>
      <c r="EY2844" s="4"/>
      <c r="EZ2844" s="4"/>
      <c r="FA2844" s="4"/>
      <c r="FB2844" s="4"/>
      <c r="FC2844" s="4"/>
      <c r="FD2844" s="4"/>
      <c r="FE2844" s="4"/>
      <c r="FF2844" s="4"/>
      <c r="FG2844" s="4"/>
      <c r="FH2844" s="4"/>
      <c r="FI2844" s="4"/>
      <c r="FJ2844" s="4"/>
      <c r="FK2844" s="4"/>
      <c r="FL2844" s="4"/>
      <c r="FM2844" s="4"/>
      <c r="FN2844" s="4"/>
      <c r="FO2844" s="4"/>
      <c r="FP2844" s="4"/>
      <c r="FQ2844" s="4"/>
      <c r="FR2844" s="4"/>
      <c r="FS2844" s="4"/>
      <c r="FT2844" s="4"/>
      <c r="FU2844" s="4"/>
      <c r="FV2844" s="4"/>
      <c r="FW2844" s="4"/>
      <c r="FX2844" s="4"/>
      <c r="FY2844" s="4"/>
      <c r="FZ2844" s="4"/>
      <c r="GA2844" s="4"/>
      <c r="GB2844" s="4"/>
      <c r="GC2844" s="4"/>
      <c r="GD2844" s="4"/>
      <c r="GE2844" s="4"/>
      <c r="GF2844" s="4"/>
      <c r="GG2844" s="4"/>
      <c r="GH2844" s="4"/>
      <c r="GI2844" s="4"/>
      <c r="GJ2844" s="4"/>
      <c r="GK2844" s="4"/>
      <c r="GL2844" s="4"/>
      <c r="GM2844" s="4"/>
      <c r="GN2844" s="4"/>
      <c r="GO2844" s="4"/>
      <c r="GP2844" s="4"/>
      <c r="GQ2844" s="4"/>
      <c r="GR2844" s="4"/>
      <c r="GS2844" s="4"/>
      <c r="GT2844" s="4"/>
      <c r="GU2844" s="4"/>
      <c r="GV2844" s="4"/>
      <c r="GW2844" s="4"/>
      <c r="GX2844" s="4"/>
      <c r="GY2844" s="4"/>
      <c r="GZ2844" s="4"/>
      <c r="HA2844" s="4"/>
      <c r="HB2844" s="4"/>
      <c r="HC2844" s="4"/>
      <c r="HD2844" s="4"/>
      <c r="HE2844" s="4"/>
      <c r="HF2844" s="4"/>
      <c r="HG2844" s="4"/>
      <c r="HH2844" s="4"/>
      <c r="HI2844" s="4"/>
      <c r="HJ2844" s="4"/>
      <c r="HK2844" s="4"/>
      <c r="HL2844" s="4"/>
    </row>
    <row r="2845">
      <c r="A2845" s="2" t="s">
        <v>12066</v>
      </c>
      <c r="B2845" s="2" t="s">
        <v>847</v>
      </c>
      <c r="C2845" s="2" t="s">
        <v>867</v>
      </c>
      <c r="D2845" s="2" t="s">
        <v>848</v>
      </c>
      <c r="E2845" s="2" t="s">
        <v>2623</v>
      </c>
      <c r="F2845" s="2" t="s">
        <v>12067</v>
      </c>
      <c r="G2845" s="2" t="s">
        <v>12067</v>
      </c>
      <c r="H2845" s="2" t="s">
        <v>12067</v>
      </c>
      <c r="I2845" s="2" t="s">
        <v>12068</v>
      </c>
      <c r="J2845" s="2" t="s">
        <v>807</v>
      </c>
      <c r="K2845" s="2" t="s">
        <v>870</v>
      </c>
      <c r="L2845" s="3">
        <v>38.09</v>
      </c>
      <c r="M2845" s="3">
        <v>39.99</v>
      </c>
      <c r="N2845" s="3">
        <v>79.99</v>
      </c>
      <c r="O2845" s="2" t="s">
        <v>243</v>
      </c>
      <c r="P2845" s="2" t="s">
        <v>236</v>
      </c>
      <c r="Q2845" s="2" t="s">
        <v>237</v>
      </c>
      <c r="R2845" s="2" t="s">
        <v>231</v>
      </c>
      <c r="S2845" s="2" t="s">
        <v>231</v>
      </c>
      <c r="T2845" s="2" t="s">
        <v>231</v>
      </c>
      <c r="U2845" s="2" t="s">
        <v>791</v>
      </c>
      <c r="V2845" s="2" t="s">
        <v>2195</v>
      </c>
      <c r="W2845" s="2" t="s">
        <v>363</v>
      </c>
      <c r="X2845" s="2" t="s">
        <v>5476</v>
      </c>
      <c r="Y2845" s="2" t="s">
        <v>6406</v>
      </c>
      <c r="Z2845" s="4">
        <v>73</v>
      </c>
      <c r="AA2845" s="4">
        <f>=ROUNDDOWN(36.5,0)</f>
      </c>
      <c r="AB2845" s="5">
        <v>2</v>
      </c>
      <c r="AC2845" s="2" t="s">
        <v>231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231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/>
      <c r="BD2845" s="8"/>
      <c r="BE2845" s="4"/>
      <c r="BF2845" s="8"/>
      <c r="BG2845" s="7"/>
      <c r="BH2845" s="7"/>
      <c r="BI2845" s="7"/>
      <c r="BJ2845" s="4">
        <v>7</v>
      </c>
      <c r="BK2845" s="8">
        <v>297.53</v>
      </c>
      <c r="BL2845" s="2" t="s">
        <v>12069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12070</v>
      </c>
      <c r="BV2845" s="2" t="s">
        <v>231</v>
      </c>
      <c r="BW2845" s="2" t="s">
        <v>231</v>
      </c>
      <c r="BX2845" s="2" t="s">
        <v>241</v>
      </c>
      <c r="BY2845" s="2" t="s">
        <v>277</v>
      </c>
      <c r="BZ2845" s="2" t="s">
        <v>243</v>
      </c>
      <c r="CA2845" s="2" t="s">
        <v>6409</v>
      </c>
      <c r="CB2845" s="2" t="s">
        <v>231</v>
      </c>
      <c r="CC2845" s="2" t="s">
        <v>244</v>
      </c>
      <c r="CD2845" s="2" t="s">
        <v>231</v>
      </c>
      <c r="CE2845" s="4"/>
      <c r="CF2845" s="4">
        <v>73</v>
      </c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4"/>
      <c r="CX2845" s="4"/>
      <c r="CY2845" s="4"/>
      <c r="CZ2845" s="4"/>
      <c r="DA2845" s="4"/>
      <c r="DB2845" s="4"/>
      <c r="DC2845" s="4"/>
      <c r="DD2845" s="4"/>
      <c r="DE2845" s="4"/>
      <c r="DF2845" s="4"/>
      <c r="DG2845" s="4"/>
      <c r="DH2845" s="4"/>
      <c r="DI2845" s="4"/>
      <c r="DJ2845" s="4"/>
      <c r="DK2845" s="4"/>
      <c r="DL2845" s="4"/>
      <c r="DM2845" s="4"/>
      <c r="DN2845" s="4"/>
      <c r="DO2845" s="4"/>
      <c r="DP2845" s="4"/>
      <c r="DQ2845" s="4"/>
      <c r="DR2845" s="4"/>
      <c r="DS2845" s="4"/>
      <c r="DT2845" s="4"/>
      <c r="DU2845" s="4"/>
      <c r="DV2845" s="4"/>
      <c r="DW2845" s="4"/>
      <c r="DX2845" s="4"/>
      <c r="DY2845" s="4"/>
      <c r="DZ2845" s="4"/>
      <c r="EA2845" s="4"/>
      <c r="EB2845" s="4"/>
      <c r="EC2845" s="4"/>
      <c r="ED2845" s="4"/>
      <c r="EE2845" s="4"/>
      <c r="EF2845" s="4"/>
      <c r="EG2845" s="4"/>
      <c r="EH2845" s="4"/>
      <c r="EI2845" s="4"/>
      <c r="EJ2845" s="4"/>
      <c r="EK2845" s="4"/>
      <c r="EL2845" s="4"/>
      <c r="EM2845" s="4"/>
      <c r="EN2845" s="4"/>
      <c r="EO2845" s="4"/>
      <c r="EP2845" s="4"/>
      <c r="EQ2845" s="4"/>
      <c r="ER2845" s="4"/>
      <c r="ES2845" s="4"/>
      <c r="ET2845" s="4"/>
      <c r="EU2845" s="4"/>
      <c r="EV2845" s="4"/>
      <c r="EW2845" s="4"/>
      <c r="EX2845" s="4"/>
      <c r="EY2845" s="4"/>
      <c r="EZ2845" s="4"/>
      <c r="FA2845" s="4"/>
      <c r="FB2845" s="4"/>
      <c r="FC2845" s="4"/>
      <c r="FD2845" s="4"/>
      <c r="FE2845" s="4"/>
      <c r="FF2845" s="4"/>
      <c r="FG2845" s="4"/>
      <c r="FH2845" s="4"/>
      <c r="FI2845" s="4"/>
      <c r="FJ2845" s="4"/>
      <c r="FK2845" s="4"/>
      <c r="FL2845" s="4"/>
      <c r="FM2845" s="4"/>
      <c r="FN2845" s="4"/>
      <c r="FO2845" s="4"/>
      <c r="FP2845" s="4"/>
      <c r="FQ2845" s="4"/>
      <c r="FR2845" s="4"/>
      <c r="FS2845" s="4"/>
      <c r="FT2845" s="4"/>
      <c r="FU2845" s="4"/>
      <c r="FV2845" s="4"/>
      <c r="FW2845" s="4"/>
      <c r="FX2845" s="4"/>
      <c r="FY2845" s="4"/>
      <c r="FZ2845" s="4"/>
      <c r="GA2845" s="4"/>
      <c r="GB2845" s="4"/>
      <c r="GC2845" s="4"/>
      <c r="GD2845" s="4"/>
      <c r="GE2845" s="4"/>
      <c r="GF2845" s="4"/>
      <c r="GG2845" s="4"/>
      <c r="GH2845" s="4"/>
      <c r="GI2845" s="4"/>
      <c r="GJ2845" s="4"/>
      <c r="GK2845" s="4"/>
      <c r="GL2845" s="4"/>
      <c r="GM2845" s="4"/>
      <c r="GN2845" s="4"/>
      <c r="GO2845" s="4"/>
      <c r="GP2845" s="4"/>
      <c r="GQ2845" s="4"/>
      <c r="GR2845" s="4"/>
      <c r="GS2845" s="4"/>
      <c r="GT2845" s="4"/>
      <c r="GU2845" s="4"/>
      <c r="GV2845" s="4"/>
      <c r="GW2845" s="4"/>
      <c r="GX2845" s="4"/>
      <c r="GY2845" s="4"/>
      <c r="GZ2845" s="4"/>
      <c r="HA2845" s="4"/>
      <c r="HB2845" s="4"/>
      <c r="HC2845" s="4"/>
      <c r="HD2845" s="4"/>
      <c r="HE2845" s="4"/>
      <c r="HF2845" s="4"/>
      <c r="HG2845" s="4"/>
      <c r="HH2845" s="4"/>
      <c r="HI2845" s="4"/>
      <c r="HJ2845" s="4"/>
      <c r="HK2845" s="4"/>
      <c r="HL2845" s="4"/>
    </row>
    <row r="2846">
      <c r="A2846" s="2" t="s">
        <v>12071</v>
      </c>
      <c r="B2846" s="2" t="s">
        <v>1004</v>
      </c>
      <c r="C2846" s="2" t="s">
        <v>288</v>
      </c>
      <c r="D2846" s="2" t="s">
        <v>2411</v>
      </c>
      <c r="E2846" s="2" t="s">
        <v>2412</v>
      </c>
      <c r="F2846" s="2" t="s">
        <v>12072</v>
      </c>
      <c r="G2846" s="2" t="s">
        <v>12073</v>
      </c>
      <c r="H2846" s="2" t="s">
        <v>12074</v>
      </c>
      <c r="I2846" s="2" t="s">
        <v>12075</v>
      </c>
      <c r="J2846" s="2" t="s">
        <v>807</v>
      </c>
      <c r="K2846" s="2" t="s">
        <v>901</v>
      </c>
      <c r="L2846" s="3">
        <v>150</v>
      </c>
      <c r="M2846" s="3">
        <v>157.5</v>
      </c>
      <c r="N2846" s="3">
        <v>319</v>
      </c>
      <c r="O2846" s="2" t="s">
        <v>235</v>
      </c>
      <c r="P2846" s="2" t="s">
        <v>341</v>
      </c>
      <c r="Q2846" s="2" t="s">
        <v>237</v>
      </c>
      <c r="R2846" s="2" t="s">
        <v>231</v>
      </c>
      <c r="S2846" s="2" t="s">
        <v>231</v>
      </c>
      <c r="T2846" s="2" t="s">
        <v>231</v>
      </c>
      <c r="U2846" s="2" t="s">
        <v>327</v>
      </c>
      <c r="V2846" s="2" t="s">
        <v>239</v>
      </c>
      <c r="W2846" s="2" t="s">
        <v>792</v>
      </c>
      <c r="X2846" s="2" t="s">
        <v>231</v>
      </c>
      <c r="Y2846" s="2" t="s">
        <v>6233</v>
      </c>
      <c r="Z2846" s="4">
        <v>83</v>
      </c>
      <c r="AA2846" s="4">
        <f>=ROUNDDOWN(75.4545454545455,0)</f>
      </c>
      <c r="AB2846" s="5">
        <v>1.1</v>
      </c>
      <c r="AC2846" s="2" t="s">
        <v>231</v>
      </c>
      <c r="AD2846" s="4"/>
      <c r="AE2846" s="4"/>
      <c r="AF2846" s="6">
        <v>75</v>
      </c>
      <c r="AG2846" s="6"/>
      <c r="AH2846" s="7">
        <v>1</v>
      </c>
      <c r="AI2846" s="4"/>
      <c r="AJ2846" s="4">
        <f>=ROUNDDOWN({0},0)</f>
      </c>
      <c r="AK2846" s="5"/>
      <c r="AL2846" s="2" t="s">
        <v>231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/>
      <c r="BD2846" s="8"/>
      <c r="BE2846" s="4"/>
      <c r="BF2846" s="8"/>
      <c r="BG2846" s="7"/>
      <c r="BH2846" s="7"/>
      <c r="BI2846" s="7"/>
      <c r="BJ2846" s="4">
        <v>6</v>
      </c>
      <c r="BK2846" s="8">
        <v>715.86</v>
      </c>
      <c r="BL2846" s="2" t="s">
        <v>2343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12076</v>
      </c>
      <c r="BV2846" s="2" t="s">
        <v>231</v>
      </c>
      <c r="BW2846" s="2" t="s">
        <v>231</v>
      </c>
      <c r="BX2846" s="2" t="s">
        <v>231</v>
      </c>
      <c r="BY2846" s="2" t="s">
        <v>277</v>
      </c>
      <c r="BZ2846" s="2" t="s">
        <v>243</v>
      </c>
      <c r="CA2846" s="2" t="s">
        <v>2620</v>
      </c>
      <c r="CB2846" s="2" t="s">
        <v>3628</v>
      </c>
      <c r="CC2846" s="2" t="s">
        <v>244</v>
      </c>
      <c r="CD2846" s="2" t="s">
        <v>231</v>
      </c>
      <c r="CE2846" s="4"/>
      <c r="CF2846" s="4">
        <v>83</v>
      </c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4"/>
      <c r="CX2846" s="4"/>
      <c r="CY2846" s="4"/>
      <c r="CZ2846" s="4"/>
      <c r="DA2846" s="4"/>
      <c r="DB2846" s="4"/>
      <c r="DC2846" s="4"/>
      <c r="DD2846" s="4"/>
      <c r="DE2846" s="4"/>
      <c r="DF2846" s="4"/>
      <c r="DG2846" s="4"/>
      <c r="DH2846" s="4"/>
      <c r="DI2846" s="4"/>
      <c r="DJ2846" s="4"/>
      <c r="DK2846" s="4"/>
      <c r="DL2846" s="4"/>
      <c r="DM2846" s="4"/>
      <c r="DN2846" s="4"/>
      <c r="DO2846" s="4"/>
      <c r="DP2846" s="4"/>
      <c r="DQ2846" s="4"/>
      <c r="DR2846" s="4"/>
      <c r="DS2846" s="4"/>
      <c r="DT2846" s="4"/>
      <c r="DU2846" s="4"/>
      <c r="DV2846" s="4"/>
      <c r="DW2846" s="4"/>
      <c r="DX2846" s="4"/>
      <c r="DY2846" s="4"/>
      <c r="DZ2846" s="4"/>
      <c r="EA2846" s="4"/>
      <c r="EB2846" s="4"/>
      <c r="EC2846" s="4"/>
      <c r="ED2846" s="4"/>
      <c r="EE2846" s="4"/>
      <c r="EF2846" s="4"/>
      <c r="EG2846" s="4"/>
      <c r="EH2846" s="4"/>
      <c r="EI2846" s="4"/>
      <c r="EJ2846" s="4"/>
      <c r="EK2846" s="4"/>
      <c r="EL2846" s="4"/>
      <c r="EM2846" s="4"/>
      <c r="EN2846" s="4"/>
      <c r="EO2846" s="4"/>
      <c r="EP2846" s="4"/>
      <c r="EQ2846" s="4"/>
      <c r="ER2846" s="4"/>
      <c r="ES2846" s="4"/>
      <c r="ET2846" s="4"/>
      <c r="EU2846" s="4"/>
      <c r="EV2846" s="4"/>
      <c r="EW2846" s="4"/>
      <c r="EX2846" s="4"/>
      <c r="EY2846" s="4"/>
      <c r="EZ2846" s="4"/>
      <c r="FA2846" s="4"/>
      <c r="FB2846" s="4"/>
      <c r="FC2846" s="4"/>
      <c r="FD2846" s="4"/>
      <c r="FE2846" s="4"/>
      <c r="FF2846" s="4"/>
      <c r="FG2846" s="4"/>
      <c r="FH2846" s="4"/>
      <c r="FI2846" s="4"/>
      <c r="FJ2846" s="4"/>
      <c r="FK2846" s="4"/>
      <c r="FL2846" s="4"/>
      <c r="FM2846" s="4"/>
      <c r="FN2846" s="4"/>
      <c r="FO2846" s="4"/>
      <c r="FP2846" s="4"/>
      <c r="FQ2846" s="4"/>
      <c r="FR2846" s="4"/>
      <c r="FS2846" s="4"/>
      <c r="FT2846" s="4"/>
      <c r="FU2846" s="4"/>
      <c r="FV2846" s="4"/>
      <c r="FW2846" s="4"/>
      <c r="FX2846" s="4"/>
      <c r="FY2846" s="4"/>
      <c r="FZ2846" s="4"/>
      <c r="GA2846" s="4"/>
      <c r="GB2846" s="4"/>
      <c r="GC2846" s="4"/>
      <c r="GD2846" s="4"/>
      <c r="GE2846" s="4"/>
      <c r="GF2846" s="4"/>
      <c r="GG2846" s="4"/>
      <c r="GH2846" s="4"/>
      <c r="GI2846" s="4"/>
      <c r="GJ2846" s="4"/>
      <c r="GK2846" s="4"/>
      <c r="GL2846" s="4"/>
      <c r="GM2846" s="4"/>
      <c r="GN2846" s="4"/>
      <c r="GO2846" s="4"/>
      <c r="GP2846" s="4"/>
      <c r="GQ2846" s="4"/>
      <c r="GR2846" s="4"/>
      <c r="GS2846" s="4"/>
      <c r="GT2846" s="4"/>
      <c r="GU2846" s="4"/>
      <c r="GV2846" s="4"/>
      <c r="GW2846" s="4"/>
      <c r="GX2846" s="4"/>
      <c r="GY2846" s="4"/>
      <c r="GZ2846" s="4"/>
      <c r="HA2846" s="4"/>
      <c r="HB2846" s="4"/>
      <c r="HC2846" s="4"/>
      <c r="HD2846" s="4"/>
      <c r="HE2846" s="4"/>
      <c r="HF2846" s="4"/>
      <c r="HG2846" s="4"/>
      <c r="HH2846" s="4"/>
      <c r="HI2846" s="4"/>
      <c r="HJ2846" s="4"/>
      <c r="HK2846" s="4"/>
      <c r="HL2846" s="4"/>
    </row>
    <row r="2847">
      <c r="A2847" s="2" t="s">
        <v>12077</v>
      </c>
      <c r="B2847" s="2" t="s">
        <v>226</v>
      </c>
      <c r="C2847" s="2" t="s">
        <v>3948</v>
      </c>
      <c r="D2847" s="2" t="s">
        <v>1549</v>
      </c>
      <c r="E2847" s="2" t="s">
        <v>6675</v>
      </c>
      <c r="F2847" s="2" t="s">
        <v>12078</v>
      </c>
      <c r="G2847" s="2" t="s">
        <v>12078</v>
      </c>
      <c r="H2847" s="2" t="s">
        <v>12078</v>
      </c>
      <c r="I2847" s="2" t="s">
        <v>12079</v>
      </c>
      <c r="J2847" s="2" t="s">
        <v>318</v>
      </c>
      <c r="K2847" s="2" t="s">
        <v>12080</v>
      </c>
      <c r="L2847" s="3">
        <v>51.11</v>
      </c>
      <c r="M2847" s="3">
        <v>53.67</v>
      </c>
      <c r="N2847" s="3">
        <v>79.99</v>
      </c>
      <c r="O2847" s="2" t="s">
        <v>235</v>
      </c>
      <c r="P2847" s="2" t="s">
        <v>1019</v>
      </c>
      <c r="Q2847" s="2" t="s">
        <v>237</v>
      </c>
      <c r="R2847" s="2" t="s">
        <v>1020</v>
      </c>
      <c r="S2847" s="2" t="s">
        <v>231</v>
      </c>
      <c r="T2847" s="2" t="s">
        <v>231</v>
      </c>
      <c r="U2847" s="2" t="s">
        <v>327</v>
      </c>
      <c r="V2847" s="2" t="s">
        <v>239</v>
      </c>
      <c r="W2847" s="2" t="s">
        <v>231</v>
      </c>
      <c r="X2847" s="2" t="s">
        <v>231</v>
      </c>
      <c r="Y2847" s="2" t="s">
        <v>5283</v>
      </c>
      <c r="Z2847" s="4">
        <v>77</v>
      </c>
      <c r="AA2847" s="4">
        <f>=ROUNDDOWN(96.25,0)</f>
      </c>
      <c r="AB2847" s="5">
        <v>0.8</v>
      </c>
      <c r="AC2847" s="2" t="s">
        <v>231</v>
      </c>
      <c r="AD2847" s="4"/>
      <c r="AE2847" s="4"/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231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231</v>
      </c>
      <c r="AW2847" s="8" t="s">
        <v>231</v>
      </c>
      <c r="AX2847" s="4" t="s">
        <v>231</v>
      </c>
      <c r="AY2847" s="8" t="s">
        <v>231</v>
      </c>
      <c r="AZ2847" s="7" t="s">
        <v>231</v>
      </c>
      <c r="BA2847" s="7" t="s">
        <v>231</v>
      </c>
      <c r="BB2847" s="7"/>
      <c r="BC2847" s="4" t="s">
        <v>231</v>
      </c>
      <c r="BD2847" s="8" t="s">
        <v>231</v>
      </c>
      <c r="BE2847" s="4" t="s">
        <v>231</v>
      </c>
      <c r="BF2847" s="8" t="s">
        <v>231</v>
      </c>
      <c r="BG2847" s="7" t="s">
        <v>231</v>
      </c>
      <c r="BH2847" s="7" t="s">
        <v>231</v>
      </c>
      <c r="BI2847" s="7"/>
      <c r="BJ2847" s="4"/>
      <c r="BK2847" s="8"/>
      <c r="BL2847" s="2" t="s">
        <v>231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12081</v>
      </c>
      <c r="BV2847" s="2" t="s">
        <v>231</v>
      </c>
      <c r="BW2847" s="2" t="s">
        <v>231</v>
      </c>
      <c r="BX2847" s="2" t="s">
        <v>241</v>
      </c>
      <c r="BY2847" s="2" t="s">
        <v>277</v>
      </c>
      <c r="BZ2847" s="2" t="s">
        <v>243</v>
      </c>
      <c r="CA2847" s="2" t="s">
        <v>1680</v>
      </c>
      <c r="CB2847" s="2" t="s">
        <v>231</v>
      </c>
      <c r="CC2847" s="2" t="s">
        <v>244</v>
      </c>
      <c r="CD2847" s="2" t="s">
        <v>231</v>
      </c>
      <c r="CE2847" s="4">
        <v>77</v>
      </c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4"/>
      <c r="CX2847" s="4"/>
      <c r="CY2847" s="4"/>
      <c r="CZ2847" s="4"/>
      <c r="DA2847" s="4"/>
      <c r="DB2847" s="4"/>
      <c r="DC2847" s="4"/>
      <c r="DD2847" s="4"/>
      <c r="DE2847" s="4"/>
      <c r="DF2847" s="4"/>
      <c r="DG2847" s="4"/>
      <c r="DH2847" s="4"/>
      <c r="DI2847" s="4"/>
      <c r="DJ2847" s="4"/>
      <c r="DK2847" s="4"/>
      <c r="DL2847" s="4"/>
      <c r="DM2847" s="4"/>
      <c r="DN2847" s="4"/>
      <c r="DO2847" s="4"/>
      <c r="DP2847" s="4"/>
      <c r="DQ2847" s="4"/>
      <c r="DR2847" s="4"/>
      <c r="DS2847" s="4"/>
      <c r="DT2847" s="4"/>
      <c r="DU2847" s="4"/>
      <c r="DV2847" s="4"/>
      <c r="DW2847" s="4"/>
      <c r="DX2847" s="4"/>
      <c r="DY2847" s="4"/>
      <c r="DZ2847" s="4"/>
      <c r="EA2847" s="4"/>
      <c r="EB2847" s="4"/>
      <c r="EC2847" s="4"/>
      <c r="ED2847" s="4"/>
      <c r="EE2847" s="4"/>
      <c r="EF2847" s="4"/>
      <c r="EG2847" s="4"/>
      <c r="EH2847" s="4"/>
      <c r="EI2847" s="4"/>
      <c r="EJ2847" s="4"/>
      <c r="EK2847" s="4"/>
      <c r="EL2847" s="4"/>
      <c r="EM2847" s="4"/>
      <c r="EN2847" s="4"/>
      <c r="EO2847" s="4"/>
      <c r="EP2847" s="4"/>
      <c r="EQ2847" s="4"/>
      <c r="ER2847" s="4"/>
      <c r="ES2847" s="4"/>
      <c r="ET2847" s="4"/>
      <c r="EU2847" s="4"/>
      <c r="EV2847" s="4"/>
      <c r="EW2847" s="4"/>
      <c r="EX2847" s="4"/>
      <c r="EY2847" s="4"/>
      <c r="EZ2847" s="4"/>
      <c r="FA2847" s="4"/>
      <c r="FB2847" s="4"/>
      <c r="FC2847" s="4"/>
      <c r="FD2847" s="4"/>
      <c r="FE2847" s="4"/>
      <c r="FF2847" s="4"/>
      <c r="FG2847" s="4"/>
      <c r="FH2847" s="4"/>
      <c r="FI2847" s="4"/>
      <c r="FJ2847" s="4"/>
      <c r="FK2847" s="4"/>
      <c r="FL2847" s="4"/>
      <c r="FM2847" s="4"/>
      <c r="FN2847" s="4"/>
      <c r="FO2847" s="4"/>
      <c r="FP2847" s="4"/>
      <c r="FQ2847" s="4"/>
      <c r="FR2847" s="4"/>
      <c r="FS2847" s="4"/>
      <c r="FT2847" s="4"/>
      <c r="FU2847" s="4"/>
      <c r="FV2847" s="4"/>
      <c r="FW2847" s="4"/>
      <c r="FX2847" s="4"/>
      <c r="FY2847" s="4"/>
      <c r="FZ2847" s="4"/>
      <c r="GA2847" s="4"/>
      <c r="GB2847" s="4"/>
      <c r="GC2847" s="4"/>
      <c r="GD2847" s="4"/>
      <c r="GE2847" s="4"/>
      <c r="GF2847" s="4"/>
      <c r="GG2847" s="4"/>
      <c r="GH2847" s="4"/>
      <c r="GI2847" s="4"/>
      <c r="GJ2847" s="4"/>
      <c r="GK2847" s="4"/>
      <c r="GL2847" s="4"/>
      <c r="GM2847" s="4"/>
      <c r="GN2847" s="4"/>
      <c r="GO2847" s="4"/>
      <c r="GP2847" s="4"/>
      <c r="GQ2847" s="4"/>
      <c r="GR2847" s="4"/>
      <c r="GS2847" s="4"/>
      <c r="GT2847" s="4"/>
      <c r="GU2847" s="4"/>
      <c r="GV2847" s="4"/>
      <c r="GW2847" s="4"/>
      <c r="GX2847" s="4"/>
      <c r="GY2847" s="4"/>
      <c r="GZ2847" s="4"/>
      <c r="HA2847" s="4"/>
      <c r="HB2847" s="4"/>
      <c r="HC2847" s="4"/>
      <c r="HD2847" s="4"/>
      <c r="HE2847" s="4"/>
      <c r="HF2847" s="4"/>
      <c r="HG2847" s="4"/>
      <c r="HH2847" s="4"/>
      <c r="HI2847" s="4"/>
      <c r="HJ2847" s="4"/>
      <c r="HK2847" s="4"/>
      <c r="HL2847" s="4"/>
    </row>
    <row r="2848">
      <c r="A2848" s="2" t="s">
        <v>12082</v>
      </c>
      <c r="B2848" s="2" t="s">
        <v>226</v>
      </c>
      <c r="C2848" s="2" t="s">
        <v>3948</v>
      </c>
      <c r="D2848" s="2" t="s">
        <v>1549</v>
      </c>
      <c r="E2848" s="2" t="s">
        <v>6675</v>
      </c>
      <c r="F2848" s="2" t="s">
        <v>12078</v>
      </c>
      <c r="G2848" s="2" t="s">
        <v>12078</v>
      </c>
      <c r="H2848" s="2" t="s">
        <v>12078</v>
      </c>
      <c r="I2848" s="2" t="s">
        <v>12079</v>
      </c>
      <c r="J2848" s="2" t="s">
        <v>293</v>
      </c>
      <c r="K2848" s="2" t="s">
        <v>12080</v>
      </c>
      <c r="L2848" s="3">
        <v>83.06</v>
      </c>
      <c r="M2848" s="3">
        <v>87.21</v>
      </c>
      <c r="N2848" s="3">
        <v>129.99</v>
      </c>
      <c r="O2848" s="2" t="s">
        <v>235</v>
      </c>
      <c r="P2848" s="2" t="s">
        <v>1019</v>
      </c>
      <c r="Q2848" s="2" t="s">
        <v>237</v>
      </c>
      <c r="R2848" s="2" t="s">
        <v>1020</v>
      </c>
      <c r="S2848" s="2" t="s">
        <v>231</v>
      </c>
      <c r="T2848" s="2" t="s">
        <v>231</v>
      </c>
      <c r="U2848" s="2" t="s">
        <v>327</v>
      </c>
      <c r="V2848" s="2" t="s">
        <v>239</v>
      </c>
      <c r="W2848" s="2" t="s">
        <v>231</v>
      </c>
      <c r="X2848" s="2" t="s">
        <v>231</v>
      </c>
      <c r="Y2848" s="2" t="s">
        <v>5283</v>
      </c>
      <c r="Z2848" s="4">
        <v>134</v>
      </c>
      <c r="AA2848" s="4">
        <f>=ROUNDDOWN({0},0)</f>
      </c>
      <c r="AB2848" s="5"/>
      <c r="AC2848" s="2" t="s">
        <v>231</v>
      </c>
      <c r="AD2848" s="4"/>
      <c r="AE2848" s="4"/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231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231</v>
      </c>
      <c r="AW2848" s="8" t="s">
        <v>231</v>
      </c>
      <c r="AX2848" s="4" t="s">
        <v>231</v>
      </c>
      <c r="AY2848" s="8" t="s">
        <v>231</v>
      </c>
      <c r="AZ2848" s="7" t="s">
        <v>231</v>
      </c>
      <c r="BA2848" s="7" t="s">
        <v>231</v>
      </c>
      <c r="BB2848" s="7"/>
      <c r="BC2848" s="4" t="s">
        <v>231</v>
      </c>
      <c r="BD2848" s="8" t="s">
        <v>231</v>
      </c>
      <c r="BE2848" s="4" t="s">
        <v>231</v>
      </c>
      <c r="BF2848" s="8" t="s">
        <v>231</v>
      </c>
      <c r="BG2848" s="7" t="s">
        <v>231</v>
      </c>
      <c r="BH2848" s="7" t="s">
        <v>231</v>
      </c>
      <c r="BI2848" s="7"/>
      <c r="BJ2848" s="4"/>
      <c r="BK2848" s="8"/>
      <c r="BL2848" s="2" t="s">
        <v>231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12083</v>
      </c>
      <c r="BV2848" s="2" t="s">
        <v>231</v>
      </c>
      <c r="BW2848" s="2" t="s">
        <v>231</v>
      </c>
      <c r="BX2848" s="2" t="s">
        <v>241</v>
      </c>
      <c r="BY2848" s="2" t="s">
        <v>277</v>
      </c>
      <c r="BZ2848" s="2" t="s">
        <v>243</v>
      </c>
      <c r="CA2848" s="2" t="s">
        <v>1680</v>
      </c>
      <c r="CB2848" s="2" t="s">
        <v>231</v>
      </c>
      <c r="CC2848" s="2" t="s">
        <v>244</v>
      </c>
      <c r="CD2848" s="2" t="s">
        <v>231</v>
      </c>
      <c r="CE2848" s="4">
        <v>134</v>
      </c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4"/>
      <c r="CX2848" s="4"/>
      <c r="CY2848" s="4"/>
      <c r="CZ2848" s="4"/>
      <c r="DA2848" s="4"/>
      <c r="DB2848" s="4"/>
      <c r="DC2848" s="4"/>
      <c r="DD2848" s="4"/>
      <c r="DE2848" s="4"/>
      <c r="DF2848" s="4"/>
      <c r="DG2848" s="4"/>
      <c r="DH2848" s="4"/>
      <c r="DI2848" s="4"/>
      <c r="DJ2848" s="4"/>
      <c r="DK2848" s="4"/>
      <c r="DL2848" s="4"/>
      <c r="DM2848" s="4"/>
      <c r="DN2848" s="4"/>
      <c r="DO2848" s="4"/>
      <c r="DP2848" s="4"/>
      <c r="DQ2848" s="4"/>
      <c r="DR2848" s="4"/>
      <c r="DS2848" s="4"/>
      <c r="DT2848" s="4"/>
      <c r="DU2848" s="4"/>
      <c r="DV2848" s="4"/>
      <c r="DW2848" s="4"/>
      <c r="DX2848" s="4"/>
      <c r="DY2848" s="4"/>
      <c r="DZ2848" s="4"/>
      <c r="EA2848" s="4"/>
      <c r="EB2848" s="4"/>
      <c r="EC2848" s="4"/>
      <c r="ED2848" s="4"/>
      <c r="EE2848" s="4"/>
      <c r="EF2848" s="4"/>
      <c r="EG2848" s="4"/>
      <c r="EH2848" s="4"/>
      <c r="EI2848" s="4"/>
      <c r="EJ2848" s="4"/>
      <c r="EK2848" s="4"/>
      <c r="EL2848" s="4"/>
      <c r="EM2848" s="4"/>
      <c r="EN2848" s="4"/>
      <c r="EO2848" s="4"/>
      <c r="EP2848" s="4"/>
      <c r="EQ2848" s="4"/>
      <c r="ER2848" s="4"/>
      <c r="ES2848" s="4"/>
      <c r="ET2848" s="4"/>
      <c r="EU2848" s="4"/>
      <c r="EV2848" s="4"/>
      <c r="EW2848" s="4"/>
      <c r="EX2848" s="4"/>
      <c r="EY2848" s="4"/>
      <c r="EZ2848" s="4"/>
      <c r="FA2848" s="4"/>
      <c r="FB2848" s="4"/>
      <c r="FC2848" s="4"/>
      <c r="FD2848" s="4"/>
      <c r="FE2848" s="4"/>
      <c r="FF2848" s="4"/>
      <c r="FG2848" s="4"/>
      <c r="FH2848" s="4"/>
      <c r="FI2848" s="4"/>
      <c r="FJ2848" s="4"/>
      <c r="FK2848" s="4"/>
      <c r="FL2848" s="4"/>
      <c r="FM2848" s="4"/>
      <c r="FN2848" s="4"/>
      <c r="FO2848" s="4"/>
      <c r="FP2848" s="4"/>
      <c r="FQ2848" s="4"/>
      <c r="FR2848" s="4"/>
      <c r="FS2848" s="4"/>
      <c r="FT2848" s="4"/>
      <c r="FU2848" s="4"/>
      <c r="FV2848" s="4"/>
      <c r="FW2848" s="4"/>
      <c r="FX2848" s="4"/>
      <c r="FY2848" s="4"/>
      <c r="FZ2848" s="4"/>
      <c r="GA2848" s="4"/>
      <c r="GB2848" s="4"/>
      <c r="GC2848" s="4"/>
      <c r="GD2848" s="4"/>
      <c r="GE2848" s="4"/>
      <c r="GF2848" s="4"/>
      <c r="GG2848" s="4"/>
      <c r="GH2848" s="4"/>
      <c r="GI2848" s="4"/>
      <c r="GJ2848" s="4"/>
      <c r="GK2848" s="4"/>
      <c r="GL2848" s="4"/>
      <c r="GM2848" s="4"/>
      <c r="GN2848" s="4"/>
      <c r="GO2848" s="4"/>
      <c r="GP2848" s="4"/>
      <c r="GQ2848" s="4"/>
      <c r="GR2848" s="4"/>
      <c r="GS2848" s="4"/>
      <c r="GT2848" s="4"/>
      <c r="GU2848" s="4"/>
      <c r="GV2848" s="4"/>
      <c r="GW2848" s="4"/>
      <c r="GX2848" s="4"/>
      <c r="GY2848" s="4"/>
      <c r="GZ2848" s="4"/>
      <c r="HA2848" s="4"/>
      <c r="HB2848" s="4"/>
      <c r="HC2848" s="4"/>
      <c r="HD2848" s="4"/>
      <c r="HE2848" s="4"/>
      <c r="HF2848" s="4"/>
      <c r="HG2848" s="4"/>
      <c r="HH2848" s="4"/>
      <c r="HI2848" s="4"/>
      <c r="HJ2848" s="4"/>
      <c r="HK2848" s="4"/>
      <c r="HL2848" s="4"/>
    </row>
    <row r="2849">
      <c r="A2849" s="2" t="s">
        <v>12084</v>
      </c>
      <c r="B2849" s="2" t="s">
        <v>226</v>
      </c>
      <c r="C2849" s="2" t="s">
        <v>3948</v>
      </c>
      <c r="D2849" s="2" t="s">
        <v>1549</v>
      </c>
      <c r="E2849" s="2" t="s">
        <v>6675</v>
      </c>
      <c r="F2849" s="2" t="s">
        <v>12078</v>
      </c>
      <c r="G2849" s="2" t="s">
        <v>12078</v>
      </c>
      <c r="H2849" s="2" t="s">
        <v>12078</v>
      </c>
      <c r="I2849" s="2" t="s">
        <v>12079</v>
      </c>
      <c r="J2849" s="2" t="s">
        <v>302</v>
      </c>
      <c r="K2849" s="2" t="s">
        <v>12080</v>
      </c>
      <c r="L2849" s="3">
        <v>89.45</v>
      </c>
      <c r="M2849" s="3">
        <v>93.92</v>
      </c>
      <c r="N2849" s="3">
        <v>139.99</v>
      </c>
      <c r="O2849" s="2" t="s">
        <v>235</v>
      </c>
      <c r="P2849" s="2" t="s">
        <v>1019</v>
      </c>
      <c r="Q2849" s="2" t="s">
        <v>237</v>
      </c>
      <c r="R2849" s="2" t="s">
        <v>1020</v>
      </c>
      <c r="S2849" s="2" t="s">
        <v>231</v>
      </c>
      <c r="T2849" s="2" t="s">
        <v>231</v>
      </c>
      <c r="U2849" s="2" t="s">
        <v>327</v>
      </c>
      <c r="V2849" s="2" t="s">
        <v>239</v>
      </c>
      <c r="W2849" s="2" t="s">
        <v>231</v>
      </c>
      <c r="X2849" s="2" t="s">
        <v>231</v>
      </c>
      <c r="Y2849" s="2" t="s">
        <v>5283</v>
      </c>
      <c r="Z2849" s="4">
        <v>111</v>
      </c>
      <c r="AA2849" s="4">
        <f>=ROUNDDOWN({0},0)</f>
      </c>
      <c r="AB2849" s="5"/>
      <c r="AC2849" s="2" t="s">
        <v>231</v>
      </c>
      <c r="AD2849" s="4"/>
      <c r="AE2849" s="4"/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231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231</v>
      </c>
      <c r="AW2849" s="8" t="s">
        <v>231</v>
      </c>
      <c r="AX2849" s="4" t="s">
        <v>231</v>
      </c>
      <c r="AY2849" s="8" t="s">
        <v>231</v>
      </c>
      <c r="AZ2849" s="7" t="s">
        <v>231</v>
      </c>
      <c r="BA2849" s="7" t="s">
        <v>231</v>
      </c>
      <c r="BB2849" s="7"/>
      <c r="BC2849" s="4" t="s">
        <v>231</v>
      </c>
      <c r="BD2849" s="8" t="s">
        <v>231</v>
      </c>
      <c r="BE2849" s="4" t="s">
        <v>231</v>
      </c>
      <c r="BF2849" s="8" t="s">
        <v>231</v>
      </c>
      <c r="BG2849" s="7" t="s">
        <v>231</v>
      </c>
      <c r="BH2849" s="7" t="s">
        <v>231</v>
      </c>
      <c r="BI2849" s="7"/>
      <c r="BJ2849" s="4"/>
      <c r="BK2849" s="8"/>
      <c r="BL2849" s="2" t="s">
        <v>231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12085</v>
      </c>
      <c r="BV2849" s="2" t="s">
        <v>231</v>
      </c>
      <c r="BW2849" s="2" t="s">
        <v>231</v>
      </c>
      <c r="BX2849" s="2" t="s">
        <v>241</v>
      </c>
      <c r="BY2849" s="2" t="s">
        <v>277</v>
      </c>
      <c r="BZ2849" s="2" t="s">
        <v>243</v>
      </c>
      <c r="CA2849" s="2" t="s">
        <v>1680</v>
      </c>
      <c r="CB2849" s="2" t="s">
        <v>231</v>
      </c>
      <c r="CC2849" s="2" t="s">
        <v>244</v>
      </c>
      <c r="CD2849" s="2" t="s">
        <v>231</v>
      </c>
      <c r="CE2849" s="4">
        <v>111</v>
      </c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  <c r="DP2849" s="4"/>
      <c r="DQ2849" s="4"/>
      <c r="DR2849" s="4"/>
      <c r="DS2849" s="4"/>
      <c r="DT2849" s="4"/>
      <c r="DU2849" s="4"/>
      <c r="DV2849" s="4"/>
      <c r="DW2849" s="4"/>
      <c r="DX2849" s="4"/>
      <c r="DY2849" s="4"/>
      <c r="DZ2849" s="4"/>
      <c r="EA2849" s="4"/>
      <c r="EB2849" s="4"/>
      <c r="EC2849" s="4"/>
      <c r="ED2849" s="4"/>
      <c r="EE2849" s="4"/>
      <c r="EF2849" s="4"/>
      <c r="EG2849" s="4"/>
      <c r="EH2849" s="4"/>
      <c r="EI2849" s="4"/>
      <c r="EJ2849" s="4"/>
      <c r="EK2849" s="4"/>
      <c r="EL2849" s="4"/>
      <c r="EM2849" s="4"/>
      <c r="EN2849" s="4"/>
      <c r="EO2849" s="4"/>
      <c r="EP2849" s="4"/>
      <c r="EQ2849" s="4"/>
      <c r="ER2849" s="4"/>
      <c r="ES2849" s="4"/>
      <c r="ET2849" s="4"/>
      <c r="EU2849" s="4"/>
      <c r="EV2849" s="4"/>
      <c r="EW2849" s="4"/>
      <c r="EX2849" s="4"/>
      <c r="EY2849" s="4"/>
      <c r="EZ2849" s="4"/>
      <c r="FA2849" s="4"/>
      <c r="FB2849" s="4"/>
      <c r="FC2849" s="4"/>
      <c r="FD2849" s="4"/>
      <c r="FE2849" s="4"/>
      <c r="FF2849" s="4"/>
      <c r="FG2849" s="4"/>
      <c r="FH2849" s="4"/>
      <c r="FI2849" s="4"/>
      <c r="FJ2849" s="4"/>
      <c r="FK2849" s="4"/>
      <c r="FL2849" s="4"/>
      <c r="FM2849" s="4"/>
      <c r="FN2849" s="4"/>
      <c r="FO2849" s="4"/>
      <c r="FP2849" s="4"/>
      <c r="FQ2849" s="4"/>
      <c r="FR2849" s="4"/>
      <c r="FS2849" s="4"/>
      <c r="FT2849" s="4"/>
      <c r="FU2849" s="4"/>
      <c r="FV2849" s="4"/>
      <c r="FW2849" s="4"/>
      <c r="FX2849" s="4"/>
      <c r="FY2849" s="4"/>
      <c r="FZ2849" s="4"/>
      <c r="GA2849" s="4"/>
      <c r="GB2849" s="4"/>
      <c r="GC2849" s="4"/>
      <c r="GD2849" s="4"/>
      <c r="GE2849" s="4"/>
      <c r="GF2849" s="4"/>
      <c r="GG2849" s="4"/>
      <c r="GH2849" s="4"/>
      <c r="GI2849" s="4"/>
      <c r="GJ2849" s="4"/>
      <c r="GK2849" s="4"/>
      <c r="GL2849" s="4"/>
      <c r="GM2849" s="4"/>
      <c r="GN2849" s="4"/>
      <c r="GO2849" s="4"/>
      <c r="GP2849" s="4"/>
      <c r="GQ2849" s="4"/>
      <c r="GR2849" s="4"/>
      <c r="GS2849" s="4"/>
      <c r="GT2849" s="4"/>
      <c r="GU2849" s="4"/>
      <c r="GV2849" s="4"/>
      <c r="GW2849" s="4"/>
      <c r="GX2849" s="4"/>
      <c r="GY2849" s="4"/>
      <c r="GZ2849" s="4"/>
      <c r="HA2849" s="4"/>
      <c r="HB2849" s="4"/>
      <c r="HC2849" s="4"/>
      <c r="HD2849" s="4"/>
      <c r="HE2849" s="4"/>
      <c r="HF2849" s="4"/>
      <c r="HG2849" s="4"/>
      <c r="HH2849" s="4"/>
      <c r="HI2849" s="4"/>
      <c r="HJ2849" s="4"/>
      <c r="HK2849" s="4"/>
      <c r="HL2849" s="4"/>
    </row>
    <row r="2850">
      <c r="A2850" s="2" t="s">
        <v>12086</v>
      </c>
      <c r="B2850" s="2" t="s">
        <v>226</v>
      </c>
      <c r="C2850" s="2" t="s">
        <v>3948</v>
      </c>
      <c r="D2850" s="2" t="s">
        <v>1549</v>
      </c>
      <c r="E2850" s="2" t="s">
        <v>6675</v>
      </c>
      <c r="F2850" s="2" t="s">
        <v>12078</v>
      </c>
      <c r="G2850" s="2" t="s">
        <v>12078</v>
      </c>
      <c r="H2850" s="2" t="s">
        <v>12078</v>
      </c>
      <c r="I2850" s="2" t="s">
        <v>12079</v>
      </c>
      <c r="J2850" s="2" t="s">
        <v>318</v>
      </c>
      <c r="K2850" s="2" t="s">
        <v>682</v>
      </c>
      <c r="L2850" s="3">
        <v>51.11</v>
      </c>
      <c r="M2850" s="3">
        <v>53.67</v>
      </c>
      <c r="N2850" s="3">
        <v>79.99</v>
      </c>
      <c r="O2850" s="2" t="s">
        <v>235</v>
      </c>
      <c r="P2850" s="2" t="s">
        <v>1019</v>
      </c>
      <c r="Q2850" s="2" t="s">
        <v>237</v>
      </c>
      <c r="R2850" s="2" t="s">
        <v>1020</v>
      </c>
      <c r="S2850" s="2" t="s">
        <v>231</v>
      </c>
      <c r="T2850" s="2" t="s">
        <v>231</v>
      </c>
      <c r="U2850" s="2" t="s">
        <v>327</v>
      </c>
      <c r="V2850" s="2" t="s">
        <v>239</v>
      </c>
      <c r="W2850" s="2" t="s">
        <v>231</v>
      </c>
      <c r="X2850" s="2" t="s">
        <v>231</v>
      </c>
      <c r="Y2850" s="2" t="s">
        <v>5283</v>
      </c>
      <c r="Z2850" s="4">
        <v>73</v>
      </c>
      <c r="AA2850" s="4">
        <f>=ROUNDDOWN(29.2,0)</f>
      </c>
      <c r="AB2850" s="5">
        <v>2.5</v>
      </c>
      <c r="AC2850" s="2" t="s">
        <v>231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231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231</v>
      </c>
      <c r="AW2850" s="8" t="s">
        <v>231</v>
      </c>
      <c r="AX2850" s="4" t="s">
        <v>231</v>
      </c>
      <c r="AY2850" s="8" t="s">
        <v>231</v>
      </c>
      <c r="AZ2850" s="7" t="s">
        <v>231</v>
      </c>
      <c r="BA2850" s="7" t="s">
        <v>231</v>
      </c>
      <c r="BB2850" s="7"/>
      <c r="BC2850" s="4" t="s">
        <v>231</v>
      </c>
      <c r="BD2850" s="8" t="s">
        <v>231</v>
      </c>
      <c r="BE2850" s="4" t="s">
        <v>231</v>
      </c>
      <c r="BF2850" s="8" t="s">
        <v>231</v>
      </c>
      <c r="BG2850" s="7" t="s">
        <v>231</v>
      </c>
      <c r="BH2850" s="7" t="s">
        <v>231</v>
      </c>
      <c r="BI2850" s="7"/>
      <c r="BJ2850" s="4"/>
      <c r="BK2850" s="8"/>
      <c r="BL2850" s="2" t="s">
        <v>2565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12087</v>
      </c>
      <c r="BV2850" s="2" t="s">
        <v>231</v>
      </c>
      <c r="BW2850" s="2" t="s">
        <v>231</v>
      </c>
      <c r="BX2850" s="2" t="s">
        <v>241</v>
      </c>
      <c r="BY2850" s="2" t="s">
        <v>277</v>
      </c>
      <c r="BZ2850" s="2" t="s">
        <v>243</v>
      </c>
      <c r="CA2850" s="2" t="s">
        <v>1680</v>
      </c>
      <c r="CB2850" s="2" t="s">
        <v>231</v>
      </c>
      <c r="CC2850" s="2" t="s">
        <v>244</v>
      </c>
      <c r="CD2850" s="2" t="s">
        <v>231</v>
      </c>
      <c r="CE2850" s="4">
        <v>73</v>
      </c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4"/>
      <c r="CX2850" s="4"/>
      <c r="CY2850" s="4"/>
      <c r="CZ2850" s="4"/>
      <c r="DA2850" s="4"/>
      <c r="DB2850" s="4"/>
      <c r="DC2850" s="4"/>
      <c r="DD2850" s="4"/>
      <c r="DE2850" s="4"/>
      <c r="DF2850" s="4"/>
      <c r="DG2850" s="4"/>
      <c r="DH2850" s="4"/>
      <c r="DI2850" s="4"/>
      <c r="DJ2850" s="4"/>
      <c r="DK2850" s="4"/>
      <c r="DL2850" s="4"/>
      <c r="DM2850" s="4"/>
      <c r="DN2850" s="4"/>
      <c r="DO2850" s="4"/>
      <c r="DP2850" s="4"/>
      <c r="DQ2850" s="4"/>
      <c r="DR2850" s="4"/>
      <c r="DS2850" s="4"/>
      <c r="DT2850" s="4"/>
      <c r="DU2850" s="4"/>
      <c r="DV2850" s="4"/>
      <c r="DW2850" s="4"/>
      <c r="DX2850" s="4"/>
      <c r="DY2850" s="4"/>
      <c r="DZ2850" s="4"/>
      <c r="EA2850" s="4"/>
      <c r="EB2850" s="4"/>
      <c r="EC2850" s="4"/>
      <c r="ED2850" s="4"/>
      <c r="EE2850" s="4"/>
      <c r="EF2850" s="4"/>
      <c r="EG2850" s="4"/>
      <c r="EH2850" s="4"/>
      <c r="EI2850" s="4"/>
      <c r="EJ2850" s="4"/>
      <c r="EK2850" s="4"/>
      <c r="EL2850" s="4"/>
      <c r="EM2850" s="4"/>
      <c r="EN2850" s="4"/>
      <c r="EO2850" s="4"/>
      <c r="EP2850" s="4"/>
      <c r="EQ2850" s="4"/>
      <c r="ER2850" s="4"/>
      <c r="ES2850" s="4"/>
      <c r="ET2850" s="4"/>
      <c r="EU2850" s="4"/>
      <c r="EV2850" s="4"/>
      <c r="EW2850" s="4"/>
      <c r="EX2850" s="4"/>
      <c r="EY2850" s="4"/>
      <c r="EZ2850" s="4"/>
      <c r="FA2850" s="4"/>
      <c r="FB2850" s="4"/>
      <c r="FC2850" s="4"/>
      <c r="FD2850" s="4"/>
      <c r="FE2850" s="4"/>
      <c r="FF2850" s="4"/>
      <c r="FG2850" s="4"/>
      <c r="FH2850" s="4"/>
      <c r="FI2850" s="4"/>
      <c r="FJ2850" s="4"/>
      <c r="FK2850" s="4"/>
      <c r="FL2850" s="4"/>
      <c r="FM2850" s="4"/>
      <c r="FN2850" s="4"/>
      <c r="FO2850" s="4"/>
      <c r="FP2850" s="4"/>
      <c r="FQ2850" s="4"/>
      <c r="FR2850" s="4"/>
      <c r="FS2850" s="4"/>
      <c r="FT2850" s="4"/>
      <c r="FU2850" s="4"/>
      <c r="FV2850" s="4"/>
      <c r="FW2850" s="4"/>
      <c r="FX2850" s="4"/>
      <c r="FY2850" s="4"/>
      <c r="FZ2850" s="4"/>
      <c r="GA2850" s="4"/>
      <c r="GB2850" s="4"/>
      <c r="GC2850" s="4"/>
      <c r="GD2850" s="4"/>
      <c r="GE2850" s="4"/>
      <c r="GF2850" s="4"/>
      <c r="GG2850" s="4"/>
      <c r="GH2850" s="4"/>
      <c r="GI2850" s="4"/>
      <c r="GJ2850" s="4"/>
      <c r="GK2850" s="4"/>
      <c r="GL2850" s="4"/>
      <c r="GM2850" s="4"/>
      <c r="GN2850" s="4"/>
      <c r="GO2850" s="4"/>
      <c r="GP2850" s="4"/>
      <c r="GQ2850" s="4"/>
      <c r="GR2850" s="4"/>
      <c r="GS2850" s="4"/>
      <c r="GT2850" s="4"/>
      <c r="GU2850" s="4"/>
      <c r="GV2850" s="4"/>
      <c r="GW2850" s="4"/>
      <c r="GX2850" s="4"/>
      <c r="GY2850" s="4"/>
      <c r="GZ2850" s="4"/>
      <c r="HA2850" s="4"/>
      <c r="HB2850" s="4"/>
      <c r="HC2850" s="4"/>
      <c r="HD2850" s="4"/>
      <c r="HE2850" s="4"/>
      <c r="HF2850" s="4"/>
      <c r="HG2850" s="4"/>
      <c r="HH2850" s="4"/>
      <c r="HI2850" s="4"/>
      <c r="HJ2850" s="4"/>
      <c r="HK2850" s="4"/>
      <c r="HL2850" s="4"/>
    </row>
    <row r="2851">
      <c r="A2851" s="2" t="s">
        <v>12088</v>
      </c>
      <c r="B2851" s="2" t="s">
        <v>226</v>
      </c>
      <c r="C2851" s="2" t="s">
        <v>3948</v>
      </c>
      <c r="D2851" s="2" t="s">
        <v>1549</v>
      </c>
      <c r="E2851" s="2" t="s">
        <v>6675</v>
      </c>
      <c r="F2851" s="2" t="s">
        <v>12078</v>
      </c>
      <c r="G2851" s="2" t="s">
        <v>12078</v>
      </c>
      <c r="H2851" s="2" t="s">
        <v>12078</v>
      </c>
      <c r="I2851" s="2" t="s">
        <v>12079</v>
      </c>
      <c r="J2851" s="2" t="s">
        <v>281</v>
      </c>
      <c r="K2851" s="2" t="s">
        <v>682</v>
      </c>
      <c r="L2851" s="3">
        <v>57.5</v>
      </c>
      <c r="M2851" s="3">
        <v>60.38</v>
      </c>
      <c r="N2851" s="3">
        <v>89.99</v>
      </c>
      <c r="O2851" s="2" t="s">
        <v>235</v>
      </c>
      <c r="P2851" s="2" t="s">
        <v>1019</v>
      </c>
      <c r="Q2851" s="2" t="s">
        <v>237</v>
      </c>
      <c r="R2851" s="2" t="s">
        <v>1020</v>
      </c>
      <c r="S2851" s="2" t="s">
        <v>231</v>
      </c>
      <c r="T2851" s="2" t="s">
        <v>231</v>
      </c>
      <c r="U2851" s="2" t="s">
        <v>327</v>
      </c>
      <c r="V2851" s="2" t="s">
        <v>239</v>
      </c>
      <c r="W2851" s="2" t="s">
        <v>231</v>
      </c>
      <c r="X2851" s="2" t="s">
        <v>231</v>
      </c>
      <c r="Y2851" s="2" t="s">
        <v>5283</v>
      </c>
      <c r="Z2851" s="4">
        <v>77</v>
      </c>
      <c r="AA2851" s="4">
        <f>=ROUNDDOWN(77,0)</f>
      </c>
      <c r="AB2851" s="5">
        <v>1</v>
      </c>
      <c r="AC2851" s="2" t="s">
        <v>231</v>
      </c>
      <c r="AD2851" s="4"/>
      <c r="AE2851" s="4"/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231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231</v>
      </c>
      <c r="AW2851" s="8" t="s">
        <v>231</v>
      </c>
      <c r="AX2851" s="4" t="s">
        <v>231</v>
      </c>
      <c r="AY2851" s="8" t="s">
        <v>231</v>
      </c>
      <c r="AZ2851" s="7" t="s">
        <v>231</v>
      </c>
      <c r="BA2851" s="7" t="s">
        <v>231</v>
      </c>
      <c r="BB2851" s="7"/>
      <c r="BC2851" s="4" t="s">
        <v>231</v>
      </c>
      <c r="BD2851" s="8" t="s">
        <v>231</v>
      </c>
      <c r="BE2851" s="4" t="s">
        <v>231</v>
      </c>
      <c r="BF2851" s="8" t="s">
        <v>231</v>
      </c>
      <c r="BG2851" s="7" t="s">
        <v>231</v>
      </c>
      <c r="BH2851" s="7" t="s">
        <v>231</v>
      </c>
      <c r="BI2851" s="7"/>
      <c r="BJ2851" s="4"/>
      <c r="BK2851" s="8"/>
      <c r="BL2851" s="2" t="s">
        <v>231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12089</v>
      </c>
      <c r="BV2851" s="2" t="s">
        <v>231</v>
      </c>
      <c r="BW2851" s="2" t="s">
        <v>231</v>
      </c>
      <c r="BX2851" s="2" t="s">
        <v>241</v>
      </c>
      <c r="BY2851" s="2" t="s">
        <v>277</v>
      </c>
      <c r="BZ2851" s="2" t="s">
        <v>243</v>
      </c>
      <c r="CA2851" s="2" t="s">
        <v>1680</v>
      </c>
      <c r="CB2851" s="2" t="s">
        <v>231</v>
      </c>
      <c r="CC2851" s="2" t="s">
        <v>244</v>
      </c>
      <c r="CD2851" s="2" t="s">
        <v>231</v>
      </c>
      <c r="CE2851" s="4">
        <v>77</v>
      </c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4"/>
      <c r="CX2851" s="4"/>
      <c r="CY2851" s="4"/>
      <c r="CZ2851" s="4"/>
      <c r="DA2851" s="4"/>
      <c r="DB2851" s="4"/>
      <c r="DC2851" s="4"/>
      <c r="DD2851" s="4"/>
      <c r="DE2851" s="4"/>
      <c r="DF2851" s="4"/>
      <c r="DG2851" s="4"/>
      <c r="DH2851" s="4"/>
      <c r="DI2851" s="4"/>
      <c r="DJ2851" s="4"/>
      <c r="DK2851" s="4"/>
      <c r="DL2851" s="4"/>
      <c r="DM2851" s="4"/>
      <c r="DN2851" s="4"/>
      <c r="DO2851" s="4"/>
      <c r="DP2851" s="4"/>
      <c r="DQ2851" s="4"/>
      <c r="DR2851" s="4"/>
      <c r="DS2851" s="4"/>
      <c r="DT2851" s="4"/>
      <c r="DU2851" s="4"/>
      <c r="DV2851" s="4"/>
      <c r="DW2851" s="4"/>
      <c r="DX2851" s="4"/>
      <c r="DY2851" s="4"/>
      <c r="DZ2851" s="4"/>
      <c r="EA2851" s="4"/>
      <c r="EB2851" s="4"/>
      <c r="EC2851" s="4"/>
      <c r="ED2851" s="4"/>
      <c r="EE2851" s="4"/>
      <c r="EF2851" s="4"/>
      <c r="EG2851" s="4"/>
      <c r="EH2851" s="4"/>
      <c r="EI2851" s="4"/>
      <c r="EJ2851" s="4"/>
      <c r="EK2851" s="4"/>
      <c r="EL2851" s="4"/>
      <c r="EM2851" s="4"/>
      <c r="EN2851" s="4"/>
      <c r="EO2851" s="4"/>
      <c r="EP2851" s="4"/>
      <c r="EQ2851" s="4"/>
      <c r="ER2851" s="4"/>
      <c r="ES2851" s="4"/>
      <c r="ET2851" s="4"/>
      <c r="EU2851" s="4"/>
      <c r="EV2851" s="4"/>
      <c r="EW2851" s="4"/>
      <c r="EX2851" s="4"/>
      <c r="EY2851" s="4"/>
      <c r="EZ2851" s="4"/>
      <c r="FA2851" s="4"/>
      <c r="FB2851" s="4"/>
      <c r="FC2851" s="4"/>
      <c r="FD2851" s="4"/>
      <c r="FE2851" s="4"/>
      <c r="FF2851" s="4"/>
      <c r="FG2851" s="4"/>
      <c r="FH2851" s="4"/>
      <c r="FI2851" s="4"/>
      <c r="FJ2851" s="4"/>
      <c r="FK2851" s="4"/>
      <c r="FL2851" s="4"/>
      <c r="FM2851" s="4"/>
      <c r="FN2851" s="4"/>
      <c r="FO2851" s="4"/>
      <c r="FP2851" s="4"/>
      <c r="FQ2851" s="4"/>
      <c r="FR2851" s="4"/>
      <c r="FS2851" s="4"/>
      <c r="FT2851" s="4"/>
      <c r="FU2851" s="4"/>
      <c r="FV2851" s="4"/>
      <c r="FW2851" s="4"/>
      <c r="FX2851" s="4"/>
      <c r="FY2851" s="4"/>
      <c r="FZ2851" s="4"/>
      <c r="GA2851" s="4"/>
      <c r="GB2851" s="4"/>
      <c r="GC2851" s="4"/>
      <c r="GD2851" s="4"/>
      <c r="GE2851" s="4"/>
      <c r="GF2851" s="4"/>
      <c r="GG2851" s="4"/>
      <c r="GH2851" s="4"/>
      <c r="GI2851" s="4"/>
      <c r="GJ2851" s="4"/>
      <c r="GK2851" s="4"/>
      <c r="GL2851" s="4"/>
      <c r="GM2851" s="4"/>
      <c r="GN2851" s="4"/>
      <c r="GO2851" s="4"/>
      <c r="GP2851" s="4"/>
      <c r="GQ2851" s="4"/>
      <c r="GR2851" s="4"/>
      <c r="GS2851" s="4"/>
      <c r="GT2851" s="4"/>
      <c r="GU2851" s="4"/>
      <c r="GV2851" s="4"/>
      <c r="GW2851" s="4"/>
      <c r="GX2851" s="4"/>
      <c r="GY2851" s="4"/>
      <c r="GZ2851" s="4"/>
      <c r="HA2851" s="4"/>
      <c r="HB2851" s="4"/>
      <c r="HC2851" s="4"/>
      <c r="HD2851" s="4"/>
      <c r="HE2851" s="4"/>
      <c r="HF2851" s="4"/>
      <c r="HG2851" s="4"/>
      <c r="HH2851" s="4"/>
      <c r="HI2851" s="4"/>
      <c r="HJ2851" s="4"/>
      <c r="HK2851" s="4"/>
      <c r="HL2851" s="4"/>
    </row>
    <row r="2852">
      <c r="A2852" s="2" t="s">
        <v>12090</v>
      </c>
      <c r="B2852" s="2" t="s">
        <v>226</v>
      </c>
      <c r="C2852" s="2" t="s">
        <v>3948</v>
      </c>
      <c r="D2852" s="2" t="s">
        <v>1549</v>
      </c>
      <c r="E2852" s="2" t="s">
        <v>6675</v>
      </c>
      <c r="F2852" s="2" t="s">
        <v>12078</v>
      </c>
      <c r="G2852" s="2" t="s">
        <v>12078</v>
      </c>
      <c r="H2852" s="2" t="s">
        <v>12078</v>
      </c>
      <c r="I2852" s="2" t="s">
        <v>12079</v>
      </c>
      <c r="J2852" s="2" t="s">
        <v>293</v>
      </c>
      <c r="K2852" s="2" t="s">
        <v>682</v>
      </c>
      <c r="L2852" s="3">
        <v>83.06</v>
      </c>
      <c r="M2852" s="3">
        <v>87.21</v>
      </c>
      <c r="N2852" s="3">
        <v>129.99</v>
      </c>
      <c r="O2852" s="2" t="s">
        <v>235</v>
      </c>
      <c r="P2852" s="2" t="s">
        <v>1019</v>
      </c>
      <c r="Q2852" s="2" t="s">
        <v>237</v>
      </c>
      <c r="R2852" s="2" t="s">
        <v>1020</v>
      </c>
      <c r="S2852" s="2" t="s">
        <v>231</v>
      </c>
      <c r="T2852" s="2" t="s">
        <v>231</v>
      </c>
      <c r="U2852" s="2" t="s">
        <v>327</v>
      </c>
      <c r="V2852" s="2" t="s">
        <v>239</v>
      </c>
      <c r="W2852" s="2" t="s">
        <v>231</v>
      </c>
      <c r="X2852" s="2" t="s">
        <v>231</v>
      </c>
      <c r="Y2852" s="2" t="s">
        <v>10885</v>
      </c>
      <c r="Z2852" s="4">
        <v>92</v>
      </c>
      <c r="AA2852" s="4">
        <f>=ROUNDDOWN(92,0)</f>
      </c>
      <c r="AB2852" s="5">
        <v>1</v>
      </c>
      <c r="AC2852" s="2" t="s">
        <v>231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231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231</v>
      </c>
      <c r="AW2852" s="8" t="s">
        <v>231</v>
      </c>
      <c r="AX2852" s="4" t="s">
        <v>231</v>
      </c>
      <c r="AY2852" s="8" t="s">
        <v>231</v>
      </c>
      <c r="AZ2852" s="7" t="s">
        <v>231</v>
      </c>
      <c r="BA2852" s="7" t="s">
        <v>231</v>
      </c>
      <c r="BB2852" s="7"/>
      <c r="BC2852" s="4" t="s">
        <v>231</v>
      </c>
      <c r="BD2852" s="8" t="s">
        <v>231</v>
      </c>
      <c r="BE2852" s="4" t="s">
        <v>231</v>
      </c>
      <c r="BF2852" s="8" t="s">
        <v>231</v>
      </c>
      <c r="BG2852" s="7" t="s">
        <v>231</v>
      </c>
      <c r="BH2852" s="7" t="s">
        <v>231</v>
      </c>
      <c r="BI2852" s="7"/>
      <c r="BJ2852" s="4"/>
      <c r="BK2852" s="8"/>
      <c r="BL2852" s="2" t="s">
        <v>231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12091</v>
      </c>
      <c r="BV2852" s="2" t="s">
        <v>231</v>
      </c>
      <c r="BW2852" s="2" t="s">
        <v>231</v>
      </c>
      <c r="BX2852" s="2" t="s">
        <v>241</v>
      </c>
      <c r="BY2852" s="2" t="s">
        <v>277</v>
      </c>
      <c r="BZ2852" s="2" t="s">
        <v>243</v>
      </c>
      <c r="CA2852" s="2" t="s">
        <v>1680</v>
      </c>
      <c r="CB2852" s="2" t="s">
        <v>231</v>
      </c>
      <c r="CC2852" s="2" t="s">
        <v>244</v>
      </c>
      <c r="CD2852" s="2" t="s">
        <v>231</v>
      </c>
      <c r="CE2852" s="4">
        <v>92</v>
      </c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4"/>
      <c r="CX2852" s="4"/>
      <c r="CY2852" s="4"/>
      <c r="CZ2852" s="4"/>
      <c r="DA2852" s="4"/>
      <c r="DB2852" s="4"/>
      <c r="DC2852" s="4"/>
      <c r="DD2852" s="4"/>
      <c r="DE2852" s="4"/>
      <c r="DF2852" s="4"/>
      <c r="DG2852" s="4"/>
      <c r="DH2852" s="4"/>
      <c r="DI2852" s="4"/>
      <c r="DJ2852" s="4"/>
      <c r="DK2852" s="4"/>
      <c r="DL2852" s="4"/>
      <c r="DM2852" s="4"/>
      <c r="DN2852" s="4"/>
      <c r="DO2852" s="4"/>
      <c r="DP2852" s="4"/>
      <c r="DQ2852" s="4"/>
      <c r="DR2852" s="4"/>
      <c r="DS2852" s="4"/>
      <c r="DT2852" s="4"/>
      <c r="DU2852" s="4"/>
      <c r="DV2852" s="4"/>
      <c r="DW2852" s="4"/>
      <c r="DX2852" s="4"/>
      <c r="DY2852" s="4"/>
      <c r="DZ2852" s="4"/>
      <c r="EA2852" s="4"/>
      <c r="EB2852" s="4"/>
      <c r="EC2852" s="4"/>
      <c r="ED2852" s="4"/>
      <c r="EE2852" s="4"/>
      <c r="EF2852" s="4"/>
      <c r="EG2852" s="4"/>
      <c r="EH2852" s="4"/>
      <c r="EI2852" s="4"/>
      <c r="EJ2852" s="4"/>
      <c r="EK2852" s="4"/>
      <c r="EL2852" s="4"/>
      <c r="EM2852" s="4"/>
      <c r="EN2852" s="4"/>
      <c r="EO2852" s="4"/>
      <c r="EP2852" s="4"/>
      <c r="EQ2852" s="4"/>
      <c r="ER2852" s="4"/>
      <c r="ES2852" s="4"/>
      <c r="ET2852" s="4"/>
      <c r="EU2852" s="4"/>
      <c r="EV2852" s="4"/>
      <c r="EW2852" s="4"/>
      <c r="EX2852" s="4"/>
      <c r="EY2852" s="4"/>
      <c r="EZ2852" s="4"/>
      <c r="FA2852" s="4"/>
      <c r="FB2852" s="4"/>
      <c r="FC2852" s="4"/>
      <c r="FD2852" s="4"/>
      <c r="FE2852" s="4"/>
      <c r="FF2852" s="4"/>
      <c r="FG2852" s="4"/>
      <c r="FH2852" s="4"/>
      <c r="FI2852" s="4"/>
      <c r="FJ2852" s="4"/>
      <c r="FK2852" s="4"/>
      <c r="FL2852" s="4"/>
      <c r="FM2852" s="4"/>
      <c r="FN2852" s="4"/>
      <c r="FO2852" s="4"/>
      <c r="FP2852" s="4"/>
      <c r="FQ2852" s="4"/>
      <c r="FR2852" s="4"/>
      <c r="FS2852" s="4"/>
      <c r="FT2852" s="4"/>
      <c r="FU2852" s="4"/>
      <c r="FV2852" s="4"/>
      <c r="FW2852" s="4"/>
      <c r="FX2852" s="4"/>
      <c r="FY2852" s="4"/>
      <c r="FZ2852" s="4"/>
      <c r="GA2852" s="4"/>
      <c r="GB2852" s="4"/>
      <c r="GC2852" s="4"/>
      <c r="GD2852" s="4"/>
      <c r="GE2852" s="4"/>
      <c r="GF2852" s="4"/>
      <c r="GG2852" s="4"/>
      <c r="GH2852" s="4"/>
      <c r="GI2852" s="4"/>
      <c r="GJ2852" s="4"/>
      <c r="GK2852" s="4"/>
      <c r="GL2852" s="4"/>
      <c r="GM2852" s="4"/>
      <c r="GN2852" s="4"/>
      <c r="GO2852" s="4"/>
      <c r="GP2852" s="4"/>
      <c r="GQ2852" s="4"/>
      <c r="GR2852" s="4"/>
      <c r="GS2852" s="4"/>
      <c r="GT2852" s="4"/>
      <c r="GU2852" s="4"/>
      <c r="GV2852" s="4"/>
      <c r="GW2852" s="4"/>
      <c r="GX2852" s="4"/>
      <c r="GY2852" s="4"/>
      <c r="GZ2852" s="4"/>
      <c r="HA2852" s="4"/>
      <c r="HB2852" s="4"/>
      <c r="HC2852" s="4"/>
      <c r="HD2852" s="4"/>
      <c r="HE2852" s="4"/>
      <c r="HF2852" s="4"/>
      <c r="HG2852" s="4"/>
      <c r="HH2852" s="4"/>
      <c r="HI2852" s="4"/>
      <c r="HJ2852" s="4"/>
      <c r="HK2852" s="4"/>
      <c r="HL2852" s="4"/>
    </row>
    <row r="2853">
      <c r="A2853" s="2" t="s">
        <v>12092</v>
      </c>
      <c r="B2853" s="2" t="s">
        <v>226</v>
      </c>
      <c r="C2853" s="2" t="s">
        <v>3948</v>
      </c>
      <c r="D2853" s="2" t="s">
        <v>1549</v>
      </c>
      <c r="E2853" s="2" t="s">
        <v>6675</v>
      </c>
      <c r="F2853" s="2" t="s">
        <v>12078</v>
      </c>
      <c r="G2853" s="2" t="s">
        <v>12078</v>
      </c>
      <c r="H2853" s="2" t="s">
        <v>12078</v>
      </c>
      <c r="I2853" s="2" t="s">
        <v>12079</v>
      </c>
      <c r="J2853" s="2" t="s">
        <v>302</v>
      </c>
      <c r="K2853" s="2" t="s">
        <v>682</v>
      </c>
      <c r="L2853" s="3">
        <v>89.45</v>
      </c>
      <c r="M2853" s="3">
        <v>93.92</v>
      </c>
      <c r="N2853" s="3">
        <v>139.99</v>
      </c>
      <c r="O2853" s="2" t="s">
        <v>235</v>
      </c>
      <c r="P2853" s="2" t="s">
        <v>1019</v>
      </c>
      <c r="Q2853" s="2" t="s">
        <v>237</v>
      </c>
      <c r="R2853" s="2" t="s">
        <v>1020</v>
      </c>
      <c r="S2853" s="2" t="s">
        <v>231</v>
      </c>
      <c r="T2853" s="2" t="s">
        <v>231</v>
      </c>
      <c r="U2853" s="2" t="s">
        <v>327</v>
      </c>
      <c r="V2853" s="2" t="s">
        <v>239</v>
      </c>
      <c r="W2853" s="2" t="s">
        <v>231</v>
      </c>
      <c r="X2853" s="2" t="s">
        <v>231</v>
      </c>
      <c r="Y2853" s="2" t="s">
        <v>10885</v>
      </c>
      <c r="Z2853" s="4">
        <v>108</v>
      </c>
      <c r="AA2853" s="4">
        <f>=ROUNDDOWN(108,0)</f>
      </c>
      <c r="AB2853" s="5">
        <v>1</v>
      </c>
      <c r="AC2853" s="2" t="s">
        <v>231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231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231</v>
      </c>
      <c r="AW2853" s="8" t="s">
        <v>231</v>
      </c>
      <c r="AX2853" s="4" t="s">
        <v>231</v>
      </c>
      <c r="AY2853" s="8" t="s">
        <v>231</v>
      </c>
      <c r="AZ2853" s="7" t="s">
        <v>231</v>
      </c>
      <c r="BA2853" s="7" t="s">
        <v>231</v>
      </c>
      <c r="BB2853" s="7"/>
      <c r="BC2853" s="4" t="s">
        <v>231</v>
      </c>
      <c r="BD2853" s="8" t="s">
        <v>231</v>
      </c>
      <c r="BE2853" s="4" t="s">
        <v>231</v>
      </c>
      <c r="BF2853" s="8" t="s">
        <v>231</v>
      </c>
      <c r="BG2853" s="7" t="s">
        <v>231</v>
      </c>
      <c r="BH2853" s="7" t="s">
        <v>231</v>
      </c>
      <c r="BI2853" s="7"/>
      <c r="BJ2853" s="4"/>
      <c r="BK2853" s="8"/>
      <c r="BL2853" s="2" t="s">
        <v>231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12093</v>
      </c>
      <c r="BV2853" s="2" t="s">
        <v>231</v>
      </c>
      <c r="BW2853" s="2" t="s">
        <v>231</v>
      </c>
      <c r="BX2853" s="2" t="s">
        <v>241</v>
      </c>
      <c r="BY2853" s="2" t="s">
        <v>277</v>
      </c>
      <c r="BZ2853" s="2" t="s">
        <v>243</v>
      </c>
      <c r="CA2853" s="2" t="s">
        <v>1680</v>
      </c>
      <c r="CB2853" s="2" t="s">
        <v>231</v>
      </c>
      <c r="CC2853" s="2" t="s">
        <v>244</v>
      </c>
      <c r="CD2853" s="2" t="s">
        <v>231</v>
      </c>
      <c r="CE2853" s="4">
        <v>108</v>
      </c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4"/>
      <c r="CX2853" s="4"/>
      <c r="CY2853" s="4"/>
      <c r="CZ2853" s="4"/>
      <c r="DA2853" s="4"/>
      <c r="DB2853" s="4"/>
      <c r="DC2853" s="4"/>
      <c r="DD2853" s="4"/>
      <c r="DE2853" s="4"/>
      <c r="DF2853" s="4"/>
      <c r="DG2853" s="4"/>
      <c r="DH2853" s="4"/>
      <c r="DI2853" s="4"/>
      <c r="DJ2853" s="4"/>
      <c r="DK2853" s="4"/>
      <c r="DL2853" s="4"/>
      <c r="DM2853" s="4"/>
      <c r="DN2853" s="4"/>
      <c r="DO2853" s="4"/>
      <c r="DP2853" s="4"/>
      <c r="DQ2853" s="4"/>
      <c r="DR2853" s="4"/>
      <c r="DS2853" s="4"/>
      <c r="DT2853" s="4"/>
      <c r="DU2853" s="4"/>
      <c r="DV2853" s="4"/>
      <c r="DW2853" s="4"/>
      <c r="DX2853" s="4"/>
      <c r="DY2853" s="4"/>
      <c r="DZ2853" s="4"/>
      <c r="EA2853" s="4"/>
      <c r="EB2853" s="4"/>
      <c r="EC2853" s="4"/>
      <c r="ED2853" s="4"/>
      <c r="EE2853" s="4"/>
      <c r="EF2853" s="4"/>
      <c r="EG2853" s="4"/>
      <c r="EH2853" s="4"/>
      <c r="EI2853" s="4"/>
      <c r="EJ2853" s="4"/>
      <c r="EK2853" s="4"/>
      <c r="EL2853" s="4"/>
      <c r="EM2853" s="4"/>
      <c r="EN2853" s="4"/>
      <c r="EO2853" s="4"/>
      <c r="EP2853" s="4"/>
      <c r="EQ2853" s="4"/>
      <c r="ER2853" s="4"/>
      <c r="ES2853" s="4"/>
      <c r="ET2853" s="4"/>
      <c r="EU2853" s="4"/>
      <c r="EV2853" s="4"/>
      <c r="EW2853" s="4"/>
      <c r="EX2853" s="4"/>
      <c r="EY2853" s="4"/>
      <c r="EZ2853" s="4"/>
      <c r="FA2853" s="4"/>
      <c r="FB2853" s="4"/>
      <c r="FC2853" s="4"/>
      <c r="FD2853" s="4"/>
      <c r="FE2853" s="4"/>
      <c r="FF2853" s="4"/>
      <c r="FG2853" s="4"/>
      <c r="FH2853" s="4"/>
      <c r="FI2853" s="4"/>
      <c r="FJ2853" s="4"/>
      <c r="FK2853" s="4"/>
      <c r="FL2853" s="4"/>
      <c r="FM2853" s="4"/>
      <c r="FN2853" s="4"/>
      <c r="FO2853" s="4"/>
      <c r="FP2853" s="4"/>
      <c r="FQ2853" s="4"/>
      <c r="FR2853" s="4"/>
      <c r="FS2853" s="4"/>
      <c r="FT2853" s="4"/>
      <c r="FU2853" s="4"/>
      <c r="FV2853" s="4"/>
      <c r="FW2853" s="4"/>
      <c r="FX2853" s="4"/>
      <c r="FY2853" s="4"/>
      <c r="FZ2853" s="4"/>
      <c r="GA2853" s="4"/>
      <c r="GB2853" s="4"/>
      <c r="GC2853" s="4"/>
      <c r="GD2853" s="4"/>
      <c r="GE2853" s="4"/>
      <c r="GF2853" s="4"/>
      <c r="GG2853" s="4"/>
      <c r="GH2853" s="4"/>
      <c r="GI2853" s="4"/>
      <c r="GJ2853" s="4"/>
      <c r="GK2853" s="4"/>
      <c r="GL2853" s="4"/>
      <c r="GM2853" s="4"/>
      <c r="GN2853" s="4"/>
      <c r="GO2853" s="4"/>
      <c r="GP2853" s="4"/>
      <c r="GQ2853" s="4"/>
      <c r="GR2853" s="4"/>
      <c r="GS2853" s="4"/>
      <c r="GT2853" s="4"/>
      <c r="GU2853" s="4"/>
      <c r="GV2853" s="4"/>
      <c r="GW2853" s="4"/>
      <c r="GX2853" s="4"/>
      <c r="GY2853" s="4"/>
      <c r="GZ2853" s="4"/>
      <c r="HA2853" s="4"/>
      <c r="HB2853" s="4"/>
      <c r="HC2853" s="4"/>
      <c r="HD2853" s="4"/>
      <c r="HE2853" s="4"/>
      <c r="HF2853" s="4"/>
      <c r="HG2853" s="4"/>
      <c r="HH2853" s="4"/>
      <c r="HI2853" s="4"/>
      <c r="HJ2853" s="4"/>
      <c r="HK2853" s="4"/>
      <c r="HL2853" s="4"/>
    </row>
    <row r="2854">
      <c r="A2854" s="2" t="s">
        <v>12094</v>
      </c>
      <c r="B2854" s="2" t="s">
        <v>226</v>
      </c>
      <c r="C2854" s="2" t="s">
        <v>3948</v>
      </c>
      <c r="D2854" s="2" t="s">
        <v>1549</v>
      </c>
      <c r="E2854" s="2" t="s">
        <v>6675</v>
      </c>
      <c r="F2854" s="2" t="s">
        <v>12078</v>
      </c>
      <c r="G2854" s="2" t="s">
        <v>12078</v>
      </c>
      <c r="H2854" s="2" t="s">
        <v>12078</v>
      </c>
      <c r="I2854" s="2" t="s">
        <v>12079</v>
      </c>
      <c r="J2854" s="2" t="s">
        <v>318</v>
      </c>
      <c r="K2854" s="2" t="s">
        <v>1136</v>
      </c>
      <c r="L2854" s="3">
        <v>51.11</v>
      </c>
      <c r="M2854" s="3">
        <v>53.67</v>
      </c>
      <c r="N2854" s="3">
        <v>79.99</v>
      </c>
      <c r="O2854" s="2" t="s">
        <v>235</v>
      </c>
      <c r="P2854" s="2" t="s">
        <v>1019</v>
      </c>
      <c r="Q2854" s="2" t="s">
        <v>237</v>
      </c>
      <c r="R2854" s="2" t="s">
        <v>1020</v>
      </c>
      <c r="S2854" s="2" t="s">
        <v>231</v>
      </c>
      <c r="T2854" s="2" t="s">
        <v>231</v>
      </c>
      <c r="U2854" s="2" t="s">
        <v>327</v>
      </c>
      <c r="V2854" s="2" t="s">
        <v>239</v>
      </c>
      <c r="W2854" s="2" t="s">
        <v>231</v>
      </c>
      <c r="X2854" s="2" t="s">
        <v>231</v>
      </c>
      <c r="Y2854" s="2" t="s">
        <v>5283</v>
      </c>
      <c r="Z2854" s="4">
        <v>147</v>
      </c>
      <c r="AA2854" s="4">
        <f>=ROUNDDOWN(147,0)</f>
      </c>
      <c r="AB2854" s="5">
        <v>1</v>
      </c>
      <c r="AC2854" s="2" t="s">
        <v>231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231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231</v>
      </c>
      <c r="AW2854" s="8" t="s">
        <v>231</v>
      </c>
      <c r="AX2854" s="4" t="s">
        <v>231</v>
      </c>
      <c r="AY2854" s="8" t="s">
        <v>231</v>
      </c>
      <c r="AZ2854" s="7" t="s">
        <v>231</v>
      </c>
      <c r="BA2854" s="7" t="s">
        <v>231</v>
      </c>
      <c r="BB2854" s="7"/>
      <c r="BC2854" s="4" t="s">
        <v>231</v>
      </c>
      <c r="BD2854" s="8" t="s">
        <v>231</v>
      </c>
      <c r="BE2854" s="4" t="s">
        <v>231</v>
      </c>
      <c r="BF2854" s="8" t="s">
        <v>231</v>
      </c>
      <c r="BG2854" s="7" t="s">
        <v>231</v>
      </c>
      <c r="BH2854" s="7" t="s">
        <v>231</v>
      </c>
      <c r="BI2854" s="7"/>
      <c r="BJ2854" s="4"/>
      <c r="BK2854" s="8"/>
      <c r="BL2854" s="2" t="s">
        <v>231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12095</v>
      </c>
      <c r="BV2854" s="2" t="s">
        <v>231</v>
      </c>
      <c r="BW2854" s="2" t="s">
        <v>231</v>
      </c>
      <c r="BX2854" s="2" t="s">
        <v>241</v>
      </c>
      <c r="BY2854" s="2" t="s">
        <v>277</v>
      </c>
      <c r="BZ2854" s="2" t="s">
        <v>243</v>
      </c>
      <c r="CA2854" s="2" t="s">
        <v>1680</v>
      </c>
      <c r="CB2854" s="2" t="s">
        <v>231</v>
      </c>
      <c r="CC2854" s="2" t="s">
        <v>244</v>
      </c>
      <c r="CD2854" s="2" t="s">
        <v>231</v>
      </c>
      <c r="CE2854" s="4">
        <v>147</v>
      </c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4"/>
      <c r="CX2854" s="4"/>
      <c r="CY2854" s="4"/>
      <c r="CZ2854" s="4"/>
      <c r="DA2854" s="4"/>
      <c r="DB2854" s="4"/>
      <c r="DC2854" s="4"/>
      <c r="DD2854" s="4"/>
      <c r="DE2854" s="4"/>
      <c r="DF2854" s="4"/>
      <c r="DG2854" s="4"/>
      <c r="DH2854" s="4"/>
      <c r="DI2854" s="4"/>
      <c r="DJ2854" s="4"/>
      <c r="DK2854" s="4"/>
      <c r="DL2854" s="4"/>
      <c r="DM2854" s="4"/>
      <c r="DN2854" s="4"/>
      <c r="DO2854" s="4"/>
      <c r="DP2854" s="4"/>
      <c r="DQ2854" s="4"/>
      <c r="DR2854" s="4"/>
      <c r="DS2854" s="4"/>
      <c r="DT2854" s="4"/>
      <c r="DU2854" s="4"/>
      <c r="DV2854" s="4"/>
      <c r="DW2854" s="4"/>
      <c r="DX2854" s="4"/>
      <c r="DY2854" s="4"/>
      <c r="DZ2854" s="4"/>
      <c r="EA2854" s="4"/>
      <c r="EB2854" s="4"/>
      <c r="EC2854" s="4"/>
      <c r="ED2854" s="4"/>
      <c r="EE2854" s="4"/>
      <c r="EF2854" s="4"/>
      <c r="EG2854" s="4"/>
      <c r="EH2854" s="4"/>
      <c r="EI2854" s="4"/>
      <c r="EJ2854" s="4"/>
      <c r="EK2854" s="4"/>
      <c r="EL2854" s="4"/>
      <c r="EM2854" s="4"/>
      <c r="EN2854" s="4"/>
      <c r="EO2854" s="4"/>
      <c r="EP2854" s="4"/>
      <c r="EQ2854" s="4"/>
      <c r="ER2854" s="4"/>
      <c r="ES2854" s="4"/>
      <c r="ET2854" s="4"/>
      <c r="EU2854" s="4"/>
      <c r="EV2854" s="4"/>
      <c r="EW2854" s="4"/>
      <c r="EX2854" s="4"/>
      <c r="EY2854" s="4"/>
      <c r="EZ2854" s="4"/>
      <c r="FA2854" s="4"/>
      <c r="FB2854" s="4"/>
      <c r="FC2854" s="4"/>
      <c r="FD2854" s="4"/>
      <c r="FE2854" s="4"/>
      <c r="FF2854" s="4"/>
      <c r="FG2854" s="4"/>
      <c r="FH2854" s="4"/>
      <c r="FI2854" s="4"/>
      <c r="FJ2854" s="4"/>
      <c r="FK2854" s="4"/>
      <c r="FL2854" s="4"/>
      <c r="FM2854" s="4"/>
      <c r="FN2854" s="4"/>
      <c r="FO2854" s="4"/>
      <c r="FP2854" s="4"/>
      <c r="FQ2854" s="4"/>
      <c r="FR2854" s="4"/>
      <c r="FS2854" s="4"/>
      <c r="FT2854" s="4"/>
      <c r="FU2854" s="4"/>
      <c r="FV2854" s="4"/>
      <c r="FW2854" s="4"/>
      <c r="FX2854" s="4"/>
      <c r="FY2854" s="4"/>
      <c r="FZ2854" s="4"/>
      <c r="GA2854" s="4"/>
      <c r="GB2854" s="4"/>
      <c r="GC2854" s="4"/>
      <c r="GD2854" s="4"/>
      <c r="GE2854" s="4"/>
      <c r="GF2854" s="4"/>
      <c r="GG2854" s="4"/>
      <c r="GH2854" s="4"/>
      <c r="GI2854" s="4"/>
      <c r="GJ2854" s="4"/>
      <c r="GK2854" s="4"/>
      <c r="GL2854" s="4"/>
      <c r="GM2854" s="4"/>
      <c r="GN2854" s="4"/>
      <c r="GO2854" s="4"/>
      <c r="GP2854" s="4"/>
      <c r="GQ2854" s="4"/>
      <c r="GR2854" s="4"/>
      <c r="GS2854" s="4"/>
      <c r="GT2854" s="4"/>
      <c r="GU2854" s="4"/>
      <c r="GV2854" s="4"/>
      <c r="GW2854" s="4"/>
      <c r="GX2854" s="4"/>
      <c r="GY2854" s="4"/>
      <c r="GZ2854" s="4"/>
      <c r="HA2854" s="4"/>
      <c r="HB2854" s="4"/>
      <c r="HC2854" s="4"/>
      <c r="HD2854" s="4"/>
      <c r="HE2854" s="4"/>
      <c r="HF2854" s="4"/>
      <c r="HG2854" s="4"/>
      <c r="HH2854" s="4"/>
      <c r="HI2854" s="4"/>
      <c r="HJ2854" s="4"/>
      <c r="HK2854" s="4"/>
      <c r="HL2854" s="4"/>
    </row>
    <row r="2855">
      <c r="A2855" s="2" t="s">
        <v>12096</v>
      </c>
      <c r="B2855" s="2" t="s">
        <v>226</v>
      </c>
      <c r="C2855" s="2" t="s">
        <v>3948</v>
      </c>
      <c r="D2855" s="2" t="s">
        <v>1549</v>
      </c>
      <c r="E2855" s="2" t="s">
        <v>6675</v>
      </c>
      <c r="F2855" s="2" t="s">
        <v>12078</v>
      </c>
      <c r="G2855" s="2" t="s">
        <v>12078</v>
      </c>
      <c r="H2855" s="2" t="s">
        <v>12078</v>
      </c>
      <c r="I2855" s="2" t="s">
        <v>12079</v>
      </c>
      <c r="J2855" s="2" t="s">
        <v>281</v>
      </c>
      <c r="K2855" s="2" t="s">
        <v>1136</v>
      </c>
      <c r="L2855" s="3">
        <v>57.5</v>
      </c>
      <c r="M2855" s="3">
        <v>60.38</v>
      </c>
      <c r="N2855" s="3">
        <v>89.99</v>
      </c>
      <c r="O2855" s="2" t="s">
        <v>235</v>
      </c>
      <c r="P2855" s="2" t="s">
        <v>1019</v>
      </c>
      <c r="Q2855" s="2" t="s">
        <v>237</v>
      </c>
      <c r="R2855" s="2" t="s">
        <v>1020</v>
      </c>
      <c r="S2855" s="2" t="s">
        <v>231</v>
      </c>
      <c r="T2855" s="2" t="s">
        <v>231</v>
      </c>
      <c r="U2855" s="2" t="s">
        <v>327</v>
      </c>
      <c r="V2855" s="2" t="s">
        <v>239</v>
      </c>
      <c r="W2855" s="2" t="s">
        <v>231</v>
      </c>
      <c r="X2855" s="2" t="s">
        <v>231</v>
      </c>
      <c r="Y2855" s="2" t="s">
        <v>5283</v>
      </c>
      <c r="Z2855" s="4">
        <v>136</v>
      </c>
      <c r="AA2855" s="4">
        <f>=ROUNDDOWN(64.7619047619048,0)</f>
      </c>
      <c r="AB2855" s="5">
        <v>2.1</v>
      </c>
      <c r="AC2855" s="2" t="s">
        <v>231</v>
      </c>
      <c r="AD2855" s="4"/>
      <c r="AE2855" s="4"/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231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231</v>
      </c>
      <c r="AW2855" s="8" t="s">
        <v>231</v>
      </c>
      <c r="AX2855" s="4" t="s">
        <v>231</v>
      </c>
      <c r="AY2855" s="8" t="s">
        <v>231</v>
      </c>
      <c r="AZ2855" s="7" t="s">
        <v>231</v>
      </c>
      <c r="BA2855" s="7" t="s">
        <v>231</v>
      </c>
      <c r="BB2855" s="7"/>
      <c r="BC2855" s="4" t="s">
        <v>231</v>
      </c>
      <c r="BD2855" s="8" t="s">
        <v>231</v>
      </c>
      <c r="BE2855" s="4" t="s">
        <v>231</v>
      </c>
      <c r="BF2855" s="8" t="s">
        <v>231</v>
      </c>
      <c r="BG2855" s="7" t="s">
        <v>231</v>
      </c>
      <c r="BH2855" s="7" t="s">
        <v>231</v>
      </c>
      <c r="BI2855" s="7"/>
      <c r="BJ2855" s="4"/>
      <c r="BK2855" s="8"/>
      <c r="BL2855" s="2" t="s">
        <v>231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12097</v>
      </c>
      <c r="BV2855" s="2" t="s">
        <v>231</v>
      </c>
      <c r="BW2855" s="2" t="s">
        <v>231</v>
      </c>
      <c r="BX2855" s="2" t="s">
        <v>241</v>
      </c>
      <c r="BY2855" s="2" t="s">
        <v>277</v>
      </c>
      <c r="BZ2855" s="2" t="s">
        <v>243</v>
      </c>
      <c r="CA2855" s="2" t="s">
        <v>1680</v>
      </c>
      <c r="CB2855" s="2" t="s">
        <v>231</v>
      </c>
      <c r="CC2855" s="2" t="s">
        <v>244</v>
      </c>
      <c r="CD2855" s="2" t="s">
        <v>231</v>
      </c>
      <c r="CE2855" s="4">
        <v>136</v>
      </c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/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  <c r="DP2855" s="4"/>
      <c r="DQ2855" s="4"/>
      <c r="DR2855" s="4"/>
      <c r="DS2855" s="4"/>
      <c r="DT2855" s="4"/>
      <c r="DU2855" s="4"/>
      <c r="DV2855" s="4"/>
      <c r="DW2855" s="4"/>
      <c r="DX2855" s="4"/>
      <c r="DY2855" s="4"/>
      <c r="DZ2855" s="4"/>
      <c r="EA2855" s="4"/>
      <c r="EB2855" s="4"/>
      <c r="EC2855" s="4"/>
      <c r="ED2855" s="4"/>
      <c r="EE2855" s="4"/>
      <c r="EF2855" s="4"/>
      <c r="EG2855" s="4"/>
      <c r="EH2855" s="4"/>
      <c r="EI2855" s="4"/>
      <c r="EJ2855" s="4"/>
      <c r="EK2855" s="4"/>
      <c r="EL2855" s="4"/>
      <c r="EM2855" s="4"/>
      <c r="EN2855" s="4"/>
      <c r="EO2855" s="4"/>
      <c r="EP2855" s="4"/>
      <c r="EQ2855" s="4"/>
      <c r="ER2855" s="4"/>
      <c r="ES2855" s="4"/>
      <c r="ET2855" s="4"/>
      <c r="EU2855" s="4"/>
      <c r="EV2855" s="4"/>
      <c r="EW2855" s="4"/>
      <c r="EX2855" s="4"/>
      <c r="EY2855" s="4"/>
      <c r="EZ2855" s="4"/>
      <c r="FA2855" s="4"/>
      <c r="FB2855" s="4"/>
      <c r="FC2855" s="4"/>
      <c r="FD2855" s="4"/>
      <c r="FE2855" s="4"/>
      <c r="FF2855" s="4"/>
      <c r="FG2855" s="4"/>
      <c r="FH2855" s="4"/>
      <c r="FI2855" s="4"/>
      <c r="FJ2855" s="4"/>
      <c r="FK2855" s="4"/>
      <c r="FL2855" s="4"/>
      <c r="FM2855" s="4"/>
      <c r="FN2855" s="4"/>
      <c r="FO2855" s="4"/>
      <c r="FP2855" s="4"/>
      <c r="FQ2855" s="4"/>
      <c r="FR2855" s="4"/>
      <c r="FS2855" s="4"/>
      <c r="FT2855" s="4"/>
      <c r="FU2855" s="4"/>
      <c r="FV2855" s="4"/>
      <c r="FW2855" s="4"/>
      <c r="FX2855" s="4"/>
      <c r="FY2855" s="4"/>
      <c r="FZ2855" s="4"/>
      <c r="GA2855" s="4"/>
      <c r="GB2855" s="4"/>
      <c r="GC2855" s="4"/>
      <c r="GD2855" s="4"/>
      <c r="GE2855" s="4"/>
      <c r="GF2855" s="4"/>
      <c r="GG2855" s="4"/>
      <c r="GH2855" s="4"/>
      <c r="GI2855" s="4"/>
      <c r="GJ2855" s="4"/>
      <c r="GK2855" s="4"/>
      <c r="GL2855" s="4"/>
      <c r="GM2855" s="4"/>
      <c r="GN2855" s="4"/>
      <c r="GO2855" s="4"/>
      <c r="GP2855" s="4"/>
      <c r="GQ2855" s="4"/>
      <c r="GR2855" s="4"/>
      <c r="GS2855" s="4"/>
      <c r="GT2855" s="4"/>
      <c r="GU2855" s="4"/>
      <c r="GV2855" s="4"/>
      <c r="GW2855" s="4"/>
      <c r="GX2855" s="4"/>
      <c r="GY2855" s="4"/>
      <c r="GZ2855" s="4"/>
      <c r="HA2855" s="4"/>
      <c r="HB2855" s="4"/>
      <c r="HC2855" s="4"/>
      <c r="HD2855" s="4"/>
      <c r="HE2855" s="4"/>
      <c r="HF2855" s="4"/>
      <c r="HG2855" s="4"/>
      <c r="HH2855" s="4"/>
      <c r="HI2855" s="4"/>
      <c r="HJ2855" s="4"/>
      <c r="HK2855" s="4"/>
      <c r="HL2855" s="4"/>
    </row>
    <row r="2856">
      <c r="A2856" s="2" t="s">
        <v>12098</v>
      </c>
      <c r="B2856" s="2" t="s">
        <v>226</v>
      </c>
      <c r="C2856" s="2" t="s">
        <v>3948</v>
      </c>
      <c r="D2856" s="2" t="s">
        <v>1549</v>
      </c>
      <c r="E2856" s="2" t="s">
        <v>6675</v>
      </c>
      <c r="F2856" s="2" t="s">
        <v>12078</v>
      </c>
      <c r="G2856" s="2" t="s">
        <v>12078</v>
      </c>
      <c r="H2856" s="2" t="s">
        <v>12078</v>
      </c>
      <c r="I2856" s="2" t="s">
        <v>12079</v>
      </c>
      <c r="J2856" s="2" t="s">
        <v>293</v>
      </c>
      <c r="K2856" s="2" t="s">
        <v>1136</v>
      </c>
      <c r="L2856" s="3">
        <v>83.06</v>
      </c>
      <c r="M2856" s="3">
        <v>87.21</v>
      </c>
      <c r="N2856" s="3">
        <v>129.99</v>
      </c>
      <c r="O2856" s="2" t="s">
        <v>235</v>
      </c>
      <c r="P2856" s="2" t="s">
        <v>1019</v>
      </c>
      <c r="Q2856" s="2" t="s">
        <v>237</v>
      </c>
      <c r="R2856" s="2" t="s">
        <v>1020</v>
      </c>
      <c r="S2856" s="2" t="s">
        <v>231</v>
      </c>
      <c r="T2856" s="2" t="s">
        <v>231</v>
      </c>
      <c r="U2856" s="2" t="s">
        <v>327</v>
      </c>
      <c r="V2856" s="2" t="s">
        <v>239</v>
      </c>
      <c r="W2856" s="2" t="s">
        <v>231</v>
      </c>
      <c r="X2856" s="2" t="s">
        <v>231</v>
      </c>
      <c r="Y2856" s="2" t="s">
        <v>10885</v>
      </c>
      <c r="Z2856" s="4">
        <v>87</v>
      </c>
      <c r="AA2856" s="4">
        <f>=ROUNDDOWN(87,0)</f>
      </c>
      <c r="AB2856" s="5">
        <v>1</v>
      </c>
      <c r="AC2856" s="2" t="s">
        <v>231</v>
      </c>
      <c r="AD2856" s="4"/>
      <c r="AE2856" s="4"/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231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231</v>
      </c>
      <c r="AW2856" s="8" t="s">
        <v>231</v>
      </c>
      <c r="AX2856" s="4" t="s">
        <v>231</v>
      </c>
      <c r="AY2856" s="8" t="s">
        <v>231</v>
      </c>
      <c r="AZ2856" s="7" t="s">
        <v>231</v>
      </c>
      <c r="BA2856" s="7" t="s">
        <v>231</v>
      </c>
      <c r="BB2856" s="7"/>
      <c r="BC2856" s="4" t="s">
        <v>231</v>
      </c>
      <c r="BD2856" s="8" t="s">
        <v>231</v>
      </c>
      <c r="BE2856" s="4" t="s">
        <v>231</v>
      </c>
      <c r="BF2856" s="8" t="s">
        <v>231</v>
      </c>
      <c r="BG2856" s="7" t="s">
        <v>231</v>
      </c>
      <c r="BH2856" s="7" t="s">
        <v>231</v>
      </c>
      <c r="BI2856" s="7"/>
      <c r="BJ2856" s="4"/>
      <c r="BK2856" s="8"/>
      <c r="BL2856" s="2" t="s">
        <v>1028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12099</v>
      </c>
      <c r="BV2856" s="2" t="s">
        <v>231</v>
      </c>
      <c r="BW2856" s="2" t="s">
        <v>231</v>
      </c>
      <c r="BX2856" s="2" t="s">
        <v>241</v>
      </c>
      <c r="BY2856" s="2" t="s">
        <v>277</v>
      </c>
      <c r="BZ2856" s="2" t="s">
        <v>243</v>
      </c>
      <c r="CA2856" s="2" t="s">
        <v>1680</v>
      </c>
      <c r="CB2856" s="2" t="s">
        <v>231</v>
      </c>
      <c r="CC2856" s="2" t="s">
        <v>244</v>
      </c>
      <c r="CD2856" s="2" t="s">
        <v>231</v>
      </c>
      <c r="CE2856" s="4">
        <v>87</v>
      </c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4"/>
      <c r="CX2856" s="4"/>
      <c r="CY2856" s="4"/>
      <c r="CZ2856" s="4"/>
      <c r="DA2856" s="4"/>
      <c r="DB2856" s="4"/>
      <c r="DC2856" s="4"/>
      <c r="DD2856" s="4"/>
      <c r="DE2856" s="4"/>
      <c r="DF2856" s="4"/>
      <c r="DG2856" s="4"/>
      <c r="DH2856" s="4"/>
      <c r="DI2856" s="4"/>
      <c r="DJ2856" s="4"/>
      <c r="DK2856" s="4"/>
      <c r="DL2856" s="4"/>
      <c r="DM2856" s="4"/>
      <c r="DN2856" s="4"/>
      <c r="DO2856" s="4"/>
      <c r="DP2856" s="4"/>
      <c r="DQ2856" s="4"/>
      <c r="DR2856" s="4"/>
      <c r="DS2856" s="4"/>
      <c r="DT2856" s="4"/>
      <c r="DU2856" s="4"/>
      <c r="DV2856" s="4"/>
      <c r="DW2856" s="4"/>
      <c r="DX2856" s="4"/>
      <c r="DY2856" s="4"/>
      <c r="DZ2856" s="4"/>
      <c r="EA2856" s="4"/>
      <c r="EB2856" s="4"/>
      <c r="EC2856" s="4"/>
      <c r="ED2856" s="4"/>
      <c r="EE2856" s="4"/>
      <c r="EF2856" s="4"/>
      <c r="EG2856" s="4"/>
      <c r="EH2856" s="4"/>
      <c r="EI2856" s="4"/>
      <c r="EJ2856" s="4"/>
      <c r="EK2856" s="4"/>
      <c r="EL2856" s="4"/>
      <c r="EM2856" s="4"/>
      <c r="EN2856" s="4"/>
      <c r="EO2856" s="4"/>
      <c r="EP2856" s="4"/>
      <c r="EQ2856" s="4"/>
      <c r="ER2856" s="4"/>
      <c r="ES2856" s="4"/>
      <c r="ET2856" s="4"/>
      <c r="EU2856" s="4"/>
      <c r="EV2856" s="4"/>
      <c r="EW2856" s="4"/>
      <c r="EX2856" s="4"/>
      <c r="EY2856" s="4"/>
      <c r="EZ2856" s="4"/>
      <c r="FA2856" s="4"/>
      <c r="FB2856" s="4"/>
      <c r="FC2856" s="4"/>
      <c r="FD2856" s="4"/>
      <c r="FE2856" s="4"/>
      <c r="FF2856" s="4"/>
      <c r="FG2856" s="4"/>
      <c r="FH2856" s="4"/>
      <c r="FI2856" s="4"/>
      <c r="FJ2856" s="4"/>
      <c r="FK2856" s="4"/>
      <c r="FL2856" s="4"/>
      <c r="FM2856" s="4"/>
      <c r="FN2856" s="4"/>
      <c r="FO2856" s="4"/>
      <c r="FP2856" s="4"/>
      <c r="FQ2856" s="4"/>
      <c r="FR2856" s="4"/>
      <c r="FS2856" s="4"/>
      <c r="FT2856" s="4"/>
      <c r="FU2856" s="4"/>
      <c r="FV2856" s="4"/>
      <c r="FW2856" s="4"/>
      <c r="FX2856" s="4"/>
      <c r="FY2856" s="4"/>
      <c r="FZ2856" s="4"/>
      <c r="GA2856" s="4"/>
      <c r="GB2856" s="4"/>
      <c r="GC2856" s="4"/>
      <c r="GD2856" s="4"/>
      <c r="GE2856" s="4"/>
      <c r="GF2856" s="4"/>
      <c r="GG2856" s="4"/>
      <c r="GH2856" s="4"/>
      <c r="GI2856" s="4"/>
      <c r="GJ2856" s="4"/>
      <c r="GK2856" s="4"/>
      <c r="GL2856" s="4"/>
      <c r="GM2856" s="4"/>
      <c r="GN2856" s="4"/>
      <c r="GO2856" s="4"/>
      <c r="GP2856" s="4"/>
      <c r="GQ2856" s="4"/>
      <c r="GR2856" s="4"/>
      <c r="GS2856" s="4"/>
      <c r="GT2856" s="4"/>
      <c r="GU2856" s="4"/>
      <c r="GV2856" s="4"/>
      <c r="GW2856" s="4"/>
      <c r="GX2856" s="4"/>
      <c r="GY2856" s="4"/>
      <c r="GZ2856" s="4"/>
      <c r="HA2856" s="4"/>
      <c r="HB2856" s="4"/>
      <c r="HC2856" s="4"/>
      <c r="HD2856" s="4"/>
      <c r="HE2856" s="4"/>
      <c r="HF2856" s="4"/>
      <c r="HG2856" s="4"/>
      <c r="HH2856" s="4"/>
      <c r="HI2856" s="4"/>
      <c r="HJ2856" s="4"/>
      <c r="HK2856" s="4"/>
      <c r="HL2856" s="4"/>
    </row>
    <row r="2857">
      <c r="A2857" s="2" t="s">
        <v>12100</v>
      </c>
      <c r="B2857" s="2" t="s">
        <v>226</v>
      </c>
      <c r="C2857" s="2" t="s">
        <v>3948</v>
      </c>
      <c r="D2857" s="2" t="s">
        <v>1549</v>
      </c>
      <c r="E2857" s="2" t="s">
        <v>6675</v>
      </c>
      <c r="F2857" s="2" t="s">
        <v>12078</v>
      </c>
      <c r="G2857" s="2" t="s">
        <v>12078</v>
      </c>
      <c r="H2857" s="2" t="s">
        <v>12078</v>
      </c>
      <c r="I2857" s="2" t="s">
        <v>12079</v>
      </c>
      <c r="J2857" s="2" t="s">
        <v>302</v>
      </c>
      <c r="K2857" s="2" t="s">
        <v>1136</v>
      </c>
      <c r="L2857" s="3">
        <v>89.45</v>
      </c>
      <c r="M2857" s="3">
        <v>93.92</v>
      </c>
      <c r="N2857" s="3">
        <v>139.99</v>
      </c>
      <c r="O2857" s="2" t="s">
        <v>235</v>
      </c>
      <c r="P2857" s="2" t="s">
        <v>1019</v>
      </c>
      <c r="Q2857" s="2" t="s">
        <v>237</v>
      </c>
      <c r="R2857" s="2" t="s">
        <v>1020</v>
      </c>
      <c r="S2857" s="2" t="s">
        <v>231</v>
      </c>
      <c r="T2857" s="2" t="s">
        <v>231</v>
      </c>
      <c r="U2857" s="2" t="s">
        <v>327</v>
      </c>
      <c r="V2857" s="2" t="s">
        <v>239</v>
      </c>
      <c r="W2857" s="2" t="s">
        <v>231</v>
      </c>
      <c r="X2857" s="2" t="s">
        <v>231</v>
      </c>
      <c r="Y2857" s="2" t="s">
        <v>10885</v>
      </c>
      <c r="Z2857" s="4">
        <v>68</v>
      </c>
      <c r="AA2857" s="4">
        <f>=ROUNDDOWN(68,0)</f>
      </c>
      <c r="AB2857" s="5">
        <v>1</v>
      </c>
      <c r="AC2857" s="2" t="s">
        <v>231</v>
      </c>
      <c r="AD2857" s="4"/>
      <c r="AE2857" s="4"/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231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231</v>
      </c>
      <c r="AW2857" s="8" t="s">
        <v>231</v>
      </c>
      <c r="AX2857" s="4" t="s">
        <v>231</v>
      </c>
      <c r="AY2857" s="8" t="s">
        <v>231</v>
      </c>
      <c r="AZ2857" s="7" t="s">
        <v>231</v>
      </c>
      <c r="BA2857" s="7" t="s">
        <v>231</v>
      </c>
      <c r="BB2857" s="7"/>
      <c r="BC2857" s="4" t="s">
        <v>231</v>
      </c>
      <c r="BD2857" s="8" t="s">
        <v>231</v>
      </c>
      <c r="BE2857" s="4" t="s">
        <v>231</v>
      </c>
      <c r="BF2857" s="8" t="s">
        <v>231</v>
      </c>
      <c r="BG2857" s="7" t="s">
        <v>231</v>
      </c>
      <c r="BH2857" s="7" t="s">
        <v>231</v>
      </c>
      <c r="BI2857" s="7"/>
      <c r="BJ2857" s="4"/>
      <c r="BK2857" s="8"/>
      <c r="BL2857" s="2" t="s">
        <v>231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12101</v>
      </c>
      <c r="BV2857" s="2" t="s">
        <v>231</v>
      </c>
      <c r="BW2857" s="2" t="s">
        <v>231</v>
      </c>
      <c r="BX2857" s="2" t="s">
        <v>241</v>
      </c>
      <c r="BY2857" s="2" t="s">
        <v>277</v>
      </c>
      <c r="BZ2857" s="2" t="s">
        <v>243</v>
      </c>
      <c r="CA2857" s="2" t="s">
        <v>1680</v>
      </c>
      <c r="CB2857" s="2" t="s">
        <v>231</v>
      </c>
      <c r="CC2857" s="2" t="s">
        <v>244</v>
      </c>
      <c r="CD2857" s="2" t="s">
        <v>231</v>
      </c>
      <c r="CE2857" s="4">
        <v>68</v>
      </c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4"/>
      <c r="CX2857" s="4"/>
      <c r="CY2857" s="4"/>
      <c r="CZ2857" s="4"/>
      <c r="DA2857" s="4"/>
      <c r="DB2857" s="4"/>
      <c r="DC2857" s="4"/>
      <c r="DD2857" s="4"/>
      <c r="DE2857" s="4"/>
      <c r="DF2857" s="4"/>
      <c r="DG2857" s="4"/>
      <c r="DH2857" s="4"/>
      <c r="DI2857" s="4"/>
      <c r="DJ2857" s="4"/>
      <c r="DK2857" s="4"/>
      <c r="DL2857" s="4"/>
      <c r="DM2857" s="4"/>
      <c r="DN2857" s="4"/>
      <c r="DO2857" s="4"/>
      <c r="DP2857" s="4"/>
      <c r="DQ2857" s="4"/>
      <c r="DR2857" s="4"/>
      <c r="DS2857" s="4"/>
      <c r="DT2857" s="4"/>
      <c r="DU2857" s="4"/>
      <c r="DV2857" s="4"/>
      <c r="DW2857" s="4"/>
      <c r="DX2857" s="4"/>
      <c r="DY2857" s="4"/>
      <c r="DZ2857" s="4"/>
      <c r="EA2857" s="4"/>
      <c r="EB2857" s="4"/>
      <c r="EC2857" s="4"/>
      <c r="ED2857" s="4"/>
      <c r="EE2857" s="4"/>
      <c r="EF2857" s="4"/>
      <c r="EG2857" s="4"/>
      <c r="EH2857" s="4"/>
      <c r="EI2857" s="4"/>
      <c r="EJ2857" s="4"/>
      <c r="EK2857" s="4"/>
      <c r="EL2857" s="4"/>
      <c r="EM2857" s="4"/>
      <c r="EN2857" s="4"/>
      <c r="EO2857" s="4"/>
      <c r="EP2857" s="4"/>
      <c r="EQ2857" s="4"/>
      <c r="ER2857" s="4"/>
      <c r="ES2857" s="4"/>
      <c r="ET2857" s="4"/>
      <c r="EU2857" s="4"/>
      <c r="EV2857" s="4"/>
      <c r="EW2857" s="4"/>
      <c r="EX2857" s="4"/>
      <c r="EY2857" s="4"/>
      <c r="EZ2857" s="4"/>
      <c r="FA2857" s="4"/>
      <c r="FB2857" s="4"/>
      <c r="FC2857" s="4"/>
      <c r="FD2857" s="4"/>
      <c r="FE2857" s="4"/>
      <c r="FF2857" s="4"/>
      <c r="FG2857" s="4"/>
      <c r="FH2857" s="4"/>
      <c r="FI2857" s="4"/>
      <c r="FJ2857" s="4"/>
      <c r="FK2857" s="4"/>
      <c r="FL2857" s="4"/>
      <c r="FM2857" s="4"/>
      <c r="FN2857" s="4"/>
      <c r="FO2857" s="4"/>
      <c r="FP2857" s="4"/>
      <c r="FQ2857" s="4"/>
      <c r="FR2857" s="4"/>
      <c r="FS2857" s="4"/>
      <c r="FT2857" s="4"/>
      <c r="FU2857" s="4"/>
      <c r="FV2857" s="4"/>
      <c r="FW2857" s="4"/>
      <c r="FX2857" s="4"/>
      <c r="FY2857" s="4"/>
      <c r="FZ2857" s="4"/>
      <c r="GA2857" s="4"/>
      <c r="GB2857" s="4"/>
      <c r="GC2857" s="4"/>
      <c r="GD2857" s="4"/>
      <c r="GE2857" s="4"/>
      <c r="GF2857" s="4"/>
      <c r="GG2857" s="4"/>
      <c r="GH2857" s="4"/>
      <c r="GI2857" s="4"/>
      <c r="GJ2857" s="4"/>
      <c r="GK2857" s="4"/>
      <c r="GL2857" s="4"/>
      <c r="GM2857" s="4"/>
      <c r="GN2857" s="4"/>
      <c r="GO2857" s="4"/>
      <c r="GP2857" s="4"/>
      <c r="GQ2857" s="4"/>
      <c r="GR2857" s="4"/>
      <c r="GS2857" s="4"/>
      <c r="GT2857" s="4"/>
      <c r="GU2857" s="4"/>
      <c r="GV2857" s="4"/>
      <c r="GW2857" s="4"/>
      <c r="GX2857" s="4"/>
      <c r="GY2857" s="4"/>
      <c r="GZ2857" s="4"/>
      <c r="HA2857" s="4"/>
      <c r="HB2857" s="4"/>
      <c r="HC2857" s="4"/>
      <c r="HD2857" s="4"/>
      <c r="HE2857" s="4"/>
      <c r="HF2857" s="4"/>
      <c r="HG2857" s="4"/>
      <c r="HH2857" s="4"/>
      <c r="HI2857" s="4"/>
      <c r="HJ2857" s="4"/>
      <c r="HK2857" s="4"/>
      <c r="HL2857" s="4"/>
    </row>
    <row r="2858">
      <c r="A2858" s="2" t="s">
        <v>12102</v>
      </c>
      <c r="B2858" s="2" t="s">
        <v>226</v>
      </c>
      <c r="C2858" s="2" t="s">
        <v>3948</v>
      </c>
      <c r="D2858" s="2" t="s">
        <v>1549</v>
      </c>
      <c r="E2858" s="2" t="s">
        <v>6675</v>
      </c>
      <c r="F2858" s="2" t="s">
        <v>12078</v>
      </c>
      <c r="G2858" s="2" t="s">
        <v>12078</v>
      </c>
      <c r="H2858" s="2" t="s">
        <v>12078</v>
      </c>
      <c r="I2858" s="2" t="s">
        <v>12079</v>
      </c>
      <c r="J2858" s="2" t="s">
        <v>318</v>
      </c>
      <c r="K2858" s="2" t="s">
        <v>11021</v>
      </c>
      <c r="L2858" s="3">
        <v>51.11</v>
      </c>
      <c r="M2858" s="3">
        <v>53.67</v>
      </c>
      <c r="N2858" s="3">
        <v>79.99</v>
      </c>
      <c r="O2858" s="2" t="s">
        <v>235</v>
      </c>
      <c r="P2858" s="2" t="s">
        <v>1019</v>
      </c>
      <c r="Q2858" s="2" t="s">
        <v>237</v>
      </c>
      <c r="R2858" s="2" t="s">
        <v>1020</v>
      </c>
      <c r="S2858" s="2" t="s">
        <v>231</v>
      </c>
      <c r="T2858" s="2" t="s">
        <v>231</v>
      </c>
      <c r="U2858" s="2" t="s">
        <v>327</v>
      </c>
      <c r="V2858" s="2" t="s">
        <v>239</v>
      </c>
      <c r="W2858" s="2" t="s">
        <v>231</v>
      </c>
      <c r="X2858" s="2" t="s">
        <v>231</v>
      </c>
      <c r="Y2858" s="2" t="s">
        <v>5283</v>
      </c>
      <c r="Z2858" s="4">
        <v>86</v>
      </c>
      <c r="AA2858" s="4">
        <f>=ROUNDDOWN(143.333333333333,0)</f>
      </c>
      <c r="AB2858" s="5">
        <v>0.6</v>
      </c>
      <c r="AC2858" s="2" t="s">
        <v>231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231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231</v>
      </c>
      <c r="AW2858" s="8" t="s">
        <v>231</v>
      </c>
      <c r="AX2858" s="4" t="s">
        <v>231</v>
      </c>
      <c r="AY2858" s="8" t="s">
        <v>231</v>
      </c>
      <c r="AZ2858" s="7" t="s">
        <v>231</v>
      </c>
      <c r="BA2858" s="7" t="s">
        <v>231</v>
      </c>
      <c r="BB2858" s="7"/>
      <c r="BC2858" s="4" t="s">
        <v>231</v>
      </c>
      <c r="BD2858" s="8" t="s">
        <v>231</v>
      </c>
      <c r="BE2858" s="4" t="s">
        <v>231</v>
      </c>
      <c r="BF2858" s="8" t="s">
        <v>231</v>
      </c>
      <c r="BG2858" s="7" t="s">
        <v>231</v>
      </c>
      <c r="BH2858" s="7" t="s">
        <v>231</v>
      </c>
      <c r="BI2858" s="7"/>
      <c r="BJ2858" s="4"/>
      <c r="BK2858" s="8"/>
      <c r="BL2858" s="2" t="s">
        <v>231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12103</v>
      </c>
      <c r="BV2858" s="2" t="s">
        <v>231</v>
      </c>
      <c r="BW2858" s="2" t="s">
        <v>231</v>
      </c>
      <c r="BX2858" s="2" t="s">
        <v>241</v>
      </c>
      <c r="BY2858" s="2" t="s">
        <v>277</v>
      </c>
      <c r="BZ2858" s="2" t="s">
        <v>243</v>
      </c>
      <c r="CA2858" s="2" t="s">
        <v>1680</v>
      </c>
      <c r="CB2858" s="2" t="s">
        <v>231</v>
      </c>
      <c r="CC2858" s="2" t="s">
        <v>244</v>
      </c>
      <c r="CD2858" s="2" t="s">
        <v>231</v>
      </c>
      <c r="CE2858" s="4">
        <v>86</v>
      </c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/>
      <c r="CW2858" s="4"/>
      <c r="CX2858" s="4"/>
      <c r="CY2858" s="4"/>
      <c r="CZ2858" s="4"/>
      <c r="DA2858" s="4"/>
      <c r="DB2858" s="4"/>
      <c r="DC2858" s="4"/>
      <c r="DD2858" s="4"/>
      <c r="DE2858" s="4"/>
      <c r="DF2858" s="4"/>
      <c r="DG2858" s="4"/>
      <c r="DH2858" s="4"/>
      <c r="DI2858" s="4"/>
      <c r="DJ2858" s="4"/>
      <c r="DK2858" s="4"/>
      <c r="DL2858" s="4"/>
      <c r="DM2858" s="4"/>
      <c r="DN2858" s="4"/>
      <c r="DO2858" s="4"/>
      <c r="DP2858" s="4"/>
      <c r="DQ2858" s="4"/>
      <c r="DR2858" s="4"/>
      <c r="DS2858" s="4"/>
      <c r="DT2858" s="4"/>
      <c r="DU2858" s="4"/>
      <c r="DV2858" s="4"/>
      <c r="DW2858" s="4"/>
      <c r="DX2858" s="4"/>
      <c r="DY2858" s="4"/>
      <c r="DZ2858" s="4"/>
      <c r="EA2858" s="4"/>
      <c r="EB2858" s="4"/>
      <c r="EC2858" s="4"/>
      <c r="ED2858" s="4"/>
      <c r="EE2858" s="4"/>
      <c r="EF2858" s="4"/>
      <c r="EG2858" s="4"/>
      <c r="EH2858" s="4"/>
      <c r="EI2858" s="4"/>
      <c r="EJ2858" s="4"/>
      <c r="EK2858" s="4"/>
      <c r="EL2858" s="4"/>
      <c r="EM2858" s="4"/>
      <c r="EN2858" s="4"/>
      <c r="EO2858" s="4"/>
      <c r="EP2858" s="4"/>
      <c r="EQ2858" s="4"/>
      <c r="ER2858" s="4"/>
      <c r="ES2858" s="4"/>
      <c r="ET2858" s="4"/>
      <c r="EU2858" s="4"/>
      <c r="EV2858" s="4"/>
      <c r="EW2858" s="4"/>
      <c r="EX2858" s="4"/>
      <c r="EY2858" s="4"/>
      <c r="EZ2858" s="4"/>
      <c r="FA2858" s="4"/>
      <c r="FB2858" s="4"/>
      <c r="FC2858" s="4"/>
      <c r="FD2858" s="4"/>
      <c r="FE2858" s="4"/>
      <c r="FF2858" s="4"/>
      <c r="FG2858" s="4"/>
      <c r="FH2858" s="4"/>
      <c r="FI2858" s="4"/>
      <c r="FJ2858" s="4"/>
      <c r="FK2858" s="4"/>
      <c r="FL2858" s="4"/>
      <c r="FM2858" s="4"/>
      <c r="FN2858" s="4"/>
      <c r="FO2858" s="4"/>
      <c r="FP2858" s="4"/>
      <c r="FQ2858" s="4"/>
      <c r="FR2858" s="4"/>
      <c r="FS2858" s="4"/>
      <c r="FT2858" s="4"/>
      <c r="FU2858" s="4"/>
      <c r="FV2858" s="4"/>
      <c r="FW2858" s="4"/>
      <c r="FX2858" s="4"/>
      <c r="FY2858" s="4"/>
      <c r="FZ2858" s="4"/>
      <c r="GA2858" s="4"/>
      <c r="GB2858" s="4"/>
      <c r="GC2858" s="4"/>
      <c r="GD2858" s="4"/>
      <c r="GE2858" s="4"/>
      <c r="GF2858" s="4"/>
      <c r="GG2858" s="4"/>
      <c r="GH2858" s="4"/>
      <c r="GI2858" s="4"/>
      <c r="GJ2858" s="4"/>
      <c r="GK2858" s="4"/>
      <c r="GL2858" s="4"/>
      <c r="GM2858" s="4"/>
      <c r="GN2858" s="4"/>
      <c r="GO2858" s="4"/>
      <c r="GP2858" s="4"/>
      <c r="GQ2858" s="4"/>
      <c r="GR2858" s="4"/>
      <c r="GS2858" s="4"/>
      <c r="GT2858" s="4"/>
      <c r="GU2858" s="4"/>
      <c r="GV2858" s="4"/>
      <c r="GW2858" s="4"/>
      <c r="GX2858" s="4"/>
      <c r="GY2858" s="4"/>
      <c r="GZ2858" s="4"/>
      <c r="HA2858" s="4"/>
      <c r="HB2858" s="4"/>
      <c r="HC2858" s="4"/>
      <c r="HD2858" s="4"/>
      <c r="HE2858" s="4"/>
      <c r="HF2858" s="4"/>
      <c r="HG2858" s="4"/>
      <c r="HH2858" s="4"/>
      <c r="HI2858" s="4"/>
      <c r="HJ2858" s="4"/>
      <c r="HK2858" s="4"/>
      <c r="HL2858" s="4"/>
    </row>
    <row r="2859">
      <c r="A2859" s="2" t="s">
        <v>12104</v>
      </c>
      <c r="B2859" s="2" t="s">
        <v>226</v>
      </c>
      <c r="C2859" s="2" t="s">
        <v>3948</v>
      </c>
      <c r="D2859" s="2" t="s">
        <v>1549</v>
      </c>
      <c r="E2859" s="2" t="s">
        <v>6675</v>
      </c>
      <c r="F2859" s="2" t="s">
        <v>12078</v>
      </c>
      <c r="G2859" s="2" t="s">
        <v>12078</v>
      </c>
      <c r="H2859" s="2" t="s">
        <v>12078</v>
      </c>
      <c r="I2859" s="2" t="s">
        <v>12079</v>
      </c>
      <c r="J2859" s="2" t="s">
        <v>281</v>
      </c>
      <c r="K2859" s="2" t="s">
        <v>11021</v>
      </c>
      <c r="L2859" s="3">
        <v>57.5</v>
      </c>
      <c r="M2859" s="3">
        <v>60.38</v>
      </c>
      <c r="N2859" s="3">
        <v>89.99</v>
      </c>
      <c r="O2859" s="2" t="s">
        <v>235</v>
      </c>
      <c r="P2859" s="2" t="s">
        <v>1019</v>
      </c>
      <c r="Q2859" s="2" t="s">
        <v>237</v>
      </c>
      <c r="R2859" s="2" t="s">
        <v>1020</v>
      </c>
      <c r="S2859" s="2" t="s">
        <v>231</v>
      </c>
      <c r="T2859" s="2" t="s">
        <v>231</v>
      </c>
      <c r="U2859" s="2" t="s">
        <v>327</v>
      </c>
      <c r="V2859" s="2" t="s">
        <v>239</v>
      </c>
      <c r="W2859" s="2" t="s">
        <v>231</v>
      </c>
      <c r="X2859" s="2" t="s">
        <v>231</v>
      </c>
      <c r="Y2859" s="2" t="s">
        <v>5283</v>
      </c>
      <c r="Z2859" s="4">
        <v>67</v>
      </c>
      <c r="AA2859" s="4">
        <f>=ROUNDDOWN({0},0)</f>
      </c>
      <c r="AB2859" s="5"/>
      <c r="AC2859" s="2" t="s">
        <v>231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231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231</v>
      </c>
      <c r="AW2859" s="8" t="s">
        <v>231</v>
      </c>
      <c r="AX2859" s="4" t="s">
        <v>231</v>
      </c>
      <c r="AY2859" s="8" t="s">
        <v>231</v>
      </c>
      <c r="AZ2859" s="7" t="s">
        <v>231</v>
      </c>
      <c r="BA2859" s="7" t="s">
        <v>231</v>
      </c>
      <c r="BB2859" s="7"/>
      <c r="BC2859" s="4" t="s">
        <v>231</v>
      </c>
      <c r="BD2859" s="8" t="s">
        <v>231</v>
      </c>
      <c r="BE2859" s="4" t="s">
        <v>231</v>
      </c>
      <c r="BF2859" s="8" t="s">
        <v>231</v>
      </c>
      <c r="BG2859" s="7" t="s">
        <v>231</v>
      </c>
      <c r="BH2859" s="7" t="s">
        <v>231</v>
      </c>
      <c r="BI2859" s="7"/>
      <c r="BJ2859" s="4"/>
      <c r="BK2859" s="8"/>
      <c r="BL2859" s="2" t="s">
        <v>1028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12105</v>
      </c>
      <c r="BV2859" s="2" t="s">
        <v>231</v>
      </c>
      <c r="BW2859" s="2" t="s">
        <v>231</v>
      </c>
      <c r="BX2859" s="2" t="s">
        <v>241</v>
      </c>
      <c r="BY2859" s="2" t="s">
        <v>277</v>
      </c>
      <c r="BZ2859" s="2" t="s">
        <v>243</v>
      </c>
      <c r="CA2859" s="2" t="s">
        <v>1680</v>
      </c>
      <c r="CB2859" s="2" t="s">
        <v>231</v>
      </c>
      <c r="CC2859" s="2" t="s">
        <v>244</v>
      </c>
      <c r="CD2859" s="2" t="s">
        <v>231</v>
      </c>
      <c r="CE2859" s="4">
        <v>67</v>
      </c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/>
      <c r="CW2859" s="4"/>
      <c r="CX2859" s="4"/>
      <c r="CY2859" s="4"/>
      <c r="CZ2859" s="4"/>
      <c r="DA2859" s="4"/>
      <c r="DB2859" s="4"/>
      <c r="DC2859" s="4"/>
      <c r="DD2859" s="4"/>
      <c r="DE2859" s="4"/>
      <c r="DF2859" s="4"/>
      <c r="DG2859" s="4"/>
      <c r="DH2859" s="4"/>
      <c r="DI2859" s="4"/>
      <c r="DJ2859" s="4"/>
      <c r="DK2859" s="4"/>
      <c r="DL2859" s="4"/>
      <c r="DM2859" s="4"/>
      <c r="DN2859" s="4"/>
      <c r="DO2859" s="4"/>
      <c r="DP2859" s="4"/>
      <c r="DQ2859" s="4"/>
      <c r="DR2859" s="4"/>
      <c r="DS2859" s="4"/>
      <c r="DT2859" s="4"/>
      <c r="DU2859" s="4"/>
      <c r="DV2859" s="4"/>
      <c r="DW2859" s="4"/>
      <c r="DX2859" s="4"/>
      <c r="DY2859" s="4"/>
      <c r="DZ2859" s="4"/>
      <c r="EA2859" s="4"/>
      <c r="EB2859" s="4"/>
      <c r="EC2859" s="4"/>
      <c r="ED2859" s="4"/>
      <c r="EE2859" s="4"/>
      <c r="EF2859" s="4"/>
      <c r="EG2859" s="4"/>
      <c r="EH2859" s="4"/>
      <c r="EI2859" s="4"/>
      <c r="EJ2859" s="4"/>
      <c r="EK2859" s="4"/>
      <c r="EL2859" s="4"/>
      <c r="EM2859" s="4"/>
      <c r="EN2859" s="4"/>
      <c r="EO2859" s="4"/>
      <c r="EP2859" s="4"/>
      <c r="EQ2859" s="4"/>
      <c r="ER2859" s="4"/>
      <c r="ES2859" s="4"/>
      <c r="ET2859" s="4"/>
      <c r="EU2859" s="4"/>
      <c r="EV2859" s="4"/>
      <c r="EW2859" s="4"/>
      <c r="EX2859" s="4"/>
      <c r="EY2859" s="4"/>
      <c r="EZ2859" s="4"/>
      <c r="FA2859" s="4"/>
      <c r="FB2859" s="4"/>
      <c r="FC2859" s="4"/>
      <c r="FD2859" s="4"/>
      <c r="FE2859" s="4"/>
      <c r="FF2859" s="4"/>
      <c r="FG2859" s="4"/>
      <c r="FH2859" s="4"/>
      <c r="FI2859" s="4"/>
      <c r="FJ2859" s="4"/>
      <c r="FK2859" s="4"/>
      <c r="FL2859" s="4"/>
      <c r="FM2859" s="4"/>
      <c r="FN2859" s="4"/>
      <c r="FO2859" s="4"/>
      <c r="FP2859" s="4"/>
      <c r="FQ2859" s="4"/>
      <c r="FR2859" s="4"/>
      <c r="FS2859" s="4"/>
      <c r="FT2859" s="4"/>
      <c r="FU2859" s="4"/>
      <c r="FV2859" s="4"/>
      <c r="FW2859" s="4"/>
      <c r="FX2859" s="4"/>
      <c r="FY2859" s="4"/>
      <c r="FZ2859" s="4"/>
      <c r="GA2859" s="4"/>
      <c r="GB2859" s="4"/>
      <c r="GC2859" s="4"/>
      <c r="GD2859" s="4"/>
      <c r="GE2859" s="4"/>
      <c r="GF2859" s="4"/>
      <c r="GG2859" s="4"/>
      <c r="GH2859" s="4"/>
      <c r="GI2859" s="4"/>
      <c r="GJ2859" s="4"/>
      <c r="GK2859" s="4"/>
      <c r="GL2859" s="4"/>
      <c r="GM2859" s="4"/>
      <c r="GN2859" s="4"/>
      <c r="GO2859" s="4"/>
      <c r="GP2859" s="4"/>
      <c r="GQ2859" s="4"/>
      <c r="GR2859" s="4"/>
      <c r="GS2859" s="4"/>
      <c r="GT2859" s="4"/>
      <c r="GU2859" s="4"/>
      <c r="GV2859" s="4"/>
      <c r="GW2859" s="4"/>
      <c r="GX2859" s="4"/>
      <c r="GY2859" s="4"/>
      <c r="GZ2859" s="4"/>
      <c r="HA2859" s="4"/>
      <c r="HB2859" s="4"/>
      <c r="HC2859" s="4"/>
      <c r="HD2859" s="4"/>
      <c r="HE2859" s="4"/>
      <c r="HF2859" s="4"/>
      <c r="HG2859" s="4"/>
      <c r="HH2859" s="4"/>
      <c r="HI2859" s="4"/>
      <c r="HJ2859" s="4"/>
      <c r="HK2859" s="4"/>
      <c r="HL2859" s="4"/>
    </row>
    <row r="2860">
      <c r="A2860" s="2" t="s">
        <v>12106</v>
      </c>
      <c r="B2860" s="2" t="s">
        <v>226</v>
      </c>
      <c r="C2860" s="2" t="s">
        <v>3948</v>
      </c>
      <c r="D2860" s="2" t="s">
        <v>1549</v>
      </c>
      <c r="E2860" s="2" t="s">
        <v>6675</v>
      </c>
      <c r="F2860" s="2" t="s">
        <v>12078</v>
      </c>
      <c r="G2860" s="2" t="s">
        <v>12078</v>
      </c>
      <c r="H2860" s="2" t="s">
        <v>12078</v>
      </c>
      <c r="I2860" s="2" t="s">
        <v>12079</v>
      </c>
      <c r="J2860" s="2" t="s">
        <v>293</v>
      </c>
      <c r="K2860" s="2" t="s">
        <v>11021</v>
      </c>
      <c r="L2860" s="3">
        <v>83.06</v>
      </c>
      <c r="M2860" s="3">
        <v>87.21</v>
      </c>
      <c r="N2860" s="3">
        <v>129.99</v>
      </c>
      <c r="O2860" s="2" t="s">
        <v>235</v>
      </c>
      <c r="P2860" s="2" t="s">
        <v>1019</v>
      </c>
      <c r="Q2860" s="2" t="s">
        <v>237</v>
      </c>
      <c r="R2860" s="2" t="s">
        <v>1020</v>
      </c>
      <c r="S2860" s="2" t="s">
        <v>231</v>
      </c>
      <c r="T2860" s="2" t="s">
        <v>231</v>
      </c>
      <c r="U2860" s="2" t="s">
        <v>327</v>
      </c>
      <c r="V2860" s="2" t="s">
        <v>239</v>
      </c>
      <c r="W2860" s="2" t="s">
        <v>231</v>
      </c>
      <c r="X2860" s="2" t="s">
        <v>231</v>
      </c>
      <c r="Y2860" s="2" t="s">
        <v>10885</v>
      </c>
      <c r="Z2860" s="4">
        <v>110</v>
      </c>
      <c r="AA2860" s="4">
        <f>=ROUNDDOWN({0},0)</f>
      </c>
      <c r="AB2860" s="5"/>
      <c r="AC2860" s="2" t="s">
        <v>231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231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231</v>
      </c>
      <c r="AW2860" s="8" t="s">
        <v>231</v>
      </c>
      <c r="AX2860" s="4" t="s">
        <v>231</v>
      </c>
      <c r="AY2860" s="8" t="s">
        <v>231</v>
      </c>
      <c r="AZ2860" s="7" t="s">
        <v>231</v>
      </c>
      <c r="BA2860" s="7" t="s">
        <v>231</v>
      </c>
      <c r="BB2860" s="7"/>
      <c r="BC2860" s="4" t="s">
        <v>231</v>
      </c>
      <c r="BD2860" s="8" t="s">
        <v>231</v>
      </c>
      <c r="BE2860" s="4" t="s">
        <v>231</v>
      </c>
      <c r="BF2860" s="8" t="s">
        <v>231</v>
      </c>
      <c r="BG2860" s="7" t="s">
        <v>231</v>
      </c>
      <c r="BH2860" s="7" t="s">
        <v>231</v>
      </c>
      <c r="BI2860" s="7"/>
      <c r="BJ2860" s="4"/>
      <c r="BK2860" s="8"/>
      <c r="BL2860" s="2" t="s">
        <v>231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12107</v>
      </c>
      <c r="BV2860" s="2" t="s">
        <v>231</v>
      </c>
      <c r="BW2860" s="2" t="s">
        <v>231</v>
      </c>
      <c r="BX2860" s="2" t="s">
        <v>241</v>
      </c>
      <c r="BY2860" s="2" t="s">
        <v>277</v>
      </c>
      <c r="BZ2860" s="2" t="s">
        <v>243</v>
      </c>
      <c r="CA2860" s="2" t="s">
        <v>1680</v>
      </c>
      <c r="CB2860" s="2" t="s">
        <v>231</v>
      </c>
      <c r="CC2860" s="2" t="s">
        <v>244</v>
      </c>
      <c r="CD2860" s="2" t="s">
        <v>231</v>
      </c>
      <c r="CE2860" s="4">
        <v>110</v>
      </c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4"/>
      <c r="CX2860" s="4"/>
      <c r="CY2860" s="4"/>
      <c r="CZ2860" s="4"/>
      <c r="DA2860" s="4"/>
      <c r="DB2860" s="4"/>
      <c r="DC2860" s="4"/>
      <c r="DD2860" s="4"/>
      <c r="DE2860" s="4"/>
      <c r="DF2860" s="4"/>
      <c r="DG2860" s="4"/>
      <c r="DH2860" s="4"/>
      <c r="DI2860" s="4"/>
      <c r="DJ2860" s="4"/>
      <c r="DK2860" s="4"/>
      <c r="DL2860" s="4"/>
      <c r="DM2860" s="4"/>
      <c r="DN2860" s="4"/>
      <c r="DO2860" s="4"/>
      <c r="DP2860" s="4"/>
      <c r="DQ2860" s="4"/>
      <c r="DR2860" s="4"/>
      <c r="DS2860" s="4"/>
      <c r="DT2860" s="4"/>
      <c r="DU2860" s="4"/>
      <c r="DV2860" s="4"/>
      <c r="DW2860" s="4"/>
      <c r="DX2860" s="4"/>
      <c r="DY2860" s="4"/>
      <c r="DZ2860" s="4"/>
      <c r="EA2860" s="4"/>
      <c r="EB2860" s="4"/>
      <c r="EC2860" s="4"/>
      <c r="ED2860" s="4"/>
      <c r="EE2860" s="4"/>
      <c r="EF2860" s="4"/>
      <c r="EG2860" s="4"/>
      <c r="EH2860" s="4"/>
      <c r="EI2860" s="4"/>
      <c r="EJ2860" s="4"/>
      <c r="EK2860" s="4"/>
      <c r="EL2860" s="4"/>
      <c r="EM2860" s="4"/>
      <c r="EN2860" s="4"/>
      <c r="EO2860" s="4"/>
      <c r="EP2860" s="4"/>
      <c r="EQ2860" s="4"/>
      <c r="ER2860" s="4"/>
      <c r="ES2860" s="4"/>
      <c r="ET2860" s="4"/>
      <c r="EU2860" s="4"/>
      <c r="EV2860" s="4"/>
      <c r="EW2860" s="4"/>
      <c r="EX2860" s="4"/>
      <c r="EY2860" s="4"/>
      <c r="EZ2860" s="4"/>
      <c r="FA2860" s="4"/>
      <c r="FB2860" s="4"/>
      <c r="FC2860" s="4"/>
      <c r="FD2860" s="4"/>
      <c r="FE2860" s="4"/>
      <c r="FF2860" s="4"/>
      <c r="FG2860" s="4"/>
      <c r="FH2860" s="4"/>
      <c r="FI2860" s="4"/>
      <c r="FJ2860" s="4"/>
      <c r="FK2860" s="4"/>
      <c r="FL2860" s="4"/>
      <c r="FM2860" s="4"/>
      <c r="FN2860" s="4"/>
      <c r="FO2860" s="4"/>
      <c r="FP2860" s="4"/>
      <c r="FQ2860" s="4"/>
      <c r="FR2860" s="4"/>
      <c r="FS2860" s="4"/>
      <c r="FT2860" s="4"/>
      <c r="FU2860" s="4"/>
      <c r="FV2860" s="4"/>
      <c r="FW2860" s="4"/>
      <c r="FX2860" s="4"/>
      <c r="FY2860" s="4"/>
      <c r="FZ2860" s="4"/>
      <c r="GA2860" s="4"/>
      <c r="GB2860" s="4"/>
      <c r="GC2860" s="4"/>
      <c r="GD2860" s="4"/>
      <c r="GE2860" s="4"/>
      <c r="GF2860" s="4"/>
      <c r="GG2860" s="4"/>
      <c r="GH2860" s="4"/>
      <c r="GI2860" s="4"/>
      <c r="GJ2860" s="4"/>
      <c r="GK2860" s="4"/>
      <c r="GL2860" s="4"/>
      <c r="GM2860" s="4"/>
      <c r="GN2860" s="4"/>
      <c r="GO2860" s="4"/>
      <c r="GP2860" s="4"/>
      <c r="GQ2860" s="4"/>
      <c r="GR2860" s="4"/>
      <c r="GS2860" s="4"/>
      <c r="GT2860" s="4"/>
      <c r="GU2860" s="4"/>
      <c r="GV2860" s="4"/>
      <c r="GW2860" s="4"/>
      <c r="GX2860" s="4"/>
      <c r="GY2860" s="4"/>
      <c r="GZ2860" s="4"/>
      <c r="HA2860" s="4"/>
      <c r="HB2860" s="4"/>
      <c r="HC2860" s="4"/>
      <c r="HD2860" s="4"/>
      <c r="HE2860" s="4"/>
      <c r="HF2860" s="4"/>
      <c r="HG2860" s="4"/>
      <c r="HH2860" s="4"/>
      <c r="HI2860" s="4"/>
      <c r="HJ2860" s="4"/>
      <c r="HK2860" s="4"/>
      <c r="HL2860" s="4"/>
    </row>
    <row r="2861">
      <c r="A2861" s="2" t="s">
        <v>12108</v>
      </c>
      <c r="B2861" s="2" t="s">
        <v>226</v>
      </c>
      <c r="C2861" s="2" t="s">
        <v>3948</v>
      </c>
      <c r="D2861" s="2" t="s">
        <v>1549</v>
      </c>
      <c r="E2861" s="2" t="s">
        <v>6675</v>
      </c>
      <c r="F2861" s="2" t="s">
        <v>12078</v>
      </c>
      <c r="G2861" s="2" t="s">
        <v>12078</v>
      </c>
      <c r="H2861" s="2" t="s">
        <v>12078</v>
      </c>
      <c r="I2861" s="2" t="s">
        <v>12079</v>
      </c>
      <c r="J2861" s="2" t="s">
        <v>302</v>
      </c>
      <c r="K2861" s="2" t="s">
        <v>11021</v>
      </c>
      <c r="L2861" s="3">
        <v>89.45</v>
      </c>
      <c r="M2861" s="3">
        <v>93.92</v>
      </c>
      <c r="N2861" s="3">
        <v>139.99</v>
      </c>
      <c r="O2861" s="2" t="s">
        <v>235</v>
      </c>
      <c r="P2861" s="2" t="s">
        <v>1019</v>
      </c>
      <c r="Q2861" s="2" t="s">
        <v>237</v>
      </c>
      <c r="R2861" s="2" t="s">
        <v>1020</v>
      </c>
      <c r="S2861" s="2" t="s">
        <v>231</v>
      </c>
      <c r="T2861" s="2" t="s">
        <v>231</v>
      </c>
      <c r="U2861" s="2" t="s">
        <v>327</v>
      </c>
      <c r="V2861" s="2" t="s">
        <v>239</v>
      </c>
      <c r="W2861" s="2" t="s">
        <v>231</v>
      </c>
      <c r="X2861" s="2" t="s">
        <v>231</v>
      </c>
      <c r="Y2861" s="2" t="s">
        <v>10885</v>
      </c>
      <c r="Z2861" s="4">
        <v>144</v>
      </c>
      <c r="AA2861" s="4">
        <f>=ROUNDDOWN({0},0)</f>
      </c>
      <c r="AB2861" s="5"/>
      <c r="AC2861" s="2" t="s">
        <v>231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231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231</v>
      </c>
      <c r="AW2861" s="8" t="s">
        <v>231</v>
      </c>
      <c r="AX2861" s="4" t="s">
        <v>231</v>
      </c>
      <c r="AY2861" s="8" t="s">
        <v>231</v>
      </c>
      <c r="AZ2861" s="7" t="s">
        <v>231</v>
      </c>
      <c r="BA2861" s="7" t="s">
        <v>231</v>
      </c>
      <c r="BB2861" s="7"/>
      <c r="BC2861" s="4" t="s">
        <v>231</v>
      </c>
      <c r="BD2861" s="8" t="s">
        <v>231</v>
      </c>
      <c r="BE2861" s="4" t="s">
        <v>231</v>
      </c>
      <c r="BF2861" s="8" t="s">
        <v>231</v>
      </c>
      <c r="BG2861" s="7" t="s">
        <v>231</v>
      </c>
      <c r="BH2861" s="7" t="s">
        <v>231</v>
      </c>
      <c r="BI2861" s="7"/>
      <c r="BJ2861" s="4"/>
      <c r="BK2861" s="8"/>
      <c r="BL2861" s="2" t="s">
        <v>231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12109</v>
      </c>
      <c r="BV2861" s="2" t="s">
        <v>231</v>
      </c>
      <c r="BW2861" s="2" t="s">
        <v>231</v>
      </c>
      <c r="BX2861" s="2" t="s">
        <v>241</v>
      </c>
      <c r="BY2861" s="2" t="s">
        <v>277</v>
      </c>
      <c r="BZ2861" s="2" t="s">
        <v>243</v>
      </c>
      <c r="CA2861" s="2" t="s">
        <v>1680</v>
      </c>
      <c r="CB2861" s="2" t="s">
        <v>231</v>
      </c>
      <c r="CC2861" s="2" t="s">
        <v>244</v>
      </c>
      <c r="CD2861" s="2" t="s">
        <v>231</v>
      </c>
      <c r="CE2861" s="4">
        <v>144</v>
      </c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4"/>
      <c r="CX2861" s="4"/>
      <c r="CY2861" s="4"/>
      <c r="CZ2861" s="4"/>
      <c r="DA2861" s="4"/>
      <c r="DB2861" s="4"/>
      <c r="DC2861" s="4"/>
      <c r="DD2861" s="4"/>
      <c r="DE2861" s="4"/>
      <c r="DF2861" s="4"/>
      <c r="DG2861" s="4"/>
      <c r="DH2861" s="4"/>
      <c r="DI2861" s="4"/>
      <c r="DJ2861" s="4"/>
      <c r="DK2861" s="4"/>
      <c r="DL2861" s="4"/>
      <c r="DM2861" s="4"/>
      <c r="DN2861" s="4"/>
      <c r="DO2861" s="4"/>
      <c r="DP2861" s="4"/>
      <c r="DQ2861" s="4"/>
      <c r="DR2861" s="4"/>
      <c r="DS2861" s="4"/>
      <c r="DT2861" s="4"/>
      <c r="DU2861" s="4"/>
      <c r="DV2861" s="4"/>
      <c r="DW2861" s="4"/>
      <c r="DX2861" s="4"/>
      <c r="DY2861" s="4"/>
      <c r="DZ2861" s="4"/>
      <c r="EA2861" s="4"/>
      <c r="EB2861" s="4"/>
      <c r="EC2861" s="4"/>
      <c r="ED2861" s="4"/>
      <c r="EE2861" s="4"/>
      <c r="EF2861" s="4"/>
      <c r="EG2861" s="4"/>
      <c r="EH2861" s="4"/>
      <c r="EI2861" s="4"/>
      <c r="EJ2861" s="4"/>
      <c r="EK2861" s="4"/>
      <c r="EL2861" s="4"/>
      <c r="EM2861" s="4"/>
      <c r="EN2861" s="4"/>
      <c r="EO2861" s="4"/>
      <c r="EP2861" s="4"/>
      <c r="EQ2861" s="4"/>
      <c r="ER2861" s="4"/>
      <c r="ES2861" s="4"/>
      <c r="ET2861" s="4"/>
      <c r="EU2861" s="4"/>
      <c r="EV2861" s="4"/>
      <c r="EW2861" s="4"/>
      <c r="EX2861" s="4"/>
      <c r="EY2861" s="4"/>
      <c r="EZ2861" s="4"/>
      <c r="FA2861" s="4"/>
      <c r="FB2861" s="4"/>
      <c r="FC2861" s="4"/>
      <c r="FD2861" s="4"/>
      <c r="FE2861" s="4"/>
      <c r="FF2861" s="4"/>
      <c r="FG2861" s="4"/>
      <c r="FH2861" s="4"/>
      <c r="FI2861" s="4"/>
      <c r="FJ2861" s="4"/>
      <c r="FK2861" s="4"/>
      <c r="FL2861" s="4"/>
      <c r="FM2861" s="4"/>
      <c r="FN2861" s="4"/>
      <c r="FO2861" s="4"/>
      <c r="FP2861" s="4"/>
      <c r="FQ2861" s="4"/>
      <c r="FR2861" s="4"/>
      <c r="FS2861" s="4"/>
      <c r="FT2861" s="4"/>
      <c r="FU2861" s="4"/>
      <c r="FV2861" s="4"/>
      <c r="FW2861" s="4"/>
      <c r="FX2861" s="4"/>
      <c r="FY2861" s="4"/>
      <c r="FZ2861" s="4"/>
      <c r="GA2861" s="4"/>
      <c r="GB2861" s="4"/>
      <c r="GC2861" s="4"/>
      <c r="GD2861" s="4"/>
      <c r="GE2861" s="4"/>
      <c r="GF2861" s="4"/>
      <c r="GG2861" s="4"/>
      <c r="GH2861" s="4"/>
      <c r="GI2861" s="4"/>
      <c r="GJ2861" s="4"/>
      <c r="GK2861" s="4"/>
      <c r="GL2861" s="4"/>
      <c r="GM2861" s="4"/>
      <c r="GN2861" s="4"/>
      <c r="GO2861" s="4"/>
      <c r="GP2861" s="4"/>
      <c r="GQ2861" s="4"/>
      <c r="GR2861" s="4"/>
      <c r="GS2861" s="4"/>
      <c r="GT2861" s="4"/>
      <c r="GU2861" s="4"/>
      <c r="GV2861" s="4"/>
      <c r="GW2861" s="4"/>
      <c r="GX2861" s="4"/>
      <c r="GY2861" s="4"/>
      <c r="GZ2861" s="4"/>
      <c r="HA2861" s="4"/>
      <c r="HB2861" s="4"/>
      <c r="HC2861" s="4"/>
      <c r="HD2861" s="4"/>
      <c r="HE2861" s="4"/>
      <c r="HF2861" s="4"/>
      <c r="HG2861" s="4"/>
      <c r="HH2861" s="4"/>
      <c r="HI2861" s="4"/>
      <c r="HJ2861" s="4"/>
      <c r="HK2861" s="4"/>
      <c r="HL2861" s="4"/>
    </row>
    <row r="2862">
      <c r="A2862" s="2" t="s">
        <v>12110</v>
      </c>
      <c r="B2862" s="2" t="s">
        <v>226</v>
      </c>
      <c r="C2862" s="2" t="s">
        <v>3948</v>
      </c>
      <c r="D2862" s="2" t="s">
        <v>1549</v>
      </c>
      <c r="E2862" s="2" t="s">
        <v>6675</v>
      </c>
      <c r="F2862" s="2" t="s">
        <v>12078</v>
      </c>
      <c r="G2862" s="2" t="s">
        <v>12078</v>
      </c>
      <c r="H2862" s="2" t="s">
        <v>12078</v>
      </c>
      <c r="I2862" s="2" t="s">
        <v>12079</v>
      </c>
      <c r="J2862" s="2" t="s">
        <v>318</v>
      </c>
      <c r="K2862" s="2" t="s">
        <v>2457</v>
      </c>
      <c r="L2862" s="3">
        <v>51.11</v>
      </c>
      <c r="M2862" s="3">
        <v>53.67</v>
      </c>
      <c r="N2862" s="3">
        <v>79.99</v>
      </c>
      <c r="O2862" s="2" t="s">
        <v>235</v>
      </c>
      <c r="P2862" s="2" t="s">
        <v>1019</v>
      </c>
      <c r="Q2862" s="2" t="s">
        <v>237</v>
      </c>
      <c r="R2862" s="2" t="s">
        <v>1020</v>
      </c>
      <c r="S2862" s="2" t="s">
        <v>231</v>
      </c>
      <c r="T2862" s="2" t="s">
        <v>231</v>
      </c>
      <c r="U2862" s="2" t="s">
        <v>327</v>
      </c>
      <c r="V2862" s="2" t="s">
        <v>239</v>
      </c>
      <c r="W2862" s="2" t="s">
        <v>231</v>
      </c>
      <c r="X2862" s="2" t="s">
        <v>231</v>
      </c>
      <c r="Y2862" s="2" t="s">
        <v>5283</v>
      </c>
      <c r="Z2862" s="4">
        <v>64</v>
      </c>
      <c r="AA2862" s="4">
        <f>=ROUNDDOWN(64,0)</f>
      </c>
      <c r="AB2862" s="5">
        <v>1</v>
      </c>
      <c r="AC2862" s="2" t="s">
        <v>231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231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231</v>
      </c>
      <c r="AW2862" s="8" t="s">
        <v>231</v>
      </c>
      <c r="AX2862" s="4" t="s">
        <v>231</v>
      </c>
      <c r="AY2862" s="8" t="s">
        <v>231</v>
      </c>
      <c r="AZ2862" s="7" t="s">
        <v>231</v>
      </c>
      <c r="BA2862" s="7" t="s">
        <v>231</v>
      </c>
      <c r="BB2862" s="7"/>
      <c r="BC2862" s="4" t="s">
        <v>231</v>
      </c>
      <c r="BD2862" s="8" t="s">
        <v>231</v>
      </c>
      <c r="BE2862" s="4" t="s">
        <v>231</v>
      </c>
      <c r="BF2862" s="8" t="s">
        <v>231</v>
      </c>
      <c r="BG2862" s="7" t="s">
        <v>231</v>
      </c>
      <c r="BH2862" s="7" t="s">
        <v>231</v>
      </c>
      <c r="BI2862" s="7"/>
      <c r="BJ2862" s="4"/>
      <c r="BK2862" s="8"/>
      <c r="BL2862" s="2" t="s">
        <v>231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12111</v>
      </c>
      <c r="BV2862" s="2" t="s">
        <v>231</v>
      </c>
      <c r="BW2862" s="2" t="s">
        <v>231</v>
      </c>
      <c r="BX2862" s="2" t="s">
        <v>241</v>
      </c>
      <c r="BY2862" s="2" t="s">
        <v>277</v>
      </c>
      <c r="BZ2862" s="2" t="s">
        <v>243</v>
      </c>
      <c r="CA2862" s="2" t="s">
        <v>1680</v>
      </c>
      <c r="CB2862" s="2" t="s">
        <v>231</v>
      </c>
      <c r="CC2862" s="2" t="s">
        <v>244</v>
      </c>
      <c r="CD2862" s="2" t="s">
        <v>231</v>
      </c>
      <c r="CE2862" s="4">
        <v>64</v>
      </c>
      <c r="CF2862" s="4"/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4"/>
      <c r="CX2862" s="4"/>
      <c r="CY2862" s="4"/>
      <c r="CZ2862" s="4"/>
      <c r="DA2862" s="4"/>
      <c r="DB2862" s="4"/>
      <c r="DC2862" s="4"/>
      <c r="DD2862" s="4"/>
      <c r="DE2862" s="4"/>
      <c r="DF2862" s="4"/>
      <c r="DG2862" s="4"/>
      <c r="DH2862" s="4"/>
      <c r="DI2862" s="4"/>
      <c r="DJ2862" s="4"/>
      <c r="DK2862" s="4"/>
      <c r="DL2862" s="4"/>
      <c r="DM2862" s="4"/>
      <c r="DN2862" s="4"/>
      <c r="DO2862" s="4"/>
      <c r="DP2862" s="4"/>
      <c r="DQ2862" s="4"/>
      <c r="DR2862" s="4"/>
      <c r="DS2862" s="4"/>
      <c r="DT2862" s="4"/>
      <c r="DU2862" s="4"/>
      <c r="DV2862" s="4"/>
      <c r="DW2862" s="4"/>
      <c r="DX2862" s="4"/>
      <c r="DY2862" s="4"/>
      <c r="DZ2862" s="4"/>
      <c r="EA2862" s="4"/>
      <c r="EB2862" s="4"/>
      <c r="EC2862" s="4"/>
      <c r="ED2862" s="4"/>
      <c r="EE2862" s="4"/>
      <c r="EF2862" s="4"/>
      <c r="EG2862" s="4"/>
      <c r="EH2862" s="4"/>
      <c r="EI2862" s="4"/>
      <c r="EJ2862" s="4"/>
      <c r="EK2862" s="4"/>
      <c r="EL2862" s="4"/>
      <c r="EM2862" s="4"/>
      <c r="EN2862" s="4"/>
      <c r="EO2862" s="4"/>
      <c r="EP2862" s="4"/>
      <c r="EQ2862" s="4"/>
      <c r="ER2862" s="4"/>
      <c r="ES2862" s="4"/>
      <c r="ET2862" s="4"/>
      <c r="EU2862" s="4"/>
      <c r="EV2862" s="4"/>
      <c r="EW2862" s="4"/>
      <c r="EX2862" s="4"/>
      <c r="EY2862" s="4"/>
      <c r="EZ2862" s="4"/>
      <c r="FA2862" s="4"/>
      <c r="FB2862" s="4"/>
      <c r="FC2862" s="4"/>
      <c r="FD2862" s="4"/>
      <c r="FE2862" s="4"/>
      <c r="FF2862" s="4"/>
      <c r="FG2862" s="4"/>
      <c r="FH2862" s="4"/>
      <c r="FI2862" s="4"/>
      <c r="FJ2862" s="4"/>
      <c r="FK2862" s="4"/>
      <c r="FL2862" s="4"/>
      <c r="FM2862" s="4"/>
      <c r="FN2862" s="4"/>
      <c r="FO2862" s="4"/>
      <c r="FP2862" s="4"/>
      <c r="FQ2862" s="4"/>
      <c r="FR2862" s="4"/>
      <c r="FS2862" s="4"/>
      <c r="FT2862" s="4"/>
      <c r="FU2862" s="4"/>
      <c r="FV2862" s="4"/>
      <c r="FW2862" s="4"/>
      <c r="FX2862" s="4"/>
      <c r="FY2862" s="4"/>
      <c r="FZ2862" s="4"/>
      <c r="GA2862" s="4"/>
      <c r="GB2862" s="4"/>
      <c r="GC2862" s="4"/>
      <c r="GD2862" s="4"/>
      <c r="GE2862" s="4"/>
      <c r="GF2862" s="4"/>
      <c r="GG2862" s="4"/>
      <c r="GH2862" s="4"/>
      <c r="GI2862" s="4"/>
      <c r="GJ2862" s="4"/>
      <c r="GK2862" s="4"/>
      <c r="GL2862" s="4"/>
      <c r="GM2862" s="4"/>
      <c r="GN2862" s="4"/>
      <c r="GO2862" s="4"/>
      <c r="GP2862" s="4"/>
      <c r="GQ2862" s="4"/>
      <c r="GR2862" s="4"/>
      <c r="GS2862" s="4"/>
      <c r="GT2862" s="4"/>
      <c r="GU2862" s="4"/>
      <c r="GV2862" s="4"/>
      <c r="GW2862" s="4"/>
      <c r="GX2862" s="4"/>
      <c r="GY2862" s="4"/>
      <c r="GZ2862" s="4"/>
      <c r="HA2862" s="4"/>
      <c r="HB2862" s="4"/>
      <c r="HC2862" s="4"/>
      <c r="HD2862" s="4"/>
      <c r="HE2862" s="4"/>
      <c r="HF2862" s="4"/>
      <c r="HG2862" s="4"/>
      <c r="HH2862" s="4"/>
      <c r="HI2862" s="4"/>
      <c r="HJ2862" s="4"/>
      <c r="HK2862" s="4"/>
      <c r="HL2862" s="4"/>
    </row>
    <row r="2863">
      <c r="A2863" s="2" t="s">
        <v>12112</v>
      </c>
      <c r="B2863" s="2" t="s">
        <v>226</v>
      </c>
      <c r="C2863" s="2" t="s">
        <v>3948</v>
      </c>
      <c r="D2863" s="2" t="s">
        <v>1549</v>
      </c>
      <c r="E2863" s="2" t="s">
        <v>6675</v>
      </c>
      <c r="F2863" s="2" t="s">
        <v>12078</v>
      </c>
      <c r="G2863" s="2" t="s">
        <v>12078</v>
      </c>
      <c r="H2863" s="2" t="s">
        <v>12078</v>
      </c>
      <c r="I2863" s="2" t="s">
        <v>12079</v>
      </c>
      <c r="J2863" s="2" t="s">
        <v>281</v>
      </c>
      <c r="K2863" s="2" t="s">
        <v>2457</v>
      </c>
      <c r="L2863" s="3">
        <v>57.5</v>
      </c>
      <c r="M2863" s="3">
        <v>60.38</v>
      </c>
      <c r="N2863" s="3">
        <v>89.99</v>
      </c>
      <c r="O2863" s="2" t="s">
        <v>235</v>
      </c>
      <c r="P2863" s="2" t="s">
        <v>1019</v>
      </c>
      <c r="Q2863" s="2" t="s">
        <v>237</v>
      </c>
      <c r="R2863" s="2" t="s">
        <v>1020</v>
      </c>
      <c r="S2863" s="2" t="s">
        <v>231</v>
      </c>
      <c r="T2863" s="2" t="s">
        <v>231</v>
      </c>
      <c r="U2863" s="2" t="s">
        <v>327</v>
      </c>
      <c r="V2863" s="2" t="s">
        <v>239</v>
      </c>
      <c r="W2863" s="2" t="s">
        <v>231</v>
      </c>
      <c r="X2863" s="2" t="s">
        <v>231</v>
      </c>
      <c r="Y2863" s="2" t="s">
        <v>5283</v>
      </c>
      <c r="Z2863" s="4">
        <v>98</v>
      </c>
      <c r="AA2863" s="4">
        <f>=ROUNDDOWN(98,0)</f>
      </c>
      <c r="AB2863" s="5">
        <v>1</v>
      </c>
      <c r="AC2863" s="2" t="s">
        <v>231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231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231</v>
      </c>
      <c r="AW2863" s="8" t="s">
        <v>231</v>
      </c>
      <c r="AX2863" s="4" t="s">
        <v>231</v>
      </c>
      <c r="AY2863" s="8" t="s">
        <v>231</v>
      </c>
      <c r="AZ2863" s="7" t="s">
        <v>231</v>
      </c>
      <c r="BA2863" s="7" t="s">
        <v>231</v>
      </c>
      <c r="BB2863" s="7"/>
      <c r="BC2863" s="4" t="s">
        <v>231</v>
      </c>
      <c r="BD2863" s="8" t="s">
        <v>231</v>
      </c>
      <c r="BE2863" s="4" t="s">
        <v>231</v>
      </c>
      <c r="BF2863" s="8" t="s">
        <v>231</v>
      </c>
      <c r="BG2863" s="7" t="s">
        <v>231</v>
      </c>
      <c r="BH2863" s="7" t="s">
        <v>231</v>
      </c>
      <c r="BI2863" s="7"/>
      <c r="BJ2863" s="4"/>
      <c r="BK2863" s="8"/>
      <c r="BL2863" s="2" t="s">
        <v>1020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12113</v>
      </c>
      <c r="BV2863" s="2" t="s">
        <v>231</v>
      </c>
      <c r="BW2863" s="2" t="s">
        <v>231</v>
      </c>
      <c r="BX2863" s="2" t="s">
        <v>241</v>
      </c>
      <c r="BY2863" s="2" t="s">
        <v>277</v>
      </c>
      <c r="BZ2863" s="2" t="s">
        <v>243</v>
      </c>
      <c r="CA2863" s="2" t="s">
        <v>1680</v>
      </c>
      <c r="CB2863" s="2" t="s">
        <v>231</v>
      </c>
      <c r="CC2863" s="2" t="s">
        <v>244</v>
      </c>
      <c r="CD2863" s="2" t="s">
        <v>231</v>
      </c>
      <c r="CE2863" s="4">
        <v>98</v>
      </c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4"/>
      <c r="CX2863" s="4"/>
      <c r="CY2863" s="4"/>
      <c r="CZ2863" s="4"/>
      <c r="DA2863" s="4"/>
      <c r="DB2863" s="4"/>
      <c r="DC2863" s="4"/>
      <c r="DD2863" s="4"/>
      <c r="DE2863" s="4"/>
      <c r="DF2863" s="4"/>
      <c r="DG2863" s="4"/>
      <c r="DH2863" s="4"/>
      <c r="DI2863" s="4"/>
      <c r="DJ2863" s="4"/>
      <c r="DK2863" s="4"/>
      <c r="DL2863" s="4"/>
      <c r="DM2863" s="4"/>
      <c r="DN2863" s="4"/>
      <c r="DO2863" s="4"/>
      <c r="DP2863" s="4"/>
      <c r="DQ2863" s="4"/>
      <c r="DR2863" s="4"/>
      <c r="DS2863" s="4"/>
      <c r="DT2863" s="4"/>
      <c r="DU2863" s="4"/>
      <c r="DV2863" s="4"/>
      <c r="DW2863" s="4"/>
      <c r="DX2863" s="4"/>
      <c r="DY2863" s="4"/>
      <c r="DZ2863" s="4"/>
      <c r="EA2863" s="4"/>
      <c r="EB2863" s="4"/>
      <c r="EC2863" s="4"/>
      <c r="ED2863" s="4"/>
      <c r="EE2863" s="4"/>
      <c r="EF2863" s="4"/>
      <c r="EG2863" s="4"/>
      <c r="EH2863" s="4"/>
      <c r="EI2863" s="4"/>
      <c r="EJ2863" s="4"/>
      <c r="EK2863" s="4"/>
      <c r="EL2863" s="4"/>
      <c r="EM2863" s="4"/>
      <c r="EN2863" s="4"/>
      <c r="EO2863" s="4"/>
      <c r="EP2863" s="4"/>
      <c r="EQ2863" s="4"/>
      <c r="ER2863" s="4"/>
      <c r="ES2863" s="4"/>
      <c r="ET2863" s="4"/>
      <c r="EU2863" s="4"/>
      <c r="EV2863" s="4"/>
      <c r="EW2863" s="4"/>
      <c r="EX2863" s="4"/>
      <c r="EY2863" s="4"/>
      <c r="EZ2863" s="4"/>
      <c r="FA2863" s="4"/>
      <c r="FB2863" s="4"/>
      <c r="FC2863" s="4"/>
      <c r="FD2863" s="4"/>
      <c r="FE2863" s="4"/>
      <c r="FF2863" s="4"/>
      <c r="FG2863" s="4"/>
      <c r="FH2863" s="4"/>
      <c r="FI2863" s="4"/>
      <c r="FJ2863" s="4"/>
      <c r="FK2863" s="4"/>
      <c r="FL2863" s="4"/>
      <c r="FM2863" s="4"/>
      <c r="FN2863" s="4"/>
      <c r="FO2863" s="4"/>
      <c r="FP2863" s="4"/>
      <c r="FQ2863" s="4"/>
      <c r="FR2863" s="4"/>
      <c r="FS2863" s="4"/>
      <c r="FT2863" s="4"/>
      <c r="FU2863" s="4"/>
      <c r="FV2863" s="4"/>
      <c r="FW2863" s="4"/>
      <c r="FX2863" s="4"/>
      <c r="FY2863" s="4"/>
      <c r="FZ2863" s="4"/>
      <c r="GA2863" s="4"/>
      <c r="GB2863" s="4"/>
      <c r="GC2863" s="4"/>
      <c r="GD2863" s="4"/>
      <c r="GE2863" s="4"/>
      <c r="GF2863" s="4"/>
      <c r="GG2863" s="4"/>
      <c r="GH2863" s="4"/>
      <c r="GI2863" s="4"/>
      <c r="GJ2863" s="4"/>
      <c r="GK2863" s="4"/>
      <c r="GL2863" s="4"/>
      <c r="GM2863" s="4"/>
      <c r="GN2863" s="4"/>
      <c r="GO2863" s="4"/>
      <c r="GP2863" s="4"/>
      <c r="GQ2863" s="4"/>
      <c r="GR2863" s="4"/>
      <c r="GS2863" s="4"/>
      <c r="GT2863" s="4"/>
      <c r="GU2863" s="4"/>
      <c r="GV2863" s="4"/>
      <c r="GW2863" s="4"/>
      <c r="GX2863" s="4"/>
      <c r="GY2863" s="4"/>
      <c r="GZ2863" s="4"/>
      <c r="HA2863" s="4"/>
      <c r="HB2863" s="4"/>
      <c r="HC2863" s="4"/>
      <c r="HD2863" s="4"/>
      <c r="HE2863" s="4"/>
      <c r="HF2863" s="4"/>
      <c r="HG2863" s="4"/>
      <c r="HH2863" s="4"/>
      <c r="HI2863" s="4"/>
      <c r="HJ2863" s="4"/>
      <c r="HK2863" s="4"/>
      <c r="HL2863" s="4"/>
    </row>
    <row r="2864">
      <c r="A2864" s="2" t="s">
        <v>12114</v>
      </c>
      <c r="B2864" s="2" t="s">
        <v>226</v>
      </c>
      <c r="C2864" s="2" t="s">
        <v>3948</v>
      </c>
      <c r="D2864" s="2" t="s">
        <v>1549</v>
      </c>
      <c r="E2864" s="2" t="s">
        <v>6675</v>
      </c>
      <c r="F2864" s="2" t="s">
        <v>12078</v>
      </c>
      <c r="G2864" s="2" t="s">
        <v>12078</v>
      </c>
      <c r="H2864" s="2" t="s">
        <v>12078</v>
      </c>
      <c r="I2864" s="2" t="s">
        <v>12079</v>
      </c>
      <c r="J2864" s="2" t="s">
        <v>293</v>
      </c>
      <c r="K2864" s="2" t="s">
        <v>2457</v>
      </c>
      <c r="L2864" s="3">
        <v>83.06</v>
      </c>
      <c r="M2864" s="3">
        <v>87.21</v>
      </c>
      <c r="N2864" s="3">
        <v>129.99</v>
      </c>
      <c r="O2864" s="2" t="s">
        <v>235</v>
      </c>
      <c r="P2864" s="2" t="s">
        <v>1019</v>
      </c>
      <c r="Q2864" s="2" t="s">
        <v>237</v>
      </c>
      <c r="R2864" s="2" t="s">
        <v>1020</v>
      </c>
      <c r="S2864" s="2" t="s">
        <v>231</v>
      </c>
      <c r="T2864" s="2" t="s">
        <v>231</v>
      </c>
      <c r="U2864" s="2" t="s">
        <v>327</v>
      </c>
      <c r="V2864" s="2" t="s">
        <v>239</v>
      </c>
      <c r="W2864" s="2" t="s">
        <v>231</v>
      </c>
      <c r="X2864" s="2" t="s">
        <v>231</v>
      </c>
      <c r="Y2864" s="2" t="s">
        <v>5283</v>
      </c>
      <c r="Z2864" s="4">
        <v>113</v>
      </c>
      <c r="AA2864" s="4">
        <f>=ROUNDDOWN(18.2258064516129,0)</f>
      </c>
      <c r="AB2864" s="5">
        <v>6.2</v>
      </c>
      <c r="AC2864" s="2" t="s">
        <v>231</v>
      </c>
      <c r="AD2864" s="4"/>
      <c r="AE2864" s="4"/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231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231</v>
      </c>
      <c r="AW2864" s="8" t="s">
        <v>231</v>
      </c>
      <c r="AX2864" s="4" t="s">
        <v>231</v>
      </c>
      <c r="AY2864" s="8" t="s">
        <v>231</v>
      </c>
      <c r="AZ2864" s="7" t="s">
        <v>231</v>
      </c>
      <c r="BA2864" s="7" t="s">
        <v>231</v>
      </c>
      <c r="BB2864" s="7"/>
      <c r="BC2864" s="4" t="s">
        <v>231</v>
      </c>
      <c r="BD2864" s="8" t="s">
        <v>231</v>
      </c>
      <c r="BE2864" s="4" t="s">
        <v>231</v>
      </c>
      <c r="BF2864" s="8" t="s">
        <v>231</v>
      </c>
      <c r="BG2864" s="7" t="s">
        <v>231</v>
      </c>
      <c r="BH2864" s="7" t="s">
        <v>231</v>
      </c>
      <c r="BI2864" s="7"/>
      <c r="BJ2864" s="4">
        <v>2</v>
      </c>
      <c r="BK2864" s="8">
        <v>128.59</v>
      </c>
      <c r="BL2864" s="2" t="s">
        <v>1022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12115</v>
      </c>
      <c r="BV2864" s="2" t="s">
        <v>231</v>
      </c>
      <c r="BW2864" s="2" t="s">
        <v>231</v>
      </c>
      <c r="BX2864" s="2" t="s">
        <v>241</v>
      </c>
      <c r="BY2864" s="2" t="s">
        <v>277</v>
      </c>
      <c r="BZ2864" s="2" t="s">
        <v>243</v>
      </c>
      <c r="CA2864" s="2" t="s">
        <v>1680</v>
      </c>
      <c r="CB2864" s="2" t="s">
        <v>231</v>
      </c>
      <c r="CC2864" s="2" t="s">
        <v>244</v>
      </c>
      <c r="CD2864" s="2" t="s">
        <v>231</v>
      </c>
      <c r="CE2864" s="4">
        <v>113</v>
      </c>
      <c r="CF2864" s="4"/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4"/>
      <c r="CX2864" s="4"/>
      <c r="CY2864" s="4"/>
      <c r="CZ2864" s="4"/>
      <c r="DA2864" s="4"/>
      <c r="DB2864" s="4"/>
      <c r="DC2864" s="4"/>
      <c r="DD2864" s="4"/>
      <c r="DE2864" s="4"/>
      <c r="DF2864" s="4"/>
      <c r="DG2864" s="4"/>
      <c r="DH2864" s="4"/>
      <c r="DI2864" s="4"/>
      <c r="DJ2864" s="4"/>
      <c r="DK2864" s="4"/>
      <c r="DL2864" s="4"/>
      <c r="DM2864" s="4"/>
      <c r="DN2864" s="4"/>
      <c r="DO2864" s="4"/>
      <c r="DP2864" s="4"/>
      <c r="DQ2864" s="4"/>
      <c r="DR2864" s="4"/>
      <c r="DS2864" s="4"/>
      <c r="DT2864" s="4"/>
      <c r="DU2864" s="4"/>
      <c r="DV2864" s="4"/>
      <c r="DW2864" s="4"/>
      <c r="DX2864" s="4"/>
      <c r="DY2864" s="4"/>
      <c r="DZ2864" s="4"/>
      <c r="EA2864" s="4"/>
      <c r="EB2864" s="4"/>
      <c r="EC2864" s="4"/>
      <c r="ED2864" s="4"/>
      <c r="EE2864" s="4"/>
      <c r="EF2864" s="4"/>
      <c r="EG2864" s="4"/>
      <c r="EH2864" s="4"/>
      <c r="EI2864" s="4"/>
      <c r="EJ2864" s="4"/>
      <c r="EK2864" s="4"/>
      <c r="EL2864" s="4"/>
      <c r="EM2864" s="4"/>
      <c r="EN2864" s="4"/>
      <c r="EO2864" s="4"/>
      <c r="EP2864" s="4"/>
      <c r="EQ2864" s="4"/>
      <c r="ER2864" s="4"/>
      <c r="ES2864" s="4"/>
      <c r="ET2864" s="4"/>
      <c r="EU2864" s="4"/>
      <c r="EV2864" s="4"/>
      <c r="EW2864" s="4"/>
      <c r="EX2864" s="4"/>
      <c r="EY2864" s="4"/>
      <c r="EZ2864" s="4"/>
      <c r="FA2864" s="4"/>
      <c r="FB2864" s="4"/>
      <c r="FC2864" s="4"/>
      <c r="FD2864" s="4"/>
      <c r="FE2864" s="4"/>
      <c r="FF2864" s="4"/>
      <c r="FG2864" s="4"/>
      <c r="FH2864" s="4"/>
      <c r="FI2864" s="4"/>
      <c r="FJ2864" s="4"/>
      <c r="FK2864" s="4"/>
      <c r="FL2864" s="4"/>
      <c r="FM2864" s="4"/>
      <c r="FN2864" s="4"/>
      <c r="FO2864" s="4"/>
      <c r="FP2864" s="4"/>
      <c r="FQ2864" s="4"/>
      <c r="FR2864" s="4"/>
      <c r="FS2864" s="4"/>
      <c r="FT2864" s="4"/>
      <c r="FU2864" s="4"/>
      <c r="FV2864" s="4"/>
      <c r="FW2864" s="4"/>
      <c r="FX2864" s="4"/>
      <c r="FY2864" s="4"/>
      <c r="FZ2864" s="4"/>
      <c r="GA2864" s="4"/>
      <c r="GB2864" s="4"/>
      <c r="GC2864" s="4"/>
      <c r="GD2864" s="4"/>
      <c r="GE2864" s="4"/>
      <c r="GF2864" s="4"/>
      <c r="GG2864" s="4"/>
      <c r="GH2864" s="4"/>
      <c r="GI2864" s="4"/>
      <c r="GJ2864" s="4"/>
      <c r="GK2864" s="4"/>
      <c r="GL2864" s="4"/>
      <c r="GM2864" s="4"/>
      <c r="GN2864" s="4"/>
      <c r="GO2864" s="4"/>
      <c r="GP2864" s="4"/>
      <c r="GQ2864" s="4"/>
      <c r="GR2864" s="4"/>
      <c r="GS2864" s="4"/>
      <c r="GT2864" s="4"/>
      <c r="GU2864" s="4"/>
      <c r="GV2864" s="4"/>
      <c r="GW2864" s="4"/>
      <c r="GX2864" s="4"/>
      <c r="GY2864" s="4"/>
      <c r="GZ2864" s="4"/>
      <c r="HA2864" s="4"/>
      <c r="HB2864" s="4"/>
      <c r="HC2864" s="4"/>
      <c r="HD2864" s="4"/>
      <c r="HE2864" s="4"/>
      <c r="HF2864" s="4"/>
      <c r="HG2864" s="4"/>
      <c r="HH2864" s="4"/>
      <c r="HI2864" s="4"/>
      <c r="HJ2864" s="4"/>
      <c r="HK2864" s="4"/>
      <c r="HL2864" s="4"/>
    </row>
    <row r="2865">
      <c r="A2865" s="2" t="s">
        <v>12116</v>
      </c>
      <c r="B2865" s="2" t="s">
        <v>226</v>
      </c>
      <c r="C2865" s="2" t="s">
        <v>3948</v>
      </c>
      <c r="D2865" s="2" t="s">
        <v>1549</v>
      </c>
      <c r="E2865" s="2" t="s">
        <v>6675</v>
      </c>
      <c r="F2865" s="2" t="s">
        <v>12078</v>
      </c>
      <c r="G2865" s="2" t="s">
        <v>12078</v>
      </c>
      <c r="H2865" s="2" t="s">
        <v>12078</v>
      </c>
      <c r="I2865" s="2" t="s">
        <v>12079</v>
      </c>
      <c r="J2865" s="2" t="s">
        <v>302</v>
      </c>
      <c r="K2865" s="2" t="s">
        <v>2457</v>
      </c>
      <c r="L2865" s="3">
        <v>89.45</v>
      </c>
      <c r="M2865" s="3">
        <v>93.92</v>
      </c>
      <c r="N2865" s="3">
        <v>139.99</v>
      </c>
      <c r="O2865" s="2" t="s">
        <v>235</v>
      </c>
      <c r="P2865" s="2" t="s">
        <v>1019</v>
      </c>
      <c r="Q2865" s="2" t="s">
        <v>237</v>
      </c>
      <c r="R2865" s="2" t="s">
        <v>1020</v>
      </c>
      <c r="S2865" s="2" t="s">
        <v>231</v>
      </c>
      <c r="T2865" s="2" t="s">
        <v>231</v>
      </c>
      <c r="U2865" s="2" t="s">
        <v>327</v>
      </c>
      <c r="V2865" s="2" t="s">
        <v>239</v>
      </c>
      <c r="W2865" s="2" t="s">
        <v>231</v>
      </c>
      <c r="X2865" s="2" t="s">
        <v>231</v>
      </c>
      <c r="Y2865" s="2" t="s">
        <v>5283</v>
      </c>
      <c r="Z2865" s="4">
        <v>135</v>
      </c>
      <c r="AA2865" s="4">
        <f>=ROUNDDOWN(135,0)</f>
      </c>
      <c r="AB2865" s="5">
        <v>1</v>
      </c>
      <c r="AC2865" s="2" t="s">
        <v>231</v>
      </c>
      <c r="AD2865" s="4"/>
      <c r="AE2865" s="4"/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231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231</v>
      </c>
      <c r="AW2865" s="8" t="s">
        <v>231</v>
      </c>
      <c r="AX2865" s="4" t="s">
        <v>231</v>
      </c>
      <c r="AY2865" s="8" t="s">
        <v>231</v>
      </c>
      <c r="AZ2865" s="7" t="s">
        <v>231</v>
      </c>
      <c r="BA2865" s="7" t="s">
        <v>231</v>
      </c>
      <c r="BB2865" s="7"/>
      <c r="BC2865" s="4" t="s">
        <v>231</v>
      </c>
      <c r="BD2865" s="8" t="s">
        <v>231</v>
      </c>
      <c r="BE2865" s="4" t="s">
        <v>231</v>
      </c>
      <c r="BF2865" s="8" t="s">
        <v>231</v>
      </c>
      <c r="BG2865" s="7" t="s">
        <v>231</v>
      </c>
      <c r="BH2865" s="7" t="s">
        <v>231</v>
      </c>
      <c r="BI2865" s="7"/>
      <c r="BJ2865" s="4"/>
      <c r="BK2865" s="8"/>
      <c r="BL2865" s="2" t="s">
        <v>1028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12117</v>
      </c>
      <c r="BV2865" s="2" t="s">
        <v>231</v>
      </c>
      <c r="BW2865" s="2" t="s">
        <v>231</v>
      </c>
      <c r="BX2865" s="2" t="s">
        <v>241</v>
      </c>
      <c r="BY2865" s="2" t="s">
        <v>277</v>
      </c>
      <c r="BZ2865" s="2" t="s">
        <v>243</v>
      </c>
      <c r="CA2865" s="2" t="s">
        <v>1680</v>
      </c>
      <c r="CB2865" s="2" t="s">
        <v>231</v>
      </c>
      <c r="CC2865" s="2" t="s">
        <v>244</v>
      </c>
      <c r="CD2865" s="2" t="s">
        <v>231</v>
      </c>
      <c r="CE2865" s="4">
        <v>135</v>
      </c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4"/>
      <c r="CX2865" s="4"/>
      <c r="CY2865" s="4"/>
      <c r="CZ2865" s="4"/>
      <c r="DA2865" s="4"/>
      <c r="DB2865" s="4"/>
      <c r="DC2865" s="4"/>
      <c r="DD2865" s="4"/>
      <c r="DE2865" s="4"/>
      <c r="DF2865" s="4"/>
      <c r="DG2865" s="4"/>
      <c r="DH2865" s="4"/>
      <c r="DI2865" s="4"/>
      <c r="DJ2865" s="4"/>
      <c r="DK2865" s="4"/>
      <c r="DL2865" s="4"/>
      <c r="DM2865" s="4"/>
      <c r="DN2865" s="4"/>
      <c r="DO2865" s="4"/>
      <c r="DP2865" s="4"/>
      <c r="DQ2865" s="4"/>
      <c r="DR2865" s="4"/>
      <c r="DS2865" s="4"/>
      <c r="DT2865" s="4"/>
      <c r="DU2865" s="4"/>
      <c r="DV2865" s="4"/>
      <c r="DW2865" s="4"/>
      <c r="DX2865" s="4"/>
      <c r="DY2865" s="4"/>
      <c r="DZ2865" s="4"/>
      <c r="EA2865" s="4"/>
      <c r="EB2865" s="4"/>
      <c r="EC2865" s="4"/>
      <c r="ED2865" s="4"/>
      <c r="EE2865" s="4"/>
      <c r="EF2865" s="4"/>
      <c r="EG2865" s="4"/>
      <c r="EH2865" s="4"/>
      <c r="EI2865" s="4"/>
      <c r="EJ2865" s="4"/>
      <c r="EK2865" s="4"/>
      <c r="EL2865" s="4"/>
      <c r="EM2865" s="4"/>
      <c r="EN2865" s="4"/>
      <c r="EO2865" s="4"/>
      <c r="EP2865" s="4"/>
      <c r="EQ2865" s="4"/>
      <c r="ER2865" s="4"/>
      <c r="ES2865" s="4"/>
      <c r="ET2865" s="4"/>
      <c r="EU2865" s="4"/>
      <c r="EV2865" s="4"/>
      <c r="EW2865" s="4"/>
      <c r="EX2865" s="4"/>
      <c r="EY2865" s="4"/>
      <c r="EZ2865" s="4"/>
      <c r="FA2865" s="4"/>
      <c r="FB2865" s="4"/>
      <c r="FC2865" s="4"/>
      <c r="FD2865" s="4"/>
      <c r="FE2865" s="4"/>
      <c r="FF2865" s="4"/>
      <c r="FG2865" s="4"/>
      <c r="FH2865" s="4"/>
      <c r="FI2865" s="4"/>
      <c r="FJ2865" s="4"/>
      <c r="FK2865" s="4"/>
      <c r="FL2865" s="4"/>
      <c r="FM2865" s="4"/>
      <c r="FN2865" s="4"/>
      <c r="FO2865" s="4"/>
      <c r="FP2865" s="4"/>
      <c r="FQ2865" s="4"/>
      <c r="FR2865" s="4"/>
      <c r="FS2865" s="4"/>
      <c r="FT2865" s="4"/>
      <c r="FU2865" s="4"/>
      <c r="FV2865" s="4"/>
      <c r="FW2865" s="4"/>
      <c r="FX2865" s="4"/>
      <c r="FY2865" s="4"/>
      <c r="FZ2865" s="4"/>
      <c r="GA2865" s="4"/>
      <c r="GB2865" s="4"/>
      <c r="GC2865" s="4"/>
      <c r="GD2865" s="4"/>
      <c r="GE2865" s="4"/>
      <c r="GF2865" s="4"/>
      <c r="GG2865" s="4"/>
      <c r="GH2865" s="4"/>
      <c r="GI2865" s="4"/>
      <c r="GJ2865" s="4"/>
      <c r="GK2865" s="4"/>
      <c r="GL2865" s="4"/>
      <c r="GM2865" s="4"/>
      <c r="GN2865" s="4"/>
      <c r="GO2865" s="4"/>
      <c r="GP2865" s="4"/>
      <c r="GQ2865" s="4"/>
      <c r="GR2865" s="4"/>
      <c r="GS2865" s="4"/>
      <c r="GT2865" s="4"/>
      <c r="GU2865" s="4"/>
      <c r="GV2865" s="4"/>
      <c r="GW2865" s="4"/>
      <c r="GX2865" s="4"/>
      <c r="GY2865" s="4"/>
      <c r="GZ2865" s="4"/>
      <c r="HA2865" s="4"/>
      <c r="HB2865" s="4"/>
      <c r="HC2865" s="4"/>
      <c r="HD2865" s="4"/>
      <c r="HE2865" s="4"/>
      <c r="HF2865" s="4"/>
      <c r="HG2865" s="4"/>
      <c r="HH2865" s="4"/>
      <c r="HI2865" s="4"/>
      <c r="HJ2865" s="4"/>
      <c r="HK2865" s="4"/>
      <c r="HL2865" s="4"/>
    </row>
    <row r="2866">
      <c r="A2866" s="2" t="s">
        <v>12118</v>
      </c>
      <c r="B2866" s="2" t="s">
        <v>226</v>
      </c>
      <c r="C2866" s="2" t="s">
        <v>3948</v>
      </c>
      <c r="D2866" s="2" t="s">
        <v>1549</v>
      </c>
      <c r="E2866" s="2" t="s">
        <v>6675</v>
      </c>
      <c r="F2866" s="2" t="s">
        <v>12078</v>
      </c>
      <c r="G2866" s="2" t="s">
        <v>12078</v>
      </c>
      <c r="H2866" s="2" t="s">
        <v>12078</v>
      </c>
      <c r="I2866" s="2" t="s">
        <v>12079</v>
      </c>
      <c r="J2866" s="2" t="s">
        <v>318</v>
      </c>
      <c r="K2866" s="2" t="s">
        <v>12119</v>
      </c>
      <c r="L2866" s="3">
        <v>51.11</v>
      </c>
      <c r="M2866" s="3">
        <v>53.67</v>
      </c>
      <c r="N2866" s="3">
        <v>79.99</v>
      </c>
      <c r="O2866" s="2" t="s">
        <v>235</v>
      </c>
      <c r="P2866" s="2" t="s">
        <v>1019</v>
      </c>
      <c r="Q2866" s="2" t="s">
        <v>237</v>
      </c>
      <c r="R2866" s="2" t="s">
        <v>1020</v>
      </c>
      <c r="S2866" s="2" t="s">
        <v>231</v>
      </c>
      <c r="T2866" s="2" t="s">
        <v>231</v>
      </c>
      <c r="U2866" s="2" t="s">
        <v>327</v>
      </c>
      <c r="V2866" s="2" t="s">
        <v>239</v>
      </c>
      <c r="W2866" s="2" t="s">
        <v>231</v>
      </c>
      <c r="X2866" s="2" t="s">
        <v>231</v>
      </c>
      <c r="Y2866" s="2" t="s">
        <v>5283</v>
      </c>
      <c r="Z2866" s="4">
        <v>87</v>
      </c>
      <c r="AA2866" s="4">
        <f>=ROUNDDOWN(87,0)</f>
      </c>
      <c r="AB2866" s="5">
        <v>1</v>
      </c>
      <c r="AC2866" s="2" t="s">
        <v>231</v>
      </c>
      <c r="AD2866" s="4"/>
      <c r="AE2866" s="4"/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231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231</v>
      </c>
      <c r="AW2866" s="8" t="s">
        <v>231</v>
      </c>
      <c r="AX2866" s="4" t="s">
        <v>231</v>
      </c>
      <c r="AY2866" s="8" t="s">
        <v>231</v>
      </c>
      <c r="AZ2866" s="7" t="s">
        <v>231</v>
      </c>
      <c r="BA2866" s="7" t="s">
        <v>231</v>
      </c>
      <c r="BB2866" s="7"/>
      <c r="BC2866" s="4" t="s">
        <v>231</v>
      </c>
      <c r="BD2866" s="8" t="s">
        <v>231</v>
      </c>
      <c r="BE2866" s="4" t="s">
        <v>231</v>
      </c>
      <c r="BF2866" s="8" t="s">
        <v>231</v>
      </c>
      <c r="BG2866" s="7" t="s">
        <v>231</v>
      </c>
      <c r="BH2866" s="7" t="s">
        <v>231</v>
      </c>
      <c r="BI2866" s="7"/>
      <c r="BJ2866" s="4">
        <v>1</v>
      </c>
      <c r="BK2866" s="8">
        <v>26.83</v>
      </c>
      <c r="BL2866" s="2" t="s">
        <v>2565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12120</v>
      </c>
      <c r="BV2866" s="2" t="s">
        <v>231</v>
      </c>
      <c r="BW2866" s="2" t="s">
        <v>231</v>
      </c>
      <c r="BX2866" s="2" t="s">
        <v>241</v>
      </c>
      <c r="BY2866" s="2" t="s">
        <v>277</v>
      </c>
      <c r="BZ2866" s="2" t="s">
        <v>243</v>
      </c>
      <c r="CA2866" s="2" t="s">
        <v>1680</v>
      </c>
      <c r="CB2866" s="2" t="s">
        <v>231</v>
      </c>
      <c r="CC2866" s="2" t="s">
        <v>244</v>
      </c>
      <c r="CD2866" s="2" t="s">
        <v>231</v>
      </c>
      <c r="CE2866" s="4">
        <v>87</v>
      </c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4"/>
      <c r="CX2866" s="4"/>
      <c r="CY2866" s="4"/>
      <c r="CZ2866" s="4"/>
      <c r="DA2866" s="4"/>
      <c r="DB2866" s="4"/>
      <c r="DC2866" s="4"/>
      <c r="DD2866" s="4"/>
      <c r="DE2866" s="4"/>
      <c r="DF2866" s="4"/>
      <c r="DG2866" s="4"/>
      <c r="DH2866" s="4"/>
      <c r="DI2866" s="4"/>
      <c r="DJ2866" s="4"/>
      <c r="DK2866" s="4"/>
      <c r="DL2866" s="4"/>
      <c r="DM2866" s="4"/>
      <c r="DN2866" s="4"/>
      <c r="DO2866" s="4"/>
      <c r="DP2866" s="4"/>
      <c r="DQ2866" s="4"/>
      <c r="DR2866" s="4"/>
      <c r="DS2866" s="4"/>
      <c r="DT2866" s="4"/>
      <c r="DU2866" s="4"/>
      <c r="DV2866" s="4"/>
      <c r="DW2866" s="4"/>
      <c r="DX2866" s="4"/>
      <c r="DY2866" s="4"/>
      <c r="DZ2866" s="4"/>
      <c r="EA2866" s="4"/>
      <c r="EB2866" s="4"/>
      <c r="EC2866" s="4"/>
      <c r="ED2866" s="4"/>
      <c r="EE2866" s="4"/>
      <c r="EF2866" s="4"/>
      <c r="EG2866" s="4"/>
      <c r="EH2866" s="4"/>
      <c r="EI2866" s="4"/>
      <c r="EJ2866" s="4"/>
      <c r="EK2866" s="4"/>
      <c r="EL2866" s="4"/>
      <c r="EM2866" s="4"/>
      <c r="EN2866" s="4"/>
      <c r="EO2866" s="4"/>
      <c r="EP2866" s="4"/>
      <c r="EQ2866" s="4"/>
      <c r="ER2866" s="4"/>
      <c r="ES2866" s="4"/>
      <c r="ET2866" s="4"/>
      <c r="EU2866" s="4"/>
      <c r="EV2866" s="4"/>
      <c r="EW2866" s="4"/>
      <c r="EX2866" s="4"/>
      <c r="EY2866" s="4"/>
      <c r="EZ2866" s="4"/>
      <c r="FA2866" s="4"/>
      <c r="FB2866" s="4"/>
      <c r="FC2866" s="4"/>
      <c r="FD2866" s="4"/>
      <c r="FE2866" s="4"/>
      <c r="FF2866" s="4"/>
      <c r="FG2866" s="4"/>
      <c r="FH2866" s="4"/>
      <c r="FI2866" s="4"/>
      <c r="FJ2866" s="4"/>
      <c r="FK2866" s="4"/>
      <c r="FL2866" s="4"/>
      <c r="FM2866" s="4"/>
      <c r="FN2866" s="4"/>
      <c r="FO2866" s="4"/>
      <c r="FP2866" s="4"/>
      <c r="FQ2866" s="4"/>
      <c r="FR2866" s="4"/>
      <c r="FS2866" s="4"/>
      <c r="FT2866" s="4"/>
      <c r="FU2866" s="4"/>
      <c r="FV2866" s="4"/>
      <c r="FW2866" s="4"/>
      <c r="FX2866" s="4"/>
      <c r="FY2866" s="4"/>
      <c r="FZ2866" s="4"/>
      <c r="GA2866" s="4"/>
      <c r="GB2866" s="4"/>
      <c r="GC2866" s="4"/>
      <c r="GD2866" s="4"/>
      <c r="GE2866" s="4"/>
      <c r="GF2866" s="4"/>
      <c r="GG2866" s="4"/>
      <c r="GH2866" s="4"/>
      <c r="GI2866" s="4"/>
      <c r="GJ2866" s="4"/>
      <c r="GK2866" s="4"/>
      <c r="GL2866" s="4"/>
      <c r="GM2866" s="4"/>
      <c r="GN2866" s="4"/>
      <c r="GO2866" s="4"/>
      <c r="GP2866" s="4"/>
      <c r="GQ2866" s="4"/>
      <c r="GR2866" s="4"/>
      <c r="GS2866" s="4"/>
      <c r="GT2866" s="4"/>
      <c r="GU2866" s="4"/>
      <c r="GV2866" s="4"/>
      <c r="GW2866" s="4"/>
      <c r="GX2866" s="4"/>
      <c r="GY2866" s="4"/>
      <c r="GZ2866" s="4"/>
      <c r="HA2866" s="4"/>
      <c r="HB2866" s="4"/>
      <c r="HC2866" s="4"/>
      <c r="HD2866" s="4"/>
      <c r="HE2866" s="4"/>
      <c r="HF2866" s="4"/>
      <c r="HG2866" s="4"/>
      <c r="HH2866" s="4"/>
      <c r="HI2866" s="4"/>
      <c r="HJ2866" s="4"/>
      <c r="HK2866" s="4"/>
      <c r="HL2866" s="4"/>
    </row>
    <row r="2867">
      <c r="A2867" s="2" t="s">
        <v>12121</v>
      </c>
      <c r="B2867" s="2" t="s">
        <v>226</v>
      </c>
      <c r="C2867" s="2" t="s">
        <v>3948</v>
      </c>
      <c r="D2867" s="2" t="s">
        <v>1549</v>
      </c>
      <c r="E2867" s="2" t="s">
        <v>6675</v>
      </c>
      <c r="F2867" s="2" t="s">
        <v>12078</v>
      </c>
      <c r="G2867" s="2" t="s">
        <v>12078</v>
      </c>
      <c r="H2867" s="2" t="s">
        <v>12078</v>
      </c>
      <c r="I2867" s="2" t="s">
        <v>12079</v>
      </c>
      <c r="J2867" s="2" t="s">
        <v>281</v>
      </c>
      <c r="K2867" s="2" t="s">
        <v>12119</v>
      </c>
      <c r="L2867" s="3">
        <v>57.5</v>
      </c>
      <c r="M2867" s="3">
        <v>60.38</v>
      </c>
      <c r="N2867" s="3">
        <v>89.99</v>
      </c>
      <c r="O2867" s="2" t="s">
        <v>235</v>
      </c>
      <c r="P2867" s="2" t="s">
        <v>1019</v>
      </c>
      <c r="Q2867" s="2" t="s">
        <v>237</v>
      </c>
      <c r="R2867" s="2" t="s">
        <v>1020</v>
      </c>
      <c r="S2867" s="2" t="s">
        <v>231</v>
      </c>
      <c r="T2867" s="2" t="s">
        <v>231</v>
      </c>
      <c r="U2867" s="2" t="s">
        <v>327</v>
      </c>
      <c r="V2867" s="2" t="s">
        <v>239</v>
      </c>
      <c r="W2867" s="2" t="s">
        <v>231</v>
      </c>
      <c r="X2867" s="2" t="s">
        <v>231</v>
      </c>
      <c r="Y2867" s="2" t="s">
        <v>5283</v>
      </c>
      <c r="Z2867" s="4">
        <v>86</v>
      </c>
      <c r="AA2867" s="4">
        <f>=ROUNDDOWN(86,0)</f>
      </c>
      <c r="AB2867" s="5">
        <v>1</v>
      </c>
      <c r="AC2867" s="2" t="s">
        <v>231</v>
      </c>
      <c r="AD2867" s="4"/>
      <c r="AE2867" s="4"/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231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231</v>
      </c>
      <c r="AW2867" s="8" t="s">
        <v>231</v>
      </c>
      <c r="AX2867" s="4" t="s">
        <v>231</v>
      </c>
      <c r="AY2867" s="8" t="s">
        <v>231</v>
      </c>
      <c r="AZ2867" s="7" t="s">
        <v>231</v>
      </c>
      <c r="BA2867" s="7" t="s">
        <v>231</v>
      </c>
      <c r="BB2867" s="7"/>
      <c r="BC2867" s="4" t="s">
        <v>231</v>
      </c>
      <c r="BD2867" s="8" t="s">
        <v>231</v>
      </c>
      <c r="BE2867" s="4" t="s">
        <v>231</v>
      </c>
      <c r="BF2867" s="8" t="s">
        <v>231</v>
      </c>
      <c r="BG2867" s="7" t="s">
        <v>231</v>
      </c>
      <c r="BH2867" s="7" t="s">
        <v>231</v>
      </c>
      <c r="BI2867" s="7"/>
      <c r="BJ2867" s="4"/>
      <c r="BK2867" s="8"/>
      <c r="BL2867" s="2" t="s">
        <v>231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12122</v>
      </c>
      <c r="BV2867" s="2" t="s">
        <v>231</v>
      </c>
      <c r="BW2867" s="2" t="s">
        <v>231</v>
      </c>
      <c r="BX2867" s="2" t="s">
        <v>241</v>
      </c>
      <c r="BY2867" s="2" t="s">
        <v>277</v>
      </c>
      <c r="BZ2867" s="2" t="s">
        <v>243</v>
      </c>
      <c r="CA2867" s="2" t="s">
        <v>1680</v>
      </c>
      <c r="CB2867" s="2" t="s">
        <v>231</v>
      </c>
      <c r="CC2867" s="2" t="s">
        <v>244</v>
      </c>
      <c r="CD2867" s="2" t="s">
        <v>231</v>
      </c>
      <c r="CE2867" s="4">
        <v>86</v>
      </c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4"/>
      <c r="CX2867" s="4"/>
      <c r="CY2867" s="4"/>
      <c r="CZ2867" s="4"/>
      <c r="DA2867" s="4"/>
      <c r="DB2867" s="4"/>
      <c r="DC2867" s="4"/>
      <c r="DD2867" s="4"/>
      <c r="DE2867" s="4"/>
      <c r="DF2867" s="4"/>
      <c r="DG2867" s="4"/>
      <c r="DH2867" s="4"/>
      <c r="DI2867" s="4"/>
      <c r="DJ2867" s="4"/>
      <c r="DK2867" s="4"/>
      <c r="DL2867" s="4"/>
      <c r="DM2867" s="4"/>
      <c r="DN2867" s="4"/>
      <c r="DO2867" s="4"/>
      <c r="DP2867" s="4"/>
      <c r="DQ2867" s="4"/>
      <c r="DR2867" s="4"/>
      <c r="DS2867" s="4"/>
      <c r="DT2867" s="4"/>
      <c r="DU2867" s="4"/>
      <c r="DV2867" s="4"/>
      <c r="DW2867" s="4"/>
      <c r="DX2867" s="4"/>
      <c r="DY2867" s="4"/>
      <c r="DZ2867" s="4"/>
      <c r="EA2867" s="4"/>
      <c r="EB2867" s="4"/>
      <c r="EC2867" s="4"/>
      <c r="ED2867" s="4"/>
      <c r="EE2867" s="4"/>
      <c r="EF2867" s="4"/>
      <c r="EG2867" s="4"/>
      <c r="EH2867" s="4"/>
      <c r="EI2867" s="4"/>
      <c r="EJ2867" s="4"/>
      <c r="EK2867" s="4"/>
      <c r="EL2867" s="4"/>
      <c r="EM2867" s="4"/>
      <c r="EN2867" s="4"/>
      <c r="EO2867" s="4"/>
      <c r="EP2867" s="4"/>
      <c r="EQ2867" s="4"/>
      <c r="ER2867" s="4"/>
      <c r="ES2867" s="4"/>
      <c r="ET2867" s="4"/>
      <c r="EU2867" s="4"/>
      <c r="EV2867" s="4"/>
      <c r="EW2867" s="4"/>
      <c r="EX2867" s="4"/>
      <c r="EY2867" s="4"/>
      <c r="EZ2867" s="4"/>
      <c r="FA2867" s="4"/>
      <c r="FB2867" s="4"/>
      <c r="FC2867" s="4"/>
      <c r="FD2867" s="4"/>
      <c r="FE2867" s="4"/>
      <c r="FF2867" s="4"/>
      <c r="FG2867" s="4"/>
      <c r="FH2867" s="4"/>
      <c r="FI2867" s="4"/>
      <c r="FJ2867" s="4"/>
      <c r="FK2867" s="4"/>
      <c r="FL2867" s="4"/>
      <c r="FM2867" s="4"/>
      <c r="FN2867" s="4"/>
      <c r="FO2867" s="4"/>
      <c r="FP2867" s="4"/>
      <c r="FQ2867" s="4"/>
      <c r="FR2867" s="4"/>
      <c r="FS2867" s="4"/>
      <c r="FT2867" s="4"/>
      <c r="FU2867" s="4"/>
      <c r="FV2867" s="4"/>
      <c r="FW2867" s="4"/>
      <c r="FX2867" s="4"/>
      <c r="FY2867" s="4"/>
      <c r="FZ2867" s="4"/>
      <c r="GA2867" s="4"/>
      <c r="GB2867" s="4"/>
      <c r="GC2867" s="4"/>
      <c r="GD2867" s="4"/>
      <c r="GE2867" s="4"/>
      <c r="GF2867" s="4"/>
      <c r="GG2867" s="4"/>
      <c r="GH2867" s="4"/>
      <c r="GI2867" s="4"/>
      <c r="GJ2867" s="4"/>
      <c r="GK2867" s="4"/>
      <c r="GL2867" s="4"/>
      <c r="GM2867" s="4"/>
      <c r="GN2867" s="4"/>
      <c r="GO2867" s="4"/>
      <c r="GP2867" s="4"/>
      <c r="GQ2867" s="4"/>
      <c r="GR2867" s="4"/>
      <c r="GS2867" s="4"/>
      <c r="GT2867" s="4"/>
      <c r="GU2867" s="4"/>
      <c r="GV2867" s="4"/>
      <c r="GW2867" s="4"/>
      <c r="GX2867" s="4"/>
      <c r="GY2867" s="4"/>
      <c r="GZ2867" s="4"/>
      <c r="HA2867" s="4"/>
      <c r="HB2867" s="4"/>
      <c r="HC2867" s="4"/>
      <c r="HD2867" s="4"/>
      <c r="HE2867" s="4"/>
      <c r="HF2867" s="4"/>
      <c r="HG2867" s="4"/>
      <c r="HH2867" s="4"/>
      <c r="HI2867" s="4"/>
      <c r="HJ2867" s="4"/>
      <c r="HK2867" s="4"/>
      <c r="HL2867" s="4"/>
    </row>
    <row r="2868">
      <c r="A2868" s="2" t="s">
        <v>12123</v>
      </c>
      <c r="B2868" s="2" t="s">
        <v>226</v>
      </c>
      <c r="C2868" s="2" t="s">
        <v>3948</v>
      </c>
      <c r="D2868" s="2" t="s">
        <v>1549</v>
      </c>
      <c r="E2868" s="2" t="s">
        <v>6675</v>
      </c>
      <c r="F2868" s="2" t="s">
        <v>12078</v>
      </c>
      <c r="G2868" s="2" t="s">
        <v>12078</v>
      </c>
      <c r="H2868" s="2" t="s">
        <v>12078</v>
      </c>
      <c r="I2868" s="2" t="s">
        <v>12079</v>
      </c>
      <c r="J2868" s="2" t="s">
        <v>293</v>
      </c>
      <c r="K2868" s="2" t="s">
        <v>12119</v>
      </c>
      <c r="L2868" s="3">
        <v>83.06</v>
      </c>
      <c r="M2868" s="3">
        <v>87.21</v>
      </c>
      <c r="N2868" s="3">
        <v>129.99</v>
      </c>
      <c r="O2868" s="2" t="s">
        <v>235</v>
      </c>
      <c r="P2868" s="2" t="s">
        <v>1019</v>
      </c>
      <c r="Q2868" s="2" t="s">
        <v>237</v>
      </c>
      <c r="R2868" s="2" t="s">
        <v>1020</v>
      </c>
      <c r="S2868" s="2" t="s">
        <v>231</v>
      </c>
      <c r="T2868" s="2" t="s">
        <v>231</v>
      </c>
      <c r="U2868" s="2" t="s">
        <v>327</v>
      </c>
      <c r="V2868" s="2" t="s">
        <v>239</v>
      </c>
      <c r="W2868" s="2" t="s">
        <v>231</v>
      </c>
      <c r="X2868" s="2" t="s">
        <v>231</v>
      </c>
      <c r="Y2868" s="2" t="s">
        <v>10885</v>
      </c>
      <c r="Z2868" s="4">
        <v>109</v>
      </c>
      <c r="AA2868" s="4">
        <f>=ROUNDDOWN(109,0)</f>
      </c>
      <c r="AB2868" s="5">
        <v>1</v>
      </c>
      <c r="AC2868" s="2" t="s">
        <v>231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231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231</v>
      </c>
      <c r="AW2868" s="8" t="s">
        <v>231</v>
      </c>
      <c r="AX2868" s="4" t="s">
        <v>231</v>
      </c>
      <c r="AY2868" s="8" t="s">
        <v>231</v>
      </c>
      <c r="AZ2868" s="7" t="s">
        <v>231</v>
      </c>
      <c r="BA2868" s="7" t="s">
        <v>231</v>
      </c>
      <c r="BB2868" s="7"/>
      <c r="BC2868" s="4" t="s">
        <v>231</v>
      </c>
      <c r="BD2868" s="8" t="s">
        <v>231</v>
      </c>
      <c r="BE2868" s="4" t="s">
        <v>231</v>
      </c>
      <c r="BF2868" s="8" t="s">
        <v>231</v>
      </c>
      <c r="BG2868" s="7" t="s">
        <v>231</v>
      </c>
      <c r="BH2868" s="7" t="s">
        <v>231</v>
      </c>
      <c r="BI2868" s="7"/>
      <c r="BJ2868" s="4"/>
      <c r="BK2868" s="8"/>
      <c r="BL2868" s="2" t="s">
        <v>1028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12124</v>
      </c>
      <c r="BV2868" s="2" t="s">
        <v>231</v>
      </c>
      <c r="BW2868" s="2" t="s">
        <v>231</v>
      </c>
      <c r="BX2868" s="2" t="s">
        <v>241</v>
      </c>
      <c r="BY2868" s="2" t="s">
        <v>277</v>
      </c>
      <c r="BZ2868" s="2" t="s">
        <v>243</v>
      </c>
      <c r="CA2868" s="2" t="s">
        <v>1680</v>
      </c>
      <c r="CB2868" s="2" t="s">
        <v>231</v>
      </c>
      <c r="CC2868" s="2" t="s">
        <v>244</v>
      </c>
      <c r="CD2868" s="2" t="s">
        <v>231</v>
      </c>
      <c r="CE2868" s="4">
        <v>109</v>
      </c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4"/>
      <c r="CX2868" s="4"/>
      <c r="CY2868" s="4"/>
      <c r="CZ2868" s="4"/>
      <c r="DA2868" s="4"/>
      <c r="DB2868" s="4"/>
      <c r="DC2868" s="4"/>
      <c r="DD2868" s="4"/>
      <c r="DE2868" s="4"/>
      <c r="DF2868" s="4"/>
      <c r="DG2868" s="4"/>
      <c r="DH2868" s="4"/>
      <c r="DI2868" s="4"/>
      <c r="DJ2868" s="4"/>
      <c r="DK2868" s="4"/>
      <c r="DL2868" s="4"/>
      <c r="DM2868" s="4"/>
      <c r="DN2868" s="4"/>
      <c r="DO2868" s="4"/>
      <c r="DP2868" s="4"/>
      <c r="DQ2868" s="4"/>
      <c r="DR2868" s="4"/>
      <c r="DS2868" s="4"/>
      <c r="DT2868" s="4"/>
      <c r="DU2868" s="4"/>
      <c r="DV2868" s="4"/>
      <c r="DW2868" s="4"/>
      <c r="DX2868" s="4"/>
      <c r="DY2868" s="4"/>
      <c r="DZ2868" s="4"/>
      <c r="EA2868" s="4"/>
      <c r="EB2868" s="4"/>
      <c r="EC2868" s="4"/>
      <c r="ED2868" s="4"/>
      <c r="EE2868" s="4"/>
      <c r="EF2868" s="4"/>
      <c r="EG2868" s="4"/>
      <c r="EH2868" s="4"/>
      <c r="EI2868" s="4"/>
      <c r="EJ2868" s="4"/>
      <c r="EK2868" s="4"/>
      <c r="EL2868" s="4"/>
      <c r="EM2868" s="4"/>
      <c r="EN2868" s="4"/>
      <c r="EO2868" s="4"/>
      <c r="EP2868" s="4"/>
      <c r="EQ2868" s="4"/>
      <c r="ER2868" s="4"/>
      <c r="ES2868" s="4"/>
      <c r="ET2868" s="4"/>
      <c r="EU2868" s="4"/>
      <c r="EV2868" s="4"/>
      <c r="EW2868" s="4"/>
      <c r="EX2868" s="4"/>
      <c r="EY2868" s="4"/>
      <c r="EZ2868" s="4"/>
      <c r="FA2868" s="4"/>
      <c r="FB2868" s="4"/>
      <c r="FC2868" s="4"/>
      <c r="FD2868" s="4"/>
      <c r="FE2868" s="4"/>
      <c r="FF2868" s="4"/>
      <c r="FG2868" s="4"/>
      <c r="FH2868" s="4"/>
      <c r="FI2868" s="4"/>
      <c r="FJ2868" s="4"/>
      <c r="FK2868" s="4"/>
      <c r="FL2868" s="4"/>
      <c r="FM2868" s="4"/>
      <c r="FN2868" s="4"/>
      <c r="FO2868" s="4"/>
      <c r="FP2868" s="4"/>
      <c r="FQ2868" s="4"/>
      <c r="FR2868" s="4"/>
      <c r="FS2868" s="4"/>
      <c r="FT2868" s="4"/>
      <c r="FU2868" s="4"/>
      <c r="FV2868" s="4"/>
      <c r="FW2868" s="4"/>
      <c r="FX2868" s="4"/>
      <c r="FY2868" s="4"/>
      <c r="FZ2868" s="4"/>
      <c r="GA2868" s="4"/>
      <c r="GB2868" s="4"/>
      <c r="GC2868" s="4"/>
      <c r="GD2868" s="4"/>
      <c r="GE2868" s="4"/>
      <c r="GF2868" s="4"/>
      <c r="GG2868" s="4"/>
      <c r="GH2868" s="4"/>
      <c r="GI2868" s="4"/>
      <c r="GJ2868" s="4"/>
      <c r="GK2868" s="4"/>
      <c r="GL2868" s="4"/>
      <c r="GM2868" s="4"/>
      <c r="GN2868" s="4"/>
      <c r="GO2868" s="4"/>
      <c r="GP2868" s="4"/>
      <c r="GQ2868" s="4"/>
      <c r="GR2868" s="4"/>
      <c r="GS2868" s="4"/>
      <c r="GT2868" s="4"/>
      <c r="GU2868" s="4"/>
      <c r="GV2868" s="4"/>
      <c r="GW2868" s="4"/>
      <c r="GX2868" s="4"/>
      <c r="GY2868" s="4"/>
      <c r="GZ2868" s="4"/>
      <c r="HA2868" s="4"/>
      <c r="HB2868" s="4"/>
      <c r="HC2868" s="4"/>
      <c r="HD2868" s="4"/>
      <c r="HE2868" s="4"/>
      <c r="HF2868" s="4"/>
      <c r="HG2868" s="4"/>
      <c r="HH2868" s="4"/>
      <c r="HI2868" s="4"/>
      <c r="HJ2868" s="4"/>
      <c r="HK2868" s="4"/>
      <c r="HL2868" s="4"/>
    </row>
    <row r="2869">
      <c r="A2869" s="2" t="s">
        <v>12125</v>
      </c>
      <c r="B2869" s="2" t="s">
        <v>226</v>
      </c>
      <c r="C2869" s="2" t="s">
        <v>3948</v>
      </c>
      <c r="D2869" s="2" t="s">
        <v>1549</v>
      </c>
      <c r="E2869" s="2" t="s">
        <v>6675</v>
      </c>
      <c r="F2869" s="2" t="s">
        <v>12078</v>
      </c>
      <c r="G2869" s="2" t="s">
        <v>12078</v>
      </c>
      <c r="H2869" s="2" t="s">
        <v>12078</v>
      </c>
      <c r="I2869" s="2" t="s">
        <v>12079</v>
      </c>
      <c r="J2869" s="2" t="s">
        <v>302</v>
      </c>
      <c r="K2869" s="2" t="s">
        <v>12119</v>
      </c>
      <c r="L2869" s="3">
        <v>89.45</v>
      </c>
      <c r="M2869" s="3">
        <v>93.92</v>
      </c>
      <c r="N2869" s="3">
        <v>139.99</v>
      </c>
      <c r="O2869" s="2" t="s">
        <v>235</v>
      </c>
      <c r="P2869" s="2" t="s">
        <v>1019</v>
      </c>
      <c r="Q2869" s="2" t="s">
        <v>237</v>
      </c>
      <c r="R2869" s="2" t="s">
        <v>1020</v>
      </c>
      <c r="S2869" s="2" t="s">
        <v>231</v>
      </c>
      <c r="T2869" s="2" t="s">
        <v>231</v>
      </c>
      <c r="U2869" s="2" t="s">
        <v>327</v>
      </c>
      <c r="V2869" s="2" t="s">
        <v>239</v>
      </c>
      <c r="W2869" s="2" t="s">
        <v>231</v>
      </c>
      <c r="X2869" s="2" t="s">
        <v>231</v>
      </c>
      <c r="Y2869" s="2" t="s">
        <v>10885</v>
      </c>
      <c r="Z2869" s="4">
        <v>189</v>
      </c>
      <c r="AA2869" s="4">
        <f>=ROUNDDOWN(189,0)</f>
      </c>
      <c r="AB2869" s="5">
        <v>1</v>
      </c>
      <c r="AC2869" s="2" t="s">
        <v>231</v>
      </c>
      <c r="AD2869" s="4"/>
      <c r="AE2869" s="4"/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231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231</v>
      </c>
      <c r="AW2869" s="8" t="s">
        <v>231</v>
      </c>
      <c r="AX2869" s="4" t="s">
        <v>231</v>
      </c>
      <c r="AY2869" s="8" t="s">
        <v>231</v>
      </c>
      <c r="AZ2869" s="7" t="s">
        <v>231</v>
      </c>
      <c r="BA2869" s="7" t="s">
        <v>231</v>
      </c>
      <c r="BB2869" s="7"/>
      <c r="BC2869" s="4" t="s">
        <v>231</v>
      </c>
      <c r="BD2869" s="8" t="s">
        <v>231</v>
      </c>
      <c r="BE2869" s="4" t="s">
        <v>231</v>
      </c>
      <c r="BF2869" s="8" t="s">
        <v>231</v>
      </c>
      <c r="BG2869" s="7" t="s">
        <v>231</v>
      </c>
      <c r="BH2869" s="7" t="s">
        <v>231</v>
      </c>
      <c r="BI2869" s="7"/>
      <c r="BJ2869" s="4">
        <v>2</v>
      </c>
      <c r="BK2869" s="8">
        <v>97.68</v>
      </c>
      <c r="BL2869" s="2" t="s">
        <v>1020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12126</v>
      </c>
      <c r="BV2869" s="2" t="s">
        <v>231</v>
      </c>
      <c r="BW2869" s="2" t="s">
        <v>231</v>
      </c>
      <c r="BX2869" s="2" t="s">
        <v>241</v>
      </c>
      <c r="BY2869" s="2" t="s">
        <v>277</v>
      </c>
      <c r="BZ2869" s="2" t="s">
        <v>243</v>
      </c>
      <c r="CA2869" s="2" t="s">
        <v>1680</v>
      </c>
      <c r="CB2869" s="2" t="s">
        <v>231</v>
      </c>
      <c r="CC2869" s="2" t="s">
        <v>244</v>
      </c>
      <c r="CD2869" s="2" t="s">
        <v>231</v>
      </c>
      <c r="CE2869" s="4">
        <v>189</v>
      </c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4"/>
      <c r="CX2869" s="4"/>
      <c r="CY2869" s="4"/>
      <c r="CZ2869" s="4"/>
      <c r="DA2869" s="4"/>
      <c r="DB2869" s="4"/>
      <c r="DC2869" s="4"/>
      <c r="DD2869" s="4"/>
      <c r="DE2869" s="4"/>
      <c r="DF2869" s="4"/>
      <c r="DG2869" s="4"/>
      <c r="DH2869" s="4"/>
      <c r="DI2869" s="4"/>
      <c r="DJ2869" s="4"/>
      <c r="DK2869" s="4"/>
      <c r="DL2869" s="4"/>
      <c r="DM2869" s="4"/>
      <c r="DN2869" s="4"/>
      <c r="DO2869" s="4"/>
      <c r="DP2869" s="4"/>
      <c r="DQ2869" s="4"/>
      <c r="DR2869" s="4"/>
      <c r="DS2869" s="4"/>
      <c r="DT2869" s="4"/>
      <c r="DU2869" s="4"/>
      <c r="DV2869" s="4"/>
      <c r="DW2869" s="4"/>
      <c r="DX2869" s="4"/>
      <c r="DY2869" s="4"/>
      <c r="DZ2869" s="4"/>
      <c r="EA2869" s="4"/>
      <c r="EB2869" s="4"/>
      <c r="EC2869" s="4"/>
      <c r="ED2869" s="4"/>
      <c r="EE2869" s="4"/>
      <c r="EF2869" s="4"/>
      <c r="EG2869" s="4"/>
      <c r="EH2869" s="4"/>
      <c r="EI2869" s="4"/>
      <c r="EJ2869" s="4"/>
      <c r="EK2869" s="4"/>
      <c r="EL2869" s="4"/>
      <c r="EM2869" s="4"/>
      <c r="EN2869" s="4"/>
      <c r="EO2869" s="4"/>
      <c r="EP2869" s="4"/>
      <c r="EQ2869" s="4"/>
      <c r="ER2869" s="4"/>
      <c r="ES2869" s="4"/>
      <c r="ET2869" s="4"/>
      <c r="EU2869" s="4"/>
      <c r="EV2869" s="4"/>
      <c r="EW2869" s="4"/>
      <c r="EX2869" s="4"/>
      <c r="EY2869" s="4"/>
      <c r="EZ2869" s="4"/>
      <c r="FA2869" s="4"/>
      <c r="FB2869" s="4"/>
      <c r="FC2869" s="4"/>
      <c r="FD2869" s="4"/>
      <c r="FE2869" s="4"/>
      <c r="FF2869" s="4"/>
      <c r="FG2869" s="4"/>
      <c r="FH2869" s="4"/>
      <c r="FI2869" s="4"/>
      <c r="FJ2869" s="4"/>
      <c r="FK2869" s="4"/>
      <c r="FL2869" s="4"/>
      <c r="FM2869" s="4"/>
      <c r="FN2869" s="4"/>
      <c r="FO2869" s="4"/>
      <c r="FP2869" s="4"/>
      <c r="FQ2869" s="4"/>
      <c r="FR2869" s="4"/>
      <c r="FS2869" s="4"/>
      <c r="FT2869" s="4"/>
      <c r="FU2869" s="4"/>
      <c r="FV2869" s="4"/>
      <c r="FW2869" s="4"/>
      <c r="FX2869" s="4"/>
      <c r="FY2869" s="4"/>
      <c r="FZ2869" s="4"/>
      <c r="GA2869" s="4"/>
      <c r="GB2869" s="4"/>
      <c r="GC2869" s="4"/>
      <c r="GD2869" s="4"/>
      <c r="GE2869" s="4"/>
      <c r="GF2869" s="4"/>
      <c r="GG2869" s="4"/>
      <c r="GH2869" s="4"/>
      <c r="GI2869" s="4"/>
      <c r="GJ2869" s="4"/>
      <c r="GK2869" s="4"/>
      <c r="GL2869" s="4"/>
      <c r="GM2869" s="4"/>
      <c r="GN2869" s="4"/>
      <c r="GO2869" s="4"/>
      <c r="GP2869" s="4"/>
      <c r="GQ2869" s="4"/>
      <c r="GR2869" s="4"/>
      <c r="GS2869" s="4"/>
      <c r="GT2869" s="4"/>
      <c r="GU2869" s="4"/>
      <c r="GV2869" s="4"/>
      <c r="GW2869" s="4"/>
      <c r="GX2869" s="4"/>
      <c r="GY2869" s="4"/>
      <c r="GZ2869" s="4"/>
      <c r="HA2869" s="4"/>
      <c r="HB2869" s="4"/>
      <c r="HC2869" s="4"/>
      <c r="HD2869" s="4"/>
      <c r="HE2869" s="4"/>
      <c r="HF2869" s="4"/>
      <c r="HG2869" s="4"/>
      <c r="HH2869" s="4"/>
      <c r="HI2869" s="4"/>
      <c r="HJ2869" s="4"/>
      <c r="HK2869" s="4"/>
      <c r="HL2869" s="4"/>
    </row>
    <row r="2870">
      <c r="A2870" s="2" t="s">
        <v>12127</v>
      </c>
      <c r="B2870" s="2" t="s">
        <v>226</v>
      </c>
      <c r="C2870" s="2" t="s">
        <v>3948</v>
      </c>
      <c r="D2870" s="2" t="s">
        <v>1549</v>
      </c>
      <c r="E2870" s="2" t="s">
        <v>6675</v>
      </c>
      <c r="F2870" s="2" t="s">
        <v>12078</v>
      </c>
      <c r="G2870" s="2" t="s">
        <v>12078</v>
      </c>
      <c r="H2870" s="2" t="s">
        <v>12078</v>
      </c>
      <c r="I2870" s="2" t="s">
        <v>12079</v>
      </c>
      <c r="J2870" s="2" t="s">
        <v>318</v>
      </c>
      <c r="K2870" s="2" t="s">
        <v>12128</v>
      </c>
      <c r="L2870" s="3">
        <v>51.11</v>
      </c>
      <c r="M2870" s="3">
        <v>53.67</v>
      </c>
      <c r="N2870" s="3">
        <v>79.99</v>
      </c>
      <c r="O2870" s="2" t="s">
        <v>235</v>
      </c>
      <c r="P2870" s="2" t="s">
        <v>1019</v>
      </c>
      <c r="Q2870" s="2" t="s">
        <v>237</v>
      </c>
      <c r="R2870" s="2" t="s">
        <v>1020</v>
      </c>
      <c r="S2870" s="2" t="s">
        <v>231</v>
      </c>
      <c r="T2870" s="2" t="s">
        <v>231</v>
      </c>
      <c r="U2870" s="2" t="s">
        <v>327</v>
      </c>
      <c r="V2870" s="2" t="s">
        <v>239</v>
      </c>
      <c r="W2870" s="2" t="s">
        <v>231</v>
      </c>
      <c r="X2870" s="2" t="s">
        <v>231</v>
      </c>
      <c r="Y2870" s="2" t="s">
        <v>5283</v>
      </c>
      <c r="Z2870" s="4">
        <v>60</v>
      </c>
      <c r="AA2870" s="4">
        <f>=ROUNDDOWN(60,0)</f>
      </c>
      <c r="AB2870" s="5">
        <v>1</v>
      </c>
      <c r="AC2870" s="2" t="s">
        <v>231</v>
      </c>
      <c r="AD2870" s="4"/>
      <c r="AE2870" s="4"/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231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231</v>
      </c>
      <c r="AW2870" s="8" t="s">
        <v>231</v>
      </c>
      <c r="AX2870" s="4" t="s">
        <v>231</v>
      </c>
      <c r="AY2870" s="8" t="s">
        <v>231</v>
      </c>
      <c r="AZ2870" s="7" t="s">
        <v>231</v>
      </c>
      <c r="BA2870" s="7" t="s">
        <v>231</v>
      </c>
      <c r="BB2870" s="7"/>
      <c r="BC2870" s="4" t="s">
        <v>231</v>
      </c>
      <c r="BD2870" s="8" t="s">
        <v>231</v>
      </c>
      <c r="BE2870" s="4" t="s">
        <v>231</v>
      </c>
      <c r="BF2870" s="8" t="s">
        <v>231</v>
      </c>
      <c r="BG2870" s="7" t="s">
        <v>231</v>
      </c>
      <c r="BH2870" s="7" t="s">
        <v>231</v>
      </c>
      <c r="BI2870" s="7"/>
      <c r="BJ2870" s="4">
        <v>1</v>
      </c>
      <c r="BK2870" s="8">
        <v>26.83</v>
      </c>
      <c r="BL2870" s="2" t="s">
        <v>2565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12129</v>
      </c>
      <c r="BV2870" s="2" t="s">
        <v>231</v>
      </c>
      <c r="BW2870" s="2" t="s">
        <v>231</v>
      </c>
      <c r="BX2870" s="2" t="s">
        <v>241</v>
      </c>
      <c r="BY2870" s="2" t="s">
        <v>277</v>
      </c>
      <c r="BZ2870" s="2" t="s">
        <v>243</v>
      </c>
      <c r="CA2870" s="2" t="s">
        <v>1680</v>
      </c>
      <c r="CB2870" s="2" t="s">
        <v>231</v>
      </c>
      <c r="CC2870" s="2" t="s">
        <v>244</v>
      </c>
      <c r="CD2870" s="2" t="s">
        <v>231</v>
      </c>
      <c r="CE2870" s="4">
        <v>60</v>
      </c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4"/>
      <c r="CX2870" s="4"/>
      <c r="CY2870" s="4"/>
      <c r="CZ2870" s="4"/>
      <c r="DA2870" s="4"/>
      <c r="DB2870" s="4"/>
      <c r="DC2870" s="4"/>
      <c r="DD2870" s="4"/>
      <c r="DE2870" s="4"/>
      <c r="DF2870" s="4"/>
      <c r="DG2870" s="4"/>
      <c r="DH2870" s="4"/>
      <c r="DI2870" s="4"/>
      <c r="DJ2870" s="4"/>
      <c r="DK2870" s="4"/>
      <c r="DL2870" s="4"/>
      <c r="DM2870" s="4"/>
      <c r="DN2870" s="4"/>
      <c r="DO2870" s="4"/>
      <c r="DP2870" s="4"/>
      <c r="DQ2870" s="4"/>
      <c r="DR2870" s="4"/>
      <c r="DS2870" s="4"/>
      <c r="DT2870" s="4"/>
      <c r="DU2870" s="4"/>
      <c r="DV2870" s="4"/>
      <c r="DW2870" s="4"/>
      <c r="DX2870" s="4"/>
      <c r="DY2870" s="4"/>
      <c r="DZ2870" s="4"/>
      <c r="EA2870" s="4"/>
      <c r="EB2870" s="4"/>
      <c r="EC2870" s="4"/>
      <c r="ED2870" s="4"/>
      <c r="EE2870" s="4"/>
      <c r="EF2870" s="4"/>
      <c r="EG2870" s="4"/>
      <c r="EH2870" s="4"/>
      <c r="EI2870" s="4"/>
      <c r="EJ2870" s="4"/>
      <c r="EK2870" s="4"/>
      <c r="EL2870" s="4"/>
      <c r="EM2870" s="4"/>
      <c r="EN2870" s="4"/>
      <c r="EO2870" s="4"/>
      <c r="EP2870" s="4"/>
      <c r="EQ2870" s="4"/>
      <c r="ER2870" s="4"/>
      <c r="ES2870" s="4"/>
      <c r="ET2870" s="4"/>
      <c r="EU2870" s="4"/>
      <c r="EV2870" s="4"/>
      <c r="EW2870" s="4"/>
      <c r="EX2870" s="4"/>
      <c r="EY2870" s="4"/>
      <c r="EZ2870" s="4"/>
      <c r="FA2870" s="4"/>
      <c r="FB2870" s="4"/>
      <c r="FC2870" s="4"/>
      <c r="FD2870" s="4"/>
      <c r="FE2870" s="4"/>
      <c r="FF2870" s="4"/>
      <c r="FG2870" s="4"/>
      <c r="FH2870" s="4"/>
      <c r="FI2870" s="4"/>
      <c r="FJ2870" s="4"/>
      <c r="FK2870" s="4"/>
      <c r="FL2870" s="4"/>
      <c r="FM2870" s="4"/>
      <c r="FN2870" s="4"/>
      <c r="FO2870" s="4"/>
      <c r="FP2870" s="4"/>
      <c r="FQ2870" s="4"/>
      <c r="FR2870" s="4"/>
      <c r="FS2870" s="4"/>
      <c r="FT2870" s="4"/>
      <c r="FU2870" s="4"/>
      <c r="FV2870" s="4"/>
      <c r="FW2870" s="4"/>
      <c r="FX2870" s="4"/>
      <c r="FY2870" s="4"/>
      <c r="FZ2870" s="4"/>
      <c r="GA2870" s="4"/>
      <c r="GB2870" s="4"/>
      <c r="GC2870" s="4"/>
      <c r="GD2870" s="4"/>
      <c r="GE2870" s="4"/>
      <c r="GF2870" s="4"/>
      <c r="GG2870" s="4"/>
      <c r="GH2870" s="4"/>
      <c r="GI2870" s="4"/>
      <c r="GJ2870" s="4"/>
      <c r="GK2870" s="4"/>
      <c r="GL2870" s="4"/>
      <c r="GM2870" s="4"/>
      <c r="GN2870" s="4"/>
      <c r="GO2870" s="4"/>
      <c r="GP2870" s="4"/>
      <c r="GQ2870" s="4"/>
      <c r="GR2870" s="4"/>
      <c r="GS2870" s="4"/>
      <c r="GT2870" s="4"/>
      <c r="GU2870" s="4"/>
      <c r="GV2870" s="4"/>
      <c r="GW2870" s="4"/>
      <c r="GX2870" s="4"/>
      <c r="GY2870" s="4"/>
      <c r="GZ2870" s="4"/>
      <c r="HA2870" s="4"/>
      <c r="HB2870" s="4"/>
      <c r="HC2870" s="4"/>
      <c r="HD2870" s="4"/>
      <c r="HE2870" s="4"/>
      <c r="HF2870" s="4"/>
      <c r="HG2870" s="4"/>
      <c r="HH2870" s="4"/>
      <c r="HI2870" s="4"/>
      <c r="HJ2870" s="4"/>
      <c r="HK2870" s="4"/>
      <c r="HL2870" s="4"/>
    </row>
    <row r="2871">
      <c r="A2871" s="2" t="s">
        <v>12130</v>
      </c>
      <c r="B2871" s="2" t="s">
        <v>226</v>
      </c>
      <c r="C2871" s="2" t="s">
        <v>3948</v>
      </c>
      <c r="D2871" s="2" t="s">
        <v>1549</v>
      </c>
      <c r="E2871" s="2" t="s">
        <v>6675</v>
      </c>
      <c r="F2871" s="2" t="s">
        <v>12078</v>
      </c>
      <c r="G2871" s="2" t="s">
        <v>12078</v>
      </c>
      <c r="H2871" s="2" t="s">
        <v>12078</v>
      </c>
      <c r="I2871" s="2" t="s">
        <v>12079</v>
      </c>
      <c r="J2871" s="2" t="s">
        <v>281</v>
      </c>
      <c r="K2871" s="2" t="s">
        <v>12128</v>
      </c>
      <c r="L2871" s="3">
        <v>57.5</v>
      </c>
      <c r="M2871" s="3">
        <v>60.38</v>
      </c>
      <c r="N2871" s="3">
        <v>89.99</v>
      </c>
      <c r="O2871" s="2" t="s">
        <v>235</v>
      </c>
      <c r="P2871" s="2" t="s">
        <v>1019</v>
      </c>
      <c r="Q2871" s="2" t="s">
        <v>237</v>
      </c>
      <c r="R2871" s="2" t="s">
        <v>1020</v>
      </c>
      <c r="S2871" s="2" t="s">
        <v>231</v>
      </c>
      <c r="T2871" s="2" t="s">
        <v>231</v>
      </c>
      <c r="U2871" s="2" t="s">
        <v>327</v>
      </c>
      <c r="V2871" s="2" t="s">
        <v>239</v>
      </c>
      <c r="W2871" s="2" t="s">
        <v>231</v>
      </c>
      <c r="X2871" s="2" t="s">
        <v>231</v>
      </c>
      <c r="Y2871" s="2" t="s">
        <v>5283</v>
      </c>
      <c r="Z2871" s="4">
        <v>57</v>
      </c>
      <c r="AA2871" s="4">
        <f>=ROUNDDOWN({0},0)</f>
      </c>
      <c r="AB2871" s="5"/>
      <c r="AC2871" s="2" t="s">
        <v>231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231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231</v>
      </c>
      <c r="AW2871" s="8" t="s">
        <v>231</v>
      </c>
      <c r="AX2871" s="4" t="s">
        <v>231</v>
      </c>
      <c r="AY2871" s="8" t="s">
        <v>231</v>
      </c>
      <c r="AZ2871" s="7" t="s">
        <v>231</v>
      </c>
      <c r="BA2871" s="7" t="s">
        <v>231</v>
      </c>
      <c r="BB2871" s="7"/>
      <c r="BC2871" s="4" t="s">
        <v>231</v>
      </c>
      <c r="BD2871" s="8" t="s">
        <v>231</v>
      </c>
      <c r="BE2871" s="4" t="s">
        <v>231</v>
      </c>
      <c r="BF2871" s="8" t="s">
        <v>231</v>
      </c>
      <c r="BG2871" s="7" t="s">
        <v>231</v>
      </c>
      <c r="BH2871" s="7" t="s">
        <v>231</v>
      </c>
      <c r="BI2871" s="7"/>
      <c r="BJ2871" s="4"/>
      <c r="BK2871" s="8"/>
      <c r="BL2871" s="2" t="s">
        <v>231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12131</v>
      </c>
      <c r="BV2871" s="2" t="s">
        <v>231</v>
      </c>
      <c r="BW2871" s="2" t="s">
        <v>231</v>
      </c>
      <c r="BX2871" s="2" t="s">
        <v>241</v>
      </c>
      <c r="BY2871" s="2" t="s">
        <v>277</v>
      </c>
      <c r="BZ2871" s="2" t="s">
        <v>243</v>
      </c>
      <c r="CA2871" s="2" t="s">
        <v>1680</v>
      </c>
      <c r="CB2871" s="2" t="s">
        <v>231</v>
      </c>
      <c r="CC2871" s="2" t="s">
        <v>244</v>
      </c>
      <c r="CD2871" s="2" t="s">
        <v>231</v>
      </c>
      <c r="CE2871" s="4">
        <v>57</v>
      </c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4"/>
      <c r="CX2871" s="4"/>
      <c r="CY2871" s="4"/>
      <c r="CZ2871" s="4"/>
      <c r="DA2871" s="4"/>
      <c r="DB2871" s="4"/>
      <c r="DC2871" s="4"/>
      <c r="DD2871" s="4"/>
      <c r="DE2871" s="4"/>
      <c r="DF2871" s="4"/>
      <c r="DG2871" s="4"/>
      <c r="DH2871" s="4"/>
      <c r="DI2871" s="4"/>
      <c r="DJ2871" s="4"/>
      <c r="DK2871" s="4"/>
      <c r="DL2871" s="4"/>
      <c r="DM2871" s="4"/>
      <c r="DN2871" s="4"/>
      <c r="DO2871" s="4"/>
      <c r="DP2871" s="4"/>
      <c r="DQ2871" s="4"/>
      <c r="DR2871" s="4"/>
      <c r="DS2871" s="4"/>
      <c r="DT2871" s="4"/>
      <c r="DU2871" s="4"/>
      <c r="DV2871" s="4"/>
      <c r="DW2871" s="4"/>
      <c r="DX2871" s="4"/>
      <c r="DY2871" s="4"/>
      <c r="DZ2871" s="4"/>
      <c r="EA2871" s="4"/>
      <c r="EB2871" s="4"/>
      <c r="EC2871" s="4"/>
      <c r="ED2871" s="4"/>
      <c r="EE2871" s="4"/>
      <c r="EF2871" s="4"/>
      <c r="EG2871" s="4"/>
      <c r="EH2871" s="4"/>
      <c r="EI2871" s="4"/>
      <c r="EJ2871" s="4"/>
      <c r="EK2871" s="4"/>
      <c r="EL2871" s="4"/>
      <c r="EM2871" s="4"/>
      <c r="EN2871" s="4"/>
      <c r="EO2871" s="4"/>
      <c r="EP2871" s="4"/>
      <c r="EQ2871" s="4"/>
      <c r="ER2871" s="4"/>
      <c r="ES2871" s="4"/>
      <c r="ET2871" s="4"/>
      <c r="EU2871" s="4"/>
      <c r="EV2871" s="4"/>
      <c r="EW2871" s="4"/>
      <c r="EX2871" s="4"/>
      <c r="EY2871" s="4"/>
      <c r="EZ2871" s="4"/>
      <c r="FA2871" s="4"/>
      <c r="FB2871" s="4"/>
      <c r="FC2871" s="4"/>
      <c r="FD2871" s="4"/>
      <c r="FE2871" s="4"/>
      <c r="FF2871" s="4"/>
      <c r="FG2871" s="4"/>
      <c r="FH2871" s="4"/>
      <c r="FI2871" s="4"/>
      <c r="FJ2871" s="4"/>
      <c r="FK2871" s="4"/>
      <c r="FL2871" s="4"/>
      <c r="FM2871" s="4"/>
      <c r="FN2871" s="4"/>
      <c r="FO2871" s="4"/>
      <c r="FP2871" s="4"/>
      <c r="FQ2871" s="4"/>
      <c r="FR2871" s="4"/>
      <c r="FS2871" s="4"/>
      <c r="FT2871" s="4"/>
      <c r="FU2871" s="4"/>
      <c r="FV2871" s="4"/>
      <c r="FW2871" s="4"/>
      <c r="FX2871" s="4"/>
      <c r="FY2871" s="4"/>
      <c r="FZ2871" s="4"/>
      <c r="GA2871" s="4"/>
      <c r="GB2871" s="4"/>
      <c r="GC2871" s="4"/>
      <c r="GD2871" s="4"/>
      <c r="GE2871" s="4"/>
      <c r="GF2871" s="4"/>
      <c r="GG2871" s="4"/>
      <c r="GH2871" s="4"/>
      <c r="GI2871" s="4"/>
      <c r="GJ2871" s="4"/>
      <c r="GK2871" s="4"/>
      <c r="GL2871" s="4"/>
      <c r="GM2871" s="4"/>
      <c r="GN2871" s="4"/>
      <c r="GO2871" s="4"/>
      <c r="GP2871" s="4"/>
      <c r="GQ2871" s="4"/>
      <c r="GR2871" s="4"/>
      <c r="GS2871" s="4"/>
      <c r="GT2871" s="4"/>
      <c r="GU2871" s="4"/>
      <c r="GV2871" s="4"/>
      <c r="GW2871" s="4"/>
      <c r="GX2871" s="4"/>
      <c r="GY2871" s="4"/>
      <c r="GZ2871" s="4"/>
      <c r="HA2871" s="4"/>
      <c r="HB2871" s="4"/>
      <c r="HC2871" s="4"/>
      <c r="HD2871" s="4"/>
      <c r="HE2871" s="4"/>
      <c r="HF2871" s="4"/>
      <c r="HG2871" s="4"/>
      <c r="HH2871" s="4"/>
      <c r="HI2871" s="4"/>
      <c r="HJ2871" s="4"/>
      <c r="HK2871" s="4"/>
      <c r="HL2871" s="4"/>
    </row>
    <row r="2872">
      <c r="A2872" s="2" t="s">
        <v>12132</v>
      </c>
      <c r="B2872" s="2" t="s">
        <v>226</v>
      </c>
      <c r="C2872" s="2" t="s">
        <v>3948</v>
      </c>
      <c r="D2872" s="2" t="s">
        <v>1549</v>
      </c>
      <c r="E2872" s="2" t="s">
        <v>6675</v>
      </c>
      <c r="F2872" s="2" t="s">
        <v>12078</v>
      </c>
      <c r="G2872" s="2" t="s">
        <v>12078</v>
      </c>
      <c r="H2872" s="2" t="s">
        <v>12078</v>
      </c>
      <c r="I2872" s="2" t="s">
        <v>12079</v>
      </c>
      <c r="J2872" s="2" t="s">
        <v>293</v>
      </c>
      <c r="K2872" s="2" t="s">
        <v>12128</v>
      </c>
      <c r="L2872" s="3">
        <v>83.06</v>
      </c>
      <c r="M2872" s="3">
        <v>87.21</v>
      </c>
      <c r="N2872" s="3">
        <v>129.99</v>
      </c>
      <c r="O2872" s="2" t="s">
        <v>235</v>
      </c>
      <c r="P2872" s="2" t="s">
        <v>1019</v>
      </c>
      <c r="Q2872" s="2" t="s">
        <v>237</v>
      </c>
      <c r="R2872" s="2" t="s">
        <v>1020</v>
      </c>
      <c r="S2872" s="2" t="s">
        <v>231</v>
      </c>
      <c r="T2872" s="2" t="s">
        <v>231</v>
      </c>
      <c r="U2872" s="2" t="s">
        <v>327</v>
      </c>
      <c r="V2872" s="2" t="s">
        <v>239</v>
      </c>
      <c r="W2872" s="2" t="s">
        <v>231</v>
      </c>
      <c r="X2872" s="2" t="s">
        <v>231</v>
      </c>
      <c r="Y2872" s="2" t="s">
        <v>5283</v>
      </c>
      <c r="Z2872" s="4">
        <v>178</v>
      </c>
      <c r="AA2872" s="4">
        <f>=ROUNDDOWN(89,0)</f>
      </c>
      <c r="AB2872" s="5">
        <v>2</v>
      </c>
      <c r="AC2872" s="2" t="s">
        <v>231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231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231</v>
      </c>
      <c r="AW2872" s="8" t="s">
        <v>231</v>
      </c>
      <c r="AX2872" s="4" t="s">
        <v>231</v>
      </c>
      <c r="AY2872" s="8" t="s">
        <v>231</v>
      </c>
      <c r="AZ2872" s="7" t="s">
        <v>231</v>
      </c>
      <c r="BA2872" s="7" t="s">
        <v>231</v>
      </c>
      <c r="BB2872" s="7"/>
      <c r="BC2872" s="4" t="s">
        <v>231</v>
      </c>
      <c r="BD2872" s="8" t="s">
        <v>231</v>
      </c>
      <c r="BE2872" s="4" t="s">
        <v>231</v>
      </c>
      <c r="BF2872" s="8" t="s">
        <v>231</v>
      </c>
      <c r="BG2872" s="7" t="s">
        <v>231</v>
      </c>
      <c r="BH2872" s="7" t="s">
        <v>231</v>
      </c>
      <c r="BI2872" s="7"/>
      <c r="BJ2872" s="4">
        <v>1</v>
      </c>
      <c r="BK2872" s="8">
        <v>84.99</v>
      </c>
      <c r="BL2872" s="2" t="s">
        <v>1028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12133</v>
      </c>
      <c r="BV2872" s="2" t="s">
        <v>231</v>
      </c>
      <c r="BW2872" s="2" t="s">
        <v>231</v>
      </c>
      <c r="BX2872" s="2" t="s">
        <v>241</v>
      </c>
      <c r="BY2872" s="2" t="s">
        <v>277</v>
      </c>
      <c r="BZ2872" s="2" t="s">
        <v>243</v>
      </c>
      <c r="CA2872" s="2" t="s">
        <v>1680</v>
      </c>
      <c r="CB2872" s="2" t="s">
        <v>231</v>
      </c>
      <c r="CC2872" s="2" t="s">
        <v>244</v>
      </c>
      <c r="CD2872" s="2" t="s">
        <v>231</v>
      </c>
      <c r="CE2872" s="4">
        <v>178</v>
      </c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4"/>
      <c r="CX2872" s="4"/>
      <c r="CY2872" s="4"/>
      <c r="CZ2872" s="4"/>
      <c r="DA2872" s="4"/>
      <c r="DB2872" s="4"/>
      <c r="DC2872" s="4"/>
      <c r="DD2872" s="4"/>
      <c r="DE2872" s="4"/>
      <c r="DF2872" s="4"/>
      <c r="DG2872" s="4"/>
      <c r="DH2872" s="4"/>
      <c r="DI2872" s="4"/>
      <c r="DJ2872" s="4"/>
      <c r="DK2872" s="4"/>
      <c r="DL2872" s="4"/>
      <c r="DM2872" s="4"/>
      <c r="DN2872" s="4"/>
      <c r="DO2872" s="4"/>
      <c r="DP2872" s="4"/>
      <c r="DQ2872" s="4"/>
      <c r="DR2872" s="4"/>
      <c r="DS2872" s="4"/>
      <c r="DT2872" s="4"/>
      <c r="DU2872" s="4"/>
      <c r="DV2872" s="4"/>
      <c r="DW2872" s="4"/>
      <c r="DX2872" s="4"/>
      <c r="DY2872" s="4"/>
      <c r="DZ2872" s="4"/>
      <c r="EA2872" s="4"/>
      <c r="EB2872" s="4"/>
      <c r="EC2872" s="4"/>
      <c r="ED2872" s="4"/>
      <c r="EE2872" s="4"/>
      <c r="EF2872" s="4"/>
      <c r="EG2872" s="4"/>
      <c r="EH2872" s="4"/>
      <c r="EI2872" s="4"/>
      <c r="EJ2872" s="4"/>
      <c r="EK2872" s="4"/>
      <c r="EL2872" s="4"/>
      <c r="EM2872" s="4"/>
      <c r="EN2872" s="4"/>
      <c r="EO2872" s="4"/>
      <c r="EP2872" s="4"/>
      <c r="EQ2872" s="4"/>
      <c r="ER2872" s="4"/>
      <c r="ES2872" s="4"/>
      <c r="ET2872" s="4"/>
      <c r="EU2872" s="4"/>
      <c r="EV2872" s="4"/>
      <c r="EW2872" s="4"/>
      <c r="EX2872" s="4"/>
      <c r="EY2872" s="4"/>
      <c r="EZ2872" s="4"/>
      <c r="FA2872" s="4"/>
      <c r="FB2872" s="4"/>
      <c r="FC2872" s="4"/>
      <c r="FD2872" s="4"/>
      <c r="FE2872" s="4"/>
      <c r="FF2872" s="4"/>
      <c r="FG2872" s="4"/>
      <c r="FH2872" s="4"/>
      <c r="FI2872" s="4"/>
      <c r="FJ2872" s="4"/>
      <c r="FK2872" s="4"/>
      <c r="FL2872" s="4"/>
      <c r="FM2872" s="4"/>
      <c r="FN2872" s="4"/>
      <c r="FO2872" s="4"/>
      <c r="FP2872" s="4"/>
      <c r="FQ2872" s="4"/>
      <c r="FR2872" s="4"/>
      <c r="FS2872" s="4"/>
      <c r="FT2872" s="4"/>
      <c r="FU2872" s="4"/>
      <c r="FV2872" s="4"/>
      <c r="FW2872" s="4"/>
      <c r="FX2872" s="4"/>
      <c r="FY2872" s="4"/>
      <c r="FZ2872" s="4"/>
      <c r="GA2872" s="4"/>
      <c r="GB2872" s="4"/>
      <c r="GC2872" s="4"/>
      <c r="GD2872" s="4"/>
      <c r="GE2872" s="4"/>
      <c r="GF2872" s="4"/>
      <c r="GG2872" s="4"/>
      <c r="GH2872" s="4"/>
      <c r="GI2872" s="4"/>
      <c r="GJ2872" s="4"/>
      <c r="GK2872" s="4"/>
      <c r="GL2872" s="4"/>
      <c r="GM2872" s="4"/>
      <c r="GN2872" s="4"/>
      <c r="GO2872" s="4"/>
      <c r="GP2872" s="4"/>
      <c r="GQ2872" s="4"/>
      <c r="GR2872" s="4"/>
      <c r="GS2872" s="4"/>
      <c r="GT2872" s="4"/>
      <c r="GU2872" s="4"/>
      <c r="GV2872" s="4"/>
      <c r="GW2872" s="4"/>
      <c r="GX2872" s="4"/>
      <c r="GY2872" s="4"/>
      <c r="GZ2872" s="4"/>
      <c r="HA2872" s="4"/>
      <c r="HB2872" s="4"/>
      <c r="HC2872" s="4"/>
      <c r="HD2872" s="4"/>
      <c r="HE2872" s="4"/>
      <c r="HF2872" s="4"/>
      <c r="HG2872" s="4"/>
      <c r="HH2872" s="4"/>
      <c r="HI2872" s="4"/>
      <c r="HJ2872" s="4"/>
      <c r="HK2872" s="4"/>
      <c r="HL2872" s="4"/>
    </row>
    <row r="2873">
      <c r="A2873" s="2" t="s">
        <v>12134</v>
      </c>
      <c r="B2873" s="2" t="s">
        <v>226</v>
      </c>
      <c r="C2873" s="2" t="s">
        <v>3948</v>
      </c>
      <c r="D2873" s="2" t="s">
        <v>1549</v>
      </c>
      <c r="E2873" s="2" t="s">
        <v>6675</v>
      </c>
      <c r="F2873" s="2" t="s">
        <v>12078</v>
      </c>
      <c r="G2873" s="2" t="s">
        <v>12078</v>
      </c>
      <c r="H2873" s="2" t="s">
        <v>12078</v>
      </c>
      <c r="I2873" s="2" t="s">
        <v>12079</v>
      </c>
      <c r="J2873" s="2" t="s">
        <v>302</v>
      </c>
      <c r="K2873" s="2" t="s">
        <v>12128</v>
      </c>
      <c r="L2873" s="3">
        <v>89.45</v>
      </c>
      <c r="M2873" s="3">
        <v>93.92</v>
      </c>
      <c r="N2873" s="3">
        <v>139.99</v>
      </c>
      <c r="O2873" s="2" t="s">
        <v>235</v>
      </c>
      <c r="P2873" s="2" t="s">
        <v>1019</v>
      </c>
      <c r="Q2873" s="2" t="s">
        <v>237</v>
      </c>
      <c r="R2873" s="2" t="s">
        <v>1020</v>
      </c>
      <c r="S2873" s="2" t="s">
        <v>231</v>
      </c>
      <c r="T2873" s="2" t="s">
        <v>231</v>
      </c>
      <c r="U2873" s="2" t="s">
        <v>327</v>
      </c>
      <c r="V2873" s="2" t="s">
        <v>239</v>
      </c>
      <c r="W2873" s="2" t="s">
        <v>231</v>
      </c>
      <c r="X2873" s="2" t="s">
        <v>231</v>
      </c>
      <c r="Y2873" s="2" t="s">
        <v>5283</v>
      </c>
      <c r="Z2873" s="4">
        <v>204</v>
      </c>
      <c r="AA2873" s="4">
        <f>=ROUNDDOWN(204,0)</f>
      </c>
      <c r="AB2873" s="5">
        <v>1</v>
      </c>
      <c r="AC2873" s="2" t="s">
        <v>231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231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231</v>
      </c>
      <c r="AW2873" s="8" t="s">
        <v>231</v>
      </c>
      <c r="AX2873" s="4" t="s">
        <v>231</v>
      </c>
      <c r="AY2873" s="8" t="s">
        <v>231</v>
      </c>
      <c r="AZ2873" s="7" t="s">
        <v>231</v>
      </c>
      <c r="BA2873" s="7" t="s">
        <v>231</v>
      </c>
      <c r="BB2873" s="7"/>
      <c r="BC2873" s="4" t="s">
        <v>231</v>
      </c>
      <c r="BD2873" s="8" t="s">
        <v>231</v>
      </c>
      <c r="BE2873" s="4" t="s">
        <v>231</v>
      </c>
      <c r="BF2873" s="8" t="s">
        <v>231</v>
      </c>
      <c r="BG2873" s="7" t="s">
        <v>231</v>
      </c>
      <c r="BH2873" s="7" t="s">
        <v>231</v>
      </c>
      <c r="BI2873" s="7"/>
      <c r="BJ2873" s="4"/>
      <c r="BK2873" s="8"/>
      <c r="BL2873" s="2" t="s">
        <v>231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12135</v>
      </c>
      <c r="BV2873" s="2" t="s">
        <v>231</v>
      </c>
      <c r="BW2873" s="2" t="s">
        <v>231</v>
      </c>
      <c r="BX2873" s="2" t="s">
        <v>241</v>
      </c>
      <c r="BY2873" s="2" t="s">
        <v>277</v>
      </c>
      <c r="BZ2873" s="2" t="s">
        <v>243</v>
      </c>
      <c r="CA2873" s="2" t="s">
        <v>1680</v>
      </c>
      <c r="CB2873" s="2" t="s">
        <v>231</v>
      </c>
      <c r="CC2873" s="2" t="s">
        <v>244</v>
      </c>
      <c r="CD2873" s="2" t="s">
        <v>231</v>
      </c>
      <c r="CE2873" s="4">
        <v>204</v>
      </c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4"/>
      <c r="CX2873" s="4"/>
      <c r="CY2873" s="4"/>
      <c r="CZ2873" s="4"/>
      <c r="DA2873" s="4"/>
      <c r="DB2873" s="4"/>
      <c r="DC2873" s="4"/>
      <c r="DD2873" s="4"/>
      <c r="DE2873" s="4"/>
      <c r="DF2873" s="4"/>
      <c r="DG2873" s="4"/>
      <c r="DH2873" s="4"/>
      <c r="DI2873" s="4"/>
      <c r="DJ2873" s="4"/>
      <c r="DK2873" s="4"/>
      <c r="DL2873" s="4"/>
      <c r="DM2873" s="4"/>
      <c r="DN2873" s="4"/>
      <c r="DO2873" s="4"/>
      <c r="DP2873" s="4"/>
      <c r="DQ2873" s="4"/>
      <c r="DR2873" s="4"/>
      <c r="DS2873" s="4"/>
      <c r="DT2873" s="4"/>
      <c r="DU2873" s="4"/>
      <c r="DV2873" s="4"/>
      <c r="DW2873" s="4"/>
      <c r="DX2873" s="4"/>
      <c r="DY2873" s="4"/>
      <c r="DZ2873" s="4"/>
      <c r="EA2873" s="4"/>
      <c r="EB2873" s="4"/>
      <c r="EC2873" s="4"/>
      <c r="ED2873" s="4"/>
      <c r="EE2873" s="4"/>
      <c r="EF2873" s="4"/>
      <c r="EG2873" s="4"/>
      <c r="EH2873" s="4"/>
      <c r="EI2873" s="4"/>
      <c r="EJ2873" s="4"/>
      <c r="EK2873" s="4"/>
      <c r="EL2873" s="4"/>
      <c r="EM2873" s="4"/>
      <c r="EN2873" s="4"/>
      <c r="EO2873" s="4"/>
      <c r="EP2873" s="4"/>
      <c r="EQ2873" s="4"/>
      <c r="ER2873" s="4"/>
      <c r="ES2873" s="4"/>
      <c r="ET2873" s="4"/>
      <c r="EU2873" s="4"/>
      <c r="EV2873" s="4"/>
      <c r="EW2873" s="4"/>
      <c r="EX2873" s="4"/>
      <c r="EY2873" s="4"/>
      <c r="EZ2873" s="4"/>
      <c r="FA2873" s="4"/>
      <c r="FB2873" s="4"/>
      <c r="FC2873" s="4"/>
      <c r="FD2873" s="4"/>
      <c r="FE2873" s="4"/>
      <c r="FF2873" s="4"/>
      <c r="FG2873" s="4"/>
      <c r="FH2873" s="4"/>
      <c r="FI2873" s="4"/>
      <c r="FJ2873" s="4"/>
      <c r="FK2873" s="4"/>
      <c r="FL2873" s="4"/>
      <c r="FM2873" s="4"/>
      <c r="FN2873" s="4"/>
      <c r="FO2873" s="4"/>
      <c r="FP2873" s="4"/>
      <c r="FQ2873" s="4"/>
      <c r="FR2873" s="4"/>
      <c r="FS2873" s="4"/>
      <c r="FT2873" s="4"/>
      <c r="FU2873" s="4"/>
      <c r="FV2873" s="4"/>
      <c r="FW2873" s="4"/>
      <c r="FX2873" s="4"/>
      <c r="FY2873" s="4"/>
      <c r="FZ2873" s="4"/>
      <c r="GA2873" s="4"/>
      <c r="GB2873" s="4"/>
      <c r="GC2873" s="4"/>
      <c r="GD2873" s="4"/>
      <c r="GE2873" s="4"/>
      <c r="GF2873" s="4"/>
      <c r="GG2873" s="4"/>
      <c r="GH2873" s="4"/>
      <c r="GI2873" s="4"/>
      <c r="GJ2873" s="4"/>
      <c r="GK2873" s="4"/>
      <c r="GL2873" s="4"/>
      <c r="GM2873" s="4"/>
      <c r="GN2873" s="4"/>
      <c r="GO2873" s="4"/>
      <c r="GP2873" s="4"/>
      <c r="GQ2873" s="4"/>
      <c r="GR2873" s="4"/>
      <c r="GS2873" s="4"/>
      <c r="GT2873" s="4"/>
      <c r="GU2873" s="4"/>
      <c r="GV2873" s="4"/>
      <c r="GW2873" s="4"/>
      <c r="GX2873" s="4"/>
      <c r="GY2873" s="4"/>
      <c r="GZ2873" s="4"/>
      <c r="HA2873" s="4"/>
      <c r="HB2873" s="4"/>
      <c r="HC2873" s="4"/>
      <c r="HD2873" s="4"/>
      <c r="HE2873" s="4"/>
      <c r="HF2873" s="4"/>
      <c r="HG2873" s="4"/>
      <c r="HH2873" s="4"/>
      <c r="HI2873" s="4"/>
      <c r="HJ2873" s="4"/>
      <c r="HK2873" s="4"/>
      <c r="HL2873" s="4"/>
    </row>
    <row r="2874">
      <c r="A2874" s="2" t="s">
        <v>12136</v>
      </c>
      <c r="B2874" s="2" t="s">
        <v>801</v>
      </c>
      <c r="C2874" s="2" t="s">
        <v>815</v>
      </c>
      <c r="D2874" s="2" t="s">
        <v>1114</v>
      </c>
      <c r="E2874" s="2" t="s">
        <v>1115</v>
      </c>
      <c r="F2874" s="2" t="s">
        <v>12137</v>
      </c>
      <c r="G2874" s="2" t="s">
        <v>12137</v>
      </c>
      <c r="H2874" s="2" t="s">
        <v>12137</v>
      </c>
      <c r="I2874" s="2" t="s">
        <v>5749</v>
      </c>
      <c r="J2874" s="2" t="s">
        <v>807</v>
      </c>
      <c r="K2874" s="2" t="s">
        <v>319</v>
      </c>
      <c r="L2874" s="3">
        <v>39.2</v>
      </c>
      <c r="M2874" s="3">
        <v>41.16</v>
      </c>
      <c r="N2874" s="3">
        <v>79.99</v>
      </c>
      <c r="O2874" s="2" t="s">
        <v>243</v>
      </c>
      <c r="P2874" s="2" t="s">
        <v>236</v>
      </c>
      <c r="Q2874" s="2" t="s">
        <v>237</v>
      </c>
      <c r="R2874" s="2" t="s">
        <v>231</v>
      </c>
      <c r="S2874" s="2" t="s">
        <v>231</v>
      </c>
      <c r="T2874" s="2" t="s">
        <v>231</v>
      </c>
      <c r="U2874" s="2" t="s">
        <v>327</v>
      </c>
      <c r="V2874" s="2" t="s">
        <v>662</v>
      </c>
      <c r="W2874" s="2" t="s">
        <v>273</v>
      </c>
      <c r="X2874" s="2" t="s">
        <v>691</v>
      </c>
      <c r="Y2874" s="2" t="s">
        <v>231</v>
      </c>
      <c r="Z2874" s="4"/>
      <c r="AA2874" s="4">
        <f>=ROUNDDOWN({0},0)</f>
      </c>
      <c r="AB2874" s="5"/>
      <c r="AC2874" s="2" t="s">
        <v>2262</v>
      </c>
      <c r="AD2874" s="4">
        <v>100</v>
      </c>
      <c r="AE2874" s="4">
        <v>100</v>
      </c>
      <c r="AF2874" s="6">
        <v>65</v>
      </c>
      <c r="AG2874" s="6"/>
      <c r="AH2874" s="7">
        <v>0</v>
      </c>
      <c r="AI2874" s="4"/>
      <c r="AJ2874" s="4">
        <f>=ROUNDDOWN({0},0)</f>
      </c>
      <c r="AK2874" s="5"/>
      <c r="AL2874" s="2" t="s">
        <v>231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/>
      <c r="BD2874" s="8"/>
      <c r="BE2874" s="4"/>
      <c r="BF2874" s="8"/>
      <c r="BG2874" s="7"/>
      <c r="BH2874" s="7"/>
      <c r="BI2874" s="7"/>
      <c r="BJ2874" s="4"/>
      <c r="BK2874" s="8"/>
      <c r="BL2874" s="2" t="s">
        <v>231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241</v>
      </c>
      <c r="BV2874" s="2" t="s">
        <v>231</v>
      </c>
      <c r="BW2874" s="2" t="s">
        <v>231</v>
      </c>
      <c r="BX2874" s="2" t="s">
        <v>241</v>
      </c>
      <c r="BY2874" s="2" t="s">
        <v>242</v>
      </c>
      <c r="BZ2874" s="2" t="s">
        <v>243</v>
      </c>
      <c r="CA2874" s="2" t="s">
        <v>231</v>
      </c>
      <c r="CB2874" s="2" t="s">
        <v>231</v>
      </c>
      <c r="CC2874" s="2" t="s">
        <v>244</v>
      </c>
      <c r="CD2874" s="2" t="s">
        <v>231</v>
      </c>
      <c r="CE2874" s="4"/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4"/>
      <c r="CX2874" s="4"/>
      <c r="CY2874" s="4"/>
      <c r="CZ2874" s="4"/>
      <c r="DA2874" s="4"/>
      <c r="DB2874" s="4"/>
      <c r="DC2874" s="4"/>
      <c r="DD2874" s="4"/>
      <c r="DE2874" s="4"/>
      <c r="DF2874" s="4"/>
      <c r="DG2874" s="4"/>
      <c r="DH2874" s="4"/>
      <c r="DI2874" s="4"/>
      <c r="DJ2874" s="4"/>
      <c r="DK2874" s="4"/>
      <c r="DL2874" s="4"/>
      <c r="DM2874" s="4"/>
      <c r="DN2874" s="4"/>
      <c r="DO2874" s="4"/>
      <c r="DP2874" s="4"/>
      <c r="DQ2874" s="4"/>
      <c r="DR2874" s="4"/>
      <c r="DS2874" s="4"/>
      <c r="DT2874" s="4"/>
      <c r="DU2874" s="4"/>
      <c r="DV2874" s="4"/>
      <c r="DW2874" s="4"/>
      <c r="DX2874" s="4"/>
      <c r="DY2874" s="4"/>
      <c r="DZ2874" s="4"/>
      <c r="EA2874" s="4"/>
      <c r="EB2874" s="4"/>
      <c r="EC2874" s="4"/>
      <c r="ED2874" s="4"/>
      <c r="EE2874" s="4"/>
      <c r="EF2874" s="4"/>
      <c r="EG2874" s="4"/>
      <c r="EH2874" s="4"/>
      <c r="EI2874" s="4"/>
      <c r="EJ2874" s="4"/>
      <c r="EK2874" s="4"/>
      <c r="EL2874" s="4"/>
      <c r="EM2874" s="4"/>
      <c r="EN2874" s="4"/>
      <c r="EO2874" s="4"/>
      <c r="EP2874" s="4"/>
      <c r="EQ2874" s="4">
        <v>100</v>
      </c>
      <c r="ER2874" s="4"/>
      <c r="ES2874" s="4"/>
      <c r="ET2874" s="4"/>
      <c r="EU2874" s="4"/>
      <c r="EV2874" s="4"/>
      <c r="EW2874" s="4"/>
      <c r="EX2874" s="4"/>
      <c r="EY2874" s="4"/>
      <c r="EZ2874" s="4"/>
      <c r="FA2874" s="4"/>
      <c r="FB2874" s="4"/>
      <c r="FC2874" s="4"/>
      <c r="FD2874" s="4"/>
      <c r="FE2874" s="4"/>
      <c r="FF2874" s="4"/>
      <c r="FG2874" s="4"/>
      <c r="FH2874" s="4"/>
      <c r="FI2874" s="4"/>
      <c r="FJ2874" s="4"/>
      <c r="FK2874" s="4"/>
      <c r="FL2874" s="4"/>
      <c r="FM2874" s="4"/>
      <c r="FN2874" s="4"/>
      <c r="FO2874" s="4"/>
      <c r="FP2874" s="4"/>
      <c r="FQ2874" s="4"/>
      <c r="FR2874" s="4"/>
      <c r="FS2874" s="4"/>
      <c r="FT2874" s="4"/>
      <c r="FU2874" s="4"/>
      <c r="FV2874" s="4"/>
      <c r="FW2874" s="4"/>
      <c r="FX2874" s="4"/>
      <c r="FY2874" s="4"/>
      <c r="FZ2874" s="4"/>
      <c r="GA2874" s="4"/>
      <c r="GB2874" s="4"/>
      <c r="GC2874" s="4"/>
      <c r="GD2874" s="4"/>
      <c r="GE2874" s="4"/>
      <c r="GF2874" s="4"/>
      <c r="GG2874" s="4"/>
      <c r="GH2874" s="4"/>
      <c r="GI2874" s="4"/>
      <c r="GJ2874" s="4"/>
      <c r="GK2874" s="4"/>
      <c r="GL2874" s="4"/>
      <c r="GM2874" s="4"/>
      <c r="GN2874" s="4"/>
      <c r="GO2874" s="4"/>
      <c r="GP2874" s="4"/>
      <c r="GQ2874" s="4"/>
      <c r="GR2874" s="4"/>
      <c r="GS2874" s="4"/>
      <c r="GT2874" s="4"/>
      <c r="GU2874" s="4"/>
      <c r="GV2874" s="4"/>
      <c r="GW2874" s="4"/>
      <c r="GX2874" s="4"/>
      <c r="GY2874" s="4"/>
      <c r="GZ2874" s="4"/>
      <c r="HA2874" s="4"/>
      <c r="HB2874" s="4"/>
      <c r="HC2874" s="4"/>
      <c r="HD2874" s="4"/>
      <c r="HE2874" s="4"/>
      <c r="HF2874" s="4"/>
      <c r="HG2874" s="4"/>
      <c r="HH2874" s="4"/>
      <c r="HI2874" s="4"/>
      <c r="HJ2874" s="4"/>
      <c r="HK2874" s="4"/>
      <c r="HL2874" s="4"/>
    </row>
    <row r="2875">
      <c r="A2875" s="2" t="s">
        <v>12138</v>
      </c>
      <c r="B2875" s="2" t="s">
        <v>801</v>
      </c>
      <c r="C2875" s="2" t="s">
        <v>815</v>
      </c>
      <c r="D2875" s="2" t="s">
        <v>1114</v>
      </c>
      <c r="E2875" s="2" t="s">
        <v>1115</v>
      </c>
      <c r="F2875" s="2" t="s">
        <v>12139</v>
      </c>
      <c r="G2875" s="2" t="s">
        <v>12139</v>
      </c>
      <c r="H2875" s="2" t="s">
        <v>12139</v>
      </c>
      <c r="I2875" s="2" t="s">
        <v>12140</v>
      </c>
      <c r="J2875" s="2" t="s">
        <v>807</v>
      </c>
      <c r="K2875" s="2" t="s">
        <v>12141</v>
      </c>
      <c r="L2875" s="3">
        <v>44.37</v>
      </c>
      <c r="M2875" s="3">
        <v>46.59</v>
      </c>
      <c r="N2875" s="3">
        <v>104.99</v>
      </c>
      <c r="O2875" s="2" t="s">
        <v>243</v>
      </c>
      <c r="P2875" s="2" t="s">
        <v>270</v>
      </c>
      <c r="Q2875" s="2" t="s">
        <v>237</v>
      </c>
      <c r="R2875" s="2" t="s">
        <v>231</v>
      </c>
      <c r="S2875" s="2" t="s">
        <v>231</v>
      </c>
      <c r="T2875" s="2" t="s">
        <v>231</v>
      </c>
      <c r="U2875" s="2" t="s">
        <v>327</v>
      </c>
      <c r="V2875" s="2" t="s">
        <v>662</v>
      </c>
      <c r="W2875" s="2" t="s">
        <v>691</v>
      </c>
      <c r="X2875" s="2" t="s">
        <v>808</v>
      </c>
      <c r="Y2875" s="2" t="s">
        <v>2502</v>
      </c>
      <c r="Z2875" s="4">
        <v>156</v>
      </c>
      <c r="AA2875" s="4">
        <f>=ROUNDDOWN(78,0)</f>
      </c>
      <c r="AB2875" s="5">
        <v>2</v>
      </c>
      <c r="AC2875" s="2" t="s">
        <v>231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231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/>
      <c r="BD2875" s="8"/>
      <c r="BE2875" s="4"/>
      <c r="BF2875" s="8"/>
      <c r="BG2875" s="7"/>
      <c r="BH2875" s="7"/>
      <c r="BI2875" s="7"/>
      <c r="BJ2875" s="4">
        <v>9</v>
      </c>
      <c r="BK2875" s="8">
        <v>500.97</v>
      </c>
      <c r="BL2875" s="2" t="s">
        <v>12142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12143</v>
      </c>
      <c r="BV2875" s="2" t="s">
        <v>231</v>
      </c>
      <c r="BW2875" s="2" t="s">
        <v>231</v>
      </c>
      <c r="BX2875" s="2" t="s">
        <v>231</v>
      </c>
      <c r="BY2875" s="2" t="s">
        <v>277</v>
      </c>
      <c r="BZ2875" s="2" t="s">
        <v>243</v>
      </c>
      <c r="CA2875" s="2" t="s">
        <v>6233</v>
      </c>
      <c r="CB2875" s="2" t="s">
        <v>5810</v>
      </c>
      <c r="CC2875" s="2" t="s">
        <v>244</v>
      </c>
      <c r="CD2875" s="2" t="s">
        <v>231</v>
      </c>
      <c r="CE2875" s="4"/>
      <c r="CF2875" s="4">
        <v>156</v>
      </c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4"/>
      <c r="CX2875" s="4"/>
      <c r="CY2875" s="4"/>
      <c r="CZ2875" s="4"/>
      <c r="DA2875" s="4"/>
      <c r="DB2875" s="4"/>
      <c r="DC2875" s="4"/>
      <c r="DD2875" s="4"/>
      <c r="DE2875" s="4"/>
      <c r="DF2875" s="4"/>
      <c r="DG2875" s="4"/>
      <c r="DH2875" s="4"/>
      <c r="DI2875" s="4"/>
      <c r="DJ2875" s="4"/>
      <c r="DK2875" s="4"/>
      <c r="DL2875" s="4"/>
      <c r="DM2875" s="4"/>
      <c r="DN2875" s="4"/>
      <c r="DO2875" s="4"/>
      <c r="DP2875" s="4"/>
      <c r="DQ2875" s="4"/>
      <c r="DR2875" s="4"/>
      <c r="DS2875" s="4"/>
      <c r="DT2875" s="4"/>
      <c r="DU2875" s="4"/>
      <c r="DV2875" s="4"/>
      <c r="DW2875" s="4"/>
      <c r="DX2875" s="4"/>
      <c r="DY2875" s="4"/>
      <c r="DZ2875" s="4"/>
      <c r="EA2875" s="4"/>
      <c r="EB2875" s="4"/>
      <c r="EC2875" s="4"/>
      <c r="ED2875" s="4"/>
      <c r="EE2875" s="4"/>
      <c r="EF2875" s="4"/>
      <c r="EG2875" s="4"/>
      <c r="EH2875" s="4"/>
      <c r="EI2875" s="4"/>
      <c r="EJ2875" s="4"/>
      <c r="EK2875" s="4"/>
      <c r="EL2875" s="4"/>
      <c r="EM2875" s="4"/>
      <c r="EN2875" s="4"/>
      <c r="EO2875" s="4"/>
      <c r="EP2875" s="4"/>
      <c r="EQ2875" s="4"/>
      <c r="ER2875" s="4"/>
      <c r="ES2875" s="4"/>
      <c r="ET2875" s="4"/>
      <c r="EU2875" s="4"/>
      <c r="EV2875" s="4"/>
      <c r="EW2875" s="4"/>
      <c r="EX2875" s="4"/>
      <c r="EY2875" s="4"/>
      <c r="EZ2875" s="4"/>
      <c r="FA2875" s="4"/>
      <c r="FB2875" s="4"/>
      <c r="FC2875" s="4"/>
      <c r="FD2875" s="4"/>
      <c r="FE2875" s="4"/>
      <c r="FF2875" s="4"/>
      <c r="FG2875" s="4"/>
      <c r="FH2875" s="4"/>
      <c r="FI2875" s="4"/>
      <c r="FJ2875" s="4"/>
      <c r="FK2875" s="4"/>
      <c r="FL2875" s="4"/>
      <c r="FM2875" s="4"/>
      <c r="FN2875" s="4"/>
      <c r="FO2875" s="4"/>
      <c r="FP2875" s="4"/>
      <c r="FQ2875" s="4"/>
      <c r="FR2875" s="4"/>
      <c r="FS2875" s="4"/>
      <c r="FT2875" s="4"/>
      <c r="FU2875" s="4"/>
      <c r="FV2875" s="4"/>
      <c r="FW2875" s="4"/>
      <c r="FX2875" s="4"/>
      <c r="FY2875" s="4"/>
      <c r="FZ2875" s="4"/>
      <c r="GA2875" s="4"/>
      <c r="GB2875" s="4"/>
      <c r="GC2875" s="4"/>
      <c r="GD2875" s="4"/>
      <c r="GE2875" s="4"/>
      <c r="GF2875" s="4"/>
      <c r="GG2875" s="4"/>
      <c r="GH2875" s="4"/>
      <c r="GI2875" s="4"/>
      <c r="GJ2875" s="4"/>
      <c r="GK2875" s="4"/>
      <c r="GL2875" s="4"/>
      <c r="GM2875" s="4"/>
      <c r="GN2875" s="4"/>
      <c r="GO2875" s="4"/>
      <c r="GP2875" s="4"/>
      <c r="GQ2875" s="4"/>
      <c r="GR2875" s="4"/>
      <c r="GS2875" s="4"/>
      <c r="GT2875" s="4"/>
      <c r="GU2875" s="4"/>
      <c r="GV2875" s="4"/>
      <c r="GW2875" s="4"/>
      <c r="GX2875" s="4"/>
      <c r="GY2875" s="4"/>
      <c r="GZ2875" s="4"/>
      <c r="HA2875" s="4"/>
      <c r="HB2875" s="4"/>
      <c r="HC2875" s="4"/>
      <c r="HD2875" s="4"/>
      <c r="HE2875" s="4"/>
      <c r="HF2875" s="4"/>
      <c r="HG2875" s="4"/>
      <c r="HH2875" s="4"/>
      <c r="HI2875" s="4"/>
      <c r="HJ2875" s="4"/>
      <c r="HK2875" s="4"/>
      <c r="HL2875" s="4"/>
    </row>
    <row r="2876">
      <c r="A2876" s="2" t="s">
        <v>12144</v>
      </c>
      <c r="B2876" s="2" t="s">
        <v>1232</v>
      </c>
      <c r="C2876" s="2" t="s">
        <v>1233</v>
      </c>
      <c r="D2876" s="2" t="s">
        <v>1234</v>
      </c>
      <c r="E2876" s="2" t="s">
        <v>1235</v>
      </c>
      <c r="F2876" s="2" t="s">
        <v>12145</v>
      </c>
      <c r="G2876" s="2" t="s">
        <v>12145</v>
      </c>
      <c r="H2876" s="2" t="s">
        <v>12145</v>
      </c>
      <c r="I2876" s="2" t="s">
        <v>12146</v>
      </c>
      <c r="J2876" s="2" t="s">
        <v>2699</v>
      </c>
      <c r="K2876" s="2" t="s">
        <v>4082</v>
      </c>
      <c r="L2876" s="3">
        <v>9.27</v>
      </c>
      <c r="M2876" s="3">
        <v>9.73</v>
      </c>
      <c r="N2876" s="3">
        <v>19.99</v>
      </c>
      <c r="O2876" s="2" t="s">
        <v>243</v>
      </c>
      <c r="P2876" s="2" t="s">
        <v>236</v>
      </c>
      <c r="Q2876" s="2" t="s">
        <v>237</v>
      </c>
      <c r="R2876" s="2" t="s">
        <v>231</v>
      </c>
      <c r="S2876" s="2" t="s">
        <v>231</v>
      </c>
      <c r="T2876" s="2" t="s">
        <v>231</v>
      </c>
      <c r="U2876" s="2" t="s">
        <v>327</v>
      </c>
      <c r="V2876" s="2" t="s">
        <v>662</v>
      </c>
      <c r="W2876" s="2" t="s">
        <v>273</v>
      </c>
      <c r="X2876" s="2" t="s">
        <v>231</v>
      </c>
      <c r="Y2876" s="2" t="s">
        <v>3045</v>
      </c>
      <c r="Z2876" s="4">
        <v>266</v>
      </c>
      <c r="AA2876" s="4">
        <f>=ROUNDDOWN(16.625,0)</f>
      </c>
      <c r="AB2876" s="5">
        <v>16</v>
      </c>
      <c r="AC2876" s="2" t="s">
        <v>1664</v>
      </c>
      <c r="AD2876" s="4">
        <v>180</v>
      </c>
      <c r="AE2876" s="4">
        <v>180</v>
      </c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231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231</v>
      </c>
      <c r="AW2876" s="8" t="s">
        <v>231</v>
      </c>
      <c r="AX2876" s="4" t="s">
        <v>231</v>
      </c>
      <c r="AY2876" s="8" t="s">
        <v>231</v>
      </c>
      <c r="AZ2876" s="7" t="s">
        <v>231</v>
      </c>
      <c r="BA2876" s="7" t="s">
        <v>231</v>
      </c>
      <c r="BB2876" s="7"/>
      <c r="BC2876" s="4" t="s">
        <v>231</v>
      </c>
      <c r="BD2876" s="8" t="s">
        <v>231</v>
      </c>
      <c r="BE2876" s="4" t="s">
        <v>231</v>
      </c>
      <c r="BF2876" s="8" t="s">
        <v>231</v>
      </c>
      <c r="BG2876" s="7" t="s">
        <v>231</v>
      </c>
      <c r="BH2876" s="7" t="s">
        <v>231</v>
      </c>
      <c r="BI2876" s="7"/>
      <c r="BJ2876" s="4">
        <v>66</v>
      </c>
      <c r="BK2876" s="8">
        <v>703.56</v>
      </c>
      <c r="BL2876" s="2" t="s">
        <v>3050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12147</v>
      </c>
      <c r="BV2876" s="2" t="s">
        <v>231</v>
      </c>
      <c r="BW2876" s="2" t="s">
        <v>231</v>
      </c>
      <c r="BX2876" s="2" t="s">
        <v>241</v>
      </c>
      <c r="BY2876" s="2" t="s">
        <v>277</v>
      </c>
      <c r="BZ2876" s="2" t="s">
        <v>243</v>
      </c>
      <c r="CA2876" s="2" t="s">
        <v>7152</v>
      </c>
      <c r="CB2876" s="2" t="s">
        <v>231</v>
      </c>
      <c r="CC2876" s="2" t="s">
        <v>244</v>
      </c>
      <c r="CD2876" s="2" t="s">
        <v>231</v>
      </c>
      <c r="CE2876" s="4"/>
      <c r="CF2876" s="4">
        <v>143</v>
      </c>
      <c r="CG2876" s="4"/>
      <c r="CH2876" s="4"/>
      <c r="CI2876" s="4">
        <v>123</v>
      </c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4"/>
      <c r="CX2876" s="4"/>
      <c r="CY2876" s="4"/>
      <c r="CZ2876" s="4"/>
      <c r="DA2876" s="4"/>
      <c r="DB2876" s="4"/>
      <c r="DC2876" s="4"/>
      <c r="DD2876" s="4"/>
      <c r="DE2876" s="4"/>
      <c r="DF2876" s="4"/>
      <c r="DG2876" s="4"/>
      <c r="DH2876" s="4"/>
      <c r="DI2876" s="4"/>
      <c r="DJ2876" s="4"/>
      <c r="DK2876" s="4"/>
      <c r="DL2876" s="4"/>
      <c r="DM2876" s="4"/>
      <c r="DN2876" s="4"/>
      <c r="DO2876" s="4"/>
      <c r="DP2876" s="4"/>
      <c r="DQ2876" s="4"/>
      <c r="DR2876" s="4"/>
      <c r="DS2876" s="4"/>
      <c r="DT2876" s="4"/>
      <c r="DU2876" s="4"/>
      <c r="DV2876" s="4"/>
      <c r="DW2876" s="4"/>
      <c r="DX2876" s="4"/>
      <c r="DY2876" s="4"/>
      <c r="DZ2876" s="4"/>
      <c r="EA2876" s="4"/>
      <c r="EB2876" s="4"/>
      <c r="EC2876" s="4"/>
      <c r="ED2876" s="4"/>
      <c r="EE2876" s="4"/>
      <c r="EF2876" s="4"/>
      <c r="EG2876" s="4"/>
      <c r="EH2876" s="4"/>
      <c r="EI2876" s="4"/>
      <c r="EJ2876" s="4"/>
      <c r="EK2876" s="4"/>
      <c r="EL2876" s="4"/>
      <c r="EM2876" s="4"/>
      <c r="EN2876" s="4"/>
      <c r="EO2876" s="4"/>
      <c r="EP2876" s="4"/>
      <c r="EQ2876" s="4"/>
      <c r="ER2876" s="4"/>
      <c r="ES2876" s="4"/>
      <c r="ET2876" s="4"/>
      <c r="EU2876" s="4"/>
      <c r="EV2876" s="4"/>
      <c r="EW2876" s="4"/>
      <c r="EX2876" s="4"/>
      <c r="EY2876" s="4"/>
      <c r="EZ2876" s="4"/>
      <c r="FA2876" s="4"/>
      <c r="FB2876" s="4"/>
      <c r="FC2876" s="4"/>
      <c r="FD2876" s="4"/>
      <c r="FE2876" s="4"/>
      <c r="FF2876" s="4"/>
      <c r="FG2876" s="4"/>
      <c r="FH2876" s="4"/>
      <c r="FI2876" s="4"/>
      <c r="FJ2876" s="4"/>
      <c r="FK2876" s="4"/>
      <c r="FL2876" s="4"/>
      <c r="FM2876" s="4"/>
      <c r="FN2876" s="4"/>
      <c r="FO2876" s="4"/>
      <c r="FP2876" s="4"/>
      <c r="FQ2876" s="4"/>
      <c r="FR2876" s="4"/>
      <c r="FS2876" s="4"/>
      <c r="FT2876" s="4"/>
      <c r="FU2876" s="4"/>
      <c r="FV2876" s="4">
        <v>180</v>
      </c>
      <c r="FW2876" s="4"/>
      <c r="FX2876" s="4"/>
      <c r="FY2876" s="4"/>
      <c r="FZ2876" s="4"/>
      <c r="GA2876" s="4"/>
      <c r="GB2876" s="4"/>
      <c r="GC2876" s="4"/>
      <c r="GD2876" s="4"/>
      <c r="GE2876" s="4"/>
      <c r="GF2876" s="4"/>
      <c r="GG2876" s="4"/>
      <c r="GH2876" s="4"/>
      <c r="GI2876" s="4"/>
      <c r="GJ2876" s="4"/>
      <c r="GK2876" s="4"/>
      <c r="GL2876" s="4"/>
      <c r="GM2876" s="4"/>
      <c r="GN2876" s="4"/>
      <c r="GO2876" s="4"/>
      <c r="GP2876" s="4"/>
      <c r="GQ2876" s="4"/>
      <c r="GR2876" s="4"/>
      <c r="GS2876" s="4"/>
      <c r="GT2876" s="4"/>
      <c r="GU2876" s="4"/>
      <c r="GV2876" s="4"/>
      <c r="GW2876" s="4"/>
      <c r="GX2876" s="4"/>
      <c r="GY2876" s="4"/>
      <c r="GZ2876" s="4"/>
      <c r="HA2876" s="4"/>
      <c r="HB2876" s="4"/>
      <c r="HC2876" s="4"/>
      <c r="HD2876" s="4"/>
      <c r="HE2876" s="4"/>
      <c r="HF2876" s="4"/>
      <c r="HG2876" s="4"/>
      <c r="HH2876" s="4"/>
      <c r="HI2876" s="4"/>
      <c r="HJ2876" s="4"/>
      <c r="HK2876" s="4"/>
      <c r="HL2876" s="4"/>
    </row>
    <row r="2877">
      <c r="A2877" s="2" t="s">
        <v>12148</v>
      </c>
      <c r="B2877" s="2" t="s">
        <v>1232</v>
      </c>
      <c r="C2877" s="2" t="s">
        <v>1233</v>
      </c>
      <c r="D2877" s="2" t="s">
        <v>1234</v>
      </c>
      <c r="E2877" s="2" t="s">
        <v>1235</v>
      </c>
      <c r="F2877" s="2" t="s">
        <v>12145</v>
      </c>
      <c r="G2877" s="2" t="s">
        <v>12145</v>
      </c>
      <c r="H2877" s="2" t="s">
        <v>12145</v>
      </c>
      <c r="I2877" s="2" t="s">
        <v>12146</v>
      </c>
      <c r="J2877" s="2" t="s">
        <v>1238</v>
      </c>
      <c r="K2877" s="2" t="s">
        <v>4082</v>
      </c>
      <c r="L2877" s="3">
        <v>11.12</v>
      </c>
      <c r="M2877" s="3">
        <v>11.68</v>
      </c>
      <c r="N2877" s="3">
        <v>25.99</v>
      </c>
      <c r="O2877" s="2" t="s">
        <v>243</v>
      </c>
      <c r="P2877" s="2" t="s">
        <v>236</v>
      </c>
      <c r="Q2877" s="2" t="s">
        <v>237</v>
      </c>
      <c r="R2877" s="2" t="s">
        <v>231</v>
      </c>
      <c r="S2877" s="2" t="s">
        <v>231</v>
      </c>
      <c r="T2877" s="2" t="s">
        <v>231</v>
      </c>
      <c r="U2877" s="2" t="s">
        <v>327</v>
      </c>
      <c r="V2877" s="2" t="s">
        <v>662</v>
      </c>
      <c r="W2877" s="2" t="s">
        <v>273</v>
      </c>
      <c r="X2877" s="2" t="s">
        <v>231</v>
      </c>
      <c r="Y2877" s="2" t="s">
        <v>3045</v>
      </c>
      <c r="Z2877" s="4">
        <v>78</v>
      </c>
      <c r="AA2877" s="4">
        <f>=ROUNDDOWN(2.68965517241379,0)</f>
      </c>
      <c r="AB2877" s="5">
        <v>29</v>
      </c>
      <c r="AC2877" s="2" t="s">
        <v>1664</v>
      </c>
      <c r="AD2877" s="4">
        <v>600</v>
      </c>
      <c r="AE2877" s="4">
        <v>600</v>
      </c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231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231</v>
      </c>
      <c r="AW2877" s="8" t="s">
        <v>231</v>
      </c>
      <c r="AX2877" s="4" t="s">
        <v>231</v>
      </c>
      <c r="AY2877" s="8" t="s">
        <v>231</v>
      </c>
      <c r="AZ2877" s="7" t="s">
        <v>231</v>
      </c>
      <c r="BA2877" s="7" t="s">
        <v>231</v>
      </c>
      <c r="BB2877" s="7"/>
      <c r="BC2877" s="4" t="s">
        <v>231</v>
      </c>
      <c r="BD2877" s="8" t="s">
        <v>231</v>
      </c>
      <c r="BE2877" s="4" t="s">
        <v>231</v>
      </c>
      <c r="BF2877" s="8" t="s">
        <v>231</v>
      </c>
      <c r="BG2877" s="7" t="s">
        <v>231</v>
      </c>
      <c r="BH2877" s="7" t="s">
        <v>231</v>
      </c>
      <c r="BI2877" s="7"/>
      <c r="BJ2877" s="4">
        <v>108</v>
      </c>
      <c r="BK2877" s="8">
        <v>1380.24</v>
      </c>
      <c r="BL2877" s="2" t="s">
        <v>3050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12149</v>
      </c>
      <c r="BV2877" s="2" t="s">
        <v>231</v>
      </c>
      <c r="BW2877" s="2" t="s">
        <v>231</v>
      </c>
      <c r="BX2877" s="2" t="s">
        <v>241</v>
      </c>
      <c r="BY2877" s="2" t="s">
        <v>277</v>
      </c>
      <c r="BZ2877" s="2" t="s">
        <v>243</v>
      </c>
      <c r="CA2877" s="2" t="s">
        <v>7152</v>
      </c>
      <c r="CB2877" s="2" t="s">
        <v>231</v>
      </c>
      <c r="CC2877" s="2" t="s">
        <v>244</v>
      </c>
      <c r="CD2877" s="2" t="s">
        <v>231</v>
      </c>
      <c r="CE2877" s="4"/>
      <c r="CF2877" s="4">
        <v>71</v>
      </c>
      <c r="CG2877" s="4"/>
      <c r="CH2877" s="4"/>
      <c r="CI2877" s="4">
        <v>7</v>
      </c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4"/>
      <c r="CX2877" s="4"/>
      <c r="CY2877" s="4"/>
      <c r="CZ2877" s="4"/>
      <c r="DA2877" s="4"/>
      <c r="DB2877" s="4"/>
      <c r="DC2877" s="4"/>
      <c r="DD2877" s="4"/>
      <c r="DE2877" s="4"/>
      <c r="DF2877" s="4"/>
      <c r="DG2877" s="4"/>
      <c r="DH2877" s="4"/>
      <c r="DI2877" s="4"/>
      <c r="DJ2877" s="4"/>
      <c r="DK2877" s="4"/>
      <c r="DL2877" s="4"/>
      <c r="DM2877" s="4"/>
      <c r="DN2877" s="4"/>
      <c r="DO2877" s="4"/>
      <c r="DP2877" s="4"/>
      <c r="DQ2877" s="4"/>
      <c r="DR2877" s="4"/>
      <c r="DS2877" s="4"/>
      <c r="DT2877" s="4"/>
      <c r="DU2877" s="4"/>
      <c r="DV2877" s="4"/>
      <c r="DW2877" s="4"/>
      <c r="DX2877" s="4"/>
      <c r="DY2877" s="4"/>
      <c r="DZ2877" s="4"/>
      <c r="EA2877" s="4"/>
      <c r="EB2877" s="4"/>
      <c r="EC2877" s="4"/>
      <c r="ED2877" s="4"/>
      <c r="EE2877" s="4"/>
      <c r="EF2877" s="4"/>
      <c r="EG2877" s="4"/>
      <c r="EH2877" s="4"/>
      <c r="EI2877" s="4"/>
      <c r="EJ2877" s="4"/>
      <c r="EK2877" s="4"/>
      <c r="EL2877" s="4"/>
      <c r="EM2877" s="4"/>
      <c r="EN2877" s="4"/>
      <c r="EO2877" s="4"/>
      <c r="EP2877" s="4"/>
      <c r="EQ2877" s="4"/>
      <c r="ER2877" s="4"/>
      <c r="ES2877" s="4"/>
      <c r="ET2877" s="4"/>
      <c r="EU2877" s="4"/>
      <c r="EV2877" s="4"/>
      <c r="EW2877" s="4"/>
      <c r="EX2877" s="4"/>
      <c r="EY2877" s="4"/>
      <c r="EZ2877" s="4"/>
      <c r="FA2877" s="4"/>
      <c r="FB2877" s="4"/>
      <c r="FC2877" s="4"/>
      <c r="FD2877" s="4"/>
      <c r="FE2877" s="4"/>
      <c r="FF2877" s="4"/>
      <c r="FG2877" s="4"/>
      <c r="FH2877" s="4"/>
      <c r="FI2877" s="4"/>
      <c r="FJ2877" s="4"/>
      <c r="FK2877" s="4"/>
      <c r="FL2877" s="4"/>
      <c r="FM2877" s="4"/>
      <c r="FN2877" s="4"/>
      <c r="FO2877" s="4"/>
      <c r="FP2877" s="4"/>
      <c r="FQ2877" s="4"/>
      <c r="FR2877" s="4"/>
      <c r="FS2877" s="4"/>
      <c r="FT2877" s="4"/>
      <c r="FU2877" s="4"/>
      <c r="FV2877" s="4">
        <v>600</v>
      </c>
      <c r="FW2877" s="4"/>
      <c r="FX2877" s="4"/>
      <c r="FY2877" s="4"/>
      <c r="FZ2877" s="4"/>
      <c r="GA2877" s="4"/>
      <c r="GB2877" s="4"/>
      <c r="GC2877" s="4"/>
      <c r="GD2877" s="4"/>
      <c r="GE2877" s="4"/>
      <c r="GF2877" s="4"/>
      <c r="GG2877" s="4"/>
      <c r="GH2877" s="4"/>
      <c r="GI2877" s="4"/>
      <c r="GJ2877" s="4"/>
      <c r="GK2877" s="4"/>
      <c r="GL2877" s="4"/>
      <c r="GM2877" s="4"/>
      <c r="GN2877" s="4"/>
      <c r="GO2877" s="4"/>
      <c r="GP2877" s="4"/>
      <c r="GQ2877" s="4"/>
      <c r="GR2877" s="4"/>
      <c r="GS2877" s="4"/>
      <c r="GT2877" s="4"/>
      <c r="GU2877" s="4"/>
      <c r="GV2877" s="4"/>
      <c r="GW2877" s="4"/>
      <c r="GX2877" s="4"/>
      <c r="GY2877" s="4"/>
      <c r="GZ2877" s="4"/>
      <c r="HA2877" s="4"/>
      <c r="HB2877" s="4"/>
      <c r="HC2877" s="4"/>
      <c r="HD2877" s="4"/>
      <c r="HE2877" s="4"/>
      <c r="HF2877" s="4"/>
      <c r="HG2877" s="4"/>
      <c r="HH2877" s="4"/>
      <c r="HI2877" s="4"/>
      <c r="HJ2877" s="4"/>
      <c r="HK2877" s="4"/>
      <c r="HL2877" s="4"/>
    </row>
    <row r="2878">
      <c r="A2878" s="2" t="s">
        <v>12150</v>
      </c>
      <c r="B2878" s="2" t="s">
        <v>1232</v>
      </c>
      <c r="C2878" s="2" t="s">
        <v>1233</v>
      </c>
      <c r="D2878" s="2" t="s">
        <v>1234</v>
      </c>
      <c r="E2878" s="2" t="s">
        <v>1235</v>
      </c>
      <c r="F2878" s="2" t="s">
        <v>12145</v>
      </c>
      <c r="G2878" s="2" t="s">
        <v>12145</v>
      </c>
      <c r="H2878" s="2" t="s">
        <v>12145</v>
      </c>
      <c r="I2878" s="2" t="s">
        <v>12146</v>
      </c>
      <c r="J2878" s="2" t="s">
        <v>1245</v>
      </c>
      <c r="K2878" s="2" t="s">
        <v>4082</v>
      </c>
      <c r="L2878" s="3">
        <v>14.04</v>
      </c>
      <c r="M2878" s="3">
        <v>14.74</v>
      </c>
      <c r="N2878" s="3">
        <v>29.99</v>
      </c>
      <c r="O2878" s="2" t="s">
        <v>243</v>
      </c>
      <c r="P2878" s="2" t="s">
        <v>236</v>
      </c>
      <c r="Q2878" s="2" t="s">
        <v>237</v>
      </c>
      <c r="R2878" s="2" t="s">
        <v>231</v>
      </c>
      <c r="S2878" s="2" t="s">
        <v>231</v>
      </c>
      <c r="T2878" s="2" t="s">
        <v>231</v>
      </c>
      <c r="U2878" s="2" t="s">
        <v>327</v>
      </c>
      <c r="V2878" s="2" t="s">
        <v>662</v>
      </c>
      <c r="W2878" s="2" t="s">
        <v>273</v>
      </c>
      <c r="X2878" s="2" t="s">
        <v>231</v>
      </c>
      <c r="Y2878" s="2" t="s">
        <v>3045</v>
      </c>
      <c r="Z2878" s="4">
        <v>399</v>
      </c>
      <c r="AA2878" s="4">
        <f>=ROUNDDOWN(23.4705882352941,0)</f>
      </c>
      <c r="AB2878" s="5">
        <v>17</v>
      </c>
      <c r="AC2878" s="2" t="s">
        <v>1664</v>
      </c>
      <c r="AD2878" s="4">
        <v>360</v>
      </c>
      <c r="AE2878" s="4">
        <v>360</v>
      </c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231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231</v>
      </c>
      <c r="AW2878" s="8" t="s">
        <v>231</v>
      </c>
      <c r="AX2878" s="4" t="s">
        <v>231</v>
      </c>
      <c r="AY2878" s="8" t="s">
        <v>231</v>
      </c>
      <c r="AZ2878" s="7" t="s">
        <v>231</v>
      </c>
      <c r="BA2878" s="7" t="s">
        <v>231</v>
      </c>
      <c r="BB2878" s="7"/>
      <c r="BC2878" s="4" t="s">
        <v>231</v>
      </c>
      <c r="BD2878" s="8" t="s">
        <v>231</v>
      </c>
      <c r="BE2878" s="4" t="s">
        <v>231</v>
      </c>
      <c r="BF2878" s="8" t="s">
        <v>231</v>
      </c>
      <c r="BG2878" s="7" t="s">
        <v>231</v>
      </c>
      <c r="BH2878" s="7" t="s">
        <v>231</v>
      </c>
      <c r="BI2878" s="7"/>
      <c r="BJ2878" s="4">
        <v>1</v>
      </c>
      <c r="BK2878" s="8">
        <v>14.74</v>
      </c>
      <c r="BL2878" s="2" t="s">
        <v>3191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12151</v>
      </c>
      <c r="BV2878" s="2" t="s">
        <v>231</v>
      </c>
      <c r="BW2878" s="2" t="s">
        <v>231</v>
      </c>
      <c r="BX2878" s="2" t="s">
        <v>241</v>
      </c>
      <c r="BY2878" s="2" t="s">
        <v>277</v>
      </c>
      <c r="BZ2878" s="2" t="s">
        <v>243</v>
      </c>
      <c r="CA2878" s="2" t="s">
        <v>7152</v>
      </c>
      <c r="CB2878" s="2" t="s">
        <v>231</v>
      </c>
      <c r="CC2878" s="2" t="s">
        <v>244</v>
      </c>
      <c r="CD2878" s="2" t="s">
        <v>231</v>
      </c>
      <c r="CE2878" s="4"/>
      <c r="CF2878" s="4">
        <v>224</v>
      </c>
      <c r="CG2878" s="4"/>
      <c r="CH2878" s="4"/>
      <c r="CI2878" s="4">
        <v>175</v>
      </c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4"/>
      <c r="CX2878" s="4"/>
      <c r="CY2878" s="4"/>
      <c r="CZ2878" s="4"/>
      <c r="DA2878" s="4"/>
      <c r="DB2878" s="4"/>
      <c r="DC2878" s="4"/>
      <c r="DD2878" s="4"/>
      <c r="DE2878" s="4"/>
      <c r="DF2878" s="4"/>
      <c r="DG2878" s="4"/>
      <c r="DH2878" s="4"/>
      <c r="DI2878" s="4"/>
      <c r="DJ2878" s="4"/>
      <c r="DK2878" s="4"/>
      <c r="DL2878" s="4"/>
      <c r="DM2878" s="4"/>
      <c r="DN2878" s="4"/>
      <c r="DO2878" s="4"/>
      <c r="DP2878" s="4"/>
      <c r="DQ2878" s="4"/>
      <c r="DR2878" s="4"/>
      <c r="DS2878" s="4"/>
      <c r="DT2878" s="4"/>
      <c r="DU2878" s="4"/>
      <c r="DV2878" s="4"/>
      <c r="DW2878" s="4"/>
      <c r="DX2878" s="4"/>
      <c r="DY2878" s="4"/>
      <c r="DZ2878" s="4"/>
      <c r="EA2878" s="4"/>
      <c r="EB2878" s="4"/>
      <c r="EC2878" s="4"/>
      <c r="ED2878" s="4"/>
      <c r="EE2878" s="4"/>
      <c r="EF2878" s="4"/>
      <c r="EG2878" s="4"/>
      <c r="EH2878" s="4"/>
      <c r="EI2878" s="4"/>
      <c r="EJ2878" s="4"/>
      <c r="EK2878" s="4"/>
      <c r="EL2878" s="4"/>
      <c r="EM2878" s="4"/>
      <c r="EN2878" s="4"/>
      <c r="EO2878" s="4"/>
      <c r="EP2878" s="4"/>
      <c r="EQ2878" s="4"/>
      <c r="ER2878" s="4"/>
      <c r="ES2878" s="4"/>
      <c r="ET2878" s="4"/>
      <c r="EU2878" s="4"/>
      <c r="EV2878" s="4"/>
      <c r="EW2878" s="4"/>
      <c r="EX2878" s="4"/>
      <c r="EY2878" s="4"/>
      <c r="EZ2878" s="4"/>
      <c r="FA2878" s="4"/>
      <c r="FB2878" s="4"/>
      <c r="FC2878" s="4"/>
      <c r="FD2878" s="4"/>
      <c r="FE2878" s="4"/>
      <c r="FF2878" s="4"/>
      <c r="FG2878" s="4"/>
      <c r="FH2878" s="4"/>
      <c r="FI2878" s="4"/>
      <c r="FJ2878" s="4"/>
      <c r="FK2878" s="4"/>
      <c r="FL2878" s="4"/>
      <c r="FM2878" s="4"/>
      <c r="FN2878" s="4"/>
      <c r="FO2878" s="4"/>
      <c r="FP2878" s="4"/>
      <c r="FQ2878" s="4"/>
      <c r="FR2878" s="4"/>
      <c r="FS2878" s="4"/>
      <c r="FT2878" s="4"/>
      <c r="FU2878" s="4"/>
      <c r="FV2878" s="4">
        <v>360</v>
      </c>
      <c r="FW2878" s="4"/>
      <c r="FX2878" s="4"/>
      <c r="FY2878" s="4"/>
      <c r="FZ2878" s="4"/>
      <c r="GA2878" s="4"/>
      <c r="GB2878" s="4"/>
      <c r="GC2878" s="4"/>
      <c r="GD2878" s="4"/>
      <c r="GE2878" s="4"/>
      <c r="GF2878" s="4"/>
      <c r="GG2878" s="4"/>
      <c r="GH2878" s="4"/>
      <c r="GI2878" s="4"/>
      <c r="GJ2878" s="4"/>
      <c r="GK2878" s="4"/>
      <c r="GL2878" s="4"/>
      <c r="GM2878" s="4"/>
      <c r="GN2878" s="4"/>
      <c r="GO2878" s="4"/>
      <c r="GP2878" s="4"/>
      <c r="GQ2878" s="4"/>
      <c r="GR2878" s="4"/>
      <c r="GS2878" s="4"/>
      <c r="GT2878" s="4"/>
      <c r="GU2878" s="4"/>
      <c r="GV2878" s="4"/>
      <c r="GW2878" s="4"/>
      <c r="GX2878" s="4"/>
      <c r="GY2878" s="4"/>
      <c r="GZ2878" s="4"/>
      <c r="HA2878" s="4"/>
      <c r="HB2878" s="4"/>
      <c r="HC2878" s="4"/>
      <c r="HD2878" s="4"/>
      <c r="HE2878" s="4"/>
      <c r="HF2878" s="4"/>
      <c r="HG2878" s="4"/>
      <c r="HH2878" s="4"/>
      <c r="HI2878" s="4"/>
      <c r="HJ2878" s="4"/>
      <c r="HK2878" s="4"/>
      <c r="HL2878" s="4"/>
    </row>
    <row r="2879">
      <c r="A2879" s="2" t="s">
        <v>12152</v>
      </c>
      <c r="B2879" s="2" t="s">
        <v>1232</v>
      </c>
      <c r="C2879" s="2" t="s">
        <v>1233</v>
      </c>
      <c r="D2879" s="2" t="s">
        <v>1234</v>
      </c>
      <c r="E2879" s="2" t="s">
        <v>1235</v>
      </c>
      <c r="F2879" s="2" t="s">
        <v>12145</v>
      </c>
      <c r="G2879" s="2" t="s">
        <v>12145</v>
      </c>
      <c r="H2879" s="2" t="s">
        <v>12145</v>
      </c>
      <c r="I2879" s="2" t="s">
        <v>12146</v>
      </c>
      <c r="J2879" s="2" t="s">
        <v>1249</v>
      </c>
      <c r="K2879" s="2" t="s">
        <v>4082</v>
      </c>
      <c r="L2879" s="3">
        <v>16.45</v>
      </c>
      <c r="M2879" s="3">
        <v>17.27</v>
      </c>
      <c r="N2879" s="3">
        <v>34.99</v>
      </c>
      <c r="O2879" s="2" t="s">
        <v>243</v>
      </c>
      <c r="P2879" s="2" t="s">
        <v>236</v>
      </c>
      <c r="Q2879" s="2" t="s">
        <v>237</v>
      </c>
      <c r="R2879" s="2" t="s">
        <v>231</v>
      </c>
      <c r="S2879" s="2" t="s">
        <v>231</v>
      </c>
      <c r="T2879" s="2" t="s">
        <v>231</v>
      </c>
      <c r="U2879" s="2" t="s">
        <v>327</v>
      </c>
      <c r="V2879" s="2" t="s">
        <v>662</v>
      </c>
      <c r="W2879" s="2" t="s">
        <v>273</v>
      </c>
      <c r="X2879" s="2" t="s">
        <v>231</v>
      </c>
      <c r="Y2879" s="2" t="s">
        <v>3045</v>
      </c>
      <c r="Z2879" s="4">
        <v>348</v>
      </c>
      <c r="AA2879" s="4">
        <f>=ROUNDDOWN(29,0)</f>
      </c>
      <c r="AB2879" s="5">
        <v>12</v>
      </c>
      <c r="AC2879" s="2" t="s">
        <v>1664</v>
      </c>
      <c r="AD2879" s="4">
        <v>60</v>
      </c>
      <c r="AE2879" s="4">
        <v>60</v>
      </c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231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231</v>
      </c>
      <c r="AW2879" s="8" t="s">
        <v>231</v>
      </c>
      <c r="AX2879" s="4" t="s">
        <v>231</v>
      </c>
      <c r="AY2879" s="8" t="s">
        <v>231</v>
      </c>
      <c r="AZ2879" s="7" t="s">
        <v>231</v>
      </c>
      <c r="BA2879" s="7" t="s">
        <v>231</v>
      </c>
      <c r="BB2879" s="7"/>
      <c r="BC2879" s="4" t="s">
        <v>231</v>
      </c>
      <c r="BD2879" s="8" t="s">
        <v>231</v>
      </c>
      <c r="BE2879" s="4" t="s">
        <v>231</v>
      </c>
      <c r="BF2879" s="8" t="s">
        <v>231</v>
      </c>
      <c r="BG2879" s="7" t="s">
        <v>231</v>
      </c>
      <c r="BH2879" s="7" t="s">
        <v>231</v>
      </c>
      <c r="BI2879" s="7"/>
      <c r="BJ2879" s="4">
        <v>85</v>
      </c>
      <c r="BK2879" s="8">
        <v>1607.35</v>
      </c>
      <c r="BL2879" s="2" t="s">
        <v>2594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12153</v>
      </c>
      <c r="BV2879" s="2" t="s">
        <v>231</v>
      </c>
      <c r="BW2879" s="2" t="s">
        <v>231</v>
      </c>
      <c r="BX2879" s="2" t="s">
        <v>241</v>
      </c>
      <c r="BY2879" s="2" t="s">
        <v>277</v>
      </c>
      <c r="BZ2879" s="2" t="s">
        <v>243</v>
      </c>
      <c r="CA2879" s="2" t="s">
        <v>7152</v>
      </c>
      <c r="CB2879" s="2" t="s">
        <v>231</v>
      </c>
      <c r="CC2879" s="2" t="s">
        <v>244</v>
      </c>
      <c r="CD2879" s="2" t="s">
        <v>231</v>
      </c>
      <c r="CE2879" s="4"/>
      <c r="CF2879" s="4">
        <v>219</v>
      </c>
      <c r="CG2879" s="4"/>
      <c r="CH2879" s="4"/>
      <c r="CI2879" s="4">
        <v>129</v>
      </c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4"/>
      <c r="CX2879" s="4"/>
      <c r="CY2879" s="4"/>
      <c r="CZ2879" s="4"/>
      <c r="DA2879" s="4"/>
      <c r="DB2879" s="4"/>
      <c r="DC2879" s="4"/>
      <c r="DD2879" s="4"/>
      <c r="DE2879" s="4"/>
      <c r="DF2879" s="4"/>
      <c r="DG2879" s="4"/>
      <c r="DH2879" s="4"/>
      <c r="DI2879" s="4"/>
      <c r="DJ2879" s="4"/>
      <c r="DK2879" s="4"/>
      <c r="DL2879" s="4"/>
      <c r="DM2879" s="4"/>
      <c r="DN2879" s="4"/>
      <c r="DO2879" s="4"/>
      <c r="DP2879" s="4"/>
      <c r="DQ2879" s="4"/>
      <c r="DR2879" s="4"/>
      <c r="DS2879" s="4"/>
      <c r="DT2879" s="4"/>
      <c r="DU2879" s="4"/>
      <c r="DV2879" s="4"/>
      <c r="DW2879" s="4"/>
      <c r="DX2879" s="4"/>
      <c r="DY2879" s="4"/>
      <c r="DZ2879" s="4"/>
      <c r="EA2879" s="4"/>
      <c r="EB2879" s="4"/>
      <c r="EC2879" s="4"/>
      <c r="ED2879" s="4"/>
      <c r="EE2879" s="4"/>
      <c r="EF2879" s="4"/>
      <c r="EG2879" s="4"/>
      <c r="EH2879" s="4"/>
      <c r="EI2879" s="4"/>
      <c r="EJ2879" s="4"/>
      <c r="EK2879" s="4"/>
      <c r="EL2879" s="4"/>
      <c r="EM2879" s="4"/>
      <c r="EN2879" s="4"/>
      <c r="EO2879" s="4"/>
      <c r="EP2879" s="4"/>
      <c r="EQ2879" s="4"/>
      <c r="ER2879" s="4"/>
      <c r="ES2879" s="4"/>
      <c r="ET2879" s="4"/>
      <c r="EU2879" s="4"/>
      <c r="EV2879" s="4"/>
      <c r="EW2879" s="4"/>
      <c r="EX2879" s="4"/>
      <c r="EY2879" s="4"/>
      <c r="EZ2879" s="4"/>
      <c r="FA2879" s="4"/>
      <c r="FB2879" s="4"/>
      <c r="FC2879" s="4"/>
      <c r="FD2879" s="4"/>
      <c r="FE2879" s="4"/>
      <c r="FF2879" s="4"/>
      <c r="FG2879" s="4"/>
      <c r="FH2879" s="4"/>
      <c r="FI2879" s="4"/>
      <c r="FJ2879" s="4"/>
      <c r="FK2879" s="4"/>
      <c r="FL2879" s="4"/>
      <c r="FM2879" s="4"/>
      <c r="FN2879" s="4"/>
      <c r="FO2879" s="4"/>
      <c r="FP2879" s="4"/>
      <c r="FQ2879" s="4"/>
      <c r="FR2879" s="4"/>
      <c r="FS2879" s="4"/>
      <c r="FT2879" s="4"/>
      <c r="FU2879" s="4"/>
      <c r="FV2879" s="4">
        <v>60</v>
      </c>
      <c r="FW2879" s="4"/>
      <c r="FX2879" s="4"/>
      <c r="FY2879" s="4"/>
      <c r="FZ2879" s="4"/>
      <c r="GA2879" s="4"/>
      <c r="GB2879" s="4"/>
      <c r="GC2879" s="4"/>
      <c r="GD2879" s="4"/>
      <c r="GE2879" s="4"/>
      <c r="GF2879" s="4"/>
      <c r="GG2879" s="4"/>
      <c r="GH2879" s="4"/>
      <c r="GI2879" s="4"/>
      <c r="GJ2879" s="4"/>
      <c r="GK2879" s="4"/>
      <c r="GL2879" s="4"/>
      <c r="GM2879" s="4"/>
      <c r="GN2879" s="4"/>
      <c r="GO2879" s="4"/>
      <c r="GP2879" s="4"/>
      <c r="GQ2879" s="4"/>
      <c r="GR2879" s="4"/>
      <c r="GS2879" s="4"/>
      <c r="GT2879" s="4"/>
      <c r="GU2879" s="4"/>
      <c r="GV2879" s="4"/>
      <c r="GW2879" s="4"/>
      <c r="GX2879" s="4"/>
      <c r="GY2879" s="4"/>
      <c r="GZ2879" s="4"/>
      <c r="HA2879" s="4"/>
      <c r="HB2879" s="4"/>
      <c r="HC2879" s="4"/>
      <c r="HD2879" s="4"/>
      <c r="HE2879" s="4"/>
      <c r="HF2879" s="4"/>
      <c r="HG2879" s="4"/>
      <c r="HH2879" s="4"/>
      <c r="HI2879" s="4"/>
      <c r="HJ2879" s="4"/>
      <c r="HK2879" s="4"/>
      <c r="HL2879" s="4"/>
    </row>
    <row r="2880">
      <c r="A2880" s="2" t="s">
        <v>12154</v>
      </c>
      <c r="B2880" s="2" t="s">
        <v>226</v>
      </c>
      <c r="C2880" s="2" t="s">
        <v>1299</v>
      </c>
      <c r="D2880" s="2" t="s">
        <v>654</v>
      </c>
      <c r="E2880" s="2" t="s">
        <v>890</v>
      </c>
      <c r="F2880" s="2" t="s">
        <v>12155</v>
      </c>
      <c r="G2880" s="2" t="s">
        <v>12155</v>
      </c>
      <c r="H2880" s="2" t="s">
        <v>12155</v>
      </c>
      <c r="I2880" s="2" t="s">
        <v>12156</v>
      </c>
      <c r="J2880" s="2" t="s">
        <v>658</v>
      </c>
      <c r="K2880" s="2" t="s">
        <v>1356</v>
      </c>
      <c r="L2880" s="3">
        <v>47.61</v>
      </c>
      <c r="M2880" s="3">
        <v>50</v>
      </c>
      <c r="N2880" s="3">
        <v>99.99</v>
      </c>
      <c r="O2880" s="2" t="s">
        <v>243</v>
      </c>
      <c r="P2880" s="2" t="s">
        <v>270</v>
      </c>
      <c r="Q2880" s="2" t="s">
        <v>237</v>
      </c>
      <c r="R2880" s="2" t="s">
        <v>231</v>
      </c>
      <c r="S2880" s="2" t="s">
        <v>12157</v>
      </c>
      <c r="T2880" s="2" t="s">
        <v>970</v>
      </c>
      <c r="U2880" s="2" t="s">
        <v>835</v>
      </c>
      <c r="V2880" s="2" t="s">
        <v>1685</v>
      </c>
      <c r="W2880" s="2" t="s">
        <v>897</v>
      </c>
      <c r="X2880" s="2" t="s">
        <v>971</v>
      </c>
      <c r="Y2880" s="2" t="s">
        <v>12158</v>
      </c>
      <c r="Z2880" s="4"/>
      <c r="AA2880" s="4">
        <f>=ROUNDDOWN({0},0)</f>
      </c>
      <c r="AB2880" s="5">
        <v>12</v>
      </c>
      <c r="AC2880" s="2" t="s">
        <v>406</v>
      </c>
      <c r="AD2880" s="4">
        <v>130</v>
      </c>
      <c r="AE2880" s="4">
        <v>580</v>
      </c>
      <c r="AF2880" s="6">
        <v>65</v>
      </c>
      <c r="AG2880" s="6"/>
      <c r="AH2880" s="7">
        <v>0</v>
      </c>
      <c r="AI2880" s="4"/>
      <c r="AJ2880" s="4">
        <f>=ROUNDDOWN({0},0)</f>
      </c>
      <c r="AK2880" s="5"/>
      <c r="AL2880" s="2" t="s">
        <v>231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231</v>
      </c>
      <c r="AW2880" s="8" t="s">
        <v>231</v>
      </c>
      <c r="AX2880" s="4" t="s">
        <v>231</v>
      </c>
      <c r="AY2880" s="8" t="s">
        <v>231</v>
      </c>
      <c r="AZ2880" s="7" t="s">
        <v>231</v>
      </c>
      <c r="BA2880" s="7" t="s">
        <v>231</v>
      </c>
      <c r="BB2880" s="7"/>
      <c r="BC2880" s="4" t="s">
        <v>231</v>
      </c>
      <c r="BD2880" s="8" t="s">
        <v>231</v>
      </c>
      <c r="BE2880" s="4" t="s">
        <v>231</v>
      </c>
      <c r="BF2880" s="8" t="s">
        <v>231</v>
      </c>
      <c r="BG2880" s="7" t="s">
        <v>231</v>
      </c>
      <c r="BH2880" s="7" t="s">
        <v>231</v>
      </c>
      <c r="BI2880" s="7"/>
      <c r="BJ2880" s="4"/>
      <c r="BK2880" s="8"/>
      <c r="BL2880" s="2" t="s">
        <v>8475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12159</v>
      </c>
      <c r="BV2880" s="2" t="s">
        <v>231</v>
      </c>
      <c r="BW2880" s="2" t="s">
        <v>231</v>
      </c>
      <c r="BX2880" s="2" t="s">
        <v>231</v>
      </c>
      <c r="BY2880" s="2" t="s">
        <v>277</v>
      </c>
      <c r="BZ2880" s="2" t="s">
        <v>243</v>
      </c>
      <c r="CA2880" s="2" t="s">
        <v>845</v>
      </c>
      <c r="CB2880" s="2" t="s">
        <v>12160</v>
      </c>
      <c r="CC2880" s="2" t="s">
        <v>244</v>
      </c>
      <c r="CD2880" s="2" t="s">
        <v>231</v>
      </c>
      <c r="CE2880" s="4"/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4"/>
      <c r="CX2880" s="4"/>
      <c r="CY2880" s="4"/>
      <c r="CZ2880" s="4"/>
      <c r="DA2880" s="4"/>
      <c r="DB2880" s="4"/>
      <c r="DC2880" s="4"/>
      <c r="DD2880" s="4"/>
      <c r="DE2880" s="4"/>
      <c r="DF2880" s="4"/>
      <c r="DG2880" s="4"/>
      <c r="DH2880" s="4"/>
      <c r="DI2880" s="4"/>
      <c r="DJ2880" s="4"/>
      <c r="DK2880" s="4"/>
      <c r="DL2880" s="4"/>
      <c r="DM2880" s="4"/>
      <c r="DN2880" s="4"/>
      <c r="DO2880" s="4"/>
      <c r="DP2880" s="4"/>
      <c r="DQ2880" s="4"/>
      <c r="DR2880" s="4"/>
      <c r="DS2880" s="4"/>
      <c r="DT2880" s="4"/>
      <c r="DU2880" s="4"/>
      <c r="DV2880" s="4"/>
      <c r="DW2880" s="4"/>
      <c r="DX2880" s="4"/>
      <c r="DY2880" s="4"/>
      <c r="DZ2880" s="4"/>
      <c r="EA2880" s="4"/>
      <c r="EB2880" s="4"/>
      <c r="EC2880" s="4"/>
      <c r="ED2880" s="4"/>
      <c r="EE2880" s="4"/>
      <c r="EF2880" s="4"/>
      <c r="EG2880" s="4"/>
      <c r="EH2880" s="4"/>
      <c r="EI2880" s="4"/>
      <c r="EJ2880" s="4"/>
      <c r="EK2880" s="4"/>
      <c r="EL2880" s="4"/>
      <c r="EM2880" s="4"/>
      <c r="EN2880" s="4"/>
      <c r="EO2880" s="4"/>
      <c r="EP2880" s="4"/>
      <c r="EQ2880" s="4"/>
      <c r="ER2880" s="4"/>
      <c r="ES2880" s="4">
        <v>130</v>
      </c>
      <c r="ET2880" s="4"/>
      <c r="EU2880" s="4"/>
      <c r="EV2880" s="4"/>
      <c r="EW2880" s="4"/>
      <c r="EX2880" s="4"/>
      <c r="EY2880" s="4"/>
      <c r="EZ2880" s="4"/>
      <c r="FA2880" s="4"/>
      <c r="FB2880" s="4"/>
      <c r="FC2880" s="4"/>
      <c r="FD2880" s="4"/>
      <c r="FE2880" s="4"/>
      <c r="FF2880" s="4"/>
      <c r="FG2880" s="4"/>
      <c r="FH2880" s="4"/>
      <c r="FI2880" s="4"/>
      <c r="FJ2880" s="4"/>
      <c r="FK2880" s="4"/>
      <c r="FL2880" s="4"/>
      <c r="FM2880" s="4"/>
      <c r="FN2880" s="4"/>
      <c r="FO2880" s="4"/>
      <c r="FP2880" s="4"/>
      <c r="FQ2880" s="4"/>
      <c r="FR2880" s="4"/>
      <c r="FS2880" s="4"/>
      <c r="FT2880" s="4"/>
      <c r="FU2880" s="4"/>
      <c r="FV2880" s="4"/>
      <c r="FW2880" s="4"/>
      <c r="FX2880" s="4"/>
      <c r="FY2880" s="4"/>
      <c r="FZ2880" s="4"/>
      <c r="GA2880" s="4"/>
      <c r="GB2880" s="4">
        <v>240</v>
      </c>
      <c r="GC2880" s="4"/>
      <c r="GD2880" s="4"/>
      <c r="GE2880" s="4"/>
      <c r="GF2880" s="4"/>
      <c r="GG2880" s="4"/>
      <c r="GH2880" s="4"/>
      <c r="GI2880" s="4"/>
      <c r="GJ2880" s="4"/>
      <c r="GK2880" s="4"/>
      <c r="GL2880" s="4"/>
      <c r="GM2880" s="4"/>
      <c r="GN2880" s="4"/>
      <c r="GO2880" s="4"/>
      <c r="GP2880" s="4"/>
      <c r="GQ2880" s="4"/>
      <c r="GR2880" s="4"/>
      <c r="GS2880" s="4"/>
      <c r="GT2880" s="4"/>
      <c r="GU2880" s="4">
        <v>210</v>
      </c>
      <c r="GV2880" s="4"/>
      <c r="GW2880" s="4"/>
      <c r="GX2880" s="4"/>
      <c r="GY2880" s="4"/>
      <c r="GZ2880" s="4"/>
      <c r="HA2880" s="4"/>
      <c r="HB2880" s="4"/>
      <c r="HC2880" s="4"/>
      <c r="HD2880" s="4"/>
      <c r="HE2880" s="4"/>
      <c r="HF2880" s="4"/>
      <c r="HG2880" s="4"/>
      <c r="HH2880" s="4"/>
      <c r="HI2880" s="4"/>
      <c r="HJ2880" s="4"/>
      <c r="HK2880" s="4"/>
      <c r="HL2880" s="4"/>
    </row>
    <row r="2881">
      <c r="A2881" s="2" t="s">
        <v>12161</v>
      </c>
      <c r="B2881" s="2" t="s">
        <v>226</v>
      </c>
      <c r="C2881" s="2" t="s">
        <v>1299</v>
      </c>
      <c r="D2881" s="2" t="s">
        <v>654</v>
      </c>
      <c r="E2881" s="2" t="s">
        <v>890</v>
      </c>
      <c r="F2881" s="2" t="s">
        <v>12155</v>
      </c>
      <c r="G2881" s="2" t="s">
        <v>12155</v>
      </c>
      <c r="H2881" s="2" t="s">
        <v>12155</v>
      </c>
      <c r="I2881" s="2" t="s">
        <v>12156</v>
      </c>
      <c r="J2881" s="2" t="s">
        <v>669</v>
      </c>
      <c r="K2881" s="2" t="s">
        <v>1356</v>
      </c>
      <c r="L2881" s="3">
        <v>52.38</v>
      </c>
      <c r="M2881" s="3">
        <v>55</v>
      </c>
      <c r="N2881" s="3">
        <v>109.99</v>
      </c>
      <c r="O2881" s="2" t="s">
        <v>243</v>
      </c>
      <c r="P2881" s="2" t="s">
        <v>270</v>
      </c>
      <c r="Q2881" s="2" t="s">
        <v>237</v>
      </c>
      <c r="R2881" s="2" t="s">
        <v>231</v>
      </c>
      <c r="S2881" s="2" t="s">
        <v>12157</v>
      </c>
      <c r="T2881" s="2" t="s">
        <v>970</v>
      </c>
      <c r="U2881" s="2" t="s">
        <v>835</v>
      </c>
      <c r="V2881" s="2" t="s">
        <v>1685</v>
      </c>
      <c r="W2881" s="2" t="s">
        <v>897</v>
      </c>
      <c r="X2881" s="2" t="s">
        <v>971</v>
      </c>
      <c r="Y2881" s="2" t="s">
        <v>12158</v>
      </c>
      <c r="Z2881" s="4">
        <v>1</v>
      </c>
      <c r="AA2881" s="4">
        <f>=ROUNDDOWN(0.05,0)</f>
      </c>
      <c r="AB2881" s="5">
        <v>20</v>
      </c>
      <c r="AC2881" s="2" t="s">
        <v>406</v>
      </c>
      <c r="AD2881" s="4">
        <v>190</v>
      </c>
      <c r="AE2881" s="4">
        <v>770</v>
      </c>
      <c r="AF2881" s="6">
        <v>65</v>
      </c>
      <c r="AG2881" s="6"/>
      <c r="AH2881" s="7">
        <v>0</v>
      </c>
      <c r="AI2881" s="4"/>
      <c r="AJ2881" s="4">
        <f>=ROUNDDOWN({0},0)</f>
      </c>
      <c r="AK2881" s="5"/>
      <c r="AL2881" s="2" t="s">
        <v>231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231</v>
      </c>
      <c r="AW2881" s="8" t="s">
        <v>231</v>
      </c>
      <c r="AX2881" s="4" t="s">
        <v>231</v>
      </c>
      <c r="AY2881" s="8" t="s">
        <v>231</v>
      </c>
      <c r="AZ2881" s="7" t="s">
        <v>231</v>
      </c>
      <c r="BA2881" s="7" t="s">
        <v>231</v>
      </c>
      <c r="BB2881" s="7"/>
      <c r="BC2881" s="4" t="s">
        <v>231</v>
      </c>
      <c r="BD2881" s="8" t="s">
        <v>231</v>
      </c>
      <c r="BE2881" s="4" t="s">
        <v>231</v>
      </c>
      <c r="BF2881" s="8" t="s">
        <v>231</v>
      </c>
      <c r="BG2881" s="7" t="s">
        <v>231</v>
      </c>
      <c r="BH2881" s="7" t="s">
        <v>231</v>
      </c>
      <c r="BI2881" s="7"/>
      <c r="BJ2881" s="4"/>
      <c r="BK2881" s="8"/>
      <c r="BL2881" s="2" t="s">
        <v>231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12162</v>
      </c>
      <c r="BV2881" s="2" t="s">
        <v>231</v>
      </c>
      <c r="BW2881" s="2" t="s">
        <v>231</v>
      </c>
      <c r="BX2881" s="2" t="s">
        <v>231</v>
      </c>
      <c r="BY2881" s="2" t="s">
        <v>277</v>
      </c>
      <c r="BZ2881" s="2" t="s">
        <v>243</v>
      </c>
      <c r="CA2881" s="2" t="s">
        <v>845</v>
      </c>
      <c r="CB2881" s="2" t="s">
        <v>7045</v>
      </c>
      <c r="CC2881" s="2" t="s">
        <v>244</v>
      </c>
      <c r="CD2881" s="2" t="s">
        <v>231</v>
      </c>
      <c r="CE2881" s="4">
        <v>1</v>
      </c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4"/>
      <c r="CX2881" s="4"/>
      <c r="CY2881" s="4"/>
      <c r="CZ2881" s="4"/>
      <c r="DA2881" s="4"/>
      <c r="DB2881" s="4"/>
      <c r="DC2881" s="4"/>
      <c r="DD2881" s="4"/>
      <c r="DE2881" s="4"/>
      <c r="DF2881" s="4"/>
      <c r="DG2881" s="4"/>
      <c r="DH2881" s="4"/>
      <c r="DI2881" s="4"/>
      <c r="DJ2881" s="4"/>
      <c r="DK2881" s="4"/>
      <c r="DL2881" s="4"/>
      <c r="DM2881" s="4"/>
      <c r="DN2881" s="4"/>
      <c r="DO2881" s="4"/>
      <c r="DP2881" s="4"/>
      <c r="DQ2881" s="4"/>
      <c r="DR2881" s="4"/>
      <c r="DS2881" s="4"/>
      <c r="DT2881" s="4"/>
      <c r="DU2881" s="4"/>
      <c r="DV2881" s="4"/>
      <c r="DW2881" s="4"/>
      <c r="DX2881" s="4"/>
      <c r="DY2881" s="4"/>
      <c r="DZ2881" s="4"/>
      <c r="EA2881" s="4"/>
      <c r="EB2881" s="4"/>
      <c r="EC2881" s="4"/>
      <c r="ED2881" s="4"/>
      <c r="EE2881" s="4"/>
      <c r="EF2881" s="4"/>
      <c r="EG2881" s="4"/>
      <c r="EH2881" s="4"/>
      <c r="EI2881" s="4"/>
      <c r="EJ2881" s="4"/>
      <c r="EK2881" s="4"/>
      <c r="EL2881" s="4"/>
      <c r="EM2881" s="4"/>
      <c r="EN2881" s="4"/>
      <c r="EO2881" s="4"/>
      <c r="EP2881" s="4"/>
      <c r="EQ2881" s="4"/>
      <c r="ER2881" s="4"/>
      <c r="ES2881" s="4">
        <v>190</v>
      </c>
      <c r="ET2881" s="4"/>
      <c r="EU2881" s="4"/>
      <c r="EV2881" s="4"/>
      <c r="EW2881" s="4"/>
      <c r="EX2881" s="4"/>
      <c r="EY2881" s="4"/>
      <c r="EZ2881" s="4"/>
      <c r="FA2881" s="4"/>
      <c r="FB2881" s="4"/>
      <c r="FC2881" s="4"/>
      <c r="FD2881" s="4"/>
      <c r="FE2881" s="4"/>
      <c r="FF2881" s="4"/>
      <c r="FG2881" s="4"/>
      <c r="FH2881" s="4"/>
      <c r="FI2881" s="4"/>
      <c r="FJ2881" s="4"/>
      <c r="FK2881" s="4"/>
      <c r="FL2881" s="4"/>
      <c r="FM2881" s="4"/>
      <c r="FN2881" s="4"/>
      <c r="FO2881" s="4"/>
      <c r="FP2881" s="4"/>
      <c r="FQ2881" s="4"/>
      <c r="FR2881" s="4"/>
      <c r="FS2881" s="4"/>
      <c r="FT2881" s="4"/>
      <c r="FU2881" s="4"/>
      <c r="FV2881" s="4"/>
      <c r="FW2881" s="4"/>
      <c r="FX2881" s="4"/>
      <c r="FY2881" s="4"/>
      <c r="FZ2881" s="4"/>
      <c r="GA2881" s="4"/>
      <c r="GB2881" s="4">
        <v>230</v>
      </c>
      <c r="GC2881" s="4"/>
      <c r="GD2881" s="4"/>
      <c r="GE2881" s="4"/>
      <c r="GF2881" s="4"/>
      <c r="GG2881" s="4"/>
      <c r="GH2881" s="4"/>
      <c r="GI2881" s="4"/>
      <c r="GJ2881" s="4"/>
      <c r="GK2881" s="4"/>
      <c r="GL2881" s="4"/>
      <c r="GM2881" s="4"/>
      <c r="GN2881" s="4"/>
      <c r="GO2881" s="4"/>
      <c r="GP2881" s="4"/>
      <c r="GQ2881" s="4"/>
      <c r="GR2881" s="4"/>
      <c r="GS2881" s="4"/>
      <c r="GT2881" s="4"/>
      <c r="GU2881" s="4">
        <v>350</v>
      </c>
      <c r="GV2881" s="4"/>
      <c r="GW2881" s="4"/>
      <c r="GX2881" s="4"/>
      <c r="GY2881" s="4"/>
      <c r="GZ2881" s="4"/>
      <c r="HA2881" s="4"/>
      <c r="HB2881" s="4"/>
      <c r="HC2881" s="4"/>
      <c r="HD2881" s="4"/>
      <c r="HE2881" s="4"/>
      <c r="HF2881" s="4"/>
      <c r="HG2881" s="4"/>
      <c r="HH2881" s="4"/>
      <c r="HI2881" s="4"/>
      <c r="HJ2881" s="4"/>
      <c r="HK2881" s="4"/>
      <c r="HL2881" s="4"/>
    </row>
    <row r="2882">
      <c r="A2882" s="2" t="s">
        <v>12163</v>
      </c>
      <c r="B2882" s="2" t="s">
        <v>784</v>
      </c>
      <c r="C2882" s="2" t="s">
        <v>653</v>
      </c>
      <c r="D2882" s="2" t="s">
        <v>785</v>
      </c>
      <c r="E2882" s="2" t="s">
        <v>786</v>
      </c>
      <c r="F2882" s="2" t="s">
        <v>12164</v>
      </c>
      <c r="G2882" s="2" t="s">
        <v>12164</v>
      </c>
      <c r="H2882" s="2" t="s">
        <v>12164</v>
      </c>
      <c r="I2882" s="2" t="s">
        <v>12165</v>
      </c>
      <c r="J2882" s="2" t="s">
        <v>12166</v>
      </c>
      <c r="K2882" s="2" t="s">
        <v>682</v>
      </c>
      <c r="L2882" s="3">
        <v>33.6</v>
      </c>
      <c r="M2882" s="3">
        <v>35.28</v>
      </c>
      <c r="N2882" s="3">
        <v>69.99</v>
      </c>
      <c r="O2882" s="2" t="s">
        <v>243</v>
      </c>
      <c r="P2882" s="2" t="s">
        <v>295</v>
      </c>
      <c r="Q2882" s="2" t="s">
        <v>237</v>
      </c>
      <c r="R2882" s="2" t="s">
        <v>231</v>
      </c>
      <c r="S2882" s="2" t="s">
        <v>12167</v>
      </c>
      <c r="T2882" s="2" t="s">
        <v>362</v>
      </c>
      <c r="U2882" s="2" t="s">
        <v>791</v>
      </c>
      <c r="V2882" s="2" t="s">
        <v>239</v>
      </c>
      <c r="W2882" s="2" t="s">
        <v>273</v>
      </c>
      <c r="X2882" s="2" t="s">
        <v>231</v>
      </c>
      <c r="Y2882" s="2" t="s">
        <v>1193</v>
      </c>
      <c r="Z2882" s="4">
        <v>339</v>
      </c>
      <c r="AA2882" s="4">
        <f>=ROUNDDOWN({0},0)</f>
      </c>
      <c r="AB2882" s="5"/>
      <c r="AC2882" s="2" t="s">
        <v>1079</v>
      </c>
      <c r="AD2882" s="4">
        <v>261</v>
      </c>
      <c r="AE2882" s="4">
        <v>261</v>
      </c>
      <c r="AF2882" s="6">
        <v>67</v>
      </c>
      <c r="AG2882" s="6"/>
      <c r="AH2882" s="7">
        <v>1</v>
      </c>
      <c r="AI2882" s="4"/>
      <c r="AJ2882" s="4">
        <f>=ROUNDDOWN({0},0)</f>
      </c>
      <c r="AK2882" s="5"/>
      <c r="AL2882" s="2" t="s">
        <v>231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231</v>
      </c>
      <c r="BD2882" s="8" t="s">
        <v>231</v>
      </c>
      <c r="BE2882" s="4" t="s">
        <v>231</v>
      </c>
      <c r="BF2882" s="8" t="s">
        <v>231</v>
      </c>
      <c r="BG2882" s="7" t="s">
        <v>231</v>
      </c>
      <c r="BH2882" s="7" t="s">
        <v>231</v>
      </c>
      <c r="BI2882" s="7"/>
      <c r="BJ2882" s="4"/>
      <c r="BK2882" s="8"/>
      <c r="BL2882" s="2" t="s">
        <v>231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241</v>
      </c>
      <c r="BV2882" s="2" t="s">
        <v>231</v>
      </c>
      <c r="BW2882" s="2" t="s">
        <v>231</v>
      </c>
      <c r="BX2882" s="2" t="s">
        <v>241</v>
      </c>
      <c r="BY2882" s="2" t="s">
        <v>242</v>
      </c>
      <c r="BZ2882" s="2" t="s">
        <v>243</v>
      </c>
      <c r="CA2882" s="2" t="s">
        <v>231</v>
      </c>
      <c r="CB2882" s="2" t="s">
        <v>231</v>
      </c>
      <c r="CC2882" s="2" t="s">
        <v>244</v>
      </c>
      <c r="CD2882" s="2" t="s">
        <v>231</v>
      </c>
      <c r="CE2882" s="4">
        <v>339</v>
      </c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4"/>
      <c r="CX2882" s="4"/>
      <c r="CY2882" s="4"/>
      <c r="CZ2882" s="4"/>
      <c r="DA2882" s="4"/>
      <c r="DB2882" s="4"/>
      <c r="DC2882" s="4"/>
      <c r="DD2882" s="4"/>
      <c r="DE2882" s="4"/>
      <c r="DF2882" s="4"/>
      <c r="DG2882" s="4"/>
      <c r="DH2882" s="4"/>
      <c r="DI2882" s="4"/>
      <c r="DJ2882" s="4"/>
      <c r="DK2882" s="4"/>
      <c r="DL2882" s="4"/>
      <c r="DM2882" s="4"/>
      <c r="DN2882" s="4"/>
      <c r="DO2882" s="4"/>
      <c r="DP2882" s="4"/>
      <c r="DQ2882" s="4"/>
      <c r="DR2882" s="4"/>
      <c r="DS2882" s="4"/>
      <c r="DT2882" s="4"/>
      <c r="DU2882" s="4"/>
      <c r="DV2882" s="4"/>
      <c r="DW2882" s="4"/>
      <c r="DX2882" s="4"/>
      <c r="DY2882" s="4"/>
      <c r="DZ2882" s="4"/>
      <c r="EA2882" s="4"/>
      <c r="EB2882" s="4"/>
      <c r="EC2882" s="4"/>
      <c r="ED2882" s="4"/>
      <c r="EE2882" s="4"/>
      <c r="EF2882" s="4"/>
      <c r="EG2882" s="4"/>
      <c r="EH2882" s="4">
        <v>261</v>
      </c>
      <c r="EI2882" s="4"/>
      <c r="EJ2882" s="4"/>
      <c r="EK2882" s="4"/>
      <c r="EL2882" s="4"/>
      <c r="EM2882" s="4"/>
      <c r="EN2882" s="4"/>
      <c r="EO2882" s="4"/>
      <c r="EP2882" s="4"/>
      <c r="EQ2882" s="4"/>
      <c r="ER2882" s="4"/>
      <c r="ES2882" s="4"/>
      <c r="ET2882" s="4"/>
      <c r="EU2882" s="4"/>
      <c r="EV2882" s="4"/>
      <c r="EW2882" s="4"/>
      <c r="EX2882" s="4"/>
      <c r="EY2882" s="4"/>
      <c r="EZ2882" s="4"/>
      <c r="FA2882" s="4"/>
      <c r="FB2882" s="4"/>
      <c r="FC2882" s="4"/>
      <c r="FD2882" s="4"/>
      <c r="FE2882" s="4"/>
      <c r="FF2882" s="4"/>
      <c r="FG2882" s="4"/>
      <c r="FH2882" s="4"/>
      <c r="FI2882" s="4"/>
      <c r="FJ2882" s="4"/>
      <c r="FK2882" s="4"/>
      <c r="FL2882" s="4"/>
      <c r="FM2882" s="4"/>
      <c r="FN2882" s="4"/>
      <c r="FO2882" s="4"/>
      <c r="FP2882" s="4"/>
      <c r="FQ2882" s="4"/>
      <c r="FR2882" s="4"/>
      <c r="FS2882" s="4"/>
      <c r="FT2882" s="4"/>
      <c r="FU2882" s="4"/>
      <c r="FV2882" s="4"/>
      <c r="FW2882" s="4"/>
      <c r="FX2882" s="4"/>
      <c r="FY2882" s="4"/>
      <c r="FZ2882" s="4"/>
      <c r="GA2882" s="4"/>
      <c r="GB2882" s="4"/>
      <c r="GC2882" s="4"/>
      <c r="GD2882" s="4"/>
      <c r="GE2882" s="4"/>
      <c r="GF2882" s="4"/>
      <c r="GG2882" s="4"/>
      <c r="GH2882" s="4"/>
      <c r="GI2882" s="4"/>
      <c r="GJ2882" s="4"/>
      <c r="GK2882" s="4"/>
      <c r="GL2882" s="4"/>
      <c r="GM2882" s="4"/>
      <c r="GN2882" s="4"/>
      <c r="GO2882" s="4"/>
      <c r="GP2882" s="4"/>
      <c r="GQ2882" s="4"/>
      <c r="GR2882" s="4"/>
      <c r="GS2882" s="4"/>
      <c r="GT2882" s="4"/>
      <c r="GU2882" s="4"/>
      <c r="GV2882" s="4"/>
      <c r="GW2882" s="4"/>
      <c r="GX2882" s="4"/>
      <c r="GY2882" s="4"/>
      <c r="GZ2882" s="4"/>
      <c r="HA2882" s="4"/>
      <c r="HB2882" s="4"/>
      <c r="HC2882" s="4"/>
      <c r="HD2882" s="4"/>
      <c r="HE2882" s="4"/>
      <c r="HF2882" s="4"/>
      <c r="HG2882" s="4"/>
      <c r="HH2882" s="4"/>
      <c r="HI2882" s="4"/>
      <c r="HJ2882" s="4"/>
      <c r="HK2882" s="4"/>
      <c r="HL2882" s="4"/>
    </row>
    <row r="2883">
      <c r="A2883" s="2" t="s">
        <v>12168</v>
      </c>
      <c r="B2883" s="2" t="s">
        <v>784</v>
      </c>
      <c r="C2883" s="2" t="s">
        <v>653</v>
      </c>
      <c r="D2883" s="2" t="s">
        <v>785</v>
      </c>
      <c r="E2883" s="2" t="s">
        <v>786</v>
      </c>
      <c r="F2883" s="2" t="s">
        <v>12164</v>
      </c>
      <c r="G2883" s="2" t="s">
        <v>12164</v>
      </c>
      <c r="H2883" s="2" t="s">
        <v>12164</v>
      </c>
      <c r="I2883" s="2" t="s">
        <v>12169</v>
      </c>
      <c r="J2883" s="2" t="s">
        <v>1070</v>
      </c>
      <c r="K2883" s="2" t="s">
        <v>1491</v>
      </c>
      <c r="L2883" s="3">
        <v>33.6</v>
      </c>
      <c r="M2883" s="3">
        <v>35.28</v>
      </c>
      <c r="N2883" s="3">
        <v>69.99</v>
      </c>
      <c r="O2883" s="2" t="s">
        <v>243</v>
      </c>
      <c r="P2883" s="2" t="s">
        <v>295</v>
      </c>
      <c r="Q2883" s="2" t="s">
        <v>237</v>
      </c>
      <c r="R2883" s="2" t="s">
        <v>231</v>
      </c>
      <c r="S2883" s="2" t="s">
        <v>12170</v>
      </c>
      <c r="T2883" s="2" t="s">
        <v>362</v>
      </c>
      <c r="U2883" s="2" t="s">
        <v>765</v>
      </c>
      <c r="V2883" s="2" t="s">
        <v>239</v>
      </c>
      <c r="W2883" s="2" t="s">
        <v>231</v>
      </c>
      <c r="X2883" s="2" t="s">
        <v>231</v>
      </c>
      <c r="Y2883" s="2" t="s">
        <v>793</v>
      </c>
      <c r="Z2883" s="4">
        <v>10</v>
      </c>
      <c r="AA2883" s="4">
        <f>=ROUNDDOWN({0},0)</f>
      </c>
      <c r="AB2883" s="5"/>
      <c r="AC2883" s="2" t="s">
        <v>2082</v>
      </c>
      <c r="AD2883" s="4">
        <v>1800</v>
      </c>
      <c r="AE2883" s="4">
        <v>1800</v>
      </c>
      <c r="AF2883" s="6">
        <v>67</v>
      </c>
      <c r="AG2883" s="6"/>
      <c r="AH2883" s="7">
        <v>1</v>
      </c>
      <c r="AI2883" s="4"/>
      <c r="AJ2883" s="4">
        <f>=ROUNDDOWN({0},0)</f>
      </c>
      <c r="AK2883" s="5"/>
      <c r="AL2883" s="2" t="s">
        <v>231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231</v>
      </c>
      <c r="BD2883" s="8" t="s">
        <v>231</v>
      </c>
      <c r="BE2883" s="4" t="s">
        <v>231</v>
      </c>
      <c r="BF2883" s="8" t="s">
        <v>231</v>
      </c>
      <c r="BG2883" s="7" t="s">
        <v>231</v>
      </c>
      <c r="BH2883" s="7" t="s">
        <v>231</v>
      </c>
      <c r="BI2883" s="7"/>
      <c r="BJ2883" s="4"/>
      <c r="BK2883" s="8"/>
      <c r="BL2883" s="2" t="s">
        <v>231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241</v>
      </c>
      <c r="BV2883" s="2" t="s">
        <v>231</v>
      </c>
      <c r="BW2883" s="2" t="s">
        <v>231</v>
      </c>
      <c r="BX2883" s="2" t="s">
        <v>241</v>
      </c>
      <c r="BY2883" s="2" t="s">
        <v>242</v>
      </c>
      <c r="BZ2883" s="2" t="s">
        <v>243</v>
      </c>
      <c r="CA2883" s="2" t="s">
        <v>231</v>
      </c>
      <c r="CB2883" s="2" t="s">
        <v>231</v>
      </c>
      <c r="CC2883" s="2" t="s">
        <v>244</v>
      </c>
      <c r="CD2883" s="2" t="s">
        <v>231</v>
      </c>
      <c r="CE2883" s="4"/>
      <c r="CF2883" s="4"/>
      <c r="CG2883" s="4"/>
      <c r="CH2883" s="4"/>
      <c r="CI2883" s="4">
        <v>10</v>
      </c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4"/>
      <c r="CX2883" s="4"/>
      <c r="CY2883" s="4"/>
      <c r="CZ2883" s="4"/>
      <c r="DA2883" s="4"/>
      <c r="DB2883" s="4"/>
      <c r="DC2883" s="4"/>
      <c r="DD2883" s="4"/>
      <c r="DE2883" s="4"/>
      <c r="DF2883" s="4"/>
      <c r="DG2883" s="4"/>
      <c r="DH2883" s="4"/>
      <c r="DI2883" s="4"/>
      <c r="DJ2883" s="4"/>
      <c r="DK2883" s="4"/>
      <c r="DL2883" s="4"/>
      <c r="DM2883" s="4"/>
      <c r="DN2883" s="4"/>
      <c r="DO2883" s="4"/>
      <c r="DP2883" s="4"/>
      <c r="DQ2883" s="4"/>
      <c r="DR2883" s="4"/>
      <c r="DS2883" s="4"/>
      <c r="DT2883" s="4"/>
      <c r="DU2883" s="4"/>
      <c r="DV2883" s="4"/>
      <c r="DW2883" s="4"/>
      <c r="DX2883" s="4"/>
      <c r="DY2883" s="4"/>
      <c r="DZ2883" s="4"/>
      <c r="EA2883" s="4"/>
      <c r="EB2883" s="4"/>
      <c r="EC2883" s="4"/>
      <c r="ED2883" s="4"/>
      <c r="EE2883" s="4"/>
      <c r="EF2883" s="4"/>
      <c r="EG2883" s="4"/>
      <c r="EH2883" s="4"/>
      <c r="EI2883" s="4"/>
      <c r="EJ2883" s="4"/>
      <c r="EK2883" s="4"/>
      <c r="EL2883" s="4"/>
      <c r="EM2883" s="4"/>
      <c r="EN2883" s="4"/>
      <c r="EO2883" s="4"/>
      <c r="EP2883" s="4"/>
      <c r="EQ2883" s="4"/>
      <c r="ER2883" s="4"/>
      <c r="ES2883" s="4"/>
      <c r="ET2883" s="4"/>
      <c r="EU2883" s="4"/>
      <c r="EV2883" s="4"/>
      <c r="EW2883" s="4">
        <v>1800</v>
      </c>
      <c r="EX2883" s="4"/>
      <c r="EY2883" s="4"/>
      <c r="EZ2883" s="4"/>
      <c r="FA2883" s="4"/>
      <c r="FB2883" s="4"/>
      <c r="FC2883" s="4"/>
      <c r="FD2883" s="4"/>
      <c r="FE2883" s="4"/>
      <c r="FF2883" s="4"/>
      <c r="FG2883" s="4"/>
      <c r="FH2883" s="4"/>
      <c r="FI2883" s="4"/>
      <c r="FJ2883" s="4"/>
      <c r="FK2883" s="4"/>
      <c r="FL2883" s="4"/>
      <c r="FM2883" s="4"/>
      <c r="FN2883" s="4"/>
      <c r="FO2883" s="4"/>
      <c r="FP2883" s="4"/>
      <c r="FQ2883" s="4"/>
      <c r="FR2883" s="4"/>
      <c r="FS2883" s="4"/>
      <c r="FT2883" s="4"/>
      <c r="FU2883" s="4"/>
      <c r="FV2883" s="4"/>
      <c r="FW2883" s="4"/>
      <c r="FX2883" s="4"/>
      <c r="FY2883" s="4"/>
      <c r="FZ2883" s="4"/>
      <c r="GA2883" s="4"/>
      <c r="GB2883" s="4"/>
      <c r="GC2883" s="4"/>
      <c r="GD2883" s="4"/>
      <c r="GE2883" s="4"/>
      <c r="GF2883" s="4"/>
      <c r="GG2883" s="4"/>
      <c r="GH2883" s="4"/>
      <c r="GI2883" s="4"/>
      <c r="GJ2883" s="4"/>
      <c r="GK2883" s="4"/>
      <c r="GL2883" s="4"/>
      <c r="GM2883" s="4"/>
      <c r="GN2883" s="4"/>
      <c r="GO2883" s="4"/>
      <c r="GP2883" s="4"/>
      <c r="GQ2883" s="4"/>
      <c r="GR2883" s="4"/>
      <c r="GS2883" s="4"/>
      <c r="GT2883" s="4"/>
      <c r="GU2883" s="4"/>
      <c r="GV2883" s="4"/>
      <c r="GW2883" s="4"/>
      <c r="GX2883" s="4"/>
      <c r="GY2883" s="4"/>
      <c r="GZ2883" s="4"/>
      <c r="HA2883" s="4"/>
      <c r="HB2883" s="4"/>
      <c r="HC2883" s="4"/>
      <c r="HD2883" s="4"/>
      <c r="HE2883" s="4"/>
      <c r="HF2883" s="4"/>
      <c r="HG2883" s="4"/>
      <c r="HH2883" s="4"/>
      <c r="HI2883" s="4"/>
      <c r="HJ2883" s="4"/>
      <c r="HK2883" s="4"/>
      <c r="HL2883" s="4"/>
    </row>
    <row r="2884">
      <c r="A2884" s="2" t="s">
        <v>12171</v>
      </c>
      <c r="B2884" s="2" t="s">
        <v>784</v>
      </c>
      <c r="C2884" s="2" t="s">
        <v>653</v>
      </c>
      <c r="D2884" s="2" t="s">
        <v>785</v>
      </c>
      <c r="E2884" s="2" t="s">
        <v>786</v>
      </c>
      <c r="F2884" s="2" t="s">
        <v>12164</v>
      </c>
      <c r="G2884" s="2" t="s">
        <v>12164</v>
      </c>
      <c r="H2884" s="2" t="s">
        <v>12164</v>
      </c>
      <c r="I2884" s="2" t="s">
        <v>12165</v>
      </c>
      <c r="J2884" s="2" t="s">
        <v>12166</v>
      </c>
      <c r="K2884" s="2" t="s">
        <v>253</v>
      </c>
      <c r="L2884" s="3">
        <v>33.6</v>
      </c>
      <c r="M2884" s="3">
        <v>35.28</v>
      </c>
      <c r="N2884" s="3">
        <v>69.99</v>
      </c>
      <c r="O2884" s="2" t="s">
        <v>243</v>
      </c>
      <c r="P2884" s="2" t="s">
        <v>295</v>
      </c>
      <c r="Q2884" s="2" t="s">
        <v>237</v>
      </c>
      <c r="R2884" s="2" t="s">
        <v>231</v>
      </c>
      <c r="S2884" s="2" t="s">
        <v>12167</v>
      </c>
      <c r="T2884" s="2" t="s">
        <v>362</v>
      </c>
      <c r="U2884" s="2" t="s">
        <v>791</v>
      </c>
      <c r="V2884" s="2" t="s">
        <v>239</v>
      </c>
      <c r="W2884" s="2" t="s">
        <v>273</v>
      </c>
      <c r="X2884" s="2" t="s">
        <v>231</v>
      </c>
      <c r="Y2884" s="2" t="s">
        <v>1193</v>
      </c>
      <c r="Z2884" s="4">
        <v>326</v>
      </c>
      <c r="AA2884" s="4">
        <f>=ROUNDDOWN({0},0)</f>
      </c>
      <c r="AB2884" s="5"/>
      <c r="AC2884" s="2" t="s">
        <v>1079</v>
      </c>
      <c r="AD2884" s="4">
        <v>347</v>
      </c>
      <c r="AE2884" s="4">
        <v>347</v>
      </c>
      <c r="AF2884" s="6">
        <v>67</v>
      </c>
      <c r="AG2884" s="6"/>
      <c r="AH2884" s="7">
        <v>1</v>
      </c>
      <c r="AI2884" s="4"/>
      <c r="AJ2884" s="4">
        <f>=ROUNDDOWN({0},0)</f>
      </c>
      <c r="AK2884" s="5"/>
      <c r="AL2884" s="2" t="s">
        <v>231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231</v>
      </c>
      <c r="BD2884" s="8" t="s">
        <v>231</v>
      </c>
      <c r="BE2884" s="4" t="s">
        <v>231</v>
      </c>
      <c r="BF2884" s="8" t="s">
        <v>231</v>
      </c>
      <c r="BG2884" s="7" t="s">
        <v>231</v>
      </c>
      <c r="BH2884" s="7" t="s">
        <v>231</v>
      </c>
      <c r="BI2884" s="7"/>
      <c r="BJ2884" s="4"/>
      <c r="BK2884" s="8"/>
      <c r="BL2884" s="2" t="s">
        <v>231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241</v>
      </c>
      <c r="BV2884" s="2" t="s">
        <v>231</v>
      </c>
      <c r="BW2884" s="2" t="s">
        <v>231</v>
      </c>
      <c r="BX2884" s="2" t="s">
        <v>241</v>
      </c>
      <c r="BY2884" s="2" t="s">
        <v>242</v>
      </c>
      <c r="BZ2884" s="2" t="s">
        <v>243</v>
      </c>
      <c r="CA2884" s="2" t="s">
        <v>231</v>
      </c>
      <c r="CB2884" s="2" t="s">
        <v>231</v>
      </c>
      <c r="CC2884" s="2" t="s">
        <v>244</v>
      </c>
      <c r="CD2884" s="2" t="s">
        <v>231</v>
      </c>
      <c r="CE2884" s="4">
        <v>326</v>
      </c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  <c r="DP2884" s="4"/>
      <c r="DQ2884" s="4"/>
      <c r="DR2884" s="4"/>
      <c r="DS2884" s="4"/>
      <c r="DT2884" s="4"/>
      <c r="DU2884" s="4"/>
      <c r="DV2884" s="4"/>
      <c r="DW2884" s="4"/>
      <c r="DX2884" s="4"/>
      <c r="DY2884" s="4"/>
      <c r="DZ2884" s="4"/>
      <c r="EA2884" s="4"/>
      <c r="EB2884" s="4"/>
      <c r="EC2884" s="4"/>
      <c r="ED2884" s="4"/>
      <c r="EE2884" s="4"/>
      <c r="EF2884" s="4"/>
      <c r="EG2884" s="4"/>
      <c r="EH2884" s="4">
        <v>347</v>
      </c>
      <c r="EI2884" s="4"/>
      <c r="EJ2884" s="4"/>
      <c r="EK2884" s="4"/>
      <c r="EL2884" s="4"/>
      <c r="EM2884" s="4"/>
      <c r="EN2884" s="4"/>
      <c r="EO2884" s="4"/>
      <c r="EP2884" s="4"/>
      <c r="EQ2884" s="4"/>
      <c r="ER2884" s="4"/>
      <c r="ES2884" s="4"/>
      <c r="ET2884" s="4"/>
      <c r="EU2884" s="4"/>
      <c r="EV2884" s="4"/>
      <c r="EW2884" s="4"/>
      <c r="EX2884" s="4"/>
      <c r="EY2884" s="4"/>
      <c r="EZ2884" s="4"/>
      <c r="FA2884" s="4"/>
      <c r="FB2884" s="4"/>
      <c r="FC2884" s="4"/>
      <c r="FD2884" s="4"/>
      <c r="FE2884" s="4"/>
      <c r="FF2884" s="4"/>
      <c r="FG2884" s="4"/>
      <c r="FH2884" s="4"/>
      <c r="FI2884" s="4"/>
      <c r="FJ2884" s="4"/>
      <c r="FK2884" s="4"/>
      <c r="FL2884" s="4"/>
      <c r="FM2884" s="4"/>
      <c r="FN2884" s="4"/>
      <c r="FO2884" s="4"/>
      <c r="FP2884" s="4"/>
      <c r="FQ2884" s="4"/>
      <c r="FR2884" s="4"/>
      <c r="FS2884" s="4"/>
      <c r="FT2884" s="4"/>
      <c r="FU2884" s="4"/>
      <c r="FV2884" s="4"/>
      <c r="FW2884" s="4"/>
      <c r="FX2884" s="4"/>
      <c r="FY2884" s="4"/>
      <c r="FZ2884" s="4"/>
      <c r="GA2884" s="4"/>
      <c r="GB2884" s="4"/>
      <c r="GC2884" s="4"/>
      <c r="GD2884" s="4"/>
      <c r="GE2884" s="4"/>
      <c r="GF2884" s="4"/>
      <c r="GG2884" s="4"/>
      <c r="GH2884" s="4"/>
      <c r="GI2884" s="4"/>
      <c r="GJ2884" s="4"/>
      <c r="GK2884" s="4"/>
      <c r="GL2884" s="4"/>
      <c r="GM2884" s="4"/>
      <c r="GN2884" s="4"/>
      <c r="GO2884" s="4"/>
      <c r="GP2884" s="4"/>
      <c r="GQ2884" s="4"/>
      <c r="GR2884" s="4"/>
      <c r="GS2884" s="4"/>
      <c r="GT2884" s="4"/>
      <c r="GU2884" s="4"/>
      <c r="GV2884" s="4"/>
      <c r="GW2884" s="4"/>
      <c r="GX2884" s="4"/>
      <c r="GY2884" s="4"/>
      <c r="GZ2884" s="4"/>
      <c r="HA2884" s="4"/>
      <c r="HB2884" s="4"/>
      <c r="HC2884" s="4"/>
      <c r="HD2884" s="4"/>
      <c r="HE2884" s="4"/>
      <c r="HF2884" s="4"/>
      <c r="HG2884" s="4"/>
      <c r="HH2884" s="4"/>
      <c r="HI2884" s="4"/>
      <c r="HJ2884" s="4"/>
      <c r="HK2884" s="4"/>
      <c r="HL2884" s="4"/>
    </row>
    <row r="2885">
      <c r="A2885" s="2" t="s">
        <v>12172</v>
      </c>
      <c r="B2885" s="2" t="s">
        <v>784</v>
      </c>
      <c r="C2885" s="2" t="s">
        <v>653</v>
      </c>
      <c r="D2885" s="2" t="s">
        <v>785</v>
      </c>
      <c r="E2885" s="2" t="s">
        <v>786</v>
      </c>
      <c r="F2885" s="2" t="s">
        <v>12164</v>
      </c>
      <c r="G2885" s="2" t="s">
        <v>12164</v>
      </c>
      <c r="H2885" s="2" t="s">
        <v>12164</v>
      </c>
      <c r="I2885" s="2" t="s">
        <v>12165</v>
      </c>
      <c r="J2885" s="2" t="s">
        <v>12166</v>
      </c>
      <c r="K2885" s="2" t="s">
        <v>1496</v>
      </c>
      <c r="L2885" s="3">
        <v>33.6</v>
      </c>
      <c r="M2885" s="3">
        <v>35.28</v>
      </c>
      <c r="N2885" s="3">
        <v>69.99</v>
      </c>
      <c r="O2885" s="2" t="s">
        <v>243</v>
      </c>
      <c r="P2885" s="2" t="s">
        <v>295</v>
      </c>
      <c r="Q2885" s="2" t="s">
        <v>237</v>
      </c>
      <c r="R2885" s="2" t="s">
        <v>231</v>
      </c>
      <c r="S2885" s="2" t="s">
        <v>12167</v>
      </c>
      <c r="T2885" s="2" t="s">
        <v>362</v>
      </c>
      <c r="U2885" s="2" t="s">
        <v>791</v>
      </c>
      <c r="V2885" s="2" t="s">
        <v>239</v>
      </c>
      <c r="W2885" s="2" t="s">
        <v>273</v>
      </c>
      <c r="X2885" s="2" t="s">
        <v>231</v>
      </c>
      <c r="Y2885" s="2" t="s">
        <v>1193</v>
      </c>
      <c r="Z2885" s="4">
        <v>296</v>
      </c>
      <c r="AA2885" s="4">
        <f>=ROUNDDOWN({0},0)</f>
      </c>
      <c r="AB2885" s="5"/>
      <c r="AC2885" s="2" t="s">
        <v>1079</v>
      </c>
      <c r="AD2885" s="4">
        <v>387</v>
      </c>
      <c r="AE2885" s="4">
        <v>387</v>
      </c>
      <c r="AF2885" s="6">
        <v>67</v>
      </c>
      <c r="AG2885" s="6"/>
      <c r="AH2885" s="7">
        <v>1</v>
      </c>
      <c r="AI2885" s="4"/>
      <c r="AJ2885" s="4">
        <f>=ROUNDDOWN({0},0)</f>
      </c>
      <c r="AK2885" s="5"/>
      <c r="AL2885" s="2" t="s">
        <v>231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231</v>
      </c>
      <c r="BD2885" s="8" t="s">
        <v>231</v>
      </c>
      <c r="BE2885" s="4" t="s">
        <v>231</v>
      </c>
      <c r="BF2885" s="8" t="s">
        <v>231</v>
      </c>
      <c r="BG2885" s="7" t="s">
        <v>231</v>
      </c>
      <c r="BH2885" s="7" t="s">
        <v>231</v>
      </c>
      <c r="BI2885" s="7"/>
      <c r="BJ2885" s="4"/>
      <c r="BK2885" s="8"/>
      <c r="BL2885" s="2" t="s">
        <v>231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241</v>
      </c>
      <c r="BV2885" s="2" t="s">
        <v>231</v>
      </c>
      <c r="BW2885" s="2" t="s">
        <v>231</v>
      </c>
      <c r="BX2885" s="2" t="s">
        <v>241</v>
      </c>
      <c r="BY2885" s="2" t="s">
        <v>242</v>
      </c>
      <c r="BZ2885" s="2" t="s">
        <v>243</v>
      </c>
      <c r="CA2885" s="2" t="s">
        <v>231</v>
      </c>
      <c r="CB2885" s="2" t="s">
        <v>231</v>
      </c>
      <c r="CC2885" s="2" t="s">
        <v>244</v>
      </c>
      <c r="CD2885" s="2" t="s">
        <v>231</v>
      </c>
      <c r="CE2885" s="4">
        <v>296</v>
      </c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4"/>
      <c r="CX2885" s="4"/>
      <c r="CY2885" s="4"/>
      <c r="CZ2885" s="4"/>
      <c r="DA2885" s="4"/>
      <c r="DB2885" s="4"/>
      <c r="DC2885" s="4"/>
      <c r="DD2885" s="4"/>
      <c r="DE2885" s="4"/>
      <c r="DF2885" s="4"/>
      <c r="DG2885" s="4"/>
      <c r="DH2885" s="4"/>
      <c r="DI2885" s="4"/>
      <c r="DJ2885" s="4"/>
      <c r="DK2885" s="4"/>
      <c r="DL2885" s="4"/>
      <c r="DM2885" s="4"/>
      <c r="DN2885" s="4"/>
      <c r="DO2885" s="4"/>
      <c r="DP2885" s="4"/>
      <c r="DQ2885" s="4"/>
      <c r="DR2885" s="4"/>
      <c r="DS2885" s="4"/>
      <c r="DT2885" s="4"/>
      <c r="DU2885" s="4"/>
      <c r="DV2885" s="4"/>
      <c r="DW2885" s="4"/>
      <c r="DX2885" s="4"/>
      <c r="DY2885" s="4"/>
      <c r="DZ2885" s="4"/>
      <c r="EA2885" s="4"/>
      <c r="EB2885" s="4"/>
      <c r="EC2885" s="4"/>
      <c r="ED2885" s="4"/>
      <c r="EE2885" s="4"/>
      <c r="EF2885" s="4"/>
      <c r="EG2885" s="4"/>
      <c r="EH2885" s="4">
        <v>387</v>
      </c>
      <c r="EI2885" s="4"/>
      <c r="EJ2885" s="4"/>
      <c r="EK2885" s="4"/>
      <c r="EL2885" s="4"/>
      <c r="EM2885" s="4"/>
      <c r="EN2885" s="4"/>
      <c r="EO2885" s="4"/>
      <c r="EP2885" s="4"/>
      <c r="EQ2885" s="4"/>
      <c r="ER2885" s="4"/>
      <c r="ES2885" s="4"/>
      <c r="ET2885" s="4"/>
      <c r="EU2885" s="4"/>
      <c r="EV2885" s="4"/>
      <c r="EW2885" s="4"/>
      <c r="EX2885" s="4"/>
      <c r="EY2885" s="4"/>
      <c r="EZ2885" s="4"/>
      <c r="FA2885" s="4"/>
      <c r="FB2885" s="4"/>
      <c r="FC2885" s="4"/>
      <c r="FD2885" s="4"/>
      <c r="FE2885" s="4"/>
      <c r="FF2885" s="4"/>
      <c r="FG2885" s="4"/>
      <c r="FH2885" s="4"/>
      <c r="FI2885" s="4"/>
      <c r="FJ2885" s="4"/>
      <c r="FK2885" s="4"/>
      <c r="FL2885" s="4"/>
      <c r="FM2885" s="4"/>
      <c r="FN2885" s="4"/>
      <c r="FO2885" s="4"/>
      <c r="FP2885" s="4"/>
      <c r="FQ2885" s="4"/>
      <c r="FR2885" s="4"/>
      <c r="FS2885" s="4"/>
      <c r="FT2885" s="4"/>
      <c r="FU2885" s="4"/>
      <c r="FV2885" s="4"/>
      <c r="FW2885" s="4"/>
      <c r="FX2885" s="4"/>
      <c r="FY2885" s="4"/>
      <c r="FZ2885" s="4"/>
      <c r="GA2885" s="4"/>
      <c r="GB2885" s="4"/>
      <c r="GC2885" s="4"/>
      <c r="GD2885" s="4"/>
      <c r="GE2885" s="4"/>
      <c r="GF2885" s="4"/>
      <c r="GG2885" s="4"/>
      <c r="GH2885" s="4"/>
      <c r="GI2885" s="4"/>
      <c r="GJ2885" s="4"/>
      <c r="GK2885" s="4"/>
      <c r="GL2885" s="4"/>
      <c r="GM2885" s="4"/>
      <c r="GN2885" s="4"/>
      <c r="GO2885" s="4"/>
      <c r="GP2885" s="4"/>
      <c r="GQ2885" s="4"/>
      <c r="GR2885" s="4"/>
      <c r="GS2885" s="4"/>
      <c r="GT2885" s="4"/>
      <c r="GU2885" s="4"/>
      <c r="GV2885" s="4"/>
      <c r="GW2885" s="4"/>
      <c r="GX2885" s="4"/>
      <c r="GY2885" s="4"/>
      <c r="GZ2885" s="4"/>
      <c r="HA2885" s="4"/>
      <c r="HB2885" s="4"/>
      <c r="HC2885" s="4"/>
      <c r="HD2885" s="4"/>
      <c r="HE2885" s="4"/>
      <c r="HF2885" s="4"/>
      <c r="HG2885" s="4"/>
      <c r="HH2885" s="4"/>
      <c r="HI2885" s="4"/>
      <c r="HJ2885" s="4"/>
      <c r="HK2885" s="4"/>
      <c r="HL2885" s="4"/>
    </row>
    <row r="2886">
      <c r="A2886" s="2" t="s">
        <v>12173</v>
      </c>
      <c r="B2886" s="2" t="s">
        <v>784</v>
      </c>
      <c r="C2886" s="2" t="s">
        <v>653</v>
      </c>
      <c r="D2886" s="2" t="s">
        <v>785</v>
      </c>
      <c r="E2886" s="2" t="s">
        <v>786</v>
      </c>
      <c r="F2886" s="2" t="s">
        <v>12164</v>
      </c>
      <c r="G2886" s="2" t="s">
        <v>12164</v>
      </c>
      <c r="H2886" s="2" t="s">
        <v>12164</v>
      </c>
      <c r="I2886" s="2" t="s">
        <v>12165</v>
      </c>
      <c r="J2886" s="2" t="s">
        <v>12166</v>
      </c>
      <c r="K2886" s="2" t="s">
        <v>319</v>
      </c>
      <c r="L2886" s="3">
        <v>33.6</v>
      </c>
      <c r="M2886" s="3">
        <v>35.28</v>
      </c>
      <c r="N2886" s="3">
        <v>69.99</v>
      </c>
      <c r="O2886" s="2" t="s">
        <v>243</v>
      </c>
      <c r="P2886" s="2" t="s">
        <v>295</v>
      </c>
      <c r="Q2886" s="2" t="s">
        <v>237</v>
      </c>
      <c r="R2886" s="2" t="s">
        <v>231</v>
      </c>
      <c r="S2886" s="2" t="s">
        <v>12167</v>
      </c>
      <c r="T2886" s="2" t="s">
        <v>362</v>
      </c>
      <c r="U2886" s="2" t="s">
        <v>791</v>
      </c>
      <c r="V2886" s="2" t="s">
        <v>239</v>
      </c>
      <c r="W2886" s="2" t="s">
        <v>273</v>
      </c>
      <c r="X2886" s="2" t="s">
        <v>231</v>
      </c>
      <c r="Y2886" s="2" t="s">
        <v>1193</v>
      </c>
      <c r="Z2886" s="4">
        <v>414</v>
      </c>
      <c r="AA2886" s="4">
        <f>=ROUNDDOWN({0},0)</f>
      </c>
      <c r="AB2886" s="5"/>
      <c r="AC2886" s="2" t="s">
        <v>1079</v>
      </c>
      <c r="AD2886" s="4">
        <v>448</v>
      </c>
      <c r="AE2886" s="4">
        <v>448</v>
      </c>
      <c r="AF2886" s="6">
        <v>67</v>
      </c>
      <c r="AG2886" s="6"/>
      <c r="AH2886" s="7">
        <v>1</v>
      </c>
      <c r="AI2886" s="4"/>
      <c r="AJ2886" s="4">
        <f>=ROUNDDOWN({0},0)</f>
      </c>
      <c r="AK2886" s="5"/>
      <c r="AL2886" s="2" t="s">
        <v>231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231</v>
      </c>
      <c r="BD2886" s="8" t="s">
        <v>231</v>
      </c>
      <c r="BE2886" s="4" t="s">
        <v>231</v>
      </c>
      <c r="BF2886" s="8" t="s">
        <v>231</v>
      </c>
      <c r="BG2886" s="7" t="s">
        <v>231</v>
      </c>
      <c r="BH2886" s="7" t="s">
        <v>231</v>
      </c>
      <c r="BI2886" s="7"/>
      <c r="BJ2886" s="4"/>
      <c r="BK2886" s="8"/>
      <c r="BL2886" s="2" t="s">
        <v>231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241</v>
      </c>
      <c r="BV2886" s="2" t="s">
        <v>231</v>
      </c>
      <c r="BW2886" s="2" t="s">
        <v>231</v>
      </c>
      <c r="BX2886" s="2" t="s">
        <v>241</v>
      </c>
      <c r="BY2886" s="2" t="s">
        <v>242</v>
      </c>
      <c r="BZ2886" s="2" t="s">
        <v>243</v>
      </c>
      <c r="CA2886" s="2" t="s">
        <v>231</v>
      </c>
      <c r="CB2886" s="2" t="s">
        <v>231</v>
      </c>
      <c r="CC2886" s="2" t="s">
        <v>244</v>
      </c>
      <c r="CD2886" s="2" t="s">
        <v>231</v>
      </c>
      <c r="CE2886" s="4">
        <v>414</v>
      </c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4"/>
      <c r="CX2886" s="4"/>
      <c r="CY2886" s="4"/>
      <c r="CZ2886" s="4"/>
      <c r="DA2886" s="4"/>
      <c r="DB2886" s="4"/>
      <c r="DC2886" s="4"/>
      <c r="DD2886" s="4"/>
      <c r="DE2886" s="4"/>
      <c r="DF2886" s="4"/>
      <c r="DG2886" s="4"/>
      <c r="DH2886" s="4"/>
      <c r="DI2886" s="4"/>
      <c r="DJ2886" s="4"/>
      <c r="DK2886" s="4"/>
      <c r="DL2886" s="4"/>
      <c r="DM2886" s="4"/>
      <c r="DN2886" s="4"/>
      <c r="DO2886" s="4"/>
      <c r="DP2886" s="4"/>
      <c r="DQ2886" s="4"/>
      <c r="DR2886" s="4"/>
      <c r="DS2886" s="4"/>
      <c r="DT2886" s="4"/>
      <c r="DU2886" s="4"/>
      <c r="DV2886" s="4"/>
      <c r="DW2886" s="4"/>
      <c r="DX2886" s="4"/>
      <c r="DY2886" s="4"/>
      <c r="DZ2886" s="4"/>
      <c r="EA2886" s="4"/>
      <c r="EB2886" s="4"/>
      <c r="EC2886" s="4"/>
      <c r="ED2886" s="4"/>
      <c r="EE2886" s="4"/>
      <c r="EF2886" s="4"/>
      <c r="EG2886" s="4"/>
      <c r="EH2886" s="4">
        <v>448</v>
      </c>
      <c r="EI2886" s="4"/>
      <c r="EJ2886" s="4"/>
      <c r="EK2886" s="4"/>
      <c r="EL2886" s="4"/>
      <c r="EM2886" s="4"/>
      <c r="EN2886" s="4"/>
      <c r="EO2886" s="4"/>
      <c r="EP2886" s="4"/>
      <c r="EQ2886" s="4"/>
      <c r="ER2886" s="4"/>
      <c r="ES2886" s="4"/>
      <c r="ET2886" s="4"/>
      <c r="EU2886" s="4"/>
      <c r="EV2886" s="4"/>
      <c r="EW2886" s="4"/>
      <c r="EX2886" s="4"/>
      <c r="EY2886" s="4"/>
      <c r="EZ2886" s="4"/>
      <c r="FA2886" s="4"/>
      <c r="FB2886" s="4"/>
      <c r="FC2886" s="4"/>
      <c r="FD2886" s="4"/>
      <c r="FE2886" s="4"/>
      <c r="FF2886" s="4"/>
      <c r="FG2886" s="4"/>
      <c r="FH2886" s="4"/>
      <c r="FI2886" s="4"/>
      <c r="FJ2886" s="4"/>
      <c r="FK2886" s="4"/>
      <c r="FL2886" s="4"/>
      <c r="FM2886" s="4"/>
      <c r="FN2886" s="4"/>
      <c r="FO2886" s="4"/>
      <c r="FP2886" s="4"/>
      <c r="FQ2886" s="4"/>
      <c r="FR2886" s="4"/>
      <c r="FS2886" s="4"/>
      <c r="FT2886" s="4"/>
      <c r="FU2886" s="4"/>
      <c r="FV2886" s="4"/>
      <c r="FW2886" s="4"/>
      <c r="FX2886" s="4"/>
      <c r="FY2886" s="4"/>
      <c r="FZ2886" s="4"/>
      <c r="GA2886" s="4"/>
      <c r="GB2886" s="4"/>
      <c r="GC2886" s="4"/>
      <c r="GD2886" s="4"/>
      <c r="GE2886" s="4"/>
      <c r="GF2886" s="4"/>
      <c r="GG2886" s="4"/>
      <c r="GH2886" s="4"/>
      <c r="GI2886" s="4"/>
      <c r="GJ2886" s="4"/>
      <c r="GK2886" s="4"/>
      <c r="GL2886" s="4"/>
      <c r="GM2886" s="4"/>
      <c r="GN2886" s="4"/>
      <c r="GO2886" s="4"/>
      <c r="GP2886" s="4"/>
      <c r="GQ2886" s="4"/>
      <c r="GR2886" s="4"/>
      <c r="GS2886" s="4"/>
      <c r="GT2886" s="4"/>
      <c r="GU2886" s="4"/>
      <c r="GV2886" s="4"/>
      <c r="GW2886" s="4"/>
      <c r="GX2886" s="4"/>
      <c r="GY2886" s="4"/>
      <c r="GZ2886" s="4"/>
      <c r="HA2886" s="4"/>
      <c r="HB2886" s="4"/>
      <c r="HC2886" s="4"/>
      <c r="HD2886" s="4"/>
      <c r="HE2886" s="4"/>
      <c r="HF2886" s="4"/>
      <c r="HG2886" s="4"/>
      <c r="HH2886" s="4"/>
      <c r="HI2886" s="4"/>
      <c r="HJ2886" s="4"/>
      <c r="HK2886" s="4"/>
      <c r="HL2886" s="4"/>
    </row>
    <row r="2887">
      <c r="A2887" s="2" t="s">
        <v>12174</v>
      </c>
      <c r="B2887" s="2" t="s">
        <v>1004</v>
      </c>
      <c r="C2887" s="2" t="s">
        <v>288</v>
      </c>
      <c r="D2887" s="2" t="s">
        <v>1031</v>
      </c>
      <c r="E2887" s="2" t="s">
        <v>1032</v>
      </c>
      <c r="F2887" s="2" t="s">
        <v>12175</v>
      </c>
      <c r="G2887" s="2" t="s">
        <v>12176</v>
      </c>
      <c r="H2887" s="2" t="s">
        <v>6998</v>
      </c>
      <c r="I2887" s="2" t="s">
        <v>1035</v>
      </c>
      <c r="J2887" s="2" t="s">
        <v>807</v>
      </c>
      <c r="K2887" s="2" t="s">
        <v>12177</v>
      </c>
      <c r="L2887" s="3">
        <v>405.72</v>
      </c>
      <c r="M2887" s="3">
        <v>426.01</v>
      </c>
      <c r="N2887" s="3">
        <v>859</v>
      </c>
      <c r="O2887" s="2" t="s">
        <v>243</v>
      </c>
      <c r="P2887" s="2" t="s">
        <v>1037</v>
      </c>
      <c r="Q2887" s="2" t="s">
        <v>237</v>
      </c>
      <c r="R2887" s="2" t="s">
        <v>16</v>
      </c>
      <c r="S2887" s="2" t="s">
        <v>12178</v>
      </c>
      <c r="T2887" s="2" t="s">
        <v>231</v>
      </c>
      <c r="U2887" s="2" t="s">
        <v>791</v>
      </c>
      <c r="V2887" s="2" t="s">
        <v>239</v>
      </c>
      <c r="W2887" s="2" t="s">
        <v>792</v>
      </c>
      <c r="X2887" s="2" t="s">
        <v>231</v>
      </c>
      <c r="Y2887" s="2" t="s">
        <v>1039</v>
      </c>
      <c r="Z2887" s="4">
        <v>199</v>
      </c>
      <c r="AA2887" s="4">
        <f>=ROUNDDOWN({0},0)</f>
      </c>
      <c r="AB2887" s="5"/>
      <c r="AC2887" s="2" t="s">
        <v>1137</v>
      </c>
      <c r="AD2887" s="4">
        <v>84</v>
      </c>
      <c r="AE2887" s="4">
        <v>150</v>
      </c>
      <c r="AF2887" s="6"/>
      <c r="AG2887" s="6"/>
      <c r="AH2887" s="7">
        <v>1</v>
      </c>
      <c r="AI2887" s="4"/>
      <c r="AJ2887" s="4">
        <f>=ROUNDDOWN({0},0)</f>
      </c>
      <c r="AK2887" s="5"/>
      <c r="AL2887" s="2" t="s">
        <v>2444</v>
      </c>
      <c r="AM2887" s="4">
        <v>72</v>
      </c>
      <c r="AN2887" s="4">
        <v>72</v>
      </c>
      <c r="AO2887" s="7">
        <v>0</v>
      </c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/>
      <c r="BD2887" s="8"/>
      <c r="BE2887" s="4"/>
      <c r="BF2887" s="8"/>
      <c r="BG2887" s="7"/>
      <c r="BH2887" s="7"/>
      <c r="BI2887" s="7"/>
      <c r="BJ2887" s="4"/>
      <c r="BK2887" s="8"/>
      <c r="BL2887" s="2" t="s">
        <v>231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12179</v>
      </c>
      <c r="BV2887" s="2" t="s">
        <v>231</v>
      </c>
      <c r="BW2887" s="2" t="s">
        <v>231</v>
      </c>
      <c r="BX2887" s="2" t="s">
        <v>312</v>
      </c>
      <c r="BY2887" s="2" t="s">
        <v>277</v>
      </c>
      <c r="BZ2887" s="2" t="s">
        <v>243</v>
      </c>
      <c r="CA2887" s="2" t="s">
        <v>1041</v>
      </c>
      <c r="CB2887" s="2" t="s">
        <v>231</v>
      </c>
      <c r="CC2887" s="2" t="s">
        <v>244</v>
      </c>
      <c r="CD2887" s="2" t="s">
        <v>231</v>
      </c>
      <c r="CE2887" s="4"/>
      <c r="CF2887" s="4">
        <v>198</v>
      </c>
      <c r="CG2887" s="4"/>
      <c r="CH2887" s="4"/>
      <c r="CI2887" s="4">
        <v>1</v>
      </c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4"/>
      <c r="CX2887" s="4"/>
      <c r="CY2887" s="4"/>
      <c r="CZ2887" s="4"/>
      <c r="DA2887" s="4"/>
      <c r="DB2887" s="4"/>
      <c r="DC2887" s="4"/>
      <c r="DD2887" s="4"/>
      <c r="DE2887" s="4"/>
      <c r="DF2887" s="4"/>
      <c r="DG2887" s="4"/>
      <c r="DH2887" s="4"/>
      <c r="DI2887" s="4"/>
      <c r="DJ2887" s="4"/>
      <c r="DK2887" s="4">
        <v>84</v>
      </c>
      <c r="DL2887" s="4"/>
      <c r="DM2887" s="4"/>
      <c r="DN2887" s="4"/>
      <c r="DO2887" s="4">
        <v>66</v>
      </c>
      <c r="DP2887" s="4"/>
      <c r="DQ2887" s="4"/>
      <c r="DR2887" s="4"/>
      <c r="DS2887" s="4"/>
      <c r="DT2887" s="4"/>
      <c r="DU2887" s="4"/>
      <c r="DV2887" s="4"/>
      <c r="DW2887" s="4"/>
      <c r="DX2887" s="4"/>
      <c r="DY2887" s="4"/>
      <c r="DZ2887" s="4"/>
      <c r="EA2887" s="4"/>
      <c r="EB2887" s="4"/>
      <c r="EC2887" s="4"/>
      <c r="ED2887" s="4"/>
      <c r="EE2887" s="4"/>
      <c r="EF2887" s="4"/>
      <c r="EG2887" s="4"/>
      <c r="EH2887" s="4"/>
      <c r="EI2887" s="4"/>
      <c r="EJ2887" s="4"/>
      <c r="EK2887" s="4"/>
      <c r="EL2887" s="4"/>
      <c r="EM2887" s="4"/>
      <c r="EN2887" s="4"/>
      <c r="EO2887" s="4"/>
      <c r="EP2887" s="4"/>
      <c r="EQ2887" s="4"/>
      <c r="ER2887" s="4"/>
      <c r="ES2887" s="4"/>
      <c r="ET2887" s="4"/>
      <c r="EU2887" s="4"/>
      <c r="EV2887" s="4"/>
      <c r="EW2887" s="4"/>
      <c r="EX2887" s="4"/>
      <c r="EY2887" s="4"/>
      <c r="EZ2887" s="4"/>
      <c r="FA2887" s="4"/>
      <c r="FB2887" s="4"/>
      <c r="FC2887" s="4"/>
      <c r="FD2887" s="4"/>
      <c r="FE2887" s="4"/>
      <c r="FF2887" s="4"/>
      <c r="FG2887" s="4"/>
      <c r="FH2887" s="4"/>
      <c r="FI2887" s="4"/>
      <c r="FJ2887" s="4"/>
      <c r="FK2887" s="4"/>
      <c r="FL2887" s="4"/>
      <c r="FM2887" s="4"/>
      <c r="FN2887" s="4"/>
      <c r="FO2887" s="4"/>
      <c r="FP2887" s="4"/>
      <c r="FQ2887" s="4"/>
      <c r="FR2887" s="4"/>
      <c r="FS2887" s="4"/>
      <c r="FT2887" s="4"/>
      <c r="FU2887" s="4"/>
      <c r="FV2887" s="4"/>
      <c r="FW2887" s="4"/>
      <c r="FX2887" s="4"/>
      <c r="FY2887" s="4"/>
      <c r="FZ2887" s="4"/>
      <c r="GA2887" s="4"/>
      <c r="GB2887" s="4"/>
      <c r="GC2887" s="4"/>
      <c r="GD2887" s="4"/>
      <c r="GE2887" s="4"/>
      <c r="GF2887" s="4"/>
      <c r="GG2887" s="4"/>
      <c r="GH2887" s="4"/>
      <c r="GI2887" s="4"/>
      <c r="GJ2887" s="4"/>
      <c r="GK2887" s="4"/>
      <c r="GL2887" s="4"/>
      <c r="GM2887" s="4"/>
      <c r="GN2887" s="4"/>
      <c r="GO2887" s="4"/>
      <c r="GP2887" s="4"/>
      <c r="GQ2887" s="4"/>
      <c r="GR2887" s="4"/>
      <c r="GS2887" s="4"/>
      <c r="GT2887" s="4"/>
      <c r="GU2887" s="4"/>
      <c r="GV2887" s="4"/>
      <c r="GW2887" s="4"/>
      <c r="GX2887" s="4"/>
      <c r="GY2887" s="4"/>
      <c r="GZ2887" s="4"/>
      <c r="HA2887" s="4"/>
      <c r="HB2887" s="4"/>
      <c r="HC2887" s="4"/>
      <c r="HD2887" s="4"/>
      <c r="HE2887" s="4"/>
      <c r="HF2887" s="4"/>
      <c r="HG2887" s="4"/>
      <c r="HH2887" s="4"/>
      <c r="HI2887" s="4"/>
      <c r="HJ2887" s="4"/>
      <c r="HK2887" s="4"/>
      <c r="HL2887" s="4">
        <v>72</v>
      </c>
    </row>
    <row r="2888">
      <c r="A2888" s="2" t="s">
        <v>12180</v>
      </c>
      <c r="B2888" s="2" t="s">
        <v>226</v>
      </c>
      <c r="C2888" s="2" t="s">
        <v>965</v>
      </c>
      <c r="D2888" s="2" t="s">
        <v>1549</v>
      </c>
      <c r="E2888" s="2" t="s">
        <v>3949</v>
      </c>
      <c r="F2888" s="2" t="s">
        <v>12181</v>
      </c>
      <c r="G2888" s="2" t="s">
        <v>12181</v>
      </c>
      <c r="H2888" s="2" t="s">
        <v>12181</v>
      </c>
      <c r="I2888" s="2" t="s">
        <v>12182</v>
      </c>
      <c r="J2888" s="2" t="s">
        <v>318</v>
      </c>
      <c r="K2888" s="2" t="s">
        <v>269</v>
      </c>
      <c r="L2888" s="3">
        <v>56.69</v>
      </c>
      <c r="M2888" s="3">
        <v>59.52</v>
      </c>
      <c r="N2888" s="3">
        <v>104.99</v>
      </c>
      <c r="O2888" s="2" t="s">
        <v>235</v>
      </c>
      <c r="P2888" s="2" t="s">
        <v>917</v>
      </c>
      <c r="Q2888" s="2" t="s">
        <v>237</v>
      </c>
      <c r="R2888" s="2" t="s">
        <v>231</v>
      </c>
      <c r="S2888" s="2" t="s">
        <v>12183</v>
      </c>
      <c r="T2888" s="2" t="s">
        <v>970</v>
      </c>
      <c r="U2888" s="2" t="s">
        <v>231</v>
      </c>
      <c r="V2888" s="2" t="s">
        <v>239</v>
      </c>
      <c r="W2888" s="2" t="s">
        <v>273</v>
      </c>
      <c r="X2888" s="2" t="s">
        <v>231</v>
      </c>
      <c r="Y2888" s="2" t="s">
        <v>4657</v>
      </c>
      <c r="Z2888" s="4"/>
      <c r="AA2888" s="4">
        <f>=ROUNDDOWN({0},0)</f>
      </c>
      <c r="AB2888" s="5">
        <v>5</v>
      </c>
      <c r="AC2888" s="2" t="s">
        <v>231</v>
      </c>
      <c r="AD2888" s="4"/>
      <c r="AE2888" s="4"/>
      <c r="AF2888" s="6">
        <v>61</v>
      </c>
      <c r="AG2888" s="6"/>
      <c r="AH2888" s="7">
        <v>0</v>
      </c>
      <c r="AI2888" s="4"/>
      <c r="AJ2888" s="4">
        <f>=ROUNDDOWN({0},0)</f>
      </c>
      <c r="AK2888" s="5"/>
      <c r="AL2888" s="2" t="s">
        <v>231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231</v>
      </c>
      <c r="AW2888" s="8" t="s">
        <v>231</v>
      </c>
      <c r="AX2888" s="4" t="s">
        <v>231</v>
      </c>
      <c r="AY2888" s="8" t="s">
        <v>231</v>
      </c>
      <c r="AZ2888" s="7" t="s">
        <v>231</v>
      </c>
      <c r="BA2888" s="7" t="s">
        <v>231</v>
      </c>
      <c r="BB2888" s="7"/>
      <c r="BC2888" s="4" t="s">
        <v>231</v>
      </c>
      <c r="BD2888" s="8" t="s">
        <v>231</v>
      </c>
      <c r="BE2888" s="4" t="s">
        <v>231</v>
      </c>
      <c r="BF2888" s="8" t="s">
        <v>231</v>
      </c>
      <c r="BG2888" s="7" t="s">
        <v>231</v>
      </c>
      <c r="BH2888" s="7" t="s">
        <v>231</v>
      </c>
      <c r="BI2888" s="7"/>
      <c r="BJ2888" s="4"/>
      <c r="BK2888" s="8"/>
      <c r="BL2888" s="2" t="s">
        <v>12184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12185</v>
      </c>
      <c r="BV2888" s="2" t="s">
        <v>231</v>
      </c>
      <c r="BW2888" s="2" t="s">
        <v>231</v>
      </c>
      <c r="BX2888" s="2" t="s">
        <v>231</v>
      </c>
      <c r="BY2888" s="2" t="s">
        <v>277</v>
      </c>
      <c r="BZ2888" s="2" t="s">
        <v>243</v>
      </c>
      <c r="CA2888" s="2" t="s">
        <v>2491</v>
      </c>
      <c r="CB2888" s="2" t="s">
        <v>4216</v>
      </c>
      <c r="CC2888" s="2" t="s">
        <v>244</v>
      </c>
      <c r="CD2888" s="2" t="s">
        <v>231</v>
      </c>
      <c r="CE2888" s="4"/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4"/>
      <c r="CX2888" s="4"/>
      <c r="CY2888" s="4"/>
      <c r="CZ2888" s="4"/>
      <c r="DA2888" s="4"/>
      <c r="DB2888" s="4"/>
      <c r="DC2888" s="4"/>
      <c r="DD2888" s="4"/>
      <c r="DE2888" s="4"/>
      <c r="DF2888" s="4"/>
      <c r="DG2888" s="4"/>
      <c r="DH2888" s="4"/>
      <c r="DI2888" s="4"/>
      <c r="DJ2888" s="4"/>
      <c r="DK2888" s="4"/>
      <c r="DL2888" s="4"/>
      <c r="DM2888" s="4"/>
      <c r="DN2888" s="4"/>
      <c r="DO2888" s="4"/>
      <c r="DP2888" s="4"/>
      <c r="DQ2888" s="4"/>
      <c r="DR2888" s="4"/>
      <c r="DS2888" s="4"/>
      <c r="DT2888" s="4"/>
      <c r="DU2888" s="4"/>
      <c r="DV2888" s="4"/>
      <c r="DW2888" s="4"/>
      <c r="DX2888" s="4"/>
      <c r="DY2888" s="4"/>
      <c r="DZ2888" s="4"/>
      <c r="EA2888" s="4"/>
      <c r="EB2888" s="4"/>
      <c r="EC2888" s="4"/>
      <c r="ED2888" s="4"/>
      <c r="EE2888" s="4"/>
      <c r="EF2888" s="4"/>
      <c r="EG2888" s="4"/>
      <c r="EH2888" s="4"/>
      <c r="EI2888" s="4"/>
      <c r="EJ2888" s="4"/>
      <c r="EK2888" s="4"/>
      <c r="EL2888" s="4"/>
      <c r="EM2888" s="4"/>
      <c r="EN2888" s="4"/>
      <c r="EO2888" s="4"/>
      <c r="EP2888" s="4"/>
      <c r="EQ2888" s="4"/>
      <c r="ER2888" s="4"/>
      <c r="ES2888" s="4"/>
      <c r="ET2888" s="4"/>
      <c r="EU2888" s="4"/>
      <c r="EV2888" s="4"/>
      <c r="EW2888" s="4"/>
      <c r="EX2888" s="4"/>
      <c r="EY2888" s="4"/>
      <c r="EZ2888" s="4"/>
      <c r="FA2888" s="4"/>
      <c r="FB2888" s="4"/>
      <c r="FC2888" s="4"/>
      <c r="FD2888" s="4"/>
      <c r="FE2888" s="4"/>
      <c r="FF2888" s="4"/>
      <c r="FG2888" s="4"/>
      <c r="FH2888" s="4"/>
      <c r="FI2888" s="4"/>
      <c r="FJ2888" s="4"/>
      <c r="FK2888" s="4"/>
      <c r="FL2888" s="4"/>
      <c r="FM2888" s="4"/>
      <c r="FN2888" s="4"/>
      <c r="FO2888" s="4"/>
      <c r="FP2888" s="4"/>
      <c r="FQ2888" s="4"/>
      <c r="FR2888" s="4"/>
      <c r="FS2888" s="4"/>
      <c r="FT2888" s="4"/>
      <c r="FU2888" s="4"/>
      <c r="FV2888" s="4"/>
      <c r="FW2888" s="4"/>
      <c r="FX2888" s="4"/>
      <c r="FY2888" s="4"/>
      <c r="FZ2888" s="4"/>
      <c r="GA2888" s="4"/>
      <c r="GB2888" s="4"/>
      <c r="GC2888" s="4"/>
      <c r="GD2888" s="4"/>
      <c r="GE2888" s="4"/>
      <c r="GF2888" s="4"/>
      <c r="GG2888" s="4"/>
      <c r="GH2888" s="4"/>
      <c r="GI2888" s="4"/>
      <c r="GJ2888" s="4"/>
      <c r="GK2888" s="4"/>
      <c r="GL2888" s="4"/>
      <c r="GM2888" s="4"/>
      <c r="GN2888" s="4"/>
      <c r="GO2888" s="4"/>
      <c r="GP2888" s="4"/>
      <c r="GQ2888" s="4"/>
      <c r="GR2888" s="4"/>
      <c r="GS2888" s="4"/>
      <c r="GT2888" s="4"/>
      <c r="GU2888" s="4"/>
      <c r="GV2888" s="4"/>
      <c r="GW2888" s="4"/>
      <c r="GX2888" s="4"/>
      <c r="GY2888" s="4"/>
      <c r="GZ2888" s="4"/>
      <c r="HA2888" s="4"/>
      <c r="HB2888" s="4"/>
      <c r="HC2888" s="4"/>
      <c r="HD2888" s="4"/>
      <c r="HE2888" s="4"/>
      <c r="HF2888" s="4"/>
      <c r="HG2888" s="4"/>
      <c r="HH2888" s="4"/>
      <c r="HI2888" s="4"/>
      <c r="HJ2888" s="4"/>
      <c r="HK2888" s="4"/>
      <c r="HL2888" s="4"/>
    </row>
    <row r="2889">
      <c r="A2889" s="2" t="s">
        <v>12186</v>
      </c>
      <c r="B2889" s="2" t="s">
        <v>226</v>
      </c>
      <c r="C2889" s="2" t="s">
        <v>965</v>
      </c>
      <c r="D2889" s="2" t="s">
        <v>1549</v>
      </c>
      <c r="E2889" s="2" t="s">
        <v>3949</v>
      </c>
      <c r="F2889" s="2" t="s">
        <v>12181</v>
      </c>
      <c r="G2889" s="2" t="s">
        <v>12181</v>
      </c>
      <c r="H2889" s="2" t="s">
        <v>12181</v>
      </c>
      <c r="I2889" s="2" t="s">
        <v>12182</v>
      </c>
      <c r="J2889" s="2" t="s">
        <v>293</v>
      </c>
      <c r="K2889" s="2" t="s">
        <v>269</v>
      </c>
      <c r="L2889" s="3">
        <v>83.69</v>
      </c>
      <c r="M2889" s="3">
        <v>87.87</v>
      </c>
      <c r="N2889" s="3">
        <v>154.99</v>
      </c>
      <c r="O2889" s="2" t="s">
        <v>235</v>
      </c>
      <c r="P2889" s="2" t="s">
        <v>917</v>
      </c>
      <c r="Q2889" s="2" t="s">
        <v>237</v>
      </c>
      <c r="R2889" s="2" t="s">
        <v>231</v>
      </c>
      <c r="S2889" s="2" t="s">
        <v>12183</v>
      </c>
      <c r="T2889" s="2" t="s">
        <v>970</v>
      </c>
      <c r="U2889" s="2" t="s">
        <v>231</v>
      </c>
      <c r="V2889" s="2" t="s">
        <v>239</v>
      </c>
      <c r="W2889" s="2" t="s">
        <v>273</v>
      </c>
      <c r="X2889" s="2" t="s">
        <v>231</v>
      </c>
      <c r="Y2889" s="2" t="s">
        <v>4657</v>
      </c>
      <c r="Z2889" s="4">
        <v>128</v>
      </c>
      <c r="AA2889" s="4">
        <f>=ROUNDDOWN(25.6,0)</f>
      </c>
      <c r="AB2889" s="5">
        <v>5</v>
      </c>
      <c r="AC2889" s="2" t="s">
        <v>231</v>
      </c>
      <c r="AD2889" s="4"/>
      <c r="AE2889" s="4"/>
      <c r="AF2889" s="6">
        <v>61</v>
      </c>
      <c r="AG2889" s="6"/>
      <c r="AH2889" s="7">
        <v>1</v>
      </c>
      <c r="AI2889" s="4"/>
      <c r="AJ2889" s="4">
        <f>=ROUNDDOWN({0},0)</f>
      </c>
      <c r="AK2889" s="5"/>
      <c r="AL2889" s="2" t="s">
        <v>231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231</v>
      </c>
      <c r="AW2889" s="8" t="s">
        <v>231</v>
      </c>
      <c r="AX2889" s="4" t="s">
        <v>231</v>
      </c>
      <c r="AY2889" s="8" t="s">
        <v>231</v>
      </c>
      <c r="AZ2889" s="7" t="s">
        <v>231</v>
      </c>
      <c r="BA2889" s="7" t="s">
        <v>231</v>
      </c>
      <c r="BB2889" s="7"/>
      <c r="BC2889" s="4" t="s">
        <v>231</v>
      </c>
      <c r="BD2889" s="8" t="s">
        <v>231</v>
      </c>
      <c r="BE2889" s="4" t="s">
        <v>231</v>
      </c>
      <c r="BF2889" s="8" t="s">
        <v>231</v>
      </c>
      <c r="BG2889" s="7" t="s">
        <v>231</v>
      </c>
      <c r="BH2889" s="7" t="s">
        <v>231</v>
      </c>
      <c r="BI2889" s="7"/>
      <c r="BJ2889" s="4">
        <v>3</v>
      </c>
      <c r="BK2889" s="8">
        <v>233.7</v>
      </c>
      <c r="BL2889" s="2" t="s">
        <v>465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12187</v>
      </c>
      <c r="BV2889" s="2" t="s">
        <v>231</v>
      </c>
      <c r="BW2889" s="2" t="s">
        <v>231</v>
      </c>
      <c r="BX2889" s="2" t="s">
        <v>231</v>
      </c>
      <c r="BY2889" s="2" t="s">
        <v>277</v>
      </c>
      <c r="BZ2889" s="2" t="s">
        <v>243</v>
      </c>
      <c r="CA2889" s="2" t="s">
        <v>2491</v>
      </c>
      <c r="CB2889" s="2" t="s">
        <v>4172</v>
      </c>
      <c r="CC2889" s="2" t="s">
        <v>244</v>
      </c>
      <c r="CD2889" s="2" t="s">
        <v>231</v>
      </c>
      <c r="CE2889" s="4">
        <v>128</v>
      </c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4"/>
      <c r="CX2889" s="4"/>
      <c r="CY2889" s="4"/>
      <c r="CZ2889" s="4"/>
      <c r="DA2889" s="4"/>
      <c r="DB2889" s="4"/>
      <c r="DC2889" s="4"/>
      <c r="DD2889" s="4"/>
      <c r="DE2889" s="4"/>
      <c r="DF2889" s="4"/>
      <c r="DG2889" s="4"/>
      <c r="DH2889" s="4"/>
      <c r="DI2889" s="4"/>
      <c r="DJ2889" s="4"/>
      <c r="DK2889" s="4"/>
      <c r="DL2889" s="4"/>
      <c r="DM2889" s="4"/>
      <c r="DN2889" s="4"/>
      <c r="DO2889" s="4"/>
      <c r="DP2889" s="4"/>
      <c r="DQ2889" s="4"/>
      <c r="DR2889" s="4"/>
      <c r="DS2889" s="4"/>
      <c r="DT2889" s="4"/>
      <c r="DU2889" s="4"/>
      <c r="DV2889" s="4"/>
      <c r="DW2889" s="4"/>
      <c r="DX2889" s="4"/>
      <c r="DY2889" s="4"/>
      <c r="DZ2889" s="4"/>
      <c r="EA2889" s="4"/>
      <c r="EB2889" s="4"/>
      <c r="EC2889" s="4"/>
      <c r="ED2889" s="4"/>
      <c r="EE2889" s="4"/>
      <c r="EF2889" s="4"/>
      <c r="EG2889" s="4"/>
      <c r="EH2889" s="4"/>
      <c r="EI2889" s="4"/>
      <c r="EJ2889" s="4"/>
      <c r="EK2889" s="4"/>
      <c r="EL2889" s="4"/>
      <c r="EM2889" s="4"/>
      <c r="EN2889" s="4"/>
      <c r="EO2889" s="4"/>
      <c r="EP2889" s="4"/>
      <c r="EQ2889" s="4"/>
      <c r="ER2889" s="4"/>
      <c r="ES2889" s="4"/>
      <c r="ET2889" s="4"/>
      <c r="EU2889" s="4"/>
      <c r="EV2889" s="4"/>
      <c r="EW2889" s="4"/>
      <c r="EX2889" s="4"/>
      <c r="EY2889" s="4"/>
      <c r="EZ2889" s="4"/>
      <c r="FA2889" s="4"/>
      <c r="FB2889" s="4"/>
      <c r="FC2889" s="4"/>
      <c r="FD2889" s="4"/>
      <c r="FE2889" s="4"/>
      <c r="FF2889" s="4"/>
      <c r="FG2889" s="4"/>
      <c r="FH2889" s="4"/>
      <c r="FI2889" s="4"/>
      <c r="FJ2889" s="4"/>
      <c r="FK2889" s="4"/>
      <c r="FL2889" s="4"/>
      <c r="FM2889" s="4"/>
      <c r="FN2889" s="4"/>
      <c r="FO2889" s="4"/>
      <c r="FP2889" s="4"/>
      <c r="FQ2889" s="4"/>
      <c r="FR2889" s="4"/>
      <c r="FS2889" s="4"/>
      <c r="FT2889" s="4"/>
      <c r="FU2889" s="4"/>
      <c r="FV2889" s="4"/>
      <c r="FW2889" s="4"/>
      <c r="FX2889" s="4"/>
      <c r="FY2889" s="4"/>
      <c r="FZ2889" s="4"/>
      <c r="GA2889" s="4"/>
      <c r="GB2889" s="4"/>
      <c r="GC2889" s="4"/>
      <c r="GD2889" s="4"/>
      <c r="GE2889" s="4"/>
      <c r="GF2889" s="4"/>
      <c r="GG2889" s="4"/>
      <c r="GH2889" s="4"/>
      <c r="GI2889" s="4"/>
      <c r="GJ2889" s="4"/>
      <c r="GK2889" s="4"/>
      <c r="GL2889" s="4"/>
      <c r="GM2889" s="4"/>
      <c r="GN2889" s="4"/>
      <c r="GO2889" s="4"/>
      <c r="GP2889" s="4"/>
      <c r="GQ2889" s="4"/>
      <c r="GR2889" s="4"/>
      <c r="GS2889" s="4"/>
      <c r="GT2889" s="4"/>
      <c r="GU2889" s="4"/>
      <c r="GV2889" s="4"/>
      <c r="GW2889" s="4"/>
      <c r="GX2889" s="4"/>
      <c r="GY2889" s="4"/>
      <c r="GZ2889" s="4"/>
      <c r="HA2889" s="4"/>
      <c r="HB2889" s="4"/>
      <c r="HC2889" s="4"/>
      <c r="HD2889" s="4"/>
      <c r="HE2889" s="4"/>
      <c r="HF2889" s="4"/>
      <c r="HG2889" s="4"/>
      <c r="HH2889" s="4"/>
      <c r="HI2889" s="4"/>
      <c r="HJ2889" s="4"/>
      <c r="HK2889" s="4"/>
      <c r="HL2889" s="4"/>
    </row>
    <row r="2890">
      <c r="A2890" s="2" t="s">
        <v>12188</v>
      </c>
      <c r="B2890" s="2" t="s">
        <v>226</v>
      </c>
      <c r="C2890" s="2" t="s">
        <v>965</v>
      </c>
      <c r="D2890" s="2" t="s">
        <v>1549</v>
      </c>
      <c r="E2890" s="2" t="s">
        <v>3949</v>
      </c>
      <c r="F2890" s="2" t="s">
        <v>12181</v>
      </c>
      <c r="G2890" s="2" t="s">
        <v>12181</v>
      </c>
      <c r="H2890" s="2" t="s">
        <v>12181</v>
      </c>
      <c r="I2890" s="2" t="s">
        <v>12182</v>
      </c>
      <c r="J2890" s="2" t="s">
        <v>318</v>
      </c>
      <c r="K2890" s="2" t="s">
        <v>901</v>
      </c>
      <c r="L2890" s="3">
        <v>56.69</v>
      </c>
      <c r="M2890" s="3">
        <v>59.52</v>
      </c>
      <c r="N2890" s="3">
        <v>104.99</v>
      </c>
      <c r="O2890" s="2" t="s">
        <v>235</v>
      </c>
      <c r="P2890" s="2" t="s">
        <v>917</v>
      </c>
      <c r="Q2890" s="2" t="s">
        <v>237</v>
      </c>
      <c r="R2890" s="2" t="s">
        <v>231</v>
      </c>
      <c r="S2890" s="2" t="s">
        <v>12189</v>
      </c>
      <c r="T2890" s="2" t="s">
        <v>1630</v>
      </c>
      <c r="U2890" s="2" t="s">
        <v>327</v>
      </c>
      <c r="V2890" s="2" t="s">
        <v>239</v>
      </c>
      <c r="W2890" s="2" t="s">
        <v>273</v>
      </c>
      <c r="X2890" s="2" t="s">
        <v>231</v>
      </c>
      <c r="Y2890" s="2" t="s">
        <v>2961</v>
      </c>
      <c r="Z2890" s="4">
        <v>180</v>
      </c>
      <c r="AA2890" s="4">
        <f>=ROUNDDOWN(180,0)</f>
      </c>
      <c r="AB2890" s="5">
        <v>1</v>
      </c>
      <c r="AC2890" s="2" t="s">
        <v>231</v>
      </c>
      <c r="AD2890" s="4"/>
      <c r="AE2890" s="4"/>
      <c r="AF2890" s="6">
        <v>61</v>
      </c>
      <c r="AG2890" s="6"/>
      <c r="AH2890" s="7">
        <v>1</v>
      </c>
      <c r="AI2890" s="4"/>
      <c r="AJ2890" s="4">
        <f>=ROUNDDOWN({0},0)</f>
      </c>
      <c r="AK2890" s="5"/>
      <c r="AL2890" s="2" t="s">
        <v>231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231</v>
      </c>
      <c r="AW2890" s="8" t="s">
        <v>231</v>
      </c>
      <c r="AX2890" s="4" t="s">
        <v>231</v>
      </c>
      <c r="AY2890" s="8" t="s">
        <v>231</v>
      </c>
      <c r="AZ2890" s="7" t="s">
        <v>231</v>
      </c>
      <c r="BA2890" s="7" t="s">
        <v>231</v>
      </c>
      <c r="BB2890" s="7"/>
      <c r="BC2890" s="4" t="s">
        <v>231</v>
      </c>
      <c r="BD2890" s="8" t="s">
        <v>231</v>
      </c>
      <c r="BE2890" s="4" t="s">
        <v>231</v>
      </c>
      <c r="BF2890" s="8" t="s">
        <v>231</v>
      </c>
      <c r="BG2890" s="7" t="s">
        <v>231</v>
      </c>
      <c r="BH2890" s="7" t="s">
        <v>231</v>
      </c>
      <c r="BI2890" s="7"/>
      <c r="BJ2890" s="4">
        <v>2</v>
      </c>
      <c r="BK2890" s="8">
        <v>80.1</v>
      </c>
      <c r="BL2890" s="2" t="s">
        <v>924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12190</v>
      </c>
      <c r="BV2890" s="2" t="s">
        <v>231</v>
      </c>
      <c r="BW2890" s="2" t="s">
        <v>231</v>
      </c>
      <c r="BX2890" s="2" t="s">
        <v>231</v>
      </c>
      <c r="BY2890" s="2" t="s">
        <v>277</v>
      </c>
      <c r="BZ2890" s="2" t="s">
        <v>243</v>
      </c>
      <c r="CA2890" s="2" t="s">
        <v>4814</v>
      </c>
      <c r="CB2890" s="2" t="s">
        <v>712</v>
      </c>
      <c r="CC2890" s="2" t="s">
        <v>244</v>
      </c>
      <c r="CD2890" s="2" t="s">
        <v>231</v>
      </c>
      <c r="CE2890" s="4">
        <v>180</v>
      </c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4"/>
      <c r="CX2890" s="4"/>
      <c r="CY2890" s="4"/>
      <c r="CZ2890" s="4"/>
      <c r="DA2890" s="4"/>
      <c r="DB2890" s="4"/>
      <c r="DC2890" s="4"/>
      <c r="DD2890" s="4"/>
      <c r="DE2890" s="4"/>
      <c r="DF2890" s="4"/>
      <c r="DG2890" s="4"/>
      <c r="DH2890" s="4"/>
      <c r="DI2890" s="4"/>
      <c r="DJ2890" s="4"/>
      <c r="DK2890" s="4"/>
      <c r="DL2890" s="4"/>
      <c r="DM2890" s="4"/>
      <c r="DN2890" s="4"/>
      <c r="DO2890" s="4"/>
      <c r="DP2890" s="4"/>
      <c r="DQ2890" s="4"/>
      <c r="DR2890" s="4"/>
      <c r="DS2890" s="4"/>
      <c r="DT2890" s="4"/>
      <c r="DU2890" s="4"/>
      <c r="DV2890" s="4"/>
      <c r="DW2890" s="4"/>
      <c r="DX2890" s="4"/>
      <c r="DY2890" s="4"/>
      <c r="DZ2890" s="4"/>
      <c r="EA2890" s="4"/>
      <c r="EB2890" s="4"/>
      <c r="EC2890" s="4"/>
      <c r="ED2890" s="4"/>
      <c r="EE2890" s="4"/>
      <c r="EF2890" s="4"/>
      <c r="EG2890" s="4"/>
      <c r="EH2890" s="4"/>
      <c r="EI2890" s="4"/>
      <c r="EJ2890" s="4"/>
      <c r="EK2890" s="4"/>
      <c r="EL2890" s="4"/>
      <c r="EM2890" s="4"/>
      <c r="EN2890" s="4"/>
      <c r="EO2890" s="4"/>
      <c r="EP2890" s="4"/>
      <c r="EQ2890" s="4"/>
      <c r="ER2890" s="4"/>
      <c r="ES2890" s="4"/>
      <c r="ET2890" s="4"/>
      <c r="EU2890" s="4"/>
      <c r="EV2890" s="4"/>
      <c r="EW2890" s="4"/>
      <c r="EX2890" s="4"/>
      <c r="EY2890" s="4"/>
      <c r="EZ2890" s="4"/>
      <c r="FA2890" s="4"/>
      <c r="FB2890" s="4"/>
      <c r="FC2890" s="4"/>
      <c r="FD2890" s="4"/>
      <c r="FE2890" s="4"/>
      <c r="FF2890" s="4"/>
      <c r="FG2890" s="4"/>
      <c r="FH2890" s="4"/>
      <c r="FI2890" s="4"/>
      <c r="FJ2890" s="4"/>
      <c r="FK2890" s="4"/>
      <c r="FL2890" s="4"/>
      <c r="FM2890" s="4"/>
      <c r="FN2890" s="4"/>
      <c r="FO2890" s="4"/>
      <c r="FP2890" s="4"/>
      <c r="FQ2890" s="4"/>
      <c r="FR2890" s="4"/>
      <c r="FS2890" s="4"/>
      <c r="FT2890" s="4"/>
      <c r="FU2890" s="4"/>
      <c r="FV2890" s="4"/>
      <c r="FW2890" s="4"/>
      <c r="FX2890" s="4"/>
      <c r="FY2890" s="4"/>
      <c r="FZ2890" s="4"/>
      <c r="GA2890" s="4"/>
      <c r="GB2890" s="4"/>
      <c r="GC2890" s="4"/>
      <c r="GD2890" s="4"/>
      <c r="GE2890" s="4"/>
      <c r="GF2890" s="4"/>
      <c r="GG2890" s="4"/>
      <c r="GH2890" s="4"/>
      <c r="GI2890" s="4"/>
      <c r="GJ2890" s="4"/>
      <c r="GK2890" s="4"/>
      <c r="GL2890" s="4"/>
      <c r="GM2890" s="4"/>
      <c r="GN2890" s="4"/>
      <c r="GO2890" s="4"/>
      <c r="GP2890" s="4"/>
      <c r="GQ2890" s="4"/>
      <c r="GR2890" s="4"/>
      <c r="GS2890" s="4"/>
      <c r="GT2890" s="4"/>
      <c r="GU2890" s="4"/>
      <c r="GV2890" s="4"/>
      <c r="GW2890" s="4"/>
      <c r="GX2890" s="4"/>
      <c r="GY2890" s="4"/>
      <c r="GZ2890" s="4"/>
      <c r="HA2890" s="4"/>
      <c r="HB2890" s="4"/>
      <c r="HC2890" s="4"/>
      <c r="HD2890" s="4"/>
      <c r="HE2890" s="4"/>
      <c r="HF2890" s="4"/>
      <c r="HG2890" s="4"/>
      <c r="HH2890" s="4"/>
      <c r="HI2890" s="4"/>
      <c r="HJ2890" s="4"/>
      <c r="HK2890" s="4"/>
      <c r="HL2890" s="4"/>
    </row>
    <row r="2891">
      <c r="A2891" s="2" t="s">
        <v>12191</v>
      </c>
      <c r="B2891" s="2" t="s">
        <v>226</v>
      </c>
      <c r="C2891" s="2" t="s">
        <v>965</v>
      </c>
      <c r="D2891" s="2" t="s">
        <v>1549</v>
      </c>
      <c r="E2891" s="2" t="s">
        <v>3949</v>
      </c>
      <c r="F2891" s="2" t="s">
        <v>12181</v>
      </c>
      <c r="G2891" s="2" t="s">
        <v>12181</v>
      </c>
      <c r="H2891" s="2" t="s">
        <v>12181</v>
      </c>
      <c r="I2891" s="2" t="s">
        <v>12182</v>
      </c>
      <c r="J2891" s="2" t="s">
        <v>281</v>
      </c>
      <c r="K2891" s="2" t="s">
        <v>901</v>
      </c>
      <c r="L2891" s="3">
        <v>62.09</v>
      </c>
      <c r="M2891" s="3">
        <v>65.19</v>
      </c>
      <c r="N2891" s="3">
        <v>114.99</v>
      </c>
      <c r="O2891" s="2" t="s">
        <v>235</v>
      </c>
      <c r="P2891" s="2" t="s">
        <v>917</v>
      </c>
      <c r="Q2891" s="2" t="s">
        <v>237</v>
      </c>
      <c r="R2891" s="2" t="s">
        <v>231</v>
      </c>
      <c r="S2891" s="2" t="s">
        <v>12189</v>
      </c>
      <c r="T2891" s="2" t="s">
        <v>1630</v>
      </c>
      <c r="U2891" s="2" t="s">
        <v>327</v>
      </c>
      <c r="V2891" s="2" t="s">
        <v>239</v>
      </c>
      <c r="W2891" s="2" t="s">
        <v>273</v>
      </c>
      <c r="X2891" s="2" t="s">
        <v>231</v>
      </c>
      <c r="Y2891" s="2" t="s">
        <v>5820</v>
      </c>
      <c r="Z2891" s="4">
        <v>211</v>
      </c>
      <c r="AA2891" s="4">
        <f>=ROUNDDOWN(105.5,0)</f>
      </c>
      <c r="AB2891" s="5">
        <v>2</v>
      </c>
      <c r="AC2891" s="2" t="s">
        <v>231</v>
      </c>
      <c r="AD2891" s="4"/>
      <c r="AE2891" s="4"/>
      <c r="AF2891" s="6">
        <v>61</v>
      </c>
      <c r="AG2891" s="6"/>
      <c r="AH2891" s="7">
        <v>1</v>
      </c>
      <c r="AI2891" s="4"/>
      <c r="AJ2891" s="4">
        <f>=ROUNDDOWN({0},0)</f>
      </c>
      <c r="AK2891" s="5"/>
      <c r="AL2891" s="2" t="s">
        <v>231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231</v>
      </c>
      <c r="AW2891" s="8" t="s">
        <v>231</v>
      </c>
      <c r="AX2891" s="4" t="s">
        <v>231</v>
      </c>
      <c r="AY2891" s="8" t="s">
        <v>231</v>
      </c>
      <c r="AZ2891" s="7" t="s">
        <v>231</v>
      </c>
      <c r="BA2891" s="7" t="s">
        <v>231</v>
      </c>
      <c r="BB2891" s="7"/>
      <c r="BC2891" s="4" t="s">
        <v>231</v>
      </c>
      <c r="BD2891" s="8" t="s">
        <v>231</v>
      </c>
      <c r="BE2891" s="4" t="s">
        <v>231</v>
      </c>
      <c r="BF2891" s="8" t="s">
        <v>231</v>
      </c>
      <c r="BG2891" s="7" t="s">
        <v>231</v>
      </c>
      <c r="BH2891" s="7" t="s">
        <v>231</v>
      </c>
      <c r="BI2891" s="7"/>
      <c r="BJ2891" s="4">
        <v>2</v>
      </c>
      <c r="BK2891" s="8">
        <v>124.17</v>
      </c>
      <c r="BL2891" s="2" t="s">
        <v>12192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12193</v>
      </c>
      <c r="BV2891" s="2" t="s">
        <v>231</v>
      </c>
      <c r="BW2891" s="2" t="s">
        <v>231</v>
      </c>
      <c r="BX2891" s="2" t="s">
        <v>231</v>
      </c>
      <c r="BY2891" s="2" t="s">
        <v>277</v>
      </c>
      <c r="BZ2891" s="2" t="s">
        <v>243</v>
      </c>
      <c r="CA2891" s="2" t="s">
        <v>4814</v>
      </c>
      <c r="CB2891" s="2" t="s">
        <v>10858</v>
      </c>
      <c r="CC2891" s="2" t="s">
        <v>244</v>
      </c>
      <c r="CD2891" s="2" t="s">
        <v>231</v>
      </c>
      <c r="CE2891" s="4">
        <v>211</v>
      </c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4"/>
      <c r="CX2891" s="4"/>
      <c r="CY2891" s="4"/>
      <c r="CZ2891" s="4"/>
      <c r="DA2891" s="4"/>
      <c r="DB2891" s="4"/>
      <c r="DC2891" s="4"/>
      <c r="DD2891" s="4"/>
      <c r="DE2891" s="4"/>
      <c r="DF2891" s="4"/>
      <c r="DG2891" s="4"/>
      <c r="DH2891" s="4"/>
      <c r="DI2891" s="4"/>
      <c r="DJ2891" s="4"/>
      <c r="DK2891" s="4"/>
      <c r="DL2891" s="4"/>
      <c r="DM2891" s="4"/>
      <c r="DN2891" s="4"/>
      <c r="DO2891" s="4"/>
      <c r="DP2891" s="4"/>
      <c r="DQ2891" s="4"/>
      <c r="DR2891" s="4"/>
      <c r="DS2891" s="4"/>
      <c r="DT2891" s="4"/>
      <c r="DU2891" s="4"/>
      <c r="DV2891" s="4"/>
      <c r="DW2891" s="4"/>
      <c r="DX2891" s="4"/>
      <c r="DY2891" s="4"/>
      <c r="DZ2891" s="4"/>
      <c r="EA2891" s="4"/>
      <c r="EB2891" s="4"/>
      <c r="EC2891" s="4"/>
      <c r="ED2891" s="4"/>
      <c r="EE2891" s="4"/>
      <c r="EF2891" s="4"/>
      <c r="EG2891" s="4"/>
      <c r="EH2891" s="4"/>
      <c r="EI2891" s="4"/>
      <c r="EJ2891" s="4"/>
      <c r="EK2891" s="4"/>
      <c r="EL2891" s="4"/>
      <c r="EM2891" s="4"/>
      <c r="EN2891" s="4"/>
      <c r="EO2891" s="4"/>
      <c r="EP2891" s="4"/>
      <c r="EQ2891" s="4"/>
      <c r="ER2891" s="4"/>
      <c r="ES2891" s="4"/>
      <c r="ET2891" s="4"/>
      <c r="EU2891" s="4"/>
      <c r="EV2891" s="4"/>
      <c r="EW2891" s="4"/>
      <c r="EX2891" s="4"/>
      <c r="EY2891" s="4"/>
      <c r="EZ2891" s="4"/>
      <c r="FA2891" s="4"/>
      <c r="FB2891" s="4"/>
      <c r="FC2891" s="4"/>
      <c r="FD2891" s="4"/>
      <c r="FE2891" s="4"/>
      <c r="FF2891" s="4"/>
      <c r="FG2891" s="4"/>
      <c r="FH2891" s="4"/>
      <c r="FI2891" s="4"/>
      <c r="FJ2891" s="4"/>
      <c r="FK2891" s="4"/>
      <c r="FL2891" s="4"/>
      <c r="FM2891" s="4"/>
      <c r="FN2891" s="4"/>
      <c r="FO2891" s="4"/>
      <c r="FP2891" s="4"/>
      <c r="FQ2891" s="4"/>
      <c r="FR2891" s="4"/>
      <c r="FS2891" s="4"/>
      <c r="FT2891" s="4"/>
      <c r="FU2891" s="4"/>
      <c r="FV2891" s="4"/>
      <c r="FW2891" s="4"/>
      <c r="FX2891" s="4"/>
      <c r="FY2891" s="4"/>
      <c r="FZ2891" s="4"/>
      <c r="GA2891" s="4"/>
      <c r="GB2891" s="4"/>
      <c r="GC2891" s="4"/>
      <c r="GD2891" s="4"/>
      <c r="GE2891" s="4"/>
      <c r="GF2891" s="4"/>
      <c r="GG2891" s="4"/>
      <c r="GH2891" s="4"/>
      <c r="GI2891" s="4"/>
      <c r="GJ2891" s="4"/>
      <c r="GK2891" s="4"/>
      <c r="GL2891" s="4"/>
      <c r="GM2891" s="4"/>
      <c r="GN2891" s="4"/>
      <c r="GO2891" s="4"/>
      <c r="GP2891" s="4"/>
      <c r="GQ2891" s="4"/>
      <c r="GR2891" s="4"/>
      <c r="GS2891" s="4"/>
      <c r="GT2891" s="4"/>
      <c r="GU2891" s="4"/>
      <c r="GV2891" s="4"/>
      <c r="GW2891" s="4"/>
      <c r="GX2891" s="4"/>
      <c r="GY2891" s="4"/>
      <c r="GZ2891" s="4"/>
      <c r="HA2891" s="4"/>
      <c r="HB2891" s="4"/>
      <c r="HC2891" s="4"/>
      <c r="HD2891" s="4"/>
      <c r="HE2891" s="4"/>
      <c r="HF2891" s="4"/>
      <c r="HG2891" s="4"/>
      <c r="HH2891" s="4"/>
      <c r="HI2891" s="4"/>
      <c r="HJ2891" s="4"/>
      <c r="HK2891" s="4"/>
      <c r="HL2891" s="4"/>
    </row>
    <row r="2892">
      <c r="A2892" s="2" t="s">
        <v>12194</v>
      </c>
      <c r="B2892" s="2" t="s">
        <v>226</v>
      </c>
      <c r="C2892" s="2" t="s">
        <v>965</v>
      </c>
      <c r="D2892" s="2" t="s">
        <v>1549</v>
      </c>
      <c r="E2892" s="2" t="s">
        <v>3949</v>
      </c>
      <c r="F2892" s="2" t="s">
        <v>12181</v>
      </c>
      <c r="G2892" s="2" t="s">
        <v>12181</v>
      </c>
      <c r="H2892" s="2" t="s">
        <v>12181</v>
      </c>
      <c r="I2892" s="2" t="s">
        <v>12182</v>
      </c>
      <c r="J2892" s="2" t="s">
        <v>293</v>
      </c>
      <c r="K2892" s="2" t="s">
        <v>901</v>
      </c>
      <c r="L2892" s="3">
        <v>83.69</v>
      </c>
      <c r="M2892" s="3">
        <v>87.87</v>
      </c>
      <c r="N2892" s="3">
        <v>154.99</v>
      </c>
      <c r="O2892" s="2" t="s">
        <v>235</v>
      </c>
      <c r="P2892" s="2" t="s">
        <v>917</v>
      </c>
      <c r="Q2892" s="2" t="s">
        <v>237</v>
      </c>
      <c r="R2892" s="2" t="s">
        <v>231</v>
      </c>
      <c r="S2892" s="2" t="s">
        <v>12189</v>
      </c>
      <c r="T2892" s="2" t="s">
        <v>1630</v>
      </c>
      <c r="U2892" s="2" t="s">
        <v>327</v>
      </c>
      <c r="V2892" s="2" t="s">
        <v>239</v>
      </c>
      <c r="W2892" s="2" t="s">
        <v>273</v>
      </c>
      <c r="X2892" s="2" t="s">
        <v>231</v>
      </c>
      <c r="Y2892" s="2" t="s">
        <v>5820</v>
      </c>
      <c r="Z2892" s="4">
        <v>136</v>
      </c>
      <c r="AA2892" s="4">
        <f>=ROUNDDOWN(45.3333333333333,0)</f>
      </c>
      <c r="AB2892" s="5">
        <v>3</v>
      </c>
      <c r="AC2892" s="2" t="s">
        <v>231</v>
      </c>
      <c r="AD2892" s="4"/>
      <c r="AE2892" s="4"/>
      <c r="AF2892" s="6">
        <v>61</v>
      </c>
      <c r="AG2892" s="6"/>
      <c r="AH2892" s="7">
        <v>1</v>
      </c>
      <c r="AI2892" s="4"/>
      <c r="AJ2892" s="4">
        <f>=ROUNDDOWN({0},0)</f>
      </c>
      <c r="AK2892" s="5"/>
      <c r="AL2892" s="2" t="s">
        <v>231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231</v>
      </c>
      <c r="AW2892" s="8" t="s">
        <v>231</v>
      </c>
      <c r="AX2892" s="4" t="s">
        <v>231</v>
      </c>
      <c r="AY2892" s="8" t="s">
        <v>231</v>
      </c>
      <c r="AZ2892" s="7" t="s">
        <v>231</v>
      </c>
      <c r="BA2892" s="7" t="s">
        <v>231</v>
      </c>
      <c r="BB2892" s="7"/>
      <c r="BC2892" s="4" t="s">
        <v>231</v>
      </c>
      <c r="BD2892" s="8" t="s">
        <v>231</v>
      </c>
      <c r="BE2892" s="4" t="s">
        <v>231</v>
      </c>
      <c r="BF2892" s="8" t="s">
        <v>231</v>
      </c>
      <c r="BG2892" s="7" t="s">
        <v>231</v>
      </c>
      <c r="BH2892" s="7" t="s">
        <v>231</v>
      </c>
      <c r="BI2892" s="7"/>
      <c r="BJ2892" s="4">
        <v>3</v>
      </c>
      <c r="BK2892" s="8">
        <v>212.92</v>
      </c>
      <c r="BL2892" s="2" t="s">
        <v>1240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12195</v>
      </c>
      <c r="BV2892" s="2" t="s">
        <v>231</v>
      </c>
      <c r="BW2892" s="2" t="s">
        <v>231</v>
      </c>
      <c r="BX2892" s="2" t="s">
        <v>231</v>
      </c>
      <c r="BY2892" s="2" t="s">
        <v>277</v>
      </c>
      <c r="BZ2892" s="2" t="s">
        <v>243</v>
      </c>
      <c r="CA2892" s="2" t="s">
        <v>4814</v>
      </c>
      <c r="CB2892" s="2" t="s">
        <v>10007</v>
      </c>
      <c r="CC2892" s="2" t="s">
        <v>244</v>
      </c>
      <c r="CD2892" s="2" t="s">
        <v>231</v>
      </c>
      <c r="CE2892" s="4">
        <v>136</v>
      </c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4"/>
      <c r="CX2892" s="4"/>
      <c r="CY2892" s="4"/>
      <c r="CZ2892" s="4"/>
      <c r="DA2892" s="4"/>
      <c r="DB2892" s="4"/>
      <c r="DC2892" s="4"/>
      <c r="DD2892" s="4"/>
      <c r="DE2892" s="4"/>
      <c r="DF2892" s="4"/>
      <c r="DG2892" s="4"/>
      <c r="DH2892" s="4"/>
      <c r="DI2892" s="4"/>
      <c r="DJ2892" s="4"/>
      <c r="DK2892" s="4"/>
      <c r="DL2892" s="4"/>
      <c r="DM2892" s="4"/>
      <c r="DN2892" s="4"/>
      <c r="DO2892" s="4"/>
      <c r="DP2892" s="4"/>
      <c r="DQ2892" s="4"/>
      <c r="DR2892" s="4"/>
      <c r="DS2892" s="4"/>
      <c r="DT2892" s="4"/>
      <c r="DU2892" s="4"/>
      <c r="DV2892" s="4"/>
      <c r="DW2892" s="4"/>
      <c r="DX2892" s="4"/>
      <c r="DY2892" s="4"/>
      <c r="DZ2892" s="4"/>
      <c r="EA2892" s="4"/>
      <c r="EB2892" s="4"/>
      <c r="EC2892" s="4"/>
      <c r="ED2892" s="4"/>
      <c r="EE2892" s="4"/>
      <c r="EF2892" s="4"/>
      <c r="EG2892" s="4"/>
      <c r="EH2892" s="4"/>
      <c r="EI2892" s="4"/>
      <c r="EJ2892" s="4"/>
      <c r="EK2892" s="4"/>
      <c r="EL2892" s="4"/>
      <c r="EM2892" s="4"/>
      <c r="EN2892" s="4"/>
      <c r="EO2892" s="4"/>
      <c r="EP2892" s="4"/>
      <c r="EQ2892" s="4"/>
      <c r="ER2892" s="4"/>
      <c r="ES2892" s="4"/>
      <c r="ET2892" s="4"/>
      <c r="EU2892" s="4"/>
      <c r="EV2892" s="4"/>
      <c r="EW2892" s="4"/>
      <c r="EX2892" s="4"/>
      <c r="EY2892" s="4"/>
      <c r="EZ2892" s="4"/>
      <c r="FA2892" s="4"/>
      <c r="FB2892" s="4"/>
      <c r="FC2892" s="4"/>
      <c r="FD2892" s="4"/>
      <c r="FE2892" s="4"/>
      <c r="FF2892" s="4"/>
      <c r="FG2892" s="4"/>
      <c r="FH2892" s="4"/>
      <c r="FI2892" s="4"/>
      <c r="FJ2892" s="4"/>
      <c r="FK2892" s="4"/>
      <c r="FL2892" s="4"/>
      <c r="FM2892" s="4"/>
      <c r="FN2892" s="4"/>
      <c r="FO2892" s="4"/>
      <c r="FP2892" s="4"/>
      <c r="FQ2892" s="4"/>
      <c r="FR2892" s="4"/>
      <c r="FS2892" s="4"/>
      <c r="FT2892" s="4"/>
      <c r="FU2892" s="4"/>
      <c r="FV2892" s="4"/>
      <c r="FW2892" s="4"/>
      <c r="FX2892" s="4"/>
      <c r="FY2892" s="4"/>
      <c r="FZ2892" s="4"/>
      <c r="GA2892" s="4"/>
      <c r="GB2892" s="4"/>
      <c r="GC2892" s="4"/>
      <c r="GD2892" s="4"/>
      <c r="GE2892" s="4"/>
      <c r="GF2892" s="4"/>
      <c r="GG2892" s="4"/>
      <c r="GH2892" s="4"/>
      <c r="GI2892" s="4"/>
      <c r="GJ2892" s="4"/>
      <c r="GK2892" s="4"/>
      <c r="GL2892" s="4"/>
      <c r="GM2892" s="4"/>
      <c r="GN2892" s="4"/>
      <c r="GO2892" s="4"/>
      <c r="GP2892" s="4"/>
      <c r="GQ2892" s="4"/>
      <c r="GR2892" s="4"/>
      <c r="GS2892" s="4"/>
      <c r="GT2892" s="4"/>
      <c r="GU2892" s="4"/>
      <c r="GV2892" s="4"/>
      <c r="GW2892" s="4"/>
      <c r="GX2892" s="4"/>
      <c r="GY2892" s="4"/>
      <c r="GZ2892" s="4"/>
      <c r="HA2892" s="4"/>
      <c r="HB2892" s="4"/>
      <c r="HC2892" s="4"/>
      <c r="HD2892" s="4"/>
      <c r="HE2892" s="4"/>
      <c r="HF2892" s="4"/>
      <c r="HG2892" s="4"/>
      <c r="HH2892" s="4"/>
      <c r="HI2892" s="4"/>
      <c r="HJ2892" s="4"/>
      <c r="HK2892" s="4"/>
      <c r="HL2892" s="4"/>
    </row>
    <row r="2893">
      <c r="A2893" s="2" t="s">
        <v>12196</v>
      </c>
      <c r="B2893" s="2" t="s">
        <v>226</v>
      </c>
      <c r="C2893" s="2" t="s">
        <v>965</v>
      </c>
      <c r="D2893" s="2" t="s">
        <v>1549</v>
      </c>
      <c r="E2893" s="2" t="s">
        <v>3949</v>
      </c>
      <c r="F2893" s="2" t="s">
        <v>12181</v>
      </c>
      <c r="G2893" s="2" t="s">
        <v>12181</v>
      </c>
      <c r="H2893" s="2" t="s">
        <v>12181</v>
      </c>
      <c r="I2893" s="2" t="s">
        <v>12182</v>
      </c>
      <c r="J2893" s="2" t="s">
        <v>302</v>
      </c>
      <c r="K2893" s="2" t="s">
        <v>901</v>
      </c>
      <c r="L2893" s="3">
        <v>94.49</v>
      </c>
      <c r="M2893" s="3">
        <v>99.21</v>
      </c>
      <c r="N2893" s="3">
        <v>174.99</v>
      </c>
      <c r="O2893" s="2" t="s">
        <v>235</v>
      </c>
      <c r="P2893" s="2" t="s">
        <v>917</v>
      </c>
      <c r="Q2893" s="2" t="s">
        <v>237</v>
      </c>
      <c r="R2893" s="2" t="s">
        <v>231</v>
      </c>
      <c r="S2893" s="2" t="s">
        <v>12189</v>
      </c>
      <c r="T2893" s="2" t="s">
        <v>1630</v>
      </c>
      <c r="U2893" s="2" t="s">
        <v>327</v>
      </c>
      <c r="V2893" s="2" t="s">
        <v>239</v>
      </c>
      <c r="W2893" s="2" t="s">
        <v>273</v>
      </c>
      <c r="X2893" s="2" t="s">
        <v>231</v>
      </c>
      <c r="Y2893" s="2" t="s">
        <v>5820</v>
      </c>
      <c r="Z2893" s="4">
        <v>154</v>
      </c>
      <c r="AA2893" s="4">
        <f>=ROUNDDOWN(51.3333333333333,0)</f>
      </c>
      <c r="AB2893" s="5">
        <v>3</v>
      </c>
      <c r="AC2893" s="2" t="s">
        <v>231</v>
      </c>
      <c r="AD2893" s="4"/>
      <c r="AE2893" s="4"/>
      <c r="AF2893" s="6">
        <v>61</v>
      </c>
      <c r="AG2893" s="6"/>
      <c r="AH2893" s="7">
        <v>1</v>
      </c>
      <c r="AI2893" s="4"/>
      <c r="AJ2893" s="4">
        <f>=ROUNDDOWN({0},0)</f>
      </c>
      <c r="AK2893" s="5"/>
      <c r="AL2893" s="2" t="s">
        <v>231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231</v>
      </c>
      <c r="AW2893" s="8" t="s">
        <v>231</v>
      </c>
      <c r="AX2893" s="4" t="s">
        <v>231</v>
      </c>
      <c r="AY2893" s="8" t="s">
        <v>231</v>
      </c>
      <c r="AZ2893" s="7" t="s">
        <v>231</v>
      </c>
      <c r="BA2893" s="7" t="s">
        <v>231</v>
      </c>
      <c r="BB2893" s="7"/>
      <c r="BC2893" s="4" t="s">
        <v>231</v>
      </c>
      <c r="BD2893" s="8" t="s">
        <v>231</v>
      </c>
      <c r="BE2893" s="4" t="s">
        <v>231</v>
      </c>
      <c r="BF2893" s="8" t="s">
        <v>231</v>
      </c>
      <c r="BG2893" s="7" t="s">
        <v>231</v>
      </c>
      <c r="BH2893" s="7" t="s">
        <v>231</v>
      </c>
      <c r="BI2893" s="7"/>
      <c r="BJ2893" s="4"/>
      <c r="BK2893" s="8"/>
      <c r="BL2893" s="2" t="s">
        <v>465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12197</v>
      </c>
      <c r="BV2893" s="2" t="s">
        <v>231</v>
      </c>
      <c r="BW2893" s="2" t="s">
        <v>231</v>
      </c>
      <c r="BX2893" s="2" t="s">
        <v>231</v>
      </c>
      <c r="BY2893" s="2" t="s">
        <v>277</v>
      </c>
      <c r="BZ2893" s="2" t="s">
        <v>243</v>
      </c>
      <c r="CA2893" s="2" t="s">
        <v>4814</v>
      </c>
      <c r="CB2893" s="2" t="s">
        <v>12198</v>
      </c>
      <c r="CC2893" s="2" t="s">
        <v>244</v>
      </c>
      <c r="CD2893" s="2" t="s">
        <v>231</v>
      </c>
      <c r="CE2893" s="4">
        <v>154</v>
      </c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4"/>
      <c r="CX2893" s="4"/>
      <c r="CY2893" s="4"/>
      <c r="CZ2893" s="4"/>
      <c r="DA2893" s="4"/>
      <c r="DB2893" s="4"/>
      <c r="DC2893" s="4"/>
      <c r="DD2893" s="4"/>
      <c r="DE2893" s="4"/>
      <c r="DF2893" s="4"/>
      <c r="DG2893" s="4"/>
      <c r="DH2893" s="4"/>
      <c r="DI2893" s="4"/>
      <c r="DJ2893" s="4"/>
      <c r="DK2893" s="4"/>
      <c r="DL2893" s="4"/>
      <c r="DM2893" s="4"/>
      <c r="DN2893" s="4"/>
      <c r="DO2893" s="4"/>
      <c r="DP2893" s="4"/>
      <c r="DQ2893" s="4"/>
      <c r="DR2893" s="4"/>
      <c r="DS2893" s="4"/>
      <c r="DT2893" s="4"/>
      <c r="DU2893" s="4"/>
      <c r="DV2893" s="4"/>
      <c r="DW2893" s="4"/>
      <c r="DX2893" s="4"/>
      <c r="DY2893" s="4"/>
      <c r="DZ2893" s="4"/>
      <c r="EA2893" s="4"/>
      <c r="EB2893" s="4"/>
      <c r="EC2893" s="4"/>
      <c r="ED2893" s="4"/>
      <c r="EE2893" s="4"/>
      <c r="EF2893" s="4"/>
      <c r="EG2893" s="4"/>
      <c r="EH2893" s="4"/>
      <c r="EI2893" s="4"/>
      <c r="EJ2893" s="4"/>
      <c r="EK2893" s="4"/>
      <c r="EL2893" s="4"/>
      <c r="EM2893" s="4"/>
      <c r="EN2893" s="4"/>
      <c r="EO2893" s="4"/>
      <c r="EP2893" s="4"/>
      <c r="EQ2893" s="4"/>
      <c r="ER2893" s="4"/>
      <c r="ES2893" s="4"/>
      <c r="ET2893" s="4"/>
      <c r="EU2893" s="4"/>
      <c r="EV2893" s="4"/>
      <c r="EW2893" s="4"/>
      <c r="EX2893" s="4"/>
      <c r="EY2893" s="4"/>
      <c r="EZ2893" s="4"/>
      <c r="FA2893" s="4"/>
      <c r="FB2893" s="4"/>
      <c r="FC2893" s="4"/>
      <c r="FD2893" s="4"/>
      <c r="FE2893" s="4"/>
      <c r="FF2893" s="4"/>
      <c r="FG2893" s="4"/>
      <c r="FH2893" s="4"/>
      <c r="FI2893" s="4"/>
      <c r="FJ2893" s="4"/>
      <c r="FK2893" s="4"/>
      <c r="FL2893" s="4"/>
      <c r="FM2893" s="4"/>
      <c r="FN2893" s="4"/>
      <c r="FO2893" s="4"/>
      <c r="FP2893" s="4"/>
      <c r="FQ2893" s="4"/>
      <c r="FR2893" s="4"/>
      <c r="FS2893" s="4"/>
      <c r="FT2893" s="4"/>
      <c r="FU2893" s="4"/>
      <c r="FV2893" s="4"/>
      <c r="FW2893" s="4"/>
      <c r="FX2893" s="4"/>
      <c r="FY2893" s="4"/>
      <c r="FZ2893" s="4"/>
      <c r="GA2893" s="4"/>
      <c r="GB2893" s="4"/>
      <c r="GC2893" s="4"/>
      <c r="GD2893" s="4"/>
      <c r="GE2893" s="4"/>
      <c r="GF2893" s="4"/>
      <c r="GG2893" s="4"/>
      <c r="GH2893" s="4"/>
      <c r="GI2893" s="4"/>
      <c r="GJ2893" s="4"/>
      <c r="GK2893" s="4"/>
      <c r="GL2893" s="4"/>
      <c r="GM2893" s="4"/>
      <c r="GN2893" s="4"/>
      <c r="GO2893" s="4"/>
      <c r="GP2893" s="4"/>
      <c r="GQ2893" s="4"/>
      <c r="GR2893" s="4"/>
      <c r="GS2893" s="4"/>
      <c r="GT2893" s="4"/>
      <c r="GU2893" s="4"/>
      <c r="GV2893" s="4"/>
      <c r="GW2893" s="4"/>
      <c r="GX2893" s="4"/>
      <c r="GY2893" s="4"/>
      <c r="GZ2893" s="4"/>
      <c r="HA2893" s="4"/>
      <c r="HB2893" s="4"/>
      <c r="HC2893" s="4"/>
      <c r="HD2893" s="4"/>
      <c r="HE2893" s="4"/>
      <c r="HF2893" s="4"/>
      <c r="HG2893" s="4"/>
      <c r="HH2893" s="4"/>
      <c r="HI2893" s="4"/>
      <c r="HJ2893" s="4"/>
      <c r="HK2893" s="4"/>
      <c r="HL2893" s="4"/>
    </row>
    <row r="2894">
      <c r="A2894" s="2" t="s">
        <v>12199</v>
      </c>
      <c r="B2894" s="2" t="s">
        <v>226</v>
      </c>
      <c r="C2894" s="2" t="s">
        <v>965</v>
      </c>
      <c r="D2894" s="2" t="s">
        <v>1549</v>
      </c>
      <c r="E2894" s="2" t="s">
        <v>3949</v>
      </c>
      <c r="F2894" s="2" t="s">
        <v>12181</v>
      </c>
      <c r="G2894" s="2" t="s">
        <v>12181</v>
      </c>
      <c r="H2894" s="2" t="s">
        <v>12181</v>
      </c>
      <c r="I2894" s="2" t="s">
        <v>12182</v>
      </c>
      <c r="J2894" s="2" t="s">
        <v>281</v>
      </c>
      <c r="K2894" s="2" t="s">
        <v>253</v>
      </c>
      <c r="L2894" s="3">
        <v>62.09</v>
      </c>
      <c r="M2894" s="3">
        <v>65.19</v>
      </c>
      <c r="N2894" s="3">
        <v>114.99</v>
      </c>
      <c r="O2894" s="2" t="s">
        <v>235</v>
      </c>
      <c r="P2894" s="2" t="s">
        <v>917</v>
      </c>
      <c r="Q2894" s="2" t="s">
        <v>237</v>
      </c>
      <c r="R2894" s="2" t="s">
        <v>231</v>
      </c>
      <c r="S2894" s="2" t="s">
        <v>12200</v>
      </c>
      <c r="T2894" s="2" t="s">
        <v>970</v>
      </c>
      <c r="U2894" s="2" t="s">
        <v>231</v>
      </c>
      <c r="V2894" s="2" t="s">
        <v>239</v>
      </c>
      <c r="W2894" s="2" t="s">
        <v>273</v>
      </c>
      <c r="X2894" s="2" t="s">
        <v>231</v>
      </c>
      <c r="Y2894" s="2" t="s">
        <v>4657</v>
      </c>
      <c r="Z2894" s="4">
        <v>215</v>
      </c>
      <c r="AA2894" s="4">
        <f>=ROUNDDOWN(35.8333333333333,0)</f>
      </c>
      <c r="AB2894" s="5">
        <v>6</v>
      </c>
      <c r="AC2894" s="2" t="s">
        <v>231</v>
      </c>
      <c r="AD2894" s="4"/>
      <c r="AE2894" s="4"/>
      <c r="AF2894" s="6">
        <v>61</v>
      </c>
      <c r="AG2894" s="6"/>
      <c r="AH2894" s="7">
        <v>1</v>
      </c>
      <c r="AI2894" s="4"/>
      <c r="AJ2894" s="4">
        <f>=ROUNDDOWN({0},0)</f>
      </c>
      <c r="AK2894" s="5"/>
      <c r="AL2894" s="2" t="s">
        <v>231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231</v>
      </c>
      <c r="AW2894" s="8" t="s">
        <v>231</v>
      </c>
      <c r="AX2894" s="4" t="s">
        <v>231</v>
      </c>
      <c r="AY2894" s="8" t="s">
        <v>231</v>
      </c>
      <c r="AZ2894" s="7" t="s">
        <v>231</v>
      </c>
      <c r="BA2894" s="7" t="s">
        <v>231</v>
      </c>
      <c r="BB2894" s="7"/>
      <c r="BC2894" s="4" t="s">
        <v>231</v>
      </c>
      <c r="BD2894" s="8" t="s">
        <v>231</v>
      </c>
      <c r="BE2894" s="4" t="s">
        <v>231</v>
      </c>
      <c r="BF2894" s="8" t="s">
        <v>231</v>
      </c>
      <c r="BG2894" s="7" t="s">
        <v>231</v>
      </c>
      <c r="BH2894" s="7" t="s">
        <v>231</v>
      </c>
      <c r="BI2894" s="7"/>
      <c r="BJ2894" s="4">
        <v>2</v>
      </c>
      <c r="BK2894" s="8">
        <v>113.96</v>
      </c>
      <c r="BL2894" s="2" t="s">
        <v>12201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12202</v>
      </c>
      <c r="BV2894" s="2" t="s">
        <v>231</v>
      </c>
      <c r="BW2894" s="2" t="s">
        <v>231</v>
      </c>
      <c r="BX2894" s="2" t="s">
        <v>231</v>
      </c>
      <c r="BY2894" s="2" t="s">
        <v>277</v>
      </c>
      <c r="BZ2894" s="2" t="s">
        <v>243</v>
      </c>
      <c r="CA2894" s="2" t="s">
        <v>2491</v>
      </c>
      <c r="CB2894" s="2" t="s">
        <v>4594</v>
      </c>
      <c r="CC2894" s="2" t="s">
        <v>244</v>
      </c>
      <c r="CD2894" s="2" t="s">
        <v>231</v>
      </c>
      <c r="CE2894" s="4">
        <v>215</v>
      </c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4"/>
      <c r="CX2894" s="4"/>
      <c r="CY2894" s="4"/>
      <c r="CZ2894" s="4"/>
      <c r="DA2894" s="4"/>
      <c r="DB2894" s="4"/>
      <c r="DC2894" s="4"/>
      <c r="DD2894" s="4"/>
      <c r="DE2894" s="4"/>
      <c r="DF2894" s="4"/>
      <c r="DG2894" s="4"/>
      <c r="DH2894" s="4"/>
      <c r="DI2894" s="4"/>
      <c r="DJ2894" s="4"/>
      <c r="DK2894" s="4"/>
      <c r="DL2894" s="4"/>
      <c r="DM2894" s="4"/>
      <c r="DN2894" s="4"/>
      <c r="DO2894" s="4"/>
      <c r="DP2894" s="4"/>
      <c r="DQ2894" s="4"/>
      <c r="DR2894" s="4"/>
      <c r="DS2894" s="4"/>
      <c r="DT2894" s="4"/>
      <c r="DU2894" s="4"/>
      <c r="DV2894" s="4"/>
      <c r="DW2894" s="4"/>
      <c r="DX2894" s="4"/>
      <c r="DY2894" s="4"/>
      <c r="DZ2894" s="4"/>
      <c r="EA2894" s="4"/>
      <c r="EB2894" s="4"/>
      <c r="EC2894" s="4"/>
      <c r="ED2894" s="4"/>
      <c r="EE2894" s="4"/>
      <c r="EF2894" s="4"/>
      <c r="EG2894" s="4"/>
      <c r="EH2894" s="4"/>
      <c r="EI2894" s="4"/>
      <c r="EJ2894" s="4"/>
      <c r="EK2894" s="4"/>
      <c r="EL2894" s="4"/>
      <c r="EM2894" s="4"/>
      <c r="EN2894" s="4"/>
      <c r="EO2894" s="4"/>
      <c r="EP2894" s="4"/>
      <c r="EQ2894" s="4"/>
      <c r="ER2894" s="4"/>
      <c r="ES2894" s="4"/>
      <c r="ET2894" s="4"/>
      <c r="EU2894" s="4"/>
      <c r="EV2894" s="4"/>
      <c r="EW2894" s="4"/>
      <c r="EX2894" s="4"/>
      <c r="EY2894" s="4"/>
      <c r="EZ2894" s="4"/>
      <c r="FA2894" s="4"/>
      <c r="FB2894" s="4"/>
      <c r="FC2894" s="4"/>
      <c r="FD2894" s="4"/>
      <c r="FE2894" s="4"/>
      <c r="FF2894" s="4"/>
      <c r="FG2894" s="4"/>
      <c r="FH2894" s="4"/>
      <c r="FI2894" s="4"/>
      <c r="FJ2894" s="4"/>
      <c r="FK2894" s="4"/>
      <c r="FL2894" s="4"/>
      <c r="FM2894" s="4"/>
      <c r="FN2894" s="4"/>
      <c r="FO2894" s="4"/>
      <c r="FP2894" s="4"/>
      <c r="FQ2894" s="4"/>
      <c r="FR2894" s="4"/>
      <c r="FS2894" s="4"/>
      <c r="FT2894" s="4"/>
      <c r="FU2894" s="4"/>
      <c r="FV2894" s="4"/>
      <c r="FW2894" s="4"/>
      <c r="FX2894" s="4"/>
      <c r="FY2894" s="4"/>
      <c r="FZ2894" s="4"/>
      <c r="GA2894" s="4"/>
      <c r="GB2894" s="4"/>
      <c r="GC2894" s="4"/>
      <c r="GD2894" s="4"/>
      <c r="GE2894" s="4"/>
      <c r="GF2894" s="4"/>
      <c r="GG2894" s="4"/>
      <c r="GH2894" s="4"/>
      <c r="GI2894" s="4"/>
      <c r="GJ2894" s="4"/>
      <c r="GK2894" s="4"/>
      <c r="GL2894" s="4"/>
      <c r="GM2894" s="4"/>
      <c r="GN2894" s="4"/>
      <c r="GO2894" s="4"/>
      <c r="GP2894" s="4"/>
      <c r="GQ2894" s="4"/>
      <c r="GR2894" s="4"/>
      <c r="GS2894" s="4"/>
      <c r="GT2894" s="4"/>
      <c r="GU2894" s="4"/>
      <c r="GV2894" s="4"/>
      <c r="GW2894" s="4"/>
      <c r="GX2894" s="4"/>
      <c r="GY2894" s="4"/>
      <c r="GZ2894" s="4"/>
      <c r="HA2894" s="4"/>
      <c r="HB2894" s="4"/>
      <c r="HC2894" s="4"/>
      <c r="HD2894" s="4"/>
      <c r="HE2894" s="4"/>
      <c r="HF2894" s="4"/>
      <c r="HG2894" s="4"/>
      <c r="HH2894" s="4"/>
      <c r="HI2894" s="4"/>
      <c r="HJ2894" s="4"/>
      <c r="HK2894" s="4"/>
      <c r="HL2894" s="4"/>
    </row>
    <row r="2895">
      <c r="A2895" s="2" t="s">
        <v>12203</v>
      </c>
      <c r="B2895" s="2" t="s">
        <v>226</v>
      </c>
      <c r="C2895" s="2" t="s">
        <v>965</v>
      </c>
      <c r="D2895" s="2" t="s">
        <v>1549</v>
      </c>
      <c r="E2895" s="2" t="s">
        <v>3949</v>
      </c>
      <c r="F2895" s="2" t="s">
        <v>12181</v>
      </c>
      <c r="G2895" s="2" t="s">
        <v>12181</v>
      </c>
      <c r="H2895" s="2" t="s">
        <v>12181</v>
      </c>
      <c r="I2895" s="2" t="s">
        <v>12182</v>
      </c>
      <c r="J2895" s="2" t="s">
        <v>293</v>
      </c>
      <c r="K2895" s="2" t="s">
        <v>253</v>
      </c>
      <c r="L2895" s="3">
        <v>83.69</v>
      </c>
      <c r="M2895" s="3">
        <v>87.87</v>
      </c>
      <c r="N2895" s="3">
        <v>154.99</v>
      </c>
      <c r="O2895" s="2" t="s">
        <v>235</v>
      </c>
      <c r="P2895" s="2" t="s">
        <v>917</v>
      </c>
      <c r="Q2895" s="2" t="s">
        <v>237</v>
      </c>
      <c r="R2895" s="2" t="s">
        <v>231</v>
      </c>
      <c r="S2895" s="2" t="s">
        <v>12200</v>
      </c>
      <c r="T2895" s="2" t="s">
        <v>970</v>
      </c>
      <c r="U2895" s="2" t="s">
        <v>231</v>
      </c>
      <c r="V2895" s="2" t="s">
        <v>239</v>
      </c>
      <c r="W2895" s="2" t="s">
        <v>273</v>
      </c>
      <c r="X2895" s="2" t="s">
        <v>231</v>
      </c>
      <c r="Y2895" s="2" t="s">
        <v>4657</v>
      </c>
      <c r="Z2895" s="4">
        <v>41</v>
      </c>
      <c r="AA2895" s="4">
        <f>=ROUNDDOWN(6.83333333333333,0)</f>
      </c>
      <c r="AB2895" s="5">
        <v>6</v>
      </c>
      <c r="AC2895" s="2" t="s">
        <v>231</v>
      </c>
      <c r="AD2895" s="4"/>
      <c r="AE2895" s="4"/>
      <c r="AF2895" s="6">
        <v>61</v>
      </c>
      <c r="AG2895" s="6"/>
      <c r="AH2895" s="7">
        <v>1</v>
      </c>
      <c r="AI2895" s="4"/>
      <c r="AJ2895" s="4">
        <f>=ROUNDDOWN({0},0)</f>
      </c>
      <c r="AK2895" s="5"/>
      <c r="AL2895" s="2" t="s">
        <v>231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231</v>
      </c>
      <c r="AW2895" s="8" t="s">
        <v>231</v>
      </c>
      <c r="AX2895" s="4" t="s">
        <v>231</v>
      </c>
      <c r="AY2895" s="8" t="s">
        <v>231</v>
      </c>
      <c r="AZ2895" s="7" t="s">
        <v>231</v>
      </c>
      <c r="BA2895" s="7" t="s">
        <v>231</v>
      </c>
      <c r="BB2895" s="7"/>
      <c r="BC2895" s="4" t="s">
        <v>231</v>
      </c>
      <c r="BD2895" s="8" t="s">
        <v>231</v>
      </c>
      <c r="BE2895" s="4" t="s">
        <v>231</v>
      </c>
      <c r="BF2895" s="8" t="s">
        <v>231</v>
      </c>
      <c r="BG2895" s="7" t="s">
        <v>231</v>
      </c>
      <c r="BH2895" s="7" t="s">
        <v>231</v>
      </c>
      <c r="BI2895" s="7"/>
      <c r="BJ2895" s="4">
        <v>5</v>
      </c>
      <c r="BK2895" s="8">
        <v>369.02</v>
      </c>
      <c r="BL2895" s="2" t="s">
        <v>393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12204</v>
      </c>
      <c r="BV2895" s="2" t="s">
        <v>231</v>
      </c>
      <c r="BW2895" s="2" t="s">
        <v>231</v>
      </c>
      <c r="BX2895" s="2" t="s">
        <v>231</v>
      </c>
      <c r="BY2895" s="2" t="s">
        <v>277</v>
      </c>
      <c r="BZ2895" s="2" t="s">
        <v>243</v>
      </c>
      <c r="CA2895" s="2" t="s">
        <v>2491</v>
      </c>
      <c r="CB2895" s="2" t="s">
        <v>4220</v>
      </c>
      <c r="CC2895" s="2" t="s">
        <v>244</v>
      </c>
      <c r="CD2895" s="2" t="s">
        <v>231</v>
      </c>
      <c r="CE2895" s="4">
        <v>41</v>
      </c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4"/>
      <c r="CX2895" s="4"/>
      <c r="CY2895" s="4"/>
      <c r="CZ2895" s="4"/>
      <c r="DA2895" s="4"/>
      <c r="DB2895" s="4"/>
      <c r="DC2895" s="4"/>
      <c r="DD2895" s="4"/>
      <c r="DE2895" s="4"/>
      <c r="DF2895" s="4"/>
      <c r="DG2895" s="4"/>
      <c r="DH2895" s="4"/>
      <c r="DI2895" s="4"/>
      <c r="DJ2895" s="4"/>
      <c r="DK2895" s="4"/>
      <c r="DL2895" s="4"/>
      <c r="DM2895" s="4"/>
      <c r="DN2895" s="4"/>
      <c r="DO2895" s="4"/>
      <c r="DP2895" s="4"/>
      <c r="DQ2895" s="4"/>
      <c r="DR2895" s="4"/>
      <c r="DS2895" s="4"/>
      <c r="DT2895" s="4"/>
      <c r="DU2895" s="4"/>
      <c r="DV2895" s="4"/>
      <c r="DW2895" s="4"/>
      <c r="DX2895" s="4"/>
      <c r="DY2895" s="4"/>
      <c r="DZ2895" s="4"/>
      <c r="EA2895" s="4"/>
      <c r="EB2895" s="4"/>
      <c r="EC2895" s="4"/>
      <c r="ED2895" s="4"/>
      <c r="EE2895" s="4"/>
      <c r="EF2895" s="4"/>
      <c r="EG2895" s="4"/>
      <c r="EH2895" s="4"/>
      <c r="EI2895" s="4"/>
      <c r="EJ2895" s="4"/>
      <c r="EK2895" s="4"/>
      <c r="EL2895" s="4"/>
      <c r="EM2895" s="4"/>
      <c r="EN2895" s="4"/>
      <c r="EO2895" s="4"/>
      <c r="EP2895" s="4"/>
      <c r="EQ2895" s="4"/>
      <c r="ER2895" s="4"/>
      <c r="ES2895" s="4"/>
      <c r="ET2895" s="4"/>
      <c r="EU2895" s="4"/>
      <c r="EV2895" s="4"/>
      <c r="EW2895" s="4"/>
      <c r="EX2895" s="4"/>
      <c r="EY2895" s="4"/>
      <c r="EZ2895" s="4"/>
      <c r="FA2895" s="4"/>
      <c r="FB2895" s="4"/>
      <c r="FC2895" s="4"/>
      <c r="FD2895" s="4"/>
      <c r="FE2895" s="4"/>
      <c r="FF2895" s="4"/>
      <c r="FG2895" s="4"/>
      <c r="FH2895" s="4"/>
      <c r="FI2895" s="4"/>
      <c r="FJ2895" s="4"/>
      <c r="FK2895" s="4"/>
      <c r="FL2895" s="4"/>
      <c r="FM2895" s="4"/>
      <c r="FN2895" s="4"/>
      <c r="FO2895" s="4"/>
      <c r="FP2895" s="4"/>
      <c r="FQ2895" s="4"/>
      <c r="FR2895" s="4"/>
      <c r="FS2895" s="4"/>
      <c r="FT2895" s="4"/>
      <c r="FU2895" s="4"/>
      <c r="FV2895" s="4"/>
      <c r="FW2895" s="4"/>
      <c r="FX2895" s="4"/>
      <c r="FY2895" s="4"/>
      <c r="FZ2895" s="4"/>
      <c r="GA2895" s="4"/>
      <c r="GB2895" s="4"/>
      <c r="GC2895" s="4"/>
      <c r="GD2895" s="4"/>
      <c r="GE2895" s="4"/>
      <c r="GF2895" s="4"/>
      <c r="GG2895" s="4"/>
      <c r="GH2895" s="4"/>
      <c r="GI2895" s="4"/>
      <c r="GJ2895" s="4"/>
      <c r="GK2895" s="4"/>
      <c r="GL2895" s="4"/>
      <c r="GM2895" s="4"/>
      <c r="GN2895" s="4"/>
      <c r="GO2895" s="4"/>
      <c r="GP2895" s="4"/>
      <c r="GQ2895" s="4"/>
      <c r="GR2895" s="4"/>
      <c r="GS2895" s="4"/>
      <c r="GT2895" s="4"/>
      <c r="GU2895" s="4"/>
      <c r="GV2895" s="4"/>
      <c r="GW2895" s="4"/>
      <c r="GX2895" s="4"/>
      <c r="GY2895" s="4"/>
      <c r="GZ2895" s="4"/>
      <c r="HA2895" s="4"/>
      <c r="HB2895" s="4"/>
      <c r="HC2895" s="4"/>
      <c r="HD2895" s="4"/>
      <c r="HE2895" s="4"/>
      <c r="HF2895" s="4"/>
      <c r="HG2895" s="4"/>
      <c r="HH2895" s="4"/>
      <c r="HI2895" s="4"/>
      <c r="HJ2895" s="4"/>
      <c r="HK2895" s="4"/>
      <c r="HL2895" s="4"/>
    </row>
    <row r="2896">
      <c r="A2896" s="2" t="s">
        <v>12205</v>
      </c>
      <c r="B2896" s="2" t="s">
        <v>226</v>
      </c>
      <c r="C2896" s="2" t="s">
        <v>965</v>
      </c>
      <c r="D2896" s="2" t="s">
        <v>1549</v>
      </c>
      <c r="E2896" s="2" t="s">
        <v>3949</v>
      </c>
      <c r="F2896" s="2" t="s">
        <v>12181</v>
      </c>
      <c r="G2896" s="2" t="s">
        <v>12181</v>
      </c>
      <c r="H2896" s="2" t="s">
        <v>12181</v>
      </c>
      <c r="I2896" s="2" t="s">
        <v>12182</v>
      </c>
      <c r="J2896" s="2" t="s">
        <v>302</v>
      </c>
      <c r="K2896" s="2" t="s">
        <v>253</v>
      </c>
      <c r="L2896" s="3">
        <v>94.49</v>
      </c>
      <c r="M2896" s="3">
        <v>99.21</v>
      </c>
      <c r="N2896" s="3">
        <v>174.99</v>
      </c>
      <c r="O2896" s="2" t="s">
        <v>235</v>
      </c>
      <c r="P2896" s="2" t="s">
        <v>917</v>
      </c>
      <c r="Q2896" s="2" t="s">
        <v>237</v>
      </c>
      <c r="R2896" s="2" t="s">
        <v>231</v>
      </c>
      <c r="S2896" s="2" t="s">
        <v>12200</v>
      </c>
      <c r="T2896" s="2" t="s">
        <v>970</v>
      </c>
      <c r="U2896" s="2" t="s">
        <v>231</v>
      </c>
      <c r="V2896" s="2" t="s">
        <v>239</v>
      </c>
      <c r="W2896" s="2" t="s">
        <v>273</v>
      </c>
      <c r="X2896" s="2" t="s">
        <v>231</v>
      </c>
      <c r="Y2896" s="2" t="s">
        <v>4657</v>
      </c>
      <c r="Z2896" s="4">
        <v>198</v>
      </c>
      <c r="AA2896" s="4">
        <f>=ROUNDDOWN(33,0)</f>
      </c>
      <c r="AB2896" s="5">
        <v>6</v>
      </c>
      <c r="AC2896" s="2" t="s">
        <v>231</v>
      </c>
      <c r="AD2896" s="4"/>
      <c r="AE2896" s="4"/>
      <c r="AF2896" s="6">
        <v>61</v>
      </c>
      <c r="AG2896" s="6"/>
      <c r="AH2896" s="7">
        <v>1</v>
      </c>
      <c r="AI2896" s="4"/>
      <c r="AJ2896" s="4">
        <f>=ROUNDDOWN({0},0)</f>
      </c>
      <c r="AK2896" s="5"/>
      <c r="AL2896" s="2" t="s">
        <v>231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231</v>
      </c>
      <c r="AW2896" s="8" t="s">
        <v>231</v>
      </c>
      <c r="AX2896" s="4" t="s">
        <v>231</v>
      </c>
      <c r="AY2896" s="8" t="s">
        <v>231</v>
      </c>
      <c r="AZ2896" s="7" t="s">
        <v>231</v>
      </c>
      <c r="BA2896" s="7" t="s">
        <v>231</v>
      </c>
      <c r="BB2896" s="7"/>
      <c r="BC2896" s="4" t="s">
        <v>231</v>
      </c>
      <c r="BD2896" s="8" t="s">
        <v>231</v>
      </c>
      <c r="BE2896" s="4" t="s">
        <v>231</v>
      </c>
      <c r="BF2896" s="8" t="s">
        <v>231</v>
      </c>
      <c r="BG2896" s="7" t="s">
        <v>231</v>
      </c>
      <c r="BH2896" s="7" t="s">
        <v>231</v>
      </c>
      <c r="BI2896" s="7"/>
      <c r="BJ2896" s="4">
        <v>4</v>
      </c>
      <c r="BK2896" s="8">
        <v>357.08</v>
      </c>
      <c r="BL2896" s="2" t="s">
        <v>3758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12206</v>
      </c>
      <c r="BV2896" s="2" t="s">
        <v>231</v>
      </c>
      <c r="BW2896" s="2" t="s">
        <v>231</v>
      </c>
      <c r="BX2896" s="2" t="s">
        <v>231</v>
      </c>
      <c r="BY2896" s="2" t="s">
        <v>277</v>
      </c>
      <c r="BZ2896" s="2" t="s">
        <v>243</v>
      </c>
      <c r="CA2896" s="2" t="s">
        <v>2491</v>
      </c>
      <c r="CB2896" s="2" t="s">
        <v>1834</v>
      </c>
      <c r="CC2896" s="2" t="s">
        <v>244</v>
      </c>
      <c r="CD2896" s="2" t="s">
        <v>231</v>
      </c>
      <c r="CE2896" s="4">
        <v>198</v>
      </c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4"/>
      <c r="CX2896" s="4"/>
      <c r="CY2896" s="4"/>
      <c r="CZ2896" s="4"/>
      <c r="DA2896" s="4"/>
      <c r="DB2896" s="4"/>
      <c r="DC2896" s="4"/>
      <c r="DD2896" s="4"/>
      <c r="DE2896" s="4"/>
      <c r="DF2896" s="4"/>
      <c r="DG2896" s="4"/>
      <c r="DH2896" s="4"/>
      <c r="DI2896" s="4"/>
      <c r="DJ2896" s="4"/>
      <c r="DK2896" s="4"/>
      <c r="DL2896" s="4"/>
      <c r="DM2896" s="4"/>
      <c r="DN2896" s="4"/>
      <c r="DO2896" s="4"/>
      <c r="DP2896" s="4"/>
      <c r="DQ2896" s="4"/>
      <c r="DR2896" s="4"/>
      <c r="DS2896" s="4"/>
      <c r="DT2896" s="4"/>
      <c r="DU2896" s="4"/>
      <c r="DV2896" s="4"/>
      <c r="DW2896" s="4"/>
      <c r="DX2896" s="4"/>
      <c r="DY2896" s="4"/>
      <c r="DZ2896" s="4"/>
      <c r="EA2896" s="4"/>
      <c r="EB2896" s="4"/>
      <c r="EC2896" s="4"/>
      <c r="ED2896" s="4"/>
      <c r="EE2896" s="4"/>
      <c r="EF2896" s="4"/>
      <c r="EG2896" s="4"/>
      <c r="EH2896" s="4"/>
      <c r="EI2896" s="4"/>
      <c r="EJ2896" s="4"/>
      <c r="EK2896" s="4"/>
      <c r="EL2896" s="4"/>
      <c r="EM2896" s="4"/>
      <c r="EN2896" s="4"/>
      <c r="EO2896" s="4"/>
      <c r="EP2896" s="4"/>
      <c r="EQ2896" s="4"/>
      <c r="ER2896" s="4"/>
      <c r="ES2896" s="4"/>
      <c r="ET2896" s="4"/>
      <c r="EU2896" s="4"/>
      <c r="EV2896" s="4"/>
      <c r="EW2896" s="4"/>
      <c r="EX2896" s="4"/>
      <c r="EY2896" s="4"/>
      <c r="EZ2896" s="4"/>
      <c r="FA2896" s="4"/>
      <c r="FB2896" s="4"/>
      <c r="FC2896" s="4"/>
      <c r="FD2896" s="4"/>
      <c r="FE2896" s="4"/>
      <c r="FF2896" s="4"/>
      <c r="FG2896" s="4"/>
      <c r="FH2896" s="4"/>
      <c r="FI2896" s="4"/>
      <c r="FJ2896" s="4"/>
      <c r="FK2896" s="4"/>
      <c r="FL2896" s="4"/>
      <c r="FM2896" s="4"/>
      <c r="FN2896" s="4"/>
      <c r="FO2896" s="4"/>
      <c r="FP2896" s="4"/>
      <c r="FQ2896" s="4"/>
      <c r="FR2896" s="4"/>
      <c r="FS2896" s="4"/>
      <c r="FT2896" s="4"/>
      <c r="FU2896" s="4"/>
      <c r="FV2896" s="4"/>
      <c r="FW2896" s="4"/>
      <c r="FX2896" s="4"/>
      <c r="FY2896" s="4"/>
      <c r="FZ2896" s="4"/>
      <c r="GA2896" s="4"/>
      <c r="GB2896" s="4"/>
      <c r="GC2896" s="4"/>
      <c r="GD2896" s="4"/>
      <c r="GE2896" s="4"/>
      <c r="GF2896" s="4"/>
      <c r="GG2896" s="4"/>
      <c r="GH2896" s="4"/>
      <c r="GI2896" s="4"/>
      <c r="GJ2896" s="4"/>
      <c r="GK2896" s="4"/>
      <c r="GL2896" s="4"/>
      <c r="GM2896" s="4"/>
      <c r="GN2896" s="4"/>
      <c r="GO2896" s="4"/>
      <c r="GP2896" s="4"/>
      <c r="GQ2896" s="4"/>
      <c r="GR2896" s="4"/>
      <c r="GS2896" s="4"/>
      <c r="GT2896" s="4"/>
      <c r="GU2896" s="4"/>
      <c r="GV2896" s="4"/>
      <c r="GW2896" s="4"/>
      <c r="GX2896" s="4"/>
      <c r="GY2896" s="4"/>
      <c r="GZ2896" s="4"/>
      <c r="HA2896" s="4"/>
      <c r="HB2896" s="4"/>
      <c r="HC2896" s="4"/>
      <c r="HD2896" s="4"/>
      <c r="HE2896" s="4"/>
      <c r="HF2896" s="4"/>
      <c r="HG2896" s="4"/>
      <c r="HH2896" s="4"/>
      <c r="HI2896" s="4"/>
      <c r="HJ2896" s="4"/>
      <c r="HK2896" s="4"/>
      <c r="HL2896" s="4"/>
    </row>
    <row r="2897">
      <c r="A2897" s="2" t="s">
        <v>12207</v>
      </c>
      <c r="B2897" s="2" t="s">
        <v>226</v>
      </c>
      <c r="C2897" s="2" t="s">
        <v>965</v>
      </c>
      <c r="D2897" s="2" t="s">
        <v>1549</v>
      </c>
      <c r="E2897" s="2" t="s">
        <v>3949</v>
      </c>
      <c r="F2897" s="2" t="s">
        <v>12181</v>
      </c>
      <c r="G2897" s="2" t="s">
        <v>12181</v>
      </c>
      <c r="H2897" s="2" t="s">
        <v>12181</v>
      </c>
      <c r="I2897" s="2" t="s">
        <v>12182</v>
      </c>
      <c r="J2897" s="2" t="s">
        <v>281</v>
      </c>
      <c r="K2897" s="2" t="s">
        <v>2457</v>
      </c>
      <c r="L2897" s="3">
        <v>62.09</v>
      </c>
      <c r="M2897" s="3">
        <v>65.19</v>
      </c>
      <c r="N2897" s="3">
        <v>114.99</v>
      </c>
      <c r="O2897" s="2" t="s">
        <v>235</v>
      </c>
      <c r="P2897" s="2" t="s">
        <v>917</v>
      </c>
      <c r="Q2897" s="2" t="s">
        <v>237</v>
      </c>
      <c r="R2897" s="2" t="s">
        <v>231</v>
      </c>
      <c r="S2897" s="2" t="s">
        <v>12208</v>
      </c>
      <c r="T2897" s="2" t="s">
        <v>1630</v>
      </c>
      <c r="U2897" s="2" t="s">
        <v>327</v>
      </c>
      <c r="V2897" s="2" t="s">
        <v>239</v>
      </c>
      <c r="W2897" s="2" t="s">
        <v>273</v>
      </c>
      <c r="X2897" s="2" t="s">
        <v>231</v>
      </c>
      <c r="Y2897" s="2" t="s">
        <v>5820</v>
      </c>
      <c r="Z2897" s="4">
        <v>71</v>
      </c>
      <c r="AA2897" s="4">
        <f>=ROUNDDOWN(23.6666666666667,0)</f>
      </c>
      <c r="AB2897" s="5">
        <v>3</v>
      </c>
      <c r="AC2897" s="2" t="s">
        <v>231</v>
      </c>
      <c r="AD2897" s="4"/>
      <c r="AE2897" s="4"/>
      <c r="AF2897" s="6">
        <v>61</v>
      </c>
      <c r="AG2897" s="6"/>
      <c r="AH2897" s="7">
        <v>1</v>
      </c>
      <c r="AI2897" s="4"/>
      <c r="AJ2897" s="4">
        <f>=ROUNDDOWN({0},0)</f>
      </c>
      <c r="AK2897" s="5"/>
      <c r="AL2897" s="2" t="s">
        <v>231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231</v>
      </c>
      <c r="AW2897" s="8" t="s">
        <v>231</v>
      </c>
      <c r="AX2897" s="4" t="s">
        <v>231</v>
      </c>
      <c r="AY2897" s="8" t="s">
        <v>231</v>
      </c>
      <c r="AZ2897" s="7" t="s">
        <v>231</v>
      </c>
      <c r="BA2897" s="7" t="s">
        <v>231</v>
      </c>
      <c r="BB2897" s="7"/>
      <c r="BC2897" s="4" t="s">
        <v>231</v>
      </c>
      <c r="BD2897" s="8" t="s">
        <v>231</v>
      </c>
      <c r="BE2897" s="4" t="s">
        <v>231</v>
      </c>
      <c r="BF2897" s="8" t="s">
        <v>231</v>
      </c>
      <c r="BG2897" s="7" t="s">
        <v>231</v>
      </c>
      <c r="BH2897" s="7" t="s">
        <v>231</v>
      </c>
      <c r="BI2897" s="7"/>
      <c r="BJ2897" s="4">
        <v>2</v>
      </c>
      <c r="BK2897" s="8">
        <v>114</v>
      </c>
      <c r="BL2897" s="2" t="s">
        <v>465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12209</v>
      </c>
      <c r="BV2897" s="2" t="s">
        <v>231</v>
      </c>
      <c r="BW2897" s="2" t="s">
        <v>231</v>
      </c>
      <c r="BX2897" s="2" t="s">
        <v>231</v>
      </c>
      <c r="BY2897" s="2" t="s">
        <v>277</v>
      </c>
      <c r="BZ2897" s="2" t="s">
        <v>243</v>
      </c>
      <c r="CA2897" s="2" t="s">
        <v>4814</v>
      </c>
      <c r="CB2897" s="2" t="s">
        <v>4427</v>
      </c>
      <c r="CC2897" s="2" t="s">
        <v>244</v>
      </c>
      <c r="CD2897" s="2" t="s">
        <v>231</v>
      </c>
      <c r="CE2897" s="4">
        <v>71</v>
      </c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4"/>
      <c r="CT2897" s="4"/>
      <c r="CU2897" s="4"/>
      <c r="CV2897" s="4"/>
      <c r="CW2897" s="4"/>
      <c r="CX2897" s="4"/>
      <c r="CY2897" s="4"/>
      <c r="CZ2897" s="4"/>
      <c r="DA2897" s="4"/>
      <c r="DB2897" s="4"/>
      <c r="DC2897" s="4"/>
      <c r="DD2897" s="4"/>
      <c r="DE2897" s="4"/>
      <c r="DF2897" s="4"/>
      <c r="DG2897" s="4"/>
      <c r="DH2897" s="4"/>
      <c r="DI2897" s="4"/>
      <c r="DJ2897" s="4"/>
      <c r="DK2897" s="4"/>
      <c r="DL2897" s="4"/>
      <c r="DM2897" s="4"/>
      <c r="DN2897" s="4"/>
      <c r="DO2897" s="4"/>
      <c r="DP2897" s="4"/>
      <c r="DQ2897" s="4"/>
      <c r="DR2897" s="4"/>
      <c r="DS2897" s="4"/>
      <c r="DT2897" s="4"/>
      <c r="DU2897" s="4"/>
      <c r="DV2897" s="4"/>
      <c r="DW2897" s="4"/>
      <c r="DX2897" s="4"/>
      <c r="DY2897" s="4"/>
      <c r="DZ2897" s="4"/>
      <c r="EA2897" s="4"/>
      <c r="EB2897" s="4"/>
      <c r="EC2897" s="4"/>
      <c r="ED2897" s="4"/>
      <c r="EE2897" s="4"/>
      <c r="EF2897" s="4"/>
      <c r="EG2897" s="4"/>
      <c r="EH2897" s="4"/>
      <c r="EI2897" s="4"/>
      <c r="EJ2897" s="4"/>
      <c r="EK2897" s="4"/>
      <c r="EL2897" s="4"/>
      <c r="EM2897" s="4"/>
      <c r="EN2897" s="4"/>
      <c r="EO2897" s="4"/>
      <c r="EP2897" s="4"/>
      <c r="EQ2897" s="4"/>
      <c r="ER2897" s="4"/>
      <c r="ES2897" s="4"/>
      <c r="ET2897" s="4"/>
      <c r="EU2897" s="4"/>
      <c r="EV2897" s="4"/>
      <c r="EW2897" s="4"/>
      <c r="EX2897" s="4"/>
      <c r="EY2897" s="4"/>
      <c r="EZ2897" s="4"/>
      <c r="FA2897" s="4"/>
      <c r="FB2897" s="4"/>
      <c r="FC2897" s="4"/>
      <c r="FD2897" s="4"/>
      <c r="FE2897" s="4"/>
      <c r="FF2897" s="4"/>
      <c r="FG2897" s="4"/>
      <c r="FH2897" s="4"/>
      <c r="FI2897" s="4"/>
      <c r="FJ2897" s="4"/>
      <c r="FK2897" s="4"/>
      <c r="FL2897" s="4"/>
      <c r="FM2897" s="4"/>
      <c r="FN2897" s="4"/>
      <c r="FO2897" s="4"/>
      <c r="FP2897" s="4"/>
      <c r="FQ2897" s="4"/>
      <c r="FR2897" s="4"/>
      <c r="FS2897" s="4"/>
      <c r="FT2897" s="4"/>
      <c r="FU2897" s="4"/>
      <c r="FV2897" s="4"/>
      <c r="FW2897" s="4"/>
      <c r="FX2897" s="4"/>
      <c r="FY2897" s="4"/>
      <c r="FZ2897" s="4"/>
      <c r="GA2897" s="4"/>
      <c r="GB2897" s="4"/>
      <c r="GC2897" s="4"/>
      <c r="GD2897" s="4"/>
      <c r="GE2897" s="4"/>
      <c r="GF2897" s="4"/>
      <c r="GG2897" s="4"/>
      <c r="GH2897" s="4"/>
      <c r="GI2897" s="4"/>
      <c r="GJ2897" s="4"/>
      <c r="GK2897" s="4"/>
      <c r="GL2897" s="4"/>
      <c r="GM2897" s="4"/>
      <c r="GN2897" s="4"/>
      <c r="GO2897" s="4"/>
      <c r="GP2897" s="4"/>
      <c r="GQ2897" s="4"/>
      <c r="GR2897" s="4"/>
      <c r="GS2897" s="4"/>
      <c r="GT2897" s="4"/>
      <c r="GU2897" s="4"/>
      <c r="GV2897" s="4"/>
      <c r="GW2897" s="4"/>
      <c r="GX2897" s="4"/>
      <c r="GY2897" s="4"/>
      <c r="GZ2897" s="4"/>
      <c r="HA2897" s="4"/>
      <c r="HB2897" s="4"/>
      <c r="HC2897" s="4"/>
      <c r="HD2897" s="4"/>
      <c r="HE2897" s="4"/>
      <c r="HF2897" s="4"/>
      <c r="HG2897" s="4"/>
      <c r="HH2897" s="4"/>
      <c r="HI2897" s="4"/>
      <c r="HJ2897" s="4"/>
      <c r="HK2897" s="4"/>
      <c r="HL2897" s="4"/>
    </row>
    <row r="2898">
      <c r="A2898" s="2" t="s">
        <v>12210</v>
      </c>
      <c r="B2898" s="2" t="s">
        <v>226</v>
      </c>
      <c r="C2898" s="2" t="s">
        <v>965</v>
      </c>
      <c r="D2898" s="2" t="s">
        <v>1549</v>
      </c>
      <c r="E2898" s="2" t="s">
        <v>3949</v>
      </c>
      <c r="F2898" s="2" t="s">
        <v>12181</v>
      </c>
      <c r="G2898" s="2" t="s">
        <v>12181</v>
      </c>
      <c r="H2898" s="2" t="s">
        <v>12181</v>
      </c>
      <c r="I2898" s="2" t="s">
        <v>12182</v>
      </c>
      <c r="J2898" s="2" t="s">
        <v>293</v>
      </c>
      <c r="K2898" s="2" t="s">
        <v>2457</v>
      </c>
      <c r="L2898" s="3">
        <v>83.69</v>
      </c>
      <c r="M2898" s="3">
        <v>87.87</v>
      </c>
      <c r="N2898" s="3">
        <v>154.99</v>
      </c>
      <c r="O2898" s="2" t="s">
        <v>235</v>
      </c>
      <c r="P2898" s="2" t="s">
        <v>917</v>
      </c>
      <c r="Q2898" s="2" t="s">
        <v>237</v>
      </c>
      <c r="R2898" s="2" t="s">
        <v>231</v>
      </c>
      <c r="S2898" s="2" t="s">
        <v>12208</v>
      </c>
      <c r="T2898" s="2" t="s">
        <v>1630</v>
      </c>
      <c r="U2898" s="2" t="s">
        <v>327</v>
      </c>
      <c r="V2898" s="2" t="s">
        <v>239</v>
      </c>
      <c r="W2898" s="2" t="s">
        <v>273</v>
      </c>
      <c r="X2898" s="2" t="s">
        <v>231</v>
      </c>
      <c r="Y2898" s="2" t="s">
        <v>5820</v>
      </c>
      <c r="Z2898" s="4">
        <v>31</v>
      </c>
      <c r="AA2898" s="4">
        <f>=ROUNDDOWN(7.75,0)</f>
      </c>
      <c r="AB2898" s="5">
        <v>4</v>
      </c>
      <c r="AC2898" s="2" t="s">
        <v>231</v>
      </c>
      <c r="AD2898" s="4"/>
      <c r="AE2898" s="4"/>
      <c r="AF2898" s="6">
        <v>61</v>
      </c>
      <c r="AG2898" s="6"/>
      <c r="AH2898" s="7">
        <v>1</v>
      </c>
      <c r="AI2898" s="4"/>
      <c r="AJ2898" s="4">
        <f>=ROUNDDOWN({0},0)</f>
      </c>
      <c r="AK2898" s="5"/>
      <c r="AL2898" s="2" t="s">
        <v>231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231</v>
      </c>
      <c r="AW2898" s="8" t="s">
        <v>231</v>
      </c>
      <c r="AX2898" s="4" t="s">
        <v>231</v>
      </c>
      <c r="AY2898" s="8" t="s">
        <v>231</v>
      </c>
      <c r="AZ2898" s="7" t="s">
        <v>231</v>
      </c>
      <c r="BA2898" s="7" t="s">
        <v>231</v>
      </c>
      <c r="BB2898" s="7"/>
      <c r="BC2898" s="4" t="s">
        <v>231</v>
      </c>
      <c r="BD2898" s="8" t="s">
        <v>231</v>
      </c>
      <c r="BE2898" s="4" t="s">
        <v>231</v>
      </c>
      <c r="BF2898" s="8" t="s">
        <v>231</v>
      </c>
      <c r="BG2898" s="7" t="s">
        <v>231</v>
      </c>
      <c r="BH2898" s="7" t="s">
        <v>231</v>
      </c>
      <c r="BI2898" s="7"/>
      <c r="BJ2898" s="4"/>
      <c r="BK2898" s="8"/>
      <c r="BL2898" s="2" t="s">
        <v>1013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12211</v>
      </c>
      <c r="BV2898" s="2" t="s">
        <v>231</v>
      </c>
      <c r="BW2898" s="2" t="s">
        <v>231</v>
      </c>
      <c r="BX2898" s="2" t="s">
        <v>231</v>
      </c>
      <c r="BY2898" s="2" t="s">
        <v>277</v>
      </c>
      <c r="BZ2898" s="2" t="s">
        <v>243</v>
      </c>
      <c r="CA2898" s="2" t="s">
        <v>4814</v>
      </c>
      <c r="CB2898" s="2" t="s">
        <v>733</v>
      </c>
      <c r="CC2898" s="2" t="s">
        <v>244</v>
      </c>
      <c r="CD2898" s="2" t="s">
        <v>231</v>
      </c>
      <c r="CE2898" s="4">
        <v>31</v>
      </c>
      <c r="CF2898" s="4"/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4"/>
      <c r="CX2898" s="4"/>
      <c r="CY2898" s="4"/>
      <c r="CZ2898" s="4"/>
      <c r="DA2898" s="4"/>
      <c r="DB2898" s="4"/>
      <c r="DC2898" s="4"/>
      <c r="DD2898" s="4"/>
      <c r="DE2898" s="4"/>
      <c r="DF2898" s="4"/>
      <c r="DG2898" s="4"/>
      <c r="DH2898" s="4"/>
      <c r="DI2898" s="4"/>
      <c r="DJ2898" s="4"/>
      <c r="DK2898" s="4"/>
      <c r="DL2898" s="4"/>
      <c r="DM2898" s="4"/>
      <c r="DN2898" s="4"/>
      <c r="DO2898" s="4"/>
      <c r="DP2898" s="4"/>
      <c r="DQ2898" s="4"/>
      <c r="DR2898" s="4"/>
      <c r="DS2898" s="4"/>
      <c r="DT2898" s="4"/>
      <c r="DU2898" s="4"/>
      <c r="DV2898" s="4"/>
      <c r="DW2898" s="4"/>
      <c r="DX2898" s="4"/>
      <c r="DY2898" s="4"/>
      <c r="DZ2898" s="4"/>
      <c r="EA2898" s="4"/>
      <c r="EB2898" s="4"/>
      <c r="EC2898" s="4"/>
      <c r="ED2898" s="4"/>
      <c r="EE2898" s="4"/>
      <c r="EF2898" s="4"/>
      <c r="EG2898" s="4"/>
      <c r="EH2898" s="4"/>
      <c r="EI2898" s="4"/>
      <c r="EJ2898" s="4"/>
      <c r="EK2898" s="4"/>
      <c r="EL2898" s="4"/>
      <c r="EM2898" s="4"/>
      <c r="EN2898" s="4"/>
      <c r="EO2898" s="4"/>
      <c r="EP2898" s="4"/>
      <c r="EQ2898" s="4"/>
      <c r="ER2898" s="4"/>
      <c r="ES2898" s="4"/>
      <c r="ET2898" s="4"/>
      <c r="EU2898" s="4"/>
      <c r="EV2898" s="4"/>
      <c r="EW2898" s="4"/>
      <c r="EX2898" s="4"/>
      <c r="EY2898" s="4"/>
      <c r="EZ2898" s="4"/>
      <c r="FA2898" s="4"/>
      <c r="FB2898" s="4"/>
      <c r="FC2898" s="4"/>
      <c r="FD2898" s="4"/>
      <c r="FE2898" s="4"/>
      <c r="FF2898" s="4"/>
      <c r="FG2898" s="4"/>
      <c r="FH2898" s="4"/>
      <c r="FI2898" s="4"/>
      <c r="FJ2898" s="4"/>
      <c r="FK2898" s="4"/>
      <c r="FL2898" s="4"/>
      <c r="FM2898" s="4"/>
      <c r="FN2898" s="4"/>
      <c r="FO2898" s="4"/>
      <c r="FP2898" s="4"/>
      <c r="FQ2898" s="4"/>
      <c r="FR2898" s="4"/>
      <c r="FS2898" s="4"/>
      <c r="FT2898" s="4"/>
      <c r="FU2898" s="4"/>
      <c r="FV2898" s="4"/>
      <c r="FW2898" s="4"/>
      <c r="FX2898" s="4"/>
      <c r="FY2898" s="4"/>
      <c r="FZ2898" s="4"/>
      <c r="GA2898" s="4"/>
      <c r="GB2898" s="4"/>
      <c r="GC2898" s="4"/>
      <c r="GD2898" s="4"/>
      <c r="GE2898" s="4"/>
      <c r="GF2898" s="4"/>
      <c r="GG2898" s="4"/>
      <c r="GH2898" s="4"/>
      <c r="GI2898" s="4"/>
      <c r="GJ2898" s="4"/>
      <c r="GK2898" s="4"/>
      <c r="GL2898" s="4"/>
      <c r="GM2898" s="4"/>
      <c r="GN2898" s="4"/>
      <c r="GO2898" s="4"/>
      <c r="GP2898" s="4"/>
      <c r="GQ2898" s="4"/>
      <c r="GR2898" s="4"/>
      <c r="GS2898" s="4"/>
      <c r="GT2898" s="4"/>
      <c r="GU2898" s="4"/>
      <c r="GV2898" s="4"/>
      <c r="GW2898" s="4"/>
      <c r="GX2898" s="4"/>
      <c r="GY2898" s="4"/>
      <c r="GZ2898" s="4"/>
      <c r="HA2898" s="4"/>
      <c r="HB2898" s="4"/>
      <c r="HC2898" s="4"/>
      <c r="HD2898" s="4"/>
      <c r="HE2898" s="4"/>
      <c r="HF2898" s="4"/>
      <c r="HG2898" s="4"/>
      <c r="HH2898" s="4"/>
      <c r="HI2898" s="4"/>
      <c r="HJ2898" s="4"/>
      <c r="HK2898" s="4"/>
      <c r="HL2898" s="4"/>
    </row>
    <row r="2899">
      <c r="A2899" s="2" t="s">
        <v>12212</v>
      </c>
      <c r="B2899" s="2" t="s">
        <v>226</v>
      </c>
      <c r="C2899" s="2" t="s">
        <v>965</v>
      </c>
      <c r="D2899" s="2" t="s">
        <v>1549</v>
      </c>
      <c r="E2899" s="2" t="s">
        <v>3949</v>
      </c>
      <c r="F2899" s="2" t="s">
        <v>12181</v>
      </c>
      <c r="G2899" s="2" t="s">
        <v>12181</v>
      </c>
      <c r="H2899" s="2" t="s">
        <v>12181</v>
      </c>
      <c r="I2899" s="2" t="s">
        <v>12182</v>
      </c>
      <c r="J2899" s="2" t="s">
        <v>302</v>
      </c>
      <c r="K2899" s="2" t="s">
        <v>2457</v>
      </c>
      <c r="L2899" s="3">
        <v>94.49</v>
      </c>
      <c r="M2899" s="3">
        <v>99.21</v>
      </c>
      <c r="N2899" s="3">
        <v>174.99</v>
      </c>
      <c r="O2899" s="2" t="s">
        <v>235</v>
      </c>
      <c r="P2899" s="2" t="s">
        <v>917</v>
      </c>
      <c r="Q2899" s="2" t="s">
        <v>237</v>
      </c>
      <c r="R2899" s="2" t="s">
        <v>231</v>
      </c>
      <c r="S2899" s="2" t="s">
        <v>12208</v>
      </c>
      <c r="T2899" s="2" t="s">
        <v>1630</v>
      </c>
      <c r="U2899" s="2" t="s">
        <v>327</v>
      </c>
      <c r="V2899" s="2" t="s">
        <v>239</v>
      </c>
      <c r="W2899" s="2" t="s">
        <v>273</v>
      </c>
      <c r="X2899" s="2" t="s">
        <v>231</v>
      </c>
      <c r="Y2899" s="2" t="s">
        <v>5820</v>
      </c>
      <c r="Z2899" s="4">
        <v>42</v>
      </c>
      <c r="AA2899" s="4">
        <f>=ROUNDDOWN(14,0)</f>
      </c>
      <c r="AB2899" s="5">
        <v>3</v>
      </c>
      <c r="AC2899" s="2" t="s">
        <v>231</v>
      </c>
      <c r="AD2899" s="4"/>
      <c r="AE2899" s="4"/>
      <c r="AF2899" s="6">
        <v>61</v>
      </c>
      <c r="AG2899" s="6"/>
      <c r="AH2899" s="7">
        <v>1</v>
      </c>
      <c r="AI2899" s="4"/>
      <c r="AJ2899" s="4">
        <f>=ROUNDDOWN({0},0)</f>
      </c>
      <c r="AK2899" s="5"/>
      <c r="AL2899" s="2" t="s">
        <v>231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231</v>
      </c>
      <c r="AW2899" s="8" t="s">
        <v>231</v>
      </c>
      <c r="AX2899" s="4" t="s">
        <v>231</v>
      </c>
      <c r="AY2899" s="8" t="s">
        <v>231</v>
      </c>
      <c r="AZ2899" s="7" t="s">
        <v>231</v>
      </c>
      <c r="BA2899" s="7" t="s">
        <v>231</v>
      </c>
      <c r="BB2899" s="7"/>
      <c r="BC2899" s="4" t="s">
        <v>231</v>
      </c>
      <c r="BD2899" s="8" t="s">
        <v>231</v>
      </c>
      <c r="BE2899" s="4" t="s">
        <v>231</v>
      </c>
      <c r="BF2899" s="8" t="s">
        <v>231</v>
      </c>
      <c r="BG2899" s="7" t="s">
        <v>231</v>
      </c>
      <c r="BH2899" s="7" t="s">
        <v>231</v>
      </c>
      <c r="BI2899" s="7"/>
      <c r="BJ2899" s="4">
        <v>1</v>
      </c>
      <c r="BK2899" s="8">
        <v>64.83</v>
      </c>
      <c r="BL2899" s="2" t="s">
        <v>1423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12213</v>
      </c>
      <c r="BV2899" s="2" t="s">
        <v>231</v>
      </c>
      <c r="BW2899" s="2" t="s">
        <v>231</v>
      </c>
      <c r="BX2899" s="2" t="s">
        <v>231</v>
      </c>
      <c r="BY2899" s="2" t="s">
        <v>277</v>
      </c>
      <c r="BZ2899" s="2" t="s">
        <v>243</v>
      </c>
      <c r="CA2899" s="2" t="s">
        <v>4814</v>
      </c>
      <c r="CB2899" s="2" t="s">
        <v>3458</v>
      </c>
      <c r="CC2899" s="2" t="s">
        <v>244</v>
      </c>
      <c r="CD2899" s="2" t="s">
        <v>231</v>
      </c>
      <c r="CE2899" s="4">
        <v>42</v>
      </c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/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  <c r="DP2899" s="4"/>
      <c r="DQ2899" s="4"/>
      <c r="DR2899" s="4"/>
      <c r="DS2899" s="4"/>
      <c r="DT2899" s="4"/>
      <c r="DU2899" s="4"/>
      <c r="DV2899" s="4"/>
      <c r="DW2899" s="4"/>
      <c r="DX2899" s="4"/>
      <c r="DY2899" s="4"/>
      <c r="DZ2899" s="4"/>
      <c r="EA2899" s="4"/>
      <c r="EB2899" s="4"/>
      <c r="EC2899" s="4"/>
      <c r="ED2899" s="4"/>
      <c r="EE2899" s="4"/>
      <c r="EF2899" s="4"/>
      <c r="EG2899" s="4"/>
      <c r="EH2899" s="4"/>
      <c r="EI2899" s="4"/>
      <c r="EJ2899" s="4"/>
      <c r="EK2899" s="4"/>
      <c r="EL2899" s="4"/>
      <c r="EM2899" s="4"/>
      <c r="EN2899" s="4"/>
      <c r="EO2899" s="4"/>
      <c r="EP2899" s="4"/>
      <c r="EQ2899" s="4"/>
      <c r="ER2899" s="4"/>
      <c r="ES2899" s="4"/>
      <c r="ET2899" s="4"/>
      <c r="EU2899" s="4"/>
      <c r="EV2899" s="4"/>
      <c r="EW2899" s="4"/>
      <c r="EX2899" s="4"/>
      <c r="EY2899" s="4"/>
      <c r="EZ2899" s="4"/>
      <c r="FA2899" s="4"/>
      <c r="FB2899" s="4"/>
      <c r="FC2899" s="4"/>
      <c r="FD2899" s="4"/>
      <c r="FE2899" s="4"/>
      <c r="FF2899" s="4"/>
      <c r="FG2899" s="4"/>
      <c r="FH2899" s="4"/>
      <c r="FI2899" s="4"/>
      <c r="FJ2899" s="4"/>
      <c r="FK2899" s="4"/>
      <c r="FL2899" s="4"/>
      <c r="FM2899" s="4"/>
      <c r="FN2899" s="4"/>
      <c r="FO2899" s="4"/>
      <c r="FP2899" s="4"/>
      <c r="FQ2899" s="4"/>
      <c r="FR2899" s="4"/>
      <c r="FS2899" s="4"/>
      <c r="FT2899" s="4"/>
      <c r="FU2899" s="4"/>
      <c r="FV2899" s="4"/>
      <c r="FW2899" s="4"/>
      <c r="FX2899" s="4"/>
      <c r="FY2899" s="4"/>
      <c r="FZ2899" s="4"/>
      <c r="GA2899" s="4"/>
      <c r="GB2899" s="4"/>
      <c r="GC2899" s="4"/>
      <c r="GD2899" s="4"/>
      <c r="GE2899" s="4"/>
      <c r="GF2899" s="4"/>
      <c r="GG2899" s="4"/>
      <c r="GH2899" s="4"/>
      <c r="GI2899" s="4"/>
      <c r="GJ2899" s="4"/>
      <c r="GK2899" s="4"/>
      <c r="GL2899" s="4"/>
      <c r="GM2899" s="4"/>
      <c r="GN2899" s="4"/>
      <c r="GO2899" s="4"/>
      <c r="GP2899" s="4"/>
      <c r="GQ2899" s="4"/>
      <c r="GR2899" s="4"/>
      <c r="GS2899" s="4"/>
      <c r="GT2899" s="4"/>
      <c r="GU2899" s="4"/>
      <c r="GV2899" s="4"/>
      <c r="GW2899" s="4"/>
      <c r="GX2899" s="4"/>
      <c r="GY2899" s="4"/>
      <c r="GZ2899" s="4"/>
      <c r="HA2899" s="4"/>
      <c r="HB2899" s="4"/>
      <c r="HC2899" s="4"/>
      <c r="HD2899" s="4"/>
      <c r="HE2899" s="4"/>
      <c r="HF2899" s="4"/>
      <c r="HG2899" s="4"/>
      <c r="HH2899" s="4"/>
      <c r="HI2899" s="4"/>
      <c r="HJ2899" s="4"/>
      <c r="HK2899" s="4"/>
      <c r="HL2899" s="4"/>
    </row>
    <row r="2900">
      <c r="A2900" s="2" t="s">
        <v>12214</v>
      </c>
      <c r="B2900" s="2" t="s">
        <v>226</v>
      </c>
      <c r="C2900" s="2" t="s">
        <v>965</v>
      </c>
      <c r="D2900" s="2" t="s">
        <v>1549</v>
      </c>
      <c r="E2900" s="2" t="s">
        <v>3949</v>
      </c>
      <c r="F2900" s="2" t="s">
        <v>12181</v>
      </c>
      <c r="G2900" s="2" t="s">
        <v>12181</v>
      </c>
      <c r="H2900" s="2" t="s">
        <v>12181</v>
      </c>
      <c r="I2900" s="2" t="s">
        <v>12182</v>
      </c>
      <c r="J2900" s="2" t="s">
        <v>318</v>
      </c>
      <c r="K2900" s="2" t="s">
        <v>306</v>
      </c>
      <c r="L2900" s="3">
        <v>56.69</v>
      </c>
      <c r="M2900" s="3">
        <v>59.52</v>
      </c>
      <c r="N2900" s="3">
        <v>104.99</v>
      </c>
      <c r="O2900" s="2" t="s">
        <v>235</v>
      </c>
      <c r="P2900" s="2" t="s">
        <v>917</v>
      </c>
      <c r="Q2900" s="2" t="s">
        <v>237</v>
      </c>
      <c r="R2900" s="2" t="s">
        <v>231</v>
      </c>
      <c r="S2900" s="2" t="s">
        <v>12215</v>
      </c>
      <c r="T2900" s="2" t="s">
        <v>970</v>
      </c>
      <c r="U2900" s="2" t="s">
        <v>231</v>
      </c>
      <c r="V2900" s="2" t="s">
        <v>239</v>
      </c>
      <c r="W2900" s="2" t="s">
        <v>273</v>
      </c>
      <c r="X2900" s="2" t="s">
        <v>231</v>
      </c>
      <c r="Y2900" s="2" t="s">
        <v>4657</v>
      </c>
      <c r="Z2900" s="4"/>
      <c r="AA2900" s="4">
        <f>=ROUNDDOWN({0},0)</f>
      </c>
      <c r="AB2900" s="5">
        <v>4</v>
      </c>
      <c r="AC2900" s="2" t="s">
        <v>231</v>
      </c>
      <c r="AD2900" s="4"/>
      <c r="AE2900" s="4"/>
      <c r="AF2900" s="6">
        <v>61</v>
      </c>
      <c r="AG2900" s="6"/>
      <c r="AH2900" s="7">
        <v>0</v>
      </c>
      <c r="AI2900" s="4"/>
      <c r="AJ2900" s="4">
        <f>=ROUNDDOWN({0},0)</f>
      </c>
      <c r="AK2900" s="5"/>
      <c r="AL2900" s="2" t="s">
        <v>231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231</v>
      </c>
      <c r="AW2900" s="8" t="s">
        <v>231</v>
      </c>
      <c r="AX2900" s="4" t="s">
        <v>231</v>
      </c>
      <c r="AY2900" s="8" t="s">
        <v>231</v>
      </c>
      <c r="AZ2900" s="7" t="s">
        <v>231</v>
      </c>
      <c r="BA2900" s="7" t="s">
        <v>231</v>
      </c>
      <c r="BB2900" s="7"/>
      <c r="BC2900" s="4" t="s">
        <v>231</v>
      </c>
      <c r="BD2900" s="8" t="s">
        <v>231</v>
      </c>
      <c r="BE2900" s="4" t="s">
        <v>231</v>
      </c>
      <c r="BF2900" s="8" t="s">
        <v>231</v>
      </c>
      <c r="BG2900" s="7" t="s">
        <v>231</v>
      </c>
      <c r="BH2900" s="7" t="s">
        <v>231</v>
      </c>
      <c r="BI2900" s="7"/>
      <c r="BJ2900" s="4"/>
      <c r="BK2900" s="8"/>
      <c r="BL2900" s="2" t="s">
        <v>12216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12217</v>
      </c>
      <c r="BV2900" s="2" t="s">
        <v>231</v>
      </c>
      <c r="BW2900" s="2" t="s">
        <v>231</v>
      </c>
      <c r="BX2900" s="2" t="s">
        <v>231</v>
      </c>
      <c r="BY2900" s="2" t="s">
        <v>277</v>
      </c>
      <c r="BZ2900" s="2" t="s">
        <v>243</v>
      </c>
      <c r="CA2900" s="2" t="s">
        <v>2491</v>
      </c>
      <c r="CB2900" s="2" t="s">
        <v>10146</v>
      </c>
      <c r="CC2900" s="2" t="s">
        <v>244</v>
      </c>
      <c r="CD2900" s="2" t="s">
        <v>231</v>
      </c>
      <c r="CE2900" s="4"/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4"/>
      <c r="CX2900" s="4"/>
      <c r="CY2900" s="4"/>
      <c r="CZ2900" s="4"/>
      <c r="DA2900" s="4"/>
      <c r="DB2900" s="4"/>
      <c r="DC2900" s="4"/>
      <c r="DD2900" s="4"/>
      <c r="DE2900" s="4"/>
      <c r="DF2900" s="4"/>
      <c r="DG2900" s="4"/>
      <c r="DH2900" s="4"/>
      <c r="DI2900" s="4"/>
      <c r="DJ2900" s="4"/>
      <c r="DK2900" s="4"/>
      <c r="DL2900" s="4"/>
      <c r="DM2900" s="4"/>
      <c r="DN2900" s="4"/>
      <c r="DO2900" s="4"/>
      <c r="DP2900" s="4"/>
      <c r="DQ2900" s="4"/>
      <c r="DR2900" s="4"/>
      <c r="DS2900" s="4"/>
      <c r="DT2900" s="4"/>
      <c r="DU2900" s="4"/>
      <c r="DV2900" s="4"/>
      <c r="DW2900" s="4"/>
      <c r="DX2900" s="4"/>
      <c r="DY2900" s="4"/>
      <c r="DZ2900" s="4"/>
      <c r="EA2900" s="4"/>
      <c r="EB2900" s="4"/>
      <c r="EC2900" s="4"/>
      <c r="ED2900" s="4"/>
      <c r="EE2900" s="4"/>
      <c r="EF2900" s="4"/>
      <c r="EG2900" s="4"/>
      <c r="EH2900" s="4"/>
      <c r="EI2900" s="4"/>
      <c r="EJ2900" s="4"/>
      <c r="EK2900" s="4"/>
      <c r="EL2900" s="4"/>
      <c r="EM2900" s="4"/>
      <c r="EN2900" s="4"/>
      <c r="EO2900" s="4"/>
      <c r="EP2900" s="4"/>
      <c r="EQ2900" s="4"/>
      <c r="ER2900" s="4"/>
      <c r="ES2900" s="4"/>
      <c r="ET2900" s="4"/>
      <c r="EU2900" s="4"/>
      <c r="EV2900" s="4"/>
      <c r="EW2900" s="4"/>
      <c r="EX2900" s="4"/>
      <c r="EY2900" s="4"/>
      <c r="EZ2900" s="4"/>
      <c r="FA2900" s="4"/>
      <c r="FB2900" s="4"/>
      <c r="FC2900" s="4"/>
      <c r="FD2900" s="4"/>
      <c r="FE2900" s="4"/>
      <c r="FF2900" s="4"/>
      <c r="FG2900" s="4"/>
      <c r="FH2900" s="4"/>
      <c r="FI2900" s="4"/>
      <c r="FJ2900" s="4"/>
      <c r="FK2900" s="4"/>
      <c r="FL2900" s="4"/>
      <c r="FM2900" s="4"/>
      <c r="FN2900" s="4"/>
      <c r="FO2900" s="4"/>
      <c r="FP2900" s="4"/>
      <c r="FQ2900" s="4"/>
      <c r="FR2900" s="4"/>
      <c r="FS2900" s="4"/>
      <c r="FT2900" s="4"/>
      <c r="FU2900" s="4"/>
      <c r="FV2900" s="4"/>
      <c r="FW2900" s="4"/>
      <c r="FX2900" s="4"/>
      <c r="FY2900" s="4"/>
      <c r="FZ2900" s="4"/>
      <c r="GA2900" s="4"/>
      <c r="GB2900" s="4"/>
      <c r="GC2900" s="4"/>
      <c r="GD2900" s="4"/>
      <c r="GE2900" s="4"/>
      <c r="GF2900" s="4"/>
      <c r="GG2900" s="4"/>
      <c r="GH2900" s="4"/>
      <c r="GI2900" s="4"/>
      <c r="GJ2900" s="4"/>
      <c r="GK2900" s="4"/>
      <c r="GL2900" s="4"/>
      <c r="GM2900" s="4"/>
      <c r="GN2900" s="4"/>
      <c r="GO2900" s="4"/>
      <c r="GP2900" s="4"/>
      <c r="GQ2900" s="4"/>
      <c r="GR2900" s="4"/>
      <c r="GS2900" s="4"/>
      <c r="GT2900" s="4"/>
      <c r="GU2900" s="4"/>
      <c r="GV2900" s="4"/>
      <c r="GW2900" s="4"/>
      <c r="GX2900" s="4"/>
      <c r="GY2900" s="4"/>
      <c r="GZ2900" s="4"/>
      <c r="HA2900" s="4"/>
      <c r="HB2900" s="4"/>
      <c r="HC2900" s="4"/>
      <c r="HD2900" s="4"/>
      <c r="HE2900" s="4"/>
      <c r="HF2900" s="4"/>
      <c r="HG2900" s="4"/>
      <c r="HH2900" s="4"/>
      <c r="HI2900" s="4"/>
      <c r="HJ2900" s="4"/>
      <c r="HK2900" s="4"/>
      <c r="HL2900" s="4"/>
    </row>
    <row r="2901">
      <c r="A2901" s="2" t="s">
        <v>12218</v>
      </c>
      <c r="B2901" s="2" t="s">
        <v>226</v>
      </c>
      <c r="C2901" s="2" t="s">
        <v>965</v>
      </c>
      <c r="D2901" s="2" t="s">
        <v>1549</v>
      </c>
      <c r="E2901" s="2" t="s">
        <v>3949</v>
      </c>
      <c r="F2901" s="2" t="s">
        <v>12181</v>
      </c>
      <c r="G2901" s="2" t="s">
        <v>12181</v>
      </c>
      <c r="H2901" s="2" t="s">
        <v>12181</v>
      </c>
      <c r="I2901" s="2" t="s">
        <v>12182</v>
      </c>
      <c r="J2901" s="2" t="s">
        <v>281</v>
      </c>
      <c r="K2901" s="2" t="s">
        <v>306</v>
      </c>
      <c r="L2901" s="3">
        <v>62.09</v>
      </c>
      <c r="M2901" s="3">
        <v>65.19</v>
      </c>
      <c r="N2901" s="3">
        <v>114.99</v>
      </c>
      <c r="O2901" s="2" t="s">
        <v>235</v>
      </c>
      <c r="P2901" s="2" t="s">
        <v>917</v>
      </c>
      <c r="Q2901" s="2" t="s">
        <v>237</v>
      </c>
      <c r="R2901" s="2" t="s">
        <v>231</v>
      </c>
      <c r="S2901" s="2" t="s">
        <v>12215</v>
      </c>
      <c r="T2901" s="2" t="s">
        <v>970</v>
      </c>
      <c r="U2901" s="2" t="s">
        <v>231</v>
      </c>
      <c r="V2901" s="2" t="s">
        <v>239</v>
      </c>
      <c r="W2901" s="2" t="s">
        <v>273</v>
      </c>
      <c r="X2901" s="2" t="s">
        <v>231</v>
      </c>
      <c r="Y2901" s="2" t="s">
        <v>4657</v>
      </c>
      <c r="Z2901" s="4">
        <v>146</v>
      </c>
      <c r="AA2901" s="4">
        <f>=ROUNDDOWN(24.3333333333333,0)</f>
      </c>
      <c r="AB2901" s="5">
        <v>6</v>
      </c>
      <c r="AC2901" s="2" t="s">
        <v>231</v>
      </c>
      <c r="AD2901" s="4"/>
      <c r="AE2901" s="4"/>
      <c r="AF2901" s="6">
        <v>61</v>
      </c>
      <c r="AG2901" s="6"/>
      <c r="AH2901" s="7">
        <v>1</v>
      </c>
      <c r="AI2901" s="4"/>
      <c r="AJ2901" s="4">
        <f>=ROUNDDOWN({0},0)</f>
      </c>
      <c r="AK2901" s="5"/>
      <c r="AL2901" s="2" t="s">
        <v>231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231</v>
      </c>
      <c r="AW2901" s="8" t="s">
        <v>231</v>
      </c>
      <c r="AX2901" s="4" t="s">
        <v>231</v>
      </c>
      <c r="AY2901" s="8" t="s">
        <v>231</v>
      </c>
      <c r="AZ2901" s="7" t="s">
        <v>231</v>
      </c>
      <c r="BA2901" s="7" t="s">
        <v>231</v>
      </c>
      <c r="BB2901" s="7"/>
      <c r="BC2901" s="4" t="s">
        <v>231</v>
      </c>
      <c r="BD2901" s="8" t="s">
        <v>231</v>
      </c>
      <c r="BE2901" s="4" t="s">
        <v>231</v>
      </c>
      <c r="BF2901" s="8" t="s">
        <v>231</v>
      </c>
      <c r="BG2901" s="7" t="s">
        <v>231</v>
      </c>
      <c r="BH2901" s="7" t="s">
        <v>231</v>
      </c>
      <c r="BI2901" s="7"/>
      <c r="BJ2901" s="4">
        <v>1</v>
      </c>
      <c r="BK2901" s="8">
        <v>42.6</v>
      </c>
      <c r="BL2901" s="2" t="s">
        <v>12219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12220</v>
      </c>
      <c r="BV2901" s="2" t="s">
        <v>231</v>
      </c>
      <c r="BW2901" s="2" t="s">
        <v>231</v>
      </c>
      <c r="BX2901" s="2" t="s">
        <v>231</v>
      </c>
      <c r="BY2901" s="2" t="s">
        <v>277</v>
      </c>
      <c r="BZ2901" s="2" t="s">
        <v>243</v>
      </c>
      <c r="CA2901" s="2" t="s">
        <v>2491</v>
      </c>
      <c r="CB2901" s="2" t="s">
        <v>4397</v>
      </c>
      <c r="CC2901" s="2" t="s">
        <v>244</v>
      </c>
      <c r="CD2901" s="2" t="s">
        <v>231</v>
      </c>
      <c r="CE2901" s="4">
        <v>146</v>
      </c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4"/>
      <c r="CX2901" s="4"/>
      <c r="CY2901" s="4"/>
      <c r="CZ2901" s="4"/>
      <c r="DA2901" s="4"/>
      <c r="DB2901" s="4"/>
      <c r="DC2901" s="4"/>
      <c r="DD2901" s="4"/>
      <c r="DE2901" s="4"/>
      <c r="DF2901" s="4"/>
      <c r="DG2901" s="4"/>
      <c r="DH2901" s="4"/>
      <c r="DI2901" s="4"/>
      <c r="DJ2901" s="4"/>
      <c r="DK2901" s="4"/>
      <c r="DL2901" s="4"/>
      <c r="DM2901" s="4"/>
      <c r="DN2901" s="4"/>
      <c r="DO2901" s="4"/>
      <c r="DP2901" s="4"/>
      <c r="DQ2901" s="4"/>
      <c r="DR2901" s="4"/>
      <c r="DS2901" s="4"/>
      <c r="DT2901" s="4"/>
      <c r="DU2901" s="4"/>
      <c r="DV2901" s="4"/>
      <c r="DW2901" s="4"/>
      <c r="DX2901" s="4"/>
      <c r="DY2901" s="4"/>
      <c r="DZ2901" s="4"/>
      <c r="EA2901" s="4"/>
      <c r="EB2901" s="4"/>
      <c r="EC2901" s="4"/>
      <c r="ED2901" s="4"/>
      <c r="EE2901" s="4"/>
      <c r="EF2901" s="4"/>
      <c r="EG2901" s="4"/>
      <c r="EH2901" s="4"/>
      <c r="EI2901" s="4"/>
      <c r="EJ2901" s="4"/>
      <c r="EK2901" s="4"/>
      <c r="EL2901" s="4"/>
      <c r="EM2901" s="4"/>
      <c r="EN2901" s="4"/>
      <c r="EO2901" s="4"/>
      <c r="EP2901" s="4"/>
      <c r="EQ2901" s="4"/>
      <c r="ER2901" s="4"/>
      <c r="ES2901" s="4"/>
      <c r="ET2901" s="4"/>
      <c r="EU2901" s="4"/>
      <c r="EV2901" s="4"/>
      <c r="EW2901" s="4"/>
      <c r="EX2901" s="4"/>
      <c r="EY2901" s="4"/>
      <c r="EZ2901" s="4"/>
      <c r="FA2901" s="4"/>
      <c r="FB2901" s="4"/>
      <c r="FC2901" s="4"/>
      <c r="FD2901" s="4"/>
      <c r="FE2901" s="4"/>
      <c r="FF2901" s="4"/>
      <c r="FG2901" s="4"/>
      <c r="FH2901" s="4"/>
      <c r="FI2901" s="4"/>
      <c r="FJ2901" s="4"/>
      <c r="FK2901" s="4"/>
      <c r="FL2901" s="4"/>
      <c r="FM2901" s="4"/>
      <c r="FN2901" s="4"/>
      <c r="FO2901" s="4"/>
      <c r="FP2901" s="4"/>
      <c r="FQ2901" s="4"/>
      <c r="FR2901" s="4"/>
      <c r="FS2901" s="4"/>
      <c r="FT2901" s="4"/>
      <c r="FU2901" s="4"/>
      <c r="FV2901" s="4"/>
      <c r="FW2901" s="4"/>
      <c r="FX2901" s="4"/>
      <c r="FY2901" s="4"/>
      <c r="FZ2901" s="4"/>
      <c r="GA2901" s="4"/>
      <c r="GB2901" s="4"/>
      <c r="GC2901" s="4"/>
      <c r="GD2901" s="4"/>
      <c r="GE2901" s="4"/>
      <c r="GF2901" s="4"/>
      <c r="GG2901" s="4"/>
      <c r="GH2901" s="4"/>
      <c r="GI2901" s="4"/>
      <c r="GJ2901" s="4"/>
      <c r="GK2901" s="4"/>
      <c r="GL2901" s="4"/>
      <c r="GM2901" s="4"/>
      <c r="GN2901" s="4"/>
      <c r="GO2901" s="4"/>
      <c r="GP2901" s="4"/>
      <c r="GQ2901" s="4"/>
      <c r="GR2901" s="4"/>
      <c r="GS2901" s="4"/>
      <c r="GT2901" s="4"/>
      <c r="GU2901" s="4"/>
      <c r="GV2901" s="4"/>
      <c r="GW2901" s="4"/>
      <c r="GX2901" s="4"/>
      <c r="GY2901" s="4"/>
      <c r="GZ2901" s="4"/>
      <c r="HA2901" s="4"/>
      <c r="HB2901" s="4"/>
      <c r="HC2901" s="4"/>
      <c r="HD2901" s="4"/>
      <c r="HE2901" s="4"/>
      <c r="HF2901" s="4"/>
      <c r="HG2901" s="4"/>
      <c r="HH2901" s="4"/>
      <c r="HI2901" s="4"/>
      <c r="HJ2901" s="4"/>
      <c r="HK2901" s="4"/>
      <c r="HL2901" s="4"/>
    </row>
    <row r="2902">
      <c r="A2902" s="2" t="s">
        <v>12221</v>
      </c>
      <c r="B2902" s="2" t="s">
        <v>226</v>
      </c>
      <c r="C2902" s="2" t="s">
        <v>965</v>
      </c>
      <c r="D2902" s="2" t="s">
        <v>1549</v>
      </c>
      <c r="E2902" s="2" t="s">
        <v>3949</v>
      </c>
      <c r="F2902" s="2" t="s">
        <v>12181</v>
      </c>
      <c r="G2902" s="2" t="s">
        <v>12181</v>
      </c>
      <c r="H2902" s="2" t="s">
        <v>12181</v>
      </c>
      <c r="I2902" s="2" t="s">
        <v>12182</v>
      </c>
      <c r="J2902" s="2" t="s">
        <v>293</v>
      </c>
      <c r="K2902" s="2" t="s">
        <v>306</v>
      </c>
      <c r="L2902" s="3">
        <v>83.69</v>
      </c>
      <c r="M2902" s="3">
        <v>87.87</v>
      </c>
      <c r="N2902" s="3">
        <v>154.99</v>
      </c>
      <c r="O2902" s="2" t="s">
        <v>235</v>
      </c>
      <c r="P2902" s="2" t="s">
        <v>917</v>
      </c>
      <c r="Q2902" s="2" t="s">
        <v>237</v>
      </c>
      <c r="R2902" s="2" t="s">
        <v>231</v>
      </c>
      <c r="S2902" s="2" t="s">
        <v>12215</v>
      </c>
      <c r="T2902" s="2" t="s">
        <v>970</v>
      </c>
      <c r="U2902" s="2" t="s">
        <v>231</v>
      </c>
      <c r="V2902" s="2" t="s">
        <v>239</v>
      </c>
      <c r="W2902" s="2" t="s">
        <v>273</v>
      </c>
      <c r="X2902" s="2" t="s">
        <v>231</v>
      </c>
      <c r="Y2902" s="2" t="s">
        <v>4657</v>
      </c>
      <c r="Z2902" s="4">
        <v>284</v>
      </c>
      <c r="AA2902" s="4">
        <f>=ROUNDDOWN(56.8,0)</f>
      </c>
      <c r="AB2902" s="5">
        <v>5</v>
      </c>
      <c r="AC2902" s="2" t="s">
        <v>231</v>
      </c>
      <c r="AD2902" s="4"/>
      <c r="AE2902" s="4"/>
      <c r="AF2902" s="6">
        <v>61</v>
      </c>
      <c r="AG2902" s="6"/>
      <c r="AH2902" s="7">
        <v>1</v>
      </c>
      <c r="AI2902" s="4"/>
      <c r="AJ2902" s="4">
        <f>=ROUNDDOWN({0},0)</f>
      </c>
      <c r="AK2902" s="5"/>
      <c r="AL2902" s="2" t="s">
        <v>231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231</v>
      </c>
      <c r="AW2902" s="8" t="s">
        <v>231</v>
      </c>
      <c r="AX2902" s="4" t="s">
        <v>231</v>
      </c>
      <c r="AY2902" s="8" t="s">
        <v>231</v>
      </c>
      <c r="AZ2902" s="7" t="s">
        <v>231</v>
      </c>
      <c r="BA2902" s="7" t="s">
        <v>231</v>
      </c>
      <c r="BB2902" s="7"/>
      <c r="BC2902" s="4" t="s">
        <v>231</v>
      </c>
      <c r="BD2902" s="8" t="s">
        <v>231</v>
      </c>
      <c r="BE2902" s="4" t="s">
        <v>231</v>
      </c>
      <c r="BF2902" s="8" t="s">
        <v>231</v>
      </c>
      <c r="BG2902" s="7" t="s">
        <v>231</v>
      </c>
      <c r="BH2902" s="7" t="s">
        <v>231</v>
      </c>
      <c r="BI2902" s="7"/>
      <c r="BJ2902" s="4">
        <v>2</v>
      </c>
      <c r="BK2902" s="8">
        <v>166.16</v>
      </c>
      <c r="BL2902" s="2" t="s">
        <v>843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12222</v>
      </c>
      <c r="BV2902" s="2" t="s">
        <v>231</v>
      </c>
      <c r="BW2902" s="2" t="s">
        <v>231</v>
      </c>
      <c r="BX2902" s="2" t="s">
        <v>231</v>
      </c>
      <c r="BY2902" s="2" t="s">
        <v>277</v>
      </c>
      <c r="BZ2902" s="2" t="s">
        <v>243</v>
      </c>
      <c r="CA2902" s="2" t="s">
        <v>2491</v>
      </c>
      <c r="CB2902" s="2" t="s">
        <v>4160</v>
      </c>
      <c r="CC2902" s="2" t="s">
        <v>244</v>
      </c>
      <c r="CD2902" s="2" t="s">
        <v>231</v>
      </c>
      <c r="CE2902" s="4">
        <v>284</v>
      </c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  <c r="DP2902" s="4"/>
      <c r="DQ2902" s="4"/>
      <c r="DR2902" s="4"/>
      <c r="DS2902" s="4"/>
      <c r="DT2902" s="4"/>
      <c r="DU2902" s="4"/>
      <c r="DV2902" s="4"/>
      <c r="DW2902" s="4"/>
      <c r="DX2902" s="4"/>
      <c r="DY2902" s="4"/>
      <c r="DZ2902" s="4"/>
      <c r="EA2902" s="4"/>
      <c r="EB2902" s="4"/>
      <c r="EC2902" s="4"/>
      <c r="ED2902" s="4"/>
      <c r="EE2902" s="4"/>
      <c r="EF2902" s="4"/>
      <c r="EG2902" s="4"/>
      <c r="EH2902" s="4"/>
      <c r="EI2902" s="4"/>
      <c r="EJ2902" s="4"/>
      <c r="EK2902" s="4"/>
      <c r="EL2902" s="4"/>
      <c r="EM2902" s="4"/>
      <c r="EN2902" s="4"/>
      <c r="EO2902" s="4"/>
      <c r="EP2902" s="4"/>
      <c r="EQ2902" s="4"/>
      <c r="ER2902" s="4"/>
      <c r="ES2902" s="4"/>
      <c r="ET2902" s="4"/>
      <c r="EU2902" s="4"/>
      <c r="EV2902" s="4"/>
      <c r="EW2902" s="4"/>
      <c r="EX2902" s="4"/>
      <c r="EY2902" s="4"/>
      <c r="EZ2902" s="4"/>
      <c r="FA2902" s="4"/>
      <c r="FB2902" s="4"/>
      <c r="FC2902" s="4"/>
      <c r="FD2902" s="4"/>
      <c r="FE2902" s="4"/>
      <c r="FF2902" s="4"/>
      <c r="FG2902" s="4"/>
      <c r="FH2902" s="4"/>
      <c r="FI2902" s="4"/>
      <c r="FJ2902" s="4"/>
      <c r="FK2902" s="4"/>
      <c r="FL2902" s="4"/>
      <c r="FM2902" s="4"/>
      <c r="FN2902" s="4"/>
      <c r="FO2902" s="4"/>
      <c r="FP2902" s="4"/>
      <c r="FQ2902" s="4"/>
      <c r="FR2902" s="4"/>
      <c r="FS2902" s="4"/>
      <c r="FT2902" s="4"/>
      <c r="FU2902" s="4"/>
      <c r="FV2902" s="4"/>
      <c r="FW2902" s="4"/>
      <c r="FX2902" s="4"/>
      <c r="FY2902" s="4"/>
      <c r="FZ2902" s="4"/>
      <c r="GA2902" s="4"/>
      <c r="GB2902" s="4"/>
      <c r="GC2902" s="4"/>
      <c r="GD2902" s="4"/>
      <c r="GE2902" s="4"/>
      <c r="GF2902" s="4"/>
      <c r="GG2902" s="4"/>
      <c r="GH2902" s="4"/>
      <c r="GI2902" s="4"/>
      <c r="GJ2902" s="4"/>
      <c r="GK2902" s="4"/>
      <c r="GL2902" s="4"/>
      <c r="GM2902" s="4"/>
      <c r="GN2902" s="4"/>
      <c r="GO2902" s="4"/>
      <c r="GP2902" s="4"/>
      <c r="GQ2902" s="4"/>
      <c r="GR2902" s="4"/>
      <c r="GS2902" s="4"/>
      <c r="GT2902" s="4"/>
      <c r="GU2902" s="4"/>
      <c r="GV2902" s="4"/>
      <c r="GW2902" s="4"/>
      <c r="GX2902" s="4"/>
      <c r="GY2902" s="4"/>
      <c r="GZ2902" s="4"/>
      <c r="HA2902" s="4"/>
      <c r="HB2902" s="4"/>
      <c r="HC2902" s="4"/>
      <c r="HD2902" s="4"/>
      <c r="HE2902" s="4"/>
      <c r="HF2902" s="4"/>
      <c r="HG2902" s="4"/>
      <c r="HH2902" s="4"/>
      <c r="HI2902" s="4"/>
      <c r="HJ2902" s="4"/>
      <c r="HK2902" s="4"/>
      <c r="HL2902" s="4"/>
    </row>
    <row r="2903">
      <c r="A2903" s="2" t="s">
        <v>12223</v>
      </c>
      <c r="B2903" s="2" t="s">
        <v>226</v>
      </c>
      <c r="C2903" s="2" t="s">
        <v>965</v>
      </c>
      <c r="D2903" s="2" t="s">
        <v>1549</v>
      </c>
      <c r="E2903" s="2" t="s">
        <v>3949</v>
      </c>
      <c r="F2903" s="2" t="s">
        <v>12181</v>
      </c>
      <c r="G2903" s="2" t="s">
        <v>12181</v>
      </c>
      <c r="H2903" s="2" t="s">
        <v>12181</v>
      </c>
      <c r="I2903" s="2" t="s">
        <v>12182</v>
      </c>
      <c r="J2903" s="2" t="s">
        <v>318</v>
      </c>
      <c r="K2903" s="2" t="s">
        <v>1146</v>
      </c>
      <c r="L2903" s="3">
        <v>56.69</v>
      </c>
      <c r="M2903" s="3">
        <v>59.52</v>
      </c>
      <c r="N2903" s="3">
        <v>104.99</v>
      </c>
      <c r="O2903" s="2" t="s">
        <v>235</v>
      </c>
      <c r="P2903" s="2" t="s">
        <v>917</v>
      </c>
      <c r="Q2903" s="2" t="s">
        <v>237</v>
      </c>
      <c r="R2903" s="2" t="s">
        <v>231</v>
      </c>
      <c r="S2903" s="2" t="s">
        <v>12224</v>
      </c>
      <c r="T2903" s="2" t="s">
        <v>970</v>
      </c>
      <c r="U2903" s="2" t="s">
        <v>231</v>
      </c>
      <c r="V2903" s="2" t="s">
        <v>239</v>
      </c>
      <c r="W2903" s="2" t="s">
        <v>273</v>
      </c>
      <c r="X2903" s="2" t="s">
        <v>231</v>
      </c>
      <c r="Y2903" s="2" t="s">
        <v>4657</v>
      </c>
      <c r="Z2903" s="4"/>
      <c r="AA2903" s="4">
        <f>=ROUNDDOWN({0},0)</f>
      </c>
      <c r="AB2903" s="5">
        <v>4</v>
      </c>
      <c r="AC2903" s="2" t="s">
        <v>231</v>
      </c>
      <c r="AD2903" s="4"/>
      <c r="AE2903" s="4"/>
      <c r="AF2903" s="6">
        <v>61</v>
      </c>
      <c r="AG2903" s="6"/>
      <c r="AH2903" s="7">
        <v>0</v>
      </c>
      <c r="AI2903" s="4"/>
      <c r="AJ2903" s="4">
        <f>=ROUNDDOWN({0},0)</f>
      </c>
      <c r="AK2903" s="5"/>
      <c r="AL2903" s="2" t="s">
        <v>231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231</v>
      </c>
      <c r="AW2903" s="8" t="s">
        <v>231</v>
      </c>
      <c r="AX2903" s="4" t="s">
        <v>231</v>
      </c>
      <c r="AY2903" s="8" t="s">
        <v>231</v>
      </c>
      <c r="AZ2903" s="7" t="s">
        <v>231</v>
      </c>
      <c r="BA2903" s="7" t="s">
        <v>231</v>
      </c>
      <c r="BB2903" s="7"/>
      <c r="BC2903" s="4" t="s">
        <v>231</v>
      </c>
      <c r="BD2903" s="8" t="s">
        <v>231</v>
      </c>
      <c r="BE2903" s="4" t="s">
        <v>231</v>
      </c>
      <c r="BF2903" s="8" t="s">
        <v>231</v>
      </c>
      <c r="BG2903" s="7" t="s">
        <v>231</v>
      </c>
      <c r="BH2903" s="7" t="s">
        <v>231</v>
      </c>
      <c r="BI2903" s="7"/>
      <c r="BJ2903" s="4"/>
      <c r="BK2903" s="8"/>
      <c r="BL2903" s="2" t="s">
        <v>838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12225</v>
      </c>
      <c r="BV2903" s="2" t="s">
        <v>231</v>
      </c>
      <c r="BW2903" s="2" t="s">
        <v>231</v>
      </c>
      <c r="BX2903" s="2" t="s">
        <v>231</v>
      </c>
      <c r="BY2903" s="2" t="s">
        <v>277</v>
      </c>
      <c r="BZ2903" s="2" t="s">
        <v>243</v>
      </c>
      <c r="CA2903" s="2" t="s">
        <v>2491</v>
      </c>
      <c r="CB2903" s="2" t="s">
        <v>4216</v>
      </c>
      <c r="CC2903" s="2" t="s">
        <v>244</v>
      </c>
      <c r="CD2903" s="2" t="s">
        <v>231</v>
      </c>
      <c r="CE2903" s="4"/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/>
      <c r="CV2903" s="4"/>
      <c r="CW2903" s="4"/>
      <c r="CX2903" s="4"/>
      <c r="CY2903" s="4"/>
      <c r="CZ2903" s="4"/>
      <c r="DA2903" s="4"/>
      <c r="DB2903" s="4"/>
      <c r="DC2903" s="4"/>
      <c r="DD2903" s="4"/>
      <c r="DE2903" s="4"/>
      <c r="DF2903" s="4"/>
      <c r="DG2903" s="4"/>
      <c r="DH2903" s="4"/>
      <c r="DI2903" s="4"/>
      <c r="DJ2903" s="4"/>
      <c r="DK2903" s="4"/>
      <c r="DL2903" s="4"/>
      <c r="DM2903" s="4"/>
      <c r="DN2903" s="4"/>
      <c r="DO2903" s="4"/>
      <c r="DP2903" s="4"/>
      <c r="DQ2903" s="4"/>
      <c r="DR2903" s="4"/>
      <c r="DS2903" s="4"/>
      <c r="DT2903" s="4"/>
      <c r="DU2903" s="4"/>
      <c r="DV2903" s="4"/>
      <c r="DW2903" s="4"/>
      <c r="DX2903" s="4"/>
      <c r="DY2903" s="4"/>
      <c r="DZ2903" s="4"/>
      <c r="EA2903" s="4"/>
      <c r="EB2903" s="4"/>
      <c r="EC2903" s="4"/>
      <c r="ED2903" s="4"/>
      <c r="EE2903" s="4"/>
      <c r="EF2903" s="4"/>
      <c r="EG2903" s="4"/>
      <c r="EH2903" s="4"/>
      <c r="EI2903" s="4"/>
      <c r="EJ2903" s="4"/>
      <c r="EK2903" s="4"/>
      <c r="EL2903" s="4"/>
      <c r="EM2903" s="4"/>
      <c r="EN2903" s="4"/>
      <c r="EO2903" s="4"/>
      <c r="EP2903" s="4"/>
      <c r="EQ2903" s="4"/>
      <c r="ER2903" s="4"/>
      <c r="ES2903" s="4"/>
      <c r="ET2903" s="4"/>
      <c r="EU2903" s="4"/>
      <c r="EV2903" s="4"/>
      <c r="EW2903" s="4"/>
      <c r="EX2903" s="4"/>
      <c r="EY2903" s="4"/>
      <c r="EZ2903" s="4"/>
      <c r="FA2903" s="4"/>
      <c r="FB2903" s="4"/>
      <c r="FC2903" s="4"/>
      <c r="FD2903" s="4"/>
      <c r="FE2903" s="4"/>
      <c r="FF2903" s="4"/>
      <c r="FG2903" s="4"/>
      <c r="FH2903" s="4"/>
      <c r="FI2903" s="4"/>
      <c r="FJ2903" s="4"/>
      <c r="FK2903" s="4"/>
      <c r="FL2903" s="4"/>
      <c r="FM2903" s="4"/>
      <c r="FN2903" s="4"/>
      <c r="FO2903" s="4"/>
      <c r="FP2903" s="4"/>
      <c r="FQ2903" s="4"/>
      <c r="FR2903" s="4"/>
      <c r="FS2903" s="4"/>
      <c r="FT2903" s="4"/>
      <c r="FU2903" s="4"/>
      <c r="FV2903" s="4"/>
      <c r="FW2903" s="4"/>
      <c r="FX2903" s="4"/>
      <c r="FY2903" s="4"/>
      <c r="FZ2903" s="4"/>
      <c r="GA2903" s="4"/>
      <c r="GB2903" s="4"/>
      <c r="GC2903" s="4"/>
      <c r="GD2903" s="4"/>
      <c r="GE2903" s="4"/>
      <c r="GF2903" s="4"/>
      <c r="GG2903" s="4"/>
      <c r="GH2903" s="4"/>
      <c r="GI2903" s="4"/>
      <c r="GJ2903" s="4"/>
      <c r="GK2903" s="4"/>
      <c r="GL2903" s="4"/>
      <c r="GM2903" s="4"/>
      <c r="GN2903" s="4"/>
      <c r="GO2903" s="4"/>
      <c r="GP2903" s="4"/>
      <c r="GQ2903" s="4"/>
      <c r="GR2903" s="4"/>
      <c r="GS2903" s="4"/>
      <c r="GT2903" s="4"/>
      <c r="GU2903" s="4"/>
      <c r="GV2903" s="4"/>
      <c r="GW2903" s="4"/>
      <c r="GX2903" s="4"/>
      <c r="GY2903" s="4"/>
      <c r="GZ2903" s="4"/>
      <c r="HA2903" s="4"/>
      <c r="HB2903" s="4"/>
      <c r="HC2903" s="4"/>
      <c r="HD2903" s="4"/>
      <c r="HE2903" s="4"/>
      <c r="HF2903" s="4"/>
      <c r="HG2903" s="4"/>
      <c r="HH2903" s="4"/>
      <c r="HI2903" s="4"/>
      <c r="HJ2903" s="4"/>
      <c r="HK2903" s="4"/>
      <c r="HL2903" s="4"/>
    </row>
    <row r="2904">
      <c r="A2904" s="2" t="s">
        <v>12226</v>
      </c>
      <c r="B2904" s="2" t="s">
        <v>226</v>
      </c>
      <c r="C2904" s="2" t="s">
        <v>965</v>
      </c>
      <c r="D2904" s="2" t="s">
        <v>1549</v>
      </c>
      <c r="E2904" s="2" t="s">
        <v>3949</v>
      </c>
      <c r="F2904" s="2" t="s">
        <v>12181</v>
      </c>
      <c r="G2904" s="2" t="s">
        <v>12181</v>
      </c>
      <c r="H2904" s="2" t="s">
        <v>12181</v>
      </c>
      <c r="I2904" s="2" t="s">
        <v>12182</v>
      </c>
      <c r="J2904" s="2" t="s">
        <v>293</v>
      </c>
      <c r="K2904" s="2" t="s">
        <v>1146</v>
      </c>
      <c r="L2904" s="3">
        <v>83.69</v>
      </c>
      <c r="M2904" s="3">
        <v>87.87</v>
      </c>
      <c r="N2904" s="3">
        <v>154.99</v>
      </c>
      <c r="O2904" s="2" t="s">
        <v>235</v>
      </c>
      <c r="P2904" s="2" t="s">
        <v>917</v>
      </c>
      <c r="Q2904" s="2" t="s">
        <v>237</v>
      </c>
      <c r="R2904" s="2" t="s">
        <v>231</v>
      </c>
      <c r="S2904" s="2" t="s">
        <v>12224</v>
      </c>
      <c r="T2904" s="2" t="s">
        <v>970</v>
      </c>
      <c r="U2904" s="2" t="s">
        <v>231</v>
      </c>
      <c r="V2904" s="2" t="s">
        <v>239</v>
      </c>
      <c r="W2904" s="2" t="s">
        <v>273</v>
      </c>
      <c r="X2904" s="2" t="s">
        <v>231</v>
      </c>
      <c r="Y2904" s="2" t="s">
        <v>4657</v>
      </c>
      <c r="Z2904" s="4">
        <v>125</v>
      </c>
      <c r="AA2904" s="4">
        <f>=ROUNDDOWN(31.25,0)</f>
      </c>
      <c r="AB2904" s="5">
        <v>4</v>
      </c>
      <c r="AC2904" s="2" t="s">
        <v>231</v>
      </c>
      <c r="AD2904" s="4"/>
      <c r="AE2904" s="4"/>
      <c r="AF2904" s="6">
        <v>61</v>
      </c>
      <c r="AG2904" s="6"/>
      <c r="AH2904" s="7">
        <v>1</v>
      </c>
      <c r="AI2904" s="4"/>
      <c r="AJ2904" s="4">
        <f>=ROUNDDOWN({0},0)</f>
      </c>
      <c r="AK2904" s="5"/>
      <c r="AL2904" s="2" t="s">
        <v>231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231</v>
      </c>
      <c r="AW2904" s="8" t="s">
        <v>231</v>
      </c>
      <c r="AX2904" s="4" t="s">
        <v>231</v>
      </c>
      <c r="AY2904" s="8" t="s">
        <v>231</v>
      </c>
      <c r="AZ2904" s="7" t="s">
        <v>231</v>
      </c>
      <c r="BA2904" s="7" t="s">
        <v>231</v>
      </c>
      <c r="BB2904" s="7"/>
      <c r="BC2904" s="4" t="s">
        <v>231</v>
      </c>
      <c r="BD2904" s="8" t="s">
        <v>231</v>
      </c>
      <c r="BE2904" s="4" t="s">
        <v>231</v>
      </c>
      <c r="BF2904" s="8" t="s">
        <v>231</v>
      </c>
      <c r="BG2904" s="7" t="s">
        <v>231</v>
      </c>
      <c r="BH2904" s="7" t="s">
        <v>231</v>
      </c>
      <c r="BI2904" s="7"/>
      <c r="BJ2904" s="4">
        <v>2</v>
      </c>
      <c r="BK2904" s="8">
        <v>155.8</v>
      </c>
      <c r="BL2904" s="2" t="s">
        <v>465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12227</v>
      </c>
      <c r="BV2904" s="2" t="s">
        <v>231</v>
      </c>
      <c r="BW2904" s="2" t="s">
        <v>231</v>
      </c>
      <c r="BX2904" s="2" t="s">
        <v>231</v>
      </c>
      <c r="BY2904" s="2" t="s">
        <v>277</v>
      </c>
      <c r="BZ2904" s="2" t="s">
        <v>243</v>
      </c>
      <c r="CA2904" s="2" t="s">
        <v>2491</v>
      </c>
      <c r="CB2904" s="2" t="s">
        <v>4160</v>
      </c>
      <c r="CC2904" s="2" t="s">
        <v>244</v>
      </c>
      <c r="CD2904" s="2" t="s">
        <v>231</v>
      </c>
      <c r="CE2904" s="4">
        <v>125</v>
      </c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4"/>
      <c r="CX2904" s="4"/>
      <c r="CY2904" s="4"/>
      <c r="CZ2904" s="4"/>
      <c r="DA2904" s="4"/>
      <c r="DB2904" s="4"/>
      <c r="DC2904" s="4"/>
      <c r="DD2904" s="4"/>
      <c r="DE2904" s="4"/>
      <c r="DF2904" s="4"/>
      <c r="DG2904" s="4"/>
      <c r="DH2904" s="4"/>
      <c r="DI2904" s="4"/>
      <c r="DJ2904" s="4"/>
      <c r="DK2904" s="4"/>
      <c r="DL2904" s="4"/>
      <c r="DM2904" s="4"/>
      <c r="DN2904" s="4"/>
      <c r="DO2904" s="4"/>
      <c r="DP2904" s="4"/>
      <c r="DQ2904" s="4"/>
      <c r="DR2904" s="4"/>
      <c r="DS2904" s="4"/>
      <c r="DT2904" s="4"/>
      <c r="DU2904" s="4"/>
      <c r="DV2904" s="4"/>
      <c r="DW2904" s="4"/>
      <c r="DX2904" s="4"/>
      <c r="DY2904" s="4"/>
      <c r="DZ2904" s="4"/>
      <c r="EA2904" s="4"/>
      <c r="EB2904" s="4"/>
      <c r="EC2904" s="4"/>
      <c r="ED2904" s="4"/>
      <c r="EE2904" s="4"/>
      <c r="EF2904" s="4"/>
      <c r="EG2904" s="4"/>
      <c r="EH2904" s="4"/>
      <c r="EI2904" s="4"/>
      <c r="EJ2904" s="4"/>
      <c r="EK2904" s="4"/>
      <c r="EL2904" s="4"/>
      <c r="EM2904" s="4"/>
      <c r="EN2904" s="4"/>
      <c r="EO2904" s="4"/>
      <c r="EP2904" s="4"/>
      <c r="EQ2904" s="4"/>
      <c r="ER2904" s="4"/>
      <c r="ES2904" s="4"/>
      <c r="ET2904" s="4"/>
      <c r="EU2904" s="4"/>
      <c r="EV2904" s="4"/>
      <c r="EW2904" s="4"/>
      <c r="EX2904" s="4"/>
      <c r="EY2904" s="4"/>
      <c r="EZ2904" s="4"/>
      <c r="FA2904" s="4"/>
      <c r="FB2904" s="4"/>
      <c r="FC2904" s="4"/>
      <c r="FD2904" s="4"/>
      <c r="FE2904" s="4"/>
      <c r="FF2904" s="4"/>
      <c r="FG2904" s="4"/>
      <c r="FH2904" s="4"/>
      <c r="FI2904" s="4"/>
      <c r="FJ2904" s="4"/>
      <c r="FK2904" s="4"/>
      <c r="FL2904" s="4"/>
      <c r="FM2904" s="4"/>
      <c r="FN2904" s="4"/>
      <c r="FO2904" s="4"/>
      <c r="FP2904" s="4"/>
      <c r="FQ2904" s="4"/>
      <c r="FR2904" s="4"/>
      <c r="FS2904" s="4"/>
      <c r="FT2904" s="4"/>
      <c r="FU2904" s="4"/>
      <c r="FV2904" s="4"/>
      <c r="FW2904" s="4"/>
      <c r="FX2904" s="4"/>
      <c r="FY2904" s="4"/>
      <c r="FZ2904" s="4"/>
      <c r="GA2904" s="4"/>
      <c r="GB2904" s="4"/>
      <c r="GC2904" s="4"/>
      <c r="GD2904" s="4"/>
      <c r="GE2904" s="4"/>
      <c r="GF2904" s="4"/>
      <c r="GG2904" s="4"/>
      <c r="GH2904" s="4"/>
      <c r="GI2904" s="4"/>
      <c r="GJ2904" s="4"/>
      <c r="GK2904" s="4"/>
      <c r="GL2904" s="4"/>
      <c r="GM2904" s="4"/>
      <c r="GN2904" s="4"/>
      <c r="GO2904" s="4"/>
      <c r="GP2904" s="4"/>
      <c r="GQ2904" s="4"/>
      <c r="GR2904" s="4"/>
      <c r="GS2904" s="4"/>
      <c r="GT2904" s="4"/>
      <c r="GU2904" s="4"/>
      <c r="GV2904" s="4"/>
      <c r="GW2904" s="4"/>
      <c r="GX2904" s="4"/>
      <c r="GY2904" s="4"/>
      <c r="GZ2904" s="4"/>
      <c r="HA2904" s="4"/>
      <c r="HB2904" s="4"/>
      <c r="HC2904" s="4"/>
      <c r="HD2904" s="4"/>
      <c r="HE2904" s="4"/>
      <c r="HF2904" s="4"/>
      <c r="HG2904" s="4"/>
      <c r="HH2904" s="4"/>
      <c r="HI2904" s="4"/>
      <c r="HJ2904" s="4"/>
      <c r="HK2904" s="4"/>
      <c r="HL2904" s="4"/>
    </row>
    <row r="2905">
      <c r="A2905" s="2" t="s">
        <v>12228</v>
      </c>
      <c r="B2905" s="2" t="s">
        <v>226</v>
      </c>
      <c r="C2905" s="2" t="s">
        <v>965</v>
      </c>
      <c r="D2905" s="2" t="s">
        <v>1549</v>
      </c>
      <c r="E2905" s="2" t="s">
        <v>3949</v>
      </c>
      <c r="F2905" s="2" t="s">
        <v>12181</v>
      </c>
      <c r="G2905" s="2" t="s">
        <v>12181</v>
      </c>
      <c r="H2905" s="2" t="s">
        <v>12181</v>
      </c>
      <c r="I2905" s="2" t="s">
        <v>12182</v>
      </c>
      <c r="J2905" s="2" t="s">
        <v>302</v>
      </c>
      <c r="K2905" s="2" t="s">
        <v>1146</v>
      </c>
      <c r="L2905" s="3">
        <v>94.49</v>
      </c>
      <c r="M2905" s="3">
        <v>99.21</v>
      </c>
      <c r="N2905" s="3">
        <v>174.99</v>
      </c>
      <c r="O2905" s="2" t="s">
        <v>235</v>
      </c>
      <c r="P2905" s="2" t="s">
        <v>917</v>
      </c>
      <c r="Q2905" s="2" t="s">
        <v>237</v>
      </c>
      <c r="R2905" s="2" t="s">
        <v>231</v>
      </c>
      <c r="S2905" s="2" t="s">
        <v>12224</v>
      </c>
      <c r="T2905" s="2" t="s">
        <v>970</v>
      </c>
      <c r="U2905" s="2" t="s">
        <v>231</v>
      </c>
      <c r="V2905" s="2" t="s">
        <v>239</v>
      </c>
      <c r="W2905" s="2" t="s">
        <v>273</v>
      </c>
      <c r="X2905" s="2" t="s">
        <v>231</v>
      </c>
      <c r="Y2905" s="2" t="s">
        <v>4657</v>
      </c>
      <c r="Z2905" s="4">
        <v>90</v>
      </c>
      <c r="AA2905" s="4">
        <f>=ROUNDDOWN(22.5,0)</f>
      </c>
      <c r="AB2905" s="5">
        <v>4</v>
      </c>
      <c r="AC2905" s="2" t="s">
        <v>231</v>
      </c>
      <c r="AD2905" s="4"/>
      <c r="AE2905" s="4"/>
      <c r="AF2905" s="6">
        <v>61</v>
      </c>
      <c r="AG2905" s="6"/>
      <c r="AH2905" s="7">
        <v>1</v>
      </c>
      <c r="AI2905" s="4"/>
      <c r="AJ2905" s="4">
        <f>=ROUNDDOWN({0},0)</f>
      </c>
      <c r="AK2905" s="5"/>
      <c r="AL2905" s="2" t="s">
        <v>231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231</v>
      </c>
      <c r="AW2905" s="8" t="s">
        <v>231</v>
      </c>
      <c r="AX2905" s="4" t="s">
        <v>231</v>
      </c>
      <c r="AY2905" s="8" t="s">
        <v>231</v>
      </c>
      <c r="AZ2905" s="7" t="s">
        <v>231</v>
      </c>
      <c r="BA2905" s="7" t="s">
        <v>231</v>
      </c>
      <c r="BB2905" s="7"/>
      <c r="BC2905" s="4" t="s">
        <v>231</v>
      </c>
      <c r="BD2905" s="8" t="s">
        <v>231</v>
      </c>
      <c r="BE2905" s="4" t="s">
        <v>231</v>
      </c>
      <c r="BF2905" s="8" t="s">
        <v>231</v>
      </c>
      <c r="BG2905" s="7" t="s">
        <v>231</v>
      </c>
      <c r="BH2905" s="7" t="s">
        <v>231</v>
      </c>
      <c r="BI2905" s="7"/>
      <c r="BJ2905" s="4">
        <v>1</v>
      </c>
      <c r="BK2905" s="8">
        <v>87.4</v>
      </c>
      <c r="BL2905" s="2" t="s">
        <v>12229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12230</v>
      </c>
      <c r="BV2905" s="2" t="s">
        <v>231</v>
      </c>
      <c r="BW2905" s="2" t="s">
        <v>231</v>
      </c>
      <c r="BX2905" s="2" t="s">
        <v>231</v>
      </c>
      <c r="BY2905" s="2" t="s">
        <v>277</v>
      </c>
      <c r="BZ2905" s="2" t="s">
        <v>243</v>
      </c>
      <c r="CA2905" s="2" t="s">
        <v>2491</v>
      </c>
      <c r="CB2905" s="2" t="s">
        <v>1078</v>
      </c>
      <c r="CC2905" s="2" t="s">
        <v>244</v>
      </c>
      <c r="CD2905" s="2" t="s">
        <v>231</v>
      </c>
      <c r="CE2905" s="4">
        <v>90</v>
      </c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4"/>
      <c r="CX2905" s="4"/>
      <c r="CY2905" s="4"/>
      <c r="CZ2905" s="4"/>
      <c r="DA2905" s="4"/>
      <c r="DB2905" s="4"/>
      <c r="DC2905" s="4"/>
      <c r="DD2905" s="4"/>
      <c r="DE2905" s="4"/>
      <c r="DF2905" s="4"/>
      <c r="DG2905" s="4"/>
      <c r="DH2905" s="4"/>
      <c r="DI2905" s="4"/>
      <c r="DJ2905" s="4"/>
      <c r="DK2905" s="4"/>
      <c r="DL2905" s="4"/>
      <c r="DM2905" s="4"/>
      <c r="DN2905" s="4"/>
      <c r="DO2905" s="4"/>
      <c r="DP2905" s="4"/>
      <c r="DQ2905" s="4"/>
      <c r="DR2905" s="4"/>
      <c r="DS2905" s="4"/>
      <c r="DT2905" s="4"/>
      <c r="DU2905" s="4"/>
      <c r="DV2905" s="4"/>
      <c r="DW2905" s="4"/>
      <c r="DX2905" s="4"/>
      <c r="DY2905" s="4"/>
      <c r="DZ2905" s="4"/>
      <c r="EA2905" s="4"/>
      <c r="EB2905" s="4"/>
      <c r="EC2905" s="4"/>
      <c r="ED2905" s="4"/>
      <c r="EE2905" s="4"/>
      <c r="EF2905" s="4"/>
      <c r="EG2905" s="4"/>
      <c r="EH2905" s="4"/>
      <c r="EI2905" s="4"/>
      <c r="EJ2905" s="4"/>
      <c r="EK2905" s="4"/>
      <c r="EL2905" s="4"/>
      <c r="EM2905" s="4"/>
      <c r="EN2905" s="4"/>
      <c r="EO2905" s="4"/>
      <c r="EP2905" s="4"/>
      <c r="EQ2905" s="4"/>
      <c r="ER2905" s="4"/>
      <c r="ES2905" s="4"/>
      <c r="ET2905" s="4"/>
      <c r="EU2905" s="4"/>
      <c r="EV2905" s="4"/>
      <c r="EW2905" s="4"/>
      <c r="EX2905" s="4"/>
      <c r="EY2905" s="4"/>
      <c r="EZ2905" s="4"/>
      <c r="FA2905" s="4"/>
      <c r="FB2905" s="4"/>
      <c r="FC2905" s="4"/>
      <c r="FD2905" s="4"/>
      <c r="FE2905" s="4"/>
      <c r="FF2905" s="4"/>
      <c r="FG2905" s="4"/>
      <c r="FH2905" s="4"/>
      <c r="FI2905" s="4"/>
      <c r="FJ2905" s="4"/>
      <c r="FK2905" s="4"/>
      <c r="FL2905" s="4"/>
      <c r="FM2905" s="4"/>
      <c r="FN2905" s="4"/>
      <c r="FO2905" s="4"/>
      <c r="FP2905" s="4"/>
      <c r="FQ2905" s="4"/>
      <c r="FR2905" s="4"/>
      <c r="FS2905" s="4"/>
      <c r="FT2905" s="4"/>
      <c r="FU2905" s="4"/>
      <c r="FV2905" s="4"/>
      <c r="FW2905" s="4"/>
      <c r="FX2905" s="4"/>
      <c r="FY2905" s="4"/>
      <c r="FZ2905" s="4"/>
      <c r="GA2905" s="4"/>
      <c r="GB2905" s="4"/>
      <c r="GC2905" s="4"/>
      <c r="GD2905" s="4"/>
      <c r="GE2905" s="4"/>
      <c r="GF2905" s="4"/>
      <c r="GG2905" s="4"/>
      <c r="GH2905" s="4"/>
      <c r="GI2905" s="4"/>
      <c r="GJ2905" s="4"/>
      <c r="GK2905" s="4"/>
      <c r="GL2905" s="4"/>
      <c r="GM2905" s="4"/>
      <c r="GN2905" s="4"/>
      <c r="GO2905" s="4"/>
      <c r="GP2905" s="4"/>
      <c r="GQ2905" s="4"/>
      <c r="GR2905" s="4"/>
      <c r="GS2905" s="4"/>
      <c r="GT2905" s="4"/>
      <c r="GU2905" s="4"/>
      <c r="GV2905" s="4"/>
      <c r="GW2905" s="4"/>
      <c r="GX2905" s="4"/>
      <c r="GY2905" s="4"/>
      <c r="GZ2905" s="4"/>
      <c r="HA2905" s="4"/>
      <c r="HB2905" s="4"/>
      <c r="HC2905" s="4"/>
      <c r="HD2905" s="4"/>
      <c r="HE2905" s="4"/>
      <c r="HF2905" s="4"/>
      <c r="HG2905" s="4"/>
      <c r="HH2905" s="4"/>
      <c r="HI2905" s="4"/>
      <c r="HJ2905" s="4"/>
      <c r="HK2905" s="4"/>
      <c r="HL2905" s="4"/>
    </row>
    <row r="2906">
      <c r="A2906" s="2" t="s">
        <v>12231</v>
      </c>
      <c r="B2906" s="2" t="s">
        <v>824</v>
      </c>
      <c r="C2906" s="2" t="s">
        <v>1051</v>
      </c>
      <c r="D2906" s="2" t="s">
        <v>826</v>
      </c>
      <c r="E2906" s="2" t="s">
        <v>1060</v>
      </c>
      <c r="F2906" s="2" t="s">
        <v>12232</v>
      </c>
      <c r="G2906" s="2" t="s">
        <v>6635</v>
      </c>
      <c r="H2906" s="2" t="s">
        <v>12233</v>
      </c>
      <c r="I2906" s="2" t="s">
        <v>12234</v>
      </c>
      <c r="J2906" s="2" t="s">
        <v>669</v>
      </c>
      <c r="K2906" s="2" t="s">
        <v>1046</v>
      </c>
      <c r="L2906" s="3">
        <v>52.8</v>
      </c>
      <c r="M2906" s="3">
        <v>55.44</v>
      </c>
      <c r="N2906" s="3">
        <v>109.99</v>
      </c>
      <c r="O2906" s="2" t="s">
        <v>250</v>
      </c>
      <c r="P2906" s="2" t="s">
        <v>341</v>
      </c>
      <c r="Q2906" s="2" t="s">
        <v>237</v>
      </c>
      <c r="R2906" s="2" t="s">
        <v>231</v>
      </c>
      <c r="S2906" s="2" t="s">
        <v>12235</v>
      </c>
      <c r="T2906" s="2" t="s">
        <v>362</v>
      </c>
      <c r="U2906" s="2" t="s">
        <v>835</v>
      </c>
      <c r="V2906" s="2" t="s">
        <v>1304</v>
      </c>
      <c r="W2906" s="2" t="s">
        <v>691</v>
      </c>
      <c r="X2906" s="2" t="s">
        <v>273</v>
      </c>
      <c r="Y2906" s="2" t="s">
        <v>12236</v>
      </c>
      <c r="Z2906" s="4">
        <v>7</v>
      </c>
      <c r="AA2906" s="4">
        <f>=ROUNDDOWN(3.5,0)</f>
      </c>
      <c r="AB2906" s="5">
        <v>2</v>
      </c>
      <c r="AC2906" s="2" t="s">
        <v>231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231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/>
      <c r="BD2906" s="8"/>
      <c r="BE2906" s="4"/>
      <c r="BF2906" s="8"/>
      <c r="BG2906" s="7"/>
      <c r="BH2906" s="7"/>
      <c r="BI2906" s="7"/>
      <c r="BJ2906" s="4">
        <v>7</v>
      </c>
      <c r="BK2906" s="8">
        <v>237.83</v>
      </c>
      <c r="BL2906" s="2" t="s">
        <v>2996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12237</v>
      </c>
      <c r="BV2906" s="2" t="s">
        <v>231</v>
      </c>
      <c r="BW2906" s="2" t="s">
        <v>231</v>
      </c>
      <c r="BX2906" s="2" t="s">
        <v>231</v>
      </c>
      <c r="BY2906" s="2" t="s">
        <v>277</v>
      </c>
      <c r="BZ2906" s="2" t="s">
        <v>243</v>
      </c>
      <c r="CA2906" s="2" t="s">
        <v>4867</v>
      </c>
      <c r="CB2906" s="2" t="s">
        <v>5892</v>
      </c>
      <c r="CC2906" s="2" t="s">
        <v>244</v>
      </c>
      <c r="CD2906" s="2" t="s">
        <v>231</v>
      </c>
      <c r="CE2906" s="4">
        <v>7</v>
      </c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4"/>
      <c r="CX2906" s="4"/>
      <c r="CY2906" s="4"/>
      <c r="CZ2906" s="4"/>
      <c r="DA2906" s="4"/>
      <c r="DB2906" s="4"/>
      <c r="DC2906" s="4"/>
      <c r="DD2906" s="4"/>
      <c r="DE2906" s="4"/>
      <c r="DF2906" s="4"/>
      <c r="DG2906" s="4"/>
      <c r="DH2906" s="4"/>
      <c r="DI2906" s="4"/>
      <c r="DJ2906" s="4"/>
      <c r="DK2906" s="4"/>
      <c r="DL2906" s="4"/>
      <c r="DM2906" s="4"/>
      <c r="DN2906" s="4"/>
      <c r="DO2906" s="4"/>
      <c r="DP2906" s="4"/>
      <c r="DQ2906" s="4"/>
      <c r="DR2906" s="4"/>
      <c r="DS2906" s="4"/>
      <c r="DT2906" s="4"/>
      <c r="DU2906" s="4"/>
      <c r="DV2906" s="4"/>
      <c r="DW2906" s="4"/>
      <c r="DX2906" s="4"/>
      <c r="DY2906" s="4"/>
      <c r="DZ2906" s="4"/>
      <c r="EA2906" s="4"/>
      <c r="EB2906" s="4"/>
      <c r="EC2906" s="4"/>
      <c r="ED2906" s="4"/>
      <c r="EE2906" s="4"/>
      <c r="EF2906" s="4"/>
      <c r="EG2906" s="4"/>
      <c r="EH2906" s="4"/>
      <c r="EI2906" s="4"/>
      <c r="EJ2906" s="4"/>
      <c r="EK2906" s="4"/>
      <c r="EL2906" s="4"/>
      <c r="EM2906" s="4"/>
      <c r="EN2906" s="4"/>
      <c r="EO2906" s="4"/>
      <c r="EP2906" s="4"/>
      <c r="EQ2906" s="4"/>
      <c r="ER2906" s="4"/>
      <c r="ES2906" s="4"/>
      <c r="ET2906" s="4"/>
      <c r="EU2906" s="4"/>
      <c r="EV2906" s="4"/>
      <c r="EW2906" s="4"/>
      <c r="EX2906" s="4"/>
      <c r="EY2906" s="4"/>
      <c r="EZ2906" s="4"/>
      <c r="FA2906" s="4"/>
      <c r="FB2906" s="4"/>
      <c r="FC2906" s="4"/>
      <c r="FD2906" s="4"/>
      <c r="FE2906" s="4"/>
      <c r="FF2906" s="4"/>
      <c r="FG2906" s="4"/>
      <c r="FH2906" s="4"/>
      <c r="FI2906" s="4"/>
      <c r="FJ2906" s="4"/>
      <c r="FK2906" s="4"/>
      <c r="FL2906" s="4"/>
      <c r="FM2906" s="4"/>
      <c r="FN2906" s="4"/>
      <c r="FO2906" s="4"/>
      <c r="FP2906" s="4"/>
      <c r="FQ2906" s="4"/>
      <c r="FR2906" s="4"/>
      <c r="FS2906" s="4"/>
      <c r="FT2906" s="4"/>
      <c r="FU2906" s="4"/>
      <c r="FV2906" s="4"/>
      <c r="FW2906" s="4"/>
      <c r="FX2906" s="4"/>
      <c r="FY2906" s="4"/>
      <c r="FZ2906" s="4"/>
      <c r="GA2906" s="4"/>
      <c r="GB2906" s="4"/>
      <c r="GC2906" s="4"/>
      <c r="GD2906" s="4"/>
      <c r="GE2906" s="4"/>
      <c r="GF2906" s="4"/>
      <c r="GG2906" s="4"/>
      <c r="GH2906" s="4"/>
      <c r="GI2906" s="4"/>
      <c r="GJ2906" s="4"/>
      <c r="GK2906" s="4"/>
      <c r="GL2906" s="4"/>
      <c r="GM2906" s="4"/>
      <c r="GN2906" s="4"/>
      <c r="GO2906" s="4"/>
      <c r="GP2906" s="4"/>
      <c r="GQ2906" s="4"/>
      <c r="GR2906" s="4"/>
      <c r="GS2906" s="4"/>
      <c r="GT2906" s="4"/>
      <c r="GU2906" s="4"/>
      <c r="GV2906" s="4"/>
      <c r="GW2906" s="4"/>
      <c r="GX2906" s="4"/>
      <c r="GY2906" s="4"/>
      <c r="GZ2906" s="4"/>
      <c r="HA2906" s="4"/>
      <c r="HB2906" s="4"/>
      <c r="HC2906" s="4"/>
      <c r="HD2906" s="4"/>
      <c r="HE2906" s="4"/>
      <c r="HF2906" s="4"/>
      <c r="HG2906" s="4"/>
      <c r="HH2906" s="4"/>
      <c r="HI2906" s="4"/>
      <c r="HJ2906" s="4"/>
      <c r="HK2906" s="4"/>
      <c r="HL2906" s="4"/>
    </row>
    <row r="2907">
      <c r="A2907" s="2" t="s">
        <v>12238</v>
      </c>
      <c r="B2907" s="2" t="s">
        <v>1186</v>
      </c>
      <c r="C2907" s="2" t="s">
        <v>653</v>
      </c>
      <c r="D2907" s="2" t="s">
        <v>654</v>
      </c>
      <c r="E2907" s="2" t="s">
        <v>655</v>
      </c>
      <c r="F2907" s="2" t="s">
        <v>12239</v>
      </c>
      <c r="G2907" s="2" t="s">
        <v>12239</v>
      </c>
      <c r="H2907" s="2" t="s">
        <v>12239</v>
      </c>
      <c r="I2907" s="2" t="s">
        <v>1152</v>
      </c>
      <c r="J2907" s="2" t="s">
        <v>293</v>
      </c>
      <c r="K2907" s="2" t="s">
        <v>852</v>
      </c>
      <c r="L2907" s="3">
        <v>172.2</v>
      </c>
      <c r="M2907" s="3">
        <v>180.81</v>
      </c>
      <c r="N2907" s="3">
        <v>409.99</v>
      </c>
      <c r="O2907" s="2" t="s">
        <v>243</v>
      </c>
      <c r="P2907" s="2" t="s">
        <v>236</v>
      </c>
      <c r="Q2907" s="2" t="s">
        <v>237</v>
      </c>
      <c r="R2907" s="2" t="s">
        <v>231</v>
      </c>
      <c r="S2907" s="2" t="s">
        <v>12240</v>
      </c>
      <c r="T2907" s="2" t="s">
        <v>362</v>
      </c>
      <c r="U2907" s="2" t="s">
        <v>5729</v>
      </c>
      <c r="V2907" s="2" t="s">
        <v>1304</v>
      </c>
      <c r="W2907" s="2" t="s">
        <v>896</v>
      </c>
      <c r="X2907" s="2" t="s">
        <v>12241</v>
      </c>
      <c r="Y2907" s="2" t="s">
        <v>231</v>
      </c>
      <c r="Z2907" s="4"/>
      <c r="AA2907" s="4">
        <f>=ROUNDDOWN({0},0)</f>
      </c>
      <c r="AB2907" s="5"/>
      <c r="AC2907" s="2" t="s">
        <v>12242</v>
      </c>
      <c r="AD2907" s="4">
        <v>130</v>
      </c>
      <c r="AE2907" s="4">
        <v>130</v>
      </c>
      <c r="AF2907" s="6">
        <v>67</v>
      </c>
      <c r="AG2907" s="6"/>
      <c r="AH2907" s="7">
        <v>0</v>
      </c>
      <c r="AI2907" s="4"/>
      <c r="AJ2907" s="4">
        <f>=ROUNDDOWN({0},0)</f>
      </c>
      <c r="AK2907" s="5"/>
      <c r="AL2907" s="2" t="s">
        <v>231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231</v>
      </c>
      <c r="AW2907" s="8" t="s">
        <v>231</v>
      </c>
      <c r="AX2907" s="4" t="s">
        <v>231</v>
      </c>
      <c r="AY2907" s="8" t="s">
        <v>231</v>
      </c>
      <c r="AZ2907" s="7" t="s">
        <v>231</v>
      </c>
      <c r="BA2907" s="7" t="s">
        <v>231</v>
      </c>
      <c r="BB2907" s="7"/>
      <c r="BC2907" s="4" t="s">
        <v>231</v>
      </c>
      <c r="BD2907" s="8" t="s">
        <v>231</v>
      </c>
      <c r="BE2907" s="4" t="s">
        <v>231</v>
      </c>
      <c r="BF2907" s="8" t="s">
        <v>231</v>
      </c>
      <c r="BG2907" s="7" t="s">
        <v>231</v>
      </c>
      <c r="BH2907" s="7" t="s">
        <v>231</v>
      </c>
      <c r="BI2907" s="7"/>
      <c r="BJ2907" s="4"/>
      <c r="BK2907" s="8"/>
      <c r="BL2907" s="2" t="s">
        <v>231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241</v>
      </c>
      <c r="BV2907" s="2" t="s">
        <v>231</v>
      </c>
      <c r="BW2907" s="2" t="s">
        <v>231</v>
      </c>
      <c r="BX2907" s="2" t="s">
        <v>241</v>
      </c>
      <c r="BY2907" s="2" t="s">
        <v>242</v>
      </c>
      <c r="BZ2907" s="2" t="s">
        <v>243</v>
      </c>
      <c r="CA2907" s="2" t="s">
        <v>231</v>
      </c>
      <c r="CB2907" s="2" t="s">
        <v>231</v>
      </c>
      <c r="CC2907" s="2" t="s">
        <v>244</v>
      </c>
      <c r="CD2907" s="2" t="s">
        <v>231</v>
      </c>
      <c r="CE2907" s="4"/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4"/>
      <c r="CX2907" s="4"/>
      <c r="CY2907" s="4"/>
      <c r="CZ2907" s="4"/>
      <c r="DA2907" s="4"/>
      <c r="DB2907" s="4"/>
      <c r="DC2907" s="4"/>
      <c r="DD2907" s="4"/>
      <c r="DE2907" s="4"/>
      <c r="DF2907" s="4"/>
      <c r="DG2907" s="4"/>
      <c r="DH2907" s="4"/>
      <c r="DI2907" s="4"/>
      <c r="DJ2907" s="4"/>
      <c r="DK2907" s="4"/>
      <c r="DL2907" s="4"/>
      <c r="DM2907" s="4"/>
      <c r="DN2907" s="4"/>
      <c r="DO2907" s="4"/>
      <c r="DP2907" s="4"/>
      <c r="DQ2907" s="4"/>
      <c r="DR2907" s="4"/>
      <c r="DS2907" s="4"/>
      <c r="DT2907" s="4"/>
      <c r="DU2907" s="4"/>
      <c r="DV2907" s="4"/>
      <c r="DW2907" s="4"/>
      <c r="DX2907" s="4"/>
      <c r="DY2907" s="4"/>
      <c r="DZ2907" s="4"/>
      <c r="EA2907" s="4"/>
      <c r="EB2907" s="4"/>
      <c r="EC2907" s="4"/>
      <c r="ED2907" s="4"/>
      <c r="EE2907" s="4"/>
      <c r="EF2907" s="4"/>
      <c r="EG2907" s="4"/>
      <c r="EH2907" s="4"/>
      <c r="EI2907" s="4"/>
      <c r="EJ2907" s="4"/>
      <c r="EK2907" s="4"/>
      <c r="EL2907" s="4"/>
      <c r="EM2907" s="4"/>
      <c r="EN2907" s="4"/>
      <c r="EO2907" s="4"/>
      <c r="EP2907" s="4"/>
      <c r="EQ2907" s="4"/>
      <c r="ER2907" s="4"/>
      <c r="ES2907" s="4"/>
      <c r="ET2907" s="4"/>
      <c r="EU2907" s="4"/>
      <c r="EV2907" s="4"/>
      <c r="EW2907" s="4"/>
      <c r="EX2907" s="4"/>
      <c r="EY2907" s="4"/>
      <c r="EZ2907" s="4"/>
      <c r="FA2907" s="4"/>
      <c r="FB2907" s="4"/>
      <c r="FC2907" s="4"/>
      <c r="FD2907" s="4"/>
      <c r="FE2907" s="4"/>
      <c r="FF2907" s="4"/>
      <c r="FG2907" s="4"/>
      <c r="FH2907" s="4"/>
      <c r="FI2907" s="4"/>
      <c r="FJ2907" s="4"/>
      <c r="FK2907" s="4"/>
      <c r="FL2907" s="4"/>
      <c r="FM2907" s="4"/>
      <c r="FN2907" s="4"/>
      <c r="FO2907" s="4"/>
      <c r="FP2907" s="4"/>
      <c r="FQ2907" s="4"/>
      <c r="FR2907" s="4"/>
      <c r="FS2907" s="4"/>
      <c r="FT2907" s="4"/>
      <c r="FU2907" s="4"/>
      <c r="FV2907" s="4"/>
      <c r="FW2907" s="4">
        <v>130</v>
      </c>
      <c r="FX2907" s="4"/>
      <c r="FY2907" s="4"/>
      <c r="FZ2907" s="4"/>
      <c r="GA2907" s="4"/>
      <c r="GB2907" s="4"/>
      <c r="GC2907" s="4"/>
      <c r="GD2907" s="4"/>
      <c r="GE2907" s="4"/>
      <c r="GF2907" s="4"/>
      <c r="GG2907" s="4"/>
      <c r="GH2907" s="4"/>
      <c r="GI2907" s="4"/>
      <c r="GJ2907" s="4"/>
      <c r="GK2907" s="4"/>
      <c r="GL2907" s="4"/>
      <c r="GM2907" s="4"/>
      <c r="GN2907" s="4"/>
      <c r="GO2907" s="4"/>
      <c r="GP2907" s="4"/>
      <c r="GQ2907" s="4"/>
      <c r="GR2907" s="4"/>
      <c r="GS2907" s="4"/>
      <c r="GT2907" s="4"/>
      <c r="GU2907" s="4"/>
      <c r="GV2907" s="4"/>
      <c r="GW2907" s="4"/>
      <c r="GX2907" s="4"/>
      <c r="GY2907" s="4"/>
      <c r="GZ2907" s="4"/>
      <c r="HA2907" s="4"/>
      <c r="HB2907" s="4"/>
      <c r="HC2907" s="4"/>
      <c r="HD2907" s="4"/>
      <c r="HE2907" s="4"/>
      <c r="HF2907" s="4"/>
      <c r="HG2907" s="4"/>
      <c r="HH2907" s="4"/>
      <c r="HI2907" s="4"/>
      <c r="HJ2907" s="4"/>
      <c r="HK2907" s="4"/>
      <c r="HL2907" s="4"/>
    </row>
    <row r="2908">
      <c r="A2908" s="2" t="s">
        <v>12243</v>
      </c>
      <c r="B2908" s="2" t="s">
        <v>1186</v>
      </c>
      <c r="C2908" s="2" t="s">
        <v>653</v>
      </c>
      <c r="D2908" s="2" t="s">
        <v>654</v>
      </c>
      <c r="E2908" s="2" t="s">
        <v>655</v>
      </c>
      <c r="F2908" s="2" t="s">
        <v>12239</v>
      </c>
      <c r="G2908" s="2" t="s">
        <v>12239</v>
      </c>
      <c r="H2908" s="2" t="s">
        <v>12239</v>
      </c>
      <c r="I2908" s="2" t="s">
        <v>1152</v>
      </c>
      <c r="J2908" s="2" t="s">
        <v>302</v>
      </c>
      <c r="K2908" s="2" t="s">
        <v>852</v>
      </c>
      <c r="L2908" s="3">
        <v>202.4</v>
      </c>
      <c r="M2908" s="3">
        <v>212.52</v>
      </c>
      <c r="N2908" s="3">
        <v>459.99</v>
      </c>
      <c r="O2908" s="2" t="s">
        <v>243</v>
      </c>
      <c r="P2908" s="2" t="s">
        <v>236</v>
      </c>
      <c r="Q2908" s="2" t="s">
        <v>237</v>
      </c>
      <c r="R2908" s="2" t="s">
        <v>231</v>
      </c>
      <c r="S2908" s="2" t="s">
        <v>12240</v>
      </c>
      <c r="T2908" s="2" t="s">
        <v>362</v>
      </c>
      <c r="U2908" s="2" t="s">
        <v>1196</v>
      </c>
      <c r="V2908" s="2" t="s">
        <v>1304</v>
      </c>
      <c r="W2908" s="2" t="s">
        <v>896</v>
      </c>
      <c r="X2908" s="2" t="s">
        <v>12241</v>
      </c>
      <c r="Y2908" s="2" t="s">
        <v>231</v>
      </c>
      <c r="Z2908" s="4"/>
      <c r="AA2908" s="4">
        <f>=ROUNDDOWN({0},0)</f>
      </c>
      <c r="AB2908" s="5"/>
      <c r="AC2908" s="2" t="s">
        <v>12242</v>
      </c>
      <c r="AD2908" s="4">
        <v>160</v>
      </c>
      <c r="AE2908" s="4">
        <v>160</v>
      </c>
      <c r="AF2908" s="6">
        <v>67</v>
      </c>
      <c r="AG2908" s="6"/>
      <c r="AH2908" s="7">
        <v>0</v>
      </c>
      <c r="AI2908" s="4"/>
      <c r="AJ2908" s="4">
        <f>=ROUNDDOWN({0},0)</f>
      </c>
      <c r="AK2908" s="5"/>
      <c r="AL2908" s="2" t="s">
        <v>231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231</v>
      </c>
      <c r="AW2908" s="8" t="s">
        <v>231</v>
      </c>
      <c r="AX2908" s="4" t="s">
        <v>231</v>
      </c>
      <c r="AY2908" s="8" t="s">
        <v>231</v>
      </c>
      <c r="AZ2908" s="7" t="s">
        <v>231</v>
      </c>
      <c r="BA2908" s="7" t="s">
        <v>231</v>
      </c>
      <c r="BB2908" s="7"/>
      <c r="BC2908" s="4" t="s">
        <v>231</v>
      </c>
      <c r="BD2908" s="8" t="s">
        <v>231</v>
      </c>
      <c r="BE2908" s="4" t="s">
        <v>231</v>
      </c>
      <c r="BF2908" s="8" t="s">
        <v>231</v>
      </c>
      <c r="BG2908" s="7" t="s">
        <v>231</v>
      </c>
      <c r="BH2908" s="7" t="s">
        <v>231</v>
      </c>
      <c r="BI2908" s="7"/>
      <c r="BJ2908" s="4"/>
      <c r="BK2908" s="8"/>
      <c r="BL2908" s="2" t="s">
        <v>231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241</v>
      </c>
      <c r="BV2908" s="2" t="s">
        <v>231</v>
      </c>
      <c r="BW2908" s="2" t="s">
        <v>231</v>
      </c>
      <c r="BX2908" s="2" t="s">
        <v>241</v>
      </c>
      <c r="BY2908" s="2" t="s">
        <v>242</v>
      </c>
      <c r="BZ2908" s="2" t="s">
        <v>243</v>
      </c>
      <c r="CA2908" s="2" t="s">
        <v>231</v>
      </c>
      <c r="CB2908" s="2" t="s">
        <v>231</v>
      </c>
      <c r="CC2908" s="2" t="s">
        <v>244</v>
      </c>
      <c r="CD2908" s="2" t="s">
        <v>231</v>
      </c>
      <c r="CE2908" s="4"/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4"/>
      <c r="CX2908" s="4"/>
      <c r="CY2908" s="4"/>
      <c r="CZ2908" s="4"/>
      <c r="DA2908" s="4"/>
      <c r="DB2908" s="4"/>
      <c r="DC2908" s="4"/>
      <c r="DD2908" s="4"/>
      <c r="DE2908" s="4"/>
      <c r="DF2908" s="4"/>
      <c r="DG2908" s="4"/>
      <c r="DH2908" s="4"/>
      <c r="DI2908" s="4"/>
      <c r="DJ2908" s="4"/>
      <c r="DK2908" s="4"/>
      <c r="DL2908" s="4"/>
      <c r="DM2908" s="4"/>
      <c r="DN2908" s="4"/>
      <c r="DO2908" s="4"/>
      <c r="DP2908" s="4"/>
      <c r="DQ2908" s="4"/>
      <c r="DR2908" s="4"/>
      <c r="DS2908" s="4"/>
      <c r="DT2908" s="4"/>
      <c r="DU2908" s="4"/>
      <c r="DV2908" s="4"/>
      <c r="DW2908" s="4"/>
      <c r="DX2908" s="4"/>
      <c r="DY2908" s="4"/>
      <c r="DZ2908" s="4"/>
      <c r="EA2908" s="4"/>
      <c r="EB2908" s="4"/>
      <c r="EC2908" s="4"/>
      <c r="ED2908" s="4"/>
      <c r="EE2908" s="4"/>
      <c r="EF2908" s="4"/>
      <c r="EG2908" s="4"/>
      <c r="EH2908" s="4"/>
      <c r="EI2908" s="4"/>
      <c r="EJ2908" s="4"/>
      <c r="EK2908" s="4"/>
      <c r="EL2908" s="4"/>
      <c r="EM2908" s="4"/>
      <c r="EN2908" s="4"/>
      <c r="EO2908" s="4"/>
      <c r="EP2908" s="4"/>
      <c r="EQ2908" s="4"/>
      <c r="ER2908" s="4"/>
      <c r="ES2908" s="4"/>
      <c r="ET2908" s="4"/>
      <c r="EU2908" s="4"/>
      <c r="EV2908" s="4"/>
      <c r="EW2908" s="4"/>
      <c r="EX2908" s="4"/>
      <c r="EY2908" s="4"/>
      <c r="EZ2908" s="4"/>
      <c r="FA2908" s="4"/>
      <c r="FB2908" s="4"/>
      <c r="FC2908" s="4"/>
      <c r="FD2908" s="4"/>
      <c r="FE2908" s="4"/>
      <c r="FF2908" s="4"/>
      <c r="FG2908" s="4"/>
      <c r="FH2908" s="4"/>
      <c r="FI2908" s="4"/>
      <c r="FJ2908" s="4"/>
      <c r="FK2908" s="4"/>
      <c r="FL2908" s="4"/>
      <c r="FM2908" s="4"/>
      <c r="FN2908" s="4"/>
      <c r="FO2908" s="4"/>
      <c r="FP2908" s="4"/>
      <c r="FQ2908" s="4"/>
      <c r="FR2908" s="4"/>
      <c r="FS2908" s="4"/>
      <c r="FT2908" s="4"/>
      <c r="FU2908" s="4"/>
      <c r="FV2908" s="4"/>
      <c r="FW2908" s="4">
        <v>160</v>
      </c>
      <c r="FX2908" s="4"/>
      <c r="FY2908" s="4"/>
      <c r="FZ2908" s="4"/>
      <c r="GA2908" s="4"/>
      <c r="GB2908" s="4"/>
      <c r="GC2908" s="4"/>
      <c r="GD2908" s="4"/>
      <c r="GE2908" s="4"/>
      <c r="GF2908" s="4"/>
      <c r="GG2908" s="4"/>
      <c r="GH2908" s="4"/>
      <c r="GI2908" s="4"/>
      <c r="GJ2908" s="4"/>
      <c r="GK2908" s="4"/>
      <c r="GL2908" s="4"/>
      <c r="GM2908" s="4"/>
      <c r="GN2908" s="4"/>
      <c r="GO2908" s="4"/>
      <c r="GP2908" s="4"/>
      <c r="GQ2908" s="4"/>
      <c r="GR2908" s="4"/>
      <c r="GS2908" s="4"/>
      <c r="GT2908" s="4"/>
      <c r="GU2908" s="4"/>
      <c r="GV2908" s="4"/>
      <c r="GW2908" s="4"/>
      <c r="GX2908" s="4"/>
      <c r="GY2908" s="4"/>
      <c r="GZ2908" s="4"/>
      <c r="HA2908" s="4"/>
      <c r="HB2908" s="4"/>
      <c r="HC2908" s="4"/>
      <c r="HD2908" s="4"/>
      <c r="HE2908" s="4"/>
      <c r="HF2908" s="4"/>
      <c r="HG2908" s="4"/>
      <c r="HH2908" s="4"/>
      <c r="HI2908" s="4"/>
      <c r="HJ2908" s="4"/>
      <c r="HK2908" s="4"/>
      <c r="HL2908" s="4"/>
    </row>
    <row r="2909">
      <c r="A2909" s="2" t="s">
        <v>12244</v>
      </c>
      <c r="B2909" s="2" t="s">
        <v>1186</v>
      </c>
      <c r="C2909" s="2" t="s">
        <v>631</v>
      </c>
      <c r="D2909" s="2" t="s">
        <v>654</v>
      </c>
      <c r="E2909" s="2" t="s">
        <v>1187</v>
      </c>
      <c r="F2909" s="2" t="s">
        <v>12245</v>
      </c>
      <c r="G2909" s="2" t="s">
        <v>12245</v>
      </c>
      <c r="H2909" s="2" t="s">
        <v>12245</v>
      </c>
      <c r="I2909" s="2" t="s">
        <v>12246</v>
      </c>
      <c r="J2909" s="2" t="s">
        <v>293</v>
      </c>
      <c r="K2909" s="2" t="s">
        <v>852</v>
      </c>
      <c r="L2909" s="3">
        <v>47.61</v>
      </c>
      <c r="M2909" s="3">
        <v>49.99</v>
      </c>
      <c r="N2909" s="3">
        <v>99.99</v>
      </c>
      <c r="O2909" s="2" t="s">
        <v>243</v>
      </c>
      <c r="P2909" s="2" t="s">
        <v>341</v>
      </c>
      <c r="Q2909" s="2" t="s">
        <v>237</v>
      </c>
      <c r="R2909" s="2" t="s">
        <v>231</v>
      </c>
      <c r="S2909" s="2" t="s">
        <v>12247</v>
      </c>
      <c r="T2909" s="2" t="s">
        <v>472</v>
      </c>
      <c r="U2909" s="2" t="s">
        <v>3864</v>
      </c>
      <c r="V2909" s="2" t="s">
        <v>836</v>
      </c>
      <c r="W2909" s="2" t="s">
        <v>691</v>
      </c>
      <c r="X2909" s="2" t="s">
        <v>231</v>
      </c>
      <c r="Y2909" s="2" t="s">
        <v>6013</v>
      </c>
      <c r="Z2909" s="4"/>
      <c r="AA2909" s="4">
        <f>=ROUNDDOWN({0},0)</f>
      </c>
      <c r="AB2909" s="5"/>
      <c r="AC2909" s="2" t="s">
        <v>231</v>
      </c>
      <c r="AD2909" s="4"/>
      <c r="AE2909" s="4"/>
      <c r="AF2909" s="6"/>
      <c r="AG2909" s="6"/>
      <c r="AH2909" s="7">
        <v>0</v>
      </c>
      <c r="AI2909" s="4"/>
      <c r="AJ2909" s="4">
        <f>=ROUNDDOWN({0},0)</f>
      </c>
      <c r="AK2909" s="5"/>
      <c r="AL2909" s="2" t="s">
        <v>231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231</v>
      </c>
      <c r="AW2909" s="8" t="s">
        <v>231</v>
      </c>
      <c r="AX2909" s="4" t="s">
        <v>231</v>
      </c>
      <c r="AY2909" s="8" t="s">
        <v>231</v>
      </c>
      <c r="AZ2909" s="7" t="s">
        <v>231</v>
      </c>
      <c r="BA2909" s="7" t="s">
        <v>231</v>
      </c>
      <c r="BB2909" s="7"/>
      <c r="BC2909" s="4" t="s">
        <v>231</v>
      </c>
      <c r="BD2909" s="8" t="s">
        <v>231</v>
      </c>
      <c r="BE2909" s="4" t="s">
        <v>231</v>
      </c>
      <c r="BF2909" s="8" t="s">
        <v>231</v>
      </c>
      <c r="BG2909" s="7" t="s">
        <v>231</v>
      </c>
      <c r="BH2909" s="7" t="s">
        <v>231</v>
      </c>
      <c r="BI2909" s="7"/>
      <c r="BJ2909" s="4"/>
      <c r="BK2909" s="8"/>
      <c r="BL2909" s="2" t="s">
        <v>231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12248</v>
      </c>
      <c r="BV2909" s="2" t="s">
        <v>231</v>
      </c>
      <c r="BW2909" s="2" t="s">
        <v>231</v>
      </c>
      <c r="BX2909" s="2" t="s">
        <v>231</v>
      </c>
      <c r="BY2909" s="2" t="s">
        <v>277</v>
      </c>
      <c r="BZ2909" s="2" t="s">
        <v>243</v>
      </c>
      <c r="CA2909" s="2" t="s">
        <v>1470</v>
      </c>
      <c r="CB2909" s="2" t="s">
        <v>2621</v>
      </c>
      <c r="CC2909" s="2" t="s">
        <v>244</v>
      </c>
      <c r="CD2909" s="2" t="s">
        <v>231</v>
      </c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4"/>
      <c r="CX2909" s="4"/>
      <c r="CY2909" s="4"/>
      <c r="CZ2909" s="4"/>
      <c r="DA2909" s="4"/>
      <c r="DB2909" s="4"/>
      <c r="DC2909" s="4"/>
      <c r="DD2909" s="4"/>
      <c r="DE2909" s="4"/>
      <c r="DF2909" s="4"/>
      <c r="DG2909" s="4"/>
      <c r="DH2909" s="4"/>
      <c r="DI2909" s="4"/>
      <c r="DJ2909" s="4"/>
      <c r="DK2909" s="4"/>
      <c r="DL2909" s="4"/>
      <c r="DM2909" s="4"/>
      <c r="DN2909" s="4"/>
      <c r="DO2909" s="4"/>
      <c r="DP2909" s="4"/>
      <c r="DQ2909" s="4"/>
      <c r="DR2909" s="4"/>
      <c r="DS2909" s="4"/>
      <c r="DT2909" s="4"/>
      <c r="DU2909" s="4"/>
      <c r="DV2909" s="4"/>
      <c r="DW2909" s="4"/>
      <c r="DX2909" s="4"/>
      <c r="DY2909" s="4"/>
      <c r="DZ2909" s="4"/>
      <c r="EA2909" s="4"/>
      <c r="EB2909" s="4"/>
      <c r="EC2909" s="4"/>
      <c r="ED2909" s="4"/>
      <c r="EE2909" s="4"/>
      <c r="EF2909" s="4"/>
      <c r="EG2909" s="4"/>
      <c r="EH2909" s="4"/>
      <c r="EI2909" s="4"/>
      <c r="EJ2909" s="4"/>
      <c r="EK2909" s="4"/>
      <c r="EL2909" s="4"/>
      <c r="EM2909" s="4"/>
      <c r="EN2909" s="4"/>
      <c r="EO2909" s="4"/>
      <c r="EP2909" s="4"/>
      <c r="EQ2909" s="4"/>
      <c r="ER2909" s="4"/>
      <c r="ES2909" s="4"/>
      <c r="ET2909" s="4"/>
      <c r="EU2909" s="4"/>
      <c r="EV2909" s="4"/>
      <c r="EW2909" s="4"/>
      <c r="EX2909" s="4"/>
      <c r="EY2909" s="4"/>
      <c r="EZ2909" s="4"/>
      <c r="FA2909" s="4"/>
      <c r="FB2909" s="4"/>
      <c r="FC2909" s="4"/>
      <c r="FD2909" s="4"/>
      <c r="FE2909" s="4"/>
      <c r="FF2909" s="4"/>
      <c r="FG2909" s="4"/>
      <c r="FH2909" s="4"/>
      <c r="FI2909" s="4"/>
      <c r="FJ2909" s="4"/>
      <c r="FK2909" s="4"/>
      <c r="FL2909" s="4"/>
      <c r="FM2909" s="4"/>
      <c r="FN2909" s="4"/>
      <c r="FO2909" s="4"/>
      <c r="FP2909" s="4"/>
      <c r="FQ2909" s="4"/>
      <c r="FR2909" s="4"/>
      <c r="FS2909" s="4"/>
      <c r="FT2909" s="4"/>
      <c r="FU2909" s="4"/>
      <c r="FV2909" s="4"/>
      <c r="FW2909" s="4"/>
      <c r="FX2909" s="4"/>
      <c r="FY2909" s="4"/>
      <c r="FZ2909" s="4"/>
      <c r="GA2909" s="4"/>
      <c r="GB2909" s="4"/>
      <c r="GC2909" s="4"/>
      <c r="GD2909" s="4"/>
      <c r="GE2909" s="4"/>
      <c r="GF2909" s="4"/>
      <c r="GG2909" s="4"/>
      <c r="GH2909" s="4"/>
      <c r="GI2909" s="4"/>
      <c r="GJ2909" s="4"/>
      <c r="GK2909" s="4"/>
      <c r="GL2909" s="4"/>
      <c r="GM2909" s="4"/>
      <c r="GN2909" s="4"/>
      <c r="GO2909" s="4"/>
      <c r="GP2909" s="4"/>
      <c r="GQ2909" s="4"/>
      <c r="GR2909" s="4"/>
      <c r="GS2909" s="4"/>
      <c r="GT2909" s="4"/>
      <c r="GU2909" s="4"/>
      <c r="GV2909" s="4"/>
      <c r="GW2909" s="4"/>
      <c r="GX2909" s="4"/>
      <c r="GY2909" s="4"/>
      <c r="GZ2909" s="4"/>
      <c r="HA2909" s="4"/>
      <c r="HB2909" s="4"/>
      <c r="HC2909" s="4"/>
      <c r="HD2909" s="4"/>
      <c r="HE2909" s="4"/>
      <c r="HF2909" s="4"/>
      <c r="HG2909" s="4"/>
      <c r="HH2909" s="4"/>
      <c r="HI2909" s="4"/>
      <c r="HJ2909" s="4"/>
      <c r="HK2909" s="4"/>
      <c r="HL2909" s="4"/>
    </row>
    <row r="2910">
      <c r="A2910" s="2" t="s">
        <v>12249</v>
      </c>
      <c r="B2910" s="2" t="s">
        <v>1186</v>
      </c>
      <c r="C2910" s="2" t="s">
        <v>631</v>
      </c>
      <c r="D2910" s="2" t="s">
        <v>654</v>
      </c>
      <c r="E2910" s="2" t="s">
        <v>1187</v>
      </c>
      <c r="F2910" s="2" t="s">
        <v>12245</v>
      </c>
      <c r="G2910" s="2" t="s">
        <v>12245</v>
      </c>
      <c r="H2910" s="2" t="s">
        <v>12245</v>
      </c>
      <c r="I2910" s="2" t="s">
        <v>12246</v>
      </c>
      <c r="J2910" s="2" t="s">
        <v>302</v>
      </c>
      <c r="K2910" s="2" t="s">
        <v>852</v>
      </c>
      <c r="L2910" s="3">
        <v>52.38</v>
      </c>
      <c r="M2910" s="3">
        <v>55</v>
      </c>
      <c r="N2910" s="3">
        <v>109.99</v>
      </c>
      <c r="O2910" s="2" t="s">
        <v>243</v>
      </c>
      <c r="P2910" s="2" t="s">
        <v>341</v>
      </c>
      <c r="Q2910" s="2" t="s">
        <v>237</v>
      </c>
      <c r="R2910" s="2" t="s">
        <v>231</v>
      </c>
      <c r="S2910" s="2" t="s">
        <v>12247</v>
      </c>
      <c r="T2910" s="2" t="s">
        <v>472</v>
      </c>
      <c r="U2910" s="2" t="s">
        <v>3864</v>
      </c>
      <c r="V2910" s="2" t="s">
        <v>836</v>
      </c>
      <c r="W2910" s="2" t="s">
        <v>691</v>
      </c>
      <c r="X2910" s="2" t="s">
        <v>231</v>
      </c>
      <c r="Y2910" s="2" t="s">
        <v>3865</v>
      </c>
      <c r="Z2910" s="4"/>
      <c r="AA2910" s="4">
        <f>=ROUNDDOWN({0},0)</f>
      </c>
      <c r="AB2910" s="5">
        <v>1</v>
      </c>
      <c r="AC2910" s="2" t="s">
        <v>231</v>
      </c>
      <c r="AD2910" s="4"/>
      <c r="AE2910" s="4"/>
      <c r="AF2910" s="6"/>
      <c r="AG2910" s="6"/>
      <c r="AH2910" s="7">
        <v>0</v>
      </c>
      <c r="AI2910" s="4"/>
      <c r="AJ2910" s="4">
        <f>=ROUNDDOWN({0},0)</f>
      </c>
      <c r="AK2910" s="5"/>
      <c r="AL2910" s="2" t="s">
        <v>231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231</v>
      </c>
      <c r="AW2910" s="8" t="s">
        <v>231</v>
      </c>
      <c r="AX2910" s="4" t="s">
        <v>231</v>
      </c>
      <c r="AY2910" s="8" t="s">
        <v>231</v>
      </c>
      <c r="AZ2910" s="7" t="s">
        <v>231</v>
      </c>
      <c r="BA2910" s="7" t="s">
        <v>231</v>
      </c>
      <c r="BB2910" s="7"/>
      <c r="BC2910" s="4" t="s">
        <v>231</v>
      </c>
      <c r="BD2910" s="8" t="s">
        <v>231</v>
      </c>
      <c r="BE2910" s="4" t="s">
        <v>231</v>
      </c>
      <c r="BF2910" s="8" t="s">
        <v>231</v>
      </c>
      <c r="BG2910" s="7" t="s">
        <v>231</v>
      </c>
      <c r="BH2910" s="7" t="s">
        <v>231</v>
      </c>
      <c r="BI2910" s="7"/>
      <c r="BJ2910" s="4"/>
      <c r="BK2910" s="8"/>
      <c r="BL2910" s="2" t="s">
        <v>231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12250</v>
      </c>
      <c r="BV2910" s="2" t="s">
        <v>231</v>
      </c>
      <c r="BW2910" s="2" t="s">
        <v>231</v>
      </c>
      <c r="BX2910" s="2" t="s">
        <v>231</v>
      </c>
      <c r="BY2910" s="2" t="s">
        <v>277</v>
      </c>
      <c r="BZ2910" s="2" t="s">
        <v>243</v>
      </c>
      <c r="CA2910" s="2" t="s">
        <v>1470</v>
      </c>
      <c r="CB2910" s="2" t="s">
        <v>8365</v>
      </c>
      <c r="CC2910" s="2" t="s">
        <v>244</v>
      </c>
      <c r="CD2910" s="2" t="s">
        <v>231</v>
      </c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4"/>
      <c r="CX2910" s="4"/>
      <c r="CY2910" s="4"/>
      <c r="CZ2910" s="4"/>
      <c r="DA2910" s="4"/>
      <c r="DB2910" s="4"/>
      <c r="DC2910" s="4"/>
      <c r="DD2910" s="4"/>
      <c r="DE2910" s="4"/>
      <c r="DF2910" s="4"/>
      <c r="DG2910" s="4"/>
      <c r="DH2910" s="4"/>
      <c r="DI2910" s="4"/>
      <c r="DJ2910" s="4"/>
      <c r="DK2910" s="4"/>
      <c r="DL2910" s="4"/>
      <c r="DM2910" s="4"/>
      <c r="DN2910" s="4"/>
      <c r="DO2910" s="4"/>
      <c r="DP2910" s="4"/>
      <c r="DQ2910" s="4"/>
      <c r="DR2910" s="4"/>
      <c r="DS2910" s="4"/>
      <c r="DT2910" s="4"/>
      <c r="DU2910" s="4"/>
      <c r="DV2910" s="4"/>
      <c r="DW2910" s="4"/>
      <c r="DX2910" s="4"/>
      <c r="DY2910" s="4"/>
      <c r="DZ2910" s="4"/>
      <c r="EA2910" s="4"/>
      <c r="EB2910" s="4"/>
      <c r="EC2910" s="4"/>
      <c r="ED2910" s="4"/>
      <c r="EE2910" s="4"/>
      <c r="EF2910" s="4"/>
      <c r="EG2910" s="4"/>
      <c r="EH2910" s="4"/>
      <c r="EI2910" s="4"/>
      <c r="EJ2910" s="4"/>
      <c r="EK2910" s="4"/>
      <c r="EL2910" s="4"/>
      <c r="EM2910" s="4"/>
      <c r="EN2910" s="4"/>
      <c r="EO2910" s="4"/>
      <c r="EP2910" s="4"/>
      <c r="EQ2910" s="4"/>
      <c r="ER2910" s="4"/>
      <c r="ES2910" s="4"/>
      <c r="ET2910" s="4"/>
      <c r="EU2910" s="4"/>
      <c r="EV2910" s="4"/>
      <c r="EW2910" s="4"/>
      <c r="EX2910" s="4"/>
      <c r="EY2910" s="4"/>
      <c r="EZ2910" s="4"/>
      <c r="FA2910" s="4"/>
      <c r="FB2910" s="4"/>
      <c r="FC2910" s="4"/>
      <c r="FD2910" s="4"/>
      <c r="FE2910" s="4"/>
      <c r="FF2910" s="4"/>
      <c r="FG2910" s="4"/>
      <c r="FH2910" s="4"/>
      <c r="FI2910" s="4"/>
      <c r="FJ2910" s="4"/>
      <c r="FK2910" s="4"/>
      <c r="FL2910" s="4"/>
      <c r="FM2910" s="4"/>
      <c r="FN2910" s="4"/>
      <c r="FO2910" s="4"/>
      <c r="FP2910" s="4"/>
      <c r="FQ2910" s="4"/>
      <c r="FR2910" s="4"/>
      <c r="FS2910" s="4"/>
      <c r="FT2910" s="4"/>
      <c r="FU2910" s="4"/>
      <c r="FV2910" s="4"/>
      <c r="FW2910" s="4"/>
      <c r="FX2910" s="4"/>
      <c r="FY2910" s="4"/>
      <c r="FZ2910" s="4"/>
      <c r="GA2910" s="4"/>
      <c r="GB2910" s="4"/>
      <c r="GC2910" s="4"/>
      <c r="GD2910" s="4"/>
      <c r="GE2910" s="4"/>
      <c r="GF2910" s="4"/>
      <c r="GG2910" s="4"/>
      <c r="GH2910" s="4"/>
      <c r="GI2910" s="4"/>
      <c r="GJ2910" s="4"/>
      <c r="GK2910" s="4"/>
      <c r="GL2910" s="4"/>
      <c r="GM2910" s="4"/>
      <c r="GN2910" s="4"/>
      <c r="GO2910" s="4"/>
      <c r="GP2910" s="4"/>
      <c r="GQ2910" s="4"/>
      <c r="GR2910" s="4"/>
      <c r="GS2910" s="4"/>
      <c r="GT2910" s="4"/>
      <c r="GU2910" s="4"/>
      <c r="GV2910" s="4"/>
      <c r="GW2910" s="4"/>
      <c r="GX2910" s="4"/>
      <c r="GY2910" s="4"/>
      <c r="GZ2910" s="4"/>
      <c r="HA2910" s="4"/>
      <c r="HB2910" s="4"/>
      <c r="HC2910" s="4"/>
      <c r="HD2910" s="4"/>
      <c r="HE2910" s="4"/>
      <c r="HF2910" s="4"/>
      <c r="HG2910" s="4"/>
      <c r="HH2910" s="4"/>
      <c r="HI2910" s="4"/>
      <c r="HJ2910" s="4"/>
      <c r="HK2910" s="4"/>
      <c r="HL2910" s="4"/>
    </row>
    <row r="2911">
      <c r="A2911" s="2" t="s">
        <v>12251</v>
      </c>
      <c r="B2911" s="2" t="s">
        <v>1186</v>
      </c>
      <c r="C2911" s="2" t="s">
        <v>631</v>
      </c>
      <c r="D2911" s="2" t="s">
        <v>654</v>
      </c>
      <c r="E2911" s="2" t="s">
        <v>1187</v>
      </c>
      <c r="F2911" s="2" t="s">
        <v>12245</v>
      </c>
      <c r="G2911" s="2" t="s">
        <v>12245</v>
      </c>
      <c r="H2911" s="2" t="s">
        <v>12245</v>
      </c>
      <c r="I2911" s="2" t="s">
        <v>12246</v>
      </c>
      <c r="J2911" s="2" t="s">
        <v>293</v>
      </c>
      <c r="K2911" s="2" t="s">
        <v>723</v>
      </c>
      <c r="L2911" s="3">
        <v>47.61</v>
      </c>
      <c r="M2911" s="3">
        <v>49.99</v>
      </c>
      <c r="N2911" s="3">
        <v>99.99</v>
      </c>
      <c r="O2911" s="2" t="s">
        <v>243</v>
      </c>
      <c r="P2911" s="2" t="s">
        <v>341</v>
      </c>
      <c r="Q2911" s="2" t="s">
        <v>237</v>
      </c>
      <c r="R2911" s="2" t="s">
        <v>231</v>
      </c>
      <c r="S2911" s="2" t="s">
        <v>12252</v>
      </c>
      <c r="T2911" s="2" t="s">
        <v>472</v>
      </c>
      <c r="U2911" s="2" t="s">
        <v>3864</v>
      </c>
      <c r="V2911" s="2" t="s">
        <v>836</v>
      </c>
      <c r="W2911" s="2" t="s">
        <v>691</v>
      </c>
      <c r="X2911" s="2" t="s">
        <v>231</v>
      </c>
      <c r="Y2911" s="2" t="s">
        <v>6013</v>
      </c>
      <c r="Z2911" s="4"/>
      <c r="AA2911" s="4">
        <f>=ROUNDDOWN({0},0)</f>
      </c>
      <c r="AB2911" s="5"/>
      <c r="AC2911" s="2" t="s">
        <v>231</v>
      </c>
      <c r="AD2911" s="4"/>
      <c r="AE2911" s="4"/>
      <c r="AF2911" s="6"/>
      <c r="AG2911" s="6"/>
      <c r="AH2911" s="7">
        <v>0</v>
      </c>
      <c r="AI2911" s="4"/>
      <c r="AJ2911" s="4">
        <f>=ROUNDDOWN({0},0)</f>
      </c>
      <c r="AK2911" s="5"/>
      <c r="AL2911" s="2" t="s">
        <v>231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231</v>
      </c>
      <c r="AW2911" s="8" t="s">
        <v>231</v>
      </c>
      <c r="AX2911" s="4" t="s">
        <v>231</v>
      </c>
      <c r="AY2911" s="8" t="s">
        <v>231</v>
      </c>
      <c r="AZ2911" s="7" t="s">
        <v>231</v>
      </c>
      <c r="BA2911" s="7" t="s">
        <v>231</v>
      </c>
      <c r="BB2911" s="7"/>
      <c r="BC2911" s="4" t="s">
        <v>231</v>
      </c>
      <c r="BD2911" s="8" t="s">
        <v>231</v>
      </c>
      <c r="BE2911" s="4" t="s">
        <v>231</v>
      </c>
      <c r="BF2911" s="8" t="s">
        <v>231</v>
      </c>
      <c r="BG2911" s="7" t="s">
        <v>231</v>
      </c>
      <c r="BH2911" s="7" t="s">
        <v>231</v>
      </c>
      <c r="BI2911" s="7"/>
      <c r="BJ2911" s="4"/>
      <c r="BK2911" s="8"/>
      <c r="BL2911" s="2" t="s">
        <v>231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12253</v>
      </c>
      <c r="BV2911" s="2" t="s">
        <v>231</v>
      </c>
      <c r="BW2911" s="2" t="s">
        <v>231</v>
      </c>
      <c r="BX2911" s="2" t="s">
        <v>231</v>
      </c>
      <c r="BY2911" s="2" t="s">
        <v>277</v>
      </c>
      <c r="BZ2911" s="2" t="s">
        <v>243</v>
      </c>
      <c r="CA2911" s="2" t="s">
        <v>1470</v>
      </c>
      <c r="CB2911" s="2" t="s">
        <v>12254</v>
      </c>
      <c r="CC2911" s="2" t="s">
        <v>244</v>
      </c>
      <c r="CD2911" s="2" t="s">
        <v>231</v>
      </c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4"/>
      <c r="CX2911" s="4"/>
      <c r="CY2911" s="4"/>
      <c r="CZ2911" s="4"/>
      <c r="DA2911" s="4"/>
      <c r="DB2911" s="4"/>
      <c r="DC2911" s="4"/>
      <c r="DD2911" s="4"/>
      <c r="DE2911" s="4"/>
      <c r="DF2911" s="4"/>
      <c r="DG2911" s="4"/>
      <c r="DH2911" s="4"/>
      <c r="DI2911" s="4"/>
      <c r="DJ2911" s="4"/>
      <c r="DK2911" s="4"/>
      <c r="DL2911" s="4"/>
      <c r="DM2911" s="4"/>
      <c r="DN2911" s="4"/>
      <c r="DO2911" s="4"/>
      <c r="DP2911" s="4"/>
      <c r="DQ2911" s="4"/>
      <c r="DR2911" s="4"/>
      <c r="DS2911" s="4"/>
      <c r="DT2911" s="4"/>
      <c r="DU2911" s="4"/>
      <c r="DV2911" s="4"/>
      <c r="DW2911" s="4"/>
      <c r="DX2911" s="4"/>
      <c r="DY2911" s="4"/>
      <c r="DZ2911" s="4"/>
      <c r="EA2911" s="4"/>
      <c r="EB2911" s="4"/>
      <c r="EC2911" s="4"/>
      <c r="ED2911" s="4"/>
      <c r="EE2911" s="4"/>
      <c r="EF2911" s="4"/>
      <c r="EG2911" s="4"/>
      <c r="EH2911" s="4"/>
      <c r="EI2911" s="4"/>
      <c r="EJ2911" s="4"/>
      <c r="EK2911" s="4"/>
      <c r="EL2911" s="4"/>
      <c r="EM2911" s="4"/>
      <c r="EN2911" s="4"/>
      <c r="EO2911" s="4"/>
      <c r="EP2911" s="4"/>
      <c r="EQ2911" s="4"/>
      <c r="ER2911" s="4"/>
      <c r="ES2911" s="4"/>
      <c r="ET2911" s="4"/>
      <c r="EU2911" s="4"/>
      <c r="EV2911" s="4"/>
      <c r="EW2911" s="4"/>
      <c r="EX2911" s="4"/>
      <c r="EY2911" s="4"/>
      <c r="EZ2911" s="4"/>
      <c r="FA2911" s="4"/>
      <c r="FB2911" s="4"/>
      <c r="FC2911" s="4"/>
      <c r="FD2911" s="4"/>
      <c r="FE2911" s="4"/>
      <c r="FF2911" s="4"/>
      <c r="FG2911" s="4"/>
      <c r="FH2911" s="4"/>
      <c r="FI2911" s="4"/>
      <c r="FJ2911" s="4"/>
      <c r="FK2911" s="4"/>
      <c r="FL2911" s="4"/>
      <c r="FM2911" s="4"/>
      <c r="FN2911" s="4"/>
      <c r="FO2911" s="4"/>
      <c r="FP2911" s="4"/>
      <c r="FQ2911" s="4"/>
      <c r="FR2911" s="4"/>
      <c r="FS2911" s="4"/>
      <c r="FT2911" s="4"/>
      <c r="FU2911" s="4"/>
      <c r="FV2911" s="4"/>
      <c r="FW2911" s="4"/>
      <c r="FX2911" s="4"/>
      <c r="FY2911" s="4"/>
      <c r="FZ2911" s="4"/>
      <c r="GA2911" s="4"/>
      <c r="GB2911" s="4"/>
      <c r="GC2911" s="4"/>
      <c r="GD2911" s="4"/>
      <c r="GE2911" s="4"/>
      <c r="GF2911" s="4"/>
      <c r="GG2911" s="4"/>
      <c r="GH2911" s="4"/>
      <c r="GI2911" s="4"/>
      <c r="GJ2911" s="4"/>
      <c r="GK2911" s="4"/>
      <c r="GL2911" s="4"/>
      <c r="GM2911" s="4"/>
      <c r="GN2911" s="4"/>
      <c r="GO2911" s="4"/>
      <c r="GP2911" s="4"/>
      <c r="GQ2911" s="4"/>
      <c r="GR2911" s="4"/>
      <c r="GS2911" s="4"/>
      <c r="GT2911" s="4"/>
      <c r="GU2911" s="4"/>
      <c r="GV2911" s="4"/>
      <c r="GW2911" s="4"/>
      <c r="GX2911" s="4"/>
      <c r="GY2911" s="4"/>
      <c r="GZ2911" s="4"/>
      <c r="HA2911" s="4"/>
      <c r="HB2911" s="4"/>
      <c r="HC2911" s="4"/>
      <c r="HD2911" s="4"/>
      <c r="HE2911" s="4"/>
      <c r="HF2911" s="4"/>
      <c r="HG2911" s="4"/>
      <c r="HH2911" s="4"/>
      <c r="HI2911" s="4"/>
      <c r="HJ2911" s="4"/>
      <c r="HK2911" s="4"/>
      <c r="HL2911" s="4"/>
    </row>
    <row r="2912">
      <c r="A2912" s="2" t="s">
        <v>12255</v>
      </c>
      <c r="B2912" s="2" t="s">
        <v>1186</v>
      </c>
      <c r="C2912" s="2" t="s">
        <v>631</v>
      </c>
      <c r="D2912" s="2" t="s">
        <v>654</v>
      </c>
      <c r="E2912" s="2" t="s">
        <v>1187</v>
      </c>
      <c r="F2912" s="2" t="s">
        <v>12245</v>
      </c>
      <c r="G2912" s="2" t="s">
        <v>12245</v>
      </c>
      <c r="H2912" s="2" t="s">
        <v>12245</v>
      </c>
      <c r="I2912" s="2" t="s">
        <v>12246</v>
      </c>
      <c r="J2912" s="2" t="s">
        <v>302</v>
      </c>
      <c r="K2912" s="2" t="s">
        <v>723</v>
      </c>
      <c r="L2912" s="3">
        <v>52.38</v>
      </c>
      <c r="M2912" s="3">
        <v>55</v>
      </c>
      <c r="N2912" s="3">
        <v>109.99</v>
      </c>
      <c r="O2912" s="2" t="s">
        <v>243</v>
      </c>
      <c r="P2912" s="2" t="s">
        <v>341</v>
      </c>
      <c r="Q2912" s="2" t="s">
        <v>237</v>
      </c>
      <c r="R2912" s="2" t="s">
        <v>231</v>
      </c>
      <c r="S2912" s="2" t="s">
        <v>12252</v>
      </c>
      <c r="T2912" s="2" t="s">
        <v>472</v>
      </c>
      <c r="U2912" s="2" t="s">
        <v>3864</v>
      </c>
      <c r="V2912" s="2" t="s">
        <v>836</v>
      </c>
      <c r="W2912" s="2" t="s">
        <v>691</v>
      </c>
      <c r="X2912" s="2" t="s">
        <v>231</v>
      </c>
      <c r="Y2912" s="2" t="s">
        <v>6013</v>
      </c>
      <c r="Z2912" s="4"/>
      <c r="AA2912" s="4">
        <f>=ROUNDDOWN({0},0)</f>
      </c>
      <c r="AB2912" s="5">
        <v>1</v>
      </c>
      <c r="AC2912" s="2" t="s">
        <v>231</v>
      </c>
      <c r="AD2912" s="4"/>
      <c r="AE2912" s="4"/>
      <c r="AF2912" s="6"/>
      <c r="AG2912" s="6"/>
      <c r="AH2912" s="7">
        <v>0</v>
      </c>
      <c r="AI2912" s="4"/>
      <c r="AJ2912" s="4">
        <f>=ROUNDDOWN({0},0)</f>
      </c>
      <c r="AK2912" s="5"/>
      <c r="AL2912" s="2" t="s">
        <v>231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231</v>
      </c>
      <c r="AW2912" s="8" t="s">
        <v>231</v>
      </c>
      <c r="AX2912" s="4" t="s">
        <v>231</v>
      </c>
      <c r="AY2912" s="8" t="s">
        <v>231</v>
      </c>
      <c r="AZ2912" s="7" t="s">
        <v>231</v>
      </c>
      <c r="BA2912" s="7" t="s">
        <v>231</v>
      </c>
      <c r="BB2912" s="7"/>
      <c r="BC2912" s="4" t="s">
        <v>231</v>
      </c>
      <c r="BD2912" s="8" t="s">
        <v>231</v>
      </c>
      <c r="BE2912" s="4" t="s">
        <v>231</v>
      </c>
      <c r="BF2912" s="8" t="s">
        <v>231</v>
      </c>
      <c r="BG2912" s="7" t="s">
        <v>231</v>
      </c>
      <c r="BH2912" s="7" t="s">
        <v>231</v>
      </c>
      <c r="BI2912" s="7"/>
      <c r="BJ2912" s="4"/>
      <c r="BK2912" s="8"/>
      <c r="BL2912" s="2" t="s">
        <v>231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12256</v>
      </c>
      <c r="BV2912" s="2" t="s">
        <v>231</v>
      </c>
      <c r="BW2912" s="2" t="s">
        <v>231</v>
      </c>
      <c r="BX2912" s="2" t="s">
        <v>231</v>
      </c>
      <c r="BY2912" s="2" t="s">
        <v>277</v>
      </c>
      <c r="BZ2912" s="2" t="s">
        <v>243</v>
      </c>
      <c r="CA2912" s="2" t="s">
        <v>1470</v>
      </c>
      <c r="CB2912" s="2" t="s">
        <v>5040</v>
      </c>
      <c r="CC2912" s="2" t="s">
        <v>244</v>
      </c>
      <c r="CD2912" s="2" t="s">
        <v>231</v>
      </c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  <c r="DP2912" s="4"/>
      <c r="DQ2912" s="4"/>
      <c r="DR2912" s="4"/>
      <c r="DS2912" s="4"/>
      <c r="DT2912" s="4"/>
      <c r="DU2912" s="4"/>
      <c r="DV2912" s="4"/>
      <c r="DW2912" s="4"/>
      <c r="DX2912" s="4"/>
      <c r="DY2912" s="4"/>
      <c r="DZ2912" s="4"/>
      <c r="EA2912" s="4"/>
      <c r="EB2912" s="4"/>
      <c r="EC2912" s="4"/>
      <c r="ED2912" s="4"/>
      <c r="EE2912" s="4"/>
      <c r="EF2912" s="4"/>
      <c r="EG2912" s="4"/>
      <c r="EH2912" s="4"/>
      <c r="EI2912" s="4"/>
      <c r="EJ2912" s="4"/>
      <c r="EK2912" s="4"/>
      <c r="EL2912" s="4"/>
      <c r="EM2912" s="4"/>
      <c r="EN2912" s="4"/>
      <c r="EO2912" s="4"/>
      <c r="EP2912" s="4"/>
      <c r="EQ2912" s="4"/>
      <c r="ER2912" s="4"/>
      <c r="ES2912" s="4"/>
      <c r="ET2912" s="4"/>
      <c r="EU2912" s="4"/>
      <c r="EV2912" s="4"/>
      <c r="EW2912" s="4"/>
      <c r="EX2912" s="4"/>
      <c r="EY2912" s="4"/>
      <c r="EZ2912" s="4"/>
      <c r="FA2912" s="4"/>
      <c r="FB2912" s="4"/>
      <c r="FC2912" s="4"/>
      <c r="FD2912" s="4"/>
      <c r="FE2912" s="4"/>
      <c r="FF2912" s="4"/>
      <c r="FG2912" s="4"/>
      <c r="FH2912" s="4"/>
      <c r="FI2912" s="4"/>
      <c r="FJ2912" s="4"/>
      <c r="FK2912" s="4"/>
      <c r="FL2912" s="4"/>
      <c r="FM2912" s="4"/>
      <c r="FN2912" s="4"/>
      <c r="FO2912" s="4"/>
      <c r="FP2912" s="4"/>
      <c r="FQ2912" s="4"/>
      <c r="FR2912" s="4"/>
      <c r="FS2912" s="4"/>
      <c r="FT2912" s="4"/>
      <c r="FU2912" s="4"/>
      <c r="FV2912" s="4"/>
      <c r="FW2912" s="4"/>
      <c r="FX2912" s="4"/>
      <c r="FY2912" s="4"/>
      <c r="FZ2912" s="4"/>
      <c r="GA2912" s="4"/>
      <c r="GB2912" s="4"/>
      <c r="GC2912" s="4"/>
      <c r="GD2912" s="4"/>
      <c r="GE2912" s="4"/>
      <c r="GF2912" s="4"/>
      <c r="GG2912" s="4"/>
      <c r="GH2912" s="4"/>
      <c r="GI2912" s="4"/>
      <c r="GJ2912" s="4"/>
      <c r="GK2912" s="4"/>
      <c r="GL2912" s="4"/>
      <c r="GM2912" s="4"/>
      <c r="GN2912" s="4"/>
      <c r="GO2912" s="4"/>
      <c r="GP2912" s="4"/>
      <c r="GQ2912" s="4"/>
      <c r="GR2912" s="4"/>
      <c r="GS2912" s="4"/>
      <c r="GT2912" s="4"/>
      <c r="GU2912" s="4"/>
      <c r="GV2912" s="4"/>
      <c r="GW2912" s="4"/>
      <c r="GX2912" s="4"/>
      <c r="GY2912" s="4"/>
      <c r="GZ2912" s="4"/>
      <c r="HA2912" s="4"/>
      <c r="HB2912" s="4"/>
      <c r="HC2912" s="4"/>
      <c r="HD2912" s="4"/>
      <c r="HE2912" s="4"/>
      <c r="HF2912" s="4"/>
      <c r="HG2912" s="4"/>
      <c r="HH2912" s="4"/>
      <c r="HI2912" s="4"/>
      <c r="HJ2912" s="4"/>
      <c r="HK2912" s="4"/>
      <c r="HL2912" s="4"/>
    </row>
    <row r="2913">
      <c r="A2913" s="2" t="s">
        <v>12257</v>
      </c>
      <c r="B2913" s="2" t="s">
        <v>1186</v>
      </c>
      <c r="C2913" s="2" t="s">
        <v>1980</v>
      </c>
      <c r="D2913" s="2" t="s">
        <v>654</v>
      </c>
      <c r="E2913" s="2" t="s">
        <v>655</v>
      </c>
      <c r="F2913" s="2" t="s">
        <v>12258</v>
      </c>
      <c r="G2913" s="2" t="s">
        <v>12258</v>
      </c>
      <c r="H2913" s="2" t="s">
        <v>12258</v>
      </c>
      <c r="I2913" s="2" t="s">
        <v>7546</v>
      </c>
      <c r="J2913" s="2" t="s">
        <v>293</v>
      </c>
      <c r="K2913" s="2" t="s">
        <v>255</v>
      </c>
      <c r="L2913" s="3">
        <v>170.23</v>
      </c>
      <c r="M2913" s="3">
        <v>178.74</v>
      </c>
      <c r="N2913" s="3">
        <v>499.99</v>
      </c>
      <c r="O2913" s="2" t="s">
        <v>243</v>
      </c>
      <c r="P2913" s="2" t="s">
        <v>270</v>
      </c>
      <c r="Q2913" s="2" t="s">
        <v>237</v>
      </c>
      <c r="R2913" s="2" t="s">
        <v>231</v>
      </c>
      <c r="S2913" s="2" t="s">
        <v>231</v>
      </c>
      <c r="T2913" s="2" t="s">
        <v>231</v>
      </c>
      <c r="U2913" s="2" t="s">
        <v>298</v>
      </c>
      <c r="V2913" s="2" t="s">
        <v>1986</v>
      </c>
      <c r="W2913" s="2" t="s">
        <v>676</v>
      </c>
      <c r="X2913" s="2" t="s">
        <v>231</v>
      </c>
      <c r="Y2913" s="2" t="s">
        <v>9913</v>
      </c>
      <c r="Z2913" s="4">
        <v>26</v>
      </c>
      <c r="AA2913" s="4">
        <f>=ROUNDDOWN(13,0)</f>
      </c>
      <c r="AB2913" s="5">
        <v>2</v>
      </c>
      <c r="AC2913" s="2" t="s">
        <v>876</v>
      </c>
      <c r="AD2913" s="4">
        <v>130</v>
      </c>
      <c r="AE2913" s="4">
        <v>130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231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231</v>
      </c>
      <c r="AW2913" s="8" t="s">
        <v>231</v>
      </c>
      <c r="AX2913" s="4" t="s">
        <v>231</v>
      </c>
      <c r="AY2913" s="8" t="s">
        <v>231</v>
      </c>
      <c r="AZ2913" s="7" t="s">
        <v>231</v>
      </c>
      <c r="BA2913" s="7" t="s">
        <v>231</v>
      </c>
      <c r="BB2913" s="7"/>
      <c r="BC2913" s="4" t="s">
        <v>231</v>
      </c>
      <c r="BD2913" s="8" t="s">
        <v>231</v>
      </c>
      <c r="BE2913" s="4" t="s">
        <v>231</v>
      </c>
      <c r="BF2913" s="8" t="s">
        <v>231</v>
      </c>
      <c r="BG2913" s="7" t="s">
        <v>231</v>
      </c>
      <c r="BH2913" s="7" t="s">
        <v>231</v>
      </c>
      <c r="BI2913" s="7"/>
      <c r="BJ2913" s="4">
        <v>1</v>
      </c>
      <c r="BK2913" s="8">
        <v>200.19</v>
      </c>
      <c r="BL2913" s="2" t="s">
        <v>12259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12260</v>
      </c>
      <c r="BV2913" s="2" t="s">
        <v>231</v>
      </c>
      <c r="BW2913" s="2" t="s">
        <v>231</v>
      </c>
      <c r="BX2913" s="2" t="s">
        <v>231</v>
      </c>
      <c r="BY2913" s="2" t="s">
        <v>277</v>
      </c>
      <c r="BZ2913" s="2" t="s">
        <v>243</v>
      </c>
      <c r="CA2913" s="2" t="s">
        <v>667</v>
      </c>
      <c r="CB2913" s="2" t="s">
        <v>2403</v>
      </c>
      <c r="CC2913" s="2" t="s">
        <v>244</v>
      </c>
      <c r="CD2913" s="2" t="s">
        <v>231</v>
      </c>
      <c r="CE2913" s="4">
        <v>26</v>
      </c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4"/>
      <c r="CX2913" s="4"/>
      <c r="CY2913" s="4"/>
      <c r="CZ2913" s="4"/>
      <c r="DA2913" s="4"/>
      <c r="DB2913" s="4"/>
      <c r="DC2913" s="4"/>
      <c r="DD2913" s="4"/>
      <c r="DE2913" s="4"/>
      <c r="DF2913" s="4"/>
      <c r="DG2913" s="4"/>
      <c r="DH2913" s="4"/>
      <c r="DI2913" s="4"/>
      <c r="DJ2913" s="4"/>
      <c r="DK2913" s="4"/>
      <c r="DL2913" s="4"/>
      <c r="DM2913" s="4"/>
      <c r="DN2913" s="4"/>
      <c r="DO2913" s="4"/>
      <c r="DP2913" s="4"/>
      <c r="DQ2913" s="4"/>
      <c r="DR2913" s="4"/>
      <c r="DS2913" s="4"/>
      <c r="DT2913" s="4">
        <v>130</v>
      </c>
      <c r="DU2913" s="4"/>
      <c r="DV2913" s="4"/>
      <c r="DW2913" s="4"/>
      <c r="DX2913" s="4"/>
      <c r="DY2913" s="4"/>
      <c r="DZ2913" s="4"/>
      <c r="EA2913" s="4"/>
      <c r="EB2913" s="4"/>
      <c r="EC2913" s="4"/>
      <c r="ED2913" s="4"/>
      <c r="EE2913" s="4"/>
      <c r="EF2913" s="4"/>
      <c r="EG2913" s="4"/>
      <c r="EH2913" s="4"/>
      <c r="EI2913" s="4"/>
      <c r="EJ2913" s="4"/>
      <c r="EK2913" s="4"/>
      <c r="EL2913" s="4"/>
      <c r="EM2913" s="4"/>
      <c r="EN2913" s="4"/>
      <c r="EO2913" s="4"/>
      <c r="EP2913" s="4"/>
      <c r="EQ2913" s="4"/>
      <c r="ER2913" s="4"/>
      <c r="ES2913" s="4"/>
      <c r="ET2913" s="4"/>
      <c r="EU2913" s="4"/>
      <c r="EV2913" s="4"/>
      <c r="EW2913" s="4"/>
      <c r="EX2913" s="4"/>
      <c r="EY2913" s="4"/>
      <c r="EZ2913" s="4"/>
      <c r="FA2913" s="4"/>
      <c r="FB2913" s="4"/>
      <c r="FC2913" s="4"/>
      <c r="FD2913" s="4"/>
      <c r="FE2913" s="4"/>
      <c r="FF2913" s="4"/>
      <c r="FG2913" s="4"/>
      <c r="FH2913" s="4"/>
      <c r="FI2913" s="4"/>
      <c r="FJ2913" s="4"/>
      <c r="FK2913" s="4"/>
      <c r="FL2913" s="4"/>
      <c r="FM2913" s="4"/>
      <c r="FN2913" s="4"/>
      <c r="FO2913" s="4"/>
      <c r="FP2913" s="4"/>
      <c r="FQ2913" s="4"/>
      <c r="FR2913" s="4"/>
      <c r="FS2913" s="4"/>
      <c r="FT2913" s="4"/>
      <c r="FU2913" s="4"/>
      <c r="FV2913" s="4"/>
      <c r="FW2913" s="4"/>
      <c r="FX2913" s="4"/>
      <c r="FY2913" s="4"/>
      <c r="FZ2913" s="4"/>
      <c r="GA2913" s="4"/>
      <c r="GB2913" s="4"/>
      <c r="GC2913" s="4"/>
      <c r="GD2913" s="4"/>
      <c r="GE2913" s="4"/>
      <c r="GF2913" s="4"/>
      <c r="GG2913" s="4"/>
      <c r="GH2913" s="4"/>
      <c r="GI2913" s="4"/>
      <c r="GJ2913" s="4"/>
      <c r="GK2913" s="4"/>
      <c r="GL2913" s="4"/>
      <c r="GM2913" s="4"/>
      <c r="GN2913" s="4"/>
      <c r="GO2913" s="4"/>
      <c r="GP2913" s="4"/>
      <c r="GQ2913" s="4"/>
      <c r="GR2913" s="4"/>
      <c r="GS2913" s="4"/>
      <c r="GT2913" s="4"/>
      <c r="GU2913" s="4"/>
      <c r="GV2913" s="4"/>
      <c r="GW2913" s="4"/>
      <c r="GX2913" s="4"/>
      <c r="GY2913" s="4"/>
      <c r="GZ2913" s="4"/>
      <c r="HA2913" s="4"/>
      <c r="HB2913" s="4"/>
      <c r="HC2913" s="4"/>
      <c r="HD2913" s="4"/>
      <c r="HE2913" s="4"/>
      <c r="HF2913" s="4"/>
      <c r="HG2913" s="4"/>
      <c r="HH2913" s="4"/>
      <c r="HI2913" s="4"/>
      <c r="HJ2913" s="4"/>
      <c r="HK2913" s="4"/>
      <c r="HL2913" s="4"/>
    </row>
    <row r="2914">
      <c r="A2914" s="2" t="s">
        <v>12261</v>
      </c>
      <c r="B2914" s="2" t="s">
        <v>1186</v>
      </c>
      <c r="C2914" s="2" t="s">
        <v>1980</v>
      </c>
      <c r="D2914" s="2" t="s">
        <v>654</v>
      </c>
      <c r="E2914" s="2" t="s">
        <v>655</v>
      </c>
      <c r="F2914" s="2" t="s">
        <v>12258</v>
      </c>
      <c r="G2914" s="2" t="s">
        <v>12258</v>
      </c>
      <c r="H2914" s="2" t="s">
        <v>12258</v>
      </c>
      <c r="I2914" s="2" t="s">
        <v>7546</v>
      </c>
      <c r="J2914" s="2" t="s">
        <v>304</v>
      </c>
      <c r="K2914" s="2" t="s">
        <v>255</v>
      </c>
      <c r="L2914" s="3">
        <v>204.28</v>
      </c>
      <c r="M2914" s="3">
        <v>214.49</v>
      </c>
      <c r="N2914" s="3">
        <v>599.99</v>
      </c>
      <c r="O2914" s="2" t="s">
        <v>243</v>
      </c>
      <c r="P2914" s="2" t="s">
        <v>270</v>
      </c>
      <c r="Q2914" s="2" t="s">
        <v>237</v>
      </c>
      <c r="R2914" s="2" t="s">
        <v>231</v>
      </c>
      <c r="S2914" s="2" t="s">
        <v>231</v>
      </c>
      <c r="T2914" s="2" t="s">
        <v>231</v>
      </c>
      <c r="U2914" s="2" t="s">
        <v>298</v>
      </c>
      <c r="V2914" s="2" t="s">
        <v>1986</v>
      </c>
      <c r="W2914" s="2" t="s">
        <v>676</v>
      </c>
      <c r="X2914" s="2" t="s">
        <v>231</v>
      </c>
      <c r="Y2914" s="2" t="s">
        <v>9913</v>
      </c>
      <c r="Z2914" s="4"/>
      <c r="AA2914" s="4">
        <f>=ROUNDDOWN({0},0)</f>
      </c>
      <c r="AB2914" s="5">
        <v>1</v>
      </c>
      <c r="AC2914" s="2" t="s">
        <v>876</v>
      </c>
      <c r="AD2914" s="4">
        <v>60</v>
      </c>
      <c r="AE2914" s="4">
        <v>60</v>
      </c>
      <c r="AF2914" s="6">
        <v>65</v>
      </c>
      <c r="AG2914" s="6"/>
      <c r="AH2914" s="7">
        <v>0</v>
      </c>
      <c r="AI2914" s="4"/>
      <c r="AJ2914" s="4">
        <f>=ROUNDDOWN({0},0)</f>
      </c>
      <c r="AK2914" s="5"/>
      <c r="AL2914" s="2" t="s">
        <v>231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231</v>
      </c>
      <c r="AW2914" s="8" t="s">
        <v>231</v>
      </c>
      <c r="AX2914" s="4" t="s">
        <v>231</v>
      </c>
      <c r="AY2914" s="8" t="s">
        <v>231</v>
      </c>
      <c r="AZ2914" s="7" t="s">
        <v>231</v>
      </c>
      <c r="BA2914" s="7" t="s">
        <v>231</v>
      </c>
      <c r="BB2914" s="7"/>
      <c r="BC2914" s="4" t="s">
        <v>231</v>
      </c>
      <c r="BD2914" s="8" t="s">
        <v>231</v>
      </c>
      <c r="BE2914" s="4" t="s">
        <v>231</v>
      </c>
      <c r="BF2914" s="8" t="s">
        <v>231</v>
      </c>
      <c r="BG2914" s="7" t="s">
        <v>231</v>
      </c>
      <c r="BH2914" s="7" t="s">
        <v>231</v>
      </c>
      <c r="BI2914" s="7"/>
      <c r="BJ2914" s="4"/>
      <c r="BK2914" s="8"/>
      <c r="BL2914" s="2" t="s">
        <v>628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12262</v>
      </c>
      <c r="BV2914" s="2" t="s">
        <v>231</v>
      </c>
      <c r="BW2914" s="2" t="s">
        <v>231</v>
      </c>
      <c r="BX2914" s="2" t="s">
        <v>231</v>
      </c>
      <c r="BY2914" s="2" t="s">
        <v>277</v>
      </c>
      <c r="BZ2914" s="2" t="s">
        <v>243</v>
      </c>
      <c r="CA2914" s="2" t="s">
        <v>667</v>
      </c>
      <c r="CB2914" s="2" t="s">
        <v>387</v>
      </c>
      <c r="CC2914" s="2" t="s">
        <v>244</v>
      </c>
      <c r="CD2914" s="2" t="s">
        <v>231</v>
      </c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  <c r="DP2914" s="4"/>
      <c r="DQ2914" s="4"/>
      <c r="DR2914" s="4"/>
      <c r="DS2914" s="4"/>
      <c r="DT2914" s="4">
        <v>60</v>
      </c>
      <c r="DU2914" s="4"/>
      <c r="DV2914" s="4"/>
      <c r="DW2914" s="4"/>
      <c r="DX2914" s="4"/>
      <c r="DY2914" s="4"/>
      <c r="DZ2914" s="4"/>
      <c r="EA2914" s="4"/>
      <c r="EB2914" s="4"/>
      <c r="EC2914" s="4"/>
      <c r="ED2914" s="4"/>
      <c r="EE2914" s="4"/>
      <c r="EF2914" s="4"/>
      <c r="EG2914" s="4"/>
      <c r="EH2914" s="4"/>
      <c r="EI2914" s="4"/>
      <c r="EJ2914" s="4"/>
      <c r="EK2914" s="4"/>
      <c r="EL2914" s="4"/>
      <c r="EM2914" s="4"/>
      <c r="EN2914" s="4"/>
      <c r="EO2914" s="4"/>
      <c r="EP2914" s="4"/>
      <c r="EQ2914" s="4"/>
      <c r="ER2914" s="4"/>
      <c r="ES2914" s="4"/>
      <c r="ET2914" s="4"/>
      <c r="EU2914" s="4"/>
      <c r="EV2914" s="4"/>
      <c r="EW2914" s="4"/>
      <c r="EX2914" s="4"/>
      <c r="EY2914" s="4"/>
      <c r="EZ2914" s="4"/>
      <c r="FA2914" s="4"/>
      <c r="FB2914" s="4"/>
      <c r="FC2914" s="4"/>
      <c r="FD2914" s="4"/>
      <c r="FE2914" s="4"/>
      <c r="FF2914" s="4"/>
      <c r="FG2914" s="4"/>
      <c r="FH2914" s="4"/>
      <c r="FI2914" s="4"/>
      <c r="FJ2914" s="4"/>
      <c r="FK2914" s="4"/>
      <c r="FL2914" s="4"/>
      <c r="FM2914" s="4"/>
      <c r="FN2914" s="4"/>
      <c r="FO2914" s="4"/>
      <c r="FP2914" s="4"/>
      <c r="FQ2914" s="4"/>
      <c r="FR2914" s="4"/>
      <c r="FS2914" s="4"/>
      <c r="FT2914" s="4"/>
      <c r="FU2914" s="4"/>
      <c r="FV2914" s="4"/>
      <c r="FW2914" s="4"/>
      <c r="FX2914" s="4"/>
      <c r="FY2914" s="4"/>
      <c r="FZ2914" s="4"/>
      <c r="GA2914" s="4"/>
      <c r="GB2914" s="4"/>
      <c r="GC2914" s="4"/>
      <c r="GD2914" s="4"/>
      <c r="GE2914" s="4"/>
      <c r="GF2914" s="4"/>
      <c r="GG2914" s="4"/>
      <c r="GH2914" s="4"/>
      <c r="GI2914" s="4"/>
      <c r="GJ2914" s="4"/>
      <c r="GK2914" s="4"/>
      <c r="GL2914" s="4"/>
      <c r="GM2914" s="4"/>
      <c r="GN2914" s="4"/>
      <c r="GO2914" s="4"/>
      <c r="GP2914" s="4"/>
      <c r="GQ2914" s="4"/>
      <c r="GR2914" s="4"/>
      <c r="GS2914" s="4"/>
      <c r="GT2914" s="4"/>
      <c r="GU2914" s="4"/>
      <c r="GV2914" s="4"/>
      <c r="GW2914" s="4"/>
      <c r="GX2914" s="4"/>
      <c r="GY2914" s="4"/>
      <c r="GZ2914" s="4"/>
      <c r="HA2914" s="4"/>
      <c r="HB2914" s="4"/>
      <c r="HC2914" s="4"/>
      <c r="HD2914" s="4"/>
      <c r="HE2914" s="4"/>
      <c r="HF2914" s="4"/>
      <c r="HG2914" s="4"/>
      <c r="HH2914" s="4"/>
      <c r="HI2914" s="4"/>
      <c r="HJ2914" s="4"/>
      <c r="HK2914" s="4"/>
      <c r="HL2914" s="4"/>
    </row>
    <row r="2915">
      <c r="A2915" s="2" t="s">
        <v>12263</v>
      </c>
      <c r="B2915" s="2" t="s">
        <v>801</v>
      </c>
      <c r="C2915" s="2" t="s">
        <v>815</v>
      </c>
      <c r="D2915" s="2" t="s">
        <v>1114</v>
      </c>
      <c r="E2915" s="2" t="s">
        <v>1115</v>
      </c>
      <c r="F2915" s="2" t="s">
        <v>12264</v>
      </c>
      <c r="G2915" s="2" t="s">
        <v>12264</v>
      </c>
      <c r="H2915" s="2" t="s">
        <v>12264</v>
      </c>
      <c r="I2915" s="2" t="s">
        <v>12265</v>
      </c>
      <c r="J2915" s="2" t="s">
        <v>807</v>
      </c>
      <c r="K2915" s="2" t="s">
        <v>319</v>
      </c>
      <c r="L2915" s="3">
        <v>40.5</v>
      </c>
      <c r="M2915" s="3">
        <v>42.53</v>
      </c>
      <c r="N2915" s="3">
        <v>84.99</v>
      </c>
      <c r="O2915" s="2" t="s">
        <v>243</v>
      </c>
      <c r="P2915" s="2" t="s">
        <v>1915</v>
      </c>
      <c r="Q2915" s="2" t="s">
        <v>237</v>
      </c>
      <c r="R2915" s="2" t="s">
        <v>231</v>
      </c>
      <c r="S2915" s="2" t="s">
        <v>231</v>
      </c>
      <c r="T2915" s="2" t="s">
        <v>231</v>
      </c>
      <c r="U2915" s="2" t="s">
        <v>327</v>
      </c>
      <c r="V2915" s="2" t="s">
        <v>662</v>
      </c>
      <c r="W2915" s="2" t="s">
        <v>691</v>
      </c>
      <c r="X2915" s="2" t="s">
        <v>273</v>
      </c>
      <c r="Y2915" s="2" t="s">
        <v>231</v>
      </c>
      <c r="Z2915" s="4"/>
      <c r="AA2915" s="4">
        <f>=ROUNDDOWN({0},0)</f>
      </c>
      <c r="AB2915" s="5"/>
      <c r="AC2915" s="2" t="s">
        <v>2672</v>
      </c>
      <c r="AD2915" s="4">
        <v>100</v>
      </c>
      <c r="AE2915" s="4">
        <v>100</v>
      </c>
      <c r="AF2915" s="6">
        <v>65</v>
      </c>
      <c r="AG2915" s="6"/>
      <c r="AH2915" s="7">
        <v>0</v>
      </c>
      <c r="AI2915" s="4"/>
      <c r="AJ2915" s="4">
        <f>=ROUNDDOWN({0},0)</f>
      </c>
      <c r="AK2915" s="5"/>
      <c r="AL2915" s="2" t="s">
        <v>231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/>
      <c r="BD2915" s="8"/>
      <c r="BE2915" s="4"/>
      <c r="BF2915" s="8"/>
      <c r="BG2915" s="7"/>
      <c r="BH2915" s="7"/>
      <c r="BI2915" s="7"/>
      <c r="BJ2915" s="4"/>
      <c r="BK2915" s="8"/>
      <c r="BL2915" s="2" t="s">
        <v>231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241</v>
      </c>
      <c r="BV2915" s="2" t="s">
        <v>231</v>
      </c>
      <c r="BW2915" s="2" t="s">
        <v>231</v>
      </c>
      <c r="BX2915" s="2" t="s">
        <v>241</v>
      </c>
      <c r="BY2915" s="2" t="s">
        <v>242</v>
      </c>
      <c r="BZ2915" s="2" t="s">
        <v>243</v>
      </c>
      <c r="CA2915" s="2" t="s">
        <v>231</v>
      </c>
      <c r="CB2915" s="2" t="s">
        <v>231</v>
      </c>
      <c r="CC2915" s="2" t="s">
        <v>244</v>
      </c>
      <c r="CD2915" s="2" t="s">
        <v>231</v>
      </c>
      <c r="CE2915" s="4"/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4"/>
      <c r="CX2915" s="4"/>
      <c r="CY2915" s="4"/>
      <c r="CZ2915" s="4"/>
      <c r="DA2915" s="4"/>
      <c r="DB2915" s="4"/>
      <c r="DC2915" s="4"/>
      <c r="DD2915" s="4"/>
      <c r="DE2915" s="4"/>
      <c r="DF2915" s="4"/>
      <c r="DG2915" s="4"/>
      <c r="DH2915" s="4"/>
      <c r="DI2915" s="4"/>
      <c r="DJ2915" s="4"/>
      <c r="DK2915" s="4"/>
      <c r="DL2915" s="4"/>
      <c r="DM2915" s="4"/>
      <c r="DN2915" s="4"/>
      <c r="DO2915" s="4"/>
      <c r="DP2915" s="4"/>
      <c r="DQ2915" s="4"/>
      <c r="DR2915" s="4"/>
      <c r="DS2915" s="4"/>
      <c r="DT2915" s="4"/>
      <c r="DU2915" s="4"/>
      <c r="DV2915" s="4"/>
      <c r="DW2915" s="4"/>
      <c r="DX2915" s="4"/>
      <c r="DY2915" s="4"/>
      <c r="DZ2915" s="4"/>
      <c r="EA2915" s="4"/>
      <c r="EB2915" s="4"/>
      <c r="EC2915" s="4"/>
      <c r="ED2915" s="4"/>
      <c r="EE2915" s="4"/>
      <c r="EF2915" s="4"/>
      <c r="EG2915" s="4"/>
      <c r="EH2915" s="4"/>
      <c r="EI2915" s="4"/>
      <c r="EJ2915" s="4"/>
      <c r="EK2915" s="4">
        <v>100</v>
      </c>
      <c r="EL2915" s="4"/>
      <c r="EM2915" s="4"/>
      <c r="EN2915" s="4"/>
      <c r="EO2915" s="4"/>
      <c r="EP2915" s="4"/>
      <c r="EQ2915" s="4"/>
      <c r="ER2915" s="4"/>
      <c r="ES2915" s="4"/>
      <c r="ET2915" s="4"/>
      <c r="EU2915" s="4"/>
      <c r="EV2915" s="4"/>
      <c r="EW2915" s="4"/>
      <c r="EX2915" s="4"/>
      <c r="EY2915" s="4"/>
      <c r="EZ2915" s="4"/>
      <c r="FA2915" s="4"/>
      <c r="FB2915" s="4"/>
      <c r="FC2915" s="4"/>
      <c r="FD2915" s="4"/>
      <c r="FE2915" s="4"/>
      <c r="FF2915" s="4"/>
      <c r="FG2915" s="4"/>
      <c r="FH2915" s="4"/>
      <c r="FI2915" s="4"/>
      <c r="FJ2915" s="4"/>
      <c r="FK2915" s="4"/>
      <c r="FL2915" s="4"/>
      <c r="FM2915" s="4"/>
      <c r="FN2915" s="4"/>
      <c r="FO2915" s="4"/>
      <c r="FP2915" s="4"/>
      <c r="FQ2915" s="4"/>
      <c r="FR2915" s="4"/>
      <c r="FS2915" s="4"/>
      <c r="FT2915" s="4"/>
      <c r="FU2915" s="4"/>
      <c r="FV2915" s="4"/>
      <c r="FW2915" s="4"/>
      <c r="FX2915" s="4"/>
      <c r="FY2915" s="4"/>
      <c r="FZ2915" s="4"/>
      <c r="GA2915" s="4"/>
      <c r="GB2915" s="4"/>
      <c r="GC2915" s="4"/>
      <c r="GD2915" s="4"/>
      <c r="GE2915" s="4"/>
      <c r="GF2915" s="4"/>
      <c r="GG2915" s="4"/>
      <c r="GH2915" s="4"/>
      <c r="GI2915" s="4"/>
      <c r="GJ2915" s="4"/>
      <c r="GK2915" s="4"/>
      <c r="GL2915" s="4"/>
      <c r="GM2915" s="4"/>
      <c r="GN2915" s="4"/>
      <c r="GO2915" s="4"/>
      <c r="GP2915" s="4"/>
      <c r="GQ2915" s="4"/>
      <c r="GR2915" s="4"/>
      <c r="GS2915" s="4"/>
      <c r="GT2915" s="4"/>
      <c r="GU2915" s="4"/>
      <c r="GV2915" s="4"/>
      <c r="GW2915" s="4"/>
      <c r="GX2915" s="4"/>
      <c r="GY2915" s="4"/>
      <c r="GZ2915" s="4"/>
      <c r="HA2915" s="4"/>
      <c r="HB2915" s="4"/>
      <c r="HC2915" s="4"/>
      <c r="HD2915" s="4"/>
      <c r="HE2915" s="4"/>
      <c r="HF2915" s="4"/>
      <c r="HG2915" s="4"/>
      <c r="HH2915" s="4"/>
      <c r="HI2915" s="4"/>
      <c r="HJ2915" s="4"/>
      <c r="HK2915" s="4"/>
      <c r="HL2915" s="4"/>
    </row>
    <row r="2916">
      <c r="A2916" s="2" t="s">
        <v>12266</v>
      </c>
      <c r="B2916" s="2" t="s">
        <v>226</v>
      </c>
      <c r="C2916" s="2" t="s">
        <v>825</v>
      </c>
      <c r="D2916" s="2" t="s">
        <v>654</v>
      </c>
      <c r="E2916" s="2" t="s">
        <v>890</v>
      </c>
      <c r="F2916" s="2" t="s">
        <v>12267</v>
      </c>
      <c r="G2916" s="2" t="s">
        <v>12267</v>
      </c>
      <c r="H2916" s="2" t="s">
        <v>12267</v>
      </c>
      <c r="I2916" s="2" t="s">
        <v>12268</v>
      </c>
      <c r="J2916" s="2" t="s">
        <v>318</v>
      </c>
      <c r="K2916" s="2" t="s">
        <v>2125</v>
      </c>
      <c r="L2916" s="3">
        <v>33.33</v>
      </c>
      <c r="M2916" s="3">
        <v>35</v>
      </c>
      <c r="N2916" s="3">
        <v>69.99</v>
      </c>
      <c r="O2916" s="2" t="s">
        <v>243</v>
      </c>
      <c r="P2916" s="2" t="s">
        <v>236</v>
      </c>
      <c r="Q2916" s="2" t="s">
        <v>237</v>
      </c>
      <c r="R2916" s="2" t="s">
        <v>231</v>
      </c>
      <c r="S2916" s="2" t="s">
        <v>12269</v>
      </c>
      <c r="T2916" s="2" t="s">
        <v>3671</v>
      </c>
      <c r="U2916" s="2" t="s">
        <v>791</v>
      </c>
      <c r="V2916" s="2" t="s">
        <v>239</v>
      </c>
      <c r="W2916" s="2" t="s">
        <v>273</v>
      </c>
      <c r="X2916" s="2" t="s">
        <v>231</v>
      </c>
      <c r="Y2916" s="2" t="s">
        <v>3308</v>
      </c>
      <c r="Z2916" s="4">
        <v>258</v>
      </c>
      <c r="AA2916" s="4">
        <f>=ROUNDDOWN(28.6666666666667,0)</f>
      </c>
      <c r="AB2916" s="5">
        <v>9</v>
      </c>
      <c r="AC2916" s="2" t="s">
        <v>231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231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231</v>
      </c>
      <c r="AW2916" s="8" t="s">
        <v>231</v>
      </c>
      <c r="AX2916" s="4" t="s">
        <v>231</v>
      </c>
      <c r="AY2916" s="8" t="s">
        <v>231</v>
      </c>
      <c r="AZ2916" s="7" t="s">
        <v>231</v>
      </c>
      <c r="BA2916" s="7" t="s">
        <v>231</v>
      </c>
      <c r="BB2916" s="7"/>
      <c r="BC2916" s="4" t="s">
        <v>231</v>
      </c>
      <c r="BD2916" s="8" t="s">
        <v>231</v>
      </c>
      <c r="BE2916" s="4" t="s">
        <v>231</v>
      </c>
      <c r="BF2916" s="8" t="s">
        <v>231</v>
      </c>
      <c r="BG2916" s="7" t="s">
        <v>231</v>
      </c>
      <c r="BH2916" s="7" t="s">
        <v>231</v>
      </c>
      <c r="BI2916" s="7"/>
      <c r="BJ2916" s="4">
        <v>2</v>
      </c>
      <c r="BK2916" s="8">
        <v>73.5</v>
      </c>
      <c r="BL2916" s="2" t="s">
        <v>1120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12270</v>
      </c>
      <c r="BV2916" s="2" t="s">
        <v>231</v>
      </c>
      <c r="BW2916" s="2" t="s">
        <v>231</v>
      </c>
      <c r="BX2916" s="2" t="s">
        <v>241</v>
      </c>
      <c r="BY2916" s="2" t="s">
        <v>277</v>
      </c>
      <c r="BZ2916" s="2" t="s">
        <v>243</v>
      </c>
      <c r="CA2916" s="2" t="s">
        <v>3213</v>
      </c>
      <c r="CB2916" s="2" t="s">
        <v>231</v>
      </c>
      <c r="CC2916" s="2" t="s">
        <v>244</v>
      </c>
      <c r="CD2916" s="2" t="s">
        <v>231</v>
      </c>
      <c r="CE2916" s="4">
        <v>194</v>
      </c>
      <c r="CF2916" s="4"/>
      <c r="CG2916" s="4"/>
      <c r="CH2916" s="4"/>
      <c r="CI2916" s="4"/>
      <c r="CJ2916" s="4"/>
      <c r="CK2916" s="4"/>
      <c r="CL2916" s="4">
        <v>64</v>
      </c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4"/>
      <c r="CX2916" s="4"/>
      <c r="CY2916" s="4"/>
      <c r="CZ2916" s="4"/>
      <c r="DA2916" s="4"/>
      <c r="DB2916" s="4"/>
      <c r="DC2916" s="4"/>
      <c r="DD2916" s="4"/>
      <c r="DE2916" s="4"/>
      <c r="DF2916" s="4"/>
      <c r="DG2916" s="4"/>
      <c r="DH2916" s="4"/>
      <c r="DI2916" s="4"/>
      <c r="DJ2916" s="4"/>
      <c r="DK2916" s="4"/>
      <c r="DL2916" s="4"/>
      <c r="DM2916" s="4"/>
      <c r="DN2916" s="4"/>
      <c r="DO2916" s="4"/>
      <c r="DP2916" s="4"/>
      <c r="DQ2916" s="4"/>
      <c r="DR2916" s="4"/>
      <c r="DS2916" s="4"/>
      <c r="DT2916" s="4"/>
      <c r="DU2916" s="4"/>
      <c r="DV2916" s="4"/>
      <c r="DW2916" s="4"/>
      <c r="DX2916" s="4"/>
      <c r="DY2916" s="4"/>
      <c r="DZ2916" s="4"/>
      <c r="EA2916" s="4"/>
      <c r="EB2916" s="4"/>
      <c r="EC2916" s="4"/>
      <c r="ED2916" s="4"/>
      <c r="EE2916" s="4"/>
      <c r="EF2916" s="4"/>
      <c r="EG2916" s="4"/>
      <c r="EH2916" s="4"/>
      <c r="EI2916" s="4"/>
      <c r="EJ2916" s="4"/>
      <c r="EK2916" s="4"/>
      <c r="EL2916" s="4"/>
      <c r="EM2916" s="4"/>
      <c r="EN2916" s="4"/>
      <c r="EO2916" s="4"/>
      <c r="EP2916" s="4"/>
      <c r="EQ2916" s="4"/>
      <c r="ER2916" s="4"/>
      <c r="ES2916" s="4"/>
      <c r="ET2916" s="4"/>
      <c r="EU2916" s="4"/>
      <c r="EV2916" s="4"/>
      <c r="EW2916" s="4"/>
      <c r="EX2916" s="4"/>
      <c r="EY2916" s="4"/>
      <c r="EZ2916" s="4"/>
      <c r="FA2916" s="4"/>
      <c r="FB2916" s="4"/>
      <c r="FC2916" s="4"/>
      <c r="FD2916" s="4"/>
      <c r="FE2916" s="4"/>
      <c r="FF2916" s="4"/>
      <c r="FG2916" s="4"/>
      <c r="FH2916" s="4"/>
      <c r="FI2916" s="4"/>
      <c r="FJ2916" s="4"/>
      <c r="FK2916" s="4"/>
      <c r="FL2916" s="4"/>
      <c r="FM2916" s="4"/>
      <c r="FN2916" s="4"/>
      <c r="FO2916" s="4"/>
      <c r="FP2916" s="4"/>
      <c r="FQ2916" s="4"/>
      <c r="FR2916" s="4"/>
      <c r="FS2916" s="4"/>
      <c r="FT2916" s="4"/>
      <c r="FU2916" s="4"/>
      <c r="FV2916" s="4"/>
      <c r="FW2916" s="4"/>
      <c r="FX2916" s="4"/>
      <c r="FY2916" s="4"/>
      <c r="FZ2916" s="4"/>
      <c r="GA2916" s="4"/>
      <c r="GB2916" s="4"/>
      <c r="GC2916" s="4"/>
      <c r="GD2916" s="4"/>
      <c r="GE2916" s="4"/>
      <c r="GF2916" s="4"/>
      <c r="GG2916" s="4"/>
      <c r="GH2916" s="4"/>
      <c r="GI2916" s="4"/>
      <c r="GJ2916" s="4"/>
      <c r="GK2916" s="4"/>
      <c r="GL2916" s="4"/>
      <c r="GM2916" s="4"/>
      <c r="GN2916" s="4"/>
      <c r="GO2916" s="4"/>
      <c r="GP2916" s="4"/>
      <c r="GQ2916" s="4"/>
      <c r="GR2916" s="4"/>
      <c r="GS2916" s="4"/>
      <c r="GT2916" s="4"/>
      <c r="GU2916" s="4"/>
      <c r="GV2916" s="4"/>
      <c r="GW2916" s="4"/>
      <c r="GX2916" s="4"/>
      <c r="GY2916" s="4"/>
      <c r="GZ2916" s="4"/>
      <c r="HA2916" s="4"/>
      <c r="HB2916" s="4"/>
      <c r="HC2916" s="4"/>
      <c r="HD2916" s="4"/>
      <c r="HE2916" s="4"/>
      <c r="HF2916" s="4"/>
      <c r="HG2916" s="4"/>
      <c r="HH2916" s="4"/>
      <c r="HI2916" s="4"/>
      <c r="HJ2916" s="4"/>
      <c r="HK2916" s="4"/>
      <c r="HL2916" s="4"/>
    </row>
    <row r="2917">
      <c r="A2917" s="2" t="s">
        <v>12271</v>
      </c>
      <c r="B2917" s="2" t="s">
        <v>226</v>
      </c>
      <c r="C2917" s="2" t="s">
        <v>825</v>
      </c>
      <c r="D2917" s="2" t="s">
        <v>654</v>
      </c>
      <c r="E2917" s="2" t="s">
        <v>890</v>
      </c>
      <c r="F2917" s="2" t="s">
        <v>12267</v>
      </c>
      <c r="G2917" s="2" t="s">
        <v>12267</v>
      </c>
      <c r="H2917" s="2" t="s">
        <v>12267</v>
      </c>
      <c r="I2917" s="2" t="s">
        <v>12272</v>
      </c>
      <c r="J2917" s="2" t="s">
        <v>302</v>
      </c>
      <c r="K2917" s="2" t="s">
        <v>2125</v>
      </c>
      <c r="L2917" s="3">
        <v>47.61</v>
      </c>
      <c r="M2917" s="3">
        <v>49.99</v>
      </c>
      <c r="N2917" s="3">
        <v>99.99</v>
      </c>
      <c r="O2917" s="2" t="s">
        <v>243</v>
      </c>
      <c r="P2917" s="2" t="s">
        <v>236</v>
      </c>
      <c r="Q2917" s="2" t="s">
        <v>237</v>
      </c>
      <c r="R2917" s="2" t="s">
        <v>231</v>
      </c>
      <c r="S2917" s="2" t="s">
        <v>12269</v>
      </c>
      <c r="T2917" s="2" t="s">
        <v>3671</v>
      </c>
      <c r="U2917" s="2" t="s">
        <v>835</v>
      </c>
      <c r="V2917" s="2" t="s">
        <v>239</v>
      </c>
      <c r="W2917" s="2" t="s">
        <v>273</v>
      </c>
      <c r="X2917" s="2" t="s">
        <v>231</v>
      </c>
      <c r="Y2917" s="2" t="s">
        <v>3308</v>
      </c>
      <c r="Z2917" s="4">
        <v>179</v>
      </c>
      <c r="AA2917" s="4">
        <f>=ROUNDDOWN(19.8888888888889,0)</f>
      </c>
      <c r="AB2917" s="5">
        <v>9</v>
      </c>
      <c r="AC2917" s="2" t="s">
        <v>231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231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231</v>
      </c>
      <c r="AW2917" s="8" t="s">
        <v>231</v>
      </c>
      <c r="AX2917" s="4" t="s">
        <v>231</v>
      </c>
      <c r="AY2917" s="8" t="s">
        <v>231</v>
      </c>
      <c r="AZ2917" s="7" t="s">
        <v>231</v>
      </c>
      <c r="BA2917" s="7" t="s">
        <v>231</v>
      </c>
      <c r="BB2917" s="7"/>
      <c r="BC2917" s="4" t="s">
        <v>231</v>
      </c>
      <c r="BD2917" s="8" t="s">
        <v>231</v>
      </c>
      <c r="BE2917" s="4" t="s">
        <v>231</v>
      </c>
      <c r="BF2917" s="8" t="s">
        <v>231</v>
      </c>
      <c r="BG2917" s="7" t="s">
        <v>231</v>
      </c>
      <c r="BH2917" s="7" t="s">
        <v>231</v>
      </c>
      <c r="BI2917" s="7"/>
      <c r="BJ2917" s="4"/>
      <c r="BK2917" s="8"/>
      <c r="BL2917" s="2" t="s">
        <v>231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12273</v>
      </c>
      <c r="BV2917" s="2" t="s">
        <v>231</v>
      </c>
      <c r="BW2917" s="2" t="s">
        <v>231</v>
      </c>
      <c r="BX2917" s="2" t="s">
        <v>241</v>
      </c>
      <c r="BY2917" s="2" t="s">
        <v>277</v>
      </c>
      <c r="BZ2917" s="2" t="s">
        <v>243</v>
      </c>
      <c r="CA2917" s="2" t="s">
        <v>3213</v>
      </c>
      <c r="CB2917" s="2" t="s">
        <v>5422</v>
      </c>
      <c r="CC2917" s="2" t="s">
        <v>244</v>
      </c>
      <c r="CD2917" s="2" t="s">
        <v>231</v>
      </c>
      <c r="CE2917" s="4">
        <v>179</v>
      </c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4"/>
      <c r="CX2917" s="4"/>
      <c r="CY2917" s="4"/>
      <c r="CZ2917" s="4"/>
      <c r="DA2917" s="4"/>
      <c r="DB2917" s="4"/>
      <c r="DC2917" s="4"/>
      <c r="DD2917" s="4"/>
      <c r="DE2917" s="4"/>
      <c r="DF2917" s="4"/>
      <c r="DG2917" s="4"/>
      <c r="DH2917" s="4"/>
      <c r="DI2917" s="4"/>
      <c r="DJ2917" s="4"/>
      <c r="DK2917" s="4"/>
      <c r="DL2917" s="4"/>
      <c r="DM2917" s="4"/>
      <c r="DN2917" s="4"/>
      <c r="DO2917" s="4"/>
      <c r="DP2917" s="4"/>
      <c r="DQ2917" s="4"/>
      <c r="DR2917" s="4"/>
      <c r="DS2917" s="4"/>
      <c r="DT2917" s="4"/>
      <c r="DU2917" s="4"/>
      <c r="DV2917" s="4"/>
      <c r="DW2917" s="4"/>
      <c r="DX2917" s="4"/>
      <c r="DY2917" s="4"/>
      <c r="DZ2917" s="4"/>
      <c r="EA2917" s="4"/>
      <c r="EB2917" s="4"/>
      <c r="EC2917" s="4"/>
      <c r="ED2917" s="4"/>
      <c r="EE2917" s="4"/>
      <c r="EF2917" s="4"/>
      <c r="EG2917" s="4"/>
      <c r="EH2917" s="4"/>
      <c r="EI2917" s="4"/>
      <c r="EJ2917" s="4"/>
      <c r="EK2917" s="4"/>
      <c r="EL2917" s="4"/>
      <c r="EM2917" s="4"/>
      <c r="EN2917" s="4"/>
      <c r="EO2917" s="4"/>
      <c r="EP2917" s="4"/>
      <c r="EQ2917" s="4"/>
      <c r="ER2917" s="4"/>
      <c r="ES2917" s="4"/>
      <c r="ET2917" s="4"/>
      <c r="EU2917" s="4"/>
      <c r="EV2917" s="4"/>
      <c r="EW2917" s="4"/>
      <c r="EX2917" s="4"/>
      <c r="EY2917" s="4"/>
      <c r="EZ2917" s="4"/>
      <c r="FA2917" s="4"/>
      <c r="FB2917" s="4"/>
      <c r="FC2917" s="4"/>
      <c r="FD2917" s="4"/>
      <c r="FE2917" s="4"/>
      <c r="FF2917" s="4"/>
      <c r="FG2917" s="4"/>
      <c r="FH2917" s="4"/>
      <c r="FI2917" s="4"/>
      <c r="FJ2917" s="4"/>
      <c r="FK2917" s="4"/>
      <c r="FL2917" s="4"/>
      <c r="FM2917" s="4"/>
      <c r="FN2917" s="4"/>
      <c r="FO2917" s="4"/>
      <c r="FP2917" s="4"/>
      <c r="FQ2917" s="4"/>
      <c r="FR2917" s="4"/>
      <c r="FS2917" s="4"/>
      <c r="FT2917" s="4"/>
      <c r="FU2917" s="4"/>
      <c r="FV2917" s="4"/>
      <c r="FW2917" s="4"/>
      <c r="FX2917" s="4"/>
      <c r="FY2917" s="4"/>
      <c r="FZ2917" s="4"/>
      <c r="GA2917" s="4"/>
      <c r="GB2917" s="4"/>
      <c r="GC2917" s="4"/>
      <c r="GD2917" s="4"/>
      <c r="GE2917" s="4"/>
      <c r="GF2917" s="4"/>
      <c r="GG2917" s="4"/>
      <c r="GH2917" s="4"/>
      <c r="GI2917" s="4"/>
      <c r="GJ2917" s="4"/>
      <c r="GK2917" s="4"/>
      <c r="GL2917" s="4"/>
      <c r="GM2917" s="4"/>
      <c r="GN2917" s="4"/>
      <c r="GO2917" s="4"/>
      <c r="GP2917" s="4"/>
      <c r="GQ2917" s="4"/>
      <c r="GR2917" s="4"/>
      <c r="GS2917" s="4"/>
      <c r="GT2917" s="4"/>
      <c r="GU2917" s="4"/>
      <c r="GV2917" s="4"/>
      <c r="GW2917" s="4"/>
      <c r="GX2917" s="4"/>
      <c r="GY2917" s="4"/>
      <c r="GZ2917" s="4"/>
      <c r="HA2917" s="4"/>
      <c r="HB2917" s="4"/>
      <c r="HC2917" s="4"/>
      <c r="HD2917" s="4"/>
      <c r="HE2917" s="4"/>
      <c r="HF2917" s="4"/>
      <c r="HG2917" s="4"/>
      <c r="HH2917" s="4"/>
      <c r="HI2917" s="4"/>
      <c r="HJ2917" s="4"/>
      <c r="HK2917" s="4"/>
      <c r="HL2917" s="4"/>
    </row>
    <row r="2918">
      <c r="A2918" s="2" t="s">
        <v>12274</v>
      </c>
      <c r="B2918" s="2" t="s">
        <v>226</v>
      </c>
      <c r="C2918" s="2" t="s">
        <v>825</v>
      </c>
      <c r="D2918" s="2" t="s">
        <v>654</v>
      </c>
      <c r="E2918" s="2" t="s">
        <v>890</v>
      </c>
      <c r="F2918" s="2" t="s">
        <v>12267</v>
      </c>
      <c r="G2918" s="2" t="s">
        <v>12267</v>
      </c>
      <c r="H2918" s="2" t="s">
        <v>12267</v>
      </c>
      <c r="I2918" s="2" t="s">
        <v>12268</v>
      </c>
      <c r="J2918" s="2" t="s">
        <v>318</v>
      </c>
      <c r="K2918" s="2" t="s">
        <v>1146</v>
      </c>
      <c r="L2918" s="3">
        <v>33.33</v>
      </c>
      <c r="M2918" s="3">
        <v>35</v>
      </c>
      <c r="N2918" s="3">
        <v>69.99</v>
      </c>
      <c r="O2918" s="2" t="s">
        <v>243</v>
      </c>
      <c r="P2918" s="2" t="s">
        <v>236</v>
      </c>
      <c r="Q2918" s="2" t="s">
        <v>237</v>
      </c>
      <c r="R2918" s="2" t="s">
        <v>231</v>
      </c>
      <c r="S2918" s="2" t="s">
        <v>12275</v>
      </c>
      <c r="T2918" s="2" t="s">
        <v>3671</v>
      </c>
      <c r="U2918" s="2" t="s">
        <v>791</v>
      </c>
      <c r="V2918" s="2" t="s">
        <v>239</v>
      </c>
      <c r="W2918" s="2" t="s">
        <v>273</v>
      </c>
      <c r="X2918" s="2" t="s">
        <v>231</v>
      </c>
      <c r="Y2918" s="2" t="s">
        <v>3308</v>
      </c>
      <c r="Z2918" s="4">
        <v>258</v>
      </c>
      <c r="AA2918" s="4">
        <f>=ROUNDDOWN(28.6666666666667,0)</f>
      </c>
      <c r="AB2918" s="5">
        <v>9</v>
      </c>
      <c r="AC2918" s="2" t="s">
        <v>231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231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231</v>
      </c>
      <c r="AW2918" s="8" t="s">
        <v>231</v>
      </c>
      <c r="AX2918" s="4" t="s">
        <v>231</v>
      </c>
      <c r="AY2918" s="8" t="s">
        <v>231</v>
      </c>
      <c r="AZ2918" s="7" t="s">
        <v>231</v>
      </c>
      <c r="BA2918" s="7" t="s">
        <v>231</v>
      </c>
      <c r="BB2918" s="7"/>
      <c r="BC2918" s="4" t="s">
        <v>231</v>
      </c>
      <c r="BD2918" s="8" t="s">
        <v>231</v>
      </c>
      <c r="BE2918" s="4" t="s">
        <v>231</v>
      </c>
      <c r="BF2918" s="8" t="s">
        <v>231</v>
      </c>
      <c r="BG2918" s="7" t="s">
        <v>231</v>
      </c>
      <c r="BH2918" s="7" t="s">
        <v>231</v>
      </c>
      <c r="BI2918" s="7"/>
      <c r="BJ2918" s="4"/>
      <c r="BK2918" s="8"/>
      <c r="BL2918" s="2" t="s">
        <v>231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12276</v>
      </c>
      <c r="BV2918" s="2" t="s">
        <v>231</v>
      </c>
      <c r="BW2918" s="2" t="s">
        <v>231</v>
      </c>
      <c r="BX2918" s="2" t="s">
        <v>241</v>
      </c>
      <c r="BY2918" s="2" t="s">
        <v>277</v>
      </c>
      <c r="BZ2918" s="2" t="s">
        <v>243</v>
      </c>
      <c r="CA2918" s="2" t="s">
        <v>3213</v>
      </c>
      <c r="CB2918" s="2" t="s">
        <v>6597</v>
      </c>
      <c r="CC2918" s="2" t="s">
        <v>244</v>
      </c>
      <c r="CD2918" s="2" t="s">
        <v>231</v>
      </c>
      <c r="CE2918" s="4">
        <v>98</v>
      </c>
      <c r="CF2918" s="4"/>
      <c r="CG2918" s="4"/>
      <c r="CH2918" s="4"/>
      <c r="CI2918" s="4"/>
      <c r="CJ2918" s="4"/>
      <c r="CK2918" s="4"/>
      <c r="CL2918" s="4">
        <v>160</v>
      </c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4"/>
      <c r="CX2918" s="4"/>
      <c r="CY2918" s="4"/>
      <c r="CZ2918" s="4"/>
      <c r="DA2918" s="4"/>
      <c r="DB2918" s="4"/>
      <c r="DC2918" s="4"/>
      <c r="DD2918" s="4"/>
      <c r="DE2918" s="4"/>
      <c r="DF2918" s="4"/>
      <c r="DG2918" s="4"/>
      <c r="DH2918" s="4"/>
      <c r="DI2918" s="4"/>
      <c r="DJ2918" s="4"/>
      <c r="DK2918" s="4"/>
      <c r="DL2918" s="4"/>
      <c r="DM2918" s="4"/>
      <c r="DN2918" s="4"/>
      <c r="DO2918" s="4"/>
      <c r="DP2918" s="4"/>
      <c r="DQ2918" s="4"/>
      <c r="DR2918" s="4"/>
      <c r="DS2918" s="4"/>
      <c r="DT2918" s="4"/>
      <c r="DU2918" s="4"/>
      <c r="DV2918" s="4"/>
      <c r="DW2918" s="4"/>
      <c r="DX2918" s="4"/>
      <c r="DY2918" s="4"/>
      <c r="DZ2918" s="4"/>
      <c r="EA2918" s="4"/>
      <c r="EB2918" s="4"/>
      <c r="EC2918" s="4"/>
      <c r="ED2918" s="4"/>
      <c r="EE2918" s="4"/>
      <c r="EF2918" s="4"/>
      <c r="EG2918" s="4"/>
      <c r="EH2918" s="4"/>
      <c r="EI2918" s="4"/>
      <c r="EJ2918" s="4"/>
      <c r="EK2918" s="4"/>
      <c r="EL2918" s="4"/>
      <c r="EM2918" s="4"/>
      <c r="EN2918" s="4"/>
      <c r="EO2918" s="4"/>
      <c r="EP2918" s="4"/>
      <c r="EQ2918" s="4"/>
      <c r="ER2918" s="4"/>
      <c r="ES2918" s="4"/>
      <c r="ET2918" s="4"/>
      <c r="EU2918" s="4"/>
      <c r="EV2918" s="4"/>
      <c r="EW2918" s="4"/>
      <c r="EX2918" s="4"/>
      <c r="EY2918" s="4"/>
      <c r="EZ2918" s="4"/>
      <c r="FA2918" s="4"/>
      <c r="FB2918" s="4"/>
      <c r="FC2918" s="4"/>
      <c r="FD2918" s="4"/>
      <c r="FE2918" s="4"/>
      <c r="FF2918" s="4"/>
      <c r="FG2918" s="4"/>
      <c r="FH2918" s="4"/>
      <c r="FI2918" s="4"/>
      <c r="FJ2918" s="4"/>
      <c r="FK2918" s="4"/>
      <c r="FL2918" s="4"/>
      <c r="FM2918" s="4"/>
      <c r="FN2918" s="4"/>
      <c r="FO2918" s="4"/>
      <c r="FP2918" s="4"/>
      <c r="FQ2918" s="4"/>
      <c r="FR2918" s="4"/>
      <c r="FS2918" s="4"/>
      <c r="FT2918" s="4"/>
      <c r="FU2918" s="4"/>
      <c r="FV2918" s="4"/>
      <c r="FW2918" s="4"/>
      <c r="FX2918" s="4"/>
      <c r="FY2918" s="4"/>
      <c r="FZ2918" s="4"/>
      <c r="GA2918" s="4"/>
      <c r="GB2918" s="4"/>
      <c r="GC2918" s="4"/>
      <c r="GD2918" s="4"/>
      <c r="GE2918" s="4"/>
      <c r="GF2918" s="4"/>
      <c r="GG2918" s="4"/>
      <c r="GH2918" s="4"/>
      <c r="GI2918" s="4"/>
      <c r="GJ2918" s="4"/>
      <c r="GK2918" s="4"/>
      <c r="GL2918" s="4"/>
      <c r="GM2918" s="4"/>
      <c r="GN2918" s="4"/>
      <c r="GO2918" s="4"/>
      <c r="GP2918" s="4"/>
      <c r="GQ2918" s="4"/>
      <c r="GR2918" s="4"/>
      <c r="GS2918" s="4"/>
      <c r="GT2918" s="4"/>
      <c r="GU2918" s="4"/>
      <c r="GV2918" s="4"/>
      <c r="GW2918" s="4"/>
      <c r="GX2918" s="4"/>
      <c r="GY2918" s="4"/>
      <c r="GZ2918" s="4"/>
      <c r="HA2918" s="4"/>
      <c r="HB2918" s="4"/>
      <c r="HC2918" s="4"/>
      <c r="HD2918" s="4"/>
      <c r="HE2918" s="4"/>
      <c r="HF2918" s="4"/>
      <c r="HG2918" s="4"/>
      <c r="HH2918" s="4"/>
      <c r="HI2918" s="4"/>
      <c r="HJ2918" s="4"/>
      <c r="HK2918" s="4"/>
      <c r="HL2918" s="4"/>
    </row>
    <row r="2919">
      <c r="A2919" s="2" t="s">
        <v>12277</v>
      </c>
      <c r="B2919" s="2" t="s">
        <v>226</v>
      </c>
      <c r="C2919" s="2" t="s">
        <v>825</v>
      </c>
      <c r="D2919" s="2" t="s">
        <v>654</v>
      </c>
      <c r="E2919" s="2" t="s">
        <v>890</v>
      </c>
      <c r="F2919" s="2" t="s">
        <v>12267</v>
      </c>
      <c r="G2919" s="2" t="s">
        <v>12267</v>
      </c>
      <c r="H2919" s="2" t="s">
        <v>12267</v>
      </c>
      <c r="I2919" s="2" t="s">
        <v>12272</v>
      </c>
      <c r="J2919" s="2" t="s">
        <v>302</v>
      </c>
      <c r="K2919" s="2" t="s">
        <v>1146</v>
      </c>
      <c r="L2919" s="3">
        <v>47.61</v>
      </c>
      <c r="M2919" s="3">
        <v>49.99</v>
      </c>
      <c r="N2919" s="3">
        <v>99.99</v>
      </c>
      <c r="O2919" s="2" t="s">
        <v>243</v>
      </c>
      <c r="P2919" s="2" t="s">
        <v>236</v>
      </c>
      <c r="Q2919" s="2" t="s">
        <v>237</v>
      </c>
      <c r="R2919" s="2" t="s">
        <v>231</v>
      </c>
      <c r="S2919" s="2" t="s">
        <v>12275</v>
      </c>
      <c r="T2919" s="2" t="s">
        <v>3671</v>
      </c>
      <c r="U2919" s="2" t="s">
        <v>835</v>
      </c>
      <c r="V2919" s="2" t="s">
        <v>239</v>
      </c>
      <c r="W2919" s="2" t="s">
        <v>273</v>
      </c>
      <c r="X2919" s="2" t="s">
        <v>231</v>
      </c>
      <c r="Y2919" s="2" t="s">
        <v>2447</v>
      </c>
      <c r="Z2919" s="4">
        <v>176</v>
      </c>
      <c r="AA2919" s="4">
        <f>=ROUNDDOWN(19.5555555555556,0)</f>
      </c>
      <c r="AB2919" s="5">
        <v>9</v>
      </c>
      <c r="AC2919" s="2" t="s">
        <v>231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231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231</v>
      </c>
      <c r="AW2919" s="8" t="s">
        <v>231</v>
      </c>
      <c r="AX2919" s="4" t="s">
        <v>231</v>
      </c>
      <c r="AY2919" s="8" t="s">
        <v>231</v>
      </c>
      <c r="AZ2919" s="7" t="s">
        <v>231</v>
      </c>
      <c r="BA2919" s="7" t="s">
        <v>231</v>
      </c>
      <c r="BB2919" s="7"/>
      <c r="BC2919" s="4" t="s">
        <v>231</v>
      </c>
      <c r="BD2919" s="8" t="s">
        <v>231</v>
      </c>
      <c r="BE2919" s="4" t="s">
        <v>231</v>
      </c>
      <c r="BF2919" s="8" t="s">
        <v>231</v>
      </c>
      <c r="BG2919" s="7" t="s">
        <v>231</v>
      </c>
      <c r="BH2919" s="7" t="s">
        <v>231</v>
      </c>
      <c r="BI2919" s="7"/>
      <c r="BJ2919" s="4">
        <v>4</v>
      </c>
      <c r="BK2919" s="8">
        <v>190.47</v>
      </c>
      <c r="BL2919" s="2" t="s">
        <v>2784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12278</v>
      </c>
      <c r="BV2919" s="2" t="s">
        <v>231</v>
      </c>
      <c r="BW2919" s="2" t="s">
        <v>231</v>
      </c>
      <c r="BX2919" s="2" t="s">
        <v>241</v>
      </c>
      <c r="BY2919" s="2" t="s">
        <v>277</v>
      </c>
      <c r="BZ2919" s="2" t="s">
        <v>243</v>
      </c>
      <c r="CA2919" s="2" t="s">
        <v>3213</v>
      </c>
      <c r="CB2919" s="2" t="s">
        <v>231</v>
      </c>
      <c r="CC2919" s="2" t="s">
        <v>244</v>
      </c>
      <c r="CD2919" s="2" t="s">
        <v>231</v>
      </c>
      <c r="CE2919" s="4">
        <v>86</v>
      </c>
      <c r="CF2919" s="4"/>
      <c r="CG2919" s="4"/>
      <c r="CH2919" s="4"/>
      <c r="CI2919" s="4"/>
      <c r="CJ2919" s="4"/>
      <c r="CK2919" s="4"/>
      <c r="CL2919" s="4">
        <v>90</v>
      </c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4"/>
      <c r="CX2919" s="4"/>
      <c r="CY2919" s="4"/>
      <c r="CZ2919" s="4"/>
      <c r="DA2919" s="4"/>
      <c r="DB2919" s="4"/>
      <c r="DC2919" s="4"/>
      <c r="DD2919" s="4"/>
      <c r="DE2919" s="4"/>
      <c r="DF2919" s="4"/>
      <c r="DG2919" s="4"/>
      <c r="DH2919" s="4"/>
      <c r="DI2919" s="4"/>
      <c r="DJ2919" s="4"/>
      <c r="DK2919" s="4"/>
      <c r="DL2919" s="4"/>
      <c r="DM2919" s="4"/>
      <c r="DN2919" s="4"/>
      <c r="DO2919" s="4"/>
      <c r="DP2919" s="4"/>
      <c r="DQ2919" s="4"/>
      <c r="DR2919" s="4"/>
      <c r="DS2919" s="4"/>
      <c r="DT2919" s="4"/>
      <c r="DU2919" s="4"/>
      <c r="DV2919" s="4"/>
      <c r="DW2919" s="4"/>
      <c r="DX2919" s="4"/>
      <c r="DY2919" s="4"/>
      <c r="DZ2919" s="4"/>
      <c r="EA2919" s="4"/>
      <c r="EB2919" s="4"/>
      <c r="EC2919" s="4"/>
      <c r="ED2919" s="4"/>
      <c r="EE2919" s="4"/>
      <c r="EF2919" s="4"/>
      <c r="EG2919" s="4"/>
      <c r="EH2919" s="4"/>
      <c r="EI2919" s="4"/>
      <c r="EJ2919" s="4"/>
      <c r="EK2919" s="4"/>
      <c r="EL2919" s="4"/>
      <c r="EM2919" s="4"/>
      <c r="EN2919" s="4"/>
      <c r="EO2919" s="4"/>
      <c r="EP2919" s="4"/>
      <c r="EQ2919" s="4"/>
      <c r="ER2919" s="4"/>
      <c r="ES2919" s="4"/>
      <c r="ET2919" s="4"/>
      <c r="EU2919" s="4"/>
      <c r="EV2919" s="4"/>
      <c r="EW2919" s="4"/>
      <c r="EX2919" s="4"/>
      <c r="EY2919" s="4"/>
      <c r="EZ2919" s="4"/>
      <c r="FA2919" s="4"/>
      <c r="FB2919" s="4"/>
      <c r="FC2919" s="4"/>
      <c r="FD2919" s="4"/>
      <c r="FE2919" s="4"/>
      <c r="FF2919" s="4"/>
      <c r="FG2919" s="4"/>
      <c r="FH2919" s="4"/>
      <c r="FI2919" s="4"/>
      <c r="FJ2919" s="4"/>
      <c r="FK2919" s="4"/>
      <c r="FL2919" s="4"/>
      <c r="FM2919" s="4"/>
      <c r="FN2919" s="4"/>
      <c r="FO2919" s="4"/>
      <c r="FP2919" s="4"/>
      <c r="FQ2919" s="4"/>
      <c r="FR2919" s="4"/>
      <c r="FS2919" s="4"/>
      <c r="FT2919" s="4"/>
      <c r="FU2919" s="4"/>
      <c r="FV2919" s="4"/>
      <c r="FW2919" s="4"/>
      <c r="FX2919" s="4"/>
      <c r="FY2919" s="4"/>
      <c r="FZ2919" s="4"/>
      <c r="GA2919" s="4"/>
      <c r="GB2919" s="4"/>
      <c r="GC2919" s="4"/>
      <c r="GD2919" s="4"/>
      <c r="GE2919" s="4"/>
      <c r="GF2919" s="4"/>
      <c r="GG2919" s="4"/>
      <c r="GH2919" s="4"/>
      <c r="GI2919" s="4"/>
      <c r="GJ2919" s="4"/>
      <c r="GK2919" s="4"/>
      <c r="GL2919" s="4"/>
      <c r="GM2919" s="4"/>
      <c r="GN2919" s="4"/>
      <c r="GO2919" s="4"/>
      <c r="GP2919" s="4"/>
      <c r="GQ2919" s="4"/>
      <c r="GR2919" s="4"/>
      <c r="GS2919" s="4"/>
      <c r="GT2919" s="4"/>
      <c r="GU2919" s="4"/>
      <c r="GV2919" s="4"/>
      <c r="GW2919" s="4"/>
      <c r="GX2919" s="4"/>
      <c r="GY2919" s="4"/>
      <c r="GZ2919" s="4"/>
      <c r="HA2919" s="4"/>
      <c r="HB2919" s="4"/>
      <c r="HC2919" s="4"/>
      <c r="HD2919" s="4"/>
      <c r="HE2919" s="4"/>
      <c r="HF2919" s="4"/>
      <c r="HG2919" s="4"/>
      <c r="HH2919" s="4"/>
      <c r="HI2919" s="4"/>
      <c r="HJ2919" s="4"/>
      <c r="HK2919" s="4"/>
      <c r="HL2919" s="4"/>
    </row>
    <row r="2920">
      <c r="A2920" s="2" t="s">
        <v>12279</v>
      </c>
      <c r="B2920" s="2" t="s">
        <v>226</v>
      </c>
      <c r="C2920" s="2" t="s">
        <v>825</v>
      </c>
      <c r="D2920" s="2" t="s">
        <v>654</v>
      </c>
      <c r="E2920" s="2" t="s">
        <v>890</v>
      </c>
      <c r="F2920" s="2" t="s">
        <v>12267</v>
      </c>
      <c r="G2920" s="2" t="s">
        <v>12267</v>
      </c>
      <c r="H2920" s="2" t="s">
        <v>12267</v>
      </c>
      <c r="I2920" s="2" t="s">
        <v>12268</v>
      </c>
      <c r="J2920" s="2" t="s">
        <v>318</v>
      </c>
      <c r="K2920" s="2" t="s">
        <v>723</v>
      </c>
      <c r="L2920" s="3">
        <v>33.33</v>
      </c>
      <c r="M2920" s="3">
        <v>35</v>
      </c>
      <c r="N2920" s="3">
        <v>69.99</v>
      </c>
      <c r="O2920" s="2" t="s">
        <v>243</v>
      </c>
      <c r="P2920" s="2" t="s">
        <v>236</v>
      </c>
      <c r="Q2920" s="2" t="s">
        <v>237</v>
      </c>
      <c r="R2920" s="2" t="s">
        <v>231</v>
      </c>
      <c r="S2920" s="2" t="s">
        <v>12280</v>
      </c>
      <c r="T2920" s="2" t="s">
        <v>3671</v>
      </c>
      <c r="U2920" s="2" t="s">
        <v>791</v>
      </c>
      <c r="V2920" s="2" t="s">
        <v>239</v>
      </c>
      <c r="W2920" s="2" t="s">
        <v>273</v>
      </c>
      <c r="X2920" s="2" t="s">
        <v>231</v>
      </c>
      <c r="Y2920" s="2" t="s">
        <v>3308</v>
      </c>
      <c r="Z2920" s="4">
        <v>260</v>
      </c>
      <c r="AA2920" s="4">
        <f>=ROUNDDOWN(37.1428571428571,0)</f>
      </c>
      <c r="AB2920" s="5">
        <v>7</v>
      </c>
      <c r="AC2920" s="2" t="s">
        <v>231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231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231</v>
      </c>
      <c r="AW2920" s="8" t="s">
        <v>231</v>
      </c>
      <c r="AX2920" s="4" t="s">
        <v>231</v>
      </c>
      <c r="AY2920" s="8" t="s">
        <v>231</v>
      </c>
      <c r="AZ2920" s="7" t="s">
        <v>231</v>
      </c>
      <c r="BA2920" s="7" t="s">
        <v>231</v>
      </c>
      <c r="BB2920" s="7"/>
      <c r="BC2920" s="4" t="s">
        <v>231</v>
      </c>
      <c r="BD2920" s="8" t="s">
        <v>231</v>
      </c>
      <c r="BE2920" s="4" t="s">
        <v>231</v>
      </c>
      <c r="BF2920" s="8" t="s">
        <v>231</v>
      </c>
      <c r="BG2920" s="7" t="s">
        <v>231</v>
      </c>
      <c r="BH2920" s="7" t="s">
        <v>231</v>
      </c>
      <c r="BI2920" s="7"/>
      <c r="BJ2920" s="4"/>
      <c r="BK2920" s="8"/>
      <c r="BL2920" s="2" t="s">
        <v>231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12281</v>
      </c>
      <c r="BV2920" s="2" t="s">
        <v>231</v>
      </c>
      <c r="BW2920" s="2" t="s">
        <v>231</v>
      </c>
      <c r="BX2920" s="2" t="s">
        <v>241</v>
      </c>
      <c r="BY2920" s="2" t="s">
        <v>277</v>
      </c>
      <c r="BZ2920" s="2" t="s">
        <v>243</v>
      </c>
      <c r="CA2920" s="2" t="s">
        <v>3213</v>
      </c>
      <c r="CB2920" s="2" t="s">
        <v>231</v>
      </c>
      <c r="CC2920" s="2" t="s">
        <v>244</v>
      </c>
      <c r="CD2920" s="2" t="s">
        <v>231</v>
      </c>
      <c r="CE2920" s="4">
        <v>260</v>
      </c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/>
      <c r="DG2920" s="4"/>
      <c r="DH2920" s="4"/>
      <c r="DI2920" s="4"/>
      <c r="DJ2920" s="4"/>
      <c r="DK2920" s="4"/>
      <c r="DL2920" s="4"/>
      <c r="DM2920" s="4"/>
      <c r="DN2920" s="4"/>
      <c r="DO2920" s="4"/>
      <c r="DP2920" s="4"/>
      <c r="DQ2920" s="4"/>
      <c r="DR2920" s="4"/>
      <c r="DS2920" s="4"/>
      <c r="DT2920" s="4"/>
      <c r="DU2920" s="4"/>
      <c r="DV2920" s="4"/>
      <c r="DW2920" s="4"/>
      <c r="DX2920" s="4"/>
      <c r="DY2920" s="4"/>
      <c r="DZ2920" s="4"/>
      <c r="EA2920" s="4"/>
      <c r="EB2920" s="4"/>
      <c r="EC2920" s="4"/>
      <c r="ED2920" s="4"/>
      <c r="EE2920" s="4"/>
      <c r="EF2920" s="4"/>
      <c r="EG2920" s="4"/>
      <c r="EH2920" s="4"/>
      <c r="EI2920" s="4"/>
      <c r="EJ2920" s="4"/>
      <c r="EK2920" s="4"/>
      <c r="EL2920" s="4"/>
      <c r="EM2920" s="4"/>
      <c r="EN2920" s="4"/>
      <c r="EO2920" s="4"/>
      <c r="EP2920" s="4"/>
      <c r="EQ2920" s="4"/>
      <c r="ER2920" s="4"/>
      <c r="ES2920" s="4"/>
      <c r="ET2920" s="4"/>
      <c r="EU2920" s="4"/>
      <c r="EV2920" s="4"/>
      <c r="EW2920" s="4"/>
      <c r="EX2920" s="4"/>
      <c r="EY2920" s="4"/>
      <c r="EZ2920" s="4"/>
      <c r="FA2920" s="4"/>
      <c r="FB2920" s="4"/>
      <c r="FC2920" s="4"/>
      <c r="FD2920" s="4"/>
      <c r="FE2920" s="4"/>
      <c r="FF2920" s="4"/>
      <c r="FG2920" s="4"/>
      <c r="FH2920" s="4"/>
      <c r="FI2920" s="4"/>
      <c r="FJ2920" s="4"/>
      <c r="FK2920" s="4"/>
      <c r="FL2920" s="4"/>
      <c r="FM2920" s="4"/>
      <c r="FN2920" s="4"/>
      <c r="FO2920" s="4"/>
      <c r="FP2920" s="4"/>
      <c r="FQ2920" s="4"/>
      <c r="FR2920" s="4"/>
      <c r="FS2920" s="4"/>
      <c r="FT2920" s="4"/>
      <c r="FU2920" s="4"/>
      <c r="FV2920" s="4"/>
      <c r="FW2920" s="4"/>
      <c r="FX2920" s="4"/>
      <c r="FY2920" s="4"/>
      <c r="FZ2920" s="4"/>
      <c r="GA2920" s="4"/>
      <c r="GB2920" s="4"/>
      <c r="GC2920" s="4"/>
      <c r="GD2920" s="4"/>
      <c r="GE2920" s="4"/>
      <c r="GF2920" s="4"/>
      <c r="GG2920" s="4"/>
      <c r="GH2920" s="4"/>
      <c r="GI2920" s="4"/>
      <c r="GJ2920" s="4"/>
      <c r="GK2920" s="4"/>
      <c r="GL2920" s="4"/>
      <c r="GM2920" s="4"/>
      <c r="GN2920" s="4"/>
      <c r="GO2920" s="4"/>
      <c r="GP2920" s="4"/>
      <c r="GQ2920" s="4"/>
      <c r="GR2920" s="4"/>
      <c r="GS2920" s="4"/>
      <c r="GT2920" s="4"/>
      <c r="GU2920" s="4"/>
      <c r="GV2920" s="4"/>
      <c r="GW2920" s="4"/>
      <c r="GX2920" s="4"/>
      <c r="GY2920" s="4"/>
      <c r="GZ2920" s="4"/>
      <c r="HA2920" s="4"/>
      <c r="HB2920" s="4"/>
      <c r="HC2920" s="4"/>
      <c r="HD2920" s="4"/>
      <c r="HE2920" s="4"/>
      <c r="HF2920" s="4"/>
      <c r="HG2920" s="4"/>
      <c r="HH2920" s="4"/>
      <c r="HI2920" s="4"/>
      <c r="HJ2920" s="4"/>
      <c r="HK2920" s="4"/>
      <c r="HL2920" s="4"/>
    </row>
    <row r="2921">
      <c r="A2921" s="2" t="s">
        <v>12282</v>
      </c>
      <c r="B2921" s="2" t="s">
        <v>226</v>
      </c>
      <c r="C2921" s="2" t="s">
        <v>825</v>
      </c>
      <c r="D2921" s="2" t="s">
        <v>654</v>
      </c>
      <c r="E2921" s="2" t="s">
        <v>890</v>
      </c>
      <c r="F2921" s="2" t="s">
        <v>12267</v>
      </c>
      <c r="G2921" s="2" t="s">
        <v>12267</v>
      </c>
      <c r="H2921" s="2" t="s">
        <v>12267</v>
      </c>
      <c r="I2921" s="2" t="s">
        <v>12272</v>
      </c>
      <c r="J2921" s="2" t="s">
        <v>658</v>
      </c>
      <c r="K2921" s="2" t="s">
        <v>723</v>
      </c>
      <c r="L2921" s="3">
        <v>42.85</v>
      </c>
      <c r="M2921" s="3">
        <v>44.99</v>
      </c>
      <c r="N2921" s="3">
        <v>89.99</v>
      </c>
      <c r="O2921" s="2" t="s">
        <v>243</v>
      </c>
      <c r="P2921" s="2" t="s">
        <v>236</v>
      </c>
      <c r="Q2921" s="2" t="s">
        <v>237</v>
      </c>
      <c r="R2921" s="2" t="s">
        <v>231</v>
      </c>
      <c r="S2921" s="2" t="s">
        <v>12280</v>
      </c>
      <c r="T2921" s="2" t="s">
        <v>3671</v>
      </c>
      <c r="U2921" s="2" t="s">
        <v>835</v>
      </c>
      <c r="V2921" s="2" t="s">
        <v>239</v>
      </c>
      <c r="W2921" s="2" t="s">
        <v>273</v>
      </c>
      <c r="X2921" s="2" t="s">
        <v>231</v>
      </c>
      <c r="Y2921" s="2" t="s">
        <v>3308</v>
      </c>
      <c r="Z2921" s="4">
        <v>359</v>
      </c>
      <c r="AA2921" s="4">
        <f>=ROUNDDOWN(25.6428571428571,0)</f>
      </c>
      <c r="AB2921" s="5">
        <v>14</v>
      </c>
      <c r="AC2921" s="2" t="s">
        <v>231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231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231</v>
      </c>
      <c r="AW2921" s="8" t="s">
        <v>231</v>
      </c>
      <c r="AX2921" s="4" t="s">
        <v>231</v>
      </c>
      <c r="AY2921" s="8" t="s">
        <v>231</v>
      </c>
      <c r="AZ2921" s="7" t="s">
        <v>231</v>
      </c>
      <c r="BA2921" s="7" t="s">
        <v>231</v>
      </c>
      <c r="BB2921" s="7"/>
      <c r="BC2921" s="4" t="s">
        <v>231</v>
      </c>
      <c r="BD2921" s="8" t="s">
        <v>231</v>
      </c>
      <c r="BE2921" s="4" t="s">
        <v>231</v>
      </c>
      <c r="BF2921" s="8" t="s">
        <v>231</v>
      </c>
      <c r="BG2921" s="7" t="s">
        <v>231</v>
      </c>
      <c r="BH2921" s="7" t="s">
        <v>231</v>
      </c>
      <c r="BI2921" s="7"/>
      <c r="BJ2921" s="4">
        <v>1</v>
      </c>
      <c r="BK2921" s="8">
        <v>44.99</v>
      </c>
      <c r="BL2921" s="2" t="s">
        <v>628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12283</v>
      </c>
      <c r="BV2921" s="2" t="s">
        <v>231</v>
      </c>
      <c r="BW2921" s="2" t="s">
        <v>231</v>
      </c>
      <c r="BX2921" s="2" t="s">
        <v>241</v>
      </c>
      <c r="BY2921" s="2" t="s">
        <v>277</v>
      </c>
      <c r="BZ2921" s="2" t="s">
        <v>243</v>
      </c>
      <c r="CA2921" s="2" t="s">
        <v>3213</v>
      </c>
      <c r="CB2921" s="2" t="s">
        <v>231</v>
      </c>
      <c r="CC2921" s="2" t="s">
        <v>244</v>
      </c>
      <c r="CD2921" s="2" t="s">
        <v>231</v>
      </c>
      <c r="CE2921" s="4">
        <v>335</v>
      </c>
      <c r="CF2921" s="4"/>
      <c r="CG2921" s="4"/>
      <c r="CH2921" s="4"/>
      <c r="CI2921" s="4"/>
      <c r="CJ2921" s="4"/>
      <c r="CK2921" s="4"/>
      <c r="CL2921" s="4">
        <v>24</v>
      </c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4"/>
      <c r="CX2921" s="4"/>
      <c r="CY2921" s="4"/>
      <c r="CZ2921" s="4"/>
      <c r="DA2921" s="4"/>
      <c r="DB2921" s="4"/>
      <c r="DC2921" s="4"/>
      <c r="DD2921" s="4"/>
      <c r="DE2921" s="4"/>
      <c r="DF2921" s="4"/>
      <c r="DG2921" s="4"/>
      <c r="DH2921" s="4"/>
      <c r="DI2921" s="4"/>
      <c r="DJ2921" s="4"/>
      <c r="DK2921" s="4"/>
      <c r="DL2921" s="4"/>
      <c r="DM2921" s="4"/>
      <c r="DN2921" s="4"/>
      <c r="DO2921" s="4"/>
      <c r="DP2921" s="4"/>
      <c r="DQ2921" s="4"/>
      <c r="DR2921" s="4"/>
      <c r="DS2921" s="4"/>
      <c r="DT2921" s="4"/>
      <c r="DU2921" s="4"/>
      <c r="DV2921" s="4"/>
      <c r="DW2921" s="4"/>
      <c r="DX2921" s="4"/>
      <c r="DY2921" s="4"/>
      <c r="DZ2921" s="4"/>
      <c r="EA2921" s="4"/>
      <c r="EB2921" s="4"/>
      <c r="EC2921" s="4"/>
      <c r="ED2921" s="4"/>
      <c r="EE2921" s="4"/>
      <c r="EF2921" s="4"/>
      <c r="EG2921" s="4"/>
      <c r="EH2921" s="4"/>
      <c r="EI2921" s="4"/>
      <c r="EJ2921" s="4"/>
      <c r="EK2921" s="4"/>
      <c r="EL2921" s="4"/>
      <c r="EM2921" s="4"/>
      <c r="EN2921" s="4"/>
      <c r="EO2921" s="4"/>
      <c r="EP2921" s="4"/>
      <c r="EQ2921" s="4"/>
      <c r="ER2921" s="4"/>
      <c r="ES2921" s="4"/>
      <c r="ET2921" s="4"/>
      <c r="EU2921" s="4"/>
      <c r="EV2921" s="4"/>
      <c r="EW2921" s="4"/>
      <c r="EX2921" s="4"/>
      <c r="EY2921" s="4"/>
      <c r="EZ2921" s="4"/>
      <c r="FA2921" s="4"/>
      <c r="FB2921" s="4"/>
      <c r="FC2921" s="4"/>
      <c r="FD2921" s="4"/>
      <c r="FE2921" s="4"/>
      <c r="FF2921" s="4"/>
      <c r="FG2921" s="4"/>
      <c r="FH2921" s="4"/>
      <c r="FI2921" s="4"/>
      <c r="FJ2921" s="4"/>
      <c r="FK2921" s="4"/>
      <c r="FL2921" s="4"/>
      <c r="FM2921" s="4"/>
      <c r="FN2921" s="4"/>
      <c r="FO2921" s="4"/>
      <c r="FP2921" s="4"/>
      <c r="FQ2921" s="4"/>
      <c r="FR2921" s="4"/>
      <c r="FS2921" s="4"/>
      <c r="FT2921" s="4"/>
      <c r="FU2921" s="4"/>
      <c r="FV2921" s="4"/>
      <c r="FW2921" s="4"/>
      <c r="FX2921" s="4"/>
      <c r="FY2921" s="4"/>
      <c r="FZ2921" s="4"/>
      <c r="GA2921" s="4"/>
      <c r="GB2921" s="4"/>
      <c r="GC2921" s="4"/>
      <c r="GD2921" s="4"/>
      <c r="GE2921" s="4"/>
      <c r="GF2921" s="4"/>
      <c r="GG2921" s="4"/>
      <c r="GH2921" s="4"/>
      <c r="GI2921" s="4"/>
      <c r="GJ2921" s="4"/>
      <c r="GK2921" s="4"/>
      <c r="GL2921" s="4"/>
      <c r="GM2921" s="4"/>
      <c r="GN2921" s="4"/>
      <c r="GO2921" s="4"/>
      <c r="GP2921" s="4"/>
      <c r="GQ2921" s="4"/>
      <c r="GR2921" s="4"/>
      <c r="GS2921" s="4"/>
      <c r="GT2921" s="4"/>
      <c r="GU2921" s="4"/>
      <c r="GV2921" s="4"/>
      <c r="GW2921" s="4"/>
      <c r="GX2921" s="4"/>
      <c r="GY2921" s="4"/>
      <c r="GZ2921" s="4"/>
      <c r="HA2921" s="4"/>
      <c r="HB2921" s="4"/>
      <c r="HC2921" s="4"/>
      <c r="HD2921" s="4"/>
      <c r="HE2921" s="4"/>
      <c r="HF2921" s="4"/>
      <c r="HG2921" s="4"/>
      <c r="HH2921" s="4"/>
      <c r="HI2921" s="4"/>
      <c r="HJ2921" s="4"/>
      <c r="HK2921" s="4"/>
      <c r="HL2921" s="4"/>
    </row>
    <row r="2922">
      <c r="A2922" s="2" t="s">
        <v>12284</v>
      </c>
      <c r="B2922" s="2" t="s">
        <v>226</v>
      </c>
      <c r="C2922" s="2" t="s">
        <v>825</v>
      </c>
      <c r="D2922" s="2" t="s">
        <v>654</v>
      </c>
      <c r="E2922" s="2" t="s">
        <v>890</v>
      </c>
      <c r="F2922" s="2" t="s">
        <v>12267</v>
      </c>
      <c r="G2922" s="2" t="s">
        <v>12267</v>
      </c>
      <c r="H2922" s="2" t="s">
        <v>12267</v>
      </c>
      <c r="I2922" s="2" t="s">
        <v>12272</v>
      </c>
      <c r="J2922" s="2" t="s">
        <v>302</v>
      </c>
      <c r="K2922" s="2" t="s">
        <v>723</v>
      </c>
      <c r="L2922" s="3">
        <v>47.61</v>
      </c>
      <c r="M2922" s="3">
        <v>49.99</v>
      </c>
      <c r="N2922" s="3">
        <v>99.99</v>
      </c>
      <c r="O2922" s="2" t="s">
        <v>243</v>
      </c>
      <c r="P2922" s="2" t="s">
        <v>236</v>
      </c>
      <c r="Q2922" s="2" t="s">
        <v>237</v>
      </c>
      <c r="R2922" s="2" t="s">
        <v>231</v>
      </c>
      <c r="S2922" s="2" t="s">
        <v>12280</v>
      </c>
      <c r="T2922" s="2" t="s">
        <v>3671</v>
      </c>
      <c r="U2922" s="2" t="s">
        <v>835</v>
      </c>
      <c r="V2922" s="2" t="s">
        <v>239</v>
      </c>
      <c r="W2922" s="2" t="s">
        <v>273</v>
      </c>
      <c r="X2922" s="2" t="s">
        <v>231</v>
      </c>
      <c r="Y2922" s="2" t="s">
        <v>2447</v>
      </c>
      <c r="Z2922" s="4">
        <v>176</v>
      </c>
      <c r="AA2922" s="4">
        <f>=ROUNDDOWN(25.1428571428571,0)</f>
      </c>
      <c r="AB2922" s="5">
        <v>7</v>
      </c>
      <c r="AC2922" s="2" t="s">
        <v>231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231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231</v>
      </c>
      <c r="AW2922" s="8" t="s">
        <v>231</v>
      </c>
      <c r="AX2922" s="4" t="s">
        <v>231</v>
      </c>
      <c r="AY2922" s="8" t="s">
        <v>231</v>
      </c>
      <c r="AZ2922" s="7" t="s">
        <v>231</v>
      </c>
      <c r="BA2922" s="7" t="s">
        <v>231</v>
      </c>
      <c r="BB2922" s="7"/>
      <c r="BC2922" s="4" t="s">
        <v>231</v>
      </c>
      <c r="BD2922" s="8" t="s">
        <v>231</v>
      </c>
      <c r="BE2922" s="4" t="s">
        <v>231</v>
      </c>
      <c r="BF2922" s="8" t="s">
        <v>231</v>
      </c>
      <c r="BG2922" s="7" t="s">
        <v>231</v>
      </c>
      <c r="BH2922" s="7" t="s">
        <v>231</v>
      </c>
      <c r="BI2922" s="7"/>
      <c r="BJ2922" s="4">
        <v>4</v>
      </c>
      <c r="BK2922" s="8">
        <v>241.96</v>
      </c>
      <c r="BL2922" s="2" t="s">
        <v>7586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12285</v>
      </c>
      <c r="BV2922" s="2" t="s">
        <v>231</v>
      </c>
      <c r="BW2922" s="2" t="s">
        <v>231</v>
      </c>
      <c r="BX2922" s="2" t="s">
        <v>241</v>
      </c>
      <c r="BY2922" s="2" t="s">
        <v>277</v>
      </c>
      <c r="BZ2922" s="2" t="s">
        <v>243</v>
      </c>
      <c r="CA2922" s="2" t="s">
        <v>3213</v>
      </c>
      <c r="CB2922" s="2" t="s">
        <v>231</v>
      </c>
      <c r="CC2922" s="2" t="s">
        <v>244</v>
      </c>
      <c r="CD2922" s="2" t="s">
        <v>231</v>
      </c>
      <c r="CE2922" s="4">
        <v>86</v>
      </c>
      <c r="CF2922" s="4"/>
      <c r="CG2922" s="4"/>
      <c r="CH2922" s="4"/>
      <c r="CI2922" s="4"/>
      <c r="CJ2922" s="4"/>
      <c r="CK2922" s="4"/>
      <c r="CL2922" s="4">
        <v>90</v>
      </c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4"/>
      <c r="CX2922" s="4"/>
      <c r="CY2922" s="4"/>
      <c r="CZ2922" s="4"/>
      <c r="DA2922" s="4"/>
      <c r="DB2922" s="4"/>
      <c r="DC2922" s="4"/>
      <c r="DD2922" s="4"/>
      <c r="DE2922" s="4"/>
      <c r="DF2922" s="4"/>
      <c r="DG2922" s="4"/>
      <c r="DH2922" s="4"/>
      <c r="DI2922" s="4"/>
      <c r="DJ2922" s="4"/>
      <c r="DK2922" s="4"/>
      <c r="DL2922" s="4"/>
      <c r="DM2922" s="4"/>
      <c r="DN2922" s="4"/>
      <c r="DO2922" s="4"/>
      <c r="DP2922" s="4"/>
      <c r="DQ2922" s="4"/>
      <c r="DR2922" s="4"/>
      <c r="DS2922" s="4"/>
      <c r="DT2922" s="4"/>
      <c r="DU2922" s="4"/>
      <c r="DV2922" s="4"/>
      <c r="DW2922" s="4"/>
      <c r="DX2922" s="4"/>
      <c r="DY2922" s="4"/>
      <c r="DZ2922" s="4"/>
      <c r="EA2922" s="4"/>
      <c r="EB2922" s="4"/>
      <c r="EC2922" s="4"/>
      <c r="ED2922" s="4"/>
      <c r="EE2922" s="4"/>
      <c r="EF2922" s="4"/>
      <c r="EG2922" s="4"/>
      <c r="EH2922" s="4"/>
      <c r="EI2922" s="4"/>
      <c r="EJ2922" s="4"/>
      <c r="EK2922" s="4"/>
      <c r="EL2922" s="4"/>
      <c r="EM2922" s="4"/>
      <c r="EN2922" s="4"/>
      <c r="EO2922" s="4"/>
      <c r="EP2922" s="4"/>
      <c r="EQ2922" s="4"/>
      <c r="ER2922" s="4"/>
      <c r="ES2922" s="4"/>
      <c r="ET2922" s="4"/>
      <c r="EU2922" s="4"/>
      <c r="EV2922" s="4"/>
      <c r="EW2922" s="4"/>
      <c r="EX2922" s="4"/>
      <c r="EY2922" s="4"/>
      <c r="EZ2922" s="4"/>
      <c r="FA2922" s="4"/>
      <c r="FB2922" s="4"/>
      <c r="FC2922" s="4"/>
      <c r="FD2922" s="4"/>
      <c r="FE2922" s="4"/>
      <c r="FF2922" s="4"/>
      <c r="FG2922" s="4"/>
      <c r="FH2922" s="4"/>
      <c r="FI2922" s="4"/>
      <c r="FJ2922" s="4"/>
      <c r="FK2922" s="4"/>
      <c r="FL2922" s="4"/>
      <c r="FM2922" s="4"/>
      <c r="FN2922" s="4"/>
      <c r="FO2922" s="4"/>
      <c r="FP2922" s="4"/>
      <c r="FQ2922" s="4"/>
      <c r="FR2922" s="4"/>
      <c r="FS2922" s="4"/>
      <c r="FT2922" s="4"/>
      <c r="FU2922" s="4"/>
      <c r="FV2922" s="4"/>
      <c r="FW2922" s="4"/>
      <c r="FX2922" s="4"/>
      <c r="FY2922" s="4"/>
      <c r="FZ2922" s="4"/>
      <c r="GA2922" s="4"/>
      <c r="GB2922" s="4"/>
      <c r="GC2922" s="4"/>
      <c r="GD2922" s="4"/>
      <c r="GE2922" s="4"/>
      <c r="GF2922" s="4"/>
      <c r="GG2922" s="4"/>
      <c r="GH2922" s="4"/>
      <c r="GI2922" s="4"/>
      <c r="GJ2922" s="4"/>
      <c r="GK2922" s="4"/>
      <c r="GL2922" s="4"/>
      <c r="GM2922" s="4"/>
      <c r="GN2922" s="4"/>
      <c r="GO2922" s="4"/>
      <c r="GP2922" s="4"/>
      <c r="GQ2922" s="4"/>
      <c r="GR2922" s="4"/>
      <c r="GS2922" s="4"/>
      <c r="GT2922" s="4"/>
      <c r="GU2922" s="4"/>
      <c r="GV2922" s="4"/>
      <c r="GW2922" s="4"/>
      <c r="GX2922" s="4"/>
      <c r="GY2922" s="4"/>
      <c r="GZ2922" s="4"/>
      <c r="HA2922" s="4"/>
      <c r="HB2922" s="4"/>
      <c r="HC2922" s="4"/>
      <c r="HD2922" s="4"/>
      <c r="HE2922" s="4"/>
      <c r="HF2922" s="4"/>
      <c r="HG2922" s="4"/>
      <c r="HH2922" s="4"/>
      <c r="HI2922" s="4"/>
      <c r="HJ2922" s="4"/>
      <c r="HK2922" s="4"/>
      <c r="HL2922" s="4"/>
    </row>
    <row r="2923">
      <c r="A2923" s="2" t="s">
        <v>12286</v>
      </c>
      <c r="B2923" s="2" t="s">
        <v>1186</v>
      </c>
      <c r="C2923" s="2" t="s">
        <v>802</v>
      </c>
      <c r="D2923" s="2" t="s">
        <v>1462</v>
      </c>
      <c r="E2923" s="2" t="s">
        <v>2563</v>
      </c>
      <c r="F2923" s="2" t="s">
        <v>12287</v>
      </c>
      <c r="G2923" s="2" t="s">
        <v>12287</v>
      </c>
      <c r="H2923" s="2" t="s">
        <v>231</v>
      </c>
      <c r="I2923" s="2" t="s">
        <v>12288</v>
      </c>
      <c r="J2923" s="2" t="s">
        <v>293</v>
      </c>
      <c r="K2923" s="2" t="s">
        <v>8019</v>
      </c>
      <c r="L2923" s="3">
        <v>73.15</v>
      </c>
      <c r="M2923" s="3">
        <v>76.81</v>
      </c>
      <c r="N2923" s="3">
        <v>209</v>
      </c>
      <c r="O2923" s="2" t="s">
        <v>243</v>
      </c>
      <c r="P2923" s="2" t="s">
        <v>270</v>
      </c>
      <c r="Q2923" s="2" t="s">
        <v>237</v>
      </c>
      <c r="R2923" s="2" t="s">
        <v>231</v>
      </c>
      <c r="S2923" s="2" t="s">
        <v>12289</v>
      </c>
      <c r="T2923" s="2" t="s">
        <v>231</v>
      </c>
      <c r="U2923" s="2" t="s">
        <v>835</v>
      </c>
      <c r="V2923" s="2" t="s">
        <v>239</v>
      </c>
      <c r="W2923" s="2" t="s">
        <v>792</v>
      </c>
      <c r="X2923" s="2" t="s">
        <v>1268</v>
      </c>
      <c r="Y2923" s="2" t="s">
        <v>6440</v>
      </c>
      <c r="Z2923" s="4">
        <v>83</v>
      </c>
      <c r="AA2923" s="4">
        <f>=ROUNDDOWN(20.75,0)</f>
      </c>
      <c r="AB2923" s="5">
        <v>4</v>
      </c>
      <c r="AC2923" s="2" t="s">
        <v>231</v>
      </c>
      <c r="AD2923" s="4"/>
      <c r="AE2923" s="4"/>
      <c r="AF2923" s="6">
        <v>67</v>
      </c>
      <c r="AG2923" s="6"/>
      <c r="AH2923" s="7">
        <v>1</v>
      </c>
      <c r="AI2923" s="4"/>
      <c r="AJ2923" s="4">
        <f>=ROUNDDOWN({0},0)</f>
      </c>
      <c r="AK2923" s="5"/>
      <c r="AL2923" s="2" t="s">
        <v>231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/>
      <c r="AW2923" s="8"/>
      <c r="AX2923" s="4"/>
      <c r="AY2923" s="8"/>
      <c r="AZ2923" s="7"/>
      <c r="BA2923" s="7"/>
      <c r="BB2923" s="7"/>
      <c r="BC2923" s="4"/>
      <c r="BD2923" s="8"/>
      <c r="BE2923" s="4"/>
      <c r="BF2923" s="8"/>
      <c r="BG2923" s="7"/>
      <c r="BH2923" s="7"/>
      <c r="BI2923" s="7"/>
      <c r="BJ2923" s="4">
        <v>45</v>
      </c>
      <c r="BK2923" s="8">
        <v>3254.23</v>
      </c>
      <c r="BL2923" s="2" t="s">
        <v>12290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12291</v>
      </c>
      <c r="BV2923" s="2" t="s">
        <v>231</v>
      </c>
      <c r="BW2923" s="2" t="s">
        <v>231</v>
      </c>
      <c r="BX2923" s="2" t="s">
        <v>231</v>
      </c>
      <c r="BY2923" s="2" t="s">
        <v>277</v>
      </c>
      <c r="BZ2923" s="2" t="s">
        <v>243</v>
      </c>
      <c r="CA2923" s="2" t="s">
        <v>2052</v>
      </c>
      <c r="CB2923" s="2" t="s">
        <v>9582</v>
      </c>
      <c r="CC2923" s="2" t="s">
        <v>244</v>
      </c>
      <c r="CD2923" s="2" t="s">
        <v>231</v>
      </c>
      <c r="CE2923" s="4">
        <v>83</v>
      </c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4"/>
      <c r="CX2923" s="4"/>
      <c r="CY2923" s="4"/>
      <c r="CZ2923" s="4"/>
      <c r="DA2923" s="4"/>
      <c r="DB2923" s="4"/>
      <c r="DC2923" s="4"/>
      <c r="DD2923" s="4"/>
      <c r="DE2923" s="4"/>
      <c r="DF2923" s="4"/>
      <c r="DG2923" s="4"/>
      <c r="DH2923" s="4"/>
      <c r="DI2923" s="4"/>
      <c r="DJ2923" s="4"/>
      <c r="DK2923" s="4"/>
      <c r="DL2923" s="4"/>
      <c r="DM2923" s="4"/>
      <c r="DN2923" s="4"/>
      <c r="DO2923" s="4"/>
      <c r="DP2923" s="4"/>
      <c r="DQ2923" s="4"/>
      <c r="DR2923" s="4"/>
      <c r="DS2923" s="4"/>
      <c r="DT2923" s="4"/>
      <c r="DU2923" s="4"/>
      <c r="DV2923" s="4"/>
      <c r="DW2923" s="4"/>
      <c r="DX2923" s="4"/>
      <c r="DY2923" s="4"/>
      <c r="DZ2923" s="4"/>
      <c r="EA2923" s="4"/>
      <c r="EB2923" s="4"/>
      <c r="EC2923" s="4"/>
      <c r="ED2923" s="4"/>
      <c r="EE2923" s="4"/>
      <c r="EF2923" s="4"/>
      <c r="EG2923" s="4"/>
      <c r="EH2923" s="4"/>
      <c r="EI2923" s="4"/>
      <c r="EJ2923" s="4"/>
      <c r="EK2923" s="4"/>
      <c r="EL2923" s="4"/>
      <c r="EM2923" s="4"/>
      <c r="EN2923" s="4"/>
      <c r="EO2923" s="4"/>
      <c r="EP2923" s="4"/>
      <c r="EQ2923" s="4"/>
      <c r="ER2923" s="4"/>
      <c r="ES2923" s="4"/>
      <c r="ET2923" s="4"/>
      <c r="EU2923" s="4"/>
      <c r="EV2923" s="4"/>
      <c r="EW2923" s="4"/>
      <c r="EX2923" s="4"/>
      <c r="EY2923" s="4"/>
      <c r="EZ2923" s="4"/>
      <c r="FA2923" s="4"/>
      <c r="FB2923" s="4"/>
      <c r="FC2923" s="4"/>
      <c r="FD2923" s="4"/>
      <c r="FE2923" s="4"/>
      <c r="FF2923" s="4"/>
      <c r="FG2923" s="4"/>
      <c r="FH2923" s="4"/>
      <c r="FI2923" s="4"/>
      <c r="FJ2923" s="4"/>
      <c r="FK2923" s="4"/>
      <c r="FL2923" s="4"/>
      <c r="FM2923" s="4"/>
      <c r="FN2923" s="4"/>
      <c r="FO2923" s="4"/>
      <c r="FP2923" s="4"/>
      <c r="FQ2923" s="4"/>
      <c r="FR2923" s="4"/>
      <c r="FS2923" s="4"/>
      <c r="FT2923" s="4"/>
      <c r="FU2923" s="4"/>
      <c r="FV2923" s="4"/>
      <c r="FW2923" s="4"/>
      <c r="FX2923" s="4"/>
      <c r="FY2923" s="4"/>
      <c r="FZ2923" s="4"/>
      <c r="GA2923" s="4"/>
      <c r="GB2923" s="4"/>
      <c r="GC2923" s="4"/>
      <c r="GD2923" s="4"/>
      <c r="GE2923" s="4"/>
      <c r="GF2923" s="4"/>
      <c r="GG2923" s="4"/>
      <c r="GH2923" s="4"/>
      <c r="GI2923" s="4"/>
      <c r="GJ2923" s="4"/>
      <c r="GK2923" s="4"/>
      <c r="GL2923" s="4"/>
      <c r="GM2923" s="4"/>
      <c r="GN2923" s="4"/>
      <c r="GO2923" s="4"/>
      <c r="GP2923" s="4"/>
      <c r="GQ2923" s="4"/>
      <c r="GR2923" s="4"/>
      <c r="GS2923" s="4"/>
      <c r="GT2923" s="4"/>
      <c r="GU2923" s="4"/>
      <c r="GV2923" s="4"/>
      <c r="GW2923" s="4"/>
      <c r="GX2923" s="4"/>
      <c r="GY2923" s="4"/>
      <c r="GZ2923" s="4"/>
      <c r="HA2923" s="4"/>
      <c r="HB2923" s="4"/>
      <c r="HC2923" s="4"/>
      <c r="HD2923" s="4"/>
      <c r="HE2923" s="4"/>
      <c r="HF2923" s="4"/>
      <c r="HG2923" s="4"/>
      <c r="HH2923" s="4"/>
      <c r="HI2923" s="4"/>
      <c r="HJ2923" s="4"/>
      <c r="HK2923" s="4"/>
      <c r="HL2923" s="4"/>
    </row>
    <row r="2924">
      <c r="A2924" s="2" t="s">
        <v>12292</v>
      </c>
      <c r="B2924" s="2" t="s">
        <v>1186</v>
      </c>
      <c r="C2924" s="2" t="s">
        <v>1980</v>
      </c>
      <c r="D2924" s="2" t="s">
        <v>1462</v>
      </c>
      <c r="E2924" s="2" t="s">
        <v>2563</v>
      </c>
      <c r="F2924" s="2" t="s">
        <v>12293</v>
      </c>
      <c r="G2924" s="2" t="s">
        <v>12293</v>
      </c>
      <c r="H2924" s="2" t="s">
        <v>12293</v>
      </c>
      <c r="I2924" s="2" t="s">
        <v>12294</v>
      </c>
      <c r="J2924" s="2" t="s">
        <v>293</v>
      </c>
      <c r="K2924" s="2" t="s">
        <v>2081</v>
      </c>
      <c r="L2924" s="3">
        <v>85.12</v>
      </c>
      <c r="M2924" s="3">
        <v>89.38</v>
      </c>
      <c r="N2924" s="3">
        <v>249.99</v>
      </c>
      <c r="O2924" s="2" t="s">
        <v>243</v>
      </c>
      <c r="P2924" s="2" t="s">
        <v>270</v>
      </c>
      <c r="Q2924" s="2" t="s">
        <v>237</v>
      </c>
      <c r="R2924" s="2" t="s">
        <v>231</v>
      </c>
      <c r="S2924" s="2" t="s">
        <v>231</v>
      </c>
      <c r="T2924" s="2" t="s">
        <v>231</v>
      </c>
      <c r="U2924" s="2" t="s">
        <v>835</v>
      </c>
      <c r="V2924" s="2" t="s">
        <v>239</v>
      </c>
      <c r="W2924" s="2" t="s">
        <v>676</v>
      </c>
      <c r="X2924" s="2" t="s">
        <v>231</v>
      </c>
      <c r="Y2924" s="2" t="s">
        <v>2373</v>
      </c>
      <c r="Z2924" s="4"/>
      <c r="AA2924" s="4">
        <f>=ROUNDDOWN({0},0)</f>
      </c>
      <c r="AB2924" s="5">
        <v>1</v>
      </c>
      <c r="AC2924" s="2" t="s">
        <v>730</v>
      </c>
      <c r="AD2924" s="4">
        <v>130</v>
      </c>
      <c r="AE2924" s="4">
        <v>130</v>
      </c>
      <c r="AF2924" s="6">
        <v>65</v>
      </c>
      <c r="AG2924" s="6"/>
      <c r="AH2924" s="7">
        <v>0</v>
      </c>
      <c r="AI2924" s="4"/>
      <c r="AJ2924" s="4">
        <f>=ROUNDDOWN({0},0)</f>
      </c>
      <c r="AK2924" s="5"/>
      <c r="AL2924" s="2" t="s">
        <v>231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/>
      <c r="AW2924" s="8"/>
      <c r="AX2924" s="4"/>
      <c r="AY2924" s="8"/>
      <c r="AZ2924" s="7"/>
      <c r="BA2924" s="7"/>
      <c r="BB2924" s="7"/>
      <c r="BC2924" s="4"/>
      <c r="BD2924" s="8"/>
      <c r="BE2924" s="4"/>
      <c r="BF2924" s="8"/>
      <c r="BG2924" s="7"/>
      <c r="BH2924" s="7"/>
      <c r="BI2924" s="7"/>
      <c r="BJ2924" s="4"/>
      <c r="BK2924" s="8"/>
      <c r="BL2924" s="2" t="s">
        <v>11308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12295</v>
      </c>
      <c r="BV2924" s="2" t="s">
        <v>231</v>
      </c>
      <c r="BW2924" s="2" t="s">
        <v>231</v>
      </c>
      <c r="BX2924" s="2" t="s">
        <v>231</v>
      </c>
      <c r="BY2924" s="2" t="s">
        <v>277</v>
      </c>
      <c r="BZ2924" s="2" t="s">
        <v>243</v>
      </c>
      <c r="CA2924" s="2" t="s">
        <v>6006</v>
      </c>
      <c r="CB2924" s="2" t="s">
        <v>2515</v>
      </c>
      <c r="CC2924" s="2" t="s">
        <v>244</v>
      </c>
      <c r="CD2924" s="2" t="s">
        <v>231</v>
      </c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4"/>
      <c r="CX2924" s="4"/>
      <c r="CY2924" s="4"/>
      <c r="CZ2924" s="4"/>
      <c r="DA2924" s="4"/>
      <c r="DB2924" s="4"/>
      <c r="DC2924" s="4"/>
      <c r="DD2924" s="4"/>
      <c r="DE2924" s="4"/>
      <c r="DF2924" s="4"/>
      <c r="DG2924" s="4"/>
      <c r="DH2924" s="4"/>
      <c r="DI2924" s="4"/>
      <c r="DJ2924" s="4"/>
      <c r="DK2924" s="4"/>
      <c r="DL2924" s="4"/>
      <c r="DM2924" s="4"/>
      <c r="DN2924" s="4"/>
      <c r="DO2924" s="4"/>
      <c r="DP2924" s="4"/>
      <c r="DQ2924" s="4"/>
      <c r="DR2924" s="4"/>
      <c r="DS2924" s="4"/>
      <c r="DT2924" s="4"/>
      <c r="DU2924" s="4"/>
      <c r="DV2924" s="4"/>
      <c r="DW2924" s="4"/>
      <c r="DX2924" s="4"/>
      <c r="DY2924" s="4"/>
      <c r="DZ2924" s="4">
        <v>130</v>
      </c>
      <c r="EA2924" s="4"/>
      <c r="EB2924" s="4"/>
      <c r="EC2924" s="4"/>
      <c r="ED2924" s="4"/>
      <c r="EE2924" s="4"/>
      <c r="EF2924" s="4"/>
      <c r="EG2924" s="4"/>
      <c r="EH2924" s="4"/>
      <c r="EI2924" s="4"/>
      <c r="EJ2924" s="4"/>
      <c r="EK2924" s="4"/>
      <c r="EL2924" s="4"/>
      <c r="EM2924" s="4"/>
      <c r="EN2924" s="4"/>
      <c r="EO2924" s="4"/>
      <c r="EP2924" s="4"/>
      <c r="EQ2924" s="4"/>
      <c r="ER2924" s="4"/>
      <c r="ES2924" s="4"/>
      <c r="ET2924" s="4"/>
      <c r="EU2924" s="4"/>
      <c r="EV2924" s="4"/>
      <c r="EW2924" s="4"/>
      <c r="EX2924" s="4"/>
      <c r="EY2924" s="4"/>
      <c r="EZ2924" s="4"/>
      <c r="FA2924" s="4"/>
      <c r="FB2924" s="4"/>
      <c r="FC2924" s="4"/>
      <c r="FD2924" s="4"/>
      <c r="FE2924" s="4"/>
      <c r="FF2924" s="4"/>
      <c r="FG2924" s="4"/>
      <c r="FH2924" s="4"/>
      <c r="FI2924" s="4"/>
      <c r="FJ2924" s="4"/>
      <c r="FK2924" s="4"/>
      <c r="FL2924" s="4"/>
      <c r="FM2924" s="4"/>
      <c r="FN2924" s="4"/>
      <c r="FO2924" s="4"/>
      <c r="FP2924" s="4"/>
      <c r="FQ2924" s="4"/>
      <c r="FR2924" s="4"/>
      <c r="FS2924" s="4"/>
      <c r="FT2924" s="4"/>
      <c r="FU2924" s="4"/>
      <c r="FV2924" s="4"/>
      <c r="FW2924" s="4"/>
      <c r="FX2924" s="4"/>
      <c r="FY2924" s="4"/>
      <c r="FZ2924" s="4"/>
      <c r="GA2924" s="4"/>
      <c r="GB2924" s="4"/>
      <c r="GC2924" s="4"/>
      <c r="GD2924" s="4"/>
      <c r="GE2924" s="4"/>
      <c r="GF2924" s="4"/>
      <c r="GG2924" s="4"/>
      <c r="GH2924" s="4"/>
      <c r="GI2924" s="4"/>
      <c r="GJ2924" s="4"/>
      <c r="GK2924" s="4"/>
      <c r="GL2924" s="4"/>
      <c r="GM2924" s="4"/>
      <c r="GN2924" s="4"/>
      <c r="GO2924" s="4"/>
      <c r="GP2924" s="4"/>
      <c r="GQ2924" s="4"/>
      <c r="GR2924" s="4"/>
      <c r="GS2924" s="4"/>
      <c r="GT2924" s="4"/>
      <c r="GU2924" s="4"/>
      <c r="GV2924" s="4"/>
      <c r="GW2924" s="4"/>
      <c r="GX2924" s="4"/>
      <c r="GY2924" s="4"/>
      <c r="GZ2924" s="4"/>
      <c r="HA2924" s="4"/>
      <c r="HB2924" s="4"/>
      <c r="HC2924" s="4"/>
      <c r="HD2924" s="4"/>
      <c r="HE2924" s="4"/>
      <c r="HF2924" s="4"/>
      <c r="HG2924" s="4"/>
      <c r="HH2924" s="4"/>
      <c r="HI2924" s="4"/>
      <c r="HJ2924" s="4"/>
      <c r="HK2924" s="4"/>
      <c r="HL2924" s="4"/>
    </row>
    <row r="2925">
      <c r="A2925" s="2" t="s">
        <v>12296</v>
      </c>
      <c r="B2925" s="2" t="s">
        <v>1004</v>
      </c>
      <c r="C2925" s="2" t="s">
        <v>653</v>
      </c>
      <c r="D2925" s="2" t="s">
        <v>12297</v>
      </c>
      <c r="E2925" s="2" t="s">
        <v>12298</v>
      </c>
      <c r="F2925" s="2" t="s">
        <v>8095</v>
      </c>
      <c r="G2925" s="2" t="s">
        <v>8095</v>
      </c>
      <c r="H2925" s="2" t="s">
        <v>8095</v>
      </c>
      <c r="I2925" s="2" t="s">
        <v>12299</v>
      </c>
      <c r="J2925" s="2" t="s">
        <v>807</v>
      </c>
      <c r="K2925" s="2" t="s">
        <v>12300</v>
      </c>
      <c r="L2925" s="3">
        <v>362.09</v>
      </c>
      <c r="M2925" s="3">
        <v>380.19</v>
      </c>
      <c r="N2925" s="3">
        <v>759</v>
      </c>
      <c r="O2925" s="2" t="s">
        <v>243</v>
      </c>
      <c r="P2925" s="2" t="s">
        <v>1332</v>
      </c>
      <c r="Q2925" s="2" t="s">
        <v>237</v>
      </c>
      <c r="R2925" s="2" t="s">
        <v>231</v>
      </c>
      <c r="S2925" s="2" t="s">
        <v>12301</v>
      </c>
      <c r="T2925" s="2" t="s">
        <v>231</v>
      </c>
      <c r="U2925" s="2" t="s">
        <v>231</v>
      </c>
      <c r="V2925" s="2" t="s">
        <v>239</v>
      </c>
      <c r="W2925" s="2" t="s">
        <v>792</v>
      </c>
      <c r="X2925" s="2" t="s">
        <v>231</v>
      </c>
      <c r="Y2925" s="2" t="s">
        <v>12302</v>
      </c>
      <c r="Z2925" s="4">
        <v>348</v>
      </c>
      <c r="AA2925" s="4">
        <f>=ROUNDDOWN(12.4285714285714,0)</f>
      </c>
      <c r="AB2925" s="5">
        <v>28</v>
      </c>
      <c r="AC2925" s="2" t="s">
        <v>3548</v>
      </c>
      <c r="AD2925" s="4">
        <v>250</v>
      </c>
      <c r="AE2925" s="4">
        <v>946</v>
      </c>
      <c r="AF2925" s="6">
        <v>74</v>
      </c>
      <c r="AG2925" s="6">
        <v>60</v>
      </c>
      <c r="AH2925" s="7">
        <v>1</v>
      </c>
      <c r="AI2925" s="4"/>
      <c r="AJ2925" s="4">
        <f>=ROUNDDOWN({0},0)</f>
      </c>
      <c r="AK2925" s="5"/>
      <c r="AL2925" s="2" t="s">
        <v>231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/>
      <c r="AW2925" s="8"/>
      <c r="AX2925" s="4"/>
      <c r="AY2925" s="8"/>
      <c r="AZ2925" s="7"/>
      <c r="BA2925" s="7"/>
      <c r="BB2925" s="7"/>
      <c r="BC2925" s="4"/>
      <c r="BD2925" s="8"/>
      <c r="BE2925" s="4"/>
      <c r="BF2925" s="8"/>
      <c r="BG2925" s="7"/>
      <c r="BH2925" s="7"/>
      <c r="BI2925" s="7"/>
      <c r="BJ2925" s="4">
        <v>97</v>
      </c>
      <c r="BK2925" s="8">
        <v>32898.39</v>
      </c>
      <c r="BL2925" s="2" t="s">
        <v>12303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12304</v>
      </c>
      <c r="BV2925" s="2" t="s">
        <v>231</v>
      </c>
      <c r="BW2925" s="2" t="s">
        <v>231</v>
      </c>
      <c r="BX2925" s="2" t="s">
        <v>1812</v>
      </c>
      <c r="BY2925" s="2" t="s">
        <v>277</v>
      </c>
      <c r="BZ2925" s="2" t="s">
        <v>243</v>
      </c>
      <c r="CA2925" s="2" t="s">
        <v>12305</v>
      </c>
      <c r="CB2925" s="2" t="s">
        <v>6442</v>
      </c>
      <c r="CC2925" s="2" t="s">
        <v>244</v>
      </c>
      <c r="CD2925" s="2" t="s">
        <v>231</v>
      </c>
      <c r="CE2925" s="4"/>
      <c r="CF2925" s="4">
        <v>281</v>
      </c>
      <c r="CG2925" s="4"/>
      <c r="CH2925" s="4"/>
      <c r="CI2925" s="4">
        <v>67</v>
      </c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4"/>
      <c r="CX2925" s="4"/>
      <c r="CY2925" s="4"/>
      <c r="CZ2925" s="4"/>
      <c r="DA2925" s="4"/>
      <c r="DB2925" s="4"/>
      <c r="DC2925" s="4"/>
      <c r="DD2925" s="4"/>
      <c r="DE2925" s="4"/>
      <c r="DF2925" s="4">
        <v>250</v>
      </c>
      <c r="DG2925" s="4"/>
      <c r="DH2925" s="4"/>
      <c r="DI2925" s="4"/>
      <c r="DJ2925" s="4"/>
      <c r="DK2925" s="4">
        <v>48</v>
      </c>
      <c r="DL2925" s="4"/>
      <c r="DM2925" s="4"/>
      <c r="DN2925" s="4"/>
      <c r="DO2925" s="4"/>
      <c r="DP2925" s="4"/>
      <c r="DQ2925" s="4"/>
      <c r="DR2925" s="4"/>
      <c r="DS2925" s="4"/>
      <c r="DT2925" s="4"/>
      <c r="DU2925" s="4"/>
      <c r="DV2925" s="4"/>
      <c r="DW2925" s="4"/>
      <c r="DX2925" s="4"/>
      <c r="DY2925" s="4"/>
      <c r="DZ2925" s="4"/>
      <c r="EA2925" s="4"/>
      <c r="EB2925" s="4"/>
      <c r="EC2925" s="4"/>
      <c r="ED2925" s="4"/>
      <c r="EE2925" s="4"/>
      <c r="EF2925" s="4"/>
      <c r="EG2925" s="4"/>
      <c r="EH2925" s="4"/>
      <c r="EI2925" s="4"/>
      <c r="EJ2925" s="4"/>
      <c r="EK2925" s="4"/>
      <c r="EL2925" s="4"/>
      <c r="EM2925" s="4"/>
      <c r="EN2925" s="4"/>
      <c r="EO2925" s="4"/>
      <c r="EP2925" s="4"/>
      <c r="EQ2925" s="4"/>
      <c r="ER2925" s="4"/>
      <c r="ES2925" s="4"/>
      <c r="ET2925" s="4"/>
      <c r="EU2925" s="4"/>
      <c r="EV2925" s="4"/>
      <c r="EW2925" s="4"/>
      <c r="EX2925" s="4">
        <v>378</v>
      </c>
      <c r="EY2925" s="4"/>
      <c r="EZ2925" s="4"/>
      <c r="FA2925" s="4"/>
      <c r="FB2925" s="4"/>
      <c r="FC2925" s="4"/>
      <c r="FD2925" s="4"/>
      <c r="FE2925" s="4"/>
      <c r="FF2925" s="4"/>
      <c r="FG2925" s="4"/>
      <c r="FH2925" s="4"/>
      <c r="FI2925" s="4"/>
      <c r="FJ2925" s="4"/>
      <c r="FK2925" s="4"/>
      <c r="FL2925" s="4"/>
      <c r="FM2925" s="4"/>
      <c r="FN2925" s="4"/>
      <c r="FO2925" s="4"/>
      <c r="FP2925" s="4"/>
      <c r="FQ2925" s="4"/>
      <c r="FR2925" s="4"/>
      <c r="FS2925" s="4"/>
      <c r="FT2925" s="4"/>
      <c r="FU2925" s="4"/>
      <c r="FV2925" s="4"/>
      <c r="FW2925" s="4"/>
      <c r="FX2925" s="4"/>
      <c r="FY2925" s="4"/>
      <c r="FZ2925" s="4"/>
      <c r="GA2925" s="4"/>
      <c r="GB2925" s="4"/>
      <c r="GC2925" s="4"/>
      <c r="GD2925" s="4"/>
      <c r="GE2925" s="4"/>
      <c r="GF2925" s="4"/>
      <c r="GG2925" s="4">
        <v>270</v>
      </c>
      <c r="GH2925" s="4"/>
      <c r="GI2925" s="4"/>
      <c r="GJ2925" s="4"/>
      <c r="GK2925" s="4"/>
      <c r="GL2925" s="4"/>
      <c r="GM2925" s="4"/>
      <c r="GN2925" s="4"/>
      <c r="GO2925" s="4"/>
      <c r="GP2925" s="4"/>
      <c r="GQ2925" s="4"/>
      <c r="GR2925" s="4"/>
      <c r="GS2925" s="4"/>
      <c r="GT2925" s="4"/>
      <c r="GU2925" s="4"/>
      <c r="GV2925" s="4"/>
      <c r="GW2925" s="4"/>
      <c r="GX2925" s="4"/>
      <c r="GY2925" s="4"/>
      <c r="GZ2925" s="4"/>
      <c r="HA2925" s="4"/>
      <c r="HB2925" s="4"/>
      <c r="HC2925" s="4"/>
      <c r="HD2925" s="4"/>
      <c r="HE2925" s="4"/>
      <c r="HF2925" s="4"/>
      <c r="HG2925" s="4"/>
      <c r="HH2925" s="4"/>
      <c r="HI2925" s="4"/>
      <c r="HJ2925" s="4"/>
      <c r="HK2925" s="4"/>
      <c r="HL2925" s="4"/>
    </row>
    <row r="2926">
      <c r="A2926" s="2" t="s">
        <v>12306</v>
      </c>
      <c r="B2926" s="2" t="s">
        <v>992</v>
      </c>
      <c r="C2926" s="2" t="s">
        <v>1439</v>
      </c>
      <c r="D2926" s="2" t="s">
        <v>993</v>
      </c>
      <c r="E2926" s="2" t="s">
        <v>994</v>
      </c>
      <c r="F2926" s="2" t="s">
        <v>12307</v>
      </c>
      <c r="G2926" s="2" t="s">
        <v>2329</v>
      </c>
      <c r="H2926" s="2" t="s">
        <v>12308</v>
      </c>
      <c r="I2926" s="2" t="s">
        <v>12309</v>
      </c>
      <c r="J2926" s="2" t="s">
        <v>1586</v>
      </c>
      <c r="K2926" s="2" t="s">
        <v>306</v>
      </c>
      <c r="L2926" s="3">
        <v>22.5</v>
      </c>
      <c r="M2926" s="3">
        <v>23.62</v>
      </c>
      <c r="N2926" s="3">
        <v>49.99</v>
      </c>
      <c r="O2926" s="2" t="s">
        <v>243</v>
      </c>
      <c r="P2926" s="2" t="s">
        <v>270</v>
      </c>
      <c r="Q2926" s="2" t="s">
        <v>237</v>
      </c>
      <c r="R2926" s="2" t="s">
        <v>231</v>
      </c>
      <c r="S2926" s="2" t="s">
        <v>12310</v>
      </c>
      <c r="T2926" s="2" t="s">
        <v>231</v>
      </c>
      <c r="U2926" s="2" t="s">
        <v>231</v>
      </c>
      <c r="V2926" s="2" t="s">
        <v>1685</v>
      </c>
      <c r="W2926" s="2" t="s">
        <v>691</v>
      </c>
      <c r="X2926" s="2" t="s">
        <v>998</v>
      </c>
      <c r="Y2926" s="2" t="s">
        <v>4186</v>
      </c>
      <c r="Z2926" s="4">
        <v>280</v>
      </c>
      <c r="AA2926" s="4">
        <f>=ROUNDDOWN(33.7349397590361,0)</f>
      </c>
      <c r="AB2926" s="5">
        <v>8.3</v>
      </c>
      <c r="AC2926" s="2" t="s">
        <v>3693</v>
      </c>
      <c r="AD2926" s="4">
        <v>276</v>
      </c>
      <c r="AE2926" s="4">
        <v>276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231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/>
      <c r="AW2926" s="8"/>
      <c r="AX2926" s="4"/>
      <c r="AY2926" s="8"/>
      <c r="AZ2926" s="7"/>
      <c r="BA2926" s="7"/>
      <c r="BB2926" s="7"/>
      <c r="BC2926" s="4"/>
      <c r="BD2926" s="8"/>
      <c r="BE2926" s="4"/>
      <c r="BF2926" s="8"/>
      <c r="BG2926" s="7"/>
      <c r="BH2926" s="7"/>
      <c r="BI2926" s="7"/>
      <c r="BJ2926" s="4">
        <v>37</v>
      </c>
      <c r="BK2926" s="8">
        <v>705.31</v>
      </c>
      <c r="BL2926" s="2" t="s">
        <v>12311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12312</v>
      </c>
      <c r="BV2926" s="2" t="s">
        <v>231</v>
      </c>
      <c r="BW2926" s="2" t="s">
        <v>231</v>
      </c>
      <c r="BX2926" s="2" t="s">
        <v>231</v>
      </c>
      <c r="BY2926" s="2" t="s">
        <v>277</v>
      </c>
      <c r="BZ2926" s="2" t="s">
        <v>243</v>
      </c>
      <c r="CA2926" s="2" t="s">
        <v>4567</v>
      </c>
      <c r="CB2926" s="2" t="s">
        <v>11969</v>
      </c>
      <c r="CC2926" s="2" t="s">
        <v>244</v>
      </c>
      <c r="CD2926" s="2" t="s">
        <v>231</v>
      </c>
      <c r="CE2926" s="4">
        <v>280</v>
      </c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4"/>
      <c r="CX2926" s="4"/>
      <c r="CY2926" s="4"/>
      <c r="CZ2926" s="4">
        <v>276</v>
      </c>
      <c r="DA2926" s="4"/>
      <c r="DB2926" s="4"/>
      <c r="DC2926" s="4"/>
      <c r="DD2926" s="4"/>
      <c r="DE2926" s="4"/>
      <c r="DF2926" s="4"/>
      <c r="DG2926" s="4"/>
      <c r="DH2926" s="4"/>
      <c r="DI2926" s="4"/>
      <c r="DJ2926" s="4"/>
      <c r="DK2926" s="4"/>
      <c r="DL2926" s="4"/>
      <c r="DM2926" s="4"/>
      <c r="DN2926" s="4"/>
      <c r="DO2926" s="4"/>
      <c r="DP2926" s="4"/>
      <c r="DQ2926" s="4"/>
      <c r="DR2926" s="4"/>
      <c r="DS2926" s="4"/>
      <c r="DT2926" s="4"/>
      <c r="DU2926" s="4"/>
      <c r="DV2926" s="4"/>
      <c r="DW2926" s="4"/>
      <c r="DX2926" s="4"/>
      <c r="DY2926" s="4"/>
      <c r="DZ2926" s="4"/>
      <c r="EA2926" s="4"/>
      <c r="EB2926" s="4"/>
      <c r="EC2926" s="4"/>
      <c r="ED2926" s="4"/>
      <c r="EE2926" s="4"/>
      <c r="EF2926" s="4"/>
      <c r="EG2926" s="4"/>
      <c r="EH2926" s="4"/>
      <c r="EI2926" s="4"/>
      <c r="EJ2926" s="4"/>
      <c r="EK2926" s="4"/>
      <c r="EL2926" s="4"/>
      <c r="EM2926" s="4"/>
      <c r="EN2926" s="4"/>
      <c r="EO2926" s="4"/>
      <c r="EP2926" s="4"/>
      <c r="EQ2926" s="4"/>
      <c r="ER2926" s="4"/>
      <c r="ES2926" s="4"/>
      <c r="ET2926" s="4"/>
      <c r="EU2926" s="4"/>
      <c r="EV2926" s="4"/>
      <c r="EW2926" s="4"/>
      <c r="EX2926" s="4"/>
      <c r="EY2926" s="4"/>
      <c r="EZ2926" s="4"/>
      <c r="FA2926" s="4"/>
      <c r="FB2926" s="4"/>
      <c r="FC2926" s="4"/>
      <c r="FD2926" s="4"/>
      <c r="FE2926" s="4"/>
      <c r="FF2926" s="4"/>
      <c r="FG2926" s="4"/>
      <c r="FH2926" s="4"/>
      <c r="FI2926" s="4"/>
      <c r="FJ2926" s="4"/>
      <c r="FK2926" s="4"/>
      <c r="FL2926" s="4"/>
      <c r="FM2926" s="4"/>
      <c r="FN2926" s="4"/>
      <c r="FO2926" s="4"/>
      <c r="FP2926" s="4"/>
      <c r="FQ2926" s="4"/>
      <c r="FR2926" s="4"/>
      <c r="FS2926" s="4"/>
      <c r="FT2926" s="4"/>
      <c r="FU2926" s="4"/>
      <c r="FV2926" s="4"/>
      <c r="FW2926" s="4"/>
      <c r="FX2926" s="4"/>
      <c r="FY2926" s="4"/>
      <c r="FZ2926" s="4"/>
      <c r="GA2926" s="4"/>
      <c r="GB2926" s="4"/>
      <c r="GC2926" s="4"/>
      <c r="GD2926" s="4"/>
      <c r="GE2926" s="4"/>
      <c r="GF2926" s="4"/>
      <c r="GG2926" s="4"/>
      <c r="GH2926" s="4"/>
      <c r="GI2926" s="4"/>
      <c r="GJ2926" s="4"/>
      <c r="GK2926" s="4"/>
      <c r="GL2926" s="4"/>
      <c r="GM2926" s="4"/>
      <c r="GN2926" s="4"/>
      <c r="GO2926" s="4"/>
      <c r="GP2926" s="4"/>
      <c r="GQ2926" s="4"/>
      <c r="GR2926" s="4"/>
      <c r="GS2926" s="4"/>
      <c r="GT2926" s="4"/>
      <c r="GU2926" s="4"/>
      <c r="GV2926" s="4"/>
      <c r="GW2926" s="4"/>
      <c r="GX2926" s="4"/>
      <c r="GY2926" s="4"/>
      <c r="GZ2926" s="4"/>
      <c r="HA2926" s="4"/>
      <c r="HB2926" s="4"/>
      <c r="HC2926" s="4"/>
      <c r="HD2926" s="4"/>
      <c r="HE2926" s="4"/>
      <c r="HF2926" s="4"/>
      <c r="HG2926" s="4"/>
      <c r="HH2926" s="4"/>
      <c r="HI2926" s="4"/>
      <c r="HJ2926" s="4"/>
      <c r="HK2926" s="4"/>
      <c r="HL2926" s="4"/>
    </row>
    <row r="2927">
      <c r="A2927" s="2" t="s">
        <v>12313</v>
      </c>
      <c r="B2927" s="2" t="s">
        <v>1186</v>
      </c>
      <c r="C2927" s="2" t="s">
        <v>2371</v>
      </c>
      <c r="D2927" s="2" t="s">
        <v>826</v>
      </c>
      <c r="E2927" s="2" t="s">
        <v>827</v>
      </c>
      <c r="F2927" s="2" t="s">
        <v>12314</v>
      </c>
      <c r="G2927" s="2" t="s">
        <v>12314</v>
      </c>
      <c r="H2927" s="2" t="s">
        <v>12314</v>
      </c>
      <c r="I2927" s="2" t="s">
        <v>12315</v>
      </c>
      <c r="J2927" s="2" t="s">
        <v>658</v>
      </c>
      <c r="K2927" s="2" t="s">
        <v>12316</v>
      </c>
      <c r="L2927" s="3">
        <v>102.14</v>
      </c>
      <c r="M2927" s="3">
        <v>107.25</v>
      </c>
      <c r="N2927" s="3">
        <v>299.99</v>
      </c>
      <c r="O2927" s="2" t="s">
        <v>243</v>
      </c>
      <c r="P2927" s="2" t="s">
        <v>341</v>
      </c>
      <c r="Q2927" s="2" t="s">
        <v>237</v>
      </c>
      <c r="R2927" s="2" t="s">
        <v>231</v>
      </c>
      <c r="S2927" s="2" t="s">
        <v>231</v>
      </c>
      <c r="T2927" s="2" t="s">
        <v>10789</v>
      </c>
      <c r="U2927" s="2" t="s">
        <v>231</v>
      </c>
      <c r="V2927" s="2" t="s">
        <v>239</v>
      </c>
      <c r="W2927" s="2" t="s">
        <v>691</v>
      </c>
      <c r="X2927" s="2" t="s">
        <v>231</v>
      </c>
      <c r="Y2927" s="2" t="s">
        <v>3133</v>
      </c>
      <c r="Z2927" s="4">
        <v>67</v>
      </c>
      <c r="AA2927" s="4">
        <f>=ROUNDDOWN(67,0)</f>
      </c>
      <c r="AB2927" s="5">
        <v>1</v>
      </c>
      <c r="AC2927" s="2" t="s">
        <v>231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231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/>
      <c r="AW2927" s="8"/>
      <c r="AX2927" s="4"/>
      <c r="AY2927" s="8"/>
      <c r="AZ2927" s="7"/>
      <c r="BA2927" s="7"/>
      <c r="BB2927" s="7"/>
      <c r="BC2927" s="4"/>
      <c r="BD2927" s="8"/>
      <c r="BE2927" s="4"/>
      <c r="BF2927" s="8"/>
      <c r="BG2927" s="7"/>
      <c r="BH2927" s="7"/>
      <c r="BI2927" s="7"/>
      <c r="BJ2927" s="4">
        <v>11</v>
      </c>
      <c r="BK2927" s="8">
        <v>660.66</v>
      </c>
      <c r="BL2927" s="2" t="s">
        <v>1423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12317</v>
      </c>
      <c r="BV2927" s="2" t="s">
        <v>231</v>
      </c>
      <c r="BW2927" s="2" t="s">
        <v>231</v>
      </c>
      <c r="BX2927" s="2" t="s">
        <v>231</v>
      </c>
      <c r="BY2927" s="2" t="s">
        <v>277</v>
      </c>
      <c r="BZ2927" s="2" t="s">
        <v>243</v>
      </c>
      <c r="CA2927" s="2" t="s">
        <v>1620</v>
      </c>
      <c r="CB2927" s="2" t="s">
        <v>5872</v>
      </c>
      <c r="CC2927" s="2" t="s">
        <v>244</v>
      </c>
      <c r="CD2927" s="2" t="s">
        <v>231</v>
      </c>
      <c r="CE2927" s="4">
        <v>67</v>
      </c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4"/>
      <c r="CX2927" s="4"/>
      <c r="CY2927" s="4"/>
      <c r="CZ2927" s="4"/>
      <c r="DA2927" s="4"/>
      <c r="DB2927" s="4"/>
      <c r="DC2927" s="4"/>
      <c r="DD2927" s="4"/>
      <c r="DE2927" s="4"/>
      <c r="DF2927" s="4"/>
      <c r="DG2927" s="4"/>
      <c r="DH2927" s="4"/>
      <c r="DI2927" s="4"/>
      <c r="DJ2927" s="4"/>
      <c r="DK2927" s="4"/>
      <c r="DL2927" s="4"/>
      <c r="DM2927" s="4"/>
      <c r="DN2927" s="4"/>
      <c r="DO2927" s="4"/>
      <c r="DP2927" s="4"/>
      <c r="DQ2927" s="4"/>
      <c r="DR2927" s="4"/>
      <c r="DS2927" s="4"/>
      <c r="DT2927" s="4"/>
      <c r="DU2927" s="4"/>
      <c r="DV2927" s="4"/>
      <c r="DW2927" s="4"/>
      <c r="DX2927" s="4"/>
      <c r="DY2927" s="4"/>
      <c r="DZ2927" s="4"/>
      <c r="EA2927" s="4"/>
      <c r="EB2927" s="4"/>
      <c r="EC2927" s="4"/>
      <c r="ED2927" s="4"/>
      <c r="EE2927" s="4"/>
      <c r="EF2927" s="4"/>
      <c r="EG2927" s="4"/>
      <c r="EH2927" s="4"/>
      <c r="EI2927" s="4"/>
      <c r="EJ2927" s="4"/>
      <c r="EK2927" s="4"/>
      <c r="EL2927" s="4"/>
      <c r="EM2927" s="4"/>
      <c r="EN2927" s="4"/>
      <c r="EO2927" s="4"/>
      <c r="EP2927" s="4"/>
      <c r="EQ2927" s="4"/>
      <c r="ER2927" s="4"/>
      <c r="ES2927" s="4"/>
      <c r="ET2927" s="4"/>
      <c r="EU2927" s="4"/>
      <c r="EV2927" s="4"/>
      <c r="EW2927" s="4"/>
      <c r="EX2927" s="4"/>
      <c r="EY2927" s="4"/>
      <c r="EZ2927" s="4"/>
      <c r="FA2927" s="4"/>
      <c r="FB2927" s="4"/>
      <c r="FC2927" s="4"/>
      <c r="FD2927" s="4"/>
      <c r="FE2927" s="4"/>
      <c r="FF2927" s="4"/>
      <c r="FG2927" s="4"/>
      <c r="FH2927" s="4"/>
      <c r="FI2927" s="4"/>
      <c r="FJ2927" s="4"/>
      <c r="FK2927" s="4"/>
      <c r="FL2927" s="4"/>
      <c r="FM2927" s="4"/>
      <c r="FN2927" s="4"/>
      <c r="FO2927" s="4"/>
      <c r="FP2927" s="4"/>
      <c r="FQ2927" s="4"/>
      <c r="FR2927" s="4"/>
      <c r="FS2927" s="4"/>
      <c r="FT2927" s="4"/>
      <c r="FU2927" s="4"/>
      <c r="FV2927" s="4"/>
      <c r="FW2927" s="4"/>
      <c r="FX2927" s="4"/>
      <c r="FY2927" s="4"/>
      <c r="FZ2927" s="4"/>
      <c r="GA2927" s="4"/>
      <c r="GB2927" s="4"/>
      <c r="GC2927" s="4"/>
      <c r="GD2927" s="4"/>
      <c r="GE2927" s="4"/>
      <c r="GF2927" s="4"/>
      <c r="GG2927" s="4"/>
      <c r="GH2927" s="4"/>
      <c r="GI2927" s="4"/>
      <c r="GJ2927" s="4"/>
      <c r="GK2927" s="4"/>
      <c r="GL2927" s="4"/>
      <c r="GM2927" s="4"/>
      <c r="GN2927" s="4"/>
      <c r="GO2927" s="4"/>
      <c r="GP2927" s="4"/>
      <c r="GQ2927" s="4"/>
      <c r="GR2927" s="4"/>
      <c r="GS2927" s="4"/>
      <c r="GT2927" s="4"/>
      <c r="GU2927" s="4"/>
      <c r="GV2927" s="4"/>
      <c r="GW2927" s="4"/>
      <c r="GX2927" s="4"/>
      <c r="GY2927" s="4"/>
      <c r="GZ2927" s="4"/>
      <c r="HA2927" s="4"/>
      <c r="HB2927" s="4"/>
      <c r="HC2927" s="4"/>
      <c r="HD2927" s="4"/>
      <c r="HE2927" s="4"/>
      <c r="HF2927" s="4"/>
      <c r="HG2927" s="4"/>
      <c r="HH2927" s="4"/>
      <c r="HI2927" s="4"/>
      <c r="HJ2927" s="4"/>
      <c r="HK2927" s="4"/>
      <c r="HL2927" s="4"/>
    </row>
    <row r="2928">
      <c r="A2928" s="2" t="s">
        <v>12318</v>
      </c>
      <c r="B2928" s="2" t="s">
        <v>1186</v>
      </c>
      <c r="C2928" s="2" t="s">
        <v>288</v>
      </c>
      <c r="D2928" s="2" t="s">
        <v>1462</v>
      </c>
      <c r="E2928" s="2" t="s">
        <v>1463</v>
      </c>
      <c r="F2928" s="2" t="s">
        <v>12319</v>
      </c>
      <c r="G2928" s="2" t="s">
        <v>12320</v>
      </c>
      <c r="H2928" s="2" t="s">
        <v>12321</v>
      </c>
      <c r="I2928" s="2" t="s">
        <v>12322</v>
      </c>
      <c r="J2928" s="2" t="s">
        <v>658</v>
      </c>
      <c r="K2928" s="2" t="s">
        <v>12323</v>
      </c>
      <c r="L2928" s="3">
        <v>43.2</v>
      </c>
      <c r="M2928" s="3">
        <v>45.35</v>
      </c>
      <c r="N2928" s="3">
        <v>89.99</v>
      </c>
      <c r="O2928" s="2" t="s">
        <v>243</v>
      </c>
      <c r="P2928" s="2" t="s">
        <v>270</v>
      </c>
      <c r="Q2928" s="2" t="s">
        <v>237</v>
      </c>
      <c r="R2928" s="2" t="s">
        <v>231</v>
      </c>
      <c r="S2928" s="2" t="s">
        <v>12324</v>
      </c>
      <c r="T2928" s="2" t="s">
        <v>362</v>
      </c>
      <c r="U2928" s="2" t="s">
        <v>835</v>
      </c>
      <c r="V2928" s="2" t="s">
        <v>1828</v>
      </c>
      <c r="W2928" s="2" t="s">
        <v>2541</v>
      </c>
      <c r="X2928" s="2" t="s">
        <v>8680</v>
      </c>
      <c r="Y2928" s="2" t="s">
        <v>704</v>
      </c>
      <c r="Z2928" s="4">
        <v>205</v>
      </c>
      <c r="AA2928" s="4">
        <f>=ROUNDDOWN(29.2857142857143,0)</f>
      </c>
      <c r="AB2928" s="5">
        <v>7</v>
      </c>
      <c r="AC2928" s="2" t="s">
        <v>231</v>
      </c>
      <c r="AD2928" s="4"/>
      <c r="AE2928" s="4"/>
      <c r="AF2928" s="6">
        <v>69</v>
      </c>
      <c r="AG2928" s="6"/>
      <c r="AH2928" s="7">
        <v>1</v>
      </c>
      <c r="AI2928" s="4"/>
      <c r="AJ2928" s="4">
        <f>=ROUNDDOWN({0},0)</f>
      </c>
      <c r="AK2928" s="5"/>
      <c r="AL2928" s="2" t="s">
        <v>231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231</v>
      </c>
      <c r="AW2928" s="8" t="s">
        <v>231</v>
      </c>
      <c r="AX2928" s="4" t="s">
        <v>231</v>
      </c>
      <c r="AY2928" s="8" t="s">
        <v>231</v>
      </c>
      <c r="AZ2928" s="7" t="s">
        <v>231</v>
      </c>
      <c r="BA2928" s="7" t="s">
        <v>231</v>
      </c>
      <c r="BB2928" s="7" t="s">
        <v>231</v>
      </c>
      <c r="BC2928" s="4" t="s">
        <v>231</v>
      </c>
      <c r="BD2928" s="8" t="s">
        <v>231</v>
      </c>
      <c r="BE2928" s="4" t="s">
        <v>231</v>
      </c>
      <c r="BF2928" s="8" t="s">
        <v>231</v>
      </c>
      <c r="BG2928" s="7" t="s">
        <v>231</v>
      </c>
      <c r="BH2928" s="7" t="s">
        <v>231</v>
      </c>
      <c r="BI2928" s="7"/>
      <c r="BJ2928" s="4">
        <v>33</v>
      </c>
      <c r="BK2928" s="8">
        <v>1554.01</v>
      </c>
      <c r="BL2928" s="2" t="s">
        <v>12325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12326</v>
      </c>
      <c r="BV2928" s="2" t="s">
        <v>231</v>
      </c>
      <c r="BW2928" s="2" t="s">
        <v>231</v>
      </c>
      <c r="BX2928" s="2" t="s">
        <v>231</v>
      </c>
      <c r="BY2928" s="2" t="s">
        <v>277</v>
      </c>
      <c r="BZ2928" s="2" t="s">
        <v>243</v>
      </c>
      <c r="CA2928" s="2" t="s">
        <v>704</v>
      </c>
      <c r="CB2928" s="2" t="s">
        <v>12327</v>
      </c>
      <c r="CC2928" s="2" t="s">
        <v>244</v>
      </c>
      <c r="CD2928" s="2" t="s">
        <v>231</v>
      </c>
      <c r="CE2928" s="4">
        <v>205</v>
      </c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4"/>
      <c r="CX2928" s="4"/>
      <c r="CY2928" s="4"/>
      <c r="CZ2928" s="4"/>
      <c r="DA2928" s="4"/>
      <c r="DB2928" s="4"/>
      <c r="DC2928" s="4"/>
      <c r="DD2928" s="4"/>
      <c r="DE2928" s="4"/>
      <c r="DF2928" s="4"/>
      <c r="DG2928" s="4"/>
      <c r="DH2928" s="4"/>
      <c r="DI2928" s="4"/>
      <c r="DJ2928" s="4"/>
      <c r="DK2928" s="4"/>
      <c r="DL2928" s="4"/>
      <c r="DM2928" s="4"/>
      <c r="DN2928" s="4"/>
      <c r="DO2928" s="4"/>
      <c r="DP2928" s="4"/>
      <c r="DQ2928" s="4"/>
      <c r="DR2928" s="4"/>
      <c r="DS2928" s="4"/>
      <c r="DT2928" s="4"/>
      <c r="DU2928" s="4"/>
      <c r="DV2928" s="4"/>
      <c r="DW2928" s="4"/>
      <c r="DX2928" s="4"/>
      <c r="DY2928" s="4"/>
      <c r="DZ2928" s="4"/>
      <c r="EA2928" s="4"/>
      <c r="EB2928" s="4"/>
      <c r="EC2928" s="4"/>
      <c r="ED2928" s="4"/>
      <c r="EE2928" s="4"/>
      <c r="EF2928" s="4"/>
      <c r="EG2928" s="4"/>
      <c r="EH2928" s="4"/>
      <c r="EI2928" s="4"/>
      <c r="EJ2928" s="4"/>
      <c r="EK2928" s="4"/>
      <c r="EL2928" s="4"/>
      <c r="EM2928" s="4"/>
      <c r="EN2928" s="4"/>
      <c r="EO2928" s="4"/>
      <c r="EP2928" s="4"/>
      <c r="EQ2928" s="4"/>
      <c r="ER2928" s="4"/>
      <c r="ES2928" s="4"/>
      <c r="ET2928" s="4"/>
      <c r="EU2928" s="4"/>
      <c r="EV2928" s="4"/>
      <c r="EW2928" s="4"/>
      <c r="EX2928" s="4"/>
      <c r="EY2928" s="4"/>
      <c r="EZ2928" s="4"/>
      <c r="FA2928" s="4"/>
      <c r="FB2928" s="4"/>
      <c r="FC2928" s="4"/>
      <c r="FD2928" s="4"/>
      <c r="FE2928" s="4"/>
      <c r="FF2928" s="4"/>
      <c r="FG2928" s="4"/>
      <c r="FH2928" s="4"/>
      <c r="FI2928" s="4"/>
      <c r="FJ2928" s="4"/>
      <c r="FK2928" s="4"/>
      <c r="FL2928" s="4"/>
      <c r="FM2928" s="4"/>
      <c r="FN2928" s="4"/>
      <c r="FO2928" s="4"/>
      <c r="FP2928" s="4"/>
      <c r="FQ2928" s="4"/>
      <c r="FR2928" s="4"/>
      <c r="FS2928" s="4"/>
      <c r="FT2928" s="4"/>
      <c r="FU2928" s="4"/>
      <c r="FV2928" s="4"/>
      <c r="FW2928" s="4"/>
      <c r="FX2928" s="4"/>
      <c r="FY2928" s="4"/>
      <c r="FZ2928" s="4"/>
      <c r="GA2928" s="4"/>
      <c r="GB2928" s="4"/>
      <c r="GC2928" s="4"/>
      <c r="GD2928" s="4"/>
      <c r="GE2928" s="4"/>
      <c r="GF2928" s="4"/>
      <c r="GG2928" s="4"/>
      <c r="GH2928" s="4"/>
      <c r="GI2928" s="4"/>
      <c r="GJ2928" s="4"/>
      <c r="GK2928" s="4"/>
      <c r="GL2928" s="4"/>
      <c r="GM2928" s="4"/>
      <c r="GN2928" s="4"/>
      <c r="GO2928" s="4"/>
      <c r="GP2928" s="4"/>
      <c r="GQ2928" s="4"/>
      <c r="GR2928" s="4"/>
      <c r="GS2928" s="4"/>
      <c r="GT2928" s="4"/>
      <c r="GU2928" s="4"/>
      <c r="GV2928" s="4"/>
      <c r="GW2928" s="4"/>
      <c r="GX2928" s="4"/>
      <c r="GY2928" s="4"/>
      <c r="GZ2928" s="4"/>
      <c r="HA2928" s="4"/>
      <c r="HB2928" s="4"/>
      <c r="HC2928" s="4"/>
      <c r="HD2928" s="4"/>
      <c r="HE2928" s="4"/>
      <c r="HF2928" s="4"/>
      <c r="HG2928" s="4"/>
      <c r="HH2928" s="4"/>
      <c r="HI2928" s="4"/>
      <c r="HJ2928" s="4"/>
      <c r="HK2928" s="4"/>
      <c r="HL2928" s="4"/>
    </row>
    <row r="2929">
      <c r="A2929" s="2" t="s">
        <v>12328</v>
      </c>
      <c r="B2929" s="2" t="s">
        <v>1186</v>
      </c>
      <c r="C2929" s="2" t="s">
        <v>288</v>
      </c>
      <c r="D2929" s="2" t="s">
        <v>826</v>
      </c>
      <c r="E2929" s="2" t="s">
        <v>1060</v>
      </c>
      <c r="F2929" s="2" t="s">
        <v>12319</v>
      </c>
      <c r="G2929" s="2" t="s">
        <v>12320</v>
      </c>
      <c r="H2929" s="2" t="s">
        <v>12321</v>
      </c>
      <c r="I2929" s="2" t="s">
        <v>11157</v>
      </c>
      <c r="J2929" s="2" t="s">
        <v>658</v>
      </c>
      <c r="K2929" s="2" t="s">
        <v>12323</v>
      </c>
      <c r="L2929" s="3">
        <v>53.9</v>
      </c>
      <c r="M2929" s="3">
        <v>56.59</v>
      </c>
      <c r="N2929" s="3">
        <v>109.99</v>
      </c>
      <c r="O2929" s="2" t="s">
        <v>243</v>
      </c>
      <c r="P2929" s="2" t="s">
        <v>270</v>
      </c>
      <c r="Q2929" s="2" t="s">
        <v>237</v>
      </c>
      <c r="R2929" s="2" t="s">
        <v>231</v>
      </c>
      <c r="S2929" s="2" t="s">
        <v>12329</v>
      </c>
      <c r="T2929" s="2" t="s">
        <v>362</v>
      </c>
      <c r="U2929" s="2" t="s">
        <v>835</v>
      </c>
      <c r="V2929" s="2" t="s">
        <v>1828</v>
      </c>
      <c r="W2929" s="2" t="s">
        <v>2541</v>
      </c>
      <c r="X2929" s="2" t="s">
        <v>8680</v>
      </c>
      <c r="Y2929" s="2" t="s">
        <v>704</v>
      </c>
      <c r="Z2929" s="4">
        <v>181</v>
      </c>
      <c r="AA2929" s="4">
        <f>=ROUNDDOWN(25.8571428571429,0)</f>
      </c>
      <c r="AB2929" s="5">
        <v>7</v>
      </c>
      <c r="AC2929" s="2" t="s">
        <v>5730</v>
      </c>
      <c r="AD2929" s="4">
        <v>30</v>
      </c>
      <c r="AE2929" s="4">
        <v>60</v>
      </c>
      <c r="AF2929" s="6">
        <v>69</v>
      </c>
      <c r="AG2929" s="6"/>
      <c r="AH2929" s="7">
        <v>1</v>
      </c>
      <c r="AI2929" s="4"/>
      <c r="AJ2929" s="4">
        <f>=ROUNDDOWN({0},0)</f>
      </c>
      <c r="AK2929" s="5"/>
      <c r="AL2929" s="2" t="s">
        <v>231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231</v>
      </c>
      <c r="AW2929" s="8" t="s">
        <v>231</v>
      </c>
      <c r="AX2929" s="4" t="s">
        <v>231</v>
      </c>
      <c r="AY2929" s="8" t="s">
        <v>231</v>
      </c>
      <c r="AZ2929" s="7" t="s">
        <v>231</v>
      </c>
      <c r="BA2929" s="7" t="s">
        <v>231</v>
      </c>
      <c r="BB2929" s="7" t="s">
        <v>231</v>
      </c>
      <c r="BC2929" s="4" t="s">
        <v>231</v>
      </c>
      <c r="BD2929" s="8" t="s">
        <v>231</v>
      </c>
      <c r="BE2929" s="4" t="s">
        <v>231</v>
      </c>
      <c r="BF2929" s="8" t="s">
        <v>231</v>
      </c>
      <c r="BG2929" s="7" t="s">
        <v>231</v>
      </c>
      <c r="BH2929" s="7" t="s">
        <v>231</v>
      </c>
      <c r="BI2929" s="7"/>
      <c r="BJ2929" s="4">
        <v>24</v>
      </c>
      <c r="BK2929" s="8">
        <v>1393.11</v>
      </c>
      <c r="BL2929" s="2" t="s">
        <v>12330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12331</v>
      </c>
      <c r="BV2929" s="2" t="s">
        <v>231</v>
      </c>
      <c r="BW2929" s="2" t="s">
        <v>231</v>
      </c>
      <c r="BX2929" s="2" t="s">
        <v>231</v>
      </c>
      <c r="BY2929" s="2" t="s">
        <v>277</v>
      </c>
      <c r="BZ2929" s="2" t="s">
        <v>243</v>
      </c>
      <c r="CA2929" s="2" t="s">
        <v>704</v>
      </c>
      <c r="CB2929" s="2" t="s">
        <v>12332</v>
      </c>
      <c r="CC2929" s="2" t="s">
        <v>244</v>
      </c>
      <c r="CD2929" s="2" t="s">
        <v>231</v>
      </c>
      <c r="CE2929" s="4">
        <v>181</v>
      </c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/>
      <c r="DG2929" s="4"/>
      <c r="DH2929" s="4"/>
      <c r="DI2929" s="4"/>
      <c r="DJ2929" s="4"/>
      <c r="DK2929" s="4"/>
      <c r="DL2929" s="4"/>
      <c r="DM2929" s="4"/>
      <c r="DN2929" s="4"/>
      <c r="DO2929" s="4"/>
      <c r="DP2929" s="4"/>
      <c r="DQ2929" s="4"/>
      <c r="DR2929" s="4"/>
      <c r="DS2929" s="4"/>
      <c r="DT2929" s="4"/>
      <c r="DU2929" s="4"/>
      <c r="DV2929" s="4"/>
      <c r="DW2929" s="4"/>
      <c r="DX2929" s="4"/>
      <c r="DY2929" s="4"/>
      <c r="DZ2929" s="4"/>
      <c r="EA2929" s="4"/>
      <c r="EB2929" s="4"/>
      <c r="EC2929" s="4"/>
      <c r="ED2929" s="4">
        <v>30</v>
      </c>
      <c r="EE2929" s="4"/>
      <c r="EF2929" s="4"/>
      <c r="EG2929" s="4"/>
      <c r="EH2929" s="4"/>
      <c r="EI2929" s="4"/>
      <c r="EJ2929" s="4"/>
      <c r="EK2929" s="4"/>
      <c r="EL2929" s="4"/>
      <c r="EM2929" s="4"/>
      <c r="EN2929" s="4">
        <v>30</v>
      </c>
      <c r="EO2929" s="4"/>
      <c r="EP2929" s="4"/>
      <c r="EQ2929" s="4"/>
      <c r="ER2929" s="4"/>
      <c r="ES2929" s="4"/>
      <c r="ET2929" s="4"/>
      <c r="EU2929" s="4"/>
      <c r="EV2929" s="4"/>
      <c r="EW2929" s="4"/>
      <c r="EX2929" s="4"/>
      <c r="EY2929" s="4"/>
      <c r="EZ2929" s="4"/>
      <c r="FA2929" s="4"/>
      <c r="FB2929" s="4"/>
      <c r="FC2929" s="4"/>
      <c r="FD2929" s="4"/>
      <c r="FE2929" s="4"/>
      <c r="FF2929" s="4"/>
      <c r="FG2929" s="4"/>
      <c r="FH2929" s="4"/>
      <c r="FI2929" s="4"/>
      <c r="FJ2929" s="4"/>
      <c r="FK2929" s="4"/>
      <c r="FL2929" s="4"/>
      <c r="FM2929" s="4"/>
      <c r="FN2929" s="4"/>
      <c r="FO2929" s="4"/>
      <c r="FP2929" s="4"/>
      <c r="FQ2929" s="4"/>
      <c r="FR2929" s="4"/>
      <c r="FS2929" s="4"/>
      <c r="FT2929" s="4"/>
      <c r="FU2929" s="4"/>
      <c r="FV2929" s="4"/>
      <c r="FW2929" s="4"/>
      <c r="FX2929" s="4"/>
      <c r="FY2929" s="4"/>
      <c r="FZ2929" s="4"/>
      <c r="GA2929" s="4"/>
      <c r="GB2929" s="4"/>
      <c r="GC2929" s="4"/>
      <c r="GD2929" s="4"/>
      <c r="GE2929" s="4"/>
      <c r="GF2929" s="4"/>
      <c r="GG2929" s="4"/>
      <c r="GH2929" s="4"/>
      <c r="GI2929" s="4"/>
      <c r="GJ2929" s="4"/>
      <c r="GK2929" s="4"/>
      <c r="GL2929" s="4"/>
      <c r="GM2929" s="4"/>
      <c r="GN2929" s="4"/>
      <c r="GO2929" s="4"/>
      <c r="GP2929" s="4"/>
      <c r="GQ2929" s="4"/>
      <c r="GR2929" s="4"/>
      <c r="GS2929" s="4"/>
      <c r="GT2929" s="4"/>
      <c r="GU2929" s="4"/>
      <c r="GV2929" s="4"/>
      <c r="GW2929" s="4"/>
      <c r="GX2929" s="4"/>
      <c r="GY2929" s="4"/>
      <c r="GZ2929" s="4"/>
      <c r="HA2929" s="4"/>
      <c r="HB2929" s="4"/>
      <c r="HC2929" s="4"/>
      <c r="HD2929" s="4"/>
      <c r="HE2929" s="4"/>
      <c r="HF2929" s="4"/>
      <c r="HG2929" s="4"/>
      <c r="HH2929" s="4"/>
      <c r="HI2929" s="4"/>
      <c r="HJ2929" s="4"/>
      <c r="HK2929" s="4"/>
      <c r="HL2929" s="4"/>
    </row>
    <row r="2930">
      <c r="A2930" s="2" t="s">
        <v>12333</v>
      </c>
      <c r="B2930" s="2" t="s">
        <v>992</v>
      </c>
      <c r="C2930" s="2" t="s">
        <v>1017</v>
      </c>
      <c r="D2930" s="2" t="s">
        <v>993</v>
      </c>
      <c r="E2930" s="2" t="s">
        <v>1157</v>
      </c>
      <c r="F2930" s="2" t="s">
        <v>7900</v>
      </c>
      <c r="G2930" s="2" t="s">
        <v>7900</v>
      </c>
      <c r="H2930" s="2" t="s">
        <v>7900</v>
      </c>
      <c r="I2930" s="2" t="s">
        <v>12334</v>
      </c>
      <c r="J2930" s="2" t="s">
        <v>3395</v>
      </c>
      <c r="K2930" s="2" t="s">
        <v>8713</v>
      </c>
      <c r="L2930" s="3">
        <v>30</v>
      </c>
      <c r="M2930" s="3">
        <v>31.5</v>
      </c>
      <c r="N2930" s="3">
        <v>59.99</v>
      </c>
      <c r="O2930" s="2" t="s">
        <v>235</v>
      </c>
      <c r="P2930" s="2" t="s">
        <v>1019</v>
      </c>
      <c r="Q2930" s="2" t="s">
        <v>237</v>
      </c>
      <c r="R2930" s="2" t="s">
        <v>1020</v>
      </c>
      <c r="S2930" s="2" t="s">
        <v>231</v>
      </c>
      <c r="T2930" s="2" t="s">
        <v>231</v>
      </c>
      <c r="U2930" s="2" t="s">
        <v>791</v>
      </c>
      <c r="V2930" s="2" t="s">
        <v>662</v>
      </c>
      <c r="W2930" s="2" t="s">
        <v>231</v>
      </c>
      <c r="X2930" s="2" t="s">
        <v>231</v>
      </c>
      <c r="Y2930" s="2" t="s">
        <v>3440</v>
      </c>
      <c r="Z2930" s="4">
        <v>774</v>
      </c>
      <c r="AA2930" s="4">
        <f>=ROUNDDOWN({0},0)</f>
      </c>
      <c r="AB2930" s="5"/>
      <c r="AC2930" s="2" t="s">
        <v>231</v>
      </c>
      <c r="AD2930" s="4"/>
      <c r="AE2930" s="4"/>
      <c r="AF2930" s="6">
        <v>64</v>
      </c>
      <c r="AG2930" s="6"/>
      <c r="AH2930" s="7">
        <v>1</v>
      </c>
      <c r="AI2930" s="4"/>
      <c r="AJ2930" s="4">
        <f>=ROUNDDOWN({0},0)</f>
      </c>
      <c r="AK2930" s="5"/>
      <c r="AL2930" s="2" t="s">
        <v>231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231</v>
      </c>
      <c r="AW2930" s="8" t="s">
        <v>231</v>
      </c>
      <c r="AX2930" s="4" t="s">
        <v>231</v>
      </c>
      <c r="AY2930" s="8" t="s">
        <v>231</v>
      </c>
      <c r="AZ2930" s="7" t="s">
        <v>231</v>
      </c>
      <c r="BA2930" s="7" t="s">
        <v>231</v>
      </c>
      <c r="BB2930" s="7"/>
      <c r="BC2930" s="4" t="s">
        <v>231</v>
      </c>
      <c r="BD2930" s="8" t="s">
        <v>231</v>
      </c>
      <c r="BE2930" s="4" t="s">
        <v>231</v>
      </c>
      <c r="BF2930" s="8" t="s">
        <v>231</v>
      </c>
      <c r="BG2930" s="7" t="s">
        <v>231</v>
      </c>
      <c r="BH2930" s="7" t="s">
        <v>231</v>
      </c>
      <c r="BI2930" s="7"/>
      <c r="BJ2930" s="4"/>
      <c r="BK2930" s="8"/>
      <c r="BL2930" s="2" t="s">
        <v>1022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12335</v>
      </c>
      <c r="BV2930" s="2" t="s">
        <v>231</v>
      </c>
      <c r="BW2930" s="2" t="s">
        <v>231</v>
      </c>
      <c r="BX2930" s="2" t="s">
        <v>241</v>
      </c>
      <c r="BY2930" s="2" t="s">
        <v>277</v>
      </c>
      <c r="BZ2930" s="2" t="s">
        <v>243</v>
      </c>
      <c r="CA2930" s="2" t="s">
        <v>1024</v>
      </c>
      <c r="CB2930" s="2" t="s">
        <v>231</v>
      </c>
      <c r="CC2930" s="2" t="s">
        <v>244</v>
      </c>
      <c r="CD2930" s="2" t="s">
        <v>231</v>
      </c>
      <c r="CE2930" s="4">
        <v>774</v>
      </c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4"/>
      <c r="CX2930" s="4"/>
      <c r="CY2930" s="4"/>
      <c r="CZ2930" s="4"/>
      <c r="DA2930" s="4"/>
      <c r="DB2930" s="4"/>
      <c r="DC2930" s="4"/>
      <c r="DD2930" s="4"/>
      <c r="DE2930" s="4"/>
      <c r="DF2930" s="4"/>
      <c r="DG2930" s="4"/>
      <c r="DH2930" s="4"/>
      <c r="DI2930" s="4"/>
      <c r="DJ2930" s="4"/>
      <c r="DK2930" s="4"/>
      <c r="DL2930" s="4"/>
      <c r="DM2930" s="4"/>
      <c r="DN2930" s="4"/>
      <c r="DO2930" s="4"/>
      <c r="DP2930" s="4"/>
      <c r="DQ2930" s="4"/>
      <c r="DR2930" s="4"/>
      <c r="DS2930" s="4"/>
      <c r="DT2930" s="4"/>
      <c r="DU2930" s="4"/>
      <c r="DV2930" s="4"/>
      <c r="DW2930" s="4"/>
      <c r="DX2930" s="4"/>
      <c r="DY2930" s="4"/>
      <c r="DZ2930" s="4"/>
      <c r="EA2930" s="4"/>
      <c r="EB2930" s="4"/>
      <c r="EC2930" s="4"/>
      <c r="ED2930" s="4"/>
      <c r="EE2930" s="4"/>
      <c r="EF2930" s="4"/>
      <c r="EG2930" s="4"/>
      <c r="EH2930" s="4"/>
      <c r="EI2930" s="4"/>
      <c r="EJ2930" s="4"/>
      <c r="EK2930" s="4"/>
      <c r="EL2930" s="4"/>
      <c r="EM2930" s="4"/>
      <c r="EN2930" s="4"/>
      <c r="EO2930" s="4"/>
      <c r="EP2930" s="4"/>
      <c r="EQ2930" s="4"/>
      <c r="ER2930" s="4"/>
      <c r="ES2930" s="4"/>
      <c r="ET2930" s="4"/>
      <c r="EU2930" s="4"/>
      <c r="EV2930" s="4"/>
      <c r="EW2930" s="4"/>
      <c r="EX2930" s="4"/>
      <c r="EY2930" s="4"/>
      <c r="EZ2930" s="4"/>
      <c r="FA2930" s="4"/>
      <c r="FB2930" s="4"/>
      <c r="FC2930" s="4"/>
      <c r="FD2930" s="4"/>
      <c r="FE2930" s="4"/>
      <c r="FF2930" s="4"/>
      <c r="FG2930" s="4"/>
      <c r="FH2930" s="4"/>
      <c r="FI2930" s="4"/>
      <c r="FJ2930" s="4"/>
      <c r="FK2930" s="4"/>
      <c r="FL2930" s="4"/>
      <c r="FM2930" s="4"/>
      <c r="FN2930" s="4"/>
      <c r="FO2930" s="4"/>
      <c r="FP2930" s="4"/>
      <c r="FQ2930" s="4"/>
      <c r="FR2930" s="4"/>
      <c r="FS2930" s="4"/>
      <c r="FT2930" s="4"/>
      <c r="FU2930" s="4"/>
      <c r="FV2930" s="4"/>
      <c r="FW2930" s="4"/>
      <c r="FX2930" s="4"/>
      <c r="FY2930" s="4"/>
      <c r="FZ2930" s="4"/>
      <c r="GA2930" s="4"/>
      <c r="GB2930" s="4"/>
      <c r="GC2930" s="4"/>
      <c r="GD2930" s="4"/>
      <c r="GE2930" s="4"/>
      <c r="GF2930" s="4"/>
      <c r="GG2930" s="4"/>
      <c r="GH2930" s="4"/>
      <c r="GI2930" s="4"/>
      <c r="GJ2930" s="4"/>
      <c r="GK2930" s="4"/>
      <c r="GL2930" s="4"/>
      <c r="GM2930" s="4"/>
      <c r="GN2930" s="4"/>
      <c r="GO2930" s="4"/>
      <c r="GP2930" s="4"/>
      <c r="GQ2930" s="4"/>
      <c r="GR2930" s="4"/>
      <c r="GS2930" s="4"/>
      <c r="GT2930" s="4"/>
      <c r="GU2930" s="4"/>
      <c r="GV2930" s="4"/>
      <c r="GW2930" s="4"/>
      <c r="GX2930" s="4"/>
      <c r="GY2930" s="4"/>
      <c r="GZ2930" s="4"/>
      <c r="HA2930" s="4"/>
      <c r="HB2930" s="4"/>
      <c r="HC2930" s="4"/>
      <c r="HD2930" s="4"/>
      <c r="HE2930" s="4"/>
      <c r="HF2930" s="4"/>
      <c r="HG2930" s="4"/>
      <c r="HH2930" s="4"/>
      <c r="HI2930" s="4"/>
      <c r="HJ2930" s="4"/>
      <c r="HK2930" s="4"/>
      <c r="HL2930" s="4"/>
    </row>
    <row r="2931">
      <c r="A2931" s="2" t="s">
        <v>12336</v>
      </c>
      <c r="B2931" s="2" t="s">
        <v>992</v>
      </c>
      <c r="C2931" s="2" t="s">
        <v>1017</v>
      </c>
      <c r="D2931" s="2" t="s">
        <v>993</v>
      </c>
      <c r="E2931" s="2" t="s">
        <v>1157</v>
      </c>
      <c r="F2931" s="2" t="s">
        <v>7900</v>
      </c>
      <c r="G2931" s="2" t="s">
        <v>7900</v>
      </c>
      <c r="H2931" s="2" t="s">
        <v>7900</v>
      </c>
      <c r="I2931" s="2" t="s">
        <v>12334</v>
      </c>
      <c r="J2931" s="2" t="s">
        <v>3412</v>
      </c>
      <c r="K2931" s="2" t="s">
        <v>8713</v>
      </c>
      <c r="L2931" s="3">
        <v>30</v>
      </c>
      <c r="M2931" s="3">
        <v>31.5</v>
      </c>
      <c r="N2931" s="3">
        <v>59.99</v>
      </c>
      <c r="O2931" s="2" t="s">
        <v>235</v>
      </c>
      <c r="P2931" s="2" t="s">
        <v>1019</v>
      </c>
      <c r="Q2931" s="2" t="s">
        <v>237</v>
      </c>
      <c r="R2931" s="2" t="s">
        <v>1020</v>
      </c>
      <c r="S2931" s="2" t="s">
        <v>231</v>
      </c>
      <c r="T2931" s="2" t="s">
        <v>231</v>
      </c>
      <c r="U2931" s="2" t="s">
        <v>791</v>
      </c>
      <c r="V2931" s="2" t="s">
        <v>662</v>
      </c>
      <c r="W2931" s="2" t="s">
        <v>231</v>
      </c>
      <c r="X2931" s="2" t="s">
        <v>231</v>
      </c>
      <c r="Y2931" s="2" t="s">
        <v>3440</v>
      </c>
      <c r="Z2931" s="4">
        <v>203</v>
      </c>
      <c r="AA2931" s="4">
        <f>=ROUNDDOWN({0},0)</f>
      </c>
      <c r="AB2931" s="5"/>
      <c r="AC2931" s="2" t="s">
        <v>231</v>
      </c>
      <c r="AD2931" s="4"/>
      <c r="AE2931" s="4"/>
      <c r="AF2931" s="6">
        <v>64</v>
      </c>
      <c r="AG2931" s="6"/>
      <c r="AH2931" s="7">
        <v>1</v>
      </c>
      <c r="AI2931" s="4"/>
      <c r="AJ2931" s="4">
        <f>=ROUNDDOWN({0},0)</f>
      </c>
      <c r="AK2931" s="5"/>
      <c r="AL2931" s="2" t="s">
        <v>231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231</v>
      </c>
      <c r="AW2931" s="8" t="s">
        <v>231</v>
      </c>
      <c r="AX2931" s="4" t="s">
        <v>231</v>
      </c>
      <c r="AY2931" s="8" t="s">
        <v>231</v>
      </c>
      <c r="AZ2931" s="7" t="s">
        <v>231</v>
      </c>
      <c r="BA2931" s="7" t="s">
        <v>231</v>
      </c>
      <c r="BB2931" s="7"/>
      <c r="BC2931" s="4" t="s">
        <v>231</v>
      </c>
      <c r="BD2931" s="8" t="s">
        <v>231</v>
      </c>
      <c r="BE2931" s="4" t="s">
        <v>231</v>
      </c>
      <c r="BF2931" s="8" t="s">
        <v>231</v>
      </c>
      <c r="BG2931" s="7" t="s">
        <v>231</v>
      </c>
      <c r="BH2931" s="7" t="s">
        <v>231</v>
      </c>
      <c r="BI2931" s="7"/>
      <c r="BJ2931" s="4"/>
      <c r="BK2931" s="8"/>
      <c r="BL2931" s="2" t="s">
        <v>1028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12337</v>
      </c>
      <c r="BV2931" s="2" t="s">
        <v>231</v>
      </c>
      <c r="BW2931" s="2" t="s">
        <v>231</v>
      </c>
      <c r="BX2931" s="2" t="s">
        <v>241</v>
      </c>
      <c r="BY2931" s="2" t="s">
        <v>277</v>
      </c>
      <c r="BZ2931" s="2" t="s">
        <v>243</v>
      </c>
      <c r="CA2931" s="2" t="s">
        <v>1024</v>
      </c>
      <c r="CB2931" s="2" t="s">
        <v>231</v>
      </c>
      <c r="CC2931" s="2" t="s">
        <v>244</v>
      </c>
      <c r="CD2931" s="2" t="s">
        <v>231</v>
      </c>
      <c r="CE2931" s="4">
        <v>203</v>
      </c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4"/>
      <c r="CX2931" s="4"/>
      <c r="CY2931" s="4"/>
      <c r="CZ2931" s="4"/>
      <c r="DA2931" s="4"/>
      <c r="DB2931" s="4"/>
      <c r="DC2931" s="4"/>
      <c r="DD2931" s="4"/>
      <c r="DE2931" s="4"/>
      <c r="DF2931" s="4"/>
      <c r="DG2931" s="4"/>
      <c r="DH2931" s="4"/>
      <c r="DI2931" s="4"/>
      <c r="DJ2931" s="4"/>
      <c r="DK2931" s="4"/>
      <c r="DL2931" s="4"/>
      <c r="DM2931" s="4"/>
      <c r="DN2931" s="4"/>
      <c r="DO2931" s="4"/>
      <c r="DP2931" s="4"/>
      <c r="DQ2931" s="4"/>
      <c r="DR2931" s="4"/>
      <c r="DS2931" s="4"/>
      <c r="DT2931" s="4"/>
      <c r="DU2931" s="4"/>
      <c r="DV2931" s="4"/>
      <c r="DW2931" s="4"/>
      <c r="DX2931" s="4"/>
      <c r="DY2931" s="4"/>
      <c r="DZ2931" s="4"/>
      <c r="EA2931" s="4"/>
      <c r="EB2931" s="4"/>
      <c r="EC2931" s="4"/>
      <c r="ED2931" s="4"/>
      <c r="EE2931" s="4"/>
      <c r="EF2931" s="4"/>
      <c r="EG2931" s="4"/>
      <c r="EH2931" s="4"/>
      <c r="EI2931" s="4"/>
      <c r="EJ2931" s="4"/>
      <c r="EK2931" s="4"/>
      <c r="EL2931" s="4"/>
      <c r="EM2931" s="4"/>
      <c r="EN2931" s="4"/>
      <c r="EO2931" s="4"/>
      <c r="EP2931" s="4"/>
      <c r="EQ2931" s="4"/>
      <c r="ER2931" s="4"/>
      <c r="ES2931" s="4"/>
      <c r="ET2931" s="4"/>
      <c r="EU2931" s="4"/>
      <c r="EV2931" s="4"/>
      <c r="EW2931" s="4"/>
      <c r="EX2931" s="4"/>
      <c r="EY2931" s="4"/>
      <c r="EZ2931" s="4"/>
      <c r="FA2931" s="4"/>
      <c r="FB2931" s="4"/>
      <c r="FC2931" s="4"/>
      <c r="FD2931" s="4"/>
      <c r="FE2931" s="4"/>
      <c r="FF2931" s="4"/>
      <c r="FG2931" s="4"/>
      <c r="FH2931" s="4"/>
      <c r="FI2931" s="4"/>
      <c r="FJ2931" s="4"/>
      <c r="FK2931" s="4"/>
      <c r="FL2931" s="4"/>
      <c r="FM2931" s="4"/>
      <c r="FN2931" s="4"/>
      <c r="FO2931" s="4"/>
      <c r="FP2931" s="4"/>
      <c r="FQ2931" s="4"/>
      <c r="FR2931" s="4"/>
      <c r="FS2931" s="4"/>
      <c r="FT2931" s="4"/>
      <c r="FU2931" s="4"/>
      <c r="FV2931" s="4"/>
      <c r="FW2931" s="4"/>
      <c r="FX2931" s="4"/>
      <c r="FY2931" s="4"/>
      <c r="FZ2931" s="4"/>
      <c r="GA2931" s="4"/>
      <c r="GB2931" s="4"/>
      <c r="GC2931" s="4"/>
      <c r="GD2931" s="4"/>
      <c r="GE2931" s="4"/>
      <c r="GF2931" s="4"/>
      <c r="GG2931" s="4"/>
      <c r="GH2931" s="4"/>
      <c r="GI2931" s="4"/>
      <c r="GJ2931" s="4"/>
      <c r="GK2931" s="4"/>
      <c r="GL2931" s="4"/>
      <c r="GM2931" s="4"/>
      <c r="GN2931" s="4"/>
      <c r="GO2931" s="4"/>
      <c r="GP2931" s="4"/>
      <c r="GQ2931" s="4"/>
      <c r="GR2931" s="4"/>
      <c r="GS2931" s="4"/>
      <c r="GT2931" s="4"/>
      <c r="GU2931" s="4"/>
      <c r="GV2931" s="4"/>
      <c r="GW2931" s="4"/>
      <c r="GX2931" s="4"/>
      <c r="GY2931" s="4"/>
      <c r="GZ2931" s="4"/>
      <c r="HA2931" s="4"/>
      <c r="HB2931" s="4"/>
      <c r="HC2931" s="4"/>
      <c r="HD2931" s="4"/>
      <c r="HE2931" s="4"/>
      <c r="HF2931" s="4"/>
      <c r="HG2931" s="4"/>
      <c r="HH2931" s="4"/>
      <c r="HI2931" s="4"/>
      <c r="HJ2931" s="4"/>
      <c r="HK2931" s="4"/>
      <c r="HL2931" s="4"/>
    </row>
    <row r="2932">
      <c r="A2932" s="2" t="s">
        <v>12338</v>
      </c>
      <c r="B2932" s="2" t="s">
        <v>992</v>
      </c>
      <c r="C2932" s="2" t="s">
        <v>1017</v>
      </c>
      <c r="D2932" s="2" t="s">
        <v>993</v>
      </c>
      <c r="E2932" s="2" t="s">
        <v>1157</v>
      </c>
      <c r="F2932" s="2" t="s">
        <v>7900</v>
      </c>
      <c r="G2932" s="2" t="s">
        <v>7900</v>
      </c>
      <c r="H2932" s="2" t="s">
        <v>7900</v>
      </c>
      <c r="I2932" s="2" t="s">
        <v>12334</v>
      </c>
      <c r="J2932" s="2" t="s">
        <v>3395</v>
      </c>
      <c r="K2932" s="2" t="s">
        <v>7990</v>
      </c>
      <c r="L2932" s="3">
        <v>30</v>
      </c>
      <c r="M2932" s="3">
        <v>31.5</v>
      </c>
      <c r="N2932" s="3">
        <v>59.99</v>
      </c>
      <c r="O2932" s="2" t="s">
        <v>235</v>
      </c>
      <c r="P2932" s="2" t="s">
        <v>1019</v>
      </c>
      <c r="Q2932" s="2" t="s">
        <v>237</v>
      </c>
      <c r="R2932" s="2" t="s">
        <v>1020</v>
      </c>
      <c r="S2932" s="2" t="s">
        <v>231</v>
      </c>
      <c r="T2932" s="2" t="s">
        <v>472</v>
      </c>
      <c r="U2932" s="2" t="s">
        <v>791</v>
      </c>
      <c r="V2932" s="2" t="s">
        <v>662</v>
      </c>
      <c r="W2932" s="2" t="s">
        <v>231</v>
      </c>
      <c r="X2932" s="2" t="s">
        <v>792</v>
      </c>
      <c r="Y2932" s="2" t="s">
        <v>3440</v>
      </c>
      <c r="Z2932" s="4">
        <v>24</v>
      </c>
      <c r="AA2932" s="4">
        <f>=ROUNDDOWN(48,0)</f>
      </c>
      <c r="AB2932" s="5">
        <v>0.5</v>
      </c>
      <c r="AC2932" s="2" t="s">
        <v>231</v>
      </c>
      <c r="AD2932" s="4"/>
      <c r="AE2932" s="4"/>
      <c r="AF2932" s="6">
        <v>64</v>
      </c>
      <c r="AG2932" s="6"/>
      <c r="AH2932" s="7">
        <v>1</v>
      </c>
      <c r="AI2932" s="4"/>
      <c r="AJ2932" s="4">
        <f>=ROUNDDOWN({0},0)</f>
      </c>
      <c r="AK2932" s="5"/>
      <c r="AL2932" s="2" t="s">
        <v>231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231</v>
      </c>
      <c r="AW2932" s="8" t="s">
        <v>231</v>
      </c>
      <c r="AX2932" s="4" t="s">
        <v>231</v>
      </c>
      <c r="AY2932" s="8" t="s">
        <v>231</v>
      </c>
      <c r="AZ2932" s="7" t="s">
        <v>231</v>
      </c>
      <c r="BA2932" s="7" t="s">
        <v>231</v>
      </c>
      <c r="BB2932" s="7"/>
      <c r="BC2932" s="4" t="s">
        <v>231</v>
      </c>
      <c r="BD2932" s="8" t="s">
        <v>231</v>
      </c>
      <c r="BE2932" s="4" t="s">
        <v>231</v>
      </c>
      <c r="BF2932" s="8" t="s">
        <v>231</v>
      </c>
      <c r="BG2932" s="7" t="s">
        <v>231</v>
      </c>
      <c r="BH2932" s="7" t="s">
        <v>231</v>
      </c>
      <c r="BI2932" s="7"/>
      <c r="BJ2932" s="4"/>
      <c r="BK2932" s="8"/>
      <c r="BL2932" s="2" t="s">
        <v>1022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12339</v>
      </c>
      <c r="BV2932" s="2" t="s">
        <v>231</v>
      </c>
      <c r="BW2932" s="2" t="s">
        <v>231</v>
      </c>
      <c r="BX2932" s="2" t="s">
        <v>241</v>
      </c>
      <c r="BY2932" s="2" t="s">
        <v>277</v>
      </c>
      <c r="BZ2932" s="2" t="s">
        <v>243</v>
      </c>
      <c r="CA2932" s="2" t="s">
        <v>1024</v>
      </c>
      <c r="CB2932" s="2" t="s">
        <v>231</v>
      </c>
      <c r="CC2932" s="2" t="s">
        <v>244</v>
      </c>
      <c r="CD2932" s="2" t="s">
        <v>231</v>
      </c>
      <c r="CE2932" s="4">
        <v>24</v>
      </c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4"/>
      <c r="CX2932" s="4"/>
      <c r="CY2932" s="4"/>
      <c r="CZ2932" s="4"/>
      <c r="DA2932" s="4"/>
      <c r="DB2932" s="4"/>
      <c r="DC2932" s="4"/>
      <c r="DD2932" s="4"/>
      <c r="DE2932" s="4"/>
      <c r="DF2932" s="4"/>
      <c r="DG2932" s="4"/>
      <c r="DH2932" s="4"/>
      <c r="DI2932" s="4"/>
      <c r="DJ2932" s="4"/>
      <c r="DK2932" s="4"/>
      <c r="DL2932" s="4"/>
      <c r="DM2932" s="4"/>
      <c r="DN2932" s="4"/>
      <c r="DO2932" s="4"/>
      <c r="DP2932" s="4"/>
      <c r="DQ2932" s="4"/>
      <c r="DR2932" s="4"/>
      <c r="DS2932" s="4"/>
      <c r="DT2932" s="4"/>
      <c r="DU2932" s="4"/>
      <c r="DV2932" s="4"/>
      <c r="DW2932" s="4"/>
      <c r="DX2932" s="4"/>
      <c r="DY2932" s="4"/>
      <c r="DZ2932" s="4"/>
      <c r="EA2932" s="4"/>
      <c r="EB2932" s="4"/>
      <c r="EC2932" s="4"/>
      <c r="ED2932" s="4"/>
      <c r="EE2932" s="4"/>
      <c r="EF2932" s="4"/>
      <c r="EG2932" s="4"/>
      <c r="EH2932" s="4"/>
      <c r="EI2932" s="4"/>
      <c r="EJ2932" s="4"/>
      <c r="EK2932" s="4"/>
      <c r="EL2932" s="4"/>
      <c r="EM2932" s="4"/>
      <c r="EN2932" s="4"/>
      <c r="EO2932" s="4"/>
      <c r="EP2932" s="4"/>
      <c r="EQ2932" s="4"/>
      <c r="ER2932" s="4"/>
      <c r="ES2932" s="4"/>
      <c r="ET2932" s="4"/>
      <c r="EU2932" s="4"/>
      <c r="EV2932" s="4"/>
      <c r="EW2932" s="4"/>
      <c r="EX2932" s="4"/>
      <c r="EY2932" s="4"/>
      <c r="EZ2932" s="4"/>
      <c r="FA2932" s="4"/>
      <c r="FB2932" s="4"/>
      <c r="FC2932" s="4"/>
      <c r="FD2932" s="4"/>
      <c r="FE2932" s="4"/>
      <c r="FF2932" s="4"/>
      <c r="FG2932" s="4"/>
      <c r="FH2932" s="4"/>
      <c r="FI2932" s="4"/>
      <c r="FJ2932" s="4"/>
      <c r="FK2932" s="4"/>
      <c r="FL2932" s="4"/>
      <c r="FM2932" s="4"/>
      <c r="FN2932" s="4"/>
      <c r="FO2932" s="4"/>
      <c r="FP2932" s="4"/>
      <c r="FQ2932" s="4"/>
      <c r="FR2932" s="4"/>
      <c r="FS2932" s="4"/>
      <c r="FT2932" s="4"/>
      <c r="FU2932" s="4"/>
      <c r="FV2932" s="4"/>
      <c r="FW2932" s="4"/>
      <c r="FX2932" s="4"/>
      <c r="FY2932" s="4"/>
      <c r="FZ2932" s="4"/>
      <c r="GA2932" s="4"/>
      <c r="GB2932" s="4"/>
      <c r="GC2932" s="4"/>
      <c r="GD2932" s="4"/>
      <c r="GE2932" s="4"/>
      <c r="GF2932" s="4"/>
      <c r="GG2932" s="4"/>
      <c r="GH2932" s="4"/>
      <c r="GI2932" s="4"/>
      <c r="GJ2932" s="4"/>
      <c r="GK2932" s="4"/>
      <c r="GL2932" s="4"/>
      <c r="GM2932" s="4"/>
      <c r="GN2932" s="4"/>
      <c r="GO2932" s="4"/>
      <c r="GP2932" s="4"/>
      <c r="GQ2932" s="4"/>
      <c r="GR2932" s="4"/>
      <c r="GS2932" s="4"/>
      <c r="GT2932" s="4"/>
      <c r="GU2932" s="4"/>
      <c r="GV2932" s="4"/>
      <c r="GW2932" s="4"/>
      <c r="GX2932" s="4"/>
      <c r="GY2932" s="4"/>
      <c r="GZ2932" s="4"/>
      <c r="HA2932" s="4"/>
      <c r="HB2932" s="4"/>
      <c r="HC2932" s="4"/>
      <c r="HD2932" s="4"/>
      <c r="HE2932" s="4"/>
      <c r="HF2932" s="4"/>
      <c r="HG2932" s="4"/>
      <c r="HH2932" s="4"/>
      <c r="HI2932" s="4"/>
      <c r="HJ2932" s="4"/>
      <c r="HK2932" s="4"/>
      <c r="HL2932" s="4"/>
    </row>
    <row r="2933">
      <c r="A2933" s="2" t="s">
        <v>12340</v>
      </c>
      <c r="B2933" s="2" t="s">
        <v>992</v>
      </c>
      <c r="C2933" s="2" t="s">
        <v>1017</v>
      </c>
      <c r="D2933" s="2" t="s">
        <v>993</v>
      </c>
      <c r="E2933" s="2" t="s">
        <v>1157</v>
      </c>
      <c r="F2933" s="2" t="s">
        <v>7900</v>
      </c>
      <c r="G2933" s="2" t="s">
        <v>7900</v>
      </c>
      <c r="H2933" s="2" t="s">
        <v>7900</v>
      </c>
      <c r="I2933" s="2" t="s">
        <v>12334</v>
      </c>
      <c r="J2933" s="2" t="s">
        <v>3412</v>
      </c>
      <c r="K2933" s="2" t="s">
        <v>7990</v>
      </c>
      <c r="L2933" s="3">
        <v>30</v>
      </c>
      <c r="M2933" s="3">
        <v>31.5</v>
      </c>
      <c r="N2933" s="3">
        <v>59.99</v>
      </c>
      <c r="O2933" s="2" t="s">
        <v>235</v>
      </c>
      <c r="P2933" s="2" t="s">
        <v>1019</v>
      </c>
      <c r="Q2933" s="2" t="s">
        <v>237</v>
      </c>
      <c r="R2933" s="2" t="s">
        <v>1020</v>
      </c>
      <c r="S2933" s="2" t="s">
        <v>231</v>
      </c>
      <c r="T2933" s="2" t="s">
        <v>472</v>
      </c>
      <c r="U2933" s="2" t="s">
        <v>791</v>
      </c>
      <c r="V2933" s="2" t="s">
        <v>662</v>
      </c>
      <c r="W2933" s="2" t="s">
        <v>231</v>
      </c>
      <c r="X2933" s="2" t="s">
        <v>792</v>
      </c>
      <c r="Y2933" s="2" t="s">
        <v>3440</v>
      </c>
      <c r="Z2933" s="4">
        <v>45</v>
      </c>
      <c r="AA2933" s="4">
        <f>=ROUNDDOWN(45,0)</f>
      </c>
      <c r="AB2933" s="5">
        <v>1</v>
      </c>
      <c r="AC2933" s="2" t="s">
        <v>231</v>
      </c>
      <c r="AD2933" s="4"/>
      <c r="AE2933" s="4"/>
      <c r="AF2933" s="6">
        <v>64</v>
      </c>
      <c r="AG2933" s="6"/>
      <c r="AH2933" s="7">
        <v>1</v>
      </c>
      <c r="AI2933" s="4"/>
      <c r="AJ2933" s="4">
        <f>=ROUNDDOWN({0},0)</f>
      </c>
      <c r="AK2933" s="5"/>
      <c r="AL2933" s="2" t="s">
        <v>231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231</v>
      </c>
      <c r="AW2933" s="8" t="s">
        <v>231</v>
      </c>
      <c r="AX2933" s="4" t="s">
        <v>231</v>
      </c>
      <c r="AY2933" s="8" t="s">
        <v>231</v>
      </c>
      <c r="AZ2933" s="7" t="s">
        <v>231</v>
      </c>
      <c r="BA2933" s="7" t="s">
        <v>231</v>
      </c>
      <c r="BB2933" s="7"/>
      <c r="BC2933" s="4" t="s">
        <v>231</v>
      </c>
      <c r="BD2933" s="8" t="s">
        <v>231</v>
      </c>
      <c r="BE2933" s="4" t="s">
        <v>231</v>
      </c>
      <c r="BF2933" s="8" t="s">
        <v>231</v>
      </c>
      <c r="BG2933" s="7" t="s">
        <v>231</v>
      </c>
      <c r="BH2933" s="7" t="s">
        <v>231</v>
      </c>
      <c r="BI2933" s="7"/>
      <c r="BJ2933" s="4">
        <v>8</v>
      </c>
      <c r="BK2933" s="8">
        <v>240</v>
      </c>
      <c r="BL2933" s="2" t="s">
        <v>1020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12341</v>
      </c>
      <c r="BV2933" s="2" t="s">
        <v>231</v>
      </c>
      <c r="BW2933" s="2" t="s">
        <v>231</v>
      </c>
      <c r="BX2933" s="2" t="s">
        <v>241</v>
      </c>
      <c r="BY2933" s="2" t="s">
        <v>277</v>
      </c>
      <c r="BZ2933" s="2" t="s">
        <v>243</v>
      </c>
      <c r="CA2933" s="2" t="s">
        <v>1024</v>
      </c>
      <c r="CB2933" s="2" t="s">
        <v>231</v>
      </c>
      <c r="CC2933" s="2" t="s">
        <v>244</v>
      </c>
      <c r="CD2933" s="2" t="s">
        <v>231</v>
      </c>
      <c r="CE2933" s="4">
        <v>45</v>
      </c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4"/>
      <c r="CX2933" s="4"/>
      <c r="CY2933" s="4"/>
      <c r="CZ2933" s="4"/>
      <c r="DA2933" s="4"/>
      <c r="DB2933" s="4"/>
      <c r="DC2933" s="4"/>
      <c r="DD2933" s="4"/>
      <c r="DE2933" s="4"/>
      <c r="DF2933" s="4"/>
      <c r="DG2933" s="4"/>
      <c r="DH2933" s="4"/>
      <c r="DI2933" s="4"/>
      <c r="DJ2933" s="4"/>
      <c r="DK2933" s="4"/>
      <c r="DL2933" s="4"/>
      <c r="DM2933" s="4"/>
      <c r="DN2933" s="4"/>
      <c r="DO2933" s="4"/>
      <c r="DP2933" s="4"/>
      <c r="DQ2933" s="4"/>
      <c r="DR2933" s="4"/>
      <c r="DS2933" s="4"/>
      <c r="DT2933" s="4"/>
      <c r="DU2933" s="4"/>
      <c r="DV2933" s="4"/>
      <c r="DW2933" s="4"/>
      <c r="DX2933" s="4"/>
      <c r="DY2933" s="4"/>
      <c r="DZ2933" s="4"/>
      <c r="EA2933" s="4"/>
      <c r="EB2933" s="4"/>
      <c r="EC2933" s="4"/>
      <c r="ED2933" s="4"/>
      <c r="EE2933" s="4"/>
      <c r="EF2933" s="4"/>
      <c r="EG2933" s="4"/>
      <c r="EH2933" s="4"/>
      <c r="EI2933" s="4"/>
      <c r="EJ2933" s="4"/>
      <c r="EK2933" s="4"/>
      <c r="EL2933" s="4"/>
      <c r="EM2933" s="4"/>
      <c r="EN2933" s="4"/>
      <c r="EO2933" s="4"/>
      <c r="EP2933" s="4"/>
      <c r="EQ2933" s="4"/>
      <c r="ER2933" s="4"/>
      <c r="ES2933" s="4"/>
      <c r="ET2933" s="4"/>
      <c r="EU2933" s="4"/>
      <c r="EV2933" s="4"/>
      <c r="EW2933" s="4"/>
      <c r="EX2933" s="4"/>
      <c r="EY2933" s="4"/>
      <c r="EZ2933" s="4"/>
      <c r="FA2933" s="4"/>
      <c r="FB2933" s="4"/>
      <c r="FC2933" s="4"/>
      <c r="FD2933" s="4"/>
      <c r="FE2933" s="4"/>
      <c r="FF2933" s="4"/>
      <c r="FG2933" s="4"/>
      <c r="FH2933" s="4"/>
      <c r="FI2933" s="4"/>
      <c r="FJ2933" s="4"/>
      <c r="FK2933" s="4"/>
      <c r="FL2933" s="4"/>
      <c r="FM2933" s="4"/>
      <c r="FN2933" s="4"/>
      <c r="FO2933" s="4"/>
      <c r="FP2933" s="4"/>
      <c r="FQ2933" s="4"/>
      <c r="FR2933" s="4"/>
      <c r="FS2933" s="4"/>
      <c r="FT2933" s="4"/>
      <c r="FU2933" s="4"/>
      <c r="FV2933" s="4"/>
      <c r="FW2933" s="4"/>
      <c r="FX2933" s="4"/>
      <c r="FY2933" s="4"/>
      <c r="FZ2933" s="4"/>
      <c r="GA2933" s="4"/>
      <c r="GB2933" s="4"/>
      <c r="GC2933" s="4"/>
      <c r="GD2933" s="4"/>
      <c r="GE2933" s="4"/>
      <c r="GF2933" s="4"/>
      <c r="GG2933" s="4"/>
      <c r="GH2933" s="4"/>
      <c r="GI2933" s="4"/>
      <c r="GJ2933" s="4"/>
      <c r="GK2933" s="4"/>
      <c r="GL2933" s="4"/>
      <c r="GM2933" s="4"/>
      <c r="GN2933" s="4"/>
      <c r="GO2933" s="4"/>
      <c r="GP2933" s="4"/>
      <c r="GQ2933" s="4"/>
      <c r="GR2933" s="4"/>
      <c r="GS2933" s="4"/>
      <c r="GT2933" s="4"/>
      <c r="GU2933" s="4"/>
      <c r="GV2933" s="4"/>
      <c r="GW2933" s="4"/>
      <c r="GX2933" s="4"/>
      <c r="GY2933" s="4"/>
      <c r="GZ2933" s="4"/>
      <c r="HA2933" s="4"/>
      <c r="HB2933" s="4"/>
      <c r="HC2933" s="4"/>
      <c r="HD2933" s="4"/>
      <c r="HE2933" s="4"/>
      <c r="HF2933" s="4"/>
      <c r="HG2933" s="4"/>
      <c r="HH2933" s="4"/>
      <c r="HI2933" s="4"/>
      <c r="HJ2933" s="4"/>
      <c r="HK2933" s="4"/>
      <c r="HL2933" s="4"/>
    </row>
    <row r="2934">
      <c r="A2934" s="2" t="s">
        <v>12342</v>
      </c>
      <c r="B2934" s="2" t="s">
        <v>992</v>
      </c>
      <c r="C2934" s="2" t="s">
        <v>1017</v>
      </c>
      <c r="D2934" s="2" t="s">
        <v>993</v>
      </c>
      <c r="E2934" s="2" t="s">
        <v>1157</v>
      </c>
      <c r="F2934" s="2" t="s">
        <v>7900</v>
      </c>
      <c r="G2934" s="2" t="s">
        <v>7900</v>
      </c>
      <c r="H2934" s="2" t="s">
        <v>7900</v>
      </c>
      <c r="I2934" s="2" t="s">
        <v>12334</v>
      </c>
      <c r="J2934" s="2" t="s">
        <v>3395</v>
      </c>
      <c r="K2934" s="2" t="s">
        <v>8041</v>
      </c>
      <c r="L2934" s="3">
        <v>30</v>
      </c>
      <c r="M2934" s="3">
        <v>31.5</v>
      </c>
      <c r="N2934" s="3">
        <v>59.99</v>
      </c>
      <c r="O2934" s="2" t="s">
        <v>235</v>
      </c>
      <c r="P2934" s="2" t="s">
        <v>1019</v>
      </c>
      <c r="Q2934" s="2" t="s">
        <v>237</v>
      </c>
      <c r="R2934" s="2" t="s">
        <v>1020</v>
      </c>
      <c r="S2934" s="2" t="s">
        <v>231</v>
      </c>
      <c r="T2934" s="2" t="s">
        <v>472</v>
      </c>
      <c r="U2934" s="2" t="s">
        <v>791</v>
      </c>
      <c r="V2934" s="2" t="s">
        <v>662</v>
      </c>
      <c r="W2934" s="2" t="s">
        <v>231</v>
      </c>
      <c r="X2934" s="2" t="s">
        <v>792</v>
      </c>
      <c r="Y2934" s="2" t="s">
        <v>3440</v>
      </c>
      <c r="Z2934" s="4">
        <v>274</v>
      </c>
      <c r="AA2934" s="4">
        <f>=ROUNDDOWN({0},0)</f>
      </c>
      <c r="AB2934" s="5"/>
      <c r="AC2934" s="2" t="s">
        <v>231</v>
      </c>
      <c r="AD2934" s="4"/>
      <c r="AE2934" s="4"/>
      <c r="AF2934" s="6">
        <v>64</v>
      </c>
      <c r="AG2934" s="6"/>
      <c r="AH2934" s="7">
        <v>1</v>
      </c>
      <c r="AI2934" s="4"/>
      <c r="AJ2934" s="4">
        <f>=ROUNDDOWN({0},0)</f>
      </c>
      <c r="AK2934" s="5"/>
      <c r="AL2934" s="2" t="s">
        <v>231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231</v>
      </c>
      <c r="AW2934" s="8" t="s">
        <v>231</v>
      </c>
      <c r="AX2934" s="4" t="s">
        <v>231</v>
      </c>
      <c r="AY2934" s="8" t="s">
        <v>231</v>
      </c>
      <c r="AZ2934" s="7" t="s">
        <v>231</v>
      </c>
      <c r="BA2934" s="7" t="s">
        <v>231</v>
      </c>
      <c r="BB2934" s="7"/>
      <c r="BC2934" s="4" t="s">
        <v>231</v>
      </c>
      <c r="BD2934" s="8" t="s">
        <v>231</v>
      </c>
      <c r="BE2934" s="4" t="s">
        <v>231</v>
      </c>
      <c r="BF2934" s="8" t="s">
        <v>231</v>
      </c>
      <c r="BG2934" s="7" t="s">
        <v>231</v>
      </c>
      <c r="BH2934" s="7" t="s">
        <v>231</v>
      </c>
      <c r="BI2934" s="7"/>
      <c r="BJ2934" s="4"/>
      <c r="BK2934" s="8"/>
      <c r="BL2934" s="2" t="s">
        <v>1028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12343</v>
      </c>
      <c r="BV2934" s="2" t="s">
        <v>231</v>
      </c>
      <c r="BW2934" s="2" t="s">
        <v>231</v>
      </c>
      <c r="BX2934" s="2" t="s">
        <v>241</v>
      </c>
      <c r="BY2934" s="2" t="s">
        <v>277</v>
      </c>
      <c r="BZ2934" s="2" t="s">
        <v>243</v>
      </c>
      <c r="CA2934" s="2" t="s">
        <v>1024</v>
      </c>
      <c r="CB2934" s="2" t="s">
        <v>231</v>
      </c>
      <c r="CC2934" s="2" t="s">
        <v>244</v>
      </c>
      <c r="CD2934" s="2" t="s">
        <v>231</v>
      </c>
      <c r="CE2934" s="4">
        <v>274</v>
      </c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4"/>
      <c r="CX2934" s="4"/>
      <c r="CY2934" s="4"/>
      <c r="CZ2934" s="4"/>
      <c r="DA2934" s="4"/>
      <c r="DB2934" s="4"/>
      <c r="DC2934" s="4"/>
      <c r="DD2934" s="4"/>
      <c r="DE2934" s="4"/>
      <c r="DF2934" s="4"/>
      <c r="DG2934" s="4"/>
      <c r="DH2934" s="4"/>
      <c r="DI2934" s="4"/>
      <c r="DJ2934" s="4"/>
      <c r="DK2934" s="4"/>
      <c r="DL2934" s="4"/>
      <c r="DM2934" s="4"/>
      <c r="DN2934" s="4"/>
      <c r="DO2934" s="4"/>
      <c r="DP2934" s="4"/>
      <c r="DQ2934" s="4"/>
      <c r="DR2934" s="4"/>
      <c r="DS2934" s="4"/>
      <c r="DT2934" s="4"/>
      <c r="DU2934" s="4"/>
      <c r="DV2934" s="4"/>
      <c r="DW2934" s="4"/>
      <c r="DX2934" s="4"/>
      <c r="DY2934" s="4"/>
      <c r="DZ2934" s="4"/>
      <c r="EA2934" s="4"/>
      <c r="EB2934" s="4"/>
      <c r="EC2934" s="4"/>
      <c r="ED2934" s="4"/>
      <c r="EE2934" s="4"/>
      <c r="EF2934" s="4"/>
      <c r="EG2934" s="4"/>
      <c r="EH2934" s="4"/>
      <c r="EI2934" s="4"/>
      <c r="EJ2934" s="4"/>
      <c r="EK2934" s="4"/>
      <c r="EL2934" s="4"/>
      <c r="EM2934" s="4"/>
      <c r="EN2934" s="4"/>
      <c r="EO2934" s="4"/>
      <c r="EP2934" s="4"/>
      <c r="EQ2934" s="4"/>
      <c r="ER2934" s="4"/>
      <c r="ES2934" s="4"/>
      <c r="ET2934" s="4"/>
      <c r="EU2934" s="4"/>
      <c r="EV2934" s="4"/>
      <c r="EW2934" s="4"/>
      <c r="EX2934" s="4"/>
      <c r="EY2934" s="4"/>
      <c r="EZ2934" s="4"/>
      <c r="FA2934" s="4"/>
      <c r="FB2934" s="4"/>
      <c r="FC2934" s="4"/>
      <c r="FD2934" s="4"/>
      <c r="FE2934" s="4"/>
      <c r="FF2934" s="4"/>
      <c r="FG2934" s="4"/>
      <c r="FH2934" s="4"/>
      <c r="FI2934" s="4"/>
      <c r="FJ2934" s="4"/>
      <c r="FK2934" s="4"/>
      <c r="FL2934" s="4"/>
      <c r="FM2934" s="4"/>
      <c r="FN2934" s="4"/>
      <c r="FO2934" s="4"/>
      <c r="FP2934" s="4"/>
      <c r="FQ2934" s="4"/>
      <c r="FR2934" s="4"/>
      <c r="FS2934" s="4"/>
      <c r="FT2934" s="4"/>
      <c r="FU2934" s="4"/>
      <c r="FV2934" s="4"/>
      <c r="FW2934" s="4"/>
      <c r="FX2934" s="4"/>
      <c r="FY2934" s="4"/>
      <c r="FZ2934" s="4"/>
      <c r="GA2934" s="4"/>
      <c r="GB2934" s="4"/>
      <c r="GC2934" s="4"/>
      <c r="GD2934" s="4"/>
      <c r="GE2934" s="4"/>
      <c r="GF2934" s="4"/>
      <c r="GG2934" s="4"/>
      <c r="GH2934" s="4"/>
      <c r="GI2934" s="4"/>
      <c r="GJ2934" s="4"/>
      <c r="GK2934" s="4"/>
      <c r="GL2934" s="4"/>
      <c r="GM2934" s="4"/>
      <c r="GN2934" s="4"/>
      <c r="GO2934" s="4"/>
      <c r="GP2934" s="4"/>
      <c r="GQ2934" s="4"/>
      <c r="GR2934" s="4"/>
      <c r="GS2934" s="4"/>
      <c r="GT2934" s="4"/>
      <c r="GU2934" s="4"/>
      <c r="GV2934" s="4"/>
      <c r="GW2934" s="4"/>
      <c r="GX2934" s="4"/>
      <c r="GY2934" s="4"/>
      <c r="GZ2934" s="4"/>
      <c r="HA2934" s="4"/>
      <c r="HB2934" s="4"/>
      <c r="HC2934" s="4"/>
      <c r="HD2934" s="4"/>
      <c r="HE2934" s="4"/>
      <c r="HF2934" s="4"/>
      <c r="HG2934" s="4"/>
      <c r="HH2934" s="4"/>
      <c r="HI2934" s="4"/>
      <c r="HJ2934" s="4"/>
      <c r="HK2934" s="4"/>
      <c r="HL2934" s="4"/>
    </row>
    <row r="2935">
      <c r="A2935" s="2" t="s">
        <v>12344</v>
      </c>
      <c r="B2935" s="2" t="s">
        <v>992</v>
      </c>
      <c r="C2935" s="2" t="s">
        <v>1017</v>
      </c>
      <c r="D2935" s="2" t="s">
        <v>993</v>
      </c>
      <c r="E2935" s="2" t="s">
        <v>1157</v>
      </c>
      <c r="F2935" s="2" t="s">
        <v>7900</v>
      </c>
      <c r="G2935" s="2" t="s">
        <v>7900</v>
      </c>
      <c r="H2935" s="2" t="s">
        <v>7900</v>
      </c>
      <c r="I2935" s="2" t="s">
        <v>12334</v>
      </c>
      <c r="J2935" s="2" t="s">
        <v>3412</v>
      </c>
      <c r="K2935" s="2" t="s">
        <v>8041</v>
      </c>
      <c r="L2935" s="3">
        <v>30</v>
      </c>
      <c r="M2935" s="3">
        <v>31.5</v>
      </c>
      <c r="N2935" s="3">
        <v>59.99</v>
      </c>
      <c r="O2935" s="2" t="s">
        <v>235</v>
      </c>
      <c r="P2935" s="2" t="s">
        <v>1019</v>
      </c>
      <c r="Q2935" s="2" t="s">
        <v>237</v>
      </c>
      <c r="R2935" s="2" t="s">
        <v>1020</v>
      </c>
      <c r="S2935" s="2" t="s">
        <v>231</v>
      </c>
      <c r="T2935" s="2" t="s">
        <v>472</v>
      </c>
      <c r="U2935" s="2" t="s">
        <v>791</v>
      </c>
      <c r="V2935" s="2" t="s">
        <v>662</v>
      </c>
      <c r="W2935" s="2" t="s">
        <v>231</v>
      </c>
      <c r="X2935" s="2" t="s">
        <v>792</v>
      </c>
      <c r="Y2935" s="2" t="s">
        <v>3440</v>
      </c>
      <c r="Z2935" s="4">
        <v>105</v>
      </c>
      <c r="AA2935" s="4">
        <f>=ROUNDDOWN({0},0)</f>
      </c>
      <c r="AB2935" s="5"/>
      <c r="AC2935" s="2" t="s">
        <v>231</v>
      </c>
      <c r="AD2935" s="4"/>
      <c r="AE2935" s="4"/>
      <c r="AF2935" s="6">
        <v>64</v>
      </c>
      <c r="AG2935" s="6"/>
      <c r="AH2935" s="7">
        <v>1</v>
      </c>
      <c r="AI2935" s="4"/>
      <c r="AJ2935" s="4">
        <f>=ROUNDDOWN({0},0)</f>
      </c>
      <c r="AK2935" s="5"/>
      <c r="AL2935" s="2" t="s">
        <v>231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231</v>
      </c>
      <c r="AW2935" s="8" t="s">
        <v>231</v>
      </c>
      <c r="AX2935" s="4" t="s">
        <v>231</v>
      </c>
      <c r="AY2935" s="8" t="s">
        <v>231</v>
      </c>
      <c r="AZ2935" s="7" t="s">
        <v>231</v>
      </c>
      <c r="BA2935" s="7" t="s">
        <v>231</v>
      </c>
      <c r="BB2935" s="7"/>
      <c r="BC2935" s="4" t="s">
        <v>231</v>
      </c>
      <c r="BD2935" s="8" t="s">
        <v>231</v>
      </c>
      <c r="BE2935" s="4" t="s">
        <v>231</v>
      </c>
      <c r="BF2935" s="8" t="s">
        <v>231</v>
      </c>
      <c r="BG2935" s="7" t="s">
        <v>231</v>
      </c>
      <c r="BH2935" s="7" t="s">
        <v>231</v>
      </c>
      <c r="BI2935" s="7"/>
      <c r="BJ2935" s="4"/>
      <c r="BK2935" s="8"/>
      <c r="BL2935" s="2" t="s">
        <v>231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12345</v>
      </c>
      <c r="BV2935" s="2" t="s">
        <v>231</v>
      </c>
      <c r="BW2935" s="2" t="s">
        <v>231</v>
      </c>
      <c r="BX2935" s="2" t="s">
        <v>241</v>
      </c>
      <c r="BY2935" s="2" t="s">
        <v>277</v>
      </c>
      <c r="BZ2935" s="2" t="s">
        <v>243</v>
      </c>
      <c r="CA2935" s="2" t="s">
        <v>1024</v>
      </c>
      <c r="CB2935" s="2" t="s">
        <v>231</v>
      </c>
      <c r="CC2935" s="2" t="s">
        <v>244</v>
      </c>
      <c r="CD2935" s="2" t="s">
        <v>231</v>
      </c>
      <c r="CE2935" s="4">
        <v>105</v>
      </c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4"/>
      <c r="CX2935" s="4"/>
      <c r="CY2935" s="4"/>
      <c r="CZ2935" s="4"/>
      <c r="DA2935" s="4"/>
      <c r="DB2935" s="4"/>
      <c r="DC2935" s="4"/>
      <c r="DD2935" s="4"/>
      <c r="DE2935" s="4"/>
      <c r="DF2935" s="4"/>
      <c r="DG2935" s="4"/>
      <c r="DH2935" s="4"/>
      <c r="DI2935" s="4"/>
      <c r="DJ2935" s="4"/>
      <c r="DK2935" s="4"/>
      <c r="DL2935" s="4"/>
      <c r="DM2935" s="4"/>
      <c r="DN2935" s="4"/>
      <c r="DO2935" s="4"/>
      <c r="DP2935" s="4"/>
      <c r="DQ2935" s="4"/>
      <c r="DR2935" s="4"/>
      <c r="DS2935" s="4"/>
      <c r="DT2935" s="4"/>
      <c r="DU2935" s="4"/>
      <c r="DV2935" s="4"/>
      <c r="DW2935" s="4"/>
      <c r="DX2935" s="4"/>
      <c r="DY2935" s="4"/>
      <c r="DZ2935" s="4"/>
      <c r="EA2935" s="4"/>
      <c r="EB2935" s="4"/>
      <c r="EC2935" s="4"/>
      <c r="ED2935" s="4"/>
      <c r="EE2935" s="4"/>
      <c r="EF2935" s="4"/>
      <c r="EG2935" s="4"/>
      <c r="EH2935" s="4"/>
      <c r="EI2935" s="4"/>
      <c r="EJ2935" s="4"/>
      <c r="EK2935" s="4"/>
      <c r="EL2935" s="4"/>
      <c r="EM2935" s="4"/>
      <c r="EN2935" s="4"/>
      <c r="EO2935" s="4"/>
      <c r="EP2935" s="4"/>
      <c r="EQ2935" s="4"/>
      <c r="ER2935" s="4"/>
      <c r="ES2935" s="4"/>
      <c r="ET2935" s="4"/>
      <c r="EU2935" s="4"/>
      <c r="EV2935" s="4"/>
      <c r="EW2935" s="4"/>
      <c r="EX2935" s="4"/>
      <c r="EY2935" s="4"/>
      <c r="EZ2935" s="4"/>
      <c r="FA2935" s="4"/>
      <c r="FB2935" s="4"/>
      <c r="FC2935" s="4"/>
      <c r="FD2935" s="4"/>
      <c r="FE2935" s="4"/>
      <c r="FF2935" s="4"/>
      <c r="FG2935" s="4"/>
      <c r="FH2935" s="4"/>
      <c r="FI2935" s="4"/>
      <c r="FJ2935" s="4"/>
      <c r="FK2935" s="4"/>
      <c r="FL2935" s="4"/>
      <c r="FM2935" s="4"/>
      <c r="FN2935" s="4"/>
      <c r="FO2935" s="4"/>
      <c r="FP2935" s="4"/>
      <c r="FQ2935" s="4"/>
      <c r="FR2935" s="4"/>
      <c r="FS2935" s="4"/>
      <c r="FT2935" s="4"/>
      <c r="FU2935" s="4"/>
      <c r="FV2935" s="4"/>
      <c r="FW2935" s="4"/>
      <c r="FX2935" s="4"/>
      <c r="FY2935" s="4"/>
      <c r="FZ2935" s="4"/>
      <c r="GA2935" s="4"/>
      <c r="GB2935" s="4"/>
      <c r="GC2935" s="4"/>
      <c r="GD2935" s="4"/>
      <c r="GE2935" s="4"/>
      <c r="GF2935" s="4"/>
      <c r="GG2935" s="4"/>
      <c r="GH2935" s="4"/>
      <c r="GI2935" s="4"/>
      <c r="GJ2935" s="4"/>
      <c r="GK2935" s="4"/>
      <c r="GL2935" s="4"/>
      <c r="GM2935" s="4"/>
      <c r="GN2935" s="4"/>
      <c r="GO2935" s="4"/>
      <c r="GP2935" s="4"/>
      <c r="GQ2935" s="4"/>
      <c r="GR2935" s="4"/>
      <c r="GS2935" s="4"/>
      <c r="GT2935" s="4"/>
      <c r="GU2935" s="4"/>
      <c r="GV2935" s="4"/>
      <c r="GW2935" s="4"/>
      <c r="GX2935" s="4"/>
      <c r="GY2935" s="4"/>
      <c r="GZ2935" s="4"/>
      <c r="HA2935" s="4"/>
      <c r="HB2935" s="4"/>
      <c r="HC2935" s="4"/>
      <c r="HD2935" s="4"/>
      <c r="HE2935" s="4"/>
      <c r="HF2935" s="4"/>
      <c r="HG2935" s="4"/>
      <c r="HH2935" s="4"/>
      <c r="HI2935" s="4"/>
      <c r="HJ2935" s="4"/>
      <c r="HK2935" s="4"/>
      <c r="HL2935" s="4"/>
    </row>
    <row r="2936">
      <c r="A2936" s="2" t="s">
        <v>12346</v>
      </c>
      <c r="B2936" s="2" t="s">
        <v>226</v>
      </c>
      <c r="C2936" s="2" t="s">
        <v>288</v>
      </c>
      <c r="D2936" s="2" t="s">
        <v>1624</v>
      </c>
      <c r="E2936" s="2" t="s">
        <v>2589</v>
      </c>
      <c r="F2936" s="2" t="s">
        <v>12347</v>
      </c>
      <c r="G2936" s="2" t="s">
        <v>3503</v>
      </c>
      <c r="H2936" s="2" t="s">
        <v>3503</v>
      </c>
      <c r="I2936" s="2" t="s">
        <v>12348</v>
      </c>
      <c r="J2936" s="2" t="s">
        <v>1554</v>
      </c>
      <c r="K2936" s="2" t="s">
        <v>253</v>
      </c>
      <c r="L2936" s="3">
        <v>20.57</v>
      </c>
      <c r="M2936" s="3">
        <v>21.6</v>
      </c>
      <c r="N2936" s="3">
        <v>44.99</v>
      </c>
      <c r="O2936" s="2" t="s">
        <v>243</v>
      </c>
      <c r="P2936" s="2" t="s">
        <v>236</v>
      </c>
      <c r="Q2936" s="2" t="s">
        <v>237</v>
      </c>
      <c r="R2936" s="2" t="s">
        <v>231</v>
      </c>
      <c r="S2936" s="2" t="s">
        <v>12349</v>
      </c>
      <c r="T2936" s="2" t="s">
        <v>895</v>
      </c>
      <c r="U2936" s="2" t="s">
        <v>327</v>
      </c>
      <c r="V2936" s="2" t="s">
        <v>239</v>
      </c>
      <c r="W2936" s="2" t="s">
        <v>299</v>
      </c>
      <c r="X2936" s="2" t="s">
        <v>231</v>
      </c>
      <c r="Y2936" s="2" t="s">
        <v>5539</v>
      </c>
      <c r="Z2936" s="4">
        <v>177</v>
      </c>
      <c r="AA2936" s="4">
        <f>=ROUNDDOWN(14.75,0)</f>
      </c>
      <c r="AB2936" s="5">
        <v>12</v>
      </c>
      <c r="AC2936" s="2" t="s">
        <v>1705</v>
      </c>
      <c r="AD2936" s="4">
        <v>500</v>
      </c>
      <c r="AE2936" s="4">
        <v>500</v>
      </c>
      <c r="AF2936" s="6">
        <v>64</v>
      </c>
      <c r="AG2936" s="6"/>
      <c r="AH2936" s="7">
        <v>1</v>
      </c>
      <c r="AI2936" s="4"/>
      <c r="AJ2936" s="4">
        <f>=ROUNDDOWN({0},0)</f>
      </c>
      <c r="AK2936" s="5"/>
      <c r="AL2936" s="2" t="s">
        <v>231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/>
      <c r="BD2936" s="8"/>
      <c r="BE2936" s="4"/>
      <c r="BF2936" s="8"/>
      <c r="BG2936" s="7"/>
      <c r="BH2936" s="7"/>
      <c r="BI2936" s="7"/>
      <c r="BJ2936" s="4">
        <v>45</v>
      </c>
      <c r="BK2936" s="8">
        <v>1034.44</v>
      </c>
      <c r="BL2936" s="2" t="s">
        <v>2865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12350</v>
      </c>
      <c r="BV2936" s="2" t="s">
        <v>231</v>
      </c>
      <c r="BW2936" s="2" t="s">
        <v>231</v>
      </c>
      <c r="BX2936" s="2" t="s">
        <v>241</v>
      </c>
      <c r="BY2936" s="2" t="s">
        <v>277</v>
      </c>
      <c r="BZ2936" s="2" t="s">
        <v>243</v>
      </c>
      <c r="CA2936" s="2" t="s">
        <v>5540</v>
      </c>
      <c r="CB2936" s="2" t="s">
        <v>2206</v>
      </c>
      <c r="CC2936" s="2" t="s">
        <v>244</v>
      </c>
      <c r="CD2936" s="2" t="s">
        <v>231</v>
      </c>
      <c r="CE2936" s="4">
        <v>177</v>
      </c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4"/>
      <c r="CX2936" s="4"/>
      <c r="CY2936" s="4"/>
      <c r="CZ2936" s="4"/>
      <c r="DA2936" s="4"/>
      <c r="DB2936" s="4"/>
      <c r="DC2936" s="4"/>
      <c r="DD2936" s="4"/>
      <c r="DE2936" s="4"/>
      <c r="DF2936" s="4"/>
      <c r="DG2936" s="4"/>
      <c r="DH2936" s="4"/>
      <c r="DI2936" s="4"/>
      <c r="DJ2936" s="4"/>
      <c r="DK2936" s="4"/>
      <c r="DL2936" s="4"/>
      <c r="DM2936" s="4"/>
      <c r="DN2936" s="4"/>
      <c r="DO2936" s="4"/>
      <c r="DP2936" s="4"/>
      <c r="DQ2936" s="4"/>
      <c r="DR2936" s="4">
        <v>500</v>
      </c>
      <c r="DS2936" s="4"/>
      <c r="DT2936" s="4"/>
      <c r="DU2936" s="4"/>
      <c r="DV2936" s="4"/>
      <c r="DW2936" s="4"/>
      <c r="DX2936" s="4"/>
      <c r="DY2936" s="4"/>
      <c r="DZ2936" s="4"/>
      <c r="EA2936" s="4"/>
      <c r="EB2936" s="4"/>
      <c r="EC2936" s="4"/>
      <c r="ED2936" s="4"/>
      <c r="EE2936" s="4"/>
      <c r="EF2936" s="4"/>
      <c r="EG2936" s="4"/>
      <c r="EH2936" s="4"/>
      <c r="EI2936" s="4"/>
      <c r="EJ2936" s="4"/>
      <c r="EK2936" s="4"/>
      <c r="EL2936" s="4"/>
      <c r="EM2936" s="4"/>
      <c r="EN2936" s="4"/>
      <c r="EO2936" s="4"/>
      <c r="EP2936" s="4"/>
      <c r="EQ2936" s="4"/>
      <c r="ER2936" s="4"/>
      <c r="ES2936" s="4"/>
      <c r="ET2936" s="4"/>
      <c r="EU2936" s="4"/>
      <c r="EV2936" s="4"/>
      <c r="EW2936" s="4"/>
      <c r="EX2936" s="4"/>
      <c r="EY2936" s="4"/>
      <c r="EZ2936" s="4"/>
      <c r="FA2936" s="4"/>
      <c r="FB2936" s="4"/>
      <c r="FC2936" s="4"/>
      <c r="FD2936" s="4"/>
      <c r="FE2936" s="4"/>
      <c r="FF2936" s="4"/>
      <c r="FG2936" s="4"/>
      <c r="FH2936" s="4"/>
      <c r="FI2936" s="4"/>
      <c r="FJ2936" s="4"/>
      <c r="FK2936" s="4"/>
      <c r="FL2936" s="4"/>
      <c r="FM2936" s="4"/>
      <c r="FN2936" s="4"/>
      <c r="FO2936" s="4"/>
      <c r="FP2936" s="4"/>
      <c r="FQ2936" s="4"/>
      <c r="FR2936" s="4"/>
      <c r="FS2936" s="4"/>
      <c r="FT2936" s="4"/>
      <c r="FU2936" s="4"/>
      <c r="FV2936" s="4"/>
      <c r="FW2936" s="4"/>
      <c r="FX2936" s="4"/>
      <c r="FY2936" s="4"/>
      <c r="FZ2936" s="4"/>
      <c r="GA2936" s="4"/>
      <c r="GB2936" s="4"/>
      <c r="GC2936" s="4"/>
      <c r="GD2936" s="4"/>
      <c r="GE2936" s="4"/>
      <c r="GF2936" s="4"/>
      <c r="GG2936" s="4"/>
      <c r="GH2936" s="4"/>
      <c r="GI2936" s="4"/>
      <c r="GJ2936" s="4"/>
      <c r="GK2936" s="4"/>
      <c r="GL2936" s="4"/>
      <c r="GM2936" s="4"/>
      <c r="GN2936" s="4"/>
      <c r="GO2936" s="4"/>
      <c r="GP2936" s="4"/>
      <c r="GQ2936" s="4"/>
      <c r="GR2936" s="4"/>
      <c r="GS2936" s="4"/>
      <c r="GT2936" s="4"/>
      <c r="GU2936" s="4"/>
      <c r="GV2936" s="4"/>
      <c r="GW2936" s="4"/>
      <c r="GX2936" s="4"/>
      <c r="GY2936" s="4"/>
      <c r="GZ2936" s="4"/>
      <c r="HA2936" s="4"/>
      <c r="HB2936" s="4"/>
      <c r="HC2936" s="4"/>
      <c r="HD2936" s="4"/>
      <c r="HE2936" s="4"/>
      <c r="HF2936" s="4"/>
      <c r="HG2936" s="4"/>
      <c r="HH2936" s="4"/>
      <c r="HI2936" s="4"/>
      <c r="HJ2936" s="4"/>
      <c r="HK2936" s="4"/>
      <c r="HL2936" s="4"/>
    </row>
    <row r="2937">
      <c r="A2937" s="2" t="s">
        <v>12351</v>
      </c>
      <c r="B2937" s="2" t="s">
        <v>1186</v>
      </c>
      <c r="C2937" s="2" t="s">
        <v>1017</v>
      </c>
      <c r="D2937" s="2" t="s">
        <v>654</v>
      </c>
      <c r="E2937" s="2" t="s">
        <v>890</v>
      </c>
      <c r="F2937" s="2" t="s">
        <v>12352</v>
      </c>
      <c r="G2937" s="2" t="s">
        <v>7781</v>
      </c>
      <c r="H2937" s="2" t="s">
        <v>7781</v>
      </c>
      <c r="I2937" s="2" t="s">
        <v>12353</v>
      </c>
      <c r="J2937" s="2" t="s">
        <v>658</v>
      </c>
      <c r="K2937" s="2" t="s">
        <v>12354</v>
      </c>
      <c r="L2937" s="3">
        <v>22.7</v>
      </c>
      <c r="M2937" s="3">
        <v>23.84</v>
      </c>
      <c r="N2937" s="3">
        <v>39.99</v>
      </c>
      <c r="O2937" s="2" t="s">
        <v>243</v>
      </c>
      <c r="P2937" s="2" t="s">
        <v>1019</v>
      </c>
      <c r="Q2937" s="2" t="s">
        <v>237</v>
      </c>
      <c r="R2937" s="2" t="s">
        <v>1020</v>
      </c>
      <c r="S2937" s="2" t="s">
        <v>12355</v>
      </c>
      <c r="T2937" s="2" t="s">
        <v>472</v>
      </c>
      <c r="U2937" s="2" t="s">
        <v>835</v>
      </c>
      <c r="V2937" s="2" t="s">
        <v>987</v>
      </c>
      <c r="W2937" s="2" t="s">
        <v>273</v>
      </c>
      <c r="X2937" s="2" t="s">
        <v>792</v>
      </c>
      <c r="Y2937" s="2" t="s">
        <v>12356</v>
      </c>
      <c r="Z2937" s="4">
        <v>2812</v>
      </c>
      <c r="AA2937" s="4">
        <f>=ROUNDDOWN(937.333333333333,0)</f>
      </c>
      <c r="AB2937" s="5">
        <v>3</v>
      </c>
      <c r="AC2937" s="2" t="s">
        <v>231</v>
      </c>
      <c r="AD2937" s="4"/>
      <c r="AE2937" s="4"/>
      <c r="AF2937" s="6">
        <v>64</v>
      </c>
      <c r="AG2937" s="6"/>
      <c r="AH2937" s="7">
        <v>1</v>
      </c>
      <c r="AI2937" s="4"/>
      <c r="AJ2937" s="4">
        <f>=ROUNDDOWN({0},0)</f>
      </c>
      <c r="AK2937" s="5"/>
      <c r="AL2937" s="2" t="s">
        <v>231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/>
      <c r="AW2937" s="8"/>
      <c r="AX2937" s="4"/>
      <c r="AY2937" s="8"/>
      <c r="AZ2937" s="7"/>
      <c r="BA2937" s="7"/>
      <c r="BB2937" s="7"/>
      <c r="BC2937" s="4"/>
      <c r="BD2937" s="8"/>
      <c r="BE2937" s="4"/>
      <c r="BF2937" s="8"/>
      <c r="BG2937" s="7"/>
      <c r="BH2937" s="7"/>
      <c r="BI2937" s="7"/>
      <c r="BJ2937" s="4">
        <v>9</v>
      </c>
      <c r="BK2937" s="8">
        <v>291.56</v>
      </c>
      <c r="BL2937" s="2" t="s">
        <v>1022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12357</v>
      </c>
      <c r="BV2937" s="2" t="s">
        <v>231</v>
      </c>
      <c r="BW2937" s="2" t="s">
        <v>231</v>
      </c>
      <c r="BX2937" s="2" t="s">
        <v>241</v>
      </c>
      <c r="BY2937" s="2" t="s">
        <v>277</v>
      </c>
      <c r="BZ2937" s="2" t="s">
        <v>243</v>
      </c>
      <c r="CA2937" s="2" t="s">
        <v>2355</v>
      </c>
      <c r="CB2937" s="2" t="s">
        <v>2358</v>
      </c>
      <c r="CC2937" s="2" t="s">
        <v>244</v>
      </c>
      <c r="CD2937" s="2" t="s">
        <v>231</v>
      </c>
      <c r="CE2937" s="4">
        <v>2812</v>
      </c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4"/>
      <c r="CX2937" s="4"/>
      <c r="CY2937" s="4"/>
      <c r="CZ2937" s="4"/>
      <c r="DA2937" s="4"/>
      <c r="DB2937" s="4"/>
      <c r="DC2937" s="4"/>
      <c r="DD2937" s="4"/>
      <c r="DE2937" s="4"/>
      <c r="DF2937" s="4"/>
      <c r="DG2937" s="4"/>
      <c r="DH2937" s="4"/>
      <c r="DI2937" s="4"/>
      <c r="DJ2937" s="4"/>
      <c r="DK2937" s="4"/>
      <c r="DL2937" s="4"/>
      <c r="DM2937" s="4"/>
      <c r="DN2937" s="4"/>
      <c r="DO2937" s="4"/>
      <c r="DP2937" s="4"/>
      <c r="DQ2937" s="4"/>
      <c r="DR2937" s="4"/>
      <c r="DS2937" s="4"/>
      <c r="DT2937" s="4"/>
      <c r="DU2937" s="4"/>
      <c r="DV2937" s="4"/>
      <c r="DW2937" s="4"/>
      <c r="DX2937" s="4"/>
      <c r="DY2937" s="4"/>
      <c r="DZ2937" s="4"/>
      <c r="EA2937" s="4"/>
      <c r="EB2937" s="4"/>
      <c r="EC2937" s="4"/>
      <c r="ED2937" s="4"/>
      <c r="EE2937" s="4"/>
      <c r="EF2937" s="4"/>
      <c r="EG2937" s="4"/>
      <c r="EH2937" s="4"/>
      <c r="EI2937" s="4"/>
      <c r="EJ2937" s="4"/>
      <c r="EK2937" s="4"/>
      <c r="EL2937" s="4"/>
      <c r="EM2937" s="4"/>
      <c r="EN2937" s="4"/>
      <c r="EO2937" s="4"/>
      <c r="EP2937" s="4"/>
      <c r="EQ2937" s="4"/>
      <c r="ER2937" s="4"/>
      <c r="ES2937" s="4"/>
      <c r="ET2937" s="4"/>
      <c r="EU2937" s="4"/>
      <c r="EV2937" s="4"/>
      <c r="EW2937" s="4"/>
      <c r="EX2937" s="4"/>
      <c r="EY2937" s="4"/>
      <c r="EZ2937" s="4"/>
      <c r="FA2937" s="4"/>
      <c r="FB2937" s="4"/>
      <c r="FC2937" s="4"/>
      <c r="FD2937" s="4"/>
      <c r="FE2937" s="4"/>
      <c r="FF2937" s="4"/>
      <c r="FG2937" s="4"/>
      <c r="FH2937" s="4"/>
      <c r="FI2937" s="4"/>
      <c r="FJ2937" s="4"/>
      <c r="FK2937" s="4"/>
      <c r="FL2937" s="4"/>
      <c r="FM2937" s="4"/>
      <c r="FN2937" s="4"/>
      <c r="FO2937" s="4"/>
      <c r="FP2937" s="4"/>
      <c r="FQ2937" s="4"/>
      <c r="FR2937" s="4"/>
      <c r="FS2937" s="4"/>
      <c r="FT2937" s="4"/>
      <c r="FU2937" s="4"/>
      <c r="FV2937" s="4"/>
      <c r="FW2937" s="4"/>
      <c r="FX2937" s="4"/>
      <c r="FY2937" s="4"/>
      <c r="FZ2937" s="4"/>
      <c r="GA2937" s="4"/>
      <c r="GB2937" s="4"/>
      <c r="GC2937" s="4"/>
      <c r="GD2937" s="4"/>
      <c r="GE2937" s="4"/>
      <c r="GF2937" s="4"/>
      <c r="GG2937" s="4"/>
      <c r="GH2937" s="4"/>
      <c r="GI2937" s="4"/>
      <c r="GJ2937" s="4"/>
      <c r="GK2937" s="4"/>
      <c r="GL2937" s="4"/>
      <c r="GM2937" s="4"/>
      <c r="GN2937" s="4"/>
      <c r="GO2937" s="4"/>
      <c r="GP2937" s="4"/>
      <c r="GQ2937" s="4"/>
      <c r="GR2937" s="4"/>
      <c r="GS2937" s="4"/>
      <c r="GT2937" s="4"/>
      <c r="GU2937" s="4"/>
      <c r="GV2937" s="4"/>
      <c r="GW2937" s="4"/>
      <c r="GX2937" s="4"/>
      <c r="GY2937" s="4"/>
      <c r="GZ2937" s="4"/>
      <c r="HA2937" s="4"/>
      <c r="HB2937" s="4"/>
      <c r="HC2937" s="4"/>
      <c r="HD2937" s="4"/>
      <c r="HE2937" s="4"/>
      <c r="HF2937" s="4"/>
      <c r="HG2937" s="4"/>
      <c r="HH2937" s="4"/>
      <c r="HI2937" s="4"/>
      <c r="HJ2937" s="4"/>
      <c r="HK2937" s="4"/>
      <c r="HL2937" s="4"/>
    </row>
    <row r="2938">
      <c r="A2938" s="2" t="s">
        <v>12358</v>
      </c>
      <c r="B2938" s="2" t="s">
        <v>1004</v>
      </c>
      <c r="C2938" s="2" t="s">
        <v>815</v>
      </c>
      <c r="D2938" s="2" t="s">
        <v>1689</v>
      </c>
      <c r="E2938" s="2" t="s">
        <v>1690</v>
      </c>
      <c r="F2938" s="2" t="s">
        <v>12359</v>
      </c>
      <c r="G2938" s="2" t="s">
        <v>12359</v>
      </c>
      <c r="H2938" s="2" t="s">
        <v>12359</v>
      </c>
      <c r="I2938" s="2" t="s">
        <v>1690</v>
      </c>
      <c r="J2938" s="2" t="s">
        <v>807</v>
      </c>
      <c r="K2938" s="2" t="s">
        <v>1655</v>
      </c>
      <c r="L2938" s="3">
        <v>226.1</v>
      </c>
      <c r="M2938" s="3">
        <v>237.4</v>
      </c>
      <c r="N2938" s="3">
        <v>479</v>
      </c>
      <c r="O2938" s="2" t="s">
        <v>243</v>
      </c>
      <c r="P2938" s="2" t="s">
        <v>1985</v>
      </c>
      <c r="Q2938" s="2" t="s">
        <v>237</v>
      </c>
      <c r="R2938" s="2" t="s">
        <v>231</v>
      </c>
      <c r="S2938" s="2" t="s">
        <v>12360</v>
      </c>
      <c r="T2938" s="2" t="s">
        <v>231</v>
      </c>
      <c r="U2938" s="2" t="s">
        <v>231</v>
      </c>
      <c r="V2938" s="2" t="s">
        <v>239</v>
      </c>
      <c r="W2938" s="2" t="s">
        <v>691</v>
      </c>
      <c r="X2938" s="2" t="s">
        <v>231</v>
      </c>
      <c r="Y2938" s="2" t="s">
        <v>274</v>
      </c>
      <c r="Z2938" s="4">
        <v>16</v>
      </c>
      <c r="AA2938" s="4">
        <f>=ROUNDDOWN(4,0)</f>
      </c>
      <c r="AB2938" s="5">
        <v>4</v>
      </c>
      <c r="AC2938" s="2" t="s">
        <v>8430</v>
      </c>
      <c r="AD2938" s="4">
        <v>100</v>
      </c>
      <c r="AE2938" s="4">
        <v>100</v>
      </c>
      <c r="AF2938" s="6">
        <v>66</v>
      </c>
      <c r="AG2938" s="6"/>
      <c r="AH2938" s="7">
        <v>1</v>
      </c>
      <c r="AI2938" s="4"/>
      <c r="AJ2938" s="4">
        <f>=ROUNDDOWN({0},0)</f>
      </c>
      <c r="AK2938" s="5"/>
      <c r="AL2938" s="2" t="s">
        <v>231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/>
      <c r="AW2938" s="8"/>
      <c r="AX2938" s="4"/>
      <c r="AY2938" s="8"/>
      <c r="AZ2938" s="7"/>
      <c r="BA2938" s="7"/>
      <c r="BB2938" s="7"/>
      <c r="BC2938" s="4"/>
      <c r="BD2938" s="8"/>
      <c r="BE2938" s="4"/>
      <c r="BF2938" s="8"/>
      <c r="BG2938" s="7"/>
      <c r="BH2938" s="7"/>
      <c r="BI2938" s="7"/>
      <c r="BJ2938" s="4">
        <v>8</v>
      </c>
      <c r="BK2938" s="8">
        <v>1806</v>
      </c>
      <c r="BL2938" s="2" t="s">
        <v>12361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12362</v>
      </c>
      <c r="BV2938" s="2" t="s">
        <v>231</v>
      </c>
      <c r="BW2938" s="2" t="s">
        <v>231</v>
      </c>
      <c r="BX2938" s="2" t="s">
        <v>241</v>
      </c>
      <c r="BY2938" s="2" t="s">
        <v>277</v>
      </c>
      <c r="BZ2938" s="2" t="s">
        <v>243</v>
      </c>
      <c r="CA2938" s="2" t="s">
        <v>4719</v>
      </c>
      <c r="CB2938" s="2" t="s">
        <v>4764</v>
      </c>
      <c r="CC2938" s="2" t="s">
        <v>244</v>
      </c>
      <c r="CD2938" s="2" t="s">
        <v>231</v>
      </c>
      <c r="CE2938" s="4"/>
      <c r="CF2938" s="4">
        <v>16</v>
      </c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4"/>
      <c r="CX2938" s="4"/>
      <c r="CY2938" s="4"/>
      <c r="CZ2938" s="4"/>
      <c r="DA2938" s="4"/>
      <c r="DB2938" s="4"/>
      <c r="DC2938" s="4"/>
      <c r="DD2938" s="4"/>
      <c r="DE2938" s="4"/>
      <c r="DF2938" s="4"/>
      <c r="DG2938" s="4"/>
      <c r="DH2938" s="4"/>
      <c r="DI2938" s="4"/>
      <c r="DJ2938" s="4"/>
      <c r="DK2938" s="4"/>
      <c r="DL2938" s="4"/>
      <c r="DM2938" s="4"/>
      <c r="DN2938" s="4"/>
      <c r="DO2938" s="4"/>
      <c r="DP2938" s="4"/>
      <c r="DQ2938" s="4"/>
      <c r="DR2938" s="4"/>
      <c r="DS2938" s="4"/>
      <c r="DT2938" s="4"/>
      <c r="DU2938" s="4"/>
      <c r="DV2938" s="4"/>
      <c r="DW2938" s="4"/>
      <c r="DX2938" s="4"/>
      <c r="DY2938" s="4"/>
      <c r="DZ2938" s="4"/>
      <c r="EA2938" s="4"/>
      <c r="EB2938" s="4"/>
      <c r="EC2938" s="4"/>
      <c r="ED2938" s="4"/>
      <c r="EE2938" s="4"/>
      <c r="EF2938" s="4"/>
      <c r="EG2938" s="4"/>
      <c r="EH2938" s="4"/>
      <c r="EI2938" s="4"/>
      <c r="EJ2938" s="4"/>
      <c r="EK2938" s="4"/>
      <c r="EL2938" s="4"/>
      <c r="EM2938" s="4"/>
      <c r="EN2938" s="4"/>
      <c r="EO2938" s="4"/>
      <c r="EP2938" s="4"/>
      <c r="EQ2938" s="4"/>
      <c r="ER2938" s="4"/>
      <c r="ES2938" s="4"/>
      <c r="ET2938" s="4"/>
      <c r="EU2938" s="4"/>
      <c r="EV2938" s="4"/>
      <c r="EW2938" s="4"/>
      <c r="EX2938" s="4"/>
      <c r="EY2938" s="4"/>
      <c r="EZ2938" s="4"/>
      <c r="FA2938" s="4"/>
      <c r="FB2938" s="4"/>
      <c r="FC2938" s="4"/>
      <c r="FD2938" s="4">
        <v>100</v>
      </c>
      <c r="FE2938" s="4"/>
      <c r="FF2938" s="4"/>
      <c r="FG2938" s="4"/>
      <c r="FH2938" s="4"/>
      <c r="FI2938" s="4"/>
      <c r="FJ2938" s="4"/>
      <c r="FK2938" s="4"/>
      <c r="FL2938" s="4"/>
      <c r="FM2938" s="4"/>
      <c r="FN2938" s="4"/>
      <c r="FO2938" s="4"/>
      <c r="FP2938" s="4"/>
      <c r="FQ2938" s="4"/>
      <c r="FR2938" s="4"/>
      <c r="FS2938" s="4"/>
      <c r="FT2938" s="4"/>
      <c r="FU2938" s="4"/>
      <c r="FV2938" s="4"/>
      <c r="FW2938" s="4"/>
      <c r="FX2938" s="4"/>
      <c r="FY2938" s="4"/>
      <c r="FZ2938" s="4"/>
      <c r="GA2938" s="4"/>
      <c r="GB2938" s="4"/>
      <c r="GC2938" s="4"/>
      <c r="GD2938" s="4"/>
      <c r="GE2938" s="4"/>
      <c r="GF2938" s="4"/>
      <c r="GG2938" s="4"/>
      <c r="GH2938" s="4"/>
      <c r="GI2938" s="4"/>
      <c r="GJ2938" s="4"/>
      <c r="GK2938" s="4"/>
      <c r="GL2938" s="4"/>
      <c r="GM2938" s="4"/>
      <c r="GN2938" s="4"/>
      <c r="GO2938" s="4"/>
      <c r="GP2938" s="4"/>
      <c r="GQ2938" s="4"/>
      <c r="GR2938" s="4"/>
      <c r="GS2938" s="4"/>
      <c r="GT2938" s="4"/>
      <c r="GU2938" s="4"/>
      <c r="GV2938" s="4"/>
      <c r="GW2938" s="4"/>
      <c r="GX2938" s="4"/>
      <c r="GY2938" s="4"/>
      <c r="GZ2938" s="4"/>
      <c r="HA2938" s="4"/>
      <c r="HB2938" s="4"/>
      <c r="HC2938" s="4"/>
      <c r="HD2938" s="4"/>
      <c r="HE2938" s="4"/>
      <c r="HF2938" s="4"/>
      <c r="HG2938" s="4"/>
      <c r="HH2938" s="4"/>
      <c r="HI2938" s="4"/>
      <c r="HJ2938" s="4"/>
      <c r="HK2938" s="4"/>
      <c r="HL2938" s="4"/>
    </row>
    <row r="2939">
      <c r="A2939" s="2" t="s">
        <v>12363</v>
      </c>
      <c r="B2939" s="2" t="s">
        <v>824</v>
      </c>
      <c r="C2939" s="2" t="s">
        <v>1017</v>
      </c>
      <c r="D2939" s="2" t="s">
        <v>654</v>
      </c>
      <c r="E2939" s="2" t="s">
        <v>1187</v>
      </c>
      <c r="F2939" s="2" t="s">
        <v>12364</v>
      </c>
      <c r="G2939" s="2" t="s">
        <v>231</v>
      </c>
      <c r="H2939" s="2" t="s">
        <v>231</v>
      </c>
      <c r="I2939" s="2" t="s">
        <v>12365</v>
      </c>
      <c r="J2939" s="2" t="s">
        <v>281</v>
      </c>
      <c r="K2939" s="2" t="s">
        <v>12366</v>
      </c>
      <c r="L2939" s="3">
        <v>34.79</v>
      </c>
      <c r="M2939" s="3">
        <v>36.53</v>
      </c>
      <c r="N2939" s="3">
        <v>59.99</v>
      </c>
      <c r="O2939" s="2" t="s">
        <v>250</v>
      </c>
      <c r="P2939" s="2" t="s">
        <v>1019</v>
      </c>
      <c r="Q2939" s="2" t="s">
        <v>237</v>
      </c>
      <c r="R2939" s="2" t="s">
        <v>1020</v>
      </c>
      <c r="S2939" s="2" t="s">
        <v>231</v>
      </c>
      <c r="T2939" s="2" t="s">
        <v>472</v>
      </c>
      <c r="U2939" s="2" t="s">
        <v>1196</v>
      </c>
      <c r="V2939" s="2" t="s">
        <v>662</v>
      </c>
      <c r="W2939" s="2" t="s">
        <v>273</v>
      </c>
      <c r="X2939" s="2" t="s">
        <v>273</v>
      </c>
      <c r="Y2939" s="2" t="s">
        <v>1109</v>
      </c>
      <c r="Z2939" s="4">
        <v>302</v>
      </c>
      <c r="AA2939" s="4">
        <f>=ROUNDDOWN(111.851851851852,0)</f>
      </c>
      <c r="AB2939" s="5">
        <v>2.7</v>
      </c>
      <c r="AC2939" s="2" t="s">
        <v>231</v>
      </c>
      <c r="AD2939" s="4"/>
      <c r="AE2939" s="4"/>
      <c r="AF2939" s="6">
        <v>64</v>
      </c>
      <c r="AG2939" s="6"/>
      <c r="AH2939" s="7">
        <v>1</v>
      </c>
      <c r="AI2939" s="4"/>
      <c r="AJ2939" s="4">
        <f>=ROUNDDOWN({0},0)</f>
      </c>
      <c r="AK2939" s="5"/>
      <c r="AL2939" s="2" t="s">
        <v>231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231</v>
      </c>
      <c r="AW2939" s="8" t="s">
        <v>231</v>
      </c>
      <c r="AX2939" s="4" t="s">
        <v>231</v>
      </c>
      <c r="AY2939" s="8" t="s">
        <v>231</v>
      </c>
      <c r="AZ2939" s="7" t="s">
        <v>231</v>
      </c>
      <c r="BA2939" s="7" t="s">
        <v>231</v>
      </c>
      <c r="BB2939" s="7"/>
      <c r="BC2939" s="4" t="s">
        <v>231</v>
      </c>
      <c r="BD2939" s="8" t="s">
        <v>231</v>
      </c>
      <c r="BE2939" s="4" t="s">
        <v>231</v>
      </c>
      <c r="BF2939" s="8" t="s">
        <v>231</v>
      </c>
      <c r="BG2939" s="7" t="s">
        <v>231</v>
      </c>
      <c r="BH2939" s="7" t="s">
        <v>231</v>
      </c>
      <c r="BI2939" s="7"/>
      <c r="BJ2939" s="4">
        <v>10</v>
      </c>
      <c r="BK2939" s="8">
        <v>413.7</v>
      </c>
      <c r="BL2939" s="2" t="s">
        <v>1022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12367</v>
      </c>
      <c r="BV2939" s="2" t="s">
        <v>231</v>
      </c>
      <c r="BW2939" s="2" t="s">
        <v>231</v>
      </c>
      <c r="BX2939" s="2" t="s">
        <v>241</v>
      </c>
      <c r="BY2939" s="2" t="s">
        <v>277</v>
      </c>
      <c r="BZ2939" s="2" t="s">
        <v>243</v>
      </c>
      <c r="CA2939" s="2" t="s">
        <v>1680</v>
      </c>
      <c r="CB2939" s="2" t="s">
        <v>231</v>
      </c>
      <c r="CC2939" s="2" t="s">
        <v>244</v>
      </c>
      <c r="CD2939" s="2" t="s">
        <v>231</v>
      </c>
      <c r="CE2939" s="4">
        <v>302</v>
      </c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4"/>
      <c r="CX2939" s="4"/>
      <c r="CY2939" s="4"/>
      <c r="CZ2939" s="4"/>
      <c r="DA2939" s="4"/>
      <c r="DB2939" s="4"/>
      <c r="DC2939" s="4"/>
      <c r="DD2939" s="4"/>
      <c r="DE2939" s="4"/>
      <c r="DF2939" s="4"/>
      <c r="DG2939" s="4"/>
      <c r="DH2939" s="4"/>
      <c r="DI2939" s="4"/>
      <c r="DJ2939" s="4"/>
      <c r="DK2939" s="4"/>
      <c r="DL2939" s="4"/>
      <c r="DM2939" s="4"/>
      <c r="DN2939" s="4"/>
      <c r="DO2939" s="4"/>
      <c r="DP2939" s="4"/>
      <c r="DQ2939" s="4"/>
      <c r="DR2939" s="4"/>
      <c r="DS2939" s="4"/>
      <c r="DT2939" s="4"/>
      <c r="DU2939" s="4"/>
      <c r="DV2939" s="4"/>
      <c r="DW2939" s="4"/>
      <c r="DX2939" s="4"/>
      <c r="DY2939" s="4"/>
      <c r="DZ2939" s="4"/>
      <c r="EA2939" s="4"/>
      <c r="EB2939" s="4"/>
      <c r="EC2939" s="4"/>
      <c r="ED2939" s="4"/>
      <c r="EE2939" s="4"/>
      <c r="EF2939" s="4"/>
      <c r="EG2939" s="4"/>
      <c r="EH2939" s="4"/>
      <c r="EI2939" s="4"/>
      <c r="EJ2939" s="4"/>
      <c r="EK2939" s="4"/>
      <c r="EL2939" s="4"/>
      <c r="EM2939" s="4"/>
      <c r="EN2939" s="4"/>
      <c r="EO2939" s="4"/>
      <c r="EP2939" s="4"/>
      <c r="EQ2939" s="4"/>
      <c r="ER2939" s="4"/>
      <c r="ES2939" s="4"/>
      <c r="ET2939" s="4"/>
      <c r="EU2939" s="4"/>
      <c r="EV2939" s="4"/>
      <c r="EW2939" s="4"/>
      <c r="EX2939" s="4"/>
      <c r="EY2939" s="4"/>
      <c r="EZ2939" s="4"/>
      <c r="FA2939" s="4"/>
      <c r="FB2939" s="4"/>
      <c r="FC2939" s="4"/>
      <c r="FD2939" s="4"/>
      <c r="FE2939" s="4"/>
      <c r="FF2939" s="4"/>
      <c r="FG2939" s="4"/>
      <c r="FH2939" s="4"/>
      <c r="FI2939" s="4"/>
      <c r="FJ2939" s="4"/>
      <c r="FK2939" s="4"/>
      <c r="FL2939" s="4"/>
      <c r="FM2939" s="4"/>
      <c r="FN2939" s="4"/>
      <c r="FO2939" s="4"/>
      <c r="FP2939" s="4"/>
      <c r="FQ2939" s="4"/>
      <c r="FR2939" s="4"/>
      <c r="FS2939" s="4"/>
      <c r="FT2939" s="4"/>
      <c r="FU2939" s="4"/>
      <c r="FV2939" s="4"/>
      <c r="FW2939" s="4"/>
      <c r="FX2939" s="4"/>
      <c r="FY2939" s="4"/>
      <c r="FZ2939" s="4"/>
      <c r="GA2939" s="4"/>
      <c r="GB2939" s="4"/>
      <c r="GC2939" s="4"/>
      <c r="GD2939" s="4"/>
      <c r="GE2939" s="4"/>
      <c r="GF2939" s="4"/>
      <c r="GG2939" s="4"/>
      <c r="GH2939" s="4"/>
      <c r="GI2939" s="4"/>
      <c r="GJ2939" s="4"/>
      <c r="GK2939" s="4"/>
      <c r="GL2939" s="4"/>
      <c r="GM2939" s="4"/>
      <c r="GN2939" s="4"/>
      <c r="GO2939" s="4"/>
      <c r="GP2939" s="4"/>
      <c r="GQ2939" s="4"/>
      <c r="GR2939" s="4"/>
      <c r="GS2939" s="4"/>
      <c r="GT2939" s="4"/>
      <c r="GU2939" s="4"/>
      <c r="GV2939" s="4"/>
      <c r="GW2939" s="4"/>
      <c r="GX2939" s="4"/>
      <c r="GY2939" s="4"/>
      <c r="GZ2939" s="4"/>
      <c r="HA2939" s="4"/>
      <c r="HB2939" s="4"/>
      <c r="HC2939" s="4"/>
      <c r="HD2939" s="4"/>
      <c r="HE2939" s="4"/>
      <c r="HF2939" s="4"/>
      <c r="HG2939" s="4"/>
      <c r="HH2939" s="4"/>
      <c r="HI2939" s="4"/>
      <c r="HJ2939" s="4"/>
      <c r="HK2939" s="4"/>
      <c r="HL2939" s="4"/>
    </row>
    <row r="2940">
      <c r="A2940" s="2" t="s">
        <v>12368</v>
      </c>
      <c r="B2940" s="2" t="s">
        <v>824</v>
      </c>
      <c r="C2940" s="2" t="s">
        <v>1017</v>
      </c>
      <c r="D2940" s="2" t="s">
        <v>654</v>
      </c>
      <c r="E2940" s="2" t="s">
        <v>1187</v>
      </c>
      <c r="F2940" s="2" t="s">
        <v>12364</v>
      </c>
      <c r="G2940" s="2" t="s">
        <v>231</v>
      </c>
      <c r="H2940" s="2" t="s">
        <v>231</v>
      </c>
      <c r="I2940" s="2" t="s">
        <v>12365</v>
      </c>
      <c r="J2940" s="2" t="s">
        <v>293</v>
      </c>
      <c r="K2940" s="2" t="s">
        <v>12366</v>
      </c>
      <c r="L2940" s="3">
        <v>37.69</v>
      </c>
      <c r="M2940" s="3">
        <v>39.57</v>
      </c>
      <c r="N2940" s="3">
        <v>64.99</v>
      </c>
      <c r="O2940" s="2" t="s">
        <v>243</v>
      </c>
      <c r="P2940" s="2" t="s">
        <v>1019</v>
      </c>
      <c r="Q2940" s="2" t="s">
        <v>237</v>
      </c>
      <c r="R2940" s="2" t="s">
        <v>1020</v>
      </c>
      <c r="S2940" s="2" t="s">
        <v>231</v>
      </c>
      <c r="T2940" s="2" t="s">
        <v>472</v>
      </c>
      <c r="U2940" s="2" t="s">
        <v>1196</v>
      </c>
      <c r="V2940" s="2" t="s">
        <v>662</v>
      </c>
      <c r="W2940" s="2" t="s">
        <v>273</v>
      </c>
      <c r="X2940" s="2" t="s">
        <v>273</v>
      </c>
      <c r="Y2940" s="2" t="s">
        <v>1109</v>
      </c>
      <c r="Z2940" s="4">
        <v>427</v>
      </c>
      <c r="AA2940" s="4">
        <f>=ROUNDDOWN(355.833333333333,0)</f>
      </c>
      <c r="AB2940" s="5">
        <v>1.2</v>
      </c>
      <c r="AC2940" s="2" t="s">
        <v>231</v>
      </c>
      <c r="AD2940" s="4"/>
      <c r="AE2940" s="4"/>
      <c r="AF2940" s="6">
        <v>64</v>
      </c>
      <c r="AG2940" s="6"/>
      <c r="AH2940" s="7">
        <v>1</v>
      </c>
      <c r="AI2940" s="4"/>
      <c r="AJ2940" s="4">
        <f>=ROUNDDOWN({0},0)</f>
      </c>
      <c r="AK2940" s="5"/>
      <c r="AL2940" s="2" t="s">
        <v>231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231</v>
      </c>
      <c r="AW2940" s="8" t="s">
        <v>231</v>
      </c>
      <c r="AX2940" s="4" t="s">
        <v>231</v>
      </c>
      <c r="AY2940" s="8" t="s">
        <v>231</v>
      </c>
      <c r="AZ2940" s="7" t="s">
        <v>231</v>
      </c>
      <c r="BA2940" s="7" t="s">
        <v>231</v>
      </c>
      <c r="BB2940" s="7"/>
      <c r="BC2940" s="4" t="s">
        <v>231</v>
      </c>
      <c r="BD2940" s="8" t="s">
        <v>231</v>
      </c>
      <c r="BE2940" s="4" t="s">
        <v>231</v>
      </c>
      <c r="BF2940" s="8" t="s">
        <v>231</v>
      </c>
      <c r="BG2940" s="7" t="s">
        <v>231</v>
      </c>
      <c r="BH2940" s="7" t="s">
        <v>231</v>
      </c>
      <c r="BI2940" s="7"/>
      <c r="BJ2940" s="4">
        <v>5</v>
      </c>
      <c r="BK2940" s="8">
        <v>259.3</v>
      </c>
      <c r="BL2940" s="2" t="s">
        <v>1028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12369</v>
      </c>
      <c r="BV2940" s="2" t="s">
        <v>231</v>
      </c>
      <c r="BW2940" s="2" t="s">
        <v>231</v>
      </c>
      <c r="BX2940" s="2" t="s">
        <v>241</v>
      </c>
      <c r="BY2940" s="2" t="s">
        <v>277</v>
      </c>
      <c r="BZ2940" s="2" t="s">
        <v>243</v>
      </c>
      <c r="CA2940" s="2" t="s">
        <v>1680</v>
      </c>
      <c r="CB2940" s="2" t="s">
        <v>231</v>
      </c>
      <c r="CC2940" s="2" t="s">
        <v>244</v>
      </c>
      <c r="CD2940" s="2" t="s">
        <v>231</v>
      </c>
      <c r="CE2940" s="4">
        <v>427</v>
      </c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4"/>
      <c r="CX2940" s="4"/>
      <c r="CY2940" s="4"/>
      <c r="CZ2940" s="4"/>
      <c r="DA2940" s="4"/>
      <c r="DB2940" s="4"/>
      <c r="DC2940" s="4"/>
      <c r="DD2940" s="4"/>
      <c r="DE2940" s="4"/>
      <c r="DF2940" s="4"/>
      <c r="DG2940" s="4"/>
      <c r="DH2940" s="4"/>
      <c r="DI2940" s="4"/>
      <c r="DJ2940" s="4"/>
      <c r="DK2940" s="4"/>
      <c r="DL2940" s="4"/>
      <c r="DM2940" s="4"/>
      <c r="DN2940" s="4"/>
      <c r="DO2940" s="4"/>
      <c r="DP2940" s="4"/>
      <c r="DQ2940" s="4"/>
      <c r="DR2940" s="4"/>
      <c r="DS2940" s="4"/>
      <c r="DT2940" s="4"/>
      <c r="DU2940" s="4"/>
      <c r="DV2940" s="4"/>
      <c r="DW2940" s="4"/>
      <c r="DX2940" s="4"/>
      <c r="DY2940" s="4"/>
      <c r="DZ2940" s="4"/>
      <c r="EA2940" s="4"/>
      <c r="EB2940" s="4"/>
      <c r="EC2940" s="4"/>
      <c r="ED2940" s="4"/>
      <c r="EE2940" s="4"/>
      <c r="EF2940" s="4"/>
      <c r="EG2940" s="4"/>
      <c r="EH2940" s="4"/>
      <c r="EI2940" s="4"/>
      <c r="EJ2940" s="4"/>
      <c r="EK2940" s="4"/>
      <c r="EL2940" s="4"/>
      <c r="EM2940" s="4"/>
      <c r="EN2940" s="4"/>
      <c r="EO2940" s="4"/>
      <c r="EP2940" s="4"/>
      <c r="EQ2940" s="4"/>
      <c r="ER2940" s="4"/>
      <c r="ES2940" s="4"/>
      <c r="ET2940" s="4"/>
      <c r="EU2940" s="4"/>
      <c r="EV2940" s="4"/>
      <c r="EW2940" s="4"/>
      <c r="EX2940" s="4"/>
      <c r="EY2940" s="4"/>
      <c r="EZ2940" s="4"/>
      <c r="FA2940" s="4"/>
      <c r="FB2940" s="4"/>
      <c r="FC2940" s="4"/>
      <c r="FD2940" s="4"/>
      <c r="FE2940" s="4"/>
      <c r="FF2940" s="4"/>
      <c r="FG2940" s="4"/>
      <c r="FH2940" s="4"/>
      <c r="FI2940" s="4"/>
      <c r="FJ2940" s="4"/>
      <c r="FK2940" s="4"/>
      <c r="FL2940" s="4"/>
      <c r="FM2940" s="4"/>
      <c r="FN2940" s="4"/>
      <c r="FO2940" s="4"/>
      <c r="FP2940" s="4"/>
      <c r="FQ2940" s="4"/>
      <c r="FR2940" s="4"/>
      <c r="FS2940" s="4"/>
      <c r="FT2940" s="4"/>
      <c r="FU2940" s="4"/>
      <c r="FV2940" s="4"/>
      <c r="FW2940" s="4"/>
      <c r="FX2940" s="4"/>
      <c r="FY2940" s="4"/>
      <c r="FZ2940" s="4"/>
      <c r="GA2940" s="4"/>
      <c r="GB2940" s="4"/>
      <c r="GC2940" s="4"/>
      <c r="GD2940" s="4"/>
      <c r="GE2940" s="4"/>
      <c r="GF2940" s="4"/>
      <c r="GG2940" s="4"/>
      <c r="GH2940" s="4"/>
      <c r="GI2940" s="4"/>
      <c r="GJ2940" s="4"/>
      <c r="GK2940" s="4"/>
      <c r="GL2940" s="4"/>
      <c r="GM2940" s="4"/>
      <c r="GN2940" s="4"/>
      <c r="GO2940" s="4"/>
      <c r="GP2940" s="4"/>
      <c r="GQ2940" s="4"/>
      <c r="GR2940" s="4"/>
      <c r="GS2940" s="4"/>
      <c r="GT2940" s="4"/>
      <c r="GU2940" s="4"/>
      <c r="GV2940" s="4"/>
      <c r="GW2940" s="4"/>
      <c r="GX2940" s="4"/>
      <c r="GY2940" s="4"/>
      <c r="GZ2940" s="4"/>
      <c r="HA2940" s="4"/>
      <c r="HB2940" s="4"/>
      <c r="HC2940" s="4"/>
      <c r="HD2940" s="4"/>
      <c r="HE2940" s="4"/>
      <c r="HF2940" s="4"/>
      <c r="HG2940" s="4"/>
      <c r="HH2940" s="4"/>
      <c r="HI2940" s="4"/>
      <c r="HJ2940" s="4"/>
      <c r="HK2940" s="4"/>
      <c r="HL2940" s="4"/>
    </row>
    <row r="2941">
      <c r="A2941" s="2" t="s">
        <v>12370</v>
      </c>
      <c r="B2941" s="2" t="s">
        <v>824</v>
      </c>
      <c r="C2941" s="2" t="s">
        <v>1017</v>
      </c>
      <c r="D2941" s="2" t="s">
        <v>654</v>
      </c>
      <c r="E2941" s="2" t="s">
        <v>1187</v>
      </c>
      <c r="F2941" s="2" t="s">
        <v>12364</v>
      </c>
      <c r="G2941" s="2" t="s">
        <v>231</v>
      </c>
      <c r="H2941" s="2" t="s">
        <v>231</v>
      </c>
      <c r="I2941" s="2" t="s">
        <v>12365</v>
      </c>
      <c r="J2941" s="2" t="s">
        <v>302</v>
      </c>
      <c r="K2941" s="2" t="s">
        <v>12366</v>
      </c>
      <c r="L2941" s="3">
        <v>40.59</v>
      </c>
      <c r="M2941" s="3">
        <v>42.62</v>
      </c>
      <c r="N2941" s="3">
        <v>69.99</v>
      </c>
      <c r="O2941" s="2" t="s">
        <v>243</v>
      </c>
      <c r="P2941" s="2" t="s">
        <v>1019</v>
      </c>
      <c r="Q2941" s="2" t="s">
        <v>237</v>
      </c>
      <c r="R2941" s="2" t="s">
        <v>1020</v>
      </c>
      <c r="S2941" s="2" t="s">
        <v>231</v>
      </c>
      <c r="T2941" s="2" t="s">
        <v>472</v>
      </c>
      <c r="U2941" s="2" t="s">
        <v>1196</v>
      </c>
      <c r="V2941" s="2" t="s">
        <v>662</v>
      </c>
      <c r="W2941" s="2" t="s">
        <v>273</v>
      </c>
      <c r="X2941" s="2" t="s">
        <v>273</v>
      </c>
      <c r="Y2941" s="2" t="s">
        <v>1109</v>
      </c>
      <c r="Z2941" s="4">
        <v>811</v>
      </c>
      <c r="AA2941" s="4">
        <f>=ROUNDDOWN(202.75,0)</f>
      </c>
      <c r="AB2941" s="5">
        <v>4</v>
      </c>
      <c r="AC2941" s="2" t="s">
        <v>231</v>
      </c>
      <c r="AD2941" s="4"/>
      <c r="AE2941" s="4"/>
      <c r="AF2941" s="6">
        <v>64</v>
      </c>
      <c r="AG2941" s="6"/>
      <c r="AH2941" s="7">
        <v>1</v>
      </c>
      <c r="AI2941" s="4"/>
      <c r="AJ2941" s="4">
        <f>=ROUNDDOWN({0},0)</f>
      </c>
      <c r="AK2941" s="5"/>
      <c r="AL2941" s="2" t="s">
        <v>231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231</v>
      </c>
      <c r="AW2941" s="8" t="s">
        <v>231</v>
      </c>
      <c r="AX2941" s="4" t="s">
        <v>231</v>
      </c>
      <c r="AY2941" s="8" t="s">
        <v>231</v>
      </c>
      <c r="AZ2941" s="7" t="s">
        <v>231</v>
      </c>
      <c r="BA2941" s="7" t="s">
        <v>231</v>
      </c>
      <c r="BB2941" s="7"/>
      <c r="BC2941" s="4" t="s">
        <v>231</v>
      </c>
      <c r="BD2941" s="8" t="s">
        <v>231</v>
      </c>
      <c r="BE2941" s="4" t="s">
        <v>231</v>
      </c>
      <c r="BF2941" s="8" t="s">
        <v>231</v>
      </c>
      <c r="BG2941" s="7" t="s">
        <v>231</v>
      </c>
      <c r="BH2941" s="7" t="s">
        <v>231</v>
      </c>
      <c r="BI2941" s="7"/>
      <c r="BJ2941" s="4"/>
      <c r="BK2941" s="8"/>
      <c r="BL2941" s="2" t="s">
        <v>231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12371</v>
      </c>
      <c r="BV2941" s="2" t="s">
        <v>231</v>
      </c>
      <c r="BW2941" s="2" t="s">
        <v>231</v>
      </c>
      <c r="BX2941" s="2" t="s">
        <v>241</v>
      </c>
      <c r="BY2941" s="2" t="s">
        <v>277</v>
      </c>
      <c r="BZ2941" s="2" t="s">
        <v>243</v>
      </c>
      <c r="CA2941" s="2" t="s">
        <v>1680</v>
      </c>
      <c r="CB2941" s="2" t="s">
        <v>231</v>
      </c>
      <c r="CC2941" s="2" t="s">
        <v>244</v>
      </c>
      <c r="CD2941" s="2" t="s">
        <v>231</v>
      </c>
      <c r="CE2941" s="4">
        <v>811</v>
      </c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4"/>
      <c r="CX2941" s="4"/>
      <c r="CY2941" s="4"/>
      <c r="CZ2941" s="4"/>
      <c r="DA2941" s="4"/>
      <c r="DB2941" s="4"/>
      <c r="DC2941" s="4"/>
      <c r="DD2941" s="4"/>
      <c r="DE2941" s="4"/>
      <c r="DF2941" s="4"/>
      <c r="DG2941" s="4"/>
      <c r="DH2941" s="4"/>
      <c r="DI2941" s="4"/>
      <c r="DJ2941" s="4"/>
      <c r="DK2941" s="4"/>
      <c r="DL2941" s="4"/>
      <c r="DM2941" s="4"/>
      <c r="DN2941" s="4"/>
      <c r="DO2941" s="4"/>
      <c r="DP2941" s="4"/>
      <c r="DQ2941" s="4"/>
      <c r="DR2941" s="4"/>
      <c r="DS2941" s="4"/>
      <c r="DT2941" s="4"/>
      <c r="DU2941" s="4"/>
      <c r="DV2941" s="4"/>
      <c r="DW2941" s="4"/>
      <c r="DX2941" s="4"/>
      <c r="DY2941" s="4"/>
      <c r="DZ2941" s="4"/>
      <c r="EA2941" s="4"/>
      <c r="EB2941" s="4"/>
      <c r="EC2941" s="4"/>
      <c r="ED2941" s="4"/>
      <c r="EE2941" s="4"/>
      <c r="EF2941" s="4"/>
      <c r="EG2941" s="4"/>
      <c r="EH2941" s="4"/>
      <c r="EI2941" s="4"/>
      <c r="EJ2941" s="4"/>
      <c r="EK2941" s="4"/>
      <c r="EL2941" s="4"/>
      <c r="EM2941" s="4"/>
      <c r="EN2941" s="4"/>
      <c r="EO2941" s="4"/>
      <c r="EP2941" s="4"/>
      <c r="EQ2941" s="4"/>
      <c r="ER2941" s="4"/>
      <c r="ES2941" s="4"/>
      <c r="ET2941" s="4"/>
      <c r="EU2941" s="4"/>
      <c r="EV2941" s="4"/>
      <c r="EW2941" s="4"/>
      <c r="EX2941" s="4"/>
      <c r="EY2941" s="4"/>
      <c r="EZ2941" s="4"/>
      <c r="FA2941" s="4"/>
      <c r="FB2941" s="4"/>
      <c r="FC2941" s="4"/>
      <c r="FD2941" s="4"/>
      <c r="FE2941" s="4"/>
      <c r="FF2941" s="4"/>
      <c r="FG2941" s="4"/>
      <c r="FH2941" s="4"/>
      <c r="FI2941" s="4"/>
      <c r="FJ2941" s="4"/>
      <c r="FK2941" s="4"/>
      <c r="FL2941" s="4"/>
      <c r="FM2941" s="4"/>
      <c r="FN2941" s="4"/>
      <c r="FO2941" s="4"/>
      <c r="FP2941" s="4"/>
      <c r="FQ2941" s="4"/>
      <c r="FR2941" s="4"/>
      <c r="FS2941" s="4"/>
      <c r="FT2941" s="4"/>
      <c r="FU2941" s="4"/>
      <c r="FV2941" s="4"/>
      <c r="FW2941" s="4"/>
      <c r="FX2941" s="4"/>
      <c r="FY2941" s="4"/>
      <c r="FZ2941" s="4"/>
      <c r="GA2941" s="4"/>
      <c r="GB2941" s="4"/>
      <c r="GC2941" s="4"/>
      <c r="GD2941" s="4"/>
      <c r="GE2941" s="4"/>
      <c r="GF2941" s="4"/>
      <c r="GG2941" s="4"/>
      <c r="GH2941" s="4"/>
      <c r="GI2941" s="4"/>
      <c r="GJ2941" s="4"/>
      <c r="GK2941" s="4"/>
      <c r="GL2941" s="4"/>
      <c r="GM2941" s="4"/>
      <c r="GN2941" s="4"/>
      <c r="GO2941" s="4"/>
      <c r="GP2941" s="4"/>
      <c r="GQ2941" s="4"/>
      <c r="GR2941" s="4"/>
      <c r="GS2941" s="4"/>
      <c r="GT2941" s="4"/>
      <c r="GU2941" s="4"/>
      <c r="GV2941" s="4"/>
      <c r="GW2941" s="4"/>
      <c r="GX2941" s="4"/>
      <c r="GY2941" s="4"/>
      <c r="GZ2941" s="4"/>
      <c r="HA2941" s="4"/>
      <c r="HB2941" s="4"/>
      <c r="HC2941" s="4"/>
      <c r="HD2941" s="4"/>
      <c r="HE2941" s="4"/>
      <c r="HF2941" s="4"/>
      <c r="HG2941" s="4"/>
      <c r="HH2941" s="4"/>
      <c r="HI2941" s="4"/>
      <c r="HJ2941" s="4"/>
      <c r="HK2941" s="4"/>
      <c r="HL2941" s="4"/>
    </row>
    <row r="2942">
      <c r="A2942" s="2" t="s">
        <v>12372</v>
      </c>
      <c r="B2942" s="2" t="s">
        <v>847</v>
      </c>
      <c r="C2942" s="2" t="s">
        <v>1051</v>
      </c>
      <c r="D2942" s="2" t="s">
        <v>882</v>
      </c>
      <c r="E2942" s="2" t="s">
        <v>2191</v>
      </c>
      <c r="F2942" s="2" t="s">
        <v>12373</v>
      </c>
      <c r="G2942" s="2" t="s">
        <v>12373</v>
      </c>
      <c r="H2942" s="2" t="s">
        <v>12373</v>
      </c>
      <c r="I2942" s="2" t="s">
        <v>12374</v>
      </c>
      <c r="J2942" s="2" t="s">
        <v>807</v>
      </c>
      <c r="K2942" s="2" t="s">
        <v>870</v>
      </c>
      <c r="L2942" s="3">
        <v>38.57</v>
      </c>
      <c r="M2942" s="3">
        <v>40.5</v>
      </c>
      <c r="N2942" s="3">
        <v>89.99</v>
      </c>
      <c r="O2942" s="2" t="s">
        <v>235</v>
      </c>
      <c r="P2942" s="2" t="s">
        <v>341</v>
      </c>
      <c r="Q2942" s="2" t="s">
        <v>237</v>
      </c>
      <c r="R2942" s="2" t="s">
        <v>231</v>
      </c>
      <c r="S2942" s="2" t="s">
        <v>12375</v>
      </c>
      <c r="T2942" s="2" t="s">
        <v>231</v>
      </c>
      <c r="U2942" s="2" t="s">
        <v>835</v>
      </c>
      <c r="V2942" s="2" t="s">
        <v>836</v>
      </c>
      <c r="W2942" s="2" t="s">
        <v>691</v>
      </c>
      <c r="X2942" s="2" t="s">
        <v>273</v>
      </c>
      <c r="Y2942" s="2" t="s">
        <v>854</v>
      </c>
      <c r="Z2942" s="4">
        <v>61</v>
      </c>
      <c r="AA2942" s="4">
        <f>=ROUNDDOWN(610,0)</f>
      </c>
      <c r="AB2942" s="5">
        <v>0.1</v>
      </c>
      <c r="AC2942" s="2" t="s">
        <v>231</v>
      </c>
      <c r="AD2942" s="4"/>
      <c r="AE2942" s="4"/>
      <c r="AF2942" s="6">
        <v>63</v>
      </c>
      <c r="AG2942" s="6"/>
      <c r="AH2942" s="7">
        <v>1</v>
      </c>
      <c r="AI2942" s="4"/>
      <c r="AJ2942" s="4">
        <f>=ROUNDDOWN({0},0)</f>
      </c>
      <c r="AK2942" s="5"/>
      <c r="AL2942" s="2" t="s">
        <v>231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/>
      <c r="BD2942" s="8"/>
      <c r="BE2942" s="4"/>
      <c r="BF2942" s="8"/>
      <c r="BG2942" s="7"/>
      <c r="BH2942" s="7"/>
      <c r="BI2942" s="7"/>
      <c r="BJ2942" s="4">
        <v>1</v>
      </c>
      <c r="BK2942" s="8">
        <v>29.76</v>
      </c>
      <c r="BL2942" s="2" t="s">
        <v>12376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12377</v>
      </c>
      <c r="BV2942" s="2" t="s">
        <v>231</v>
      </c>
      <c r="BW2942" s="2" t="s">
        <v>231</v>
      </c>
      <c r="BX2942" s="2" t="s">
        <v>231</v>
      </c>
      <c r="BY2942" s="2" t="s">
        <v>277</v>
      </c>
      <c r="BZ2942" s="2" t="s">
        <v>243</v>
      </c>
      <c r="CA2942" s="2" t="s">
        <v>857</v>
      </c>
      <c r="CB2942" s="2" t="s">
        <v>5689</v>
      </c>
      <c r="CC2942" s="2" t="s">
        <v>244</v>
      </c>
      <c r="CD2942" s="2" t="s">
        <v>231</v>
      </c>
      <c r="CE2942" s="4"/>
      <c r="CF2942" s="4">
        <v>61</v>
      </c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4"/>
      <c r="CX2942" s="4"/>
      <c r="CY2942" s="4"/>
      <c r="CZ2942" s="4"/>
      <c r="DA2942" s="4"/>
      <c r="DB2942" s="4"/>
      <c r="DC2942" s="4"/>
      <c r="DD2942" s="4"/>
      <c r="DE2942" s="4"/>
      <c r="DF2942" s="4"/>
      <c r="DG2942" s="4"/>
      <c r="DH2942" s="4"/>
      <c r="DI2942" s="4"/>
      <c r="DJ2942" s="4"/>
      <c r="DK2942" s="4"/>
      <c r="DL2942" s="4"/>
      <c r="DM2942" s="4"/>
      <c r="DN2942" s="4"/>
      <c r="DO2942" s="4"/>
      <c r="DP2942" s="4"/>
      <c r="DQ2942" s="4"/>
      <c r="DR2942" s="4"/>
      <c r="DS2942" s="4"/>
      <c r="DT2942" s="4"/>
      <c r="DU2942" s="4"/>
      <c r="DV2942" s="4"/>
      <c r="DW2942" s="4"/>
      <c r="DX2942" s="4"/>
      <c r="DY2942" s="4"/>
      <c r="DZ2942" s="4"/>
      <c r="EA2942" s="4"/>
      <c r="EB2942" s="4"/>
      <c r="EC2942" s="4"/>
      <c r="ED2942" s="4"/>
      <c r="EE2942" s="4"/>
      <c r="EF2942" s="4"/>
      <c r="EG2942" s="4"/>
      <c r="EH2942" s="4"/>
      <c r="EI2942" s="4"/>
      <c r="EJ2942" s="4"/>
      <c r="EK2942" s="4"/>
      <c r="EL2942" s="4"/>
      <c r="EM2942" s="4"/>
      <c r="EN2942" s="4"/>
      <c r="EO2942" s="4"/>
      <c r="EP2942" s="4"/>
      <c r="EQ2942" s="4"/>
      <c r="ER2942" s="4"/>
      <c r="ES2942" s="4"/>
      <c r="ET2942" s="4"/>
      <c r="EU2942" s="4"/>
      <c r="EV2942" s="4"/>
      <c r="EW2942" s="4"/>
      <c r="EX2942" s="4"/>
      <c r="EY2942" s="4"/>
      <c r="EZ2942" s="4"/>
      <c r="FA2942" s="4"/>
      <c r="FB2942" s="4"/>
      <c r="FC2942" s="4"/>
      <c r="FD2942" s="4"/>
      <c r="FE2942" s="4"/>
      <c r="FF2942" s="4"/>
      <c r="FG2942" s="4"/>
      <c r="FH2942" s="4"/>
      <c r="FI2942" s="4"/>
      <c r="FJ2942" s="4"/>
      <c r="FK2942" s="4"/>
      <c r="FL2942" s="4"/>
      <c r="FM2942" s="4"/>
      <c r="FN2942" s="4"/>
      <c r="FO2942" s="4"/>
      <c r="FP2942" s="4"/>
      <c r="FQ2942" s="4"/>
      <c r="FR2942" s="4"/>
      <c r="FS2942" s="4"/>
      <c r="FT2942" s="4"/>
      <c r="FU2942" s="4"/>
      <c r="FV2942" s="4"/>
      <c r="FW2942" s="4"/>
      <c r="FX2942" s="4"/>
      <c r="FY2942" s="4"/>
      <c r="FZ2942" s="4"/>
      <c r="GA2942" s="4"/>
      <c r="GB2942" s="4"/>
      <c r="GC2942" s="4"/>
      <c r="GD2942" s="4"/>
      <c r="GE2942" s="4"/>
      <c r="GF2942" s="4"/>
      <c r="GG2942" s="4"/>
      <c r="GH2942" s="4"/>
      <c r="GI2942" s="4"/>
      <c r="GJ2942" s="4"/>
      <c r="GK2942" s="4"/>
      <c r="GL2942" s="4"/>
      <c r="GM2942" s="4"/>
      <c r="GN2942" s="4"/>
      <c r="GO2942" s="4"/>
      <c r="GP2942" s="4"/>
      <c r="GQ2942" s="4"/>
      <c r="GR2942" s="4"/>
      <c r="GS2942" s="4"/>
      <c r="GT2942" s="4"/>
      <c r="GU2942" s="4"/>
      <c r="GV2942" s="4"/>
      <c r="GW2942" s="4"/>
      <c r="GX2942" s="4"/>
      <c r="GY2942" s="4"/>
      <c r="GZ2942" s="4"/>
      <c r="HA2942" s="4"/>
      <c r="HB2942" s="4"/>
      <c r="HC2942" s="4"/>
      <c r="HD2942" s="4"/>
      <c r="HE2942" s="4"/>
      <c r="HF2942" s="4"/>
      <c r="HG2942" s="4"/>
      <c r="HH2942" s="4"/>
      <c r="HI2942" s="4"/>
      <c r="HJ2942" s="4"/>
      <c r="HK2942" s="4"/>
      <c r="HL2942" s="4"/>
    </row>
    <row r="2943">
      <c r="A2943" s="2" t="s">
        <v>12378</v>
      </c>
      <c r="B2943" s="2" t="s">
        <v>262</v>
      </c>
      <c r="C2943" s="2" t="s">
        <v>263</v>
      </c>
      <c r="D2943" s="2" t="s">
        <v>654</v>
      </c>
      <c r="E2943" s="2" t="s">
        <v>1212</v>
      </c>
      <c r="F2943" s="2" t="s">
        <v>12379</v>
      </c>
      <c r="G2943" s="2" t="s">
        <v>12379</v>
      </c>
      <c r="H2943" s="2" t="s">
        <v>12379</v>
      </c>
      <c r="I2943" s="2" t="s">
        <v>8628</v>
      </c>
      <c r="J2943" s="2" t="s">
        <v>318</v>
      </c>
      <c r="K2943" s="2" t="s">
        <v>319</v>
      </c>
      <c r="L2943" s="3">
        <v>38.4</v>
      </c>
      <c r="M2943" s="3">
        <v>40.32</v>
      </c>
      <c r="N2943" s="3">
        <v>79.99</v>
      </c>
      <c r="O2943" s="2" t="s">
        <v>243</v>
      </c>
      <c r="P2943" s="2" t="s">
        <v>270</v>
      </c>
      <c r="Q2943" s="2" t="s">
        <v>237</v>
      </c>
      <c r="R2943" s="2" t="s">
        <v>231</v>
      </c>
      <c r="S2943" s="2" t="s">
        <v>8629</v>
      </c>
      <c r="T2943" s="2" t="s">
        <v>362</v>
      </c>
      <c r="U2943" s="2" t="s">
        <v>231</v>
      </c>
      <c r="V2943" s="2" t="s">
        <v>239</v>
      </c>
      <c r="W2943" s="2" t="s">
        <v>273</v>
      </c>
      <c r="X2943" s="2" t="s">
        <v>231</v>
      </c>
      <c r="Y2943" s="2" t="s">
        <v>274</v>
      </c>
      <c r="Z2943" s="4">
        <v>72</v>
      </c>
      <c r="AA2943" s="4">
        <f>=ROUNDDOWN(18,0)</f>
      </c>
      <c r="AB2943" s="5">
        <v>4</v>
      </c>
      <c r="AC2943" s="2" t="s">
        <v>1754</v>
      </c>
      <c r="AD2943" s="4">
        <v>28</v>
      </c>
      <c r="AE2943" s="4">
        <v>28</v>
      </c>
      <c r="AF2943" s="6">
        <v>66</v>
      </c>
      <c r="AG2943" s="6"/>
      <c r="AH2943" s="7">
        <v>1</v>
      </c>
      <c r="AI2943" s="4"/>
      <c r="AJ2943" s="4">
        <f>=ROUNDDOWN({0},0)</f>
      </c>
      <c r="AK2943" s="5"/>
      <c r="AL2943" s="2" t="s">
        <v>231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/>
      <c r="AW2943" s="8"/>
      <c r="AX2943" s="4"/>
      <c r="AY2943" s="8"/>
      <c r="AZ2943" s="7"/>
      <c r="BA2943" s="7"/>
      <c r="BB2943" s="7"/>
      <c r="BC2943" s="4"/>
      <c r="BD2943" s="8"/>
      <c r="BE2943" s="4"/>
      <c r="BF2943" s="8"/>
      <c r="BG2943" s="7"/>
      <c r="BH2943" s="7"/>
      <c r="BI2943" s="7"/>
      <c r="BJ2943" s="4">
        <v>4</v>
      </c>
      <c r="BK2943" s="8">
        <v>161.24</v>
      </c>
      <c r="BL2943" s="2" t="s">
        <v>3541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12380</v>
      </c>
      <c r="BV2943" s="2" t="s">
        <v>231</v>
      </c>
      <c r="BW2943" s="2" t="s">
        <v>231</v>
      </c>
      <c r="BX2943" s="2" t="s">
        <v>231</v>
      </c>
      <c r="BY2943" s="2" t="s">
        <v>277</v>
      </c>
      <c r="BZ2943" s="2" t="s">
        <v>243</v>
      </c>
      <c r="CA2943" s="2" t="s">
        <v>284</v>
      </c>
      <c r="CB2943" s="2" t="s">
        <v>12381</v>
      </c>
      <c r="CC2943" s="2" t="s">
        <v>244</v>
      </c>
      <c r="CD2943" s="2" t="s">
        <v>231</v>
      </c>
      <c r="CE2943" s="4">
        <v>72</v>
      </c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4"/>
      <c r="CX2943" s="4"/>
      <c r="CY2943" s="4"/>
      <c r="CZ2943" s="4"/>
      <c r="DA2943" s="4"/>
      <c r="DB2943" s="4"/>
      <c r="DC2943" s="4"/>
      <c r="DD2943" s="4"/>
      <c r="DE2943" s="4"/>
      <c r="DF2943" s="4"/>
      <c r="DG2943" s="4"/>
      <c r="DH2943" s="4"/>
      <c r="DI2943" s="4"/>
      <c r="DJ2943" s="4"/>
      <c r="DK2943" s="4"/>
      <c r="DL2943" s="4"/>
      <c r="DM2943" s="4"/>
      <c r="DN2943" s="4"/>
      <c r="DO2943" s="4"/>
      <c r="DP2943" s="4"/>
      <c r="DQ2943" s="4"/>
      <c r="DR2943" s="4"/>
      <c r="DS2943" s="4"/>
      <c r="DT2943" s="4"/>
      <c r="DU2943" s="4"/>
      <c r="DV2943" s="4"/>
      <c r="DW2943" s="4"/>
      <c r="DX2943" s="4"/>
      <c r="DY2943" s="4"/>
      <c r="DZ2943" s="4"/>
      <c r="EA2943" s="4"/>
      <c r="EB2943" s="4"/>
      <c r="EC2943" s="4"/>
      <c r="ED2943" s="4"/>
      <c r="EE2943" s="4"/>
      <c r="EF2943" s="4"/>
      <c r="EG2943" s="4">
        <v>28</v>
      </c>
      <c r="EH2943" s="4"/>
      <c r="EI2943" s="4"/>
      <c r="EJ2943" s="4"/>
      <c r="EK2943" s="4"/>
      <c r="EL2943" s="4"/>
      <c r="EM2943" s="4"/>
      <c r="EN2943" s="4"/>
      <c r="EO2943" s="4"/>
      <c r="EP2943" s="4"/>
      <c r="EQ2943" s="4"/>
      <c r="ER2943" s="4"/>
      <c r="ES2943" s="4"/>
      <c r="ET2943" s="4"/>
      <c r="EU2943" s="4"/>
      <c r="EV2943" s="4"/>
      <c r="EW2943" s="4"/>
      <c r="EX2943" s="4"/>
      <c r="EY2943" s="4"/>
      <c r="EZ2943" s="4"/>
      <c r="FA2943" s="4"/>
      <c r="FB2943" s="4"/>
      <c r="FC2943" s="4"/>
      <c r="FD2943" s="4"/>
      <c r="FE2943" s="4"/>
      <c r="FF2943" s="4"/>
      <c r="FG2943" s="4"/>
      <c r="FH2943" s="4"/>
      <c r="FI2943" s="4"/>
      <c r="FJ2943" s="4"/>
      <c r="FK2943" s="4"/>
      <c r="FL2943" s="4"/>
      <c r="FM2943" s="4"/>
      <c r="FN2943" s="4"/>
      <c r="FO2943" s="4"/>
      <c r="FP2943" s="4"/>
      <c r="FQ2943" s="4"/>
      <c r="FR2943" s="4"/>
      <c r="FS2943" s="4"/>
      <c r="FT2943" s="4"/>
      <c r="FU2943" s="4"/>
      <c r="FV2943" s="4"/>
      <c r="FW2943" s="4"/>
      <c r="FX2943" s="4"/>
      <c r="FY2943" s="4"/>
      <c r="FZ2943" s="4"/>
      <c r="GA2943" s="4"/>
      <c r="GB2943" s="4"/>
      <c r="GC2943" s="4"/>
      <c r="GD2943" s="4"/>
      <c r="GE2943" s="4"/>
      <c r="GF2943" s="4"/>
      <c r="GG2943" s="4"/>
      <c r="GH2943" s="4"/>
      <c r="GI2943" s="4"/>
      <c r="GJ2943" s="4"/>
      <c r="GK2943" s="4"/>
      <c r="GL2943" s="4"/>
      <c r="GM2943" s="4"/>
      <c r="GN2943" s="4"/>
      <c r="GO2943" s="4"/>
      <c r="GP2943" s="4"/>
      <c r="GQ2943" s="4"/>
      <c r="GR2943" s="4"/>
      <c r="GS2943" s="4"/>
      <c r="GT2943" s="4"/>
      <c r="GU2943" s="4"/>
      <c r="GV2943" s="4"/>
      <c r="GW2943" s="4"/>
      <c r="GX2943" s="4"/>
      <c r="GY2943" s="4"/>
      <c r="GZ2943" s="4"/>
      <c r="HA2943" s="4"/>
      <c r="HB2943" s="4"/>
      <c r="HC2943" s="4"/>
      <c r="HD2943" s="4"/>
      <c r="HE2943" s="4"/>
      <c r="HF2943" s="4"/>
      <c r="HG2943" s="4"/>
      <c r="HH2943" s="4"/>
      <c r="HI2943" s="4"/>
      <c r="HJ2943" s="4"/>
      <c r="HK2943" s="4"/>
      <c r="HL2943" s="4"/>
    </row>
    <row r="2944">
      <c r="A2944" s="2" t="s">
        <v>12382</v>
      </c>
      <c r="B2944" s="2" t="s">
        <v>1004</v>
      </c>
      <c r="C2944" s="2" t="s">
        <v>288</v>
      </c>
      <c r="D2944" s="2" t="s">
        <v>1912</v>
      </c>
      <c r="E2944" s="2" t="s">
        <v>1913</v>
      </c>
      <c r="F2944" s="2" t="s">
        <v>12383</v>
      </c>
      <c r="G2944" s="2" t="s">
        <v>12384</v>
      </c>
      <c r="H2944" s="2" t="s">
        <v>12385</v>
      </c>
      <c r="I2944" s="2" t="s">
        <v>7324</v>
      </c>
      <c r="J2944" s="2" t="s">
        <v>807</v>
      </c>
      <c r="K2944" s="2" t="s">
        <v>1491</v>
      </c>
      <c r="L2944" s="3">
        <v>114</v>
      </c>
      <c r="M2944" s="3">
        <v>119.7</v>
      </c>
      <c r="N2944" s="3">
        <v>239</v>
      </c>
      <c r="O2944" s="2" t="s">
        <v>243</v>
      </c>
      <c r="P2944" s="2" t="s">
        <v>1915</v>
      </c>
      <c r="Q2944" s="2" t="s">
        <v>237</v>
      </c>
      <c r="R2944" s="2" t="s">
        <v>231</v>
      </c>
      <c r="S2944" s="2" t="s">
        <v>12386</v>
      </c>
      <c r="T2944" s="2" t="s">
        <v>231</v>
      </c>
      <c r="U2944" s="2" t="s">
        <v>231</v>
      </c>
      <c r="V2944" s="2" t="s">
        <v>239</v>
      </c>
      <c r="W2944" s="2" t="s">
        <v>792</v>
      </c>
      <c r="X2944" s="2" t="s">
        <v>231</v>
      </c>
      <c r="Y2944" s="2" t="s">
        <v>231</v>
      </c>
      <c r="Z2944" s="4"/>
      <c r="AA2944" s="4">
        <f>=ROUNDDOWN({0},0)</f>
      </c>
      <c r="AB2944" s="5"/>
      <c r="AC2944" s="2" t="s">
        <v>12387</v>
      </c>
      <c r="AD2944" s="4">
        <v>100</v>
      </c>
      <c r="AE2944" s="4">
        <v>100</v>
      </c>
      <c r="AF2944" s="6">
        <v>74</v>
      </c>
      <c r="AG2944" s="6"/>
      <c r="AH2944" s="7">
        <v>0</v>
      </c>
      <c r="AI2944" s="4"/>
      <c r="AJ2944" s="4">
        <f>=ROUNDDOWN({0},0)</f>
      </c>
      <c r="AK2944" s="5"/>
      <c r="AL2944" s="2" t="s">
        <v>231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/>
      <c r="AW2944" s="8"/>
      <c r="AX2944" s="4"/>
      <c r="AY2944" s="8"/>
      <c r="AZ2944" s="7"/>
      <c r="BA2944" s="7"/>
      <c r="BB2944" s="7"/>
      <c r="BC2944" s="4"/>
      <c r="BD2944" s="8"/>
      <c r="BE2944" s="4"/>
      <c r="BF2944" s="8"/>
      <c r="BG2944" s="7"/>
      <c r="BH2944" s="7"/>
      <c r="BI2944" s="7"/>
      <c r="BJ2944" s="4"/>
      <c r="BK2944" s="8"/>
      <c r="BL2944" s="2" t="s">
        <v>231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241</v>
      </c>
      <c r="BV2944" s="2" t="s">
        <v>231</v>
      </c>
      <c r="BW2944" s="2" t="s">
        <v>231</v>
      </c>
      <c r="BX2944" s="2" t="s">
        <v>312</v>
      </c>
      <c r="BY2944" s="2" t="s">
        <v>242</v>
      </c>
      <c r="BZ2944" s="2" t="s">
        <v>243</v>
      </c>
      <c r="CA2944" s="2" t="s">
        <v>231</v>
      </c>
      <c r="CB2944" s="2" t="s">
        <v>231</v>
      </c>
      <c r="CC2944" s="2" t="s">
        <v>244</v>
      </c>
      <c r="CD2944" s="2" t="s">
        <v>231</v>
      </c>
      <c r="CE2944" s="4"/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4"/>
      <c r="CX2944" s="4"/>
      <c r="CY2944" s="4"/>
      <c r="CZ2944" s="4"/>
      <c r="DA2944" s="4"/>
      <c r="DB2944" s="4"/>
      <c r="DC2944" s="4"/>
      <c r="DD2944" s="4"/>
      <c r="DE2944" s="4"/>
      <c r="DF2944" s="4"/>
      <c r="DG2944" s="4"/>
      <c r="DH2944" s="4"/>
      <c r="DI2944" s="4"/>
      <c r="DJ2944" s="4"/>
      <c r="DK2944" s="4"/>
      <c r="DL2944" s="4"/>
      <c r="DM2944" s="4"/>
      <c r="DN2944" s="4"/>
      <c r="DO2944" s="4"/>
      <c r="DP2944" s="4"/>
      <c r="DQ2944" s="4"/>
      <c r="DR2944" s="4"/>
      <c r="DS2944" s="4"/>
      <c r="DT2944" s="4"/>
      <c r="DU2944" s="4"/>
      <c r="DV2944" s="4"/>
      <c r="DW2944" s="4"/>
      <c r="DX2944" s="4"/>
      <c r="DY2944" s="4"/>
      <c r="DZ2944" s="4"/>
      <c r="EA2944" s="4"/>
      <c r="EB2944" s="4"/>
      <c r="EC2944" s="4"/>
      <c r="ED2944" s="4"/>
      <c r="EE2944" s="4"/>
      <c r="EF2944" s="4"/>
      <c r="EG2944" s="4"/>
      <c r="EH2944" s="4"/>
      <c r="EI2944" s="4"/>
      <c r="EJ2944" s="4"/>
      <c r="EK2944" s="4"/>
      <c r="EL2944" s="4"/>
      <c r="EM2944" s="4"/>
      <c r="EN2944" s="4"/>
      <c r="EO2944" s="4"/>
      <c r="EP2944" s="4"/>
      <c r="EQ2944" s="4"/>
      <c r="ER2944" s="4"/>
      <c r="ES2944" s="4"/>
      <c r="ET2944" s="4"/>
      <c r="EU2944" s="4"/>
      <c r="EV2944" s="4"/>
      <c r="EW2944" s="4"/>
      <c r="EX2944" s="4"/>
      <c r="EY2944" s="4"/>
      <c r="EZ2944" s="4"/>
      <c r="FA2944" s="4"/>
      <c r="FB2944" s="4"/>
      <c r="FC2944" s="4"/>
      <c r="FD2944" s="4"/>
      <c r="FE2944" s="4"/>
      <c r="FF2944" s="4"/>
      <c r="FG2944" s="4"/>
      <c r="FH2944" s="4"/>
      <c r="FI2944" s="4"/>
      <c r="FJ2944" s="4"/>
      <c r="FK2944" s="4"/>
      <c r="FL2944" s="4"/>
      <c r="FM2944" s="4"/>
      <c r="FN2944" s="4"/>
      <c r="FO2944" s="4"/>
      <c r="FP2944" s="4"/>
      <c r="FQ2944" s="4"/>
      <c r="FR2944" s="4"/>
      <c r="FS2944" s="4"/>
      <c r="FT2944" s="4"/>
      <c r="FU2944" s="4"/>
      <c r="FV2944" s="4"/>
      <c r="FW2944" s="4"/>
      <c r="FX2944" s="4"/>
      <c r="FY2944" s="4"/>
      <c r="FZ2944" s="4"/>
      <c r="GA2944" s="4"/>
      <c r="GB2944" s="4"/>
      <c r="GC2944" s="4"/>
      <c r="GD2944" s="4"/>
      <c r="GE2944" s="4"/>
      <c r="GF2944" s="4"/>
      <c r="GG2944" s="4"/>
      <c r="GH2944" s="4"/>
      <c r="GI2944" s="4"/>
      <c r="GJ2944" s="4"/>
      <c r="GK2944" s="4"/>
      <c r="GL2944" s="4"/>
      <c r="GM2944" s="4"/>
      <c r="GN2944" s="4">
        <v>100</v>
      </c>
      <c r="GO2944" s="4"/>
      <c r="GP2944" s="4"/>
      <c r="GQ2944" s="4"/>
      <c r="GR2944" s="4"/>
      <c r="GS2944" s="4"/>
      <c r="GT2944" s="4"/>
      <c r="GU2944" s="4"/>
      <c r="GV2944" s="4"/>
      <c r="GW2944" s="4"/>
      <c r="GX2944" s="4"/>
      <c r="GY2944" s="4"/>
      <c r="GZ2944" s="4"/>
      <c r="HA2944" s="4"/>
      <c r="HB2944" s="4"/>
      <c r="HC2944" s="4"/>
      <c r="HD2944" s="4"/>
      <c r="HE2944" s="4"/>
      <c r="HF2944" s="4"/>
      <c r="HG2944" s="4"/>
      <c r="HH2944" s="4"/>
      <c r="HI2944" s="4"/>
      <c r="HJ2944" s="4"/>
      <c r="HK2944" s="4"/>
      <c r="HL2944" s="4"/>
    </row>
    <row r="2945">
      <c r="A2945" s="2" t="s">
        <v>12388</v>
      </c>
      <c r="B2945" s="2" t="s">
        <v>1004</v>
      </c>
      <c r="C2945" s="2" t="s">
        <v>288</v>
      </c>
      <c r="D2945" s="2" t="s">
        <v>5985</v>
      </c>
      <c r="E2945" s="2" t="s">
        <v>5986</v>
      </c>
      <c r="F2945" s="2" t="s">
        <v>2169</v>
      </c>
      <c r="G2945" s="2" t="s">
        <v>3667</v>
      </c>
      <c r="H2945" s="2" t="s">
        <v>12389</v>
      </c>
      <c r="I2945" s="2" t="s">
        <v>12390</v>
      </c>
      <c r="J2945" s="2" t="s">
        <v>807</v>
      </c>
      <c r="K2945" s="2" t="s">
        <v>901</v>
      </c>
      <c r="L2945" s="3">
        <v>380.97</v>
      </c>
      <c r="M2945" s="3">
        <v>400.02</v>
      </c>
      <c r="N2945" s="3">
        <v>799</v>
      </c>
      <c r="O2945" s="2" t="s">
        <v>243</v>
      </c>
      <c r="P2945" s="2" t="s">
        <v>341</v>
      </c>
      <c r="Q2945" s="2" t="s">
        <v>237</v>
      </c>
      <c r="R2945" s="2" t="s">
        <v>231</v>
      </c>
      <c r="S2945" s="2" t="s">
        <v>231</v>
      </c>
      <c r="T2945" s="2" t="s">
        <v>231</v>
      </c>
      <c r="U2945" s="2" t="s">
        <v>231</v>
      </c>
      <c r="V2945" s="2" t="s">
        <v>662</v>
      </c>
      <c r="W2945" s="2" t="s">
        <v>676</v>
      </c>
      <c r="X2945" s="2" t="s">
        <v>792</v>
      </c>
      <c r="Y2945" s="2" t="s">
        <v>2544</v>
      </c>
      <c r="Z2945" s="4">
        <v>86</v>
      </c>
      <c r="AA2945" s="4">
        <f>=ROUNDDOWN(143.333333333333,0)</f>
      </c>
      <c r="AB2945" s="5">
        <v>0.6</v>
      </c>
      <c r="AC2945" s="2" t="s">
        <v>231</v>
      </c>
      <c r="AD2945" s="4"/>
      <c r="AE2945" s="4"/>
      <c r="AF2945" s="6">
        <v>74</v>
      </c>
      <c r="AG2945" s="6"/>
      <c r="AH2945" s="7">
        <v>1</v>
      </c>
      <c r="AI2945" s="4"/>
      <c r="AJ2945" s="4">
        <f>=ROUNDDOWN({0},0)</f>
      </c>
      <c r="AK2945" s="5"/>
      <c r="AL2945" s="2" t="s">
        <v>231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/>
      <c r="AW2945" s="8"/>
      <c r="AX2945" s="4"/>
      <c r="AY2945" s="8"/>
      <c r="AZ2945" s="7"/>
      <c r="BA2945" s="7"/>
      <c r="BB2945" s="7"/>
      <c r="BC2945" s="4"/>
      <c r="BD2945" s="8"/>
      <c r="BE2945" s="4"/>
      <c r="BF2945" s="8"/>
      <c r="BG2945" s="7"/>
      <c r="BH2945" s="7"/>
      <c r="BI2945" s="7"/>
      <c r="BJ2945" s="4">
        <v>2</v>
      </c>
      <c r="BK2945" s="8">
        <v>933.38</v>
      </c>
      <c r="BL2945" s="2" t="s">
        <v>1306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12391</v>
      </c>
      <c r="BV2945" s="2" t="s">
        <v>231</v>
      </c>
      <c r="BW2945" s="2" t="s">
        <v>231</v>
      </c>
      <c r="BX2945" s="2" t="s">
        <v>241</v>
      </c>
      <c r="BY2945" s="2" t="s">
        <v>277</v>
      </c>
      <c r="BZ2945" s="2" t="s">
        <v>243</v>
      </c>
      <c r="CA2945" s="2" t="s">
        <v>3257</v>
      </c>
      <c r="CB2945" s="2" t="s">
        <v>231</v>
      </c>
      <c r="CC2945" s="2" t="s">
        <v>244</v>
      </c>
      <c r="CD2945" s="2" t="s">
        <v>231</v>
      </c>
      <c r="CE2945" s="4"/>
      <c r="CF2945" s="4">
        <v>86</v>
      </c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4"/>
      <c r="CX2945" s="4"/>
      <c r="CY2945" s="4"/>
      <c r="CZ2945" s="4"/>
      <c r="DA2945" s="4"/>
      <c r="DB2945" s="4"/>
      <c r="DC2945" s="4"/>
      <c r="DD2945" s="4"/>
      <c r="DE2945" s="4"/>
      <c r="DF2945" s="4"/>
      <c r="DG2945" s="4"/>
      <c r="DH2945" s="4"/>
      <c r="DI2945" s="4"/>
      <c r="DJ2945" s="4"/>
      <c r="DK2945" s="4"/>
      <c r="DL2945" s="4"/>
      <c r="DM2945" s="4"/>
      <c r="DN2945" s="4"/>
      <c r="DO2945" s="4"/>
      <c r="DP2945" s="4"/>
      <c r="DQ2945" s="4"/>
      <c r="DR2945" s="4"/>
      <c r="DS2945" s="4"/>
      <c r="DT2945" s="4"/>
      <c r="DU2945" s="4"/>
      <c r="DV2945" s="4"/>
      <c r="DW2945" s="4"/>
      <c r="DX2945" s="4"/>
      <c r="DY2945" s="4"/>
      <c r="DZ2945" s="4"/>
      <c r="EA2945" s="4"/>
      <c r="EB2945" s="4"/>
      <c r="EC2945" s="4"/>
      <c r="ED2945" s="4"/>
      <c r="EE2945" s="4"/>
      <c r="EF2945" s="4"/>
      <c r="EG2945" s="4"/>
      <c r="EH2945" s="4"/>
      <c r="EI2945" s="4"/>
      <c r="EJ2945" s="4"/>
      <c r="EK2945" s="4"/>
      <c r="EL2945" s="4"/>
      <c r="EM2945" s="4"/>
      <c r="EN2945" s="4"/>
      <c r="EO2945" s="4"/>
      <c r="EP2945" s="4"/>
      <c r="EQ2945" s="4"/>
      <c r="ER2945" s="4"/>
      <c r="ES2945" s="4"/>
      <c r="ET2945" s="4"/>
      <c r="EU2945" s="4"/>
      <c r="EV2945" s="4"/>
      <c r="EW2945" s="4"/>
      <c r="EX2945" s="4"/>
      <c r="EY2945" s="4"/>
      <c r="EZ2945" s="4"/>
      <c r="FA2945" s="4"/>
      <c r="FB2945" s="4"/>
      <c r="FC2945" s="4"/>
      <c r="FD2945" s="4"/>
      <c r="FE2945" s="4"/>
      <c r="FF2945" s="4"/>
      <c r="FG2945" s="4"/>
      <c r="FH2945" s="4"/>
      <c r="FI2945" s="4"/>
      <c r="FJ2945" s="4"/>
      <c r="FK2945" s="4"/>
      <c r="FL2945" s="4"/>
      <c r="FM2945" s="4"/>
      <c r="FN2945" s="4"/>
      <c r="FO2945" s="4"/>
      <c r="FP2945" s="4"/>
      <c r="FQ2945" s="4"/>
      <c r="FR2945" s="4"/>
      <c r="FS2945" s="4"/>
      <c r="FT2945" s="4"/>
      <c r="FU2945" s="4"/>
      <c r="FV2945" s="4"/>
      <c r="FW2945" s="4"/>
      <c r="FX2945" s="4"/>
      <c r="FY2945" s="4"/>
      <c r="FZ2945" s="4"/>
      <c r="GA2945" s="4"/>
      <c r="GB2945" s="4"/>
      <c r="GC2945" s="4"/>
      <c r="GD2945" s="4"/>
      <c r="GE2945" s="4"/>
      <c r="GF2945" s="4"/>
      <c r="GG2945" s="4"/>
      <c r="GH2945" s="4"/>
      <c r="GI2945" s="4"/>
      <c r="GJ2945" s="4"/>
      <c r="GK2945" s="4"/>
      <c r="GL2945" s="4"/>
      <c r="GM2945" s="4"/>
      <c r="GN2945" s="4"/>
      <c r="GO2945" s="4"/>
      <c r="GP2945" s="4"/>
      <c r="GQ2945" s="4"/>
      <c r="GR2945" s="4"/>
      <c r="GS2945" s="4"/>
      <c r="GT2945" s="4"/>
      <c r="GU2945" s="4"/>
      <c r="GV2945" s="4"/>
      <c r="GW2945" s="4"/>
      <c r="GX2945" s="4"/>
      <c r="GY2945" s="4"/>
      <c r="GZ2945" s="4"/>
      <c r="HA2945" s="4"/>
      <c r="HB2945" s="4"/>
      <c r="HC2945" s="4"/>
      <c r="HD2945" s="4"/>
      <c r="HE2945" s="4"/>
      <c r="HF2945" s="4"/>
      <c r="HG2945" s="4"/>
      <c r="HH2945" s="4"/>
      <c r="HI2945" s="4"/>
      <c r="HJ2945" s="4"/>
      <c r="HK2945" s="4"/>
      <c r="HL2945" s="4"/>
    </row>
    <row r="2946">
      <c r="A2946" s="2" t="s">
        <v>12392</v>
      </c>
      <c r="B2946" s="2" t="s">
        <v>1004</v>
      </c>
      <c r="C2946" s="2" t="s">
        <v>867</v>
      </c>
      <c r="D2946" s="2" t="s">
        <v>1917</v>
      </c>
      <c r="E2946" s="2" t="s">
        <v>1918</v>
      </c>
      <c r="F2946" s="2" t="s">
        <v>12393</v>
      </c>
      <c r="G2946" s="2" t="s">
        <v>12393</v>
      </c>
      <c r="H2946" s="2" t="s">
        <v>12393</v>
      </c>
      <c r="I2946" s="2" t="s">
        <v>12394</v>
      </c>
      <c r="J2946" s="2" t="s">
        <v>807</v>
      </c>
      <c r="K2946" s="2" t="s">
        <v>234</v>
      </c>
      <c r="L2946" s="3">
        <v>148.5</v>
      </c>
      <c r="M2946" s="3">
        <v>155.92</v>
      </c>
      <c r="N2946" s="3">
        <v>309</v>
      </c>
      <c r="O2946" s="2" t="s">
        <v>235</v>
      </c>
      <c r="P2946" s="2" t="s">
        <v>341</v>
      </c>
      <c r="Q2946" s="2" t="s">
        <v>237</v>
      </c>
      <c r="R2946" s="2" t="s">
        <v>231</v>
      </c>
      <c r="S2946" s="2" t="s">
        <v>231</v>
      </c>
      <c r="T2946" s="2" t="s">
        <v>231</v>
      </c>
      <c r="U2946" s="2" t="s">
        <v>327</v>
      </c>
      <c r="V2946" s="2" t="s">
        <v>662</v>
      </c>
      <c r="W2946" s="2" t="s">
        <v>231</v>
      </c>
      <c r="X2946" s="2" t="s">
        <v>1694</v>
      </c>
      <c r="Y2946" s="2" t="s">
        <v>9656</v>
      </c>
      <c r="Z2946" s="4">
        <v>17</v>
      </c>
      <c r="AA2946" s="4">
        <f>=ROUNDDOWN(5.15151515151515,0)</f>
      </c>
      <c r="AB2946" s="5">
        <v>3.3</v>
      </c>
      <c r="AC2946" s="2" t="s">
        <v>231</v>
      </c>
      <c r="AD2946" s="4"/>
      <c r="AE2946" s="4"/>
      <c r="AF2946" s="6">
        <v>74</v>
      </c>
      <c r="AG2946" s="6"/>
      <c r="AH2946" s="7">
        <v>1</v>
      </c>
      <c r="AI2946" s="4"/>
      <c r="AJ2946" s="4">
        <f>=ROUNDDOWN({0},0)</f>
      </c>
      <c r="AK2946" s="5"/>
      <c r="AL2946" s="2" t="s">
        <v>231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/>
      <c r="BD2946" s="8"/>
      <c r="BE2946" s="4"/>
      <c r="BF2946" s="8"/>
      <c r="BG2946" s="7"/>
      <c r="BH2946" s="7"/>
      <c r="BI2946" s="7"/>
      <c r="BJ2946" s="4">
        <v>10</v>
      </c>
      <c r="BK2946" s="8">
        <v>780.9</v>
      </c>
      <c r="BL2946" s="2" t="s">
        <v>628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12395</v>
      </c>
      <c r="BV2946" s="2" t="s">
        <v>231</v>
      </c>
      <c r="BW2946" s="2" t="s">
        <v>231</v>
      </c>
      <c r="BX2946" s="2" t="s">
        <v>241</v>
      </c>
      <c r="BY2946" s="2" t="s">
        <v>277</v>
      </c>
      <c r="BZ2946" s="2" t="s">
        <v>243</v>
      </c>
      <c r="CA2946" s="2" t="s">
        <v>2521</v>
      </c>
      <c r="CB2946" s="2" t="s">
        <v>3745</v>
      </c>
      <c r="CC2946" s="2" t="s">
        <v>244</v>
      </c>
      <c r="CD2946" s="2" t="s">
        <v>231</v>
      </c>
      <c r="CE2946" s="4"/>
      <c r="CF2946" s="4">
        <v>17</v>
      </c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4"/>
      <c r="CX2946" s="4"/>
      <c r="CY2946" s="4"/>
      <c r="CZ2946" s="4"/>
      <c r="DA2946" s="4"/>
      <c r="DB2946" s="4"/>
      <c r="DC2946" s="4"/>
      <c r="DD2946" s="4"/>
      <c r="DE2946" s="4"/>
      <c r="DF2946" s="4"/>
      <c r="DG2946" s="4"/>
      <c r="DH2946" s="4"/>
      <c r="DI2946" s="4"/>
      <c r="DJ2946" s="4"/>
      <c r="DK2946" s="4"/>
      <c r="DL2946" s="4"/>
      <c r="DM2946" s="4"/>
      <c r="DN2946" s="4"/>
      <c r="DO2946" s="4"/>
      <c r="DP2946" s="4"/>
      <c r="DQ2946" s="4"/>
      <c r="DR2946" s="4"/>
      <c r="DS2946" s="4"/>
      <c r="DT2946" s="4"/>
      <c r="DU2946" s="4"/>
      <c r="DV2946" s="4"/>
      <c r="DW2946" s="4"/>
      <c r="DX2946" s="4"/>
      <c r="DY2946" s="4"/>
      <c r="DZ2946" s="4"/>
      <c r="EA2946" s="4"/>
      <c r="EB2946" s="4"/>
      <c r="EC2946" s="4"/>
      <c r="ED2946" s="4"/>
      <c r="EE2946" s="4"/>
      <c r="EF2946" s="4"/>
      <c r="EG2946" s="4"/>
      <c r="EH2946" s="4"/>
      <c r="EI2946" s="4"/>
      <c r="EJ2946" s="4"/>
      <c r="EK2946" s="4"/>
      <c r="EL2946" s="4"/>
      <c r="EM2946" s="4"/>
      <c r="EN2946" s="4"/>
      <c r="EO2946" s="4"/>
      <c r="EP2946" s="4"/>
      <c r="EQ2946" s="4"/>
      <c r="ER2946" s="4"/>
      <c r="ES2946" s="4"/>
      <c r="ET2946" s="4"/>
      <c r="EU2946" s="4"/>
      <c r="EV2946" s="4"/>
      <c r="EW2946" s="4"/>
      <c r="EX2946" s="4"/>
      <c r="EY2946" s="4"/>
      <c r="EZ2946" s="4"/>
      <c r="FA2946" s="4"/>
      <c r="FB2946" s="4"/>
      <c r="FC2946" s="4"/>
      <c r="FD2946" s="4"/>
      <c r="FE2946" s="4"/>
      <c r="FF2946" s="4"/>
      <c r="FG2946" s="4"/>
      <c r="FH2946" s="4"/>
      <c r="FI2946" s="4"/>
      <c r="FJ2946" s="4"/>
      <c r="FK2946" s="4"/>
      <c r="FL2946" s="4"/>
      <c r="FM2946" s="4"/>
      <c r="FN2946" s="4"/>
      <c r="FO2946" s="4"/>
      <c r="FP2946" s="4"/>
      <c r="FQ2946" s="4"/>
      <c r="FR2946" s="4"/>
      <c r="FS2946" s="4"/>
      <c r="FT2946" s="4"/>
      <c r="FU2946" s="4"/>
      <c r="FV2946" s="4"/>
      <c r="FW2946" s="4"/>
      <c r="FX2946" s="4"/>
      <c r="FY2946" s="4"/>
      <c r="FZ2946" s="4"/>
      <c r="GA2946" s="4"/>
      <c r="GB2946" s="4"/>
      <c r="GC2946" s="4"/>
      <c r="GD2946" s="4"/>
      <c r="GE2946" s="4"/>
      <c r="GF2946" s="4"/>
      <c r="GG2946" s="4"/>
      <c r="GH2946" s="4"/>
      <c r="GI2946" s="4"/>
      <c r="GJ2946" s="4"/>
      <c r="GK2946" s="4"/>
      <c r="GL2946" s="4"/>
      <c r="GM2946" s="4"/>
      <c r="GN2946" s="4"/>
      <c r="GO2946" s="4"/>
      <c r="GP2946" s="4"/>
      <c r="GQ2946" s="4"/>
      <c r="GR2946" s="4"/>
      <c r="GS2946" s="4"/>
      <c r="GT2946" s="4"/>
      <c r="GU2946" s="4"/>
      <c r="GV2946" s="4"/>
      <c r="GW2946" s="4"/>
      <c r="GX2946" s="4"/>
      <c r="GY2946" s="4"/>
      <c r="GZ2946" s="4"/>
      <c r="HA2946" s="4"/>
      <c r="HB2946" s="4"/>
      <c r="HC2946" s="4"/>
      <c r="HD2946" s="4"/>
      <c r="HE2946" s="4"/>
      <c r="HF2946" s="4"/>
      <c r="HG2946" s="4"/>
      <c r="HH2946" s="4"/>
      <c r="HI2946" s="4"/>
      <c r="HJ2946" s="4"/>
      <c r="HK2946" s="4"/>
      <c r="HL2946" s="4"/>
    </row>
    <row r="2947">
      <c r="A2947" s="2" t="s">
        <v>12396</v>
      </c>
      <c r="B2947" s="2" t="s">
        <v>1004</v>
      </c>
      <c r="C2947" s="2" t="s">
        <v>867</v>
      </c>
      <c r="D2947" s="2" t="s">
        <v>1689</v>
      </c>
      <c r="E2947" s="2" t="s">
        <v>2538</v>
      </c>
      <c r="F2947" s="2" t="s">
        <v>12397</v>
      </c>
      <c r="G2947" s="2" t="s">
        <v>12397</v>
      </c>
      <c r="H2947" s="2" t="s">
        <v>12397</v>
      </c>
      <c r="I2947" s="2" t="s">
        <v>2651</v>
      </c>
      <c r="J2947" s="2" t="s">
        <v>807</v>
      </c>
      <c r="K2947" s="2" t="s">
        <v>1496</v>
      </c>
      <c r="L2947" s="3">
        <v>238</v>
      </c>
      <c r="M2947" s="3">
        <v>249.9</v>
      </c>
      <c r="N2947" s="3">
        <v>499</v>
      </c>
      <c r="O2947" s="2" t="s">
        <v>243</v>
      </c>
      <c r="P2947" s="2" t="s">
        <v>270</v>
      </c>
      <c r="Q2947" s="2" t="s">
        <v>237</v>
      </c>
      <c r="R2947" s="2" t="s">
        <v>231</v>
      </c>
      <c r="S2947" s="2" t="s">
        <v>231</v>
      </c>
      <c r="T2947" s="2" t="s">
        <v>231</v>
      </c>
      <c r="U2947" s="2" t="s">
        <v>327</v>
      </c>
      <c r="V2947" s="2" t="s">
        <v>662</v>
      </c>
      <c r="W2947" s="2" t="s">
        <v>12398</v>
      </c>
      <c r="X2947" s="2" t="s">
        <v>676</v>
      </c>
      <c r="Y2947" s="2" t="s">
        <v>2346</v>
      </c>
      <c r="Z2947" s="4">
        <v>2</v>
      </c>
      <c r="AA2947" s="4">
        <f>=ROUNDDOWN(0.166666666666667,0)</f>
      </c>
      <c r="AB2947" s="5">
        <v>12</v>
      </c>
      <c r="AC2947" s="2" t="s">
        <v>1695</v>
      </c>
      <c r="AD2947" s="4">
        <v>100</v>
      </c>
      <c r="AE2947" s="4">
        <v>250</v>
      </c>
      <c r="AF2947" s="6">
        <v>66</v>
      </c>
      <c r="AG2947" s="6"/>
      <c r="AH2947" s="7">
        <v>0</v>
      </c>
      <c r="AI2947" s="4"/>
      <c r="AJ2947" s="4">
        <f>=ROUNDDOWN({0},0)</f>
      </c>
      <c r="AK2947" s="5"/>
      <c r="AL2947" s="2" t="s">
        <v>231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/>
      <c r="AW2947" s="8"/>
      <c r="AX2947" s="4"/>
      <c r="AY2947" s="8"/>
      <c r="AZ2947" s="7"/>
      <c r="BA2947" s="7"/>
      <c r="BB2947" s="7"/>
      <c r="BC2947" s="4"/>
      <c r="BD2947" s="8"/>
      <c r="BE2947" s="4"/>
      <c r="BF2947" s="8"/>
      <c r="BG2947" s="7"/>
      <c r="BH2947" s="7"/>
      <c r="BI2947" s="7"/>
      <c r="BJ2947" s="4">
        <v>1</v>
      </c>
      <c r="BK2947" s="8">
        <v>352.12</v>
      </c>
      <c r="BL2947" s="2" t="s">
        <v>1306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12399</v>
      </c>
      <c r="BV2947" s="2" t="s">
        <v>231</v>
      </c>
      <c r="BW2947" s="2" t="s">
        <v>231</v>
      </c>
      <c r="BX2947" s="2" t="s">
        <v>241</v>
      </c>
      <c r="BY2947" s="2" t="s">
        <v>277</v>
      </c>
      <c r="BZ2947" s="2" t="s">
        <v>243</v>
      </c>
      <c r="CA2947" s="2" t="s">
        <v>1583</v>
      </c>
      <c r="CB2947" s="2" t="s">
        <v>3776</v>
      </c>
      <c r="CC2947" s="2" t="s">
        <v>244</v>
      </c>
      <c r="CD2947" s="2" t="s">
        <v>231</v>
      </c>
      <c r="CE2947" s="4"/>
      <c r="CF2947" s="4">
        <v>2</v>
      </c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4"/>
      <c r="CX2947" s="4"/>
      <c r="CY2947" s="4"/>
      <c r="CZ2947" s="4"/>
      <c r="DA2947" s="4"/>
      <c r="DB2947" s="4"/>
      <c r="DC2947" s="4"/>
      <c r="DD2947" s="4"/>
      <c r="DE2947" s="4"/>
      <c r="DF2947" s="4"/>
      <c r="DG2947" s="4"/>
      <c r="DH2947" s="4"/>
      <c r="DI2947" s="4"/>
      <c r="DJ2947" s="4"/>
      <c r="DK2947" s="4"/>
      <c r="DL2947" s="4"/>
      <c r="DM2947" s="4"/>
      <c r="DN2947" s="4"/>
      <c r="DO2947" s="4"/>
      <c r="DP2947" s="4"/>
      <c r="DQ2947" s="4"/>
      <c r="DR2947" s="4"/>
      <c r="DS2947" s="4"/>
      <c r="DT2947" s="4"/>
      <c r="DU2947" s="4"/>
      <c r="DV2947" s="4"/>
      <c r="DW2947" s="4"/>
      <c r="DX2947" s="4"/>
      <c r="DY2947" s="4"/>
      <c r="DZ2947" s="4"/>
      <c r="EA2947" s="4"/>
      <c r="EB2947" s="4"/>
      <c r="EC2947" s="4"/>
      <c r="ED2947" s="4"/>
      <c r="EE2947" s="4"/>
      <c r="EF2947" s="4"/>
      <c r="EG2947" s="4"/>
      <c r="EH2947" s="4"/>
      <c r="EI2947" s="4"/>
      <c r="EJ2947" s="4"/>
      <c r="EK2947" s="4"/>
      <c r="EL2947" s="4">
        <v>100</v>
      </c>
      <c r="EM2947" s="4"/>
      <c r="EN2947" s="4"/>
      <c r="EO2947" s="4"/>
      <c r="EP2947" s="4"/>
      <c r="EQ2947" s="4"/>
      <c r="ER2947" s="4"/>
      <c r="ES2947" s="4"/>
      <c r="ET2947" s="4"/>
      <c r="EU2947" s="4"/>
      <c r="EV2947" s="4"/>
      <c r="EW2947" s="4"/>
      <c r="EX2947" s="4"/>
      <c r="EY2947" s="4"/>
      <c r="EZ2947" s="4"/>
      <c r="FA2947" s="4"/>
      <c r="FB2947" s="4"/>
      <c r="FC2947" s="4"/>
      <c r="FD2947" s="4"/>
      <c r="FE2947" s="4"/>
      <c r="FF2947" s="4"/>
      <c r="FG2947" s="4"/>
      <c r="FH2947" s="4"/>
      <c r="FI2947" s="4"/>
      <c r="FJ2947" s="4"/>
      <c r="FK2947" s="4"/>
      <c r="FL2947" s="4"/>
      <c r="FM2947" s="4"/>
      <c r="FN2947" s="4"/>
      <c r="FO2947" s="4"/>
      <c r="FP2947" s="4"/>
      <c r="FQ2947" s="4">
        <v>150</v>
      </c>
      <c r="FR2947" s="4"/>
      <c r="FS2947" s="4"/>
      <c r="FT2947" s="4"/>
      <c r="FU2947" s="4"/>
      <c r="FV2947" s="4"/>
      <c r="FW2947" s="4"/>
      <c r="FX2947" s="4"/>
      <c r="FY2947" s="4"/>
      <c r="FZ2947" s="4"/>
      <c r="GA2947" s="4"/>
      <c r="GB2947" s="4"/>
      <c r="GC2947" s="4"/>
      <c r="GD2947" s="4"/>
      <c r="GE2947" s="4"/>
      <c r="GF2947" s="4"/>
      <c r="GG2947" s="4"/>
      <c r="GH2947" s="4"/>
      <c r="GI2947" s="4"/>
      <c r="GJ2947" s="4"/>
      <c r="GK2947" s="4"/>
      <c r="GL2947" s="4"/>
      <c r="GM2947" s="4"/>
      <c r="GN2947" s="4"/>
      <c r="GO2947" s="4"/>
      <c r="GP2947" s="4"/>
      <c r="GQ2947" s="4"/>
      <c r="GR2947" s="4"/>
      <c r="GS2947" s="4"/>
      <c r="GT2947" s="4"/>
      <c r="GU2947" s="4"/>
      <c r="GV2947" s="4"/>
      <c r="GW2947" s="4"/>
      <c r="GX2947" s="4"/>
      <c r="GY2947" s="4"/>
      <c r="GZ2947" s="4"/>
      <c r="HA2947" s="4"/>
      <c r="HB2947" s="4"/>
      <c r="HC2947" s="4"/>
      <c r="HD2947" s="4"/>
      <c r="HE2947" s="4"/>
      <c r="HF2947" s="4"/>
      <c r="HG2947" s="4"/>
      <c r="HH2947" s="4"/>
      <c r="HI2947" s="4"/>
      <c r="HJ2947" s="4"/>
      <c r="HK2947" s="4"/>
      <c r="HL2947" s="4"/>
    </row>
    <row r="2948">
      <c r="A2948" s="2" t="s">
        <v>12400</v>
      </c>
      <c r="B2948" s="2" t="s">
        <v>1004</v>
      </c>
      <c r="C2948" s="2" t="s">
        <v>288</v>
      </c>
      <c r="D2948" s="2" t="s">
        <v>1837</v>
      </c>
      <c r="E2948" s="2" t="s">
        <v>6476</v>
      </c>
      <c r="F2948" s="2" t="s">
        <v>1428</v>
      </c>
      <c r="G2948" s="2" t="s">
        <v>12401</v>
      </c>
      <c r="H2948" s="2" t="s">
        <v>7806</v>
      </c>
      <c r="I2948" s="2" t="s">
        <v>12402</v>
      </c>
      <c r="J2948" s="2" t="s">
        <v>807</v>
      </c>
      <c r="K2948" s="2" t="s">
        <v>1496</v>
      </c>
      <c r="L2948" s="3">
        <v>198</v>
      </c>
      <c r="M2948" s="3">
        <v>207.9</v>
      </c>
      <c r="N2948" s="3">
        <v>419</v>
      </c>
      <c r="O2948" s="2" t="s">
        <v>235</v>
      </c>
      <c r="P2948" s="2" t="s">
        <v>341</v>
      </c>
      <c r="Q2948" s="2" t="s">
        <v>237</v>
      </c>
      <c r="R2948" s="2" t="s">
        <v>231</v>
      </c>
      <c r="S2948" s="2" t="s">
        <v>231</v>
      </c>
      <c r="T2948" s="2" t="s">
        <v>231</v>
      </c>
      <c r="U2948" s="2" t="s">
        <v>231</v>
      </c>
      <c r="V2948" s="2" t="s">
        <v>662</v>
      </c>
      <c r="W2948" s="2" t="s">
        <v>2500</v>
      </c>
      <c r="X2948" s="2" t="s">
        <v>273</v>
      </c>
      <c r="Y2948" s="2" t="s">
        <v>12403</v>
      </c>
      <c r="Z2948" s="4">
        <v>18</v>
      </c>
      <c r="AA2948" s="4">
        <f>=ROUNDDOWN({0},0)</f>
      </c>
      <c r="AB2948" s="5"/>
      <c r="AC2948" s="2" t="s">
        <v>231</v>
      </c>
      <c r="AD2948" s="4"/>
      <c r="AE2948" s="4"/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231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231</v>
      </c>
      <c r="AW2948" s="8" t="s">
        <v>231</v>
      </c>
      <c r="AX2948" s="4" t="s">
        <v>231</v>
      </c>
      <c r="AY2948" s="8" t="s">
        <v>231</v>
      </c>
      <c r="AZ2948" s="7" t="s">
        <v>231</v>
      </c>
      <c r="BA2948" s="7" t="s">
        <v>231</v>
      </c>
      <c r="BB2948" s="7" t="s">
        <v>231</v>
      </c>
      <c r="BC2948" s="4" t="s">
        <v>231</v>
      </c>
      <c r="BD2948" s="8" t="s">
        <v>231</v>
      </c>
      <c r="BE2948" s="4" t="s">
        <v>231</v>
      </c>
      <c r="BF2948" s="8" t="s">
        <v>231</v>
      </c>
      <c r="BG2948" s="7" t="s">
        <v>231</v>
      </c>
      <c r="BH2948" s="7" t="s">
        <v>231</v>
      </c>
      <c r="BI2948" s="7"/>
      <c r="BJ2948" s="4"/>
      <c r="BK2948" s="8"/>
      <c r="BL2948" s="2" t="s">
        <v>231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12404</v>
      </c>
      <c r="BV2948" s="2" t="s">
        <v>231</v>
      </c>
      <c r="BW2948" s="2" t="s">
        <v>231</v>
      </c>
      <c r="BX2948" s="2" t="s">
        <v>231</v>
      </c>
      <c r="BY2948" s="2" t="s">
        <v>277</v>
      </c>
      <c r="BZ2948" s="2" t="s">
        <v>243</v>
      </c>
      <c r="CA2948" s="2" t="s">
        <v>5773</v>
      </c>
      <c r="CB2948" s="2" t="s">
        <v>9031</v>
      </c>
      <c r="CC2948" s="2" t="s">
        <v>244</v>
      </c>
      <c r="CD2948" s="2" t="s">
        <v>231</v>
      </c>
      <c r="CE2948" s="4"/>
      <c r="CF2948" s="4">
        <v>18</v>
      </c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4"/>
      <c r="CX2948" s="4"/>
      <c r="CY2948" s="4"/>
      <c r="CZ2948" s="4"/>
      <c r="DA2948" s="4"/>
      <c r="DB2948" s="4"/>
      <c r="DC2948" s="4"/>
      <c r="DD2948" s="4"/>
      <c r="DE2948" s="4"/>
      <c r="DF2948" s="4"/>
      <c r="DG2948" s="4"/>
      <c r="DH2948" s="4"/>
      <c r="DI2948" s="4"/>
      <c r="DJ2948" s="4"/>
      <c r="DK2948" s="4"/>
      <c r="DL2948" s="4"/>
      <c r="DM2948" s="4"/>
      <c r="DN2948" s="4"/>
      <c r="DO2948" s="4"/>
      <c r="DP2948" s="4"/>
      <c r="DQ2948" s="4"/>
      <c r="DR2948" s="4"/>
      <c r="DS2948" s="4"/>
      <c r="DT2948" s="4"/>
      <c r="DU2948" s="4"/>
      <c r="DV2948" s="4"/>
      <c r="DW2948" s="4"/>
      <c r="DX2948" s="4"/>
      <c r="DY2948" s="4"/>
      <c r="DZ2948" s="4"/>
      <c r="EA2948" s="4"/>
      <c r="EB2948" s="4"/>
      <c r="EC2948" s="4"/>
      <c r="ED2948" s="4"/>
      <c r="EE2948" s="4"/>
      <c r="EF2948" s="4"/>
      <c r="EG2948" s="4"/>
      <c r="EH2948" s="4"/>
      <c r="EI2948" s="4"/>
      <c r="EJ2948" s="4"/>
      <c r="EK2948" s="4"/>
      <c r="EL2948" s="4"/>
      <c r="EM2948" s="4"/>
      <c r="EN2948" s="4"/>
      <c r="EO2948" s="4"/>
      <c r="EP2948" s="4"/>
      <c r="EQ2948" s="4"/>
      <c r="ER2948" s="4"/>
      <c r="ES2948" s="4"/>
      <c r="ET2948" s="4"/>
      <c r="EU2948" s="4"/>
      <c r="EV2948" s="4"/>
      <c r="EW2948" s="4"/>
      <c r="EX2948" s="4"/>
      <c r="EY2948" s="4"/>
      <c r="EZ2948" s="4"/>
      <c r="FA2948" s="4"/>
      <c r="FB2948" s="4"/>
      <c r="FC2948" s="4"/>
      <c r="FD2948" s="4"/>
      <c r="FE2948" s="4"/>
      <c r="FF2948" s="4"/>
      <c r="FG2948" s="4"/>
      <c r="FH2948" s="4"/>
      <c r="FI2948" s="4"/>
      <c r="FJ2948" s="4"/>
      <c r="FK2948" s="4"/>
      <c r="FL2948" s="4"/>
      <c r="FM2948" s="4"/>
      <c r="FN2948" s="4"/>
      <c r="FO2948" s="4"/>
      <c r="FP2948" s="4"/>
      <c r="FQ2948" s="4"/>
      <c r="FR2948" s="4"/>
      <c r="FS2948" s="4"/>
      <c r="FT2948" s="4"/>
      <c r="FU2948" s="4"/>
      <c r="FV2948" s="4"/>
      <c r="FW2948" s="4"/>
      <c r="FX2948" s="4"/>
      <c r="FY2948" s="4"/>
      <c r="FZ2948" s="4"/>
      <c r="GA2948" s="4"/>
      <c r="GB2948" s="4"/>
      <c r="GC2948" s="4"/>
      <c r="GD2948" s="4"/>
      <c r="GE2948" s="4"/>
      <c r="GF2948" s="4"/>
      <c r="GG2948" s="4"/>
      <c r="GH2948" s="4"/>
      <c r="GI2948" s="4"/>
      <c r="GJ2948" s="4"/>
      <c r="GK2948" s="4"/>
      <c r="GL2948" s="4"/>
      <c r="GM2948" s="4"/>
      <c r="GN2948" s="4"/>
      <c r="GO2948" s="4"/>
      <c r="GP2948" s="4"/>
      <c r="GQ2948" s="4"/>
      <c r="GR2948" s="4"/>
      <c r="GS2948" s="4"/>
      <c r="GT2948" s="4"/>
      <c r="GU2948" s="4"/>
      <c r="GV2948" s="4"/>
      <c r="GW2948" s="4"/>
      <c r="GX2948" s="4"/>
      <c r="GY2948" s="4"/>
      <c r="GZ2948" s="4"/>
      <c r="HA2948" s="4"/>
      <c r="HB2948" s="4"/>
      <c r="HC2948" s="4"/>
      <c r="HD2948" s="4"/>
      <c r="HE2948" s="4"/>
      <c r="HF2948" s="4"/>
      <c r="HG2948" s="4"/>
      <c r="HH2948" s="4"/>
      <c r="HI2948" s="4"/>
      <c r="HJ2948" s="4"/>
      <c r="HK2948" s="4"/>
      <c r="HL2948" s="4"/>
    </row>
    <row r="2949">
      <c r="A2949" s="2" t="s">
        <v>12405</v>
      </c>
      <c r="B2949" s="2" t="s">
        <v>1004</v>
      </c>
      <c r="C2949" s="2" t="s">
        <v>288</v>
      </c>
      <c r="D2949" s="2" t="s">
        <v>1837</v>
      </c>
      <c r="E2949" s="2" t="s">
        <v>1838</v>
      </c>
      <c r="F2949" s="2" t="s">
        <v>1428</v>
      </c>
      <c r="G2949" s="2" t="s">
        <v>12401</v>
      </c>
      <c r="H2949" s="2" t="s">
        <v>7806</v>
      </c>
      <c r="I2949" s="2" t="s">
        <v>1838</v>
      </c>
      <c r="J2949" s="2" t="s">
        <v>807</v>
      </c>
      <c r="K2949" s="2" t="s">
        <v>1496</v>
      </c>
      <c r="L2949" s="3">
        <v>118</v>
      </c>
      <c r="M2949" s="3">
        <v>123.9</v>
      </c>
      <c r="N2949" s="3">
        <v>249</v>
      </c>
      <c r="O2949" s="2" t="s">
        <v>235</v>
      </c>
      <c r="P2949" s="2" t="s">
        <v>341</v>
      </c>
      <c r="Q2949" s="2" t="s">
        <v>237</v>
      </c>
      <c r="R2949" s="2" t="s">
        <v>231</v>
      </c>
      <c r="S2949" s="2" t="s">
        <v>231</v>
      </c>
      <c r="T2949" s="2" t="s">
        <v>231</v>
      </c>
      <c r="U2949" s="2" t="s">
        <v>327</v>
      </c>
      <c r="V2949" s="2" t="s">
        <v>662</v>
      </c>
      <c r="W2949" s="2" t="s">
        <v>2500</v>
      </c>
      <c r="X2949" s="2" t="s">
        <v>273</v>
      </c>
      <c r="Y2949" s="2" t="s">
        <v>12403</v>
      </c>
      <c r="Z2949" s="4">
        <v>17</v>
      </c>
      <c r="AA2949" s="4">
        <f>=ROUNDDOWN(21.25,0)</f>
      </c>
      <c r="AB2949" s="5">
        <v>0.8</v>
      </c>
      <c r="AC2949" s="2" t="s">
        <v>231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231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231</v>
      </c>
      <c r="AW2949" s="8" t="s">
        <v>231</v>
      </c>
      <c r="AX2949" s="4" t="s">
        <v>231</v>
      </c>
      <c r="AY2949" s="8" t="s">
        <v>231</v>
      </c>
      <c r="AZ2949" s="7" t="s">
        <v>231</v>
      </c>
      <c r="BA2949" s="7" t="s">
        <v>231</v>
      </c>
      <c r="BB2949" s="7" t="s">
        <v>231</v>
      </c>
      <c r="BC2949" s="4" t="s">
        <v>231</v>
      </c>
      <c r="BD2949" s="8" t="s">
        <v>231</v>
      </c>
      <c r="BE2949" s="4" t="s">
        <v>231</v>
      </c>
      <c r="BF2949" s="8" t="s">
        <v>231</v>
      </c>
      <c r="BG2949" s="7" t="s">
        <v>231</v>
      </c>
      <c r="BH2949" s="7" t="s">
        <v>231</v>
      </c>
      <c r="BI2949" s="7"/>
      <c r="BJ2949" s="4">
        <v>3</v>
      </c>
      <c r="BK2949" s="8">
        <v>111.51</v>
      </c>
      <c r="BL2949" s="2" t="s">
        <v>628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12406</v>
      </c>
      <c r="BV2949" s="2" t="s">
        <v>231</v>
      </c>
      <c r="BW2949" s="2" t="s">
        <v>231</v>
      </c>
      <c r="BX2949" s="2" t="s">
        <v>231</v>
      </c>
      <c r="BY2949" s="2" t="s">
        <v>277</v>
      </c>
      <c r="BZ2949" s="2" t="s">
        <v>243</v>
      </c>
      <c r="CA2949" s="2" t="s">
        <v>5773</v>
      </c>
      <c r="CB2949" s="2" t="s">
        <v>2621</v>
      </c>
      <c r="CC2949" s="2" t="s">
        <v>244</v>
      </c>
      <c r="CD2949" s="2" t="s">
        <v>231</v>
      </c>
      <c r="CE2949" s="4"/>
      <c r="CF2949" s="4">
        <v>17</v>
      </c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4"/>
      <c r="CX2949" s="4"/>
      <c r="CY2949" s="4"/>
      <c r="CZ2949" s="4"/>
      <c r="DA2949" s="4"/>
      <c r="DB2949" s="4"/>
      <c r="DC2949" s="4"/>
      <c r="DD2949" s="4"/>
      <c r="DE2949" s="4"/>
      <c r="DF2949" s="4"/>
      <c r="DG2949" s="4"/>
      <c r="DH2949" s="4"/>
      <c r="DI2949" s="4"/>
      <c r="DJ2949" s="4"/>
      <c r="DK2949" s="4"/>
      <c r="DL2949" s="4"/>
      <c r="DM2949" s="4"/>
      <c r="DN2949" s="4"/>
      <c r="DO2949" s="4"/>
      <c r="DP2949" s="4"/>
      <c r="DQ2949" s="4"/>
      <c r="DR2949" s="4"/>
      <c r="DS2949" s="4"/>
      <c r="DT2949" s="4"/>
      <c r="DU2949" s="4"/>
      <c r="DV2949" s="4"/>
      <c r="DW2949" s="4"/>
      <c r="DX2949" s="4"/>
      <c r="DY2949" s="4"/>
      <c r="DZ2949" s="4"/>
      <c r="EA2949" s="4"/>
      <c r="EB2949" s="4"/>
      <c r="EC2949" s="4"/>
      <c r="ED2949" s="4"/>
      <c r="EE2949" s="4"/>
      <c r="EF2949" s="4"/>
      <c r="EG2949" s="4"/>
      <c r="EH2949" s="4"/>
      <c r="EI2949" s="4"/>
      <c r="EJ2949" s="4"/>
      <c r="EK2949" s="4"/>
      <c r="EL2949" s="4"/>
      <c r="EM2949" s="4"/>
      <c r="EN2949" s="4"/>
      <c r="EO2949" s="4"/>
      <c r="EP2949" s="4"/>
      <c r="EQ2949" s="4"/>
      <c r="ER2949" s="4"/>
      <c r="ES2949" s="4"/>
      <c r="ET2949" s="4"/>
      <c r="EU2949" s="4"/>
      <c r="EV2949" s="4"/>
      <c r="EW2949" s="4"/>
      <c r="EX2949" s="4"/>
      <c r="EY2949" s="4"/>
      <c r="EZ2949" s="4"/>
      <c r="FA2949" s="4"/>
      <c r="FB2949" s="4"/>
      <c r="FC2949" s="4"/>
      <c r="FD2949" s="4"/>
      <c r="FE2949" s="4"/>
      <c r="FF2949" s="4"/>
      <c r="FG2949" s="4"/>
      <c r="FH2949" s="4"/>
      <c r="FI2949" s="4"/>
      <c r="FJ2949" s="4"/>
      <c r="FK2949" s="4"/>
      <c r="FL2949" s="4"/>
      <c r="FM2949" s="4"/>
      <c r="FN2949" s="4"/>
      <c r="FO2949" s="4"/>
      <c r="FP2949" s="4"/>
      <c r="FQ2949" s="4"/>
      <c r="FR2949" s="4"/>
      <c r="FS2949" s="4"/>
      <c r="FT2949" s="4"/>
      <c r="FU2949" s="4"/>
      <c r="FV2949" s="4"/>
      <c r="FW2949" s="4"/>
      <c r="FX2949" s="4"/>
      <c r="FY2949" s="4"/>
      <c r="FZ2949" s="4"/>
      <c r="GA2949" s="4"/>
      <c r="GB2949" s="4"/>
      <c r="GC2949" s="4"/>
      <c r="GD2949" s="4"/>
      <c r="GE2949" s="4"/>
      <c r="GF2949" s="4"/>
      <c r="GG2949" s="4"/>
      <c r="GH2949" s="4"/>
      <c r="GI2949" s="4"/>
      <c r="GJ2949" s="4"/>
      <c r="GK2949" s="4"/>
      <c r="GL2949" s="4"/>
      <c r="GM2949" s="4"/>
      <c r="GN2949" s="4"/>
      <c r="GO2949" s="4"/>
      <c r="GP2949" s="4"/>
      <c r="GQ2949" s="4"/>
      <c r="GR2949" s="4"/>
      <c r="GS2949" s="4"/>
      <c r="GT2949" s="4"/>
      <c r="GU2949" s="4"/>
      <c r="GV2949" s="4"/>
      <c r="GW2949" s="4"/>
      <c r="GX2949" s="4"/>
      <c r="GY2949" s="4"/>
      <c r="GZ2949" s="4"/>
      <c r="HA2949" s="4"/>
      <c r="HB2949" s="4"/>
      <c r="HC2949" s="4"/>
      <c r="HD2949" s="4"/>
      <c r="HE2949" s="4"/>
      <c r="HF2949" s="4"/>
      <c r="HG2949" s="4"/>
      <c r="HH2949" s="4"/>
      <c r="HI2949" s="4"/>
      <c r="HJ2949" s="4"/>
      <c r="HK2949" s="4"/>
      <c r="HL2949" s="4"/>
    </row>
    <row r="2950">
      <c r="A2950" s="2" t="s">
        <v>12407</v>
      </c>
      <c r="B2950" s="2" t="s">
        <v>1186</v>
      </c>
      <c r="C2950" s="2" t="s">
        <v>1980</v>
      </c>
      <c r="D2950" s="2" t="s">
        <v>1139</v>
      </c>
      <c r="E2950" s="2" t="s">
        <v>1981</v>
      </c>
      <c r="F2950" s="2" t="s">
        <v>12408</v>
      </c>
      <c r="G2950" s="2" t="s">
        <v>12408</v>
      </c>
      <c r="H2950" s="2" t="s">
        <v>12408</v>
      </c>
      <c r="I2950" s="2" t="s">
        <v>2477</v>
      </c>
      <c r="J2950" s="2" t="s">
        <v>1145</v>
      </c>
      <c r="K2950" s="2" t="s">
        <v>901</v>
      </c>
      <c r="L2950" s="3">
        <v>34.04</v>
      </c>
      <c r="M2950" s="3">
        <v>35.74</v>
      </c>
      <c r="N2950" s="3">
        <v>109.99</v>
      </c>
      <c r="O2950" s="2" t="s">
        <v>243</v>
      </c>
      <c r="P2950" s="2" t="s">
        <v>1985</v>
      </c>
      <c r="Q2950" s="2" t="s">
        <v>237</v>
      </c>
      <c r="R2950" s="2" t="s">
        <v>231</v>
      </c>
      <c r="S2950" s="2" t="s">
        <v>231</v>
      </c>
      <c r="T2950" s="2" t="s">
        <v>231</v>
      </c>
      <c r="U2950" s="2" t="s">
        <v>327</v>
      </c>
      <c r="V2950" s="2" t="s">
        <v>239</v>
      </c>
      <c r="W2950" s="2" t="s">
        <v>676</v>
      </c>
      <c r="X2950" s="2" t="s">
        <v>231</v>
      </c>
      <c r="Y2950" s="2" t="s">
        <v>1987</v>
      </c>
      <c r="Z2950" s="4">
        <v>206</v>
      </c>
      <c r="AA2950" s="4">
        <f>=ROUNDDOWN(103,0)</f>
      </c>
      <c r="AB2950" s="5">
        <v>2</v>
      </c>
      <c r="AC2950" s="2" t="s">
        <v>231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231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/>
      <c r="AW2950" s="8"/>
      <c r="AX2950" s="4"/>
      <c r="AY2950" s="8"/>
      <c r="AZ2950" s="7"/>
      <c r="BA2950" s="7"/>
      <c r="BB2950" s="7"/>
      <c r="BC2950" s="4" t="s">
        <v>231</v>
      </c>
      <c r="BD2950" s="8" t="s">
        <v>231</v>
      </c>
      <c r="BE2950" s="4" t="s">
        <v>231</v>
      </c>
      <c r="BF2950" s="8" t="s">
        <v>231</v>
      </c>
      <c r="BG2950" s="7" t="s">
        <v>231</v>
      </c>
      <c r="BH2950" s="7" t="s">
        <v>231</v>
      </c>
      <c r="BI2950" s="7"/>
      <c r="BJ2950" s="4">
        <v>3</v>
      </c>
      <c r="BK2950" s="8">
        <v>100.79</v>
      </c>
      <c r="BL2950" s="2" t="s">
        <v>1206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12409</v>
      </c>
      <c r="BV2950" s="2" t="s">
        <v>231</v>
      </c>
      <c r="BW2950" s="2" t="s">
        <v>231</v>
      </c>
      <c r="BX2950" s="2" t="s">
        <v>231</v>
      </c>
      <c r="BY2950" s="2" t="s">
        <v>277</v>
      </c>
      <c r="BZ2950" s="2" t="s">
        <v>243</v>
      </c>
      <c r="CA2950" s="2" t="s">
        <v>1620</v>
      </c>
      <c r="CB2950" s="2" t="s">
        <v>640</v>
      </c>
      <c r="CC2950" s="2" t="s">
        <v>244</v>
      </c>
      <c r="CD2950" s="2" t="s">
        <v>231</v>
      </c>
      <c r="CE2950" s="4">
        <v>206</v>
      </c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4"/>
      <c r="CX2950" s="4"/>
      <c r="CY2950" s="4"/>
      <c r="CZ2950" s="4"/>
      <c r="DA2950" s="4"/>
      <c r="DB2950" s="4"/>
      <c r="DC2950" s="4"/>
      <c r="DD2950" s="4"/>
      <c r="DE2950" s="4"/>
      <c r="DF2950" s="4"/>
      <c r="DG2950" s="4"/>
      <c r="DH2950" s="4"/>
      <c r="DI2950" s="4"/>
      <c r="DJ2950" s="4"/>
      <c r="DK2950" s="4"/>
      <c r="DL2950" s="4"/>
      <c r="DM2950" s="4"/>
      <c r="DN2950" s="4"/>
      <c r="DO2950" s="4"/>
      <c r="DP2950" s="4"/>
      <c r="DQ2950" s="4"/>
      <c r="DR2950" s="4"/>
      <c r="DS2950" s="4"/>
      <c r="DT2950" s="4"/>
      <c r="DU2950" s="4"/>
      <c r="DV2950" s="4"/>
      <c r="DW2950" s="4"/>
      <c r="DX2950" s="4"/>
      <c r="DY2950" s="4"/>
      <c r="DZ2950" s="4"/>
      <c r="EA2950" s="4"/>
      <c r="EB2950" s="4"/>
      <c r="EC2950" s="4"/>
      <c r="ED2950" s="4"/>
      <c r="EE2950" s="4"/>
      <c r="EF2950" s="4"/>
      <c r="EG2950" s="4"/>
      <c r="EH2950" s="4"/>
      <c r="EI2950" s="4"/>
      <c r="EJ2950" s="4"/>
      <c r="EK2950" s="4"/>
      <c r="EL2950" s="4"/>
      <c r="EM2950" s="4"/>
      <c r="EN2950" s="4"/>
      <c r="EO2950" s="4"/>
      <c r="EP2950" s="4"/>
      <c r="EQ2950" s="4"/>
      <c r="ER2950" s="4"/>
      <c r="ES2950" s="4"/>
      <c r="ET2950" s="4"/>
      <c r="EU2950" s="4"/>
      <c r="EV2950" s="4"/>
      <c r="EW2950" s="4"/>
      <c r="EX2950" s="4"/>
      <c r="EY2950" s="4"/>
      <c r="EZ2950" s="4"/>
      <c r="FA2950" s="4"/>
      <c r="FB2950" s="4"/>
      <c r="FC2950" s="4"/>
      <c r="FD2950" s="4"/>
      <c r="FE2950" s="4"/>
      <c r="FF2950" s="4"/>
      <c r="FG2950" s="4"/>
      <c r="FH2950" s="4"/>
      <c r="FI2950" s="4"/>
      <c r="FJ2950" s="4"/>
      <c r="FK2950" s="4"/>
      <c r="FL2950" s="4"/>
      <c r="FM2950" s="4"/>
      <c r="FN2950" s="4"/>
      <c r="FO2950" s="4"/>
      <c r="FP2950" s="4"/>
      <c r="FQ2950" s="4"/>
      <c r="FR2950" s="4"/>
      <c r="FS2950" s="4"/>
      <c r="FT2950" s="4"/>
      <c r="FU2950" s="4"/>
      <c r="FV2950" s="4"/>
      <c r="FW2950" s="4"/>
      <c r="FX2950" s="4"/>
      <c r="FY2950" s="4"/>
      <c r="FZ2950" s="4"/>
      <c r="GA2950" s="4"/>
      <c r="GB2950" s="4"/>
      <c r="GC2950" s="4"/>
      <c r="GD2950" s="4"/>
      <c r="GE2950" s="4"/>
      <c r="GF2950" s="4"/>
      <c r="GG2950" s="4"/>
      <c r="GH2950" s="4"/>
      <c r="GI2950" s="4"/>
      <c r="GJ2950" s="4"/>
      <c r="GK2950" s="4"/>
      <c r="GL2950" s="4"/>
      <c r="GM2950" s="4"/>
      <c r="GN2950" s="4"/>
      <c r="GO2950" s="4"/>
      <c r="GP2950" s="4"/>
      <c r="GQ2950" s="4"/>
      <c r="GR2950" s="4"/>
      <c r="GS2950" s="4"/>
      <c r="GT2950" s="4"/>
      <c r="GU2950" s="4"/>
      <c r="GV2950" s="4"/>
      <c r="GW2950" s="4"/>
      <c r="GX2950" s="4"/>
      <c r="GY2950" s="4"/>
      <c r="GZ2950" s="4"/>
      <c r="HA2950" s="4"/>
      <c r="HB2950" s="4"/>
      <c r="HC2950" s="4"/>
      <c r="HD2950" s="4"/>
      <c r="HE2950" s="4"/>
      <c r="HF2950" s="4"/>
      <c r="HG2950" s="4"/>
      <c r="HH2950" s="4"/>
      <c r="HI2950" s="4"/>
      <c r="HJ2950" s="4"/>
      <c r="HK2950" s="4"/>
      <c r="HL2950" s="4"/>
    </row>
    <row r="2951">
      <c r="A2951" s="2" t="s">
        <v>12410</v>
      </c>
      <c r="B2951" s="2" t="s">
        <v>1186</v>
      </c>
      <c r="C2951" s="2" t="s">
        <v>1980</v>
      </c>
      <c r="D2951" s="2" t="s">
        <v>1139</v>
      </c>
      <c r="E2951" s="2" t="s">
        <v>1981</v>
      </c>
      <c r="F2951" s="2" t="s">
        <v>12408</v>
      </c>
      <c r="G2951" s="2" t="s">
        <v>12408</v>
      </c>
      <c r="H2951" s="2" t="s">
        <v>12408</v>
      </c>
      <c r="I2951" s="2" t="s">
        <v>2477</v>
      </c>
      <c r="J2951" s="2" t="s">
        <v>1145</v>
      </c>
      <c r="K2951" s="2" t="s">
        <v>698</v>
      </c>
      <c r="L2951" s="3">
        <v>34.04</v>
      </c>
      <c r="M2951" s="3">
        <v>35.74</v>
      </c>
      <c r="N2951" s="3">
        <v>109.99</v>
      </c>
      <c r="O2951" s="2" t="s">
        <v>243</v>
      </c>
      <c r="P2951" s="2" t="s">
        <v>1985</v>
      </c>
      <c r="Q2951" s="2" t="s">
        <v>237</v>
      </c>
      <c r="R2951" s="2" t="s">
        <v>231</v>
      </c>
      <c r="S2951" s="2" t="s">
        <v>231</v>
      </c>
      <c r="T2951" s="2" t="s">
        <v>231</v>
      </c>
      <c r="U2951" s="2" t="s">
        <v>327</v>
      </c>
      <c r="V2951" s="2" t="s">
        <v>239</v>
      </c>
      <c r="W2951" s="2" t="s">
        <v>676</v>
      </c>
      <c r="X2951" s="2" t="s">
        <v>231</v>
      </c>
      <c r="Y2951" s="2" t="s">
        <v>1987</v>
      </c>
      <c r="Z2951" s="4">
        <v>168</v>
      </c>
      <c r="AA2951" s="4">
        <f>=ROUNDDOWN(56,0)</f>
      </c>
      <c r="AB2951" s="5">
        <v>3</v>
      </c>
      <c r="AC2951" s="2" t="s">
        <v>231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231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/>
      <c r="AW2951" s="8"/>
      <c r="AX2951" s="4"/>
      <c r="AY2951" s="8"/>
      <c r="AZ2951" s="7"/>
      <c r="BA2951" s="7"/>
      <c r="BB2951" s="7"/>
      <c r="BC2951" s="4" t="s">
        <v>231</v>
      </c>
      <c r="BD2951" s="8" t="s">
        <v>231</v>
      </c>
      <c r="BE2951" s="4" t="s">
        <v>231</v>
      </c>
      <c r="BF2951" s="8" t="s">
        <v>231</v>
      </c>
      <c r="BG2951" s="7" t="s">
        <v>231</v>
      </c>
      <c r="BH2951" s="7" t="s">
        <v>231</v>
      </c>
      <c r="BI2951" s="7"/>
      <c r="BJ2951" s="4">
        <v>3</v>
      </c>
      <c r="BK2951" s="8">
        <v>100.79</v>
      </c>
      <c r="BL2951" s="2" t="s">
        <v>1206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12411</v>
      </c>
      <c r="BV2951" s="2" t="s">
        <v>231</v>
      </c>
      <c r="BW2951" s="2" t="s">
        <v>231</v>
      </c>
      <c r="BX2951" s="2" t="s">
        <v>231</v>
      </c>
      <c r="BY2951" s="2" t="s">
        <v>277</v>
      </c>
      <c r="BZ2951" s="2" t="s">
        <v>243</v>
      </c>
      <c r="CA2951" s="2" t="s">
        <v>1620</v>
      </c>
      <c r="CB2951" s="2" t="s">
        <v>5452</v>
      </c>
      <c r="CC2951" s="2" t="s">
        <v>244</v>
      </c>
      <c r="CD2951" s="2" t="s">
        <v>231</v>
      </c>
      <c r="CE2951" s="4">
        <v>168</v>
      </c>
      <c r="CF2951" s="4"/>
      <c r="CG2951" s="4"/>
      <c r="CH2951" s="4"/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4"/>
      <c r="CX2951" s="4"/>
      <c r="CY2951" s="4"/>
      <c r="CZ2951" s="4"/>
      <c r="DA2951" s="4"/>
      <c r="DB2951" s="4"/>
      <c r="DC2951" s="4"/>
      <c r="DD2951" s="4"/>
      <c r="DE2951" s="4"/>
      <c r="DF2951" s="4"/>
      <c r="DG2951" s="4"/>
      <c r="DH2951" s="4"/>
      <c r="DI2951" s="4"/>
      <c r="DJ2951" s="4"/>
      <c r="DK2951" s="4"/>
      <c r="DL2951" s="4"/>
      <c r="DM2951" s="4"/>
      <c r="DN2951" s="4"/>
      <c r="DO2951" s="4"/>
      <c r="DP2951" s="4"/>
      <c r="DQ2951" s="4"/>
      <c r="DR2951" s="4"/>
      <c r="DS2951" s="4"/>
      <c r="DT2951" s="4"/>
      <c r="DU2951" s="4"/>
      <c r="DV2951" s="4"/>
      <c r="DW2951" s="4"/>
      <c r="DX2951" s="4"/>
      <c r="DY2951" s="4"/>
      <c r="DZ2951" s="4"/>
      <c r="EA2951" s="4"/>
      <c r="EB2951" s="4"/>
      <c r="EC2951" s="4"/>
      <c r="ED2951" s="4"/>
      <c r="EE2951" s="4"/>
      <c r="EF2951" s="4"/>
      <c r="EG2951" s="4"/>
      <c r="EH2951" s="4"/>
      <c r="EI2951" s="4"/>
      <c r="EJ2951" s="4"/>
      <c r="EK2951" s="4"/>
      <c r="EL2951" s="4"/>
      <c r="EM2951" s="4"/>
      <c r="EN2951" s="4"/>
      <c r="EO2951" s="4"/>
      <c r="EP2951" s="4"/>
      <c r="EQ2951" s="4"/>
      <c r="ER2951" s="4"/>
      <c r="ES2951" s="4"/>
      <c r="ET2951" s="4"/>
      <c r="EU2951" s="4"/>
      <c r="EV2951" s="4"/>
      <c r="EW2951" s="4"/>
      <c r="EX2951" s="4"/>
      <c r="EY2951" s="4"/>
      <c r="EZ2951" s="4"/>
      <c r="FA2951" s="4"/>
      <c r="FB2951" s="4"/>
      <c r="FC2951" s="4"/>
      <c r="FD2951" s="4"/>
      <c r="FE2951" s="4"/>
      <c r="FF2951" s="4"/>
      <c r="FG2951" s="4"/>
      <c r="FH2951" s="4"/>
      <c r="FI2951" s="4"/>
      <c r="FJ2951" s="4"/>
      <c r="FK2951" s="4"/>
      <c r="FL2951" s="4"/>
      <c r="FM2951" s="4"/>
      <c r="FN2951" s="4"/>
      <c r="FO2951" s="4"/>
      <c r="FP2951" s="4"/>
      <c r="FQ2951" s="4"/>
      <c r="FR2951" s="4"/>
      <c r="FS2951" s="4"/>
      <c r="FT2951" s="4"/>
      <c r="FU2951" s="4"/>
      <c r="FV2951" s="4"/>
      <c r="FW2951" s="4"/>
      <c r="FX2951" s="4"/>
      <c r="FY2951" s="4"/>
      <c r="FZ2951" s="4"/>
      <c r="GA2951" s="4"/>
      <c r="GB2951" s="4"/>
      <c r="GC2951" s="4"/>
      <c r="GD2951" s="4"/>
      <c r="GE2951" s="4"/>
      <c r="GF2951" s="4"/>
      <c r="GG2951" s="4"/>
      <c r="GH2951" s="4"/>
      <c r="GI2951" s="4"/>
      <c r="GJ2951" s="4"/>
      <c r="GK2951" s="4"/>
      <c r="GL2951" s="4"/>
      <c r="GM2951" s="4"/>
      <c r="GN2951" s="4"/>
      <c r="GO2951" s="4"/>
      <c r="GP2951" s="4"/>
      <c r="GQ2951" s="4"/>
      <c r="GR2951" s="4"/>
      <c r="GS2951" s="4"/>
      <c r="GT2951" s="4"/>
      <c r="GU2951" s="4"/>
      <c r="GV2951" s="4"/>
      <c r="GW2951" s="4"/>
      <c r="GX2951" s="4"/>
      <c r="GY2951" s="4"/>
      <c r="GZ2951" s="4"/>
      <c r="HA2951" s="4"/>
      <c r="HB2951" s="4"/>
      <c r="HC2951" s="4"/>
      <c r="HD2951" s="4"/>
      <c r="HE2951" s="4"/>
      <c r="HF2951" s="4"/>
      <c r="HG2951" s="4"/>
      <c r="HH2951" s="4"/>
      <c r="HI2951" s="4"/>
      <c r="HJ2951" s="4"/>
      <c r="HK2951" s="4"/>
      <c r="HL2951" s="4"/>
    </row>
    <row r="2952">
      <c r="A2952" s="2" t="s">
        <v>12412</v>
      </c>
      <c r="B2952" s="2" t="s">
        <v>1186</v>
      </c>
      <c r="C2952" s="2" t="s">
        <v>1980</v>
      </c>
      <c r="D2952" s="2" t="s">
        <v>1139</v>
      </c>
      <c r="E2952" s="2" t="s">
        <v>1981</v>
      </c>
      <c r="F2952" s="2" t="s">
        <v>12408</v>
      </c>
      <c r="G2952" s="2" t="s">
        <v>12408</v>
      </c>
      <c r="H2952" s="2" t="s">
        <v>12408</v>
      </c>
      <c r="I2952" s="2" t="s">
        <v>2477</v>
      </c>
      <c r="J2952" s="2" t="s">
        <v>1145</v>
      </c>
      <c r="K2952" s="2" t="s">
        <v>255</v>
      </c>
      <c r="L2952" s="3">
        <v>34.04</v>
      </c>
      <c r="M2952" s="3">
        <v>35.74</v>
      </c>
      <c r="N2952" s="3">
        <v>109.99</v>
      </c>
      <c r="O2952" s="2" t="s">
        <v>243</v>
      </c>
      <c r="P2952" s="2" t="s">
        <v>270</v>
      </c>
      <c r="Q2952" s="2" t="s">
        <v>237</v>
      </c>
      <c r="R2952" s="2" t="s">
        <v>231</v>
      </c>
      <c r="S2952" s="2" t="s">
        <v>231</v>
      </c>
      <c r="T2952" s="2" t="s">
        <v>231</v>
      </c>
      <c r="U2952" s="2" t="s">
        <v>327</v>
      </c>
      <c r="V2952" s="2" t="s">
        <v>239</v>
      </c>
      <c r="W2952" s="2" t="s">
        <v>676</v>
      </c>
      <c r="X2952" s="2" t="s">
        <v>231</v>
      </c>
      <c r="Y2952" s="2" t="s">
        <v>1987</v>
      </c>
      <c r="Z2952" s="4">
        <v>66</v>
      </c>
      <c r="AA2952" s="4">
        <f>=ROUNDDOWN(20.625,0)</f>
      </c>
      <c r="AB2952" s="5">
        <v>3.2</v>
      </c>
      <c r="AC2952" s="2" t="s">
        <v>321</v>
      </c>
      <c r="AD2952" s="4">
        <v>130</v>
      </c>
      <c r="AE2952" s="4">
        <v>130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231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/>
      <c r="AW2952" s="8"/>
      <c r="AX2952" s="4"/>
      <c r="AY2952" s="8"/>
      <c r="AZ2952" s="7"/>
      <c r="BA2952" s="7"/>
      <c r="BB2952" s="7"/>
      <c r="BC2952" s="4" t="s">
        <v>231</v>
      </c>
      <c r="BD2952" s="8" t="s">
        <v>231</v>
      </c>
      <c r="BE2952" s="4" t="s">
        <v>231</v>
      </c>
      <c r="BF2952" s="8" t="s">
        <v>231</v>
      </c>
      <c r="BG2952" s="7" t="s">
        <v>231</v>
      </c>
      <c r="BH2952" s="7" t="s">
        <v>231</v>
      </c>
      <c r="BI2952" s="7"/>
      <c r="BJ2952" s="4">
        <v>9</v>
      </c>
      <c r="BK2952" s="8">
        <v>346.57</v>
      </c>
      <c r="BL2952" s="2" t="s">
        <v>12413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12414</v>
      </c>
      <c r="BV2952" s="2" t="s">
        <v>231</v>
      </c>
      <c r="BW2952" s="2" t="s">
        <v>231</v>
      </c>
      <c r="BX2952" s="2" t="s">
        <v>231</v>
      </c>
      <c r="BY2952" s="2" t="s">
        <v>277</v>
      </c>
      <c r="BZ2952" s="2" t="s">
        <v>243</v>
      </c>
      <c r="CA2952" s="2" t="s">
        <v>1620</v>
      </c>
      <c r="CB2952" s="2" t="s">
        <v>5452</v>
      </c>
      <c r="CC2952" s="2" t="s">
        <v>244</v>
      </c>
      <c r="CD2952" s="2" t="s">
        <v>231</v>
      </c>
      <c r="CE2952" s="4">
        <v>66</v>
      </c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4"/>
      <c r="CX2952" s="4"/>
      <c r="CY2952" s="4"/>
      <c r="CZ2952" s="4"/>
      <c r="DA2952" s="4"/>
      <c r="DB2952" s="4"/>
      <c r="DC2952" s="4"/>
      <c r="DD2952" s="4"/>
      <c r="DE2952" s="4"/>
      <c r="DF2952" s="4"/>
      <c r="DG2952" s="4"/>
      <c r="DH2952" s="4"/>
      <c r="DI2952" s="4"/>
      <c r="DJ2952" s="4"/>
      <c r="DK2952" s="4"/>
      <c r="DL2952" s="4"/>
      <c r="DM2952" s="4"/>
      <c r="DN2952" s="4"/>
      <c r="DO2952" s="4"/>
      <c r="DP2952" s="4"/>
      <c r="DQ2952" s="4"/>
      <c r="DR2952" s="4"/>
      <c r="DS2952" s="4"/>
      <c r="DT2952" s="4"/>
      <c r="DU2952" s="4"/>
      <c r="DV2952" s="4"/>
      <c r="DW2952" s="4"/>
      <c r="DX2952" s="4"/>
      <c r="DY2952" s="4"/>
      <c r="DZ2952" s="4"/>
      <c r="EA2952" s="4"/>
      <c r="EB2952" s="4"/>
      <c r="EC2952" s="4"/>
      <c r="ED2952" s="4"/>
      <c r="EE2952" s="4"/>
      <c r="EF2952" s="4"/>
      <c r="EG2952" s="4"/>
      <c r="EH2952" s="4"/>
      <c r="EI2952" s="4"/>
      <c r="EJ2952" s="4"/>
      <c r="EK2952" s="4"/>
      <c r="EL2952" s="4"/>
      <c r="EM2952" s="4"/>
      <c r="EN2952" s="4"/>
      <c r="EO2952" s="4"/>
      <c r="EP2952" s="4">
        <v>130</v>
      </c>
      <c r="EQ2952" s="4"/>
      <c r="ER2952" s="4"/>
      <c r="ES2952" s="4"/>
      <c r="ET2952" s="4"/>
      <c r="EU2952" s="4"/>
      <c r="EV2952" s="4"/>
      <c r="EW2952" s="4"/>
      <c r="EX2952" s="4"/>
      <c r="EY2952" s="4"/>
      <c r="EZ2952" s="4"/>
      <c r="FA2952" s="4"/>
      <c r="FB2952" s="4"/>
      <c r="FC2952" s="4"/>
      <c r="FD2952" s="4"/>
      <c r="FE2952" s="4"/>
      <c r="FF2952" s="4"/>
      <c r="FG2952" s="4"/>
      <c r="FH2952" s="4"/>
      <c r="FI2952" s="4"/>
      <c r="FJ2952" s="4"/>
      <c r="FK2952" s="4"/>
      <c r="FL2952" s="4"/>
      <c r="FM2952" s="4"/>
      <c r="FN2952" s="4"/>
      <c r="FO2952" s="4"/>
      <c r="FP2952" s="4"/>
      <c r="FQ2952" s="4"/>
      <c r="FR2952" s="4"/>
      <c r="FS2952" s="4"/>
      <c r="FT2952" s="4"/>
      <c r="FU2952" s="4"/>
      <c r="FV2952" s="4"/>
      <c r="FW2952" s="4"/>
      <c r="FX2952" s="4"/>
      <c r="FY2952" s="4"/>
      <c r="FZ2952" s="4"/>
      <c r="GA2952" s="4"/>
      <c r="GB2952" s="4"/>
      <c r="GC2952" s="4"/>
      <c r="GD2952" s="4"/>
      <c r="GE2952" s="4"/>
      <c r="GF2952" s="4"/>
      <c r="GG2952" s="4"/>
      <c r="GH2952" s="4"/>
      <c r="GI2952" s="4"/>
      <c r="GJ2952" s="4"/>
      <c r="GK2952" s="4"/>
      <c r="GL2952" s="4"/>
      <c r="GM2952" s="4"/>
      <c r="GN2952" s="4"/>
      <c r="GO2952" s="4"/>
      <c r="GP2952" s="4"/>
      <c r="GQ2952" s="4"/>
      <c r="GR2952" s="4"/>
      <c r="GS2952" s="4"/>
      <c r="GT2952" s="4"/>
      <c r="GU2952" s="4"/>
      <c r="GV2952" s="4"/>
      <c r="GW2952" s="4"/>
      <c r="GX2952" s="4"/>
      <c r="GY2952" s="4"/>
      <c r="GZ2952" s="4"/>
      <c r="HA2952" s="4"/>
      <c r="HB2952" s="4"/>
      <c r="HC2952" s="4"/>
      <c r="HD2952" s="4"/>
      <c r="HE2952" s="4"/>
      <c r="HF2952" s="4"/>
      <c r="HG2952" s="4"/>
      <c r="HH2952" s="4"/>
      <c r="HI2952" s="4"/>
      <c r="HJ2952" s="4"/>
      <c r="HK2952" s="4"/>
      <c r="HL2952" s="4"/>
    </row>
    <row r="2953">
      <c r="A2953" s="2" t="s">
        <v>12415</v>
      </c>
      <c r="B2953" s="2" t="s">
        <v>262</v>
      </c>
      <c r="C2953" s="2" t="s">
        <v>288</v>
      </c>
      <c r="D2953" s="2" t="s">
        <v>228</v>
      </c>
      <c r="E2953" s="2" t="s">
        <v>3164</v>
      </c>
      <c r="F2953" s="2" t="s">
        <v>12416</v>
      </c>
      <c r="G2953" s="2" t="s">
        <v>12417</v>
      </c>
      <c r="H2953" s="2" t="s">
        <v>12417</v>
      </c>
      <c r="I2953" s="2" t="s">
        <v>12418</v>
      </c>
      <c r="J2953" s="2" t="s">
        <v>318</v>
      </c>
      <c r="K2953" s="2" t="s">
        <v>294</v>
      </c>
      <c r="L2953" s="3">
        <v>16.45</v>
      </c>
      <c r="M2953" s="3">
        <v>17.27</v>
      </c>
      <c r="N2953" s="3">
        <v>34.99</v>
      </c>
      <c r="O2953" s="2" t="s">
        <v>243</v>
      </c>
      <c r="P2953" s="2" t="s">
        <v>236</v>
      </c>
      <c r="Q2953" s="2" t="s">
        <v>237</v>
      </c>
      <c r="R2953" s="2" t="s">
        <v>231</v>
      </c>
      <c r="S2953" s="2" t="s">
        <v>12419</v>
      </c>
      <c r="T2953" s="2" t="s">
        <v>472</v>
      </c>
      <c r="U2953" s="2" t="s">
        <v>327</v>
      </c>
      <c r="V2953" s="2" t="s">
        <v>239</v>
      </c>
      <c r="W2953" s="2" t="s">
        <v>273</v>
      </c>
      <c r="X2953" s="2" t="s">
        <v>231</v>
      </c>
      <c r="Y2953" s="2" t="s">
        <v>231</v>
      </c>
      <c r="Z2953" s="4"/>
      <c r="AA2953" s="4">
        <f>=ROUNDDOWN({0},0)</f>
      </c>
      <c r="AB2953" s="5">
        <v>32</v>
      </c>
      <c r="AC2953" s="2" t="s">
        <v>3644</v>
      </c>
      <c r="AD2953" s="4">
        <v>410</v>
      </c>
      <c r="AE2953" s="4">
        <v>820</v>
      </c>
      <c r="AF2953" s="6">
        <v>65</v>
      </c>
      <c r="AG2953" s="6"/>
      <c r="AH2953" s="7">
        <v>0</v>
      </c>
      <c r="AI2953" s="4"/>
      <c r="AJ2953" s="4">
        <f>=ROUNDDOWN({0},0)</f>
      </c>
      <c r="AK2953" s="5"/>
      <c r="AL2953" s="2" t="s">
        <v>231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231</v>
      </c>
      <c r="AW2953" s="8" t="s">
        <v>231</v>
      </c>
      <c r="AX2953" s="4" t="s">
        <v>231</v>
      </c>
      <c r="AY2953" s="8" t="s">
        <v>231</v>
      </c>
      <c r="AZ2953" s="7" t="s">
        <v>231</v>
      </c>
      <c r="BA2953" s="7" t="s">
        <v>231</v>
      </c>
      <c r="BB2953" s="7"/>
      <c r="BC2953" s="4" t="s">
        <v>231</v>
      </c>
      <c r="BD2953" s="8" t="s">
        <v>231</v>
      </c>
      <c r="BE2953" s="4" t="s">
        <v>231</v>
      </c>
      <c r="BF2953" s="8" t="s">
        <v>231</v>
      </c>
      <c r="BG2953" s="7" t="s">
        <v>231</v>
      </c>
      <c r="BH2953" s="7" t="s">
        <v>231</v>
      </c>
      <c r="BI2953" s="7"/>
      <c r="BJ2953" s="4"/>
      <c r="BK2953" s="8"/>
      <c r="BL2953" s="2" t="s">
        <v>231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241</v>
      </c>
      <c r="BV2953" s="2" t="s">
        <v>231</v>
      </c>
      <c r="BW2953" s="2" t="s">
        <v>231</v>
      </c>
      <c r="BX2953" s="2" t="s">
        <v>312</v>
      </c>
      <c r="BY2953" s="2" t="s">
        <v>242</v>
      </c>
      <c r="BZ2953" s="2" t="s">
        <v>243</v>
      </c>
      <c r="CA2953" s="2" t="s">
        <v>231</v>
      </c>
      <c r="CB2953" s="2" t="s">
        <v>231</v>
      </c>
      <c r="CC2953" s="2" t="s">
        <v>244</v>
      </c>
      <c r="CD2953" s="2" t="s">
        <v>231</v>
      </c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4"/>
      <c r="CX2953" s="4"/>
      <c r="CY2953" s="4"/>
      <c r="CZ2953" s="4"/>
      <c r="DA2953" s="4"/>
      <c r="DB2953" s="4"/>
      <c r="DC2953" s="4"/>
      <c r="DD2953" s="4"/>
      <c r="DE2953" s="4"/>
      <c r="DF2953" s="4"/>
      <c r="DG2953" s="4"/>
      <c r="DH2953" s="4"/>
      <c r="DI2953" s="4"/>
      <c r="DJ2953" s="4"/>
      <c r="DK2953" s="4"/>
      <c r="DL2953" s="4"/>
      <c r="DM2953" s="4"/>
      <c r="DN2953" s="4"/>
      <c r="DO2953" s="4"/>
      <c r="DP2953" s="4"/>
      <c r="DQ2953" s="4"/>
      <c r="DR2953" s="4"/>
      <c r="DS2953" s="4"/>
      <c r="DT2953" s="4"/>
      <c r="DU2953" s="4"/>
      <c r="DV2953" s="4"/>
      <c r="DW2953" s="4"/>
      <c r="DX2953" s="4"/>
      <c r="DY2953" s="4"/>
      <c r="DZ2953" s="4"/>
      <c r="EA2953" s="4"/>
      <c r="EB2953" s="4"/>
      <c r="EC2953" s="4"/>
      <c r="ED2953" s="4"/>
      <c r="EE2953" s="4"/>
      <c r="EF2953" s="4"/>
      <c r="EG2953" s="4"/>
      <c r="EH2953" s="4"/>
      <c r="EI2953" s="4"/>
      <c r="EJ2953" s="4"/>
      <c r="EK2953" s="4"/>
      <c r="EL2953" s="4"/>
      <c r="EM2953" s="4"/>
      <c r="EN2953" s="4"/>
      <c r="EO2953" s="4"/>
      <c r="EP2953" s="4"/>
      <c r="EQ2953" s="4"/>
      <c r="ER2953" s="4"/>
      <c r="ES2953" s="4"/>
      <c r="ET2953" s="4"/>
      <c r="EU2953" s="4"/>
      <c r="EV2953" s="4"/>
      <c r="EW2953" s="4"/>
      <c r="EX2953" s="4"/>
      <c r="EY2953" s="4"/>
      <c r="EZ2953" s="4"/>
      <c r="FA2953" s="4"/>
      <c r="FB2953" s="4"/>
      <c r="FC2953" s="4"/>
      <c r="FD2953" s="4"/>
      <c r="FE2953" s="4"/>
      <c r="FF2953" s="4"/>
      <c r="FG2953" s="4"/>
      <c r="FH2953" s="4"/>
      <c r="FI2953" s="4"/>
      <c r="FJ2953" s="4">
        <v>410</v>
      </c>
      <c r="FK2953" s="4"/>
      <c r="FL2953" s="4"/>
      <c r="FM2953" s="4"/>
      <c r="FN2953" s="4"/>
      <c r="FO2953" s="4"/>
      <c r="FP2953" s="4"/>
      <c r="FQ2953" s="4"/>
      <c r="FR2953" s="4"/>
      <c r="FS2953" s="4"/>
      <c r="FT2953" s="4"/>
      <c r="FU2953" s="4"/>
      <c r="FV2953" s="4"/>
      <c r="FW2953" s="4"/>
      <c r="FX2953" s="4"/>
      <c r="FY2953" s="4"/>
      <c r="FZ2953" s="4"/>
      <c r="GA2953" s="4"/>
      <c r="GB2953" s="4"/>
      <c r="GC2953" s="4"/>
      <c r="GD2953" s="4"/>
      <c r="GE2953" s="4"/>
      <c r="GF2953" s="4"/>
      <c r="GG2953" s="4"/>
      <c r="GH2953" s="4"/>
      <c r="GI2953" s="4"/>
      <c r="GJ2953" s="4"/>
      <c r="GK2953" s="4"/>
      <c r="GL2953" s="4"/>
      <c r="GM2953" s="4"/>
      <c r="GN2953" s="4"/>
      <c r="GO2953" s="4"/>
      <c r="GP2953" s="4"/>
      <c r="GQ2953" s="4"/>
      <c r="GR2953" s="4">
        <v>410</v>
      </c>
      <c r="GS2953" s="4"/>
      <c r="GT2953" s="4"/>
      <c r="GU2953" s="4"/>
      <c r="GV2953" s="4"/>
      <c r="GW2953" s="4"/>
      <c r="GX2953" s="4"/>
      <c r="GY2953" s="4"/>
      <c r="GZ2953" s="4"/>
      <c r="HA2953" s="4"/>
      <c r="HB2953" s="4"/>
      <c r="HC2953" s="4"/>
      <c r="HD2953" s="4"/>
      <c r="HE2953" s="4"/>
      <c r="HF2953" s="4"/>
      <c r="HG2953" s="4"/>
      <c r="HH2953" s="4"/>
      <c r="HI2953" s="4"/>
      <c r="HJ2953" s="4"/>
      <c r="HK2953" s="4"/>
      <c r="HL2953" s="4"/>
    </row>
    <row r="2954">
      <c r="A2954" s="2" t="s">
        <v>12420</v>
      </c>
      <c r="B2954" s="2" t="s">
        <v>262</v>
      </c>
      <c r="C2954" s="2" t="s">
        <v>288</v>
      </c>
      <c r="D2954" s="2" t="s">
        <v>228</v>
      </c>
      <c r="E2954" s="2" t="s">
        <v>3164</v>
      </c>
      <c r="F2954" s="2" t="s">
        <v>12416</v>
      </c>
      <c r="G2954" s="2" t="s">
        <v>12417</v>
      </c>
      <c r="H2954" s="2" t="s">
        <v>12417</v>
      </c>
      <c r="I2954" s="2" t="s">
        <v>12418</v>
      </c>
      <c r="J2954" s="2" t="s">
        <v>658</v>
      </c>
      <c r="K2954" s="2" t="s">
        <v>294</v>
      </c>
      <c r="L2954" s="3">
        <v>22.05</v>
      </c>
      <c r="M2954" s="3">
        <v>23.15</v>
      </c>
      <c r="N2954" s="3">
        <v>44.99</v>
      </c>
      <c r="O2954" s="2" t="s">
        <v>243</v>
      </c>
      <c r="P2954" s="2" t="s">
        <v>236</v>
      </c>
      <c r="Q2954" s="2" t="s">
        <v>237</v>
      </c>
      <c r="R2954" s="2" t="s">
        <v>231</v>
      </c>
      <c r="S2954" s="2" t="s">
        <v>12419</v>
      </c>
      <c r="T2954" s="2" t="s">
        <v>472</v>
      </c>
      <c r="U2954" s="2" t="s">
        <v>327</v>
      </c>
      <c r="V2954" s="2" t="s">
        <v>239</v>
      </c>
      <c r="W2954" s="2" t="s">
        <v>273</v>
      </c>
      <c r="X2954" s="2" t="s">
        <v>231</v>
      </c>
      <c r="Y2954" s="2" t="s">
        <v>231</v>
      </c>
      <c r="Z2954" s="4"/>
      <c r="AA2954" s="4">
        <f>=ROUNDDOWN({0},0)</f>
      </c>
      <c r="AB2954" s="5">
        <v>47</v>
      </c>
      <c r="AC2954" s="2" t="s">
        <v>3644</v>
      </c>
      <c r="AD2954" s="4">
        <v>940</v>
      </c>
      <c r="AE2954" s="4">
        <v>1880</v>
      </c>
      <c r="AF2954" s="6">
        <v>65</v>
      </c>
      <c r="AG2954" s="6"/>
      <c r="AH2954" s="7">
        <v>0</v>
      </c>
      <c r="AI2954" s="4"/>
      <c r="AJ2954" s="4">
        <f>=ROUNDDOWN({0},0)</f>
      </c>
      <c r="AK2954" s="5"/>
      <c r="AL2954" s="2" t="s">
        <v>231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231</v>
      </c>
      <c r="AW2954" s="8" t="s">
        <v>231</v>
      </c>
      <c r="AX2954" s="4" t="s">
        <v>231</v>
      </c>
      <c r="AY2954" s="8" t="s">
        <v>231</v>
      </c>
      <c r="AZ2954" s="7" t="s">
        <v>231</v>
      </c>
      <c r="BA2954" s="7" t="s">
        <v>231</v>
      </c>
      <c r="BB2954" s="7"/>
      <c r="BC2954" s="4" t="s">
        <v>231</v>
      </c>
      <c r="BD2954" s="8" t="s">
        <v>231</v>
      </c>
      <c r="BE2954" s="4" t="s">
        <v>231</v>
      </c>
      <c r="BF2954" s="8" t="s">
        <v>231</v>
      </c>
      <c r="BG2954" s="7" t="s">
        <v>231</v>
      </c>
      <c r="BH2954" s="7" t="s">
        <v>231</v>
      </c>
      <c r="BI2954" s="7"/>
      <c r="BJ2954" s="4"/>
      <c r="BK2954" s="8"/>
      <c r="BL2954" s="2" t="s">
        <v>231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241</v>
      </c>
      <c r="BV2954" s="2" t="s">
        <v>231</v>
      </c>
      <c r="BW2954" s="2" t="s">
        <v>231</v>
      </c>
      <c r="BX2954" s="2" t="s">
        <v>312</v>
      </c>
      <c r="BY2954" s="2" t="s">
        <v>242</v>
      </c>
      <c r="BZ2954" s="2" t="s">
        <v>243</v>
      </c>
      <c r="CA2954" s="2" t="s">
        <v>231</v>
      </c>
      <c r="CB2954" s="2" t="s">
        <v>231</v>
      </c>
      <c r="CC2954" s="2" t="s">
        <v>244</v>
      </c>
      <c r="CD2954" s="2" t="s">
        <v>231</v>
      </c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4"/>
      <c r="CX2954" s="4"/>
      <c r="CY2954" s="4"/>
      <c r="CZ2954" s="4"/>
      <c r="DA2954" s="4"/>
      <c r="DB2954" s="4"/>
      <c r="DC2954" s="4"/>
      <c r="DD2954" s="4"/>
      <c r="DE2954" s="4"/>
      <c r="DF2954" s="4"/>
      <c r="DG2954" s="4"/>
      <c r="DH2954" s="4"/>
      <c r="DI2954" s="4"/>
      <c r="DJ2954" s="4"/>
      <c r="DK2954" s="4"/>
      <c r="DL2954" s="4"/>
      <c r="DM2954" s="4"/>
      <c r="DN2954" s="4"/>
      <c r="DO2954" s="4"/>
      <c r="DP2954" s="4"/>
      <c r="DQ2954" s="4"/>
      <c r="DR2954" s="4"/>
      <c r="DS2954" s="4"/>
      <c r="DT2954" s="4"/>
      <c r="DU2954" s="4"/>
      <c r="DV2954" s="4"/>
      <c r="DW2954" s="4"/>
      <c r="DX2954" s="4"/>
      <c r="DY2954" s="4"/>
      <c r="DZ2954" s="4"/>
      <c r="EA2954" s="4"/>
      <c r="EB2954" s="4"/>
      <c r="EC2954" s="4"/>
      <c r="ED2954" s="4"/>
      <c r="EE2954" s="4"/>
      <c r="EF2954" s="4"/>
      <c r="EG2954" s="4"/>
      <c r="EH2954" s="4"/>
      <c r="EI2954" s="4"/>
      <c r="EJ2954" s="4"/>
      <c r="EK2954" s="4"/>
      <c r="EL2954" s="4"/>
      <c r="EM2954" s="4"/>
      <c r="EN2954" s="4"/>
      <c r="EO2954" s="4"/>
      <c r="EP2954" s="4"/>
      <c r="EQ2954" s="4"/>
      <c r="ER2954" s="4"/>
      <c r="ES2954" s="4"/>
      <c r="ET2954" s="4"/>
      <c r="EU2954" s="4"/>
      <c r="EV2954" s="4"/>
      <c r="EW2954" s="4"/>
      <c r="EX2954" s="4"/>
      <c r="EY2954" s="4"/>
      <c r="EZ2954" s="4"/>
      <c r="FA2954" s="4"/>
      <c r="FB2954" s="4"/>
      <c r="FC2954" s="4"/>
      <c r="FD2954" s="4"/>
      <c r="FE2954" s="4"/>
      <c r="FF2954" s="4"/>
      <c r="FG2954" s="4"/>
      <c r="FH2954" s="4"/>
      <c r="FI2954" s="4"/>
      <c r="FJ2954" s="4">
        <v>940</v>
      </c>
      <c r="FK2954" s="4"/>
      <c r="FL2954" s="4"/>
      <c r="FM2954" s="4"/>
      <c r="FN2954" s="4"/>
      <c r="FO2954" s="4"/>
      <c r="FP2954" s="4"/>
      <c r="FQ2954" s="4"/>
      <c r="FR2954" s="4"/>
      <c r="FS2954" s="4"/>
      <c r="FT2954" s="4"/>
      <c r="FU2954" s="4"/>
      <c r="FV2954" s="4"/>
      <c r="FW2954" s="4"/>
      <c r="FX2954" s="4"/>
      <c r="FY2954" s="4"/>
      <c r="FZ2954" s="4"/>
      <c r="GA2954" s="4"/>
      <c r="GB2954" s="4"/>
      <c r="GC2954" s="4"/>
      <c r="GD2954" s="4"/>
      <c r="GE2954" s="4"/>
      <c r="GF2954" s="4"/>
      <c r="GG2954" s="4"/>
      <c r="GH2954" s="4"/>
      <c r="GI2954" s="4"/>
      <c r="GJ2954" s="4"/>
      <c r="GK2954" s="4"/>
      <c r="GL2954" s="4"/>
      <c r="GM2954" s="4"/>
      <c r="GN2954" s="4"/>
      <c r="GO2954" s="4"/>
      <c r="GP2954" s="4"/>
      <c r="GQ2954" s="4"/>
      <c r="GR2954" s="4">
        <v>940</v>
      </c>
      <c r="GS2954" s="4"/>
      <c r="GT2954" s="4"/>
      <c r="GU2954" s="4"/>
      <c r="GV2954" s="4"/>
      <c r="GW2954" s="4"/>
      <c r="GX2954" s="4"/>
      <c r="GY2954" s="4"/>
      <c r="GZ2954" s="4"/>
      <c r="HA2954" s="4"/>
      <c r="HB2954" s="4"/>
      <c r="HC2954" s="4"/>
      <c r="HD2954" s="4"/>
      <c r="HE2954" s="4"/>
      <c r="HF2954" s="4"/>
      <c r="HG2954" s="4"/>
      <c r="HH2954" s="4"/>
      <c r="HI2954" s="4"/>
      <c r="HJ2954" s="4"/>
      <c r="HK2954" s="4"/>
      <c r="HL2954" s="4"/>
    </row>
    <row r="2955">
      <c r="A2955" s="2" t="s">
        <v>12421</v>
      </c>
      <c r="B2955" s="2" t="s">
        <v>262</v>
      </c>
      <c r="C2955" s="2" t="s">
        <v>288</v>
      </c>
      <c r="D2955" s="2" t="s">
        <v>228</v>
      </c>
      <c r="E2955" s="2" t="s">
        <v>3164</v>
      </c>
      <c r="F2955" s="2" t="s">
        <v>12416</v>
      </c>
      <c r="G2955" s="2" t="s">
        <v>12417</v>
      </c>
      <c r="H2955" s="2" t="s">
        <v>12417</v>
      </c>
      <c r="I2955" s="2" t="s">
        <v>12418</v>
      </c>
      <c r="J2955" s="2" t="s">
        <v>302</v>
      </c>
      <c r="K2955" s="2" t="s">
        <v>294</v>
      </c>
      <c r="L2955" s="3">
        <v>27.5</v>
      </c>
      <c r="M2955" s="3">
        <v>28.88</v>
      </c>
      <c r="N2955" s="3">
        <v>54.99</v>
      </c>
      <c r="O2955" s="2" t="s">
        <v>243</v>
      </c>
      <c r="P2955" s="2" t="s">
        <v>236</v>
      </c>
      <c r="Q2955" s="2" t="s">
        <v>237</v>
      </c>
      <c r="R2955" s="2" t="s">
        <v>231</v>
      </c>
      <c r="S2955" s="2" t="s">
        <v>12419</v>
      </c>
      <c r="T2955" s="2" t="s">
        <v>472</v>
      </c>
      <c r="U2955" s="2" t="s">
        <v>327</v>
      </c>
      <c r="V2955" s="2" t="s">
        <v>239</v>
      </c>
      <c r="W2955" s="2" t="s">
        <v>273</v>
      </c>
      <c r="X2955" s="2" t="s">
        <v>231</v>
      </c>
      <c r="Y2955" s="2" t="s">
        <v>231</v>
      </c>
      <c r="Z2955" s="4"/>
      <c r="AA2955" s="4">
        <f>=ROUNDDOWN({0},0)</f>
      </c>
      <c r="AB2955" s="5">
        <v>33</v>
      </c>
      <c r="AC2955" s="2" t="s">
        <v>3644</v>
      </c>
      <c r="AD2955" s="4">
        <v>650</v>
      </c>
      <c r="AE2955" s="4">
        <v>1300</v>
      </c>
      <c r="AF2955" s="6">
        <v>65</v>
      </c>
      <c r="AG2955" s="6"/>
      <c r="AH2955" s="7">
        <v>0</v>
      </c>
      <c r="AI2955" s="4"/>
      <c r="AJ2955" s="4">
        <f>=ROUNDDOWN({0},0)</f>
      </c>
      <c r="AK2955" s="5"/>
      <c r="AL2955" s="2" t="s">
        <v>231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231</v>
      </c>
      <c r="AW2955" s="8" t="s">
        <v>231</v>
      </c>
      <c r="AX2955" s="4" t="s">
        <v>231</v>
      </c>
      <c r="AY2955" s="8" t="s">
        <v>231</v>
      </c>
      <c r="AZ2955" s="7" t="s">
        <v>231</v>
      </c>
      <c r="BA2955" s="7" t="s">
        <v>231</v>
      </c>
      <c r="BB2955" s="7"/>
      <c r="BC2955" s="4" t="s">
        <v>231</v>
      </c>
      <c r="BD2955" s="8" t="s">
        <v>231</v>
      </c>
      <c r="BE2955" s="4" t="s">
        <v>231</v>
      </c>
      <c r="BF2955" s="8" t="s">
        <v>231</v>
      </c>
      <c r="BG2955" s="7" t="s">
        <v>231</v>
      </c>
      <c r="BH2955" s="7" t="s">
        <v>231</v>
      </c>
      <c r="BI2955" s="7"/>
      <c r="BJ2955" s="4"/>
      <c r="BK2955" s="8"/>
      <c r="BL2955" s="2" t="s">
        <v>231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241</v>
      </c>
      <c r="BV2955" s="2" t="s">
        <v>231</v>
      </c>
      <c r="BW2955" s="2" t="s">
        <v>231</v>
      </c>
      <c r="BX2955" s="2" t="s">
        <v>312</v>
      </c>
      <c r="BY2955" s="2" t="s">
        <v>242</v>
      </c>
      <c r="BZ2955" s="2" t="s">
        <v>243</v>
      </c>
      <c r="CA2955" s="2" t="s">
        <v>231</v>
      </c>
      <c r="CB2955" s="2" t="s">
        <v>231</v>
      </c>
      <c r="CC2955" s="2" t="s">
        <v>244</v>
      </c>
      <c r="CD2955" s="2" t="s">
        <v>231</v>
      </c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4"/>
      <c r="CX2955" s="4"/>
      <c r="CY2955" s="4"/>
      <c r="CZ2955" s="4"/>
      <c r="DA2955" s="4"/>
      <c r="DB2955" s="4"/>
      <c r="DC2955" s="4"/>
      <c r="DD2955" s="4"/>
      <c r="DE2955" s="4"/>
      <c r="DF2955" s="4"/>
      <c r="DG2955" s="4"/>
      <c r="DH2955" s="4"/>
      <c r="DI2955" s="4"/>
      <c r="DJ2955" s="4"/>
      <c r="DK2955" s="4"/>
      <c r="DL2955" s="4"/>
      <c r="DM2955" s="4"/>
      <c r="DN2955" s="4"/>
      <c r="DO2955" s="4"/>
      <c r="DP2955" s="4"/>
      <c r="DQ2955" s="4"/>
      <c r="DR2955" s="4"/>
      <c r="DS2955" s="4"/>
      <c r="DT2955" s="4"/>
      <c r="DU2955" s="4"/>
      <c r="DV2955" s="4"/>
      <c r="DW2955" s="4"/>
      <c r="DX2955" s="4"/>
      <c r="DY2955" s="4"/>
      <c r="DZ2955" s="4"/>
      <c r="EA2955" s="4"/>
      <c r="EB2955" s="4"/>
      <c r="EC2955" s="4"/>
      <c r="ED2955" s="4"/>
      <c r="EE2955" s="4"/>
      <c r="EF2955" s="4"/>
      <c r="EG2955" s="4"/>
      <c r="EH2955" s="4"/>
      <c r="EI2955" s="4"/>
      <c r="EJ2955" s="4"/>
      <c r="EK2955" s="4"/>
      <c r="EL2955" s="4"/>
      <c r="EM2955" s="4"/>
      <c r="EN2955" s="4"/>
      <c r="EO2955" s="4"/>
      <c r="EP2955" s="4"/>
      <c r="EQ2955" s="4"/>
      <c r="ER2955" s="4"/>
      <c r="ES2955" s="4"/>
      <c r="ET2955" s="4"/>
      <c r="EU2955" s="4"/>
      <c r="EV2955" s="4"/>
      <c r="EW2955" s="4"/>
      <c r="EX2955" s="4"/>
      <c r="EY2955" s="4"/>
      <c r="EZ2955" s="4"/>
      <c r="FA2955" s="4"/>
      <c r="FB2955" s="4"/>
      <c r="FC2955" s="4"/>
      <c r="FD2955" s="4"/>
      <c r="FE2955" s="4"/>
      <c r="FF2955" s="4"/>
      <c r="FG2955" s="4"/>
      <c r="FH2955" s="4"/>
      <c r="FI2955" s="4"/>
      <c r="FJ2955" s="4">
        <v>650</v>
      </c>
      <c r="FK2955" s="4"/>
      <c r="FL2955" s="4"/>
      <c r="FM2955" s="4"/>
      <c r="FN2955" s="4"/>
      <c r="FO2955" s="4"/>
      <c r="FP2955" s="4"/>
      <c r="FQ2955" s="4"/>
      <c r="FR2955" s="4"/>
      <c r="FS2955" s="4"/>
      <c r="FT2955" s="4"/>
      <c r="FU2955" s="4"/>
      <c r="FV2955" s="4"/>
      <c r="FW2955" s="4"/>
      <c r="FX2955" s="4"/>
      <c r="FY2955" s="4"/>
      <c r="FZ2955" s="4"/>
      <c r="GA2955" s="4"/>
      <c r="GB2955" s="4"/>
      <c r="GC2955" s="4"/>
      <c r="GD2955" s="4"/>
      <c r="GE2955" s="4"/>
      <c r="GF2955" s="4"/>
      <c r="GG2955" s="4"/>
      <c r="GH2955" s="4"/>
      <c r="GI2955" s="4"/>
      <c r="GJ2955" s="4"/>
      <c r="GK2955" s="4"/>
      <c r="GL2955" s="4"/>
      <c r="GM2955" s="4"/>
      <c r="GN2955" s="4"/>
      <c r="GO2955" s="4"/>
      <c r="GP2955" s="4"/>
      <c r="GQ2955" s="4"/>
      <c r="GR2955" s="4">
        <v>650</v>
      </c>
      <c r="GS2955" s="4"/>
      <c r="GT2955" s="4"/>
      <c r="GU2955" s="4"/>
      <c r="GV2955" s="4"/>
      <c r="GW2955" s="4"/>
      <c r="GX2955" s="4"/>
      <c r="GY2955" s="4"/>
      <c r="GZ2955" s="4"/>
      <c r="HA2955" s="4"/>
      <c r="HB2955" s="4"/>
      <c r="HC2955" s="4"/>
      <c r="HD2955" s="4"/>
      <c r="HE2955" s="4"/>
      <c r="HF2955" s="4"/>
      <c r="HG2955" s="4"/>
      <c r="HH2955" s="4"/>
      <c r="HI2955" s="4"/>
      <c r="HJ2955" s="4"/>
      <c r="HK2955" s="4"/>
      <c r="HL2955" s="4"/>
    </row>
    <row r="2956">
      <c r="A2956" s="2" t="s">
        <v>12422</v>
      </c>
      <c r="B2956" s="2" t="s">
        <v>262</v>
      </c>
      <c r="C2956" s="2" t="s">
        <v>288</v>
      </c>
      <c r="D2956" s="2" t="s">
        <v>228</v>
      </c>
      <c r="E2956" s="2" t="s">
        <v>229</v>
      </c>
      <c r="F2956" s="2" t="s">
        <v>12423</v>
      </c>
      <c r="G2956" s="2" t="s">
        <v>12423</v>
      </c>
      <c r="H2956" s="2" t="s">
        <v>12423</v>
      </c>
      <c r="I2956" s="2" t="s">
        <v>12424</v>
      </c>
      <c r="J2956" s="2" t="s">
        <v>318</v>
      </c>
      <c r="K2956" s="2" t="s">
        <v>12425</v>
      </c>
      <c r="L2956" s="3">
        <v>16.23</v>
      </c>
      <c r="M2956" s="3">
        <v>17.04</v>
      </c>
      <c r="N2956" s="3">
        <v>27.99</v>
      </c>
      <c r="O2956" s="2" t="s">
        <v>235</v>
      </c>
      <c r="P2956" s="2" t="s">
        <v>1019</v>
      </c>
      <c r="Q2956" s="2" t="s">
        <v>237</v>
      </c>
      <c r="R2956" s="2" t="s">
        <v>1020</v>
      </c>
      <c r="S2956" s="2" t="s">
        <v>231</v>
      </c>
      <c r="T2956" s="2" t="s">
        <v>231</v>
      </c>
      <c r="U2956" s="2" t="s">
        <v>327</v>
      </c>
      <c r="V2956" s="2" t="s">
        <v>987</v>
      </c>
      <c r="W2956" s="2" t="s">
        <v>231</v>
      </c>
      <c r="X2956" s="2" t="s">
        <v>231</v>
      </c>
      <c r="Y2956" s="2" t="s">
        <v>5929</v>
      </c>
      <c r="Z2956" s="4">
        <v>92</v>
      </c>
      <c r="AA2956" s="4">
        <f>=ROUNDDOWN(15.3333333333333,0)</f>
      </c>
      <c r="AB2956" s="5">
        <v>6</v>
      </c>
      <c r="AC2956" s="2" t="s">
        <v>231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231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231</v>
      </c>
      <c r="AW2956" s="8" t="s">
        <v>231</v>
      </c>
      <c r="AX2956" s="4" t="s">
        <v>231</v>
      </c>
      <c r="AY2956" s="8" t="s">
        <v>231</v>
      </c>
      <c r="AZ2956" s="7" t="s">
        <v>231</v>
      </c>
      <c r="BA2956" s="7" t="s">
        <v>231</v>
      </c>
      <c r="BB2956" s="7"/>
      <c r="BC2956" s="4" t="s">
        <v>231</v>
      </c>
      <c r="BD2956" s="8" t="s">
        <v>231</v>
      </c>
      <c r="BE2956" s="4" t="s">
        <v>231</v>
      </c>
      <c r="BF2956" s="8" t="s">
        <v>231</v>
      </c>
      <c r="BG2956" s="7" t="s">
        <v>231</v>
      </c>
      <c r="BH2956" s="7" t="s">
        <v>231</v>
      </c>
      <c r="BI2956" s="7"/>
      <c r="BJ2956" s="4">
        <v>70</v>
      </c>
      <c r="BK2956" s="8">
        <v>511</v>
      </c>
      <c r="BL2956" s="2" t="s">
        <v>2565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12426</v>
      </c>
      <c r="BV2956" s="2" t="s">
        <v>231</v>
      </c>
      <c r="BW2956" s="2" t="s">
        <v>231</v>
      </c>
      <c r="BX2956" s="2" t="s">
        <v>241</v>
      </c>
      <c r="BY2956" s="2" t="s">
        <v>277</v>
      </c>
      <c r="BZ2956" s="2" t="s">
        <v>243</v>
      </c>
      <c r="CA2956" s="2" t="s">
        <v>1155</v>
      </c>
      <c r="CB2956" s="2" t="s">
        <v>231</v>
      </c>
      <c r="CC2956" s="2" t="s">
        <v>244</v>
      </c>
      <c r="CD2956" s="2" t="s">
        <v>231</v>
      </c>
      <c r="CE2956" s="4">
        <v>92</v>
      </c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4"/>
      <c r="CX2956" s="4"/>
      <c r="CY2956" s="4"/>
      <c r="CZ2956" s="4"/>
      <c r="DA2956" s="4"/>
      <c r="DB2956" s="4"/>
      <c r="DC2956" s="4"/>
      <c r="DD2956" s="4"/>
      <c r="DE2956" s="4"/>
      <c r="DF2956" s="4"/>
      <c r="DG2956" s="4"/>
      <c r="DH2956" s="4"/>
      <c r="DI2956" s="4"/>
      <c r="DJ2956" s="4"/>
      <c r="DK2956" s="4"/>
      <c r="DL2956" s="4"/>
      <c r="DM2956" s="4"/>
      <c r="DN2956" s="4"/>
      <c r="DO2956" s="4"/>
      <c r="DP2956" s="4"/>
      <c r="DQ2956" s="4"/>
      <c r="DR2956" s="4"/>
      <c r="DS2956" s="4"/>
      <c r="DT2956" s="4"/>
      <c r="DU2956" s="4"/>
      <c r="DV2956" s="4"/>
      <c r="DW2956" s="4"/>
      <c r="DX2956" s="4"/>
      <c r="DY2956" s="4"/>
      <c r="DZ2956" s="4"/>
      <c r="EA2956" s="4"/>
      <c r="EB2956" s="4"/>
      <c r="EC2956" s="4"/>
      <c r="ED2956" s="4"/>
      <c r="EE2956" s="4"/>
      <c r="EF2956" s="4"/>
      <c r="EG2956" s="4"/>
      <c r="EH2956" s="4"/>
      <c r="EI2956" s="4"/>
      <c r="EJ2956" s="4"/>
      <c r="EK2956" s="4"/>
      <c r="EL2956" s="4"/>
      <c r="EM2956" s="4"/>
      <c r="EN2956" s="4"/>
      <c r="EO2956" s="4"/>
      <c r="EP2956" s="4"/>
      <c r="EQ2956" s="4"/>
      <c r="ER2956" s="4"/>
      <c r="ES2956" s="4"/>
      <c r="ET2956" s="4"/>
      <c r="EU2956" s="4"/>
      <c r="EV2956" s="4"/>
      <c r="EW2956" s="4"/>
      <c r="EX2956" s="4"/>
      <c r="EY2956" s="4"/>
      <c r="EZ2956" s="4"/>
      <c r="FA2956" s="4"/>
      <c r="FB2956" s="4"/>
      <c r="FC2956" s="4"/>
      <c r="FD2956" s="4"/>
      <c r="FE2956" s="4"/>
      <c r="FF2956" s="4"/>
      <c r="FG2956" s="4"/>
      <c r="FH2956" s="4"/>
      <c r="FI2956" s="4"/>
      <c r="FJ2956" s="4"/>
      <c r="FK2956" s="4"/>
      <c r="FL2956" s="4"/>
      <c r="FM2956" s="4"/>
      <c r="FN2956" s="4"/>
      <c r="FO2956" s="4"/>
      <c r="FP2956" s="4"/>
      <c r="FQ2956" s="4"/>
      <c r="FR2956" s="4"/>
      <c r="FS2956" s="4"/>
      <c r="FT2956" s="4"/>
      <c r="FU2956" s="4"/>
      <c r="FV2956" s="4"/>
      <c r="FW2956" s="4"/>
      <c r="FX2956" s="4"/>
      <c r="FY2956" s="4"/>
      <c r="FZ2956" s="4"/>
      <c r="GA2956" s="4"/>
      <c r="GB2956" s="4"/>
      <c r="GC2956" s="4"/>
      <c r="GD2956" s="4"/>
      <c r="GE2956" s="4"/>
      <c r="GF2956" s="4"/>
      <c r="GG2956" s="4"/>
      <c r="GH2956" s="4"/>
      <c r="GI2956" s="4"/>
      <c r="GJ2956" s="4"/>
      <c r="GK2956" s="4"/>
      <c r="GL2956" s="4"/>
      <c r="GM2956" s="4"/>
      <c r="GN2956" s="4"/>
      <c r="GO2956" s="4"/>
      <c r="GP2956" s="4"/>
      <c r="GQ2956" s="4"/>
      <c r="GR2956" s="4"/>
      <c r="GS2956" s="4"/>
      <c r="GT2956" s="4"/>
      <c r="GU2956" s="4"/>
      <c r="GV2956" s="4"/>
      <c r="GW2956" s="4"/>
      <c r="GX2956" s="4"/>
      <c r="GY2956" s="4"/>
      <c r="GZ2956" s="4"/>
      <c r="HA2956" s="4"/>
      <c r="HB2956" s="4"/>
      <c r="HC2956" s="4"/>
      <c r="HD2956" s="4"/>
      <c r="HE2956" s="4"/>
      <c r="HF2956" s="4"/>
      <c r="HG2956" s="4"/>
      <c r="HH2956" s="4"/>
      <c r="HI2956" s="4"/>
      <c r="HJ2956" s="4"/>
      <c r="HK2956" s="4"/>
      <c r="HL2956" s="4"/>
    </row>
    <row r="2957">
      <c r="A2957" s="2" t="s">
        <v>12427</v>
      </c>
      <c r="B2957" s="2" t="s">
        <v>262</v>
      </c>
      <c r="C2957" s="2" t="s">
        <v>288</v>
      </c>
      <c r="D2957" s="2" t="s">
        <v>228</v>
      </c>
      <c r="E2957" s="2" t="s">
        <v>229</v>
      </c>
      <c r="F2957" s="2" t="s">
        <v>12423</v>
      </c>
      <c r="G2957" s="2" t="s">
        <v>12423</v>
      </c>
      <c r="H2957" s="2" t="s">
        <v>12423</v>
      </c>
      <c r="I2957" s="2" t="s">
        <v>12424</v>
      </c>
      <c r="J2957" s="2" t="s">
        <v>302</v>
      </c>
      <c r="K2957" s="2" t="s">
        <v>12425</v>
      </c>
      <c r="L2957" s="3">
        <v>22.03</v>
      </c>
      <c r="M2957" s="3">
        <v>23.13</v>
      </c>
      <c r="N2957" s="3">
        <v>37.99</v>
      </c>
      <c r="O2957" s="2" t="s">
        <v>235</v>
      </c>
      <c r="P2957" s="2" t="s">
        <v>1019</v>
      </c>
      <c r="Q2957" s="2" t="s">
        <v>237</v>
      </c>
      <c r="R2957" s="2" t="s">
        <v>1020</v>
      </c>
      <c r="S2957" s="2" t="s">
        <v>231</v>
      </c>
      <c r="T2957" s="2" t="s">
        <v>231</v>
      </c>
      <c r="U2957" s="2" t="s">
        <v>327</v>
      </c>
      <c r="V2957" s="2" t="s">
        <v>987</v>
      </c>
      <c r="W2957" s="2" t="s">
        <v>231</v>
      </c>
      <c r="X2957" s="2" t="s">
        <v>231</v>
      </c>
      <c r="Y2957" s="2" t="s">
        <v>5929</v>
      </c>
      <c r="Z2957" s="4">
        <v>42</v>
      </c>
      <c r="AA2957" s="4">
        <f>=ROUNDDOWN(5.25,0)</f>
      </c>
      <c r="AB2957" s="5">
        <v>8</v>
      </c>
      <c r="AC2957" s="2" t="s">
        <v>231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231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231</v>
      </c>
      <c r="AW2957" s="8" t="s">
        <v>231</v>
      </c>
      <c r="AX2957" s="4" t="s">
        <v>231</v>
      </c>
      <c r="AY2957" s="8" t="s">
        <v>231</v>
      </c>
      <c r="AZ2957" s="7" t="s">
        <v>231</v>
      </c>
      <c r="BA2957" s="7" t="s">
        <v>231</v>
      </c>
      <c r="BB2957" s="7"/>
      <c r="BC2957" s="4" t="s">
        <v>231</v>
      </c>
      <c r="BD2957" s="8" t="s">
        <v>231</v>
      </c>
      <c r="BE2957" s="4" t="s">
        <v>231</v>
      </c>
      <c r="BF2957" s="8" t="s">
        <v>231</v>
      </c>
      <c r="BG2957" s="7" t="s">
        <v>231</v>
      </c>
      <c r="BH2957" s="7" t="s">
        <v>231</v>
      </c>
      <c r="BI2957" s="7"/>
      <c r="BJ2957" s="4">
        <v>83</v>
      </c>
      <c r="BK2957" s="8">
        <v>987.7</v>
      </c>
      <c r="BL2957" s="2" t="s">
        <v>2565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12428</v>
      </c>
      <c r="BV2957" s="2" t="s">
        <v>231</v>
      </c>
      <c r="BW2957" s="2" t="s">
        <v>231</v>
      </c>
      <c r="BX2957" s="2" t="s">
        <v>241</v>
      </c>
      <c r="BY2957" s="2" t="s">
        <v>277</v>
      </c>
      <c r="BZ2957" s="2" t="s">
        <v>243</v>
      </c>
      <c r="CA2957" s="2" t="s">
        <v>1155</v>
      </c>
      <c r="CB2957" s="2" t="s">
        <v>231</v>
      </c>
      <c r="CC2957" s="2" t="s">
        <v>244</v>
      </c>
      <c r="CD2957" s="2" t="s">
        <v>231</v>
      </c>
      <c r="CE2957" s="4">
        <v>42</v>
      </c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/>
      <c r="CV2957" s="4"/>
      <c r="CW2957" s="4"/>
      <c r="CX2957" s="4"/>
      <c r="CY2957" s="4"/>
      <c r="CZ2957" s="4"/>
      <c r="DA2957" s="4"/>
      <c r="DB2957" s="4"/>
      <c r="DC2957" s="4"/>
      <c r="DD2957" s="4"/>
      <c r="DE2957" s="4"/>
      <c r="DF2957" s="4"/>
      <c r="DG2957" s="4"/>
      <c r="DH2957" s="4"/>
      <c r="DI2957" s="4"/>
      <c r="DJ2957" s="4"/>
      <c r="DK2957" s="4"/>
      <c r="DL2957" s="4"/>
      <c r="DM2957" s="4"/>
      <c r="DN2957" s="4"/>
      <c r="DO2957" s="4"/>
      <c r="DP2957" s="4"/>
      <c r="DQ2957" s="4"/>
      <c r="DR2957" s="4"/>
      <c r="DS2957" s="4"/>
      <c r="DT2957" s="4"/>
      <c r="DU2957" s="4"/>
      <c r="DV2957" s="4"/>
      <c r="DW2957" s="4"/>
      <c r="DX2957" s="4"/>
      <c r="DY2957" s="4"/>
      <c r="DZ2957" s="4"/>
      <c r="EA2957" s="4"/>
      <c r="EB2957" s="4"/>
      <c r="EC2957" s="4"/>
      <c r="ED2957" s="4"/>
      <c r="EE2957" s="4"/>
      <c r="EF2957" s="4"/>
      <c r="EG2957" s="4"/>
      <c r="EH2957" s="4"/>
      <c r="EI2957" s="4"/>
      <c r="EJ2957" s="4"/>
      <c r="EK2957" s="4"/>
      <c r="EL2957" s="4"/>
      <c r="EM2957" s="4"/>
      <c r="EN2957" s="4"/>
      <c r="EO2957" s="4"/>
      <c r="EP2957" s="4"/>
      <c r="EQ2957" s="4"/>
      <c r="ER2957" s="4"/>
      <c r="ES2957" s="4"/>
      <c r="ET2957" s="4"/>
      <c r="EU2957" s="4"/>
      <c r="EV2957" s="4"/>
      <c r="EW2957" s="4"/>
      <c r="EX2957" s="4"/>
      <c r="EY2957" s="4"/>
      <c r="EZ2957" s="4"/>
      <c r="FA2957" s="4"/>
      <c r="FB2957" s="4"/>
      <c r="FC2957" s="4"/>
      <c r="FD2957" s="4"/>
      <c r="FE2957" s="4"/>
      <c r="FF2957" s="4"/>
      <c r="FG2957" s="4"/>
      <c r="FH2957" s="4"/>
      <c r="FI2957" s="4"/>
      <c r="FJ2957" s="4"/>
      <c r="FK2957" s="4"/>
      <c r="FL2957" s="4"/>
      <c r="FM2957" s="4"/>
      <c r="FN2957" s="4"/>
      <c r="FO2957" s="4"/>
      <c r="FP2957" s="4"/>
      <c r="FQ2957" s="4"/>
      <c r="FR2957" s="4"/>
      <c r="FS2957" s="4"/>
      <c r="FT2957" s="4"/>
      <c r="FU2957" s="4"/>
      <c r="FV2957" s="4"/>
      <c r="FW2957" s="4"/>
      <c r="FX2957" s="4"/>
      <c r="FY2957" s="4"/>
      <c r="FZ2957" s="4"/>
      <c r="GA2957" s="4"/>
      <c r="GB2957" s="4"/>
      <c r="GC2957" s="4"/>
      <c r="GD2957" s="4"/>
      <c r="GE2957" s="4"/>
      <c r="GF2957" s="4"/>
      <c r="GG2957" s="4"/>
      <c r="GH2957" s="4"/>
      <c r="GI2957" s="4"/>
      <c r="GJ2957" s="4"/>
      <c r="GK2957" s="4"/>
      <c r="GL2957" s="4"/>
      <c r="GM2957" s="4"/>
      <c r="GN2957" s="4"/>
      <c r="GO2957" s="4"/>
      <c r="GP2957" s="4"/>
      <c r="GQ2957" s="4"/>
      <c r="GR2957" s="4"/>
      <c r="GS2957" s="4"/>
      <c r="GT2957" s="4"/>
      <c r="GU2957" s="4"/>
      <c r="GV2957" s="4"/>
      <c r="GW2957" s="4"/>
      <c r="GX2957" s="4"/>
      <c r="GY2957" s="4"/>
      <c r="GZ2957" s="4"/>
      <c r="HA2957" s="4"/>
      <c r="HB2957" s="4"/>
      <c r="HC2957" s="4"/>
      <c r="HD2957" s="4"/>
      <c r="HE2957" s="4"/>
      <c r="HF2957" s="4"/>
      <c r="HG2957" s="4"/>
      <c r="HH2957" s="4"/>
      <c r="HI2957" s="4"/>
      <c r="HJ2957" s="4"/>
      <c r="HK2957" s="4"/>
      <c r="HL2957" s="4"/>
    </row>
    <row r="2958">
      <c r="A2958" s="2" t="s">
        <v>12429</v>
      </c>
      <c r="B2958" s="2" t="s">
        <v>262</v>
      </c>
      <c r="C2958" s="2" t="s">
        <v>288</v>
      </c>
      <c r="D2958" s="2" t="s">
        <v>654</v>
      </c>
      <c r="E2958" s="2" t="s">
        <v>655</v>
      </c>
      <c r="F2958" s="2" t="s">
        <v>12423</v>
      </c>
      <c r="G2958" s="2" t="s">
        <v>12423</v>
      </c>
      <c r="H2958" s="2" t="s">
        <v>12423</v>
      </c>
      <c r="I2958" s="2" t="s">
        <v>12430</v>
      </c>
      <c r="J2958" s="2" t="s">
        <v>832</v>
      </c>
      <c r="K2958" s="2" t="s">
        <v>253</v>
      </c>
      <c r="L2958" s="3">
        <v>21.45</v>
      </c>
      <c r="M2958" s="3">
        <v>22.52</v>
      </c>
      <c r="N2958" s="3">
        <v>36.99</v>
      </c>
      <c r="O2958" s="2" t="s">
        <v>235</v>
      </c>
      <c r="P2958" s="2" t="s">
        <v>1019</v>
      </c>
      <c r="Q2958" s="2" t="s">
        <v>237</v>
      </c>
      <c r="R2958" s="2" t="s">
        <v>1020</v>
      </c>
      <c r="S2958" s="2" t="s">
        <v>231</v>
      </c>
      <c r="T2958" s="2" t="s">
        <v>231</v>
      </c>
      <c r="U2958" s="2" t="s">
        <v>327</v>
      </c>
      <c r="V2958" s="2" t="s">
        <v>239</v>
      </c>
      <c r="W2958" s="2" t="s">
        <v>231</v>
      </c>
      <c r="X2958" s="2" t="s">
        <v>231</v>
      </c>
      <c r="Y2958" s="2" t="s">
        <v>2867</v>
      </c>
      <c r="Z2958" s="4">
        <v>31</v>
      </c>
      <c r="AA2958" s="4">
        <f>=ROUNDDOWN(7.75,0)</f>
      </c>
      <c r="AB2958" s="5">
        <v>4</v>
      </c>
      <c r="AC2958" s="2" t="s">
        <v>231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231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/>
      <c r="AW2958" s="8"/>
      <c r="AX2958" s="4"/>
      <c r="AY2958" s="8"/>
      <c r="AZ2958" s="7"/>
      <c r="BA2958" s="7"/>
      <c r="BB2958" s="7"/>
      <c r="BC2958" s="4" t="s">
        <v>231</v>
      </c>
      <c r="BD2958" s="8" t="s">
        <v>231</v>
      </c>
      <c r="BE2958" s="4" t="s">
        <v>231</v>
      </c>
      <c r="BF2958" s="8" t="s">
        <v>231</v>
      </c>
      <c r="BG2958" s="7" t="s">
        <v>231</v>
      </c>
      <c r="BH2958" s="7" t="s">
        <v>231</v>
      </c>
      <c r="BI2958" s="7"/>
      <c r="BJ2958" s="4">
        <v>4</v>
      </c>
      <c r="BK2958" s="8">
        <v>38.6</v>
      </c>
      <c r="BL2958" s="2" t="s">
        <v>2565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12431</v>
      </c>
      <c r="BV2958" s="2" t="s">
        <v>231</v>
      </c>
      <c r="BW2958" s="2" t="s">
        <v>231</v>
      </c>
      <c r="BX2958" s="2" t="s">
        <v>241</v>
      </c>
      <c r="BY2958" s="2" t="s">
        <v>277</v>
      </c>
      <c r="BZ2958" s="2" t="s">
        <v>243</v>
      </c>
      <c r="CA2958" s="2" t="s">
        <v>793</v>
      </c>
      <c r="CB2958" s="2" t="s">
        <v>231</v>
      </c>
      <c r="CC2958" s="2" t="s">
        <v>244</v>
      </c>
      <c r="CD2958" s="2" t="s">
        <v>231</v>
      </c>
      <c r="CE2958" s="4">
        <v>31</v>
      </c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4"/>
      <c r="CX2958" s="4"/>
      <c r="CY2958" s="4"/>
      <c r="CZ2958" s="4"/>
      <c r="DA2958" s="4"/>
      <c r="DB2958" s="4"/>
      <c r="DC2958" s="4"/>
      <c r="DD2958" s="4"/>
      <c r="DE2958" s="4"/>
      <c r="DF2958" s="4"/>
      <c r="DG2958" s="4"/>
      <c r="DH2958" s="4"/>
      <c r="DI2958" s="4"/>
      <c r="DJ2958" s="4"/>
      <c r="DK2958" s="4"/>
      <c r="DL2958" s="4"/>
      <c r="DM2958" s="4"/>
      <c r="DN2958" s="4"/>
      <c r="DO2958" s="4"/>
      <c r="DP2958" s="4"/>
      <c r="DQ2958" s="4"/>
      <c r="DR2958" s="4"/>
      <c r="DS2958" s="4"/>
      <c r="DT2958" s="4"/>
      <c r="DU2958" s="4"/>
      <c r="DV2958" s="4"/>
      <c r="DW2958" s="4"/>
      <c r="DX2958" s="4"/>
      <c r="DY2958" s="4"/>
      <c r="DZ2958" s="4"/>
      <c r="EA2958" s="4"/>
      <c r="EB2958" s="4"/>
      <c r="EC2958" s="4"/>
      <c r="ED2958" s="4"/>
      <c r="EE2958" s="4"/>
      <c r="EF2958" s="4"/>
      <c r="EG2958" s="4"/>
      <c r="EH2958" s="4"/>
      <c r="EI2958" s="4"/>
      <c r="EJ2958" s="4"/>
      <c r="EK2958" s="4"/>
      <c r="EL2958" s="4"/>
      <c r="EM2958" s="4"/>
      <c r="EN2958" s="4"/>
      <c r="EO2958" s="4"/>
      <c r="EP2958" s="4"/>
      <c r="EQ2958" s="4"/>
      <c r="ER2958" s="4"/>
      <c r="ES2958" s="4"/>
      <c r="ET2958" s="4"/>
      <c r="EU2958" s="4"/>
      <c r="EV2958" s="4"/>
      <c r="EW2958" s="4"/>
      <c r="EX2958" s="4"/>
      <c r="EY2958" s="4"/>
      <c r="EZ2958" s="4"/>
      <c r="FA2958" s="4"/>
      <c r="FB2958" s="4"/>
      <c r="FC2958" s="4"/>
      <c r="FD2958" s="4"/>
      <c r="FE2958" s="4"/>
      <c r="FF2958" s="4"/>
      <c r="FG2958" s="4"/>
      <c r="FH2958" s="4"/>
      <c r="FI2958" s="4"/>
      <c r="FJ2958" s="4"/>
      <c r="FK2958" s="4"/>
      <c r="FL2958" s="4"/>
      <c r="FM2958" s="4"/>
      <c r="FN2958" s="4"/>
      <c r="FO2958" s="4"/>
      <c r="FP2958" s="4"/>
      <c r="FQ2958" s="4"/>
      <c r="FR2958" s="4"/>
      <c r="FS2958" s="4"/>
      <c r="FT2958" s="4"/>
      <c r="FU2958" s="4"/>
      <c r="FV2958" s="4"/>
      <c r="FW2958" s="4"/>
      <c r="FX2958" s="4"/>
      <c r="FY2958" s="4"/>
      <c r="FZ2958" s="4"/>
      <c r="GA2958" s="4"/>
      <c r="GB2958" s="4"/>
      <c r="GC2958" s="4"/>
      <c r="GD2958" s="4"/>
      <c r="GE2958" s="4"/>
      <c r="GF2958" s="4"/>
      <c r="GG2958" s="4"/>
      <c r="GH2958" s="4"/>
      <c r="GI2958" s="4"/>
      <c r="GJ2958" s="4"/>
      <c r="GK2958" s="4"/>
      <c r="GL2958" s="4"/>
      <c r="GM2958" s="4"/>
      <c r="GN2958" s="4"/>
      <c r="GO2958" s="4"/>
      <c r="GP2958" s="4"/>
      <c r="GQ2958" s="4"/>
      <c r="GR2958" s="4"/>
      <c r="GS2958" s="4"/>
      <c r="GT2958" s="4"/>
      <c r="GU2958" s="4"/>
      <c r="GV2958" s="4"/>
      <c r="GW2958" s="4"/>
      <c r="GX2958" s="4"/>
      <c r="GY2958" s="4"/>
      <c r="GZ2958" s="4"/>
      <c r="HA2958" s="4"/>
      <c r="HB2958" s="4"/>
      <c r="HC2958" s="4"/>
      <c r="HD2958" s="4"/>
      <c r="HE2958" s="4"/>
      <c r="HF2958" s="4"/>
      <c r="HG2958" s="4"/>
      <c r="HH2958" s="4"/>
      <c r="HI2958" s="4"/>
      <c r="HJ2958" s="4"/>
      <c r="HK2958" s="4"/>
      <c r="HL2958" s="4"/>
    </row>
    <row r="2959">
      <c r="A2959" s="2" t="s">
        <v>12432</v>
      </c>
      <c r="B2959" s="2" t="s">
        <v>262</v>
      </c>
      <c r="C2959" s="2" t="s">
        <v>288</v>
      </c>
      <c r="D2959" s="2" t="s">
        <v>654</v>
      </c>
      <c r="E2959" s="2" t="s">
        <v>655</v>
      </c>
      <c r="F2959" s="2" t="s">
        <v>12423</v>
      </c>
      <c r="G2959" s="2" t="s">
        <v>12423</v>
      </c>
      <c r="H2959" s="2" t="s">
        <v>12423</v>
      </c>
      <c r="I2959" s="2" t="s">
        <v>12430</v>
      </c>
      <c r="J2959" s="2" t="s">
        <v>832</v>
      </c>
      <c r="K2959" s="2" t="s">
        <v>319</v>
      </c>
      <c r="L2959" s="3">
        <v>21.45</v>
      </c>
      <c r="M2959" s="3">
        <v>22.52</v>
      </c>
      <c r="N2959" s="3">
        <v>36.99</v>
      </c>
      <c r="O2959" s="2" t="s">
        <v>235</v>
      </c>
      <c r="P2959" s="2" t="s">
        <v>1019</v>
      </c>
      <c r="Q2959" s="2" t="s">
        <v>237</v>
      </c>
      <c r="R2959" s="2" t="s">
        <v>1020</v>
      </c>
      <c r="S2959" s="2" t="s">
        <v>231</v>
      </c>
      <c r="T2959" s="2" t="s">
        <v>231</v>
      </c>
      <c r="U2959" s="2" t="s">
        <v>327</v>
      </c>
      <c r="V2959" s="2" t="s">
        <v>239</v>
      </c>
      <c r="W2959" s="2" t="s">
        <v>231</v>
      </c>
      <c r="X2959" s="2" t="s">
        <v>231</v>
      </c>
      <c r="Y2959" s="2" t="s">
        <v>2867</v>
      </c>
      <c r="Z2959" s="4">
        <v>283</v>
      </c>
      <c r="AA2959" s="4">
        <f>=ROUNDDOWN(283,0)</f>
      </c>
      <c r="AB2959" s="5">
        <v>1</v>
      </c>
      <c r="AC2959" s="2" t="s">
        <v>231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231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231</v>
      </c>
      <c r="AW2959" s="8" t="s">
        <v>231</v>
      </c>
      <c r="AX2959" s="4" t="s">
        <v>231</v>
      </c>
      <c r="AY2959" s="8" t="s">
        <v>231</v>
      </c>
      <c r="AZ2959" s="7" t="s">
        <v>231</v>
      </c>
      <c r="BA2959" s="7" t="s">
        <v>231</v>
      </c>
      <c r="BB2959" s="7"/>
      <c r="BC2959" s="4" t="s">
        <v>231</v>
      </c>
      <c r="BD2959" s="8" t="s">
        <v>231</v>
      </c>
      <c r="BE2959" s="4" t="s">
        <v>231</v>
      </c>
      <c r="BF2959" s="8" t="s">
        <v>231</v>
      </c>
      <c r="BG2959" s="7" t="s">
        <v>231</v>
      </c>
      <c r="BH2959" s="7" t="s">
        <v>231</v>
      </c>
      <c r="BI2959" s="7"/>
      <c r="BJ2959" s="4">
        <v>14</v>
      </c>
      <c r="BK2959" s="8">
        <v>135.1</v>
      </c>
      <c r="BL2959" s="2" t="s">
        <v>2565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12433</v>
      </c>
      <c r="BV2959" s="2" t="s">
        <v>231</v>
      </c>
      <c r="BW2959" s="2" t="s">
        <v>231</v>
      </c>
      <c r="BX2959" s="2" t="s">
        <v>241</v>
      </c>
      <c r="BY2959" s="2" t="s">
        <v>277</v>
      </c>
      <c r="BZ2959" s="2" t="s">
        <v>243</v>
      </c>
      <c r="CA2959" s="2" t="s">
        <v>793</v>
      </c>
      <c r="CB2959" s="2" t="s">
        <v>231</v>
      </c>
      <c r="CC2959" s="2" t="s">
        <v>244</v>
      </c>
      <c r="CD2959" s="2" t="s">
        <v>231</v>
      </c>
      <c r="CE2959" s="4">
        <v>283</v>
      </c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/>
      <c r="CV2959" s="4"/>
      <c r="CW2959" s="4"/>
      <c r="CX2959" s="4"/>
      <c r="CY2959" s="4"/>
      <c r="CZ2959" s="4"/>
      <c r="DA2959" s="4"/>
      <c r="DB2959" s="4"/>
      <c r="DC2959" s="4"/>
      <c r="DD2959" s="4"/>
      <c r="DE2959" s="4"/>
      <c r="DF2959" s="4"/>
      <c r="DG2959" s="4"/>
      <c r="DH2959" s="4"/>
      <c r="DI2959" s="4"/>
      <c r="DJ2959" s="4"/>
      <c r="DK2959" s="4"/>
      <c r="DL2959" s="4"/>
      <c r="DM2959" s="4"/>
      <c r="DN2959" s="4"/>
      <c r="DO2959" s="4"/>
      <c r="DP2959" s="4"/>
      <c r="DQ2959" s="4"/>
      <c r="DR2959" s="4"/>
      <c r="DS2959" s="4"/>
      <c r="DT2959" s="4"/>
      <c r="DU2959" s="4"/>
      <c r="DV2959" s="4"/>
      <c r="DW2959" s="4"/>
      <c r="DX2959" s="4"/>
      <c r="DY2959" s="4"/>
      <c r="DZ2959" s="4"/>
      <c r="EA2959" s="4"/>
      <c r="EB2959" s="4"/>
      <c r="EC2959" s="4"/>
      <c r="ED2959" s="4"/>
      <c r="EE2959" s="4"/>
      <c r="EF2959" s="4"/>
      <c r="EG2959" s="4"/>
      <c r="EH2959" s="4"/>
      <c r="EI2959" s="4"/>
      <c r="EJ2959" s="4"/>
      <c r="EK2959" s="4"/>
      <c r="EL2959" s="4"/>
      <c r="EM2959" s="4"/>
      <c r="EN2959" s="4"/>
      <c r="EO2959" s="4"/>
      <c r="EP2959" s="4"/>
      <c r="EQ2959" s="4"/>
      <c r="ER2959" s="4"/>
      <c r="ES2959" s="4"/>
      <c r="ET2959" s="4"/>
      <c r="EU2959" s="4"/>
      <c r="EV2959" s="4"/>
      <c r="EW2959" s="4"/>
      <c r="EX2959" s="4"/>
      <c r="EY2959" s="4"/>
      <c r="EZ2959" s="4"/>
      <c r="FA2959" s="4"/>
      <c r="FB2959" s="4"/>
      <c r="FC2959" s="4"/>
      <c r="FD2959" s="4"/>
      <c r="FE2959" s="4"/>
      <c r="FF2959" s="4"/>
      <c r="FG2959" s="4"/>
      <c r="FH2959" s="4"/>
      <c r="FI2959" s="4"/>
      <c r="FJ2959" s="4"/>
      <c r="FK2959" s="4"/>
      <c r="FL2959" s="4"/>
      <c r="FM2959" s="4"/>
      <c r="FN2959" s="4"/>
      <c r="FO2959" s="4"/>
      <c r="FP2959" s="4"/>
      <c r="FQ2959" s="4"/>
      <c r="FR2959" s="4"/>
      <c r="FS2959" s="4"/>
      <c r="FT2959" s="4"/>
      <c r="FU2959" s="4"/>
      <c r="FV2959" s="4"/>
      <c r="FW2959" s="4"/>
      <c r="FX2959" s="4"/>
      <c r="FY2959" s="4"/>
      <c r="FZ2959" s="4"/>
      <c r="GA2959" s="4"/>
      <c r="GB2959" s="4"/>
      <c r="GC2959" s="4"/>
      <c r="GD2959" s="4"/>
      <c r="GE2959" s="4"/>
      <c r="GF2959" s="4"/>
      <c r="GG2959" s="4"/>
      <c r="GH2959" s="4"/>
      <c r="GI2959" s="4"/>
      <c r="GJ2959" s="4"/>
      <c r="GK2959" s="4"/>
      <c r="GL2959" s="4"/>
      <c r="GM2959" s="4"/>
      <c r="GN2959" s="4"/>
      <c r="GO2959" s="4"/>
      <c r="GP2959" s="4"/>
      <c r="GQ2959" s="4"/>
      <c r="GR2959" s="4"/>
      <c r="GS2959" s="4"/>
      <c r="GT2959" s="4"/>
      <c r="GU2959" s="4"/>
      <c r="GV2959" s="4"/>
      <c r="GW2959" s="4"/>
      <c r="GX2959" s="4"/>
      <c r="GY2959" s="4"/>
      <c r="GZ2959" s="4"/>
      <c r="HA2959" s="4"/>
      <c r="HB2959" s="4"/>
      <c r="HC2959" s="4"/>
      <c r="HD2959" s="4"/>
      <c r="HE2959" s="4"/>
      <c r="HF2959" s="4"/>
      <c r="HG2959" s="4"/>
      <c r="HH2959" s="4"/>
      <c r="HI2959" s="4"/>
      <c r="HJ2959" s="4"/>
      <c r="HK2959" s="4"/>
      <c r="HL2959" s="4"/>
    </row>
    <row r="2960">
      <c r="A2960" s="2" t="s">
        <v>12434</v>
      </c>
      <c r="B2960" s="2" t="s">
        <v>262</v>
      </c>
      <c r="C2960" s="2" t="s">
        <v>288</v>
      </c>
      <c r="D2960" s="2" t="s">
        <v>654</v>
      </c>
      <c r="E2960" s="2" t="s">
        <v>655</v>
      </c>
      <c r="F2960" s="2" t="s">
        <v>12423</v>
      </c>
      <c r="G2960" s="2" t="s">
        <v>12423</v>
      </c>
      <c r="H2960" s="2" t="s">
        <v>12423</v>
      </c>
      <c r="I2960" s="2" t="s">
        <v>12430</v>
      </c>
      <c r="J2960" s="2" t="s">
        <v>658</v>
      </c>
      <c r="K2960" s="2" t="s">
        <v>319</v>
      </c>
      <c r="L2960" s="3">
        <v>24.35</v>
      </c>
      <c r="M2960" s="3">
        <v>25.57</v>
      </c>
      <c r="N2960" s="3">
        <v>41.99</v>
      </c>
      <c r="O2960" s="2" t="s">
        <v>235</v>
      </c>
      <c r="P2960" s="2" t="s">
        <v>1019</v>
      </c>
      <c r="Q2960" s="2" t="s">
        <v>237</v>
      </c>
      <c r="R2960" s="2" t="s">
        <v>1020</v>
      </c>
      <c r="S2960" s="2" t="s">
        <v>231</v>
      </c>
      <c r="T2960" s="2" t="s">
        <v>231</v>
      </c>
      <c r="U2960" s="2" t="s">
        <v>327</v>
      </c>
      <c r="V2960" s="2" t="s">
        <v>239</v>
      </c>
      <c r="W2960" s="2" t="s">
        <v>231</v>
      </c>
      <c r="X2960" s="2" t="s">
        <v>231</v>
      </c>
      <c r="Y2960" s="2" t="s">
        <v>2867</v>
      </c>
      <c r="Z2960" s="4">
        <v>239</v>
      </c>
      <c r="AA2960" s="4">
        <f>=ROUNDDOWN(21.7272727272727,0)</f>
      </c>
      <c r="AB2960" s="5">
        <v>11</v>
      </c>
      <c r="AC2960" s="2" t="s">
        <v>231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231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231</v>
      </c>
      <c r="AW2960" s="8" t="s">
        <v>231</v>
      </c>
      <c r="AX2960" s="4" t="s">
        <v>231</v>
      </c>
      <c r="AY2960" s="8" t="s">
        <v>231</v>
      </c>
      <c r="AZ2960" s="7" t="s">
        <v>231</v>
      </c>
      <c r="BA2960" s="7" t="s">
        <v>231</v>
      </c>
      <c r="BB2960" s="7"/>
      <c r="BC2960" s="4" t="s">
        <v>231</v>
      </c>
      <c r="BD2960" s="8" t="s">
        <v>231</v>
      </c>
      <c r="BE2960" s="4" t="s">
        <v>231</v>
      </c>
      <c r="BF2960" s="8" t="s">
        <v>231</v>
      </c>
      <c r="BG2960" s="7" t="s">
        <v>231</v>
      </c>
      <c r="BH2960" s="7" t="s">
        <v>231</v>
      </c>
      <c r="BI2960" s="7"/>
      <c r="BJ2960" s="4">
        <v>14</v>
      </c>
      <c r="BK2960" s="8">
        <v>197.68</v>
      </c>
      <c r="BL2960" s="2" t="s">
        <v>2565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12435</v>
      </c>
      <c r="BV2960" s="2" t="s">
        <v>231</v>
      </c>
      <c r="BW2960" s="2" t="s">
        <v>231</v>
      </c>
      <c r="BX2960" s="2" t="s">
        <v>241</v>
      </c>
      <c r="BY2960" s="2" t="s">
        <v>277</v>
      </c>
      <c r="BZ2960" s="2" t="s">
        <v>243</v>
      </c>
      <c r="CA2960" s="2" t="s">
        <v>793</v>
      </c>
      <c r="CB2960" s="2" t="s">
        <v>231</v>
      </c>
      <c r="CC2960" s="2" t="s">
        <v>244</v>
      </c>
      <c r="CD2960" s="2" t="s">
        <v>231</v>
      </c>
      <c r="CE2960" s="4">
        <v>239</v>
      </c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4"/>
      <c r="CX2960" s="4"/>
      <c r="CY2960" s="4"/>
      <c r="CZ2960" s="4"/>
      <c r="DA2960" s="4"/>
      <c r="DB2960" s="4"/>
      <c r="DC2960" s="4"/>
      <c r="DD2960" s="4"/>
      <c r="DE2960" s="4"/>
      <c r="DF2960" s="4"/>
      <c r="DG2960" s="4"/>
      <c r="DH2960" s="4"/>
      <c r="DI2960" s="4"/>
      <c r="DJ2960" s="4"/>
      <c r="DK2960" s="4"/>
      <c r="DL2960" s="4"/>
      <c r="DM2960" s="4"/>
      <c r="DN2960" s="4"/>
      <c r="DO2960" s="4"/>
      <c r="DP2960" s="4"/>
      <c r="DQ2960" s="4"/>
      <c r="DR2960" s="4"/>
      <c r="DS2960" s="4"/>
      <c r="DT2960" s="4"/>
      <c r="DU2960" s="4"/>
      <c r="DV2960" s="4"/>
      <c r="DW2960" s="4"/>
      <c r="DX2960" s="4"/>
      <c r="DY2960" s="4"/>
      <c r="DZ2960" s="4"/>
      <c r="EA2960" s="4"/>
      <c r="EB2960" s="4"/>
      <c r="EC2960" s="4"/>
      <c r="ED2960" s="4"/>
      <c r="EE2960" s="4"/>
      <c r="EF2960" s="4"/>
      <c r="EG2960" s="4"/>
      <c r="EH2960" s="4"/>
      <c r="EI2960" s="4"/>
      <c r="EJ2960" s="4"/>
      <c r="EK2960" s="4"/>
      <c r="EL2960" s="4"/>
      <c r="EM2960" s="4"/>
      <c r="EN2960" s="4"/>
      <c r="EO2960" s="4"/>
      <c r="EP2960" s="4"/>
      <c r="EQ2960" s="4"/>
      <c r="ER2960" s="4"/>
      <c r="ES2960" s="4"/>
      <c r="ET2960" s="4"/>
      <c r="EU2960" s="4"/>
      <c r="EV2960" s="4"/>
      <c r="EW2960" s="4"/>
      <c r="EX2960" s="4"/>
      <c r="EY2960" s="4"/>
      <c r="EZ2960" s="4"/>
      <c r="FA2960" s="4"/>
      <c r="FB2960" s="4"/>
      <c r="FC2960" s="4"/>
      <c r="FD2960" s="4"/>
      <c r="FE2960" s="4"/>
      <c r="FF2960" s="4"/>
      <c r="FG2960" s="4"/>
      <c r="FH2960" s="4"/>
      <c r="FI2960" s="4"/>
      <c r="FJ2960" s="4"/>
      <c r="FK2960" s="4"/>
      <c r="FL2960" s="4"/>
      <c r="FM2960" s="4"/>
      <c r="FN2960" s="4"/>
      <c r="FO2960" s="4"/>
      <c r="FP2960" s="4"/>
      <c r="FQ2960" s="4"/>
      <c r="FR2960" s="4"/>
      <c r="FS2960" s="4"/>
      <c r="FT2960" s="4"/>
      <c r="FU2960" s="4"/>
      <c r="FV2960" s="4"/>
      <c r="FW2960" s="4"/>
      <c r="FX2960" s="4"/>
      <c r="FY2960" s="4"/>
      <c r="FZ2960" s="4"/>
      <c r="GA2960" s="4"/>
      <c r="GB2960" s="4"/>
      <c r="GC2960" s="4"/>
      <c r="GD2960" s="4"/>
      <c r="GE2960" s="4"/>
      <c r="GF2960" s="4"/>
      <c r="GG2960" s="4"/>
      <c r="GH2960" s="4"/>
      <c r="GI2960" s="4"/>
      <c r="GJ2960" s="4"/>
      <c r="GK2960" s="4"/>
      <c r="GL2960" s="4"/>
      <c r="GM2960" s="4"/>
      <c r="GN2960" s="4"/>
      <c r="GO2960" s="4"/>
      <c r="GP2960" s="4"/>
      <c r="GQ2960" s="4"/>
      <c r="GR2960" s="4"/>
      <c r="GS2960" s="4"/>
      <c r="GT2960" s="4"/>
      <c r="GU2960" s="4"/>
      <c r="GV2960" s="4"/>
      <c r="GW2960" s="4"/>
      <c r="GX2960" s="4"/>
      <c r="GY2960" s="4"/>
      <c r="GZ2960" s="4"/>
      <c r="HA2960" s="4"/>
      <c r="HB2960" s="4"/>
      <c r="HC2960" s="4"/>
      <c r="HD2960" s="4"/>
      <c r="HE2960" s="4"/>
      <c r="HF2960" s="4"/>
      <c r="HG2960" s="4"/>
      <c r="HH2960" s="4"/>
      <c r="HI2960" s="4"/>
      <c r="HJ2960" s="4"/>
      <c r="HK2960" s="4"/>
      <c r="HL2960" s="4"/>
    </row>
    <row r="2961">
      <c r="A2961" s="2" t="s">
        <v>12436</v>
      </c>
      <c r="B2961" s="2" t="s">
        <v>262</v>
      </c>
      <c r="C2961" s="2" t="s">
        <v>288</v>
      </c>
      <c r="D2961" s="2" t="s">
        <v>654</v>
      </c>
      <c r="E2961" s="2" t="s">
        <v>655</v>
      </c>
      <c r="F2961" s="2" t="s">
        <v>12423</v>
      </c>
      <c r="G2961" s="2" t="s">
        <v>12423</v>
      </c>
      <c r="H2961" s="2" t="s">
        <v>12423</v>
      </c>
      <c r="I2961" s="2" t="s">
        <v>12430</v>
      </c>
      <c r="J2961" s="2" t="s">
        <v>669</v>
      </c>
      <c r="K2961" s="2" t="s">
        <v>319</v>
      </c>
      <c r="L2961" s="3">
        <v>30.15</v>
      </c>
      <c r="M2961" s="3">
        <v>31.66</v>
      </c>
      <c r="N2961" s="3">
        <v>51.99</v>
      </c>
      <c r="O2961" s="2" t="s">
        <v>235</v>
      </c>
      <c r="P2961" s="2" t="s">
        <v>1019</v>
      </c>
      <c r="Q2961" s="2" t="s">
        <v>237</v>
      </c>
      <c r="R2961" s="2" t="s">
        <v>1020</v>
      </c>
      <c r="S2961" s="2" t="s">
        <v>231</v>
      </c>
      <c r="T2961" s="2" t="s">
        <v>231</v>
      </c>
      <c r="U2961" s="2" t="s">
        <v>327</v>
      </c>
      <c r="V2961" s="2" t="s">
        <v>239</v>
      </c>
      <c r="W2961" s="2" t="s">
        <v>231</v>
      </c>
      <c r="X2961" s="2" t="s">
        <v>231</v>
      </c>
      <c r="Y2961" s="2" t="s">
        <v>2867</v>
      </c>
      <c r="Z2961" s="4">
        <v>14</v>
      </c>
      <c r="AA2961" s="4">
        <f>=ROUNDDOWN(2.8,0)</f>
      </c>
      <c r="AB2961" s="5">
        <v>5</v>
      </c>
      <c r="AC2961" s="2" t="s">
        <v>231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231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231</v>
      </c>
      <c r="AW2961" s="8" t="s">
        <v>231</v>
      </c>
      <c r="AX2961" s="4" t="s">
        <v>231</v>
      </c>
      <c r="AY2961" s="8" t="s">
        <v>231</v>
      </c>
      <c r="AZ2961" s="7" t="s">
        <v>231</v>
      </c>
      <c r="BA2961" s="7" t="s">
        <v>231</v>
      </c>
      <c r="BB2961" s="7"/>
      <c r="BC2961" s="4" t="s">
        <v>231</v>
      </c>
      <c r="BD2961" s="8" t="s">
        <v>231</v>
      </c>
      <c r="BE2961" s="4" t="s">
        <v>231</v>
      </c>
      <c r="BF2961" s="8" t="s">
        <v>231</v>
      </c>
      <c r="BG2961" s="7" t="s">
        <v>231</v>
      </c>
      <c r="BH2961" s="7" t="s">
        <v>231</v>
      </c>
      <c r="BI2961" s="7"/>
      <c r="BJ2961" s="4">
        <v>13</v>
      </c>
      <c r="BK2961" s="8">
        <v>219.44</v>
      </c>
      <c r="BL2961" s="2" t="s">
        <v>2565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12437</v>
      </c>
      <c r="BV2961" s="2" t="s">
        <v>231</v>
      </c>
      <c r="BW2961" s="2" t="s">
        <v>231</v>
      </c>
      <c r="BX2961" s="2" t="s">
        <v>241</v>
      </c>
      <c r="BY2961" s="2" t="s">
        <v>277</v>
      </c>
      <c r="BZ2961" s="2" t="s">
        <v>243</v>
      </c>
      <c r="CA2961" s="2" t="s">
        <v>793</v>
      </c>
      <c r="CB2961" s="2" t="s">
        <v>231</v>
      </c>
      <c r="CC2961" s="2" t="s">
        <v>244</v>
      </c>
      <c r="CD2961" s="2" t="s">
        <v>231</v>
      </c>
      <c r="CE2961" s="4">
        <v>14</v>
      </c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4"/>
      <c r="CX2961" s="4"/>
      <c r="CY2961" s="4"/>
      <c r="CZ2961" s="4"/>
      <c r="DA2961" s="4"/>
      <c r="DB2961" s="4"/>
      <c r="DC2961" s="4"/>
      <c r="DD2961" s="4"/>
      <c r="DE2961" s="4"/>
      <c r="DF2961" s="4"/>
      <c r="DG2961" s="4"/>
      <c r="DH2961" s="4"/>
      <c r="DI2961" s="4"/>
      <c r="DJ2961" s="4"/>
      <c r="DK2961" s="4"/>
      <c r="DL2961" s="4"/>
      <c r="DM2961" s="4"/>
      <c r="DN2961" s="4"/>
      <c r="DO2961" s="4"/>
      <c r="DP2961" s="4"/>
      <c r="DQ2961" s="4"/>
      <c r="DR2961" s="4"/>
      <c r="DS2961" s="4"/>
      <c r="DT2961" s="4"/>
      <c r="DU2961" s="4"/>
      <c r="DV2961" s="4"/>
      <c r="DW2961" s="4"/>
      <c r="DX2961" s="4"/>
      <c r="DY2961" s="4"/>
      <c r="DZ2961" s="4"/>
      <c r="EA2961" s="4"/>
      <c r="EB2961" s="4"/>
      <c r="EC2961" s="4"/>
      <c r="ED2961" s="4"/>
      <c r="EE2961" s="4"/>
      <c r="EF2961" s="4"/>
      <c r="EG2961" s="4"/>
      <c r="EH2961" s="4"/>
      <c r="EI2961" s="4"/>
      <c r="EJ2961" s="4"/>
      <c r="EK2961" s="4"/>
      <c r="EL2961" s="4"/>
      <c r="EM2961" s="4"/>
      <c r="EN2961" s="4"/>
      <c r="EO2961" s="4"/>
      <c r="EP2961" s="4"/>
      <c r="EQ2961" s="4"/>
      <c r="ER2961" s="4"/>
      <c r="ES2961" s="4"/>
      <c r="ET2961" s="4"/>
      <c r="EU2961" s="4"/>
      <c r="EV2961" s="4"/>
      <c r="EW2961" s="4"/>
      <c r="EX2961" s="4"/>
      <c r="EY2961" s="4"/>
      <c r="EZ2961" s="4"/>
      <c r="FA2961" s="4"/>
      <c r="FB2961" s="4"/>
      <c r="FC2961" s="4"/>
      <c r="FD2961" s="4"/>
      <c r="FE2961" s="4"/>
      <c r="FF2961" s="4"/>
      <c r="FG2961" s="4"/>
      <c r="FH2961" s="4"/>
      <c r="FI2961" s="4"/>
      <c r="FJ2961" s="4"/>
      <c r="FK2961" s="4"/>
      <c r="FL2961" s="4"/>
      <c r="FM2961" s="4"/>
      <c r="FN2961" s="4"/>
      <c r="FO2961" s="4"/>
      <c r="FP2961" s="4"/>
      <c r="FQ2961" s="4"/>
      <c r="FR2961" s="4"/>
      <c r="FS2961" s="4"/>
      <c r="FT2961" s="4"/>
      <c r="FU2961" s="4"/>
      <c r="FV2961" s="4"/>
      <c r="FW2961" s="4"/>
      <c r="FX2961" s="4"/>
      <c r="FY2961" s="4"/>
      <c r="FZ2961" s="4"/>
      <c r="GA2961" s="4"/>
      <c r="GB2961" s="4"/>
      <c r="GC2961" s="4"/>
      <c r="GD2961" s="4"/>
      <c r="GE2961" s="4"/>
      <c r="GF2961" s="4"/>
      <c r="GG2961" s="4"/>
      <c r="GH2961" s="4"/>
      <c r="GI2961" s="4"/>
      <c r="GJ2961" s="4"/>
      <c r="GK2961" s="4"/>
      <c r="GL2961" s="4"/>
      <c r="GM2961" s="4"/>
      <c r="GN2961" s="4"/>
      <c r="GO2961" s="4"/>
      <c r="GP2961" s="4"/>
      <c r="GQ2961" s="4"/>
      <c r="GR2961" s="4"/>
      <c r="GS2961" s="4"/>
      <c r="GT2961" s="4"/>
      <c r="GU2961" s="4"/>
      <c r="GV2961" s="4"/>
      <c r="GW2961" s="4"/>
      <c r="GX2961" s="4"/>
      <c r="GY2961" s="4"/>
      <c r="GZ2961" s="4"/>
      <c r="HA2961" s="4"/>
      <c r="HB2961" s="4"/>
      <c r="HC2961" s="4"/>
      <c r="HD2961" s="4"/>
      <c r="HE2961" s="4"/>
      <c r="HF2961" s="4"/>
      <c r="HG2961" s="4"/>
      <c r="HH2961" s="4"/>
      <c r="HI2961" s="4"/>
      <c r="HJ2961" s="4"/>
      <c r="HK2961" s="4"/>
      <c r="HL2961" s="4"/>
    </row>
    <row r="2962">
      <c r="A2962" s="2" t="s">
        <v>12438</v>
      </c>
      <c r="B2962" s="2" t="s">
        <v>847</v>
      </c>
      <c r="C2962" s="2" t="s">
        <v>815</v>
      </c>
      <c r="D2962" s="2" t="s">
        <v>882</v>
      </c>
      <c r="E2962" s="2" t="s">
        <v>2191</v>
      </c>
      <c r="F2962" s="2" t="s">
        <v>12439</v>
      </c>
      <c r="G2962" s="2" t="s">
        <v>12439</v>
      </c>
      <c r="H2962" s="2" t="s">
        <v>12439</v>
      </c>
      <c r="I2962" s="2" t="s">
        <v>12440</v>
      </c>
      <c r="J2962" s="2" t="s">
        <v>807</v>
      </c>
      <c r="K2962" s="2" t="s">
        <v>901</v>
      </c>
      <c r="L2962" s="3">
        <v>27.85</v>
      </c>
      <c r="M2962" s="3">
        <v>29.24</v>
      </c>
      <c r="N2962" s="3">
        <v>64.99</v>
      </c>
      <c r="O2962" s="2" t="s">
        <v>243</v>
      </c>
      <c r="P2962" s="2" t="s">
        <v>236</v>
      </c>
      <c r="Q2962" s="2" t="s">
        <v>237</v>
      </c>
      <c r="R2962" s="2" t="s">
        <v>231</v>
      </c>
      <c r="S2962" s="2" t="s">
        <v>231</v>
      </c>
      <c r="T2962" s="2" t="s">
        <v>231</v>
      </c>
      <c r="U2962" s="2" t="s">
        <v>327</v>
      </c>
      <c r="V2962" s="2" t="s">
        <v>662</v>
      </c>
      <c r="W2962" s="2" t="s">
        <v>12441</v>
      </c>
      <c r="X2962" s="2" t="s">
        <v>897</v>
      </c>
      <c r="Y2962" s="2" t="s">
        <v>5872</v>
      </c>
      <c r="Z2962" s="4">
        <v>66</v>
      </c>
      <c r="AA2962" s="4">
        <f>=ROUNDDOWN(66,0)</f>
      </c>
      <c r="AB2962" s="5">
        <v>1</v>
      </c>
      <c r="AC2962" s="2" t="s">
        <v>231</v>
      </c>
      <c r="AD2962" s="4"/>
      <c r="AE2962" s="4"/>
      <c r="AF2962" s="6">
        <v>63</v>
      </c>
      <c r="AG2962" s="6"/>
      <c r="AH2962" s="7">
        <v>1</v>
      </c>
      <c r="AI2962" s="4"/>
      <c r="AJ2962" s="4">
        <f>=ROUNDDOWN({0},0)</f>
      </c>
      <c r="AK2962" s="5"/>
      <c r="AL2962" s="2" t="s">
        <v>231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/>
      <c r="AW2962" s="8"/>
      <c r="AX2962" s="4"/>
      <c r="AY2962" s="8"/>
      <c r="AZ2962" s="7"/>
      <c r="BA2962" s="7"/>
      <c r="BB2962" s="7"/>
      <c r="BC2962" s="4"/>
      <c r="BD2962" s="8"/>
      <c r="BE2962" s="4"/>
      <c r="BF2962" s="8"/>
      <c r="BG2962" s="7"/>
      <c r="BH2962" s="7"/>
      <c r="BI2962" s="7"/>
      <c r="BJ2962" s="4">
        <v>5</v>
      </c>
      <c r="BK2962" s="8">
        <v>149.71</v>
      </c>
      <c r="BL2962" s="2" t="s">
        <v>2225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12442</v>
      </c>
      <c r="BV2962" s="2" t="s">
        <v>231</v>
      </c>
      <c r="BW2962" s="2" t="s">
        <v>231</v>
      </c>
      <c r="BX2962" s="2" t="s">
        <v>241</v>
      </c>
      <c r="BY2962" s="2" t="s">
        <v>277</v>
      </c>
      <c r="BZ2962" s="2" t="s">
        <v>243</v>
      </c>
      <c r="CA2962" s="2" t="s">
        <v>1583</v>
      </c>
      <c r="CB2962" s="2" t="s">
        <v>231</v>
      </c>
      <c r="CC2962" s="2" t="s">
        <v>244</v>
      </c>
      <c r="CD2962" s="2" t="s">
        <v>231</v>
      </c>
      <c r="CE2962" s="4"/>
      <c r="CF2962" s="4">
        <v>66</v>
      </c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4"/>
      <c r="CX2962" s="4"/>
      <c r="CY2962" s="4"/>
      <c r="CZ2962" s="4"/>
      <c r="DA2962" s="4"/>
      <c r="DB2962" s="4"/>
      <c r="DC2962" s="4"/>
      <c r="DD2962" s="4"/>
      <c r="DE2962" s="4"/>
      <c r="DF2962" s="4"/>
      <c r="DG2962" s="4"/>
      <c r="DH2962" s="4"/>
      <c r="DI2962" s="4"/>
      <c r="DJ2962" s="4"/>
      <c r="DK2962" s="4"/>
      <c r="DL2962" s="4"/>
      <c r="DM2962" s="4"/>
      <c r="DN2962" s="4"/>
      <c r="DO2962" s="4"/>
      <c r="DP2962" s="4"/>
      <c r="DQ2962" s="4"/>
      <c r="DR2962" s="4"/>
      <c r="DS2962" s="4"/>
      <c r="DT2962" s="4"/>
      <c r="DU2962" s="4"/>
      <c r="DV2962" s="4"/>
      <c r="DW2962" s="4"/>
      <c r="DX2962" s="4"/>
      <c r="DY2962" s="4"/>
      <c r="DZ2962" s="4"/>
      <c r="EA2962" s="4"/>
      <c r="EB2962" s="4"/>
      <c r="EC2962" s="4"/>
      <c r="ED2962" s="4"/>
      <c r="EE2962" s="4"/>
      <c r="EF2962" s="4"/>
      <c r="EG2962" s="4"/>
      <c r="EH2962" s="4"/>
      <c r="EI2962" s="4"/>
      <c r="EJ2962" s="4"/>
      <c r="EK2962" s="4"/>
      <c r="EL2962" s="4"/>
      <c r="EM2962" s="4"/>
      <c r="EN2962" s="4"/>
      <c r="EO2962" s="4"/>
      <c r="EP2962" s="4"/>
      <c r="EQ2962" s="4"/>
      <c r="ER2962" s="4"/>
      <c r="ES2962" s="4"/>
      <c r="ET2962" s="4"/>
      <c r="EU2962" s="4"/>
      <c r="EV2962" s="4"/>
      <c r="EW2962" s="4"/>
      <c r="EX2962" s="4"/>
      <c r="EY2962" s="4"/>
      <c r="EZ2962" s="4"/>
      <c r="FA2962" s="4"/>
      <c r="FB2962" s="4"/>
      <c r="FC2962" s="4"/>
      <c r="FD2962" s="4"/>
      <c r="FE2962" s="4"/>
      <c r="FF2962" s="4"/>
      <c r="FG2962" s="4"/>
      <c r="FH2962" s="4"/>
      <c r="FI2962" s="4"/>
      <c r="FJ2962" s="4"/>
      <c r="FK2962" s="4"/>
      <c r="FL2962" s="4"/>
      <c r="FM2962" s="4"/>
      <c r="FN2962" s="4"/>
      <c r="FO2962" s="4"/>
      <c r="FP2962" s="4"/>
      <c r="FQ2962" s="4"/>
      <c r="FR2962" s="4"/>
      <c r="FS2962" s="4"/>
      <c r="FT2962" s="4"/>
      <c r="FU2962" s="4"/>
      <c r="FV2962" s="4"/>
      <c r="FW2962" s="4"/>
      <c r="FX2962" s="4"/>
      <c r="FY2962" s="4"/>
      <c r="FZ2962" s="4"/>
      <c r="GA2962" s="4"/>
      <c r="GB2962" s="4"/>
      <c r="GC2962" s="4"/>
      <c r="GD2962" s="4"/>
      <c r="GE2962" s="4"/>
      <c r="GF2962" s="4"/>
      <c r="GG2962" s="4"/>
      <c r="GH2962" s="4"/>
      <c r="GI2962" s="4"/>
      <c r="GJ2962" s="4"/>
      <c r="GK2962" s="4"/>
      <c r="GL2962" s="4"/>
      <c r="GM2962" s="4"/>
      <c r="GN2962" s="4"/>
      <c r="GO2962" s="4"/>
      <c r="GP2962" s="4"/>
      <c r="GQ2962" s="4"/>
      <c r="GR2962" s="4"/>
      <c r="GS2962" s="4"/>
      <c r="GT2962" s="4"/>
      <c r="GU2962" s="4"/>
      <c r="GV2962" s="4"/>
      <c r="GW2962" s="4"/>
      <c r="GX2962" s="4"/>
      <c r="GY2962" s="4"/>
      <c r="GZ2962" s="4"/>
      <c r="HA2962" s="4"/>
      <c r="HB2962" s="4"/>
      <c r="HC2962" s="4"/>
      <c r="HD2962" s="4"/>
      <c r="HE2962" s="4"/>
      <c r="HF2962" s="4"/>
      <c r="HG2962" s="4"/>
      <c r="HH2962" s="4"/>
      <c r="HI2962" s="4"/>
      <c r="HJ2962" s="4"/>
      <c r="HK2962" s="4"/>
      <c r="HL2962" s="4"/>
    </row>
    <row r="2963">
      <c r="A2963" s="2" t="s">
        <v>12443</v>
      </c>
      <c r="B2963" s="2" t="s">
        <v>1186</v>
      </c>
      <c r="C2963" s="2" t="s">
        <v>10464</v>
      </c>
      <c r="D2963" s="2" t="s">
        <v>654</v>
      </c>
      <c r="E2963" s="2" t="s">
        <v>655</v>
      </c>
      <c r="F2963" s="2" t="s">
        <v>12444</v>
      </c>
      <c r="G2963" s="2" t="s">
        <v>231</v>
      </c>
      <c r="H2963" s="2" t="s">
        <v>231</v>
      </c>
      <c r="I2963" s="2" t="s">
        <v>12445</v>
      </c>
      <c r="J2963" s="2" t="s">
        <v>832</v>
      </c>
      <c r="K2963" s="2" t="s">
        <v>294</v>
      </c>
      <c r="L2963" s="3">
        <v>29.99</v>
      </c>
      <c r="M2963" s="3">
        <v>31.49</v>
      </c>
      <c r="N2963" s="3"/>
      <c r="O2963" s="2" t="s">
        <v>243</v>
      </c>
      <c r="P2963" s="2" t="s">
        <v>236</v>
      </c>
      <c r="Q2963" s="2" t="s">
        <v>237</v>
      </c>
      <c r="R2963" s="2" t="s">
        <v>10468</v>
      </c>
      <c r="S2963" s="2" t="s">
        <v>231</v>
      </c>
      <c r="T2963" s="2" t="s">
        <v>231</v>
      </c>
      <c r="U2963" s="2" t="s">
        <v>231</v>
      </c>
      <c r="V2963" s="2" t="s">
        <v>239</v>
      </c>
      <c r="W2963" s="2" t="s">
        <v>231</v>
      </c>
      <c r="X2963" s="2" t="s">
        <v>231</v>
      </c>
      <c r="Y2963" s="2" t="s">
        <v>11900</v>
      </c>
      <c r="Z2963" s="4"/>
      <c r="AA2963" s="4">
        <f>=ROUNDDOWN({0},0)</f>
      </c>
      <c r="AB2963" s="5"/>
      <c r="AC2963" s="2" t="s">
        <v>231</v>
      </c>
      <c r="AD2963" s="4"/>
      <c r="AE2963" s="4"/>
      <c r="AF2963" s="6"/>
      <c r="AG2963" s="6"/>
      <c r="AH2963" s="7">
        <v>0</v>
      </c>
      <c r="AI2963" s="4"/>
      <c r="AJ2963" s="4">
        <f>=ROUNDDOWN({0},0)</f>
      </c>
      <c r="AK2963" s="5"/>
      <c r="AL2963" s="2" t="s">
        <v>231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231</v>
      </c>
      <c r="AW2963" s="8" t="s">
        <v>231</v>
      </c>
      <c r="AX2963" s="4" t="s">
        <v>231</v>
      </c>
      <c r="AY2963" s="8" t="s">
        <v>231</v>
      </c>
      <c r="AZ2963" s="7" t="s">
        <v>231</v>
      </c>
      <c r="BA2963" s="7" t="s">
        <v>231</v>
      </c>
      <c r="BB2963" s="7"/>
      <c r="BC2963" s="4" t="s">
        <v>231</v>
      </c>
      <c r="BD2963" s="8" t="s">
        <v>231</v>
      </c>
      <c r="BE2963" s="4" t="s">
        <v>231</v>
      </c>
      <c r="BF2963" s="8" t="s">
        <v>231</v>
      </c>
      <c r="BG2963" s="7" t="s">
        <v>231</v>
      </c>
      <c r="BH2963" s="7" t="s">
        <v>231</v>
      </c>
      <c r="BI2963" s="7"/>
      <c r="BJ2963" s="4"/>
      <c r="BK2963" s="8"/>
      <c r="BL2963" s="2" t="s">
        <v>231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241</v>
      </c>
      <c r="BV2963" s="2" t="s">
        <v>231</v>
      </c>
      <c r="BW2963" s="2" t="s">
        <v>231</v>
      </c>
      <c r="BX2963" s="2" t="s">
        <v>231</v>
      </c>
      <c r="BY2963" s="2" t="s">
        <v>242</v>
      </c>
      <c r="BZ2963" s="2" t="s">
        <v>243</v>
      </c>
      <c r="CA2963" s="2" t="s">
        <v>231</v>
      </c>
      <c r="CB2963" s="2" t="s">
        <v>231</v>
      </c>
      <c r="CC2963" s="2" t="s">
        <v>244</v>
      </c>
      <c r="CD2963" s="2" t="s">
        <v>231</v>
      </c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4"/>
      <c r="CX2963" s="4"/>
      <c r="CY2963" s="4"/>
      <c r="CZ2963" s="4"/>
      <c r="DA2963" s="4"/>
      <c r="DB2963" s="4"/>
      <c r="DC2963" s="4"/>
      <c r="DD2963" s="4"/>
      <c r="DE2963" s="4"/>
      <c r="DF2963" s="4"/>
      <c r="DG2963" s="4"/>
      <c r="DH2963" s="4"/>
      <c r="DI2963" s="4"/>
      <c r="DJ2963" s="4"/>
      <c r="DK2963" s="4"/>
      <c r="DL2963" s="4"/>
      <c r="DM2963" s="4"/>
      <c r="DN2963" s="4"/>
      <c r="DO2963" s="4"/>
      <c r="DP2963" s="4"/>
      <c r="DQ2963" s="4"/>
      <c r="DR2963" s="4"/>
      <c r="DS2963" s="4"/>
      <c r="DT2963" s="4"/>
      <c r="DU2963" s="4"/>
      <c r="DV2963" s="4"/>
      <c r="DW2963" s="4"/>
      <c r="DX2963" s="4"/>
      <c r="DY2963" s="4"/>
      <c r="DZ2963" s="4"/>
      <c r="EA2963" s="4"/>
      <c r="EB2963" s="4"/>
      <c r="EC2963" s="4"/>
      <c r="ED2963" s="4"/>
      <c r="EE2963" s="4"/>
      <c r="EF2963" s="4"/>
      <c r="EG2963" s="4"/>
      <c r="EH2963" s="4"/>
      <c r="EI2963" s="4"/>
      <c r="EJ2963" s="4"/>
      <c r="EK2963" s="4"/>
      <c r="EL2963" s="4"/>
      <c r="EM2963" s="4"/>
      <c r="EN2963" s="4"/>
      <c r="EO2963" s="4"/>
      <c r="EP2963" s="4"/>
      <c r="EQ2963" s="4"/>
      <c r="ER2963" s="4"/>
      <c r="ES2963" s="4"/>
      <c r="ET2963" s="4"/>
      <c r="EU2963" s="4"/>
      <c r="EV2963" s="4"/>
      <c r="EW2963" s="4"/>
      <c r="EX2963" s="4"/>
      <c r="EY2963" s="4"/>
      <c r="EZ2963" s="4"/>
      <c r="FA2963" s="4"/>
      <c r="FB2963" s="4"/>
      <c r="FC2963" s="4"/>
      <c r="FD2963" s="4"/>
      <c r="FE2963" s="4"/>
      <c r="FF2963" s="4"/>
      <c r="FG2963" s="4"/>
      <c r="FH2963" s="4"/>
      <c r="FI2963" s="4"/>
      <c r="FJ2963" s="4"/>
      <c r="FK2963" s="4"/>
      <c r="FL2963" s="4"/>
      <c r="FM2963" s="4"/>
      <c r="FN2963" s="4"/>
      <c r="FO2963" s="4"/>
      <c r="FP2963" s="4"/>
      <c r="FQ2963" s="4"/>
      <c r="FR2963" s="4"/>
      <c r="FS2963" s="4"/>
      <c r="FT2963" s="4"/>
      <c r="FU2963" s="4"/>
      <c r="FV2963" s="4"/>
      <c r="FW2963" s="4"/>
      <c r="FX2963" s="4"/>
      <c r="FY2963" s="4"/>
      <c r="FZ2963" s="4"/>
      <c r="GA2963" s="4"/>
      <c r="GB2963" s="4"/>
      <c r="GC2963" s="4"/>
      <c r="GD2963" s="4"/>
      <c r="GE2963" s="4"/>
      <c r="GF2963" s="4"/>
      <c r="GG2963" s="4"/>
      <c r="GH2963" s="4"/>
      <c r="GI2963" s="4"/>
      <c r="GJ2963" s="4"/>
      <c r="GK2963" s="4"/>
      <c r="GL2963" s="4"/>
      <c r="GM2963" s="4"/>
      <c r="GN2963" s="4"/>
      <c r="GO2963" s="4"/>
      <c r="GP2963" s="4"/>
      <c r="GQ2963" s="4"/>
      <c r="GR2963" s="4"/>
      <c r="GS2963" s="4"/>
      <c r="GT2963" s="4"/>
      <c r="GU2963" s="4"/>
      <c r="GV2963" s="4"/>
      <c r="GW2963" s="4"/>
      <c r="GX2963" s="4"/>
      <c r="GY2963" s="4"/>
      <c r="GZ2963" s="4"/>
      <c r="HA2963" s="4"/>
      <c r="HB2963" s="4"/>
      <c r="HC2963" s="4"/>
      <c r="HD2963" s="4"/>
      <c r="HE2963" s="4"/>
      <c r="HF2963" s="4"/>
      <c r="HG2963" s="4"/>
      <c r="HH2963" s="4"/>
      <c r="HI2963" s="4"/>
      <c r="HJ2963" s="4"/>
      <c r="HK2963" s="4"/>
      <c r="HL2963" s="4"/>
    </row>
    <row r="2964">
      <c r="A2964" s="2" t="s">
        <v>12446</v>
      </c>
      <c r="B2964" s="2" t="s">
        <v>1186</v>
      </c>
      <c r="C2964" s="2" t="s">
        <v>10464</v>
      </c>
      <c r="D2964" s="2" t="s">
        <v>654</v>
      </c>
      <c r="E2964" s="2" t="s">
        <v>655</v>
      </c>
      <c r="F2964" s="2" t="s">
        <v>12444</v>
      </c>
      <c r="G2964" s="2" t="s">
        <v>231</v>
      </c>
      <c r="H2964" s="2" t="s">
        <v>231</v>
      </c>
      <c r="I2964" s="2" t="s">
        <v>12445</v>
      </c>
      <c r="J2964" s="2" t="s">
        <v>658</v>
      </c>
      <c r="K2964" s="2" t="s">
        <v>294</v>
      </c>
      <c r="L2964" s="3">
        <v>39.99</v>
      </c>
      <c r="M2964" s="3">
        <v>41.99</v>
      </c>
      <c r="N2964" s="3"/>
      <c r="O2964" s="2" t="s">
        <v>235</v>
      </c>
      <c r="P2964" s="2" t="s">
        <v>236</v>
      </c>
      <c r="Q2964" s="2" t="s">
        <v>237</v>
      </c>
      <c r="R2964" s="2" t="s">
        <v>10468</v>
      </c>
      <c r="S2964" s="2" t="s">
        <v>231</v>
      </c>
      <c r="T2964" s="2" t="s">
        <v>231</v>
      </c>
      <c r="U2964" s="2" t="s">
        <v>231</v>
      </c>
      <c r="V2964" s="2" t="s">
        <v>239</v>
      </c>
      <c r="W2964" s="2" t="s">
        <v>231</v>
      </c>
      <c r="X2964" s="2" t="s">
        <v>231</v>
      </c>
      <c r="Y2964" s="2" t="s">
        <v>11900</v>
      </c>
      <c r="Z2964" s="4"/>
      <c r="AA2964" s="4">
        <f>=ROUNDDOWN({0},0)</f>
      </c>
      <c r="AB2964" s="5"/>
      <c r="AC2964" s="2" t="s">
        <v>231</v>
      </c>
      <c r="AD2964" s="4"/>
      <c r="AE2964" s="4"/>
      <c r="AF2964" s="6"/>
      <c r="AG2964" s="6"/>
      <c r="AH2964" s="7">
        <v>0</v>
      </c>
      <c r="AI2964" s="4"/>
      <c r="AJ2964" s="4">
        <f>=ROUNDDOWN({0},0)</f>
      </c>
      <c r="AK2964" s="5"/>
      <c r="AL2964" s="2" t="s">
        <v>231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231</v>
      </c>
      <c r="AW2964" s="8" t="s">
        <v>231</v>
      </c>
      <c r="AX2964" s="4" t="s">
        <v>231</v>
      </c>
      <c r="AY2964" s="8" t="s">
        <v>231</v>
      </c>
      <c r="AZ2964" s="7" t="s">
        <v>231</v>
      </c>
      <c r="BA2964" s="7" t="s">
        <v>231</v>
      </c>
      <c r="BB2964" s="7"/>
      <c r="BC2964" s="4" t="s">
        <v>231</v>
      </c>
      <c r="BD2964" s="8" t="s">
        <v>231</v>
      </c>
      <c r="BE2964" s="4" t="s">
        <v>231</v>
      </c>
      <c r="BF2964" s="8" t="s">
        <v>231</v>
      </c>
      <c r="BG2964" s="7" t="s">
        <v>231</v>
      </c>
      <c r="BH2964" s="7" t="s">
        <v>231</v>
      </c>
      <c r="BI2964" s="7"/>
      <c r="BJ2964" s="4"/>
      <c r="BK2964" s="8"/>
      <c r="BL2964" s="2" t="s">
        <v>231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241</v>
      </c>
      <c r="BV2964" s="2" t="s">
        <v>231</v>
      </c>
      <c r="BW2964" s="2" t="s">
        <v>231</v>
      </c>
      <c r="BX2964" s="2" t="s">
        <v>231</v>
      </c>
      <c r="BY2964" s="2" t="s">
        <v>242</v>
      </c>
      <c r="BZ2964" s="2" t="s">
        <v>243</v>
      </c>
      <c r="CA2964" s="2" t="s">
        <v>231</v>
      </c>
      <c r="CB2964" s="2" t="s">
        <v>231</v>
      </c>
      <c r="CC2964" s="2" t="s">
        <v>244</v>
      </c>
      <c r="CD2964" s="2" t="s">
        <v>231</v>
      </c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4"/>
      <c r="CX2964" s="4"/>
      <c r="CY2964" s="4"/>
      <c r="CZ2964" s="4"/>
      <c r="DA2964" s="4"/>
      <c r="DB2964" s="4"/>
      <c r="DC2964" s="4"/>
      <c r="DD2964" s="4"/>
      <c r="DE2964" s="4"/>
      <c r="DF2964" s="4"/>
      <c r="DG2964" s="4"/>
      <c r="DH2964" s="4"/>
      <c r="DI2964" s="4"/>
      <c r="DJ2964" s="4"/>
      <c r="DK2964" s="4"/>
      <c r="DL2964" s="4"/>
      <c r="DM2964" s="4"/>
      <c r="DN2964" s="4"/>
      <c r="DO2964" s="4"/>
      <c r="DP2964" s="4"/>
      <c r="DQ2964" s="4"/>
      <c r="DR2964" s="4"/>
      <c r="DS2964" s="4"/>
      <c r="DT2964" s="4"/>
      <c r="DU2964" s="4"/>
      <c r="DV2964" s="4"/>
      <c r="DW2964" s="4"/>
      <c r="DX2964" s="4"/>
      <c r="DY2964" s="4"/>
      <c r="DZ2964" s="4"/>
      <c r="EA2964" s="4"/>
      <c r="EB2964" s="4"/>
      <c r="EC2964" s="4"/>
      <c r="ED2964" s="4"/>
      <c r="EE2964" s="4"/>
      <c r="EF2964" s="4"/>
      <c r="EG2964" s="4"/>
      <c r="EH2964" s="4"/>
      <c r="EI2964" s="4"/>
      <c r="EJ2964" s="4"/>
      <c r="EK2964" s="4"/>
      <c r="EL2964" s="4"/>
      <c r="EM2964" s="4"/>
      <c r="EN2964" s="4"/>
      <c r="EO2964" s="4"/>
      <c r="EP2964" s="4"/>
      <c r="EQ2964" s="4"/>
      <c r="ER2964" s="4"/>
      <c r="ES2964" s="4"/>
      <c r="ET2964" s="4"/>
      <c r="EU2964" s="4"/>
      <c r="EV2964" s="4"/>
      <c r="EW2964" s="4"/>
      <c r="EX2964" s="4"/>
      <c r="EY2964" s="4"/>
      <c r="EZ2964" s="4"/>
      <c r="FA2964" s="4"/>
      <c r="FB2964" s="4"/>
      <c r="FC2964" s="4"/>
      <c r="FD2964" s="4"/>
      <c r="FE2964" s="4"/>
      <c r="FF2964" s="4"/>
      <c r="FG2964" s="4"/>
      <c r="FH2964" s="4"/>
      <c r="FI2964" s="4"/>
      <c r="FJ2964" s="4"/>
      <c r="FK2964" s="4"/>
      <c r="FL2964" s="4"/>
      <c r="FM2964" s="4"/>
      <c r="FN2964" s="4"/>
      <c r="FO2964" s="4"/>
      <c r="FP2964" s="4"/>
      <c r="FQ2964" s="4"/>
      <c r="FR2964" s="4"/>
      <c r="FS2964" s="4"/>
      <c r="FT2964" s="4"/>
      <c r="FU2964" s="4"/>
      <c r="FV2964" s="4"/>
      <c r="FW2964" s="4"/>
      <c r="FX2964" s="4"/>
      <c r="FY2964" s="4"/>
      <c r="FZ2964" s="4"/>
      <c r="GA2964" s="4"/>
      <c r="GB2964" s="4"/>
      <c r="GC2964" s="4"/>
      <c r="GD2964" s="4"/>
      <c r="GE2964" s="4"/>
      <c r="GF2964" s="4"/>
      <c r="GG2964" s="4"/>
      <c r="GH2964" s="4"/>
      <c r="GI2964" s="4"/>
      <c r="GJ2964" s="4"/>
      <c r="GK2964" s="4"/>
      <c r="GL2964" s="4"/>
      <c r="GM2964" s="4"/>
      <c r="GN2964" s="4"/>
      <c r="GO2964" s="4"/>
      <c r="GP2964" s="4"/>
      <c r="GQ2964" s="4"/>
      <c r="GR2964" s="4"/>
      <c r="GS2964" s="4"/>
      <c r="GT2964" s="4"/>
      <c r="GU2964" s="4"/>
      <c r="GV2964" s="4"/>
      <c r="GW2964" s="4"/>
      <c r="GX2964" s="4"/>
      <c r="GY2964" s="4"/>
      <c r="GZ2964" s="4"/>
      <c r="HA2964" s="4"/>
      <c r="HB2964" s="4"/>
      <c r="HC2964" s="4"/>
      <c r="HD2964" s="4"/>
      <c r="HE2964" s="4"/>
      <c r="HF2964" s="4"/>
      <c r="HG2964" s="4"/>
      <c r="HH2964" s="4"/>
      <c r="HI2964" s="4"/>
      <c r="HJ2964" s="4"/>
      <c r="HK2964" s="4"/>
      <c r="HL2964" s="4"/>
    </row>
    <row r="2965">
      <c r="A2965" s="2" t="s">
        <v>12447</v>
      </c>
      <c r="B2965" s="2" t="s">
        <v>1186</v>
      </c>
      <c r="C2965" s="2" t="s">
        <v>10464</v>
      </c>
      <c r="D2965" s="2" t="s">
        <v>654</v>
      </c>
      <c r="E2965" s="2" t="s">
        <v>655</v>
      </c>
      <c r="F2965" s="2" t="s">
        <v>12444</v>
      </c>
      <c r="G2965" s="2" t="s">
        <v>231</v>
      </c>
      <c r="H2965" s="2" t="s">
        <v>231</v>
      </c>
      <c r="I2965" s="2" t="s">
        <v>12445</v>
      </c>
      <c r="J2965" s="2" t="s">
        <v>302</v>
      </c>
      <c r="K2965" s="2" t="s">
        <v>294</v>
      </c>
      <c r="L2965" s="3">
        <v>44.99</v>
      </c>
      <c r="M2965" s="3">
        <v>47.24</v>
      </c>
      <c r="N2965" s="3"/>
      <c r="O2965" s="2" t="s">
        <v>250</v>
      </c>
      <c r="P2965" s="2" t="s">
        <v>236</v>
      </c>
      <c r="Q2965" s="2" t="s">
        <v>237</v>
      </c>
      <c r="R2965" s="2" t="s">
        <v>10468</v>
      </c>
      <c r="S2965" s="2" t="s">
        <v>231</v>
      </c>
      <c r="T2965" s="2" t="s">
        <v>231</v>
      </c>
      <c r="U2965" s="2" t="s">
        <v>231</v>
      </c>
      <c r="V2965" s="2" t="s">
        <v>239</v>
      </c>
      <c r="W2965" s="2" t="s">
        <v>231</v>
      </c>
      <c r="X2965" s="2" t="s">
        <v>231</v>
      </c>
      <c r="Y2965" s="2" t="s">
        <v>11900</v>
      </c>
      <c r="Z2965" s="4"/>
      <c r="AA2965" s="4">
        <f>=ROUNDDOWN({0},0)</f>
      </c>
      <c r="AB2965" s="5"/>
      <c r="AC2965" s="2" t="s">
        <v>231</v>
      </c>
      <c r="AD2965" s="4"/>
      <c r="AE2965" s="4"/>
      <c r="AF2965" s="6"/>
      <c r="AG2965" s="6"/>
      <c r="AH2965" s="7">
        <v>0</v>
      </c>
      <c r="AI2965" s="4"/>
      <c r="AJ2965" s="4">
        <f>=ROUNDDOWN({0},0)</f>
      </c>
      <c r="AK2965" s="5"/>
      <c r="AL2965" s="2" t="s">
        <v>231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231</v>
      </c>
      <c r="AW2965" s="8" t="s">
        <v>231</v>
      </c>
      <c r="AX2965" s="4" t="s">
        <v>231</v>
      </c>
      <c r="AY2965" s="8" t="s">
        <v>231</v>
      </c>
      <c r="AZ2965" s="7" t="s">
        <v>231</v>
      </c>
      <c r="BA2965" s="7" t="s">
        <v>231</v>
      </c>
      <c r="BB2965" s="7"/>
      <c r="BC2965" s="4" t="s">
        <v>231</v>
      </c>
      <c r="BD2965" s="8" t="s">
        <v>231</v>
      </c>
      <c r="BE2965" s="4" t="s">
        <v>231</v>
      </c>
      <c r="BF2965" s="8" t="s">
        <v>231</v>
      </c>
      <c r="BG2965" s="7" t="s">
        <v>231</v>
      </c>
      <c r="BH2965" s="7" t="s">
        <v>231</v>
      </c>
      <c r="BI2965" s="7"/>
      <c r="BJ2965" s="4"/>
      <c r="BK2965" s="8"/>
      <c r="BL2965" s="2" t="s">
        <v>231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241</v>
      </c>
      <c r="BV2965" s="2" t="s">
        <v>231</v>
      </c>
      <c r="BW2965" s="2" t="s">
        <v>231</v>
      </c>
      <c r="BX2965" s="2" t="s">
        <v>231</v>
      </c>
      <c r="BY2965" s="2" t="s">
        <v>242</v>
      </c>
      <c r="BZ2965" s="2" t="s">
        <v>243</v>
      </c>
      <c r="CA2965" s="2" t="s">
        <v>231</v>
      </c>
      <c r="CB2965" s="2" t="s">
        <v>231</v>
      </c>
      <c r="CC2965" s="2" t="s">
        <v>244</v>
      </c>
      <c r="CD2965" s="2" t="s">
        <v>231</v>
      </c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4"/>
      <c r="CX2965" s="4"/>
      <c r="CY2965" s="4"/>
      <c r="CZ2965" s="4"/>
      <c r="DA2965" s="4"/>
      <c r="DB2965" s="4"/>
      <c r="DC2965" s="4"/>
      <c r="DD2965" s="4"/>
      <c r="DE2965" s="4"/>
      <c r="DF2965" s="4"/>
      <c r="DG2965" s="4"/>
      <c r="DH2965" s="4"/>
      <c r="DI2965" s="4"/>
      <c r="DJ2965" s="4"/>
      <c r="DK2965" s="4"/>
      <c r="DL2965" s="4"/>
      <c r="DM2965" s="4"/>
      <c r="DN2965" s="4"/>
      <c r="DO2965" s="4"/>
      <c r="DP2965" s="4"/>
      <c r="DQ2965" s="4"/>
      <c r="DR2965" s="4"/>
      <c r="DS2965" s="4"/>
      <c r="DT2965" s="4"/>
      <c r="DU2965" s="4"/>
      <c r="DV2965" s="4"/>
      <c r="DW2965" s="4"/>
      <c r="DX2965" s="4"/>
      <c r="DY2965" s="4"/>
      <c r="DZ2965" s="4"/>
      <c r="EA2965" s="4"/>
      <c r="EB2965" s="4"/>
      <c r="EC2965" s="4"/>
      <c r="ED2965" s="4"/>
      <c r="EE2965" s="4"/>
      <c r="EF2965" s="4"/>
      <c r="EG2965" s="4"/>
      <c r="EH2965" s="4"/>
      <c r="EI2965" s="4"/>
      <c r="EJ2965" s="4"/>
      <c r="EK2965" s="4"/>
      <c r="EL2965" s="4"/>
      <c r="EM2965" s="4"/>
      <c r="EN2965" s="4"/>
      <c r="EO2965" s="4"/>
      <c r="EP2965" s="4"/>
      <c r="EQ2965" s="4"/>
      <c r="ER2965" s="4"/>
      <c r="ES2965" s="4"/>
      <c r="ET2965" s="4"/>
      <c r="EU2965" s="4"/>
      <c r="EV2965" s="4"/>
      <c r="EW2965" s="4"/>
      <c r="EX2965" s="4"/>
      <c r="EY2965" s="4"/>
      <c r="EZ2965" s="4"/>
      <c r="FA2965" s="4"/>
      <c r="FB2965" s="4"/>
      <c r="FC2965" s="4"/>
      <c r="FD2965" s="4"/>
      <c r="FE2965" s="4"/>
      <c r="FF2965" s="4"/>
      <c r="FG2965" s="4"/>
      <c r="FH2965" s="4"/>
      <c r="FI2965" s="4"/>
      <c r="FJ2965" s="4"/>
      <c r="FK2965" s="4"/>
      <c r="FL2965" s="4"/>
      <c r="FM2965" s="4"/>
      <c r="FN2965" s="4"/>
      <c r="FO2965" s="4"/>
      <c r="FP2965" s="4"/>
      <c r="FQ2965" s="4"/>
      <c r="FR2965" s="4"/>
      <c r="FS2965" s="4"/>
      <c r="FT2965" s="4"/>
      <c r="FU2965" s="4"/>
      <c r="FV2965" s="4"/>
      <c r="FW2965" s="4"/>
      <c r="FX2965" s="4"/>
      <c r="FY2965" s="4"/>
      <c r="FZ2965" s="4"/>
      <c r="GA2965" s="4"/>
      <c r="GB2965" s="4"/>
      <c r="GC2965" s="4"/>
      <c r="GD2965" s="4"/>
      <c r="GE2965" s="4"/>
      <c r="GF2965" s="4"/>
      <c r="GG2965" s="4"/>
      <c r="GH2965" s="4"/>
      <c r="GI2965" s="4"/>
      <c r="GJ2965" s="4"/>
      <c r="GK2965" s="4"/>
      <c r="GL2965" s="4"/>
      <c r="GM2965" s="4"/>
      <c r="GN2965" s="4"/>
      <c r="GO2965" s="4"/>
      <c r="GP2965" s="4"/>
      <c r="GQ2965" s="4"/>
      <c r="GR2965" s="4"/>
      <c r="GS2965" s="4"/>
      <c r="GT2965" s="4"/>
      <c r="GU2965" s="4"/>
      <c r="GV2965" s="4"/>
      <c r="GW2965" s="4"/>
      <c r="GX2965" s="4"/>
      <c r="GY2965" s="4"/>
      <c r="GZ2965" s="4"/>
      <c r="HA2965" s="4"/>
      <c r="HB2965" s="4"/>
      <c r="HC2965" s="4"/>
      <c r="HD2965" s="4"/>
      <c r="HE2965" s="4"/>
      <c r="HF2965" s="4"/>
      <c r="HG2965" s="4"/>
      <c r="HH2965" s="4"/>
      <c r="HI2965" s="4"/>
      <c r="HJ2965" s="4"/>
      <c r="HK2965" s="4"/>
      <c r="HL2965" s="4"/>
    </row>
    <row r="2966">
      <c r="A2966" s="2" t="s">
        <v>12448</v>
      </c>
      <c r="B2966" s="2" t="s">
        <v>1186</v>
      </c>
      <c r="C2966" s="2" t="s">
        <v>10464</v>
      </c>
      <c r="D2966" s="2" t="s">
        <v>654</v>
      </c>
      <c r="E2966" s="2" t="s">
        <v>655</v>
      </c>
      <c r="F2966" s="2" t="s">
        <v>12444</v>
      </c>
      <c r="G2966" s="2" t="s">
        <v>231</v>
      </c>
      <c r="H2966" s="2" t="s">
        <v>231</v>
      </c>
      <c r="I2966" s="2" t="s">
        <v>12445</v>
      </c>
      <c r="J2966" s="2" t="s">
        <v>832</v>
      </c>
      <c r="K2966" s="2" t="s">
        <v>234</v>
      </c>
      <c r="L2966" s="3">
        <v>29.99</v>
      </c>
      <c r="M2966" s="3">
        <v>31.49</v>
      </c>
      <c r="N2966" s="3"/>
      <c r="O2966" s="2" t="s">
        <v>243</v>
      </c>
      <c r="P2966" s="2" t="s">
        <v>236</v>
      </c>
      <c r="Q2966" s="2" t="s">
        <v>237</v>
      </c>
      <c r="R2966" s="2" t="s">
        <v>10468</v>
      </c>
      <c r="S2966" s="2" t="s">
        <v>231</v>
      </c>
      <c r="T2966" s="2" t="s">
        <v>231</v>
      </c>
      <c r="U2966" s="2" t="s">
        <v>231</v>
      </c>
      <c r="V2966" s="2" t="s">
        <v>239</v>
      </c>
      <c r="W2966" s="2" t="s">
        <v>231</v>
      </c>
      <c r="X2966" s="2" t="s">
        <v>231</v>
      </c>
      <c r="Y2966" s="2" t="s">
        <v>11900</v>
      </c>
      <c r="Z2966" s="4"/>
      <c r="AA2966" s="4">
        <f>=ROUNDDOWN({0},0)</f>
      </c>
      <c r="AB2966" s="5"/>
      <c r="AC2966" s="2" t="s">
        <v>231</v>
      </c>
      <c r="AD2966" s="4"/>
      <c r="AE2966" s="4"/>
      <c r="AF2966" s="6"/>
      <c r="AG2966" s="6"/>
      <c r="AH2966" s="7">
        <v>0</v>
      </c>
      <c r="AI2966" s="4"/>
      <c r="AJ2966" s="4">
        <f>=ROUNDDOWN({0},0)</f>
      </c>
      <c r="AK2966" s="5"/>
      <c r="AL2966" s="2" t="s">
        <v>231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231</v>
      </c>
      <c r="AW2966" s="8" t="s">
        <v>231</v>
      </c>
      <c r="AX2966" s="4" t="s">
        <v>231</v>
      </c>
      <c r="AY2966" s="8" t="s">
        <v>231</v>
      </c>
      <c r="AZ2966" s="7" t="s">
        <v>231</v>
      </c>
      <c r="BA2966" s="7" t="s">
        <v>231</v>
      </c>
      <c r="BB2966" s="7"/>
      <c r="BC2966" s="4" t="s">
        <v>231</v>
      </c>
      <c r="BD2966" s="8" t="s">
        <v>231</v>
      </c>
      <c r="BE2966" s="4" t="s">
        <v>231</v>
      </c>
      <c r="BF2966" s="8" t="s">
        <v>231</v>
      </c>
      <c r="BG2966" s="7" t="s">
        <v>231</v>
      </c>
      <c r="BH2966" s="7" t="s">
        <v>231</v>
      </c>
      <c r="BI2966" s="7"/>
      <c r="BJ2966" s="4"/>
      <c r="BK2966" s="8"/>
      <c r="BL2966" s="2" t="s">
        <v>231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241</v>
      </c>
      <c r="BV2966" s="2" t="s">
        <v>231</v>
      </c>
      <c r="BW2966" s="2" t="s">
        <v>231</v>
      </c>
      <c r="BX2966" s="2" t="s">
        <v>231</v>
      </c>
      <c r="BY2966" s="2" t="s">
        <v>242</v>
      </c>
      <c r="BZ2966" s="2" t="s">
        <v>243</v>
      </c>
      <c r="CA2966" s="2" t="s">
        <v>231</v>
      </c>
      <c r="CB2966" s="2" t="s">
        <v>231</v>
      </c>
      <c r="CC2966" s="2" t="s">
        <v>244</v>
      </c>
      <c r="CD2966" s="2" t="s">
        <v>231</v>
      </c>
      <c r="CE2966" s="4"/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4"/>
      <c r="CX2966" s="4"/>
      <c r="CY2966" s="4"/>
      <c r="CZ2966" s="4"/>
      <c r="DA2966" s="4"/>
      <c r="DB2966" s="4"/>
      <c r="DC2966" s="4"/>
      <c r="DD2966" s="4"/>
      <c r="DE2966" s="4"/>
      <c r="DF2966" s="4"/>
      <c r="DG2966" s="4"/>
      <c r="DH2966" s="4"/>
      <c r="DI2966" s="4"/>
      <c r="DJ2966" s="4"/>
      <c r="DK2966" s="4"/>
      <c r="DL2966" s="4"/>
      <c r="DM2966" s="4"/>
      <c r="DN2966" s="4"/>
      <c r="DO2966" s="4"/>
      <c r="DP2966" s="4"/>
      <c r="DQ2966" s="4"/>
      <c r="DR2966" s="4"/>
      <c r="DS2966" s="4"/>
      <c r="DT2966" s="4"/>
      <c r="DU2966" s="4"/>
      <c r="DV2966" s="4"/>
      <c r="DW2966" s="4"/>
      <c r="DX2966" s="4"/>
      <c r="DY2966" s="4"/>
      <c r="DZ2966" s="4"/>
      <c r="EA2966" s="4"/>
      <c r="EB2966" s="4"/>
      <c r="EC2966" s="4"/>
      <c r="ED2966" s="4"/>
      <c r="EE2966" s="4"/>
      <c r="EF2966" s="4"/>
      <c r="EG2966" s="4"/>
      <c r="EH2966" s="4"/>
      <c r="EI2966" s="4"/>
      <c r="EJ2966" s="4"/>
      <c r="EK2966" s="4"/>
      <c r="EL2966" s="4"/>
      <c r="EM2966" s="4"/>
      <c r="EN2966" s="4"/>
      <c r="EO2966" s="4"/>
      <c r="EP2966" s="4"/>
      <c r="EQ2966" s="4"/>
      <c r="ER2966" s="4"/>
      <c r="ES2966" s="4"/>
      <c r="ET2966" s="4"/>
      <c r="EU2966" s="4"/>
      <c r="EV2966" s="4"/>
      <c r="EW2966" s="4"/>
      <c r="EX2966" s="4"/>
      <c r="EY2966" s="4"/>
      <c r="EZ2966" s="4"/>
      <c r="FA2966" s="4"/>
      <c r="FB2966" s="4"/>
      <c r="FC2966" s="4"/>
      <c r="FD2966" s="4"/>
      <c r="FE2966" s="4"/>
      <c r="FF2966" s="4"/>
      <c r="FG2966" s="4"/>
      <c r="FH2966" s="4"/>
      <c r="FI2966" s="4"/>
      <c r="FJ2966" s="4"/>
      <c r="FK2966" s="4"/>
      <c r="FL2966" s="4"/>
      <c r="FM2966" s="4"/>
      <c r="FN2966" s="4"/>
      <c r="FO2966" s="4"/>
      <c r="FP2966" s="4"/>
      <c r="FQ2966" s="4"/>
      <c r="FR2966" s="4"/>
      <c r="FS2966" s="4"/>
      <c r="FT2966" s="4"/>
      <c r="FU2966" s="4"/>
      <c r="FV2966" s="4"/>
      <c r="FW2966" s="4"/>
      <c r="FX2966" s="4"/>
      <c r="FY2966" s="4"/>
      <c r="FZ2966" s="4"/>
      <c r="GA2966" s="4"/>
      <c r="GB2966" s="4"/>
      <c r="GC2966" s="4"/>
      <c r="GD2966" s="4"/>
      <c r="GE2966" s="4"/>
      <c r="GF2966" s="4"/>
      <c r="GG2966" s="4"/>
      <c r="GH2966" s="4"/>
      <c r="GI2966" s="4"/>
      <c r="GJ2966" s="4"/>
      <c r="GK2966" s="4"/>
      <c r="GL2966" s="4"/>
      <c r="GM2966" s="4"/>
      <c r="GN2966" s="4"/>
      <c r="GO2966" s="4"/>
      <c r="GP2966" s="4"/>
      <c r="GQ2966" s="4"/>
      <c r="GR2966" s="4"/>
      <c r="GS2966" s="4"/>
      <c r="GT2966" s="4"/>
      <c r="GU2966" s="4"/>
      <c r="GV2966" s="4"/>
      <c r="GW2966" s="4"/>
      <c r="GX2966" s="4"/>
      <c r="GY2966" s="4"/>
      <c r="GZ2966" s="4"/>
      <c r="HA2966" s="4"/>
      <c r="HB2966" s="4"/>
      <c r="HC2966" s="4"/>
      <c r="HD2966" s="4"/>
      <c r="HE2966" s="4"/>
      <c r="HF2966" s="4"/>
      <c r="HG2966" s="4"/>
      <c r="HH2966" s="4"/>
      <c r="HI2966" s="4"/>
      <c r="HJ2966" s="4"/>
      <c r="HK2966" s="4"/>
      <c r="HL2966" s="4"/>
    </row>
    <row r="2967">
      <c r="A2967" s="2" t="s">
        <v>12449</v>
      </c>
      <c r="B2967" s="2" t="s">
        <v>1186</v>
      </c>
      <c r="C2967" s="2" t="s">
        <v>10464</v>
      </c>
      <c r="D2967" s="2" t="s">
        <v>654</v>
      </c>
      <c r="E2967" s="2" t="s">
        <v>655</v>
      </c>
      <c r="F2967" s="2" t="s">
        <v>12444</v>
      </c>
      <c r="G2967" s="2" t="s">
        <v>231</v>
      </c>
      <c r="H2967" s="2" t="s">
        <v>231</v>
      </c>
      <c r="I2967" s="2" t="s">
        <v>12445</v>
      </c>
      <c r="J2967" s="2" t="s">
        <v>658</v>
      </c>
      <c r="K2967" s="2" t="s">
        <v>234</v>
      </c>
      <c r="L2967" s="3">
        <v>39.99</v>
      </c>
      <c r="M2967" s="3">
        <v>41.99</v>
      </c>
      <c r="N2967" s="3"/>
      <c r="O2967" s="2" t="s">
        <v>243</v>
      </c>
      <c r="P2967" s="2" t="s">
        <v>236</v>
      </c>
      <c r="Q2967" s="2" t="s">
        <v>237</v>
      </c>
      <c r="R2967" s="2" t="s">
        <v>10468</v>
      </c>
      <c r="S2967" s="2" t="s">
        <v>231</v>
      </c>
      <c r="T2967" s="2" t="s">
        <v>231</v>
      </c>
      <c r="U2967" s="2" t="s">
        <v>231</v>
      </c>
      <c r="V2967" s="2" t="s">
        <v>239</v>
      </c>
      <c r="W2967" s="2" t="s">
        <v>231</v>
      </c>
      <c r="X2967" s="2" t="s">
        <v>231</v>
      </c>
      <c r="Y2967" s="2" t="s">
        <v>11900</v>
      </c>
      <c r="Z2967" s="4"/>
      <c r="AA2967" s="4">
        <f>=ROUNDDOWN({0},0)</f>
      </c>
      <c r="AB2967" s="5"/>
      <c r="AC2967" s="2" t="s">
        <v>231</v>
      </c>
      <c r="AD2967" s="4"/>
      <c r="AE2967" s="4"/>
      <c r="AF2967" s="6"/>
      <c r="AG2967" s="6"/>
      <c r="AH2967" s="7">
        <v>0</v>
      </c>
      <c r="AI2967" s="4"/>
      <c r="AJ2967" s="4">
        <f>=ROUNDDOWN({0},0)</f>
      </c>
      <c r="AK2967" s="5"/>
      <c r="AL2967" s="2" t="s">
        <v>231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231</v>
      </c>
      <c r="AW2967" s="8" t="s">
        <v>231</v>
      </c>
      <c r="AX2967" s="4" t="s">
        <v>231</v>
      </c>
      <c r="AY2967" s="8" t="s">
        <v>231</v>
      </c>
      <c r="AZ2967" s="7" t="s">
        <v>231</v>
      </c>
      <c r="BA2967" s="7" t="s">
        <v>231</v>
      </c>
      <c r="BB2967" s="7"/>
      <c r="BC2967" s="4" t="s">
        <v>231</v>
      </c>
      <c r="BD2967" s="8" t="s">
        <v>231</v>
      </c>
      <c r="BE2967" s="4" t="s">
        <v>231</v>
      </c>
      <c r="BF2967" s="8" t="s">
        <v>231</v>
      </c>
      <c r="BG2967" s="7" t="s">
        <v>231</v>
      </c>
      <c r="BH2967" s="7" t="s">
        <v>231</v>
      </c>
      <c r="BI2967" s="7"/>
      <c r="BJ2967" s="4"/>
      <c r="BK2967" s="8"/>
      <c r="BL2967" s="2" t="s">
        <v>231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241</v>
      </c>
      <c r="BV2967" s="2" t="s">
        <v>231</v>
      </c>
      <c r="BW2967" s="2" t="s">
        <v>231</v>
      </c>
      <c r="BX2967" s="2" t="s">
        <v>231</v>
      </c>
      <c r="BY2967" s="2" t="s">
        <v>242</v>
      </c>
      <c r="BZ2967" s="2" t="s">
        <v>243</v>
      </c>
      <c r="CA2967" s="2" t="s">
        <v>231</v>
      </c>
      <c r="CB2967" s="2" t="s">
        <v>231</v>
      </c>
      <c r="CC2967" s="2" t="s">
        <v>244</v>
      </c>
      <c r="CD2967" s="2" t="s">
        <v>231</v>
      </c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4"/>
      <c r="CX2967" s="4"/>
      <c r="CY2967" s="4"/>
      <c r="CZ2967" s="4"/>
      <c r="DA2967" s="4"/>
      <c r="DB2967" s="4"/>
      <c r="DC2967" s="4"/>
      <c r="DD2967" s="4"/>
      <c r="DE2967" s="4"/>
      <c r="DF2967" s="4"/>
      <c r="DG2967" s="4"/>
      <c r="DH2967" s="4"/>
      <c r="DI2967" s="4"/>
      <c r="DJ2967" s="4"/>
      <c r="DK2967" s="4"/>
      <c r="DL2967" s="4"/>
      <c r="DM2967" s="4"/>
      <c r="DN2967" s="4"/>
      <c r="DO2967" s="4"/>
      <c r="DP2967" s="4"/>
      <c r="DQ2967" s="4"/>
      <c r="DR2967" s="4"/>
      <c r="DS2967" s="4"/>
      <c r="DT2967" s="4"/>
      <c r="DU2967" s="4"/>
      <c r="DV2967" s="4"/>
      <c r="DW2967" s="4"/>
      <c r="DX2967" s="4"/>
      <c r="DY2967" s="4"/>
      <c r="DZ2967" s="4"/>
      <c r="EA2967" s="4"/>
      <c r="EB2967" s="4"/>
      <c r="EC2967" s="4"/>
      <c r="ED2967" s="4"/>
      <c r="EE2967" s="4"/>
      <c r="EF2967" s="4"/>
      <c r="EG2967" s="4"/>
      <c r="EH2967" s="4"/>
      <c r="EI2967" s="4"/>
      <c r="EJ2967" s="4"/>
      <c r="EK2967" s="4"/>
      <c r="EL2967" s="4"/>
      <c r="EM2967" s="4"/>
      <c r="EN2967" s="4"/>
      <c r="EO2967" s="4"/>
      <c r="EP2967" s="4"/>
      <c r="EQ2967" s="4"/>
      <c r="ER2967" s="4"/>
      <c r="ES2967" s="4"/>
      <c r="ET2967" s="4"/>
      <c r="EU2967" s="4"/>
      <c r="EV2967" s="4"/>
      <c r="EW2967" s="4"/>
      <c r="EX2967" s="4"/>
      <c r="EY2967" s="4"/>
      <c r="EZ2967" s="4"/>
      <c r="FA2967" s="4"/>
      <c r="FB2967" s="4"/>
      <c r="FC2967" s="4"/>
      <c r="FD2967" s="4"/>
      <c r="FE2967" s="4"/>
      <c r="FF2967" s="4"/>
      <c r="FG2967" s="4"/>
      <c r="FH2967" s="4"/>
      <c r="FI2967" s="4"/>
      <c r="FJ2967" s="4"/>
      <c r="FK2967" s="4"/>
      <c r="FL2967" s="4"/>
      <c r="FM2967" s="4"/>
      <c r="FN2967" s="4"/>
      <c r="FO2967" s="4"/>
      <c r="FP2967" s="4"/>
      <c r="FQ2967" s="4"/>
      <c r="FR2967" s="4"/>
      <c r="FS2967" s="4"/>
      <c r="FT2967" s="4"/>
      <c r="FU2967" s="4"/>
      <c r="FV2967" s="4"/>
      <c r="FW2967" s="4"/>
      <c r="FX2967" s="4"/>
      <c r="FY2967" s="4"/>
      <c r="FZ2967" s="4"/>
      <c r="GA2967" s="4"/>
      <c r="GB2967" s="4"/>
      <c r="GC2967" s="4"/>
      <c r="GD2967" s="4"/>
      <c r="GE2967" s="4"/>
      <c r="GF2967" s="4"/>
      <c r="GG2967" s="4"/>
      <c r="GH2967" s="4"/>
      <c r="GI2967" s="4"/>
      <c r="GJ2967" s="4"/>
      <c r="GK2967" s="4"/>
      <c r="GL2967" s="4"/>
      <c r="GM2967" s="4"/>
      <c r="GN2967" s="4"/>
      <c r="GO2967" s="4"/>
      <c r="GP2967" s="4"/>
      <c r="GQ2967" s="4"/>
      <c r="GR2967" s="4"/>
      <c r="GS2967" s="4"/>
      <c r="GT2967" s="4"/>
      <c r="GU2967" s="4"/>
      <c r="GV2967" s="4"/>
      <c r="GW2967" s="4"/>
      <c r="GX2967" s="4"/>
      <c r="GY2967" s="4"/>
      <c r="GZ2967" s="4"/>
      <c r="HA2967" s="4"/>
      <c r="HB2967" s="4"/>
      <c r="HC2967" s="4"/>
      <c r="HD2967" s="4"/>
      <c r="HE2967" s="4"/>
      <c r="HF2967" s="4"/>
      <c r="HG2967" s="4"/>
      <c r="HH2967" s="4"/>
      <c r="HI2967" s="4"/>
      <c r="HJ2967" s="4"/>
      <c r="HK2967" s="4"/>
      <c r="HL2967" s="4"/>
    </row>
    <row r="2968">
      <c r="A2968" s="2" t="s">
        <v>12450</v>
      </c>
      <c r="B2968" s="2" t="s">
        <v>1186</v>
      </c>
      <c r="C2968" s="2" t="s">
        <v>10464</v>
      </c>
      <c r="D2968" s="2" t="s">
        <v>654</v>
      </c>
      <c r="E2968" s="2" t="s">
        <v>655</v>
      </c>
      <c r="F2968" s="2" t="s">
        <v>12444</v>
      </c>
      <c r="G2968" s="2" t="s">
        <v>231</v>
      </c>
      <c r="H2968" s="2" t="s">
        <v>231</v>
      </c>
      <c r="I2968" s="2" t="s">
        <v>12445</v>
      </c>
      <c r="J2968" s="2" t="s">
        <v>302</v>
      </c>
      <c r="K2968" s="2" t="s">
        <v>234</v>
      </c>
      <c r="L2968" s="3">
        <v>44.99</v>
      </c>
      <c r="M2968" s="3">
        <v>47.24</v>
      </c>
      <c r="N2968" s="3"/>
      <c r="O2968" s="2" t="s">
        <v>250</v>
      </c>
      <c r="P2968" s="2" t="s">
        <v>236</v>
      </c>
      <c r="Q2968" s="2" t="s">
        <v>237</v>
      </c>
      <c r="R2968" s="2" t="s">
        <v>10468</v>
      </c>
      <c r="S2968" s="2" t="s">
        <v>231</v>
      </c>
      <c r="T2968" s="2" t="s">
        <v>231</v>
      </c>
      <c r="U2968" s="2" t="s">
        <v>231</v>
      </c>
      <c r="V2968" s="2" t="s">
        <v>239</v>
      </c>
      <c r="W2968" s="2" t="s">
        <v>231</v>
      </c>
      <c r="X2968" s="2" t="s">
        <v>231</v>
      </c>
      <c r="Y2968" s="2" t="s">
        <v>11900</v>
      </c>
      <c r="Z2968" s="4"/>
      <c r="AA2968" s="4">
        <f>=ROUNDDOWN({0},0)</f>
      </c>
      <c r="AB2968" s="5"/>
      <c r="AC2968" s="2" t="s">
        <v>231</v>
      </c>
      <c r="AD2968" s="4"/>
      <c r="AE2968" s="4"/>
      <c r="AF2968" s="6"/>
      <c r="AG2968" s="6"/>
      <c r="AH2968" s="7">
        <v>0</v>
      </c>
      <c r="AI2968" s="4"/>
      <c r="AJ2968" s="4">
        <f>=ROUNDDOWN({0},0)</f>
      </c>
      <c r="AK2968" s="5"/>
      <c r="AL2968" s="2" t="s">
        <v>231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231</v>
      </c>
      <c r="AW2968" s="8" t="s">
        <v>231</v>
      </c>
      <c r="AX2968" s="4" t="s">
        <v>231</v>
      </c>
      <c r="AY2968" s="8" t="s">
        <v>231</v>
      </c>
      <c r="AZ2968" s="7" t="s">
        <v>231</v>
      </c>
      <c r="BA2968" s="7" t="s">
        <v>231</v>
      </c>
      <c r="BB2968" s="7"/>
      <c r="BC2968" s="4" t="s">
        <v>231</v>
      </c>
      <c r="BD2968" s="8" t="s">
        <v>231</v>
      </c>
      <c r="BE2968" s="4" t="s">
        <v>231</v>
      </c>
      <c r="BF2968" s="8" t="s">
        <v>231</v>
      </c>
      <c r="BG2968" s="7" t="s">
        <v>231</v>
      </c>
      <c r="BH2968" s="7" t="s">
        <v>231</v>
      </c>
      <c r="BI2968" s="7"/>
      <c r="BJ2968" s="4"/>
      <c r="BK2968" s="8"/>
      <c r="BL2968" s="2" t="s">
        <v>231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241</v>
      </c>
      <c r="BV2968" s="2" t="s">
        <v>231</v>
      </c>
      <c r="BW2968" s="2" t="s">
        <v>231</v>
      </c>
      <c r="BX2968" s="2" t="s">
        <v>231</v>
      </c>
      <c r="BY2968" s="2" t="s">
        <v>242</v>
      </c>
      <c r="BZ2968" s="2" t="s">
        <v>243</v>
      </c>
      <c r="CA2968" s="2" t="s">
        <v>231</v>
      </c>
      <c r="CB2968" s="2" t="s">
        <v>231</v>
      </c>
      <c r="CC2968" s="2" t="s">
        <v>244</v>
      </c>
      <c r="CD2968" s="2" t="s">
        <v>231</v>
      </c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4"/>
      <c r="CX2968" s="4"/>
      <c r="CY2968" s="4"/>
      <c r="CZ2968" s="4"/>
      <c r="DA2968" s="4"/>
      <c r="DB2968" s="4"/>
      <c r="DC2968" s="4"/>
      <c r="DD2968" s="4"/>
      <c r="DE2968" s="4"/>
      <c r="DF2968" s="4"/>
      <c r="DG2968" s="4"/>
      <c r="DH2968" s="4"/>
      <c r="DI2968" s="4"/>
      <c r="DJ2968" s="4"/>
      <c r="DK2968" s="4"/>
      <c r="DL2968" s="4"/>
      <c r="DM2968" s="4"/>
      <c r="DN2968" s="4"/>
      <c r="DO2968" s="4"/>
      <c r="DP2968" s="4"/>
      <c r="DQ2968" s="4"/>
      <c r="DR2968" s="4"/>
      <c r="DS2968" s="4"/>
      <c r="DT2968" s="4"/>
      <c r="DU2968" s="4"/>
      <c r="DV2968" s="4"/>
      <c r="DW2968" s="4"/>
      <c r="DX2968" s="4"/>
      <c r="DY2968" s="4"/>
      <c r="DZ2968" s="4"/>
      <c r="EA2968" s="4"/>
      <c r="EB2968" s="4"/>
      <c r="EC2968" s="4"/>
      <c r="ED2968" s="4"/>
      <c r="EE2968" s="4"/>
      <c r="EF2968" s="4"/>
      <c r="EG2968" s="4"/>
      <c r="EH2968" s="4"/>
      <c r="EI2968" s="4"/>
      <c r="EJ2968" s="4"/>
      <c r="EK2968" s="4"/>
      <c r="EL2968" s="4"/>
      <c r="EM2968" s="4"/>
      <c r="EN2968" s="4"/>
      <c r="EO2968" s="4"/>
      <c r="EP2968" s="4"/>
      <c r="EQ2968" s="4"/>
      <c r="ER2968" s="4"/>
      <c r="ES2968" s="4"/>
      <c r="ET2968" s="4"/>
      <c r="EU2968" s="4"/>
      <c r="EV2968" s="4"/>
      <c r="EW2968" s="4"/>
      <c r="EX2968" s="4"/>
      <c r="EY2968" s="4"/>
      <c r="EZ2968" s="4"/>
      <c r="FA2968" s="4"/>
      <c r="FB2968" s="4"/>
      <c r="FC2968" s="4"/>
      <c r="FD2968" s="4"/>
      <c r="FE2968" s="4"/>
      <c r="FF2968" s="4"/>
      <c r="FG2968" s="4"/>
      <c r="FH2968" s="4"/>
      <c r="FI2968" s="4"/>
      <c r="FJ2968" s="4"/>
      <c r="FK2968" s="4"/>
      <c r="FL2968" s="4"/>
      <c r="FM2968" s="4"/>
      <c r="FN2968" s="4"/>
      <c r="FO2968" s="4"/>
      <c r="FP2968" s="4"/>
      <c r="FQ2968" s="4"/>
      <c r="FR2968" s="4"/>
      <c r="FS2968" s="4"/>
      <c r="FT2968" s="4"/>
      <c r="FU2968" s="4"/>
      <c r="FV2968" s="4"/>
      <c r="FW2968" s="4"/>
      <c r="FX2968" s="4"/>
      <c r="FY2968" s="4"/>
      <c r="FZ2968" s="4"/>
      <c r="GA2968" s="4"/>
      <c r="GB2968" s="4"/>
      <c r="GC2968" s="4"/>
      <c r="GD2968" s="4"/>
      <c r="GE2968" s="4"/>
      <c r="GF2968" s="4"/>
      <c r="GG2968" s="4"/>
      <c r="GH2968" s="4"/>
      <c r="GI2968" s="4"/>
      <c r="GJ2968" s="4"/>
      <c r="GK2968" s="4"/>
      <c r="GL2968" s="4"/>
      <c r="GM2968" s="4"/>
      <c r="GN2968" s="4"/>
      <c r="GO2968" s="4"/>
      <c r="GP2968" s="4"/>
      <c r="GQ2968" s="4"/>
      <c r="GR2968" s="4"/>
      <c r="GS2968" s="4"/>
      <c r="GT2968" s="4"/>
      <c r="GU2968" s="4"/>
      <c r="GV2968" s="4"/>
      <c r="GW2968" s="4"/>
      <c r="GX2968" s="4"/>
      <c r="GY2968" s="4"/>
      <c r="GZ2968" s="4"/>
      <c r="HA2968" s="4"/>
      <c r="HB2968" s="4"/>
      <c r="HC2968" s="4"/>
      <c r="HD2968" s="4"/>
      <c r="HE2968" s="4"/>
      <c r="HF2968" s="4"/>
      <c r="HG2968" s="4"/>
      <c r="HH2968" s="4"/>
      <c r="HI2968" s="4"/>
      <c r="HJ2968" s="4"/>
      <c r="HK2968" s="4"/>
      <c r="HL2968" s="4"/>
    </row>
    <row r="2969">
      <c r="A2969" s="2" t="s">
        <v>12451</v>
      </c>
      <c r="B2969" s="2" t="s">
        <v>1004</v>
      </c>
      <c r="C2969" s="2" t="s">
        <v>867</v>
      </c>
      <c r="D2969" s="2" t="s">
        <v>1922</v>
      </c>
      <c r="E2969" s="2" t="s">
        <v>1923</v>
      </c>
      <c r="F2969" s="2" t="s">
        <v>12444</v>
      </c>
      <c r="G2969" s="2" t="s">
        <v>12444</v>
      </c>
      <c r="H2969" s="2" t="s">
        <v>12444</v>
      </c>
      <c r="I2969" s="2" t="s">
        <v>12452</v>
      </c>
      <c r="J2969" s="2" t="s">
        <v>12453</v>
      </c>
      <c r="K2969" s="2" t="s">
        <v>747</v>
      </c>
      <c r="L2969" s="3">
        <v>285</v>
      </c>
      <c r="M2969" s="3">
        <v>299.25</v>
      </c>
      <c r="N2969" s="3">
        <v>599</v>
      </c>
      <c r="O2969" s="2" t="s">
        <v>243</v>
      </c>
      <c r="P2969" s="2" t="s">
        <v>270</v>
      </c>
      <c r="Q2969" s="2" t="s">
        <v>237</v>
      </c>
      <c r="R2969" s="2" t="s">
        <v>231</v>
      </c>
      <c r="S2969" s="2" t="s">
        <v>231</v>
      </c>
      <c r="T2969" s="2" t="s">
        <v>231</v>
      </c>
      <c r="U2969" s="2" t="s">
        <v>791</v>
      </c>
      <c r="V2969" s="2" t="s">
        <v>239</v>
      </c>
      <c r="W2969" s="2" t="s">
        <v>896</v>
      </c>
      <c r="X2969" s="2" t="s">
        <v>874</v>
      </c>
      <c r="Y2969" s="2" t="s">
        <v>3087</v>
      </c>
      <c r="Z2969" s="4">
        <v>36</v>
      </c>
      <c r="AA2969" s="4">
        <f>=ROUNDDOWN(7.2,0)</f>
      </c>
      <c r="AB2969" s="5">
        <v>5</v>
      </c>
      <c r="AC2969" s="2" t="s">
        <v>3693</v>
      </c>
      <c r="AD2969" s="4">
        <v>100</v>
      </c>
      <c r="AE2969" s="4">
        <v>200</v>
      </c>
      <c r="AF2969" s="6">
        <v>66</v>
      </c>
      <c r="AG2969" s="6"/>
      <c r="AH2969" s="7">
        <v>1</v>
      </c>
      <c r="AI2969" s="4"/>
      <c r="AJ2969" s="4">
        <f>=ROUNDDOWN({0},0)</f>
      </c>
      <c r="AK2969" s="5"/>
      <c r="AL2969" s="2" t="s">
        <v>231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/>
      <c r="AW2969" s="8"/>
      <c r="AX2969" s="4"/>
      <c r="AY2969" s="8"/>
      <c r="AZ2969" s="7"/>
      <c r="BA2969" s="7"/>
      <c r="BB2969" s="7"/>
      <c r="BC2969" s="4" t="s">
        <v>231</v>
      </c>
      <c r="BD2969" s="8" t="s">
        <v>231</v>
      </c>
      <c r="BE2969" s="4" t="s">
        <v>231</v>
      </c>
      <c r="BF2969" s="8" t="s">
        <v>231</v>
      </c>
      <c r="BG2969" s="7" t="s">
        <v>231</v>
      </c>
      <c r="BH2969" s="7" t="s">
        <v>231</v>
      </c>
      <c r="BI2969" s="7"/>
      <c r="BJ2969" s="4">
        <v>8</v>
      </c>
      <c r="BK2969" s="8">
        <v>2027.84</v>
      </c>
      <c r="BL2969" s="2" t="s">
        <v>1240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12454</v>
      </c>
      <c r="BV2969" s="2" t="s">
        <v>231</v>
      </c>
      <c r="BW2969" s="2" t="s">
        <v>231</v>
      </c>
      <c r="BX2969" s="2" t="s">
        <v>1812</v>
      </c>
      <c r="BY2969" s="2" t="s">
        <v>277</v>
      </c>
      <c r="BZ2969" s="2" t="s">
        <v>243</v>
      </c>
      <c r="CA2969" s="2" t="s">
        <v>3115</v>
      </c>
      <c r="CB2969" s="2" t="s">
        <v>7311</v>
      </c>
      <c r="CC2969" s="2" t="s">
        <v>244</v>
      </c>
      <c r="CD2969" s="2" t="s">
        <v>231</v>
      </c>
      <c r="CE2969" s="4"/>
      <c r="CF2969" s="4">
        <v>36</v>
      </c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4"/>
      <c r="CX2969" s="4"/>
      <c r="CY2969" s="4"/>
      <c r="CZ2969" s="4">
        <v>100</v>
      </c>
      <c r="DA2969" s="4"/>
      <c r="DB2969" s="4"/>
      <c r="DC2969" s="4"/>
      <c r="DD2969" s="4"/>
      <c r="DE2969" s="4"/>
      <c r="DF2969" s="4"/>
      <c r="DG2969" s="4"/>
      <c r="DH2969" s="4"/>
      <c r="DI2969" s="4"/>
      <c r="DJ2969" s="4"/>
      <c r="DK2969" s="4"/>
      <c r="DL2969" s="4"/>
      <c r="DM2969" s="4"/>
      <c r="DN2969" s="4"/>
      <c r="DO2969" s="4"/>
      <c r="DP2969" s="4"/>
      <c r="DQ2969" s="4"/>
      <c r="DR2969" s="4"/>
      <c r="DS2969" s="4"/>
      <c r="DT2969" s="4"/>
      <c r="DU2969" s="4"/>
      <c r="DV2969" s="4"/>
      <c r="DW2969" s="4"/>
      <c r="DX2969" s="4"/>
      <c r="DY2969" s="4"/>
      <c r="DZ2969" s="4"/>
      <c r="EA2969" s="4"/>
      <c r="EB2969" s="4"/>
      <c r="EC2969" s="4"/>
      <c r="ED2969" s="4"/>
      <c r="EE2969" s="4"/>
      <c r="EF2969" s="4"/>
      <c r="EG2969" s="4"/>
      <c r="EH2969" s="4"/>
      <c r="EI2969" s="4"/>
      <c r="EJ2969" s="4"/>
      <c r="EK2969" s="4"/>
      <c r="EL2969" s="4"/>
      <c r="EM2969" s="4"/>
      <c r="EN2969" s="4"/>
      <c r="EO2969" s="4"/>
      <c r="EP2969" s="4"/>
      <c r="EQ2969" s="4"/>
      <c r="ER2969" s="4"/>
      <c r="ES2969" s="4"/>
      <c r="ET2969" s="4"/>
      <c r="EU2969" s="4"/>
      <c r="EV2969" s="4"/>
      <c r="EW2969" s="4"/>
      <c r="EX2969" s="4"/>
      <c r="EY2969" s="4"/>
      <c r="EZ2969" s="4"/>
      <c r="FA2969" s="4"/>
      <c r="FB2969" s="4"/>
      <c r="FC2969" s="4"/>
      <c r="FD2969" s="4"/>
      <c r="FE2969" s="4"/>
      <c r="FF2969" s="4"/>
      <c r="FG2969" s="4"/>
      <c r="FH2969" s="4"/>
      <c r="FI2969" s="4"/>
      <c r="FJ2969" s="4"/>
      <c r="FK2969" s="4"/>
      <c r="FL2969" s="4"/>
      <c r="FM2969" s="4"/>
      <c r="FN2969" s="4"/>
      <c r="FO2969" s="4"/>
      <c r="FP2969" s="4"/>
      <c r="FQ2969" s="4"/>
      <c r="FR2969" s="4"/>
      <c r="FS2969" s="4"/>
      <c r="FT2969" s="4"/>
      <c r="FU2969" s="4"/>
      <c r="FV2969" s="4"/>
      <c r="FW2969" s="4"/>
      <c r="FX2969" s="4"/>
      <c r="FY2969" s="4"/>
      <c r="FZ2969" s="4"/>
      <c r="GA2969" s="4"/>
      <c r="GB2969" s="4"/>
      <c r="GC2969" s="4"/>
      <c r="GD2969" s="4"/>
      <c r="GE2969" s="4"/>
      <c r="GF2969" s="4"/>
      <c r="GG2969" s="4"/>
      <c r="GH2969" s="4"/>
      <c r="GI2969" s="4"/>
      <c r="GJ2969" s="4"/>
      <c r="GK2969" s="4"/>
      <c r="GL2969" s="4"/>
      <c r="GM2969" s="4">
        <v>100</v>
      </c>
      <c r="GN2969" s="4"/>
      <c r="GO2969" s="4"/>
      <c r="GP2969" s="4"/>
      <c r="GQ2969" s="4"/>
      <c r="GR2969" s="4"/>
      <c r="GS2969" s="4"/>
      <c r="GT2969" s="4"/>
      <c r="GU2969" s="4"/>
      <c r="GV2969" s="4"/>
      <c r="GW2969" s="4"/>
      <c r="GX2969" s="4"/>
      <c r="GY2969" s="4"/>
      <c r="GZ2969" s="4"/>
      <c r="HA2969" s="4"/>
      <c r="HB2969" s="4"/>
      <c r="HC2969" s="4"/>
      <c r="HD2969" s="4"/>
      <c r="HE2969" s="4"/>
      <c r="HF2969" s="4"/>
      <c r="HG2969" s="4"/>
      <c r="HH2969" s="4"/>
      <c r="HI2969" s="4"/>
      <c r="HJ2969" s="4"/>
      <c r="HK2969" s="4"/>
      <c r="HL2969" s="4"/>
    </row>
    <row r="2970">
      <c r="A2970" s="2" t="s">
        <v>12455</v>
      </c>
      <c r="B2970" s="2" t="s">
        <v>1186</v>
      </c>
      <c r="C2970" s="2" t="s">
        <v>10464</v>
      </c>
      <c r="D2970" s="2" t="s">
        <v>654</v>
      </c>
      <c r="E2970" s="2" t="s">
        <v>655</v>
      </c>
      <c r="F2970" s="2" t="s">
        <v>12444</v>
      </c>
      <c r="G2970" s="2" t="s">
        <v>231</v>
      </c>
      <c r="H2970" s="2" t="s">
        <v>231</v>
      </c>
      <c r="I2970" s="2" t="s">
        <v>12445</v>
      </c>
      <c r="J2970" s="2" t="s">
        <v>832</v>
      </c>
      <c r="K2970" s="2" t="s">
        <v>255</v>
      </c>
      <c r="L2970" s="3">
        <v>29.99</v>
      </c>
      <c r="M2970" s="3">
        <v>31.49</v>
      </c>
      <c r="N2970" s="3"/>
      <c r="O2970" s="2" t="s">
        <v>243</v>
      </c>
      <c r="P2970" s="2" t="s">
        <v>236</v>
      </c>
      <c r="Q2970" s="2" t="s">
        <v>237</v>
      </c>
      <c r="R2970" s="2" t="s">
        <v>10468</v>
      </c>
      <c r="S2970" s="2" t="s">
        <v>231</v>
      </c>
      <c r="T2970" s="2" t="s">
        <v>231</v>
      </c>
      <c r="U2970" s="2" t="s">
        <v>231</v>
      </c>
      <c r="V2970" s="2" t="s">
        <v>239</v>
      </c>
      <c r="W2970" s="2" t="s">
        <v>231</v>
      </c>
      <c r="X2970" s="2" t="s">
        <v>231</v>
      </c>
      <c r="Y2970" s="2" t="s">
        <v>11900</v>
      </c>
      <c r="Z2970" s="4"/>
      <c r="AA2970" s="4">
        <f>=ROUNDDOWN({0},0)</f>
      </c>
      <c r="AB2970" s="5"/>
      <c r="AC2970" s="2" t="s">
        <v>231</v>
      </c>
      <c r="AD2970" s="4"/>
      <c r="AE2970" s="4"/>
      <c r="AF2970" s="6"/>
      <c r="AG2970" s="6"/>
      <c r="AH2970" s="7">
        <v>0</v>
      </c>
      <c r="AI2970" s="4"/>
      <c r="AJ2970" s="4">
        <f>=ROUNDDOWN({0},0)</f>
      </c>
      <c r="AK2970" s="5"/>
      <c r="AL2970" s="2" t="s">
        <v>231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231</v>
      </c>
      <c r="AW2970" s="8" t="s">
        <v>231</v>
      </c>
      <c r="AX2970" s="4" t="s">
        <v>231</v>
      </c>
      <c r="AY2970" s="8" t="s">
        <v>231</v>
      </c>
      <c r="AZ2970" s="7" t="s">
        <v>231</v>
      </c>
      <c r="BA2970" s="7" t="s">
        <v>231</v>
      </c>
      <c r="BB2970" s="7"/>
      <c r="BC2970" s="4" t="s">
        <v>231</v>
      </c>
      <c r="BD2970" s="8" t="s">
        <v>231</v>
      </c>
      <c r="BE2970" s="4" t="s">
        <v>231</v>
      </c>
      <c r="BF2970" s="8" t="s">
        <v>231</v>
      </c>
      <c r="BG2970" s="7" t="s">
        <v>231</v>
      </c>
      <c r="BH2970" s="7" t="s">
        <v>231</v>
      </c>
      <c r="BI2970" s="7"/>
      <c r="BJ2970" s="4"/>
      <c r="BK2970" s="8"/>
      <c r="BL2970" s="2" t="s">
        <v>231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241</v>
      </c>
      <c r="BV2970" s="2" t="s">
        <v>231</v>
      </c>
      <c r="BW2970" s="2" t="s">
        <v>231</v>
      </c>
      <c r="BX2970" s="2" t="s">
        <v>231</v>
      </c>
      <c r="BY2970" s="2" t="s">
        <v>242</v>
      </c>
      <c r="BZ2970" s="2" t="s">
        <v>243</v>
      </c>
      <c r="CA2970" s="2" t="s">
        <v>231</v>
      </c>
      <c r="CB2970" s="2" t="s">
        <v>231</v>
      </c>
      <c r="CC2970" s="2" t="s">
        <v>244</v>
      </c>
      <c r="CD2970" s="2" t="s">
        <v>231</v>
      </c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4"/>
      <c r="CX2970" s="4"/>
      <c r="CY2970" s="4"/>
      <c r="CZ2970" s="4"/>
      <c r="DA2970" s="4"/>
      <c r="DB2970" s="4"/>
      <c r="DC2970" s="4"/>
      <c r="DD2970" s="4"/>
      <c r="DE2970" s="4"/>
      <c r="DF2970" s="4"/>
      <c r="DG2970" s="4"/>
      <c r="DH2970" s="4"/>
      <c r="DI2970" s="4"/>
      <c r="DJ2970" s="4"/>
      <c r="DK2970" s="4"/>
      <c r="DL2970" s="4"/>
      <c r="DM2970" s="4"/>
      <c r="DN2970" s="4"/>
      <c r="DO2970" s="4"/>
      <c r="DP2970" s="4"/>
      <c r="DQ2970" s="4"/>
      <c r="DR2970" s="4"/>
      <c r="DS2970" s="4"/>
      <c r="DT2970" s="4"/>
      <c r="DU2970" s="4"/>
      <c r="DV2970" s="4"/>
      <c r="DW2970" s="4"/>
      <c r="DX2970" s="4"/>
      <c r="DY2970" s="4"/>
      <c r="DZ2970" s="4"/>
      <c r="EA2970" s="4"/>
      <c r="EB2970" s="4"/>
      <c r="EC2970" s="4"/>
      <c r="ED2970" s="4"/>
      <c r="EE2970" s="4"/>
      <c r="EF2970" s="4"/>
      <c r="EG2970" s="4"/>
      <c r="EH2970" s="4"/>
      <c r="EI2970" s="4"/>
      <c r="EJ2970" s="4"/>
      <c r="EK2970" s="4"/>
      <c r="EL2970" s="4"/>
      <c r="EM2970" s="4"/>
      <c r="EN2970" s="4"/>
      <c r="EO2970" s="4"/>
      <c r="EP2970" s="4"/>
      <c r="EQ2970" s="4"/>
      <c r="ER2970" s="4"/>
      <c r="ES2970" s="4"/>
      <c r="ET2970" s="4"/>
      <c r="EU2970" s="4"/>
      <c r="EV2970" s="4"/>
      <c r="EW2970" s="4"/>
      <c r="EX2970" s="4"/>
      <c r="EY2970" s="4"/>
      <c r="EZ2970" s="4"/>
      <c r="FA2970" s="4"/>
      <c r="FB2970" s="4"/>
      <c r="FC2970" s="4"/>
      <c r="FD2970" s="4"/>
      <c r="FE2970" s="4"/>
      <c r="FF2970" s="4"/>
      <c r="FG2970" s="4"/>
      <c r="FH2970" s="4"/>
      <c r="FI2970" s="4"/>
      <c r="FJ2970" s="4"/>
      <c r="FK2970" s="4"/>
      <c r="FL2970" s="4"/>
      <c r="FM2970" s="4"/>
      <c r="FN2970" s="4"/>
      <c r="FO2970" s="4"/>
      <c r="FP2970" s="4"/>
      <c r="FQ2970" s="4"/>
      <c r="FR2970" s="4"/>
      <c r="FS2970" s="4"/>
      <c r="FT2970" s="4"/>
      <c r="FU2970" s="4"/>
      <c r="FV2970" s="4"/>
      <c r="FW2970" s="4"/>
      <c r="FX2970" s="4"/>
      <c r="FY2970" s="4"/>
      <c r="FZ2970" s="4"/>
      <c r="GA2970" s="4"/>
      <c r="GB2970" s="4"/>
      <c r="GC2970" s="4"/>
      <c r="GD2970" s="4"/>
      <c r="GE2970" s="4"/>
      <c r="GF2970" s="4"/>
      <c r="GG2970" s="4"/>
      <c r="GH2970" s="4"/>
      <c r="GI2970" s="4"/>
      <c r="GJ2970" s="4"/>
      <c r="GK2970" s="4"/>
      <c r="GL2970" s="4"/>
      <c r="GM2970" s="4"/>
      <c r="GN2970" s="4"/>
      <c r="GO2970" s="4"/>
      <c r="GP2970" s="4"/>
      <c r="GQ2970" s="4"/>
      <c r="GR2970" s="4"/>
      <c r="GS2970" s="4"/>
      <c r="GT2970" s="4"/>
      <c r="GU2970" s="4"/>
      <c r="GV2970" s="4"/>
      <c r="GW2970" s="4"/>
      <c r="GX2970" s="4"/>
      <c r="GY2970" s="4"/>
      <c r="GZ2970" s="4"/>
      <c r="HA2970" s="4"/>
      <c r="HB2970" s="4"/>
      <c r="HC2970" s="4"/>
      <c r="HD2970" s="4"/>
      <c r="HE2970" s="4"/>
      <c r="HF2970" s="4"/>
      <c r="HG2970" s="4"/>
      <c r="HH2970" s="4"/>
      <c r="HI2970" s="4"/>
      <c r="HJ2970" s="4"/>
      <c r="HK2970" s="4"/>
      <c r="HL2970" s="4"/>
    </row>
    <row r="2971">
      <c r="A2971" s="2" t="s">
        <v>12456</v>
      </c>
      <c r="B2971" s="2" t="s">
        <v>1186</v>
      </c>
      <c r="C2971" s="2" t="s">
        <v>10464</v>
      </c>
      <c r="D2971" s="2" t="s">
        <v>654</v>
      </c>
      <c r="E2971" s="2" t="s">
        <v>655</v>
      </c>
      <c r="F2971" s="2" t="s">
        <v>12444</v>
      </c>
      <c r="G2971" s="2" t="s">
        <v>231</v>
      </c>
      <c r="H2971" s="2" t="s">
        <v>231</v>
      </c>
      <c r="I2971" s="2" t="s">
        <v>12445</v>
      </c>
      <c r="J2971" s="2" t="s">
        <v>658</v>
      </c>
      <c r="K2971" s="2" t="s">
        <v>255</v>
      </c>
      <c r="L2971" s="3">
        <v>39.99</v>
      </c>
      <c r="M2971" s="3">
        <v>41.99</v>
      </c>
      <c r="N2971" s="3"/>
      <c r="O2971" s="2" t="s">
        <v>250</v>
      </c>
      <c r="P2971" s="2" t="s">
        <v>236</v>
      </c>
      <c r="Q2971" s="2" t="s">
        <v>237</v>
      </c>
      <c r="R2971" s="2" t="s">
        <v>10468</v>
      </c>
      <c r="S2971" s="2" t="s">
        <v>231</v>
      </c>
      <c r="T2971" s="2" t="s">
        <v>231</v>
      </c>
      <c r="U2971" s="2" t="s">
        <v>231</v>
      </c>
      <c r="V2971" s="2" t="s">
        <v>239</v>
      </c>
      <c r="W2971" s="2" t="s">
        <v>231</v>
      </c>
      <c r="X2971" s="2" t="s">
        <v>231</v>
      </c>
      <c r="Y2971" s="2" t="s">
        <v>11900</v>
      </c>
      <c r="Z2971" s="4"/>
      <c r="AA2971" s="4">
        <f>=ROUNDDOWN({0},0)</f>
      </c>
      <c r="AB2971" s="5"/>
      <c r="AC2971" s="2" t="s">
        <v>231</v>
      </c>
      <c r="AD2971" s="4"/>
      <c r="AE2971" s="4"/>
      <c r="AF2971" s="6"/>
      <c r="AG2971" s="6"/>
      <c r="AH2971" s="7">
        <v>0</v>
      </c>
      <c r="AI2971" s="4"/>
      <c r="AJ2971" s="4">
        <f>=ROUNDDOWN({0},0)</f>
      </c>
      <c r="AK2971" s="5"/>
      <c r="AL2971" s="2" t="s">
        <v>231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231</v>
      </c>
      <c r="AW2971" s="8" t="s">
        <v>231</v>
      </c>
      <c r="AX2971" s="4" t="s">
        <v>231</v>
      </c>
      <c r="AY2971" s="8" t="s">
        <v>231</v>
      </c>
      <c r="AZ2971" s="7" t="s">
        <v>231</v>
      </c>
      <c r="BA2971" s="7" t="s">
        <v>231</v>
      </c>
      <c r="BB2971" s="7"/>
      <c r="BC2971" s="4" t="s">
        <v>231</v>
      </c>
      <c r="BD2971" s="8" t="s">
        <v>231</v>
      </c>
      <c r="BE2971" s="4" t="s">
        <v>231</v>
      </c>
      <c r="BF2971" s="8" t="s">
        <v>231</v>
      </c>
      <c r="BG2971" s="7" t="s">
        <v>231</v>
      </c>
      <c r="BH2971" s="7" t="s">
        <v>231</v>
      </c>
      <c r="BI2971" s="7"/>
      <c r="BJ2971" s="4"/>
      <c r="BK2971" s="8"/>
      <c r="BL2971" s="2" t="s">
        <v>231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241</v>
      </c>
      <c r="BV2971" s="2" t="s">
        <v>231</v>
      </c>
      <c r="BW2971" s="2" t="s">
        <v>231</v>
      </c>
      <c r="BX2971" s="2" t="s">
        <v>231</v>
      </c>
      <c r="BY2971" s="2" t="s">
        <v>242</v>
      </c>
      <c r="BZ2971" s="2" t="s">
        <v>243</v>
      </c>
      <c r="CA2971" s="2" t="s">
        <v>231</v>
      </c>
      <c r="CB2971" s="2" t="s">
        <v>231</v>
      </c>
      <c r="CC2971" s="2" t="s">
        <v>244</v>
      </c>
      <c r="CD2971" s="2" t="s">
        <v>231</v>
      </c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4"/>
      <c r="CX2971" s="4"/>
      <c r="CY2971" s="4"/>
      <c r="CZ2971" s="4"/>
      <c r="DA2971" s="4"/>
      <c r="DB2971" s="4"/>
      <c r="DC2971" s="4"/>
      <c r="DD2971" s="4"/>
      <c r="DE2971" s="4"/>
      <c r="DF2971" s="4"/>
      <c r="DG2971" s="4"/>
      <c r="DH2971" s="4"/>
      <c r="DI2971" s="4"/>
      <c r="DJ2971" s="4"/>
      <c r="DK2971" s="4"/>
      <c r="DL2971" s="4"/>
      <c r="DM2971" s="4"/>
      <c r="DN2971" s="4"/>
      <c r="DO2971" s="4"/>
      <c r="DP2971" s="4"/>
      <c r="DQ2971" s="4"/>
      <c r="DR2971" s="4"/>
      <c r="DS2971" s="4"/>
      <c r="DT2971" s="4"/>
      <c r="DU2971" s="4"/>
      <c r="DV2971" s="4"/>
      <c r="DW2971" s="4"/>
      <c r="DX2971" s="4"/>
      <c r="DY2971" s="4"/>
      <c r="DZ2971" s="4"/>
      <c r="EA2971" s="4"/>
      <c r="EB2971" s="4"/>
      <c r="EC2971" s="4"/>
      <c r="ED2971" s="4"/>
      <c r="EE2971" s="4"/>
      <c r="EF2971" s="4"/>
      <c r="EG2971" s="4"/>
      <c r="EH2971" s="4"/>
      <c r="EI2971" s="4"/>
      <c r="EJ2971" s="4"/>
      <c r="EK2971" s="4"/>
      <c r="EL2971" s="4"/>
      <c r="EM2971" s="4"/>
      <c r="EN2971" s="4"/>
      <c r="EO2971" s="4"/>
      <c r="EP2971" s="4"/>
      <c r="EQ2971" s="4"/>
      <c r="ER2971" s="4"/>
      <c r="ES2971" s="4"/>
      <c r="ET2971" s="4"/>
      <c r="EU2971" s="4"/>
      <c r="EV2971" s="4"/>
      <c r="EW2971" s="4"/>
      <c r="EX2971" s="4"/>
      <c r="EY2971" s="4"/>
      <c r="EZ2971" s="4"/>
      <c r="FA2971" s="4"/>
      <c r="FB2971" s="4"/>
      <c r="FC2971" s="4"/>
      <c r="FD2971" s="4"/>
      <c r="FE2971" s="4"/>
      <c r="FF2971" s="4"/>
      <c r="FG2971" s="4"/>
      <c r="FH2971" s="4"/>
      <c r="FI2971" s="4"/>
      <c r="FJ2971" s="4"/>
      <c r="FK2971" s="4"/>
      <c r="FL2971" s="4"/>
      <c r="FM2971" s="4"/>
      <c r="FN2971" s="4"/>
      <c r="FO2971" s="4"/>
      <c r="FP2971" s="4"/>
      <c r="FQ2971" s="4"/>
      <c r="FR2971" s="4"/>
      <c r="FS2971" s="4"/>
      <c r="FT2971" s="4"/>
      <c r="FU2971" s="4"/>
      <c r="FV2971" s="4"/>
      <c r="FW2971" s="4"/>
      <c r="FX2971" s="4"/>
      <c r="FY2971" s="4"/>
      <c r="FZ2971" s="4"/>
      <c r="GA2971" s="4"/>
      <c r="GB2971" s="4"/>
      <c r="GC2971" s="4"/>
      <c r="GD2971" s="4"/>
      <c r="GE2971" s="4"/>
      <c r="GF2971" s="4"/>
      <c r="GG2971" s="4"/>
      <c r="GH2971" s="4"/>
      <c r="GI2971" s="4"/>
      <c r="GJ2971" s="4"/>
      <c r="GK2971" s="4"/>
      <c r="GL2971" s="4"/>
      <c r="GM2971" s="4"/>
      <c r="GN2971" s="4"/>
      <c r="GO2971" s="4"/>
      <c r="GP2971" s="4"/>
      <c r="GQ2971" s="4"/>
      <c r="GR2971" s="4"/>
      <c r="GS2971" s="4"/>
      <c r="GT2971" s="4"/>
      <c r="GU2971" s="4"/>
      <c r="GV2971" s="4"/>
      <c r="GW2971" s="4"/>
      <c r="GX2971" s="4"/>
      <c r="GY2971" s="4"/>
      <c r="GZ2971" s="4"/>
      <c r="HA2971" s="4"/>
      <c r="HB2971" s="4"/>
      <c r="HC2971" s="4"/>
      <c r="HD2971" s="4"/>
      <c r="HE2971" s="4"/>
      <c r="HF2971" s="4"/>
      <c r="HG2971" s="4"/>
      <c r="HH2971" s="4"/>
      <c r="HI2971" s="4"/>
      <c r="HJ2971" s="4"/>
      <c r="HK2971" s="4"/>
      <c r="HL2971" s="4"/>
    </row>
    <row r="2972">
      <c r="A2972" s="2" t="s">
        <v>12457</v>
      </c>
      <c r="B2972" s="2" t="s">
        <v>1186</v>
      </c>
      <c r="C2972" s="2" t="s">
        <v>10464</v>
      </c>
      <c r="D2972" s="2" t="s">
        <v>654</v>
      </c>
      <c r="E2972" s="2" t="s">
        <v>655</v>
      </c>
      <c r="F2972" s="2" t="s">
        <v>12444</v>
      </c>
      <c r="G2972" s="2" t="s">
        <v>231</v>
      </c>
      <c r="H2972" s="2" t="s">
        <v>231</v>
      </c>
      <c r="I2972" s="2" t="s">
        <v>12445</v>
      </c>
      <c r="J2972" s="2" t="s">
        <v>302</v>
      </c>
      <c r="K2972" s="2" t="s">
        <v>255</v>
      </c>
      <c r="L2972" s="3">
        <v>44.99</v>
      </c>
      <c r="M2972" s="3">
        <v>47.24</v>
      </c>
      <c r="N2972" s="3"/>
      <c r="O2972" s="2" t="s">
        <v>250</v>
      </c>
      <c r="P2972" s="2" t="s">
        <v>236</v>
      </c>
      <c r="Q2972" s="2" t="s">
        <v>237</v>
      </c>
      <c r="R2972" s="2" t="s">
        <v>10468</v>
      </c>
      <c r="S2972" s="2" t="s">
        <v>231</v>
      </c>
      <c r="T2972" s="2" t="s">
        <v>231</v>
      </c>
      <c r="U2972" s="2" t="s">
        <v>231</v>
      </c>
      <c r="V2972" s="2" t="s">
        <v>239</v>
      </c>
      <c r="W2972" s="2" t="s">
        <v>231</v>
      </c>
      <c r="X2972" s="2" t="s">
        <v>231</v>
      </c>
      <c r="Y2972" s="2" t="s">
        <v>11900</v>
      </c>
      <c r="Z2972" s="4"/>
      <c r="AA2972" s="4">
        <f>=ROUNDDOWN({0},0)</f>
      </c>
      <c r="AB2972" s="5"/>
      <c r="AC2972" s="2" t="s">
        <v>231</v>
      </c>
      <c r="AD2972" s="4"/>
      <c r="AE2972" s="4"/>
      <c r="AF2972" s="6"/>
      <c r="AG2972" s="6"/>
      <c r="AH2972" s="7">
        <v>0</v>
      </c>
      <c r="AI2972" s="4"/>
      <c r="AJ2972" s="4">
        <f>=ROUNDDOWN({0},0)</f>
      </c>
      <c r="AK2972" s="5"/>
      <c r="AL2972" s="2" t="s">
        <v>231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231</v>
      </c>
      <c r="AW2972" s="8" t="s">
        <v>231</v>
      </c>
      <c r="AX2972" s="4" t="s">
        <v>231</v>
      </c>
      <c r="AY2972" s="8" t="s">
        <v>231</v>
      </c>
      <c r="AZ2972" s="7" t="s">
        <v>231</v>
      </c>
      <c r="BA2972" s="7" t="s">
        <v>231</v>
      </c>
      <c r="BB2972" s="7"/>
      <c r="BC2972" s="4" t="s">
        <v>231</v>
      </c>
      <c r="BD2972" s="8" t="s">
        <v>231</v>
      </c>
      <c r="BE2972" s="4" t="s">
        <v>231</v>
      </c>
      <c r="BF2972" s="8" t="s">
        <v>231</v>
      </c>
      <c r="BG2972" s="7" t="s">
        <v>231</v>
      </c>
      <c r="BH2972" s="7" t="s">
        <v>231</v>
      </c>
      <c r="BI2972" s="7"/>
      <c r="BJ2972" s="4"/>
      <c r="BK2972" s="8"/>
      <c r="BL2972" s="2" t="s">
        <v>231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241</v>
      </c>
      <c r="BV2972" s="2" t="s">
        <v>231</v>
      </c>
      <c r="BW2972" s="2" t="s">
        <v>231</v>
      </c>
      <c r="BX2972" s="2" t="s">
        <v>231</v>
      </c>
      <c r="BY2972" s="2" t="s">
        <v>242</v>
      </c>
      <c r="BZ2972" s="2" t="s">
        <v>243</v>
      </c>
      <c r="CA2972" s="2" t="s">
        <v>231</v>
      </c>
      <c r="CB2972" s="2" t="s">
        <v>231</v>
      </c>
      <c r="CC2972" s="2" t="s">
        <v>244</v>
      </c>
      <c r="CD2972" s="2" t="s">
        <v>231</v>
      </c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4"/>
      <c r="CX2972" s="4"/>
      <c r="CY2972" s="4"/>
      <c r="CZ2972" s="4"/>
      <c r="DA2972" s="4"/>
      <c r="DB2972" s="4"/>
      <c r="DC2972" s="4"/>
      <c r="DD2972" s="4"/>
      <c r="DE2972" s="4"/>
      <c r="DF2972" s="4"/>
      <c r="DG2972" s="4"/>
      <c r="DH2972" s="4"/>
      <c r="DI2972" s="4"/>
      <c r="DJ2972" s="4"/>
      <c r="DK2972" s="4"/>
      <c r="DL2972" s="4"/>
      <c r="DM2972" s="4"/>
      <c r="DN2972" s="4"/>
      <c r="DO2972" s="4"/>
      <c r="DP2972" s="4"/>
      <c r="DQ2972" s="4"/>
      <c r="DR2972" s="4"/>
      <c r="DS2972" s="4"/>
      <c r="DT2972" s="4"/>
      <c r="DU2972" s="4"/>
      <c r="DV2972" s="4"/>
      <c r="DW2972" s="4"/>
      <c r="DX2972" s="4"/>
      <c r="DY2972" s="4"/>
      <c r="DZ2972" s="4"/>
      <c r="EA2972" s="4"/>
      <c r="EB2972" s="4"/>
      <c r="EC2972" s="4"/>
      <c r="ED2972" s="4"/>
      <c r="EE2972" s="4"/>
      <c r="EF2972" s="4"/>
      <c r="EG2972" s="4"/>
      <c r="EH2972" s="4"/>
      <c r="EI2972" s="4"/>
      <c r="EJ2972" s="4"/>
      <c r="EK2972" s="4"/>
      <c r="EL2972" s="4"/>
      <c r="EM2972" s="4"/>
      <c r="EN2972" s="4"/>
      <c r="EO2972" s="4"/>
      <c r="EP2972" s="4"/>
      <c r="EQ2972" s="4"/>
      <c r="ER2972" s="4"/>
      <c r="ES2972" s="4"/>
      <c r="ET2972" s="4"/>
      <c r="EU2972" s="4"/>
      <c r="EV2972" s="4"/>
      <c r="EW2972" s="4"/>
      <c r="EX2972" s="4"/>
      <c r="EY2972" s="4"/>
      <c r="EZ2972" s="4"/>
      <c r="FA2972" s="4"/>
      <c r="FB2972" s="4"/>
      <c r="FC2972" s="4"/>
      <c r="FD2972" s="4"/>
      <c r="FE2972" s="4"/>
      <c r="FF2972" s="4"/>
      <c r="FG2972" s="4"/>
      <c r="FH2972" s="4"/>
      <c r="FI2972" s="4"/>
      <c r="FJ2972" s="4"/>
      <c r="FK2972" s="4"/>
      <c r="FL2972" s="4"/>
      <c r="FM2972" s="4"/>
      <c r="FN2972" s="4"/>
      <c r="FO2972" s="4"/>
      <c r="FP2972" s="4"/>
      <c r="FQ2972" s="4"/>
      <c r="FR2972" s="4"/>
      <c r="FS2972" s="4"/>
      <c r="FT2972" s="4"/>
      <c r="FU2972" s="4"/>
      <c r="FV2972" s="4"/>
      <c r="FW2972" s="4"/>
      <c r="FX2972" s="4"/>
      <c r="FY2972" s="4"/>
      <c r="FZ2972" s="4"/>
      <c r="GA2972" s="4"/>
      <c r="GB2972" s="4"/>
      <c r="GC2972" s="4"/>
      <c r="GD2972" s="4"/>
      <c r="GE2972" s="4"/>
      <c r="GF2972" s="4"/>
      <c r="GG2972" s="4"/>
      <c r="GH2972" s="4"/>
      <c r="GI2972" s="4"/>
      <c r="GJ2972" s="4"/>
      <c r="GK2972" s="4"/>
      <c r="GL2972" s="4"/>
      <c r="GM2972" s="4"/>
      <c r="GN2972" s="4"/>
      <c r="GO2972" s="4"/>
      <c r="GP2972" s="4"/>
      <c r="GQ2972" s="4"/>
      <c r="GR2972" s="4"/>
      <c r="GS2972" s="4"/>
      <c r="GT2972" s="4"/>
      <c r="GU2972" s="4"/>
      <c r="GV2972" s="4"/>
      <c r="GW2972" s="4"/>
      <c r="GX2972" s="4"/>
      <c r="GY2972" s="4"/>
      <c r="GZ2972" s="4"/>
      <c r="HA2972" s="4"/>
      <c r="HB2972" s="4"/>
      <c r="HC2972" s="4"/>
      <c r="HD2972" s="4"/>
      <c r="HE2972" s="4"/>
      <c r="HF2972" s="4"/>
      <c r="HG2972" s="4"/>
      <c r="HH2972" s="4"/>
      <c r="HI2972" s="4"/>
      <c r="HJ2972" s="4"/>
      <c r="HK2972" s="4"/>
      <c r="HL2972" s="4"/>
    </row>
    <row r="2973">
      <c r="A2973" s="2" t="s">
        <v>12458</v>
      </c>
      <c r="B2973" s="2" t="s">
        <v>1186</v>
      </c>
      <c r="C2973" s="2" t="s">
        <v>10464</v>
      </c>
      <c r="D2973" s="2" t="s">
        <v>654</v>
      </c>
      <c r="E2973" s="2" t="s">
        <v>655</v>
      </c>
      <c r="F2973" s="2" t="s">
        <v>12444</v>
      </c>
      <c r="G2973" s="2" t="s">
        <v>231</v>
      </c>
      <c r="H2973" s="2" t="s">
        <v>231</v>
      </c>
      <c r="I2973" s="2" t="s">
        <v>12445</v>
      </c>
      <c r="J2973" s="2" t="s">
        <v>832</v>
      </c>
      <c r="K2973" s="2" t="s">
        <v>3732</v>
      </c>
      <c r="L2973" s="3">
        <v>29.99</v>
      </c>
      <c r="M2973" s="3">
        <v>31.49</v>
      </c>
      <c r="N2973" s="3"/>
      <c r="O2973" s="2" t="s">
        <v>243</v>
      </c>
      <c r="P2973" s="2" t="s">
        <v>236</v>
      </c>
      <c r="Q2973" s="2" t="s">
        <v>237</v>
      </c>
      <c r="R2973" s="2" t="s">
        <v>10468</v>
      </c>
      <c r="S2973" s="2" t="s">
        <v>231</v>
      </c>
      <c r="T2973" s="2" t="s">
        <v>231</v>
      </c>
      <c r="U2973" s="2" t="s">
        <v>231</v>
      </c>
      <c r="V2973" s="2" t="s">
        <v>239</v>
      </c>
      <c r="W2973" s="2" t="s">
        <v>231</v>
      </c>
      <c r="X2973" s="2" t="s">
        <v>231</v>
      </c>
      <c r="Y2973" s="2" t="s">
        <v>11900</v>
      </c>
      <c r="Z2973" s="4"/>
      <c r="AA2973" s="4">
        <f>=ROUNDDOWN({0},0)</f>
      </c>
      <c r="AB2973" s="5"/>
      <c r="AC2973" s="2" t="s">
        <v>231</v>
      </c>
      <c r="AD2973" s="4"/>
      <c r="AE2973" s="4"/>
      <c r="AF2973" s="6"/>
      <c r="AG2973" s="6"/>
      <c r="AH2973" s="7">
        <v>0</v>
      </c>
      <c r="AI2973" s="4"/>
      <c r="AJ2973" s="4">
        <f>=ROUNDDOWN({0},0)</f>
      </c>
      <c r="AK2973" s="5"/>
      <c r="AL2973" s="2" t="s">
        <v>231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231</v>
      </c>
      <c r="AW2973" s="8" t="s">
        <v>231</v>
      </c>
      <c r="AX2973" s="4" t="s">
        <v>231</v>
      </c>
      <c r="AY2973" s="8" t="s">
        <v>231</v>
      </c>
      <c r="AZ2973" s="7" t="s">
        <v>231</v>
      </c>
      <c r="BA2973" s="7" t="s">
        <v>231</v>
      </c>
      <c r="BB2973" s="7"/>
      <c r="BC2973" s="4" t="s">
        <v>231</v>
      </c>
      <c r="BD2973" s="8" t="s">
        <v>231</v>
      </c>
      <c r="BE2973" s="4" t="s">
        <v>231</v>
      </c>
      <c r="BF2973" s="8" t="s">
        <v>231</v>
      </c>
      <c r="BG2973" s="7" t="s">
        <v>231</v>
      </c>
      <c r="BH2973" s="7" t="s">
        <v>231</v>
      </c>
      <c r="BI2973" s="7"/>
      <c r="BJ2973" s="4"/>
      <c r="BK2973" s="8"/>
      <c r="BL2973" s="2" t="s">
        <v>231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241</v>
      </c>
      <c r="BV2973" s="2" t="s">
        <v>231</v>
      </c>
      <c r="BW2973" s="2" t="s">
        <v>231</v>
      </c>
      <c r="BX2973" s="2" t="s">
        <v>231</v>
      </c>
      <c r="BY2973" s="2" t="s">
        <v>242</v>
      </c>
      <c r="BZ2973" s="2" t="s">
        <v>243</v>
      </c>
      <c r="CA2973" s="2" t="s">
        <v>231</v>
      </c>
      <c r="CB2973" s="2" t="s">
        <v>231</v>
      </c>
      <c r="CC2973" s="2" t="s">
        <v>244</v>
      </c>
      <c r="CD2973" s="2" t="s">
        <v>231</v>
      </c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4"/>
      <c r="CX2973" s="4"/>
      <c r="CY2973" s="4"/>
      <c r="CZ2973" s="4"/>
      <c r="DA2973" s="4"/>
      <c r="DB2973" s="4"/>
      <c r="DC2973" s="4"/>
      <c r="DD2973" s="4"/>
      <c r="DE2973" s="4"/>
      <c r="DF2973" s="4"/>
      <c r="DG2973" s="4"/>
      <c r="DH2973" s="4"/>
      <c r="DI2973" s="4"/>
      <c r="DJ2973" s="4"/>
      <c r="DK2973" s="4"/>
      <c r="DL2973" s="4"/>
      <c r="DM2973" s="4"/>
      <c r="DN2973" s="4"/>
      <c r="DO2973" s="4"/>
      <c r="DP2973" s="4"/>
      <c r="DQ2973" s="4"/>
      <c r="DR2973" s="4"/>
      <c r="DS2973" s="4"/>
      <c r="DT2973" s="4"/>
      <c r="DU2973" s="4"/>
      <c r="DV2973" s="4"/>
      <c r="DW2973" s="4"/>
      <c r="DX2973" s="4"/>
      <c r="DY2973" s="4"/>
      <c r="DZ2973" s="4"/>
      <c r="EA2973" s="4"/>
      <c r="EB2973" s="4"/>
      <c r="EC2973" s="4"/>
      <c r="ED2973" s="4"/>
      <c r="EE2973" s="4"/>
      <c r="EF2973" s="4"/>
      <c r="EG2973" s="4"/>
      <c r="EH2973" s="4"/>
      <c r="EI2973" s="4"/>
      <c r="EJ2973" s="4"/>
      <c r="EK2973" s="4"/>
      <c r="EL2973" s="4"/>
      <c r="EM2973" s="4"/>
      <c r="EN2973" s="4"/>
      <c r="EO2973" s="4"/>
      <c r="EP2973" s="4"/>
      <c r="EQ2973" s="4"/>
      <c r="ER2973" s="4"/>
      <c r="ES2973" s="4"/>
      <c r="ET2973" s="4"/>
      <c r="EU2973" s="4"/>
      <c r="EV2973" s="4"/>
      <c r="EW2973" s="4"/>
      <c r="EX2973" s="4"/>
      <c r="EY2973" s="4"/>
      <c r="EZ2973" s="4"/>
      <c r="FA2973" s="4"/>
      <c r="FB2973" s="4"/>
      <c r="FC2973" s="4"/>
      <c r="FD2973" s="4"/>
      <c r="FE2973" s="4"/>
      <c r="FF2973" s="4"/>
      <c r="FG2973" s="4"/>
      <c r="FH2973" s="4"/>
      <c r="FI2973" s="4"/>
      <c r="FJ2973" s="4"/>
      <c r="FK2973" s="4"/>
      <c r="FL2973" s="4"/>
      <c r="FM2973" s="4"/>
      <c r="FN2973" s="4"/>
      <c r="FO2973" s="4"/>
      <c r="FP2973" s="4"/>
      <c r="FQ2973" s="4"/>
      <c r="FR2973" s="4"/>
      <c r="FS2973" s="4"/>
      <c r="FT2973" s="4"/>
      <c r="FU2973" s="4"/>
      <c r="FV2973" s="4"/>
      <c r="FW2973" s="4"/>
      <c r="FX2973" s="4"/>
      <c r="FY2973" s="4"/>
      <c r="FZ2973" s="4"/>
      <c r="GA2973" s="4"/>
      <c r="GB2973" s="4"/>
      <c r="GC2973" s="4"/>
      <c r="GD2973" s="4"/>
      <c r="GE2973" s="4"/>
      <c r="GF2973" s="4"/>
      <c r="GG2973" s="4"/>
      <c r="GH2973" s="4"/>
      <c r="GI2973" s="4"/>
      <c r="GJ2973" s="4"/>
      <c r="GK2973" s="4"/>
      <c r="GL2973" s="4"/>
      <c r="GM2973" s="4"/>
      <c r="GN2973" s="4"/>
      <c r="GO2973" s="4"/>
      <c r="GP2973" s="4"/>
      <c r="GQ2973" s="4"/>
      <c r="GR2973" s="4"/>
      <c r="GS2973" s="4"/>
      <c r="GT2973" s="4"/>
      <c r="GU2973" s="4"/>
      <c r="GV2973" s="4"/>
      <c r="GW2973" s="4"/>
      <c r="GX2973" s="4"/>
      <c r="GY2973" s="4"/>
      <c r="GZ2973" s="4"/>
      <c r="HA2973" s="4"/>
      <c r="HB2973" s="4"/>
      <c r="HC2973" s="4"/>
      <c r="HD2973" s="4"/>
      <c r="HE2973" s="4"/>
      <c r="HF2973" s="4"/>
      <c r="HG2973" s="4"/>
      <c r="HH2973" s="4"/>
      <c r="HI2973" s="4"/>
      <c r="HJ2973" s="4"/>
      <c r="HK2973" s="4"/>
      <c r="HL2973" s="4"/>
    </row>
    <row r="2974">
      <c r="A2974" s="2" t="s">
        <v>12459</v>
      </c>
      <c r="B2974" s="2" t="s">
        <v>1186</v>
      </c>
      <c r="C2974" s="2" t="s">
        <v>10464</v>
      </c>
      <c r="D2974" s="2" t="s">
        <v>654</v>
      </c>
      <c r="E2974" s="2" t="s">
        <v>655</v>
      </c>
      <c r="F2974" s="2" t="s">
        <v>12444</v>
      </c>
      <c r="G2974" s="2" t="s">
        <v>231</v>
      </c>
      <c r="H2974" s="2" t="s">
        <v>231</v>
      </c>
      <c r="I2974" s="2" t="s">
        <v>12445</v>
      </c>
      <c r="J2974" s="2" t="s">
        <v>658</v>
      </c>
      <c r="K2974" s="2" t="s">
        <v>3732</v>
      </c>
      <c r="L2974" s="3">
        <v>39.99</v>
      </c>
      <c r="M2974" s="3">
        <v>41.99</v>
      </c>
      <c r="N2974" s="3"/>
      <c r="O2974" s="2" t="s">
        <v>243</v>
      </c>
      <c r="P2974" s="2" t="s">
        <v>236</v>
      </c>
      <c r="Q2974" s="2" t="s">
        <v>237</v>
      </c>
      <c r="R2974" s="2" t="s">
        <v>10468</v>
      </c>
      <c r="S2974" s="2" t="s">
        <v>231</v>
      </c>
      <c r="T2974" s="2" t="s">
        <v>231</v>
      </c>
      <c r="U2974" s="2" t="s">
        <v>231</v>
      </c>
      <c r="V2974" s="2" t="s">
        <v>239</v>
      </c>
      <c r="W2974" s="2" t="s">
        <v>231</v>
      </c>
      <c r="X2974" s="2" t="s">
        <v>231</v>
      </c>
      <c r="Y2974" s="2" t="s">
        <v>11900</v>
      </c>
      <c r="Z2974" s="4"/>
      <c r="AA2974" s="4">
        <f>=ROUNDDOWN({0},0)</f>
      </c>
      <c r="AB2974" s="5"/>
      <c r="AC2974" s="2" t="s">
        <v>231</v>
      </c>
      <c r="AD2974" s="4"/>
      <c r="AE2974" s="4"/>
      <c r="AF2974" s="6"/>
      <c r="AG2974" s="6"/>
      <c r="AH2974" s="7">
        <v>0</v>
      </c>
      <c r="AI2974" s="4"/>
      <c r="AJ2974" s="4">
        <f>=ROUNDDOWN({0},0)</f>
      </c>
      <c r="AK2974" s="5"/>
      <c r="AL2974" s="2" t="s">
        <v>231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231</v>
      </c>
      <c r="AW2974" s="8" t="s">
        <v>231</v>
      </c>
      <c r="AX2974" s="4" t="s">
        <v>231</v>
      </c>
      <c r="AY2974" s="8" t="s">
        <v>231</v>
      </c>
      <c r="AZ2974" s="7" t="s">
        <v>231</v>
      </c>
      <c r="BA2974" s="7" t="s">
        <v>231</v>
      </c>
      <c r="BB2974" s="7"/>
      <c r="BC2974" s="4" t="s">
        <v>231</v>
      </c>
      <c r="BD2974" s="8" t="s">
        <v>231</v>
      </c>
      <c r="BE2974" s="4" t="s">
        <v>231</v>
      </c>
      <c r="BF2974" s="8" t="s">
        <v>231</v>
      </c>
      <c r="BG2974" s="7" t="s">
        <v>231</v>
      </c>
      <c r="BH2974" s="7" t="s">
        <v>231</v>
      </c>
      <c r="BI2974" s="7"/>
      <c r="BJ2974" s="4"/>
      <c r="BK2974" s="8"/>
      <c r="BL2974" s="2" t="s">
        <v>231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241</v>
      </c>
      <c r="BV2974" s="2" t="s">
        <v>231</v>
      </c>
      <c r="BW2974" s="2" t="s">
        <v>231</v>
      </c>
      <c r="BX2974" s="2" t="s">
        <v>231</v>
      </c>
      <c r="BY2974" s="2" t="s">
        <v>242</v>
      </c>
      <c r="BZ2974" s="2" t="s">
        <v>243</v>
      </c>
      <c r="CA2974" s="2" t="s">
        <v>231</v>
      </c>
      <c r="CB2974" s="2" t="s">
        <v>231</v>
      </c>
      <c r="CC2974" s="2" t="s">
        <v>244</v>
      </c>
      <c r="CD2974" s="2" t="s">
        <v>231</v>
      </c>
      <c r="CE2974" s="4"/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4"/>
      <c r="CX2974" s="4"/>
      <c r="CY2974" s="4"/>
      <c r="CZ2974" s="4"/>
      <c r="DA2974" s="4"/>
      <c r="DB2974" s="4"/>
      <c r="DC2974" s="4"/>
      <c r="DD2974" s="4"/>
      <c r="DE2974" s="4"/>
      <c r="DF2974" s="4"/>
      <c r="DG2974" s="4"/>
      <c r="DH2974" s="4"/>
      <c r="DI2974" s="4"/>
      <c r="DJ2974" s="4"/>
      <c r="DK2974" s="4"/>
      <c r="DL2974" s="4"/>
      <c r="DM2974" s="4"/>
      <c r="DN2974" s="4"/>
      <c r="DO2974" s="4"/>
      <c r="DP2974" s="4"/>
      <c r="DQ2974" s="4"/>
      <c r="DR2974" s="4"/>
      <c r="DS2974" s="4"/>
      <c r="DT2974" s="4"/>
      <c r="DU2974" s="4"/>
      <c r="DV2974" s="4"/>
      <c r="DW2974" s="4"/>
      <c r="DX2974" s="4"/>
      <c r="DY2974" s="4"/>
      <c r="DZ2974" s="4"/>
      <c r="EA2974" s="4"/>
      <c r="EB2974" s="4"/>
      <c r="EC2974" s="4"/>
      <c r="ED2974" s="4"/>
      <c r="EE2974" s="4"/>
      <c r="EF2974" s="4"/>
      <c r="EG2974" s="4"/>
      <c r="EH2974" s="4"/>
      <c r="EI2974" s="4"/>
      <c r="EJ2974" s="4"/>
      <c r="EK2974" s="4"/>
      <c r="EL2974" s="4"/>
      <c r="EM2974" s="4"/>
      <c r="EN2974" s="4"/>
      <c r="EO2974" s="4"/>
      <c r="EP2974" s="4"/>
      <c r="EQ2974" s="4"/>
      <c r="ER2974" s="4"/>
      <c r="ES2974" s="4"/>
      <c r="ET2974" s="4"/>
      <c r="EU2974" s="4"/>
      <c r="EV2974" s="4"/>
      <c r="EW2974" s="4"/>
      <c r="EX2974" s="4"/>
      <c r="EY2974" s="4"/>
      <c r="EZ2974" s="4"/>
      <c r="FA2974" s="4"/>
      <c r="FB2974" s="4"/>
      <c r="FC2974" s="4"/>
      <c r="FD2974" s="4"/>
      <c r="FE2974" s="4"/>
      <c r="FF2974" s="4"/>
      <c r="FG2974" s="4"/>
      <c r="FH2974" s="4"/>
      <c r="FI2974" s="4"/>
      <c r="FJ2974" s="4"/>
      <c r="FK2974" s="4"/>
      <c r="FL2974" s="4"/>
      <c r="FM2974" s="4"/>
      <c r="FN2974" s="4"/>
      <c r="FO2974" s="4"/>
      <c r="FP2974" s="4"/>
      <c r="FQ2974" s="4"/>
      <c r="FR2974" s="4"/>
      <c r="FS2974" s="4"/>
      <c r="FT2974" s="4"/>
      <c r="FU2974" s="4"/>
      <c r="FV2974" s="4"/>
      <c r="FW2974" s="4"/>
      <c r="FX2974" s="4"/>
      <c r="FY2974" s="4"/>
      <c r="FZ2974" s="4"/>
      <c r="GA2974" s="4"/>
      <c r="GB2974" s="4"/>
      <c r="GC2974" s="4"/>
      <c r="GD2974" s="4"/>
      <c r="GE2974" s="4"/>
      <c r="GF2974" s="4"/>
      <c r="GG2974" s="4"/>
      <c r="GH2974" s="4"/>
      <c r="GI2974" s="4"/>
      <c r="GJ2974" s="4"/>
      <c r="GK2974" s="4"/>
      <c r="GL2974" s="4"/>
      <c r="GM2974" s="4"/>
      <c r="GN2974" s="4"/>
      <c r="GO2974" s="4"/>
      <c r="GP2974" s="4"/>
      <c r="GQ2974" s="4"/>
      <c r="GR2974" s="4"/>
      <c r="GS2974" s="4"/>
      <c r="GT2974" s="4"/>
      <c r="GU2974" s="4"/>
      <c r="GV2974" s="4"/>
      <c r="GW2974" s="4"/>
      <c r="GX2974" s="4"/>
      <c r="GY2974" s="4"/>
      <c r="GZ2974" s="4"/>
      <c r="HA2974" s="4"/>
      <c r="HB2974" s="4"/>
      <c r="HC2974" s="4"/>
      <c r="HD2974" s="4"/>
      <c r="HE2974" s="4"/>
      <c r="HF2974" s="4"/>
      <c r="HG2974" s="4"/>
      <c r="HH2974" s="4"/>
      <c r="HI2974" s="4"/>
      <c r="HJ2974" s="4"/>
      <c r="HK2974" s="4"/>
      <c r="HL2974" s="4"/>
    </row>
    <row r="2975">
      <c r="A2975" s="2" t="s">
        <v>12460</v>
      </c>
      <c r="B2975" s="2" t="s">
        <v>1186</v>
      </c>
      <c r="C2975" s="2" t="s">
        <v>10464</v>
      </c>
      <c r="D2975" s="2" t="s">
        <v>654</v>
      </c>
      <c r="E2975" s="2" t="s">
        <v>655</v>
      </c>
      <c r="F2975" s="2" t="s">
        <v>12444</v>
      </c>
      <c r="G2975" s="2" t="s">
        <v>231</v>
      </c>
      <c r="H2975" s="2" t="s">
        <v>231</v>
      </c>
      <c r="I2975" s="2" t="s">
        <v>12445</v>
      </c>
      <c r="J2975" s="2" t="s">
        <v>302</v>
      </c>
      <c r="K2975" s="2" t="s">
        <v>3732</v>
      </c>
      <c r="L2975" s="3">
        <v>44.99</v>
      </c>
      <c r="M2975" s="3">
        <v>47.24</v>
      </c>
      <c r="N2975" s="3"/>
      <c r="O2975" s="2" t="s">
        <v>243</v>
      </c>
      <c r="P2975" s="2" t="s">
        <v>236</v>
      </c>
      <c r="Q2975" s="2" t="s">
        <v>237</v>
      </c>
      <c r="R2975" s="2" t="s">
        <v>10468</v>
      </c>
      <c r="S2975" s="2" t="s">
        <v>231</v>
      </c>
      <c r="T2975" s="2" t="s">
        <v>231</v>
      </c>
      <c r="U2975" s="2" t="s">
        <v>231</v>
      </c>
      <c r="V2975" s="2" t="s">
        <v>239</v>
      </c>
      <c r="W2975" s="2" t="s">
        <v>231</v>
      </c>
      <c r="X2975" s="2" t="s">
        <v>231</v>
      </c>
      <c r="Y2975" s="2" t="s">
        <v>11900</v>
      </c>
      <c r="Z2975" s="4"/>
      <c r="AA2975" s="4">
        <f>=ROUNDDOWN({0},0)</f>
      </c>
      <c r="AB2975" s="5"/>
      <c r="AC2975" s="2" t="s">
        <v>231</v>
      </c>
      <c r="AD2975" s="4"/>
      <c r="AE2975" s="4"/>
      <c r="AF2975" s="6"/>
      <c r="AG2975" s="6"/>
      <c r="AH2975" s="7">
        <v>0</v>
      </c>
      <c r="AI2975" s="4"/>
      <c r="AJ2975" s="4">
        <f>=ROUNDDOWN({0},0)</f>
      </c>
      <c r="AK2975" s="5"/>
      <c r="AL2975" s="2" t="s">
        <v>231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231</v>
      </c>
      <c r="AW2975" s="8" t="s">
        <v>231</v>
      </c>
      <c r="AX2975" s="4" t="s">
        <v>231</v>
      </c>
      <c r="AY2975" s="8" t="s">
        <v>231</v>
      </c>
      <c r="AZ2975" s="7" t="s">
        <v>231</v>
      </c>
      <c r="BA2975" s="7" t="s">
        <v>231</v>
      </c>
      <c r="BB2975" s="7"/>
      <c r="BC2975" s="4" t="s">
        <v>231</v>
      </c>
      <c r="BD2975" s="8" t="s">
        <v>231</v>
      </c>
      <c r="BE2975" s="4" t="s">
        <v>231</v>
      </c>
      <c r="BF2975" s="8" t="s">
        <v>231</v>
      </c>
      <c r="BG2975" s="7" t="s">
        <v>231</v>
      </c>
      <c r="BH2975" s="7" t="s">
        <v>231</v>
      </c>
      <c r="BI2975" s="7"/>
      <c r="BJ2975" s="4"/>
      <c r="BK2975" s="8"/>
      <c r="BL2975" s="2" t="s">
        <v>231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241</v>
      </c>
      <c r="BV2975" s="2" t="s">
        <v>231</v>
      </c>
      <c r="BW2975" s="2" t="s">
        <v>231</v>
      </c>
      <c r="BX2975" s="2" t="s">
        <v>231</v>
      </c>
      <c r="BY2975" s="2" t="s">
        <v>242</v>
      </c>
      <c r="BZ2975" s="2" t="s">
        <v>243</v>
      </c>
      <c r="CA2975" s="2" t="s">
        <v>231</v>
      </c>
      <c r="CB2975" s="2" t="s">
        <v>231</v>
      </c>
      <c r="CC2975" s="2" t="s">
        <v>244</v>
      </c>
      <c r="CD2975" s="2" t="s">
        <v>231</v>
      </c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4"/>
      <c r="CX2975" s="4"/>
      <c r="CY2975" s="4"/>
      <c r="CZ2975" s="4"/>
      <c r="DA2975" s="4"/>
      <c r="DB2975" s="4"/>
      <c r="DC2975" s="4"/>
      <c r="DD2975" s="4"/>
      <c r="DE2975" s="4"/>
      <c r="DF2975" s="4"/>
      <c r="DG2975" s="4"/>
      <c r="DH2975" s="4"/>
      <c r="DI2975" s="4"/>
      <c r="DJ2975" s="4"/>
      <c r="DK2975" s="4"/>
      <c r="DL2975" s="4"/>
      <c r="DM2975" s="4"/>
      <c r="DN2975" s="4"/>
      <c r="DO2975" s="4"/>
      <c r="DP2975" s="4"/>
      <c r="DQ2975" s="4"/>
      <c r="DR2975" s="4"/>
      <c r="DS2975" s="4"/>
      <c r="DT2975" s="4"/>
      <c r="DU2975" s="4"/>
      <c r="DV2975" s="4"/>
      <c r="DW2975" s="4"/>
      <c r="DX2975" s="4"/>
      <c r="DY2975" s="4"/>
      <c r="DZ2975" s="4"/>
      <c r="EA2975" s="4"/>
      <c r="EB2975" s="4"/>
      <c r="EC2975" s="4"/>
      <c r="ED2975" s="4"/>
      <c r="EE2975" s="4"/>
      <c r="EF2975" s="4"/>
      <c r="EG2975" s="4"/>
      <c r="EH2975" s="4"/>
      <c r="EI2975" s="4"/>
      <c r="EJ2975" s="4"/>
      <c r="EK2975" s="4"/>
      <c r="EL2975" s="4"/>
      <c r="EM2975" s="4"/>
      <c r="EN2975" s="4"/>
      <c r="EO2975" s="4"/>
      <c r="EP2975" s="4"/>
      <c r="EQ2975" s="4"/>
      <c r="ER2975" s="4"/>
      <c r="ES2975" s="4"/>
      <c r="ET2975" s="4"/>
      <c r="EU2975" s="4"/>
      <c r="EV2975" s="4"/>
      <c r="EW2975" s="4"/>
      <c r="EX2975" s="4"/>
      <c r="EY2975" s="4"/>
      <c r="EZ2975" s="4"/>
      <c r="FA2975" s="4"/>
      <c r="FB2975" s="4"/>
      <c r="FC2975" s="4"/>
      <c r="FD2975" s="4"/>
      <c r="FE2975" s="4"/>
      <c r="FF2975" s="4"/>
      <c r="FG2975" s="4"/>
      <c r="FH2975" s="4"/>
      <c r="FI2975" s="4"/>
      <c r="FJ2975" s="4"/>
      <c r="FK2975" s="4"/>
      <c r="FL2975" s="4"/>
      <c r="FM2975" s="4"/>
      <c r="FN2975" s="4"/>
      <c r="FO2975" s="4"/>
      <c r="FP2975" s="4"/>
      <c r="FQ2975" s="4"/>
      <c r="FR2975" s="4"/>
      <c r="FS2975" s="4"/>
      <c r="FT2975" s="4"/>
      <c r="FU2975" s="4"/>
      <c r="FV2975" s="4"/>
      <c r="FW2975" s="4"/>
      <c r="FX2975" s="4"/>
      <c r="FY2975" s="4"/>
      <c r="FZ2975" s="4"/>
      <c r="GA2975" s="4"/>
      <c r="GB2975" s="4"/>
      <c r="GC2975" s="4"/>
      <c r="GD2975" s="4"/>
      <c r="GE2975" s="4"/>
      <c r="GF2975" s="4"/>
      <c r="GG2975" s="4"/>
      <c r="GH2975" s="4"/>
      <c r="GI2975" s="4"/>
      <c r="GJ2975" s="4"/>
      <c r="GK2975" s="4"/>
      <c r="GL2975" s="4"/>
      <c r="GM2975" s="4"/>
      <c r="GN2975" s="4"/>
      <c r="GO2975" s="4"/>
      <c r="GP2975" s="4"/>
      <c r="GQ2975" s="4"/>
      <c r="GR2975" s="4"/>
      <c r="GS2975" s="4"/>
      <c r="GT2975" s="4"/>
      <c r="GU2975" s="4"/>
      <c r="GV2975" s="4"/>
      <c r="GW2975" s="4"/>
      <c r="GX2975" s="4"/>
      <c r="GY2975" s="4"/>
      <c r="GZ2975" s="4"/>
      <c r="HA2975" s="4"/>
      <c r="HB2975" s="4"/>
      <c r="HC2975" s="4"/>
      <c r="HD2975" s="4"/>
      <c r="HE2975" s="4"/>
      <c r="HF2975" s="4"/>
      <c r="HG2975" s="4"/>
      <c r="HH2975" s="4"/>
      <c r="HI2975" s="4"/>
      <c r="HJ2975" s="4"/>
      <c r="HK2975" s="4"/>
      <c r="HL2975" s="4"/>
    </row>
    <row r="2976">
      <c r="A2976" s="2" t="s">
        <v>12461</v>
      </c>
      <c r="B2976" s="2" t="s">
        <v>262</v>
      </c>
      <c r="C2976" s="2" t="s">
        <v>288</v>
      </c>
      <c r="D2976" s="2" t="s">
        <v>654</v>
      </c>
      <c r="E2976" s="2" t="s">
        <v>1212</v>
      </c>
      <c r="F2976" s="2" t="s">
        <v>12444</v>
      </c>
      <c r="G2976" s="2" t="s">
        <v>12462</v>
      </c>
      <c r="H2976" s="2" t="s">
        <v>12462</v>
      </c>
      <c r="I2976" s="2" t="s">
        <v>12463</v>
      </c>
      <c r="J2976" s="2" t="s">
        <v>832</v>
      </c>
      <c r="K2976" s="2" t="s">
        <v>1146</v>
      </c>
      <c r="L2976" s="3">
        <v>26.5</v>
      </c>
      <c r="M2976" s="3">
        <v>27.82</v>
      </c>
      <c r="N2976" s="3">
        <v>52.99</v>
      </c>
      <c r="O2976" s="2" t="s">
        <v>243</v>
      </c>
      <c r="P2976" s="2" t="s">
        <v>236</v>
      </c>
      <c r="Q2976" s="2" t="s">
        <v>237</v>
      </c>
      <c r="R2976" s="2" t="s">
        <v>231</v>
      </c>
      <c r="S2976" s="2" t="s">
        <v>12464</v>
      </c>
      <c r="T2976" s="2" t="s">
        <v>362</v>
      </c>
      <c r="U2976" s="2" t="s">
        <v>327</v>
      </c>
      <c r="V2976" s="2" t="s">
        <v>239</v>
      </c>
      <c r="W2976" s="2" t="s">
        <v>273</v>
      </c>
      <c r="X2976" s="2" t="s">
        <v>299</v>
      </c>
      <c r="Y2976" s="2" t="s">
        <v>5477</v>
      </c>
      <c r="Z2976" s="4">
        <v>385</v>
      </c>
      <c r="AA2976" s="4">
        <f>=ROUNDDOWN(64.1666666666667,0)</f>
      </c>
      <c r="AB2976" s="5">
        <v>6</v>
      </c>
      <c r="AC2976" s="2" t="s">
        <v>231</v>
      </c>
      <c r="AD2976" s="4"/>
      <c r="AE2976" s="4"/>
      <c r="AF2976" s="6">
        <v>68</v>
      </c>
      <c r="AG2976" s="6"/>
      <c r="AH2976" s="7">
        <v>1</v>
      </c>
      <c r="AI2976" s="4"/>
      <c r="AJ2976" s="4">
        <f>=ROUNDDOWN({0},0)</f>
      </c>
      <c r="AK2976" s="5"/>
      <c r="AL2976" s="2" t="s">
        <v>231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231</v>
      </c>
      <c r="AW2976" s="8" t="s">
        <v>231</v>
      </c>
      <c r="AX2976" s="4" t="s">
        <v>231</v>
      </c>
      <c r="AY2976" s="8" t="s">
        <v>231</v>
      </c>
      <c r="AZ2976" s="7" t="s">
        <v>231</v>
      </c>
      <c r="BA2976" s="7" t="s">
        <v>231</v>
      </c>
      <c r="BB2976" s="7"/>
      <c r="BC2976" s="4" t="s">
        <v>231</v>
      </c>
      <c r="BD2976" s="8" t="s">
        <v>231</v>
      </c>
      <c r="BE2976" s="4" t="s">
        <v>231</v>
      </c>
      <c r="BF2976" s="8" t="s">
        <v>231</v>
      </c>
      <c r="BG2976" s="7" t="s">
        <v>231</v>
      </c>
      <c r="BH2976" s="7" t="s">
        <v>231</v>
      </c>
      <c r="BI2976" s="7"/>
      <c r="BJ2976" s="4">
        <v>4</v>
      </c>
      <c r="BK2976" s="8">
        <v>106.94</v>
      </c>
      <c r="BL2976" s="2" t="s">
        <v>1976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12465</v>
      </c>
      <c r="BV2976" s="2" t="s">
        <v>231</v>
      </c>
      <c r="BW2976" s="2" t="s">
        <v>231</v>
      </c>
      <c r="BX2976" s="2" t="s">
        <v>241</v>
      </c>
      <c r="BY2976" s="2" t="s">
        <v>277</v>
      </c>
      <c r="BZ2976" s="2" t="s">
        <v>243</v>
      </c>
      <c r="CA2976" s="2" t="s">
        <v>2771</v>
      </c>
      <c r="CB2976" s="2" t="s">
        <v>3780</v>
      </c>
      <c r="CC2976" s="2" t="s">
        <v>244</v>
      </c>
      <c r="CD2976" s="2" t="s">
        <v>231</v>
      </c>
      <c r="CE2976" s="4">
        <v>385</v>
      </c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4"/>
      <c r="CX2976" s="4"/>
      <c r="CY2976" s="4"/>
      <c r="CZ2976" s="4"/>
      <c r="DA2976" s="4"/>
      <c r="DB2976" s="4"/>
      <c r="DC2976" s="4"/>
      <c r="DD2976" s="4"/>
      <c r="DE2976" s="4"/>
      <c r="DF2976" s="4"/>
      <c r="DG2976" s="4"/>
      <c r="DH2976" s="4"/>
      <c r="DI2976" s="4"/>
      <c r="DJ2976" s="4"/>
      <c r="DK2976" s="4"/>
      <c r="DL2976" s="4"/>
      <c r="DM2976" s="4"/>
      <c r="DN2976" s="4"/>
      <c r="DO2976" s="4"/>
      <c r="DP2976" s="4"/>
      <c r="DQ2976" s="4"/>
      <c r="DR2976" s="4"/>
      <c r="DS2976" s="4"/>
      <c r="DT2976" s="4"/>
      <c r="DU2976" s="4"/>
      <c r="DV2976" s="4"/>
      <c r="DW2976" s="4"/>
      <c r="DX2976" s="4"/>
      <c r="DY2976" s="4"/>
      <c r="DZ2976" s="4"/>
      <c r="EA2976" s="4"/>
      <c r="EB2976" s="4"/>
      <c r="EC2976" s="4"/>
      <c r="ED2976" s="4"/>
      <c r="EE2976" s="4"/>
      <c r="EF2976" s="4"/>
      <c r="EG2976" s="4"/>
      <c r="EH2976" s="4"/>
      <c r="EI2976" s="4"/>
      <c r="EJ2976" s="4"/>
      <c r="EK2976" s="4"/>
      <c r="EL2976" s="4"/>
      <c r="EM2976" s="4"/>
      <c r="EN2976" s="4"/>
      <c r="EO2976" s="4"/>
      <c r="EP2976" s="4"/>
      <c r="EQ2976" s="4"/>
      <c r="ER2976" s="4"/>
      <c r="ES2976" s="4"/>
      <c r="ET2976" s="4"/>
      <c r="EU2976" s="4"/>
      <c r="EV2976" s="4"/>
      <c r="EW2976" s="4"/>
      <c r="EX2976" s="4"/>
      <c r="EY2976" s="4"/>
      <c r="EZ2976" s="4"/>
      <c r="FA2976" s="4"/>
      <c r="FB2976" s="4"/>
      <c r="FC2976" s="4"/>
      <c r="FD2976" s="4"/>
      <c r="FE2976" s="4"/>
      <c r="FF2976" s="4"/>
      <c r="FG2976" s="4"/>
      <c r="FH2976" s="4"/>
      <c r="FI2976" s="4"/>
      <c r="FJ2976" s="4"/>
      <c r="FK2976" s="4"/>
      <c r="FL2976" s="4"/>
      <c r="FM2976" s="4"/>
      <c r="FN2976" s="4"/>
      <c r="FO2976" s="4"/>
      <c r="FP2976" s="4"/>
      <c r="FQ2976" s="4"/>
      <c r="FR2976" s="4"/>
      <c r="FS2976" s="4"/>
      <c r="FT2976" s="4"/>
      <c r="FU2976" s="4"/>
      <c r="FV2976" s="4"/>
      <c r="FW2976" s="4"/>
      <c r="FX2976" s="4"/>
      <c r="FY2976" s="4"/>
      <c r="FZ2976" s="4"/>
      <c r="GA2976" s="4"/>
      <c r="GB2976" s="4"/>
      <c r="GC2976" s="4"/>
      <c r="GD2976" s="4"/>
      <c r="GE2976" s="4"/>
      <c r="GF2976" s="4"/>
      <c r="GG2976" s="4"/>
      <c r="GH2976" s="4"/>
      <c r="GI2976" s="4"/>
      <c r="GJ2976" s="4"/>
      <c r="GK2976" s="4"/>
      <c r="GL2976" s="4"/>
      <c r="GM2976" s="4"/>
      <c r="GN2976" s="4"/>
      <c r="GO2976" s="4"/>
      <c r="GP2976" s="4"/>
      <c r="GQ2976" s="4"/>
      <c r="GR2976" s="4"/>
      <c r="GS2976" s="4"/>
      <c r="GT2976" s="4"/>
      <c r="GU2976" s="4"/>
      <c r="GV2976" s="4"/>
      <c r="GW2976" s="4"/>
      <c r="GX2976" s="4"/>
      <c r="GY2976" s="4"/>
      <c r="GZ2976" s="4"/>
      <c r="HA2976" s="4"/>
      <c r="HB2976" s="4"/>
      <c r="HC2976" s="4"/>
      <c r="HD2976" s="4"/>
      <c r="HE2976" s="4"/>
      <c r="HF2976" s="4"/>
      <c r="HG2976" s="4"/>
      <c r="HH2976" s="4"/>
      <c r="HI2976" s="4"/>
      <c r="HJ2976" s="4"/>
      <c r="HK2976" s="4"/>
      <c r="HL2976" s="4"/>
    </row>
    <row r="2977">
      <c r="A2977" s="2" t="s">
        <v>12466</v>
      </c>
      <c r="B2977" s="2" t="s">
        <v>262</v>
      </c>
      <c r="C2977" s="2" t="s">
        <v>288</v>
      </c>
      <c r="D2977" s="2" t="s">
        <v>654</v>
      </c>
      <c r="E2977" s="2" t="s">
        <v>1212</v>
      </c>
      <c r="F2977" s="2" t="s">
        <v>12444</v>
      </c>
      <c r="G2977" s="2" t="s">
        <v>12462</v>
      </c>
      <c r="H2977" s="2" t="s">
        <v>12462</v>
      </c>
      <c r="I2977" s="2" t="s">
        <v>12463</v>
      </c>
      <c r="J2977" s="2" t="s">
        <v>658</v>
      </c>
      <c r="K2977" s="2" t="s">
        <v>1146</v>
      </c>
      <c r="L2977" s="3">
        <v>37.5</v>
      </c>
      <c r="M2977" s="3">
        <v>39.38</v>
      </c>
      <c r="N2977" s="3">
        <v>74.99</v>
      </c>
      <c r="O2977" s="2" t="s">
        <v>243</v>
      </c>
      <c r="P2977" s="2" t="s">
        <v>236</v>
      </c>
      <c r="Q2977" s="2" t="s">
        <v>237</v>
      </c>
      <c r="R2977" s="2" t="s">
        <v>231</v>
      </c>
      <c r="S2977" s="2" t="s">
        <v>12464</v>
      </c>
      <c r="T2977" s="2" t="s">
        <v>362</v>
      </c>
      <c r="U2977" s="2" t="s">
        <v>327</v>
      </c>
      <c r="V2977" s="2" t="s">
        <v>239</v>
      </c>
      <c r="W2977" s="2" t="s">
        <v>273</v>
      </c>
      <c r="X2977" s="2" t="s">
        <v>299</v>
      </c>
      <c r="Y2977" s="2" t="s">
        <v>11023</v>
      </c>
      <c r="Z2977" s="4">
        <v>553</v>
      </c>
      <c r="AA2977" s="4">
        <f>=ROUNDDOWN(55.3,0)</f>
      </c>
      <c r="AB2977" s="5">
        <v>10</v>
      </c>
      <c r="AC2977" s="2" t="s">
        <v>231</v>
      </c>
      <c r="AD2977" s="4"/>
      <c r="AE2977" s="4"/>
      <c r="AF2977" s="6">
        <v>68</v>
      </c>
      <c r="AG2977" s="6"/>
      <c r="AH2977" s="7">
        <v>1</v>
      </c>
      <c r="AI2977" s="4"/>
      <c r="AJ2977" s="4">
        <f>=ROUNDDOWN({0},0)</f>
      </c>
      <c r="AK2977" s="5"/>
      <c r="AL2977" s="2" t="s">
        <v>231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231</v>
      </c>
      <c r="AW2977" s="8" t="s">
        <v>231</v>
      </c>
      <c r="AX2977" s="4" t="s">
        <v>231</v>
      </c>
      <c r="AY2977" s="8" t="s">
        <v>231</v>
      </c>
      <c r="AZ2977" s="7" t="s">
        <v>231</v>
      </c>
      <c r="BA2977" s="7" t="s">
        <v>231</v>
      </c>
      <c r="BB2977" s="7"/>
      <c r="BC2977" s="4" t="s">
        <v>231</v>
      </c>
      <c r="BD2977" s="8" t="s">
        <v>231</v>
      </c>
      <c r="BE2977" s="4" t="s">
        <v>231</v>
      </c>
      <c r="BF2977" s="8" t="s">
        <v>231</v>
      </c>
      <c r="BG2977" s="7" t="s">
        <v>231</v>
      </c>
      <c r="BH2977" s="7" t="s">
        <v>231</v>
      </c>
      <c r="BI2977" s="7"/>
      <c r="BJ2977" s="4">
        <v>3</v>
      </c>
      <c r="BK2977" s="8">
        <v>123.58</v>
      </c>
      <c r="BL2977" s="2" t="s">
        <v>600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12467</v>
      </c>
      <c r="BV2977" s="2" t="s">
        <v>231</v>
      </c>
      <c r="BW2977" s="2" t="s">
        <v>231</v>
      </c>
      <c r="BX2977" s="2" t="s">
        <v>241</v>
      </c>
      <c r="BY2977" s="2" t="s">
        <v>277</v>
      </c>
      <c r="BZ2977" s="2" t="s">
        <v>243</v>
      </c>
      <c r="CA2977" s="2" t="s">
        <v>2771</v>
      </c>
      <c r="CB2977" s="2" t="s">
        <v>1720</v>
      </c>
      <c r="CC2977" s="2" t="s">
        <v>244</v>
      </c>
      <c r="CD2977" s="2" t="s">
        <v>231</v>
      </c>
      <c r="CE2977" s="4">
        <v>553</v>
      </c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4"/>
      <c r="CX2977" s="4"/>
      <c r="CY2977" s="4"/>
      <c r="CZ2977" s="4"/>
      <c r="DA2977" s="4"/>
      <c r="DB2977" s="4"/>
      <c r="DC2977" s="4"/>
      <c r="DD2977" s="4"/>
      <c r="DE2977" s="4"/>
      <c r="DF2977" s="4"/>
      <c r="DG2977" s="4"/>
      <c r="DH2977" s="4"/>
      <c r="DI2977" s="4"/>
      <c r="DJ2977" s="4"/>
      <c r="DK2977" s="4"/>
      <c r="DL2977" s="4"/>
      <c r="DM2977" s="4"/>
      <c r="DN2977" s="4"/>
      <c r="DO2977" s="4"/>
      <c r="DP2977" s="4"/>
      <c r="DQ2977" s="4"/>
      <c r="DR2977" s="4"/>
      <c r="DS2977" s="4"/>
      <c r="DT2977" s="4"/>
      <c r="DU2977" s="4"/>
      <c r="DV2977" s="4"/>
      <c r="DW2977" s="4"/>
      <c r="DX2977" s="4"/>
      <c r="DY2977" s="4"/>
      <c r="DZ2977" s="4"/>
      <c r="EA2977" s="4"/>
      <c r="EB2977" s="4"/>
      <c r="EC2977" s="4"/>
      <c r="ED2977" s="4"/>
      <c r="EE2977" s="4"/>
      <c r="EF2977" s="4"/>
      <c r="EG2977" s="4"/>
      <c r="EH2977" s="4"/>
      <c r="EI2977" s="4"/>
      <c r="EJ2977" s="4"/>
      <c r="EK2977" s="4"/>
      <c r="EL2977" s="4"/>
      <c r="EM2977" s="4"/>
      <c r="EN2977" s="4"/>
      <c r="EO2977" s="4"/>
      <c r="EP2977" s="4"/>
      <c r="EQ2977" s="4"/>
      <c r="ER2977" s="4"/>
      <c r="ES2977" s="4"/>
      <c r="ET2977" s="4"/>
      <c r="EU2977" s="4"/>
      <c r="EV2977" s="4"/>
      <c r="EW2977" s="4"/>
      <c r="EX2977" s="4"/>
      <c r="EY2977" s="4"/>
      <c r="EZ2977" s="4"/>
      <c r="FA2977" s="4"/>
      <c r="FB2977" s="4"/>
      <c r="FC2977" s="4"/>
      <c r="FD2977" s="4"/>
      <c r="FE2977" s="4"/>
      <c r="FF2977" s="4"/>
      <c r="FG2977" s="4"/>
      <c r="FH2977" s="4"/>
      <c r="FI2977" s="4"/>
      <c r="FJ2977" s="4"/>
      <c r="FK2977" s="4"/>
      <c r="FL2977" s="4"/>
      <c r="FM2977" s="4"/>
      <c r="FN2977" s="4"/>
      <c r="FO2977" s="4"/>
      <c r="FP2977" s="4"/>
      <c r="FQ2977" s="4"/>
      <c r="FR2977" s="4"/>
      <c r="FS2977" s="4"/>
      <c r="FT2977" s="4"/>
      <c r="FU2977" s="4"/>
      <c r="FV2977" s="4"/>
      <c r="FW2977" s="4"/>
      <c r="FX2977" s="4"/>
      <c r="FY2977" s="4"/>
      <c r="FZ2977" s="4"/>
      <c r="GA2977" s="4"/>
      <c r="GB2977" s="4"/>
      <c r="GC2977" s="4"/>
      <c r="GD2977" s="4"/>
      <c r="GE2977" s="4"/>
      <c r="GF2977" s="4"/>
      <c r="GG2977" s="4"/>
      <c r="GH2977" s="4"/>
      <c r="GI2977" s="4"/>
      <c r="GJ2977" s="4"/>
      <c r="GK2977" s="4"/>
      <c r="GL2977" s="4"/>
      <c r="GM2977" s="4"/>
      <c r="GN2977" s="4"/>
      <c r="GO2977" s="4"/>
      <c r="GP2977" s="4"/>
      <c r="GQ2977" s="4"/>
      <c r="GR2977" s="4"/>
      <c r="GS2977" s="4"/>
      <c r="GT2977" s="4"/>
      <c r="GU2977" s="4"/>
      <c r="GV2977" s="4"/>
      <c r="GW2977" s="4"/>
      <c r="GX2977" s="4"/>
      <c r="GY2977" s="4"/>
      <c r="GZ2977" s="4"/>
      <c r="HA2977" s="4"/>
      <c r="HB2977" s="4"/>
      <c r="HC2977" s="4"/>
      <c r="HD2977" s="4"/>
      <c r="HE2977" s="4"/>
      <c r="HF2977" s="4"/>
      <c r="HG2977" s="4"/>
      <c r="HH2977" s="4"/>
      <c r="HI2977" s="4"/>
      <c r="HJ2977" s="4"/>
      <c r="HK2977" s="4"/>
      <c r="HL2977" s="4"/>
    </row>
    <row r="2978">
      <c r="A2978" s="2" t="s">
        <v>12468</v>
      </c>
      <c r="B2978" s="2" t="s">
        <v>262</v>
      </c>
      <c r="C2978" s="2" t="s">
        <v>288</v>
      </c>
      <c r="D2978" s="2" t="s">
        <v>654</v>
      </c>
      <c r="E2978" s="2" t="s">
        <v>1212</v>
      </c>
      <c r="F2978" s="2" t="s">
        <v>12444</v>
      </c>
      <c r="G2978" s="2" t="s">
        <v>12462</v>
      </c>
      <c r="H2978" s="2" t="s">
        <v>12462</v>
      </c>
      <c r="I2978" s="2" t="s">
        <v>12463</v>
      </c>
      <c r="J2978" s="2" t="s">
        <v>669</v>
      </c>
      <c r="K2978" s="2" t="s">
        <v>1146</v>
      </c>
      <c r="L2978" s="3">
        <v>42.5</v>
      </c>
      <c r="M2978" s="3">
        <v>44.62</v>
      </c>
      <c r="N2978" s="3">
        <v>84.99</v>
      </c>
      <c r="O2978" s="2" t="s">
        <v>243</v>
      </c>
      <c r="P2978" s="2" t="s">
        <v>236</v>
      </c>
      <c r="Q2978" s="2" t="s">
        <v>237</v>
      </c>
      <c r="R2978" s="2" t="s">
        <v>231</v>
      </c>
      <c r="S2978" s="2" t="s">
        <v>12464</v>
      </c>
      <c r="T2978" s="2" t="s">
        <v>362</v>
      </c>
      <c r="U2978" s="2" t="s">
        <v>327</v>
      </c>
      <c r="V2978" s="2" t="s">
        <v>239</v>
      </c>
      <c r="W2978" s="2" t="s">
        <v>273</v>
      </c>
      <c r="X2978" s="2" t="s">
        <v>299</v>
      </c>
      <c r="Y2978" s="2" t="s">
        <v>5477</v>
      </c>
      <c r="Z2978" s="4">
        <v>429</v>
      </c>
      <c r="AA2978" s="4">
        <f>=ROUNDDOWN(42.9,0)</f>
      </c>
      <c r="AB2978" s="5">
        <v>10</v>
      </c>
      <c r="AC2978" s="2" t="s">
        <v>231</v>
      </c>
      <c r="AD2978" s="4"/>
      <c r="AE2978" s="4"/>
      <c r="AF2978" s="6">
        <v>68</v>
      </c>
      <c r="AG2978" s="6"/>
      <c r="AH2978" s="7">
        <v>1</v>
      </c>
      <c r="AI2978" s="4"/>
      <c r="AJ2978" s="4">
        <f>=ROUNDDOWN({0},0)</f>
      </c>
      <c r="AK2978" s="5"/>
      <c r="AL2978" s="2" t="s">
        <v>231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231</v>
      </c>
      <c r="AW2978" s="8" t="s">
        <v>231</v>
      </c>
      <c r="AX2978" s="4" t="s">
        <v>231</v>
      </c>
      <c r="AY2978" s="8" t="s">
        <v>231</v>
      </c>
      <c r="AZ2978" s="7" t="s">
        <v>231</v>
      </c>
      <c r="BA2978" s="7" t="s">
        <v>231</v>
      </c>
      <c r="BB2978" s="7"/>
      <c r="BC2978" s="4" t="s">
        <v>231</v>
      </c>
      <c r="BD2978" s="8" t="s">
        <v>231</v>
      </c>
      <c r="BE2978" s="4" t="s">
        <v>231</v>
      </c>
      <c r="BF2978" s="8" t="s">
        <v>231</v>
      </c>
      <c r="BG2978" s="7" t="s">
        <v>231</v>
      </c>
      <c r="BH2978" s="7" t="s">
        <v>231</v>
      </c>
      <c r="BI2978" s="7"/>
      <c r="BJ2978" s="4">
        <v>6</v>
      </c>
      <c r="BK2978" s="8">
        <v>306.34</v>
      </c>
      <c r="BL2978" s="2" t="s">
        <v>10825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12469</v>
      </c>
      <c r="BV2978" s="2" t="s">
        <v>231</v>
      </c>
      <c r="BW2978" s="2" t="s">
        <v>231</v>
      </c>
      <c r="BX2978" s="2" t="s">
        <v>241</v>
      </c>
      <c r="BY2978" s="2" t="s">
        <v>277</v>
      </c>
      <c r="BZ2978" s="2" t="s">
        <v>243</v>
      </c>
      <c r="CA2978" s="2" t="s">
        <v>2771</v>
      </c>
      <c r="CB2978" s="2" t="s">
        <v>12470</v>
      </c>
      <c r="CC2978" s="2" t="s">
        <v>244</v>
      </c>
      <c r="CD2978" s="2" t="s">
        <v>231</v>
      </c>
      <c r="CE2978" s="4">
        <v>429</v>
      </c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4"/>
      <c r="CX2978" s="4"/>
      <c r="CY2978" s="4"/>
      <c r="CZ2978" s="4"/>
      <c r="DA2978" s="4"/>
      <c r="DB2978" s="4"/>
      <c r="DC2978" s="4"/>
      <c r="DD2978" s="4"/>
      <c r="DE2978" s="4"/>
      <c r="DF2978" s="4"/>
      <c r="DG2978" s="4"/>
      <c r="DH2978" s="4"/>
      <c r="DI2978" s="4"/>
      <c r="DJ2978" s="4"/>
      <c r="DK2978" s="4"/>
      <c r="DL2978" s="4"/>
      <c r="DM2978" s="4"/>
      <c r="DN2978" s="4"/>
      <c r="DO2978" s="4"/>
      <c r="DP2978" s="4"/>
      <c r="DQ2978" s="4"/>
      <c r="DR2978" s="4"/>
      <c r="DS2978" s="4"/>
      <c r="DT2978" s="4"/>
      <c r="DU2978" s="4"/>
      <c r="DV2978" s="4"/>
      <c r="DW2978" s="4"/>
      <c r="DX2978" s="4"/>
      <c r="DY2978" s="4"/>
      <c r="DZ2978" s="4"/>
      <c r="EA2978" s="4"/>
      <c r="EB2978" s="4"/>
      <c r="EC2978" s="4"/>
      <c r="ED2978" s="4"/>
      <c r="EE2978" s="4"/>
      <c r="EF2978" s="4"/>
      <c r="EG2978" s="4"/>
      <c r="EH2978" s="4"/>
      <c r="EI2978" s="4"/>
      <c r="EJ2978" s="4"/>
      <c r="EK2978" s="4"/>
      <c r="EL2978" s="4"/>
      <c r="EM2978" s="4"/>
      <c r="EN2978" s="4"/>
      <c r="EO2978" s="4"/>
      <c r="EP2978" s="4"/>
      <c r="EQ2978" s="4"/>
      <c r="ER2978" s="4"/>
      <c r="ES2978" s="4"/>
      <c r="ET2978" s="4"/>
      <c r="EU2978" s="4"/>
      <c r="EV2978" s="4"/>
      <c r="EW2978" s="4"/>
      <c r="EX2978" s="4"/>
      <c r="EY2978" s="4"/>
      <c r="EZ2978" s="4"/>
      <c r="FA2978" s="4"/>
      <c r="FB2978" s="4"/>
      <c r="FC2978" s="4"/>
      <c r="FD2978" s="4"/>
      <c r="FE2978" s="4"/>
      <c r="FF2978" s="4"/>
      <c r="FG2978" s="4"/>
      <c r="FH2978" s="4"/>
      <c r="FI2978" s="4"/>
      <c r="FJ2978" s="4"/>
      <c r="FK2978" s="4"/>
      <c r="FL2978" s="4"/>
      <c r="FM2978" s="4"/>
      <c r="FN2978" s="4"/>
      <c r="FO2978" s="4"/>
      <c r="FP2978" s="4"/>
      <c r="FQ2978" s="4"/>
      <c r="FR2978" s="4"/>
      <c r="FS2978" s="4"/>
      <c r="FT2978" s="4"/>
      <c r="FU2978" s="4"/>
      <c r="FV2978" s="4"/>
      <c r="FW2978" s="4"/>
      <c r="FX2978" s="4"/>
      <c r="FY2978" s="4"/>
      <c r="FZ2978" s="4"/>
      <c r="GA2978" s="4"/>
      <c r="GB2978" s="4"/>
      <c r="GC2978" s="4"/>
      <c r="GD2978" s="4"/>
      <c r="GE2978" s="4"/>
      <c r="GF2978" s="4"/>
      <c r="GG2978" s="4"/>
      <c r="GH2978" s="4"/>
      <c r="GI2978" s="4"/>
      <c r="GJ2978" s="4"/>
      <c r="GK2978" s="4"/>
      <c r="GL2978" s="4"/>
      <c r="GM2978" s="4"/>
      <c r="GN2978" s="4"/>
      <c r="GO2978" s="4"/>
      <c r="GP2978" s="4"/>
      <c r="GQ2978" s="4"/>
      <c r="GR2978" s="4"/>
      <c r="GS2978" s="4"/>
      <c r="GT2978" s="4"/>
      <c r="GU2978" s="4"/>
      <c r="GV2978" s="4"/>
      <c r="GW2978" s="4"/>
      <c r="GX2978" s="4"/>
      <c r="GY2978" s="4"/>
      <c r="GZ2978" s="4"/>
      <c r="HA2978" s="4"/>
      <c r="HB2978" s="4"/>
      <c r="HC2978" s="4"/>
      <c r="HD2978" s="4"/>
      <c r="HE2978" s="4"/>
      <c r="HF2978" s="4"/>
      <c r="HG2978" s="4"/>
      <c r="HH2978" s="4"/>
      <c r="HI2978" s="4"/>
      <c r="HJ2978" s="4"/>
      <c r="HK2978" s="4"/>
      <c r="HL2978" s="4"/>
    </row>
    <row r="2979">
      <c r="A2979" s="2" t="s">
        <v>12471</v>
      </c>
      <c r="B2979" s="2" t="s">
        <v>262</v>
      </c>
      <c r="C2979" s="2" t="s">
        <v>288</v>
      </c>
      <c r="D2979" s="2" t="s">
        <v>654</v>
      </c>
      <c r="E2979" s="2" t="s">
        <v>1212</v>
      </c>
      <c r="F2979" s="2" t="s">
        <v>12444</v>
      </c>
      <c r="G2979" s="2" t="s">
        <v>12462</v>
      </c>
      <c r="H2979" s="2" t="s">
        <v>12462</v>
      </c>
      <c r="I2979" s="2" t="s">
        <v>12463</v>
      </c>
      <c r="J2979" s="2" t="s">
        <v>658</v>
      </c>
      <c r="K2979" s="2" t="s">
        <v>723</v>
      </c>
      <c r="L2979" s="3">
        <v>37.5</v>
      </c>
      <c r="M2979" s="3">
        <v>39.38</v>
      </c>
      <c r="N2979" s="3">
        <v>74.99</v>
      </c>
      <c r="O2979" s="2" t="s">
        <v>243</v>
      </c>
      <c r="P2979" s="2" t="s">
        <v>236</v>
      </c>
      <c r="Q2979" s="2" t="s">
        <v>237</v>
      </c>
      <c r="R2979" s="2" t="s">
        <v>231</v>
      </c>
      <c r="S2979" s="2" t="s">
        <v>12472</v>
      </c>
      <c r="T2979" s="2" t="s">
        <v>362</v>
      </c>
      <c r="U2979" s="2" t="s">
        <v>327</v>
      </c>
      <c r="V2979" s="2" t="s">
        <v>239</v>
      </c>
      <c r="W2979" s="2" t="s">
        <v>273</v>
      </c>
      <c r="X2979" s="2" t="s">
        <v>299</v>
      </c>
      <c r="Y2979" s="2" t="s">
        <v>5477</v>
      </c>
      <c r="Z2979" s="4">
        <v>580</v>
      </c>
      <c r="AA2979" s="4">
        <f>=ROUNDDOWN(52.7272727272727,0)</f>
      </c>
      <c r="AB2979" s="5">
        <v>11</v>
      </c>
      <c r="AC2979" s="2" t="s">
        <v>231</v>
      </c>
      <c r="AD2979" s="4"/>
      <c r="AE2979" s="4"/>
      <c r="AF2979" s="6">
        <v>68</v>
      </c>
      <c r="AG2979" s="6"/>
      <c r="AH2979" s="7">
        <v>1</v>
      </c>
      <c r="AI2979" s="4"/>
      <c r="AJ2979" s="4">
        <f>=ROUNDDOWN({0},0)</f>
      </c>
      <c r="AK2979" s="5"/>
      <c r="AL2979" s="2" t="s">
        <v>231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231</v>
      </c>
      <c r="AW2979" s="8" t="s">
        <v>231</v>
      </c>
      <c r="AX2979" s="4" t="s">
        <v>231</v>
      </c>
      <c r="AY2979" s="8" t="s">
        <v>231</v>
      </c>
      <c r="AZ2979" s="7" t="s">
        <v>231</v>
      </c>
      <c r="BA2979" s="7" t="s">
        <v>231</v>
      </c>
      <c r="BB2979" s="7"/>
      <c r="BC2979" s="4" t="s">
        <v>231</v>
      </c>
      <c r="BD2979" s="8" t="s">
        <v>231</v>
      </c>
      <c r="BE2979" s="4" t="s">
        <v>231</v>
      </c>
      <c r="BF2979" s="8" t="s">
        <v>231</v>
      </c>
      <c r="BG2979" s="7" t="s">
        <v>231</v>
      </c>
      <c r="BH2979" s="7" t="s">
        <v>231</v>
      </c>
      <c r="BI2979" s="7"/>
      <c r="BJ2979" s="4">
        <v>1</v>
      </c>
      <c r="BK2979" s="8">
        <v>43.12</v>
      </c>
      <c r="BL2979" s="2" t="s">
        <v>1020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12473</v>
      </c>
      <c r="BV2979" s="2" t="s">
        <v>231</v>
      </c>
      <c r="BW2979" s="2" t="s">
        <v>231</v>
      </c>
      <c r="BX2979" s="2" t="s">
        <v>241</v>
      </c>
      <c r="BY2979" s="2" t="s">
        <v>277</v>
      </c>
      <c r="BZ2979" s="2" t="s">
        <v>243</v>
      </c>
      <c r="CA2979" s="2" t="s">
        <v>2771</v>
      </c>
      <c r="CB2979" s="2" t="s">
        <v>2637</v>
      </c>
      <c r="CC2979" s="2" t="s">
        <v>244</v>
      </c>
      <c r="CD2979" s="2" t="s">
        <v>231</v>
      </c>
      <c r="CE2979" s="4">
        <v>580</v>
      </c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4"/>
      <c r="CX2979" s="4"/>
      <c r="CY2979" s="4"/>
      <c r="CZ2979" s="4"/>
      <c r="DA2979" s="4"/>
      <c r="DB2979" s="4"/>
      <c r="DC2979" s="4"/>
      <c r="DD2979" s="4"/>
      <c r="DE2979" s="4"/>
      <c r="DF2979" s="4"/>
      <c r="DG2979" s="4"/>
      <c r="DH2979" s="4"/>
      <c r="DI2979" s="4"/>
      <c r="DJ2979" s="4"/>
      <c r="DK2979" s="4"/>
      <c r="DL2979" s="4"/>
      <c r="DM2979" s="4"/>
      <c r="DN2979" s="4"/>
      <c r="DO2979" s="4"/>
      <c r="DP2979" s="4"/>
      <c r="DQ2979" s="4"/>
      <c r="DR2979" s="4"/>
      <c r="DS2979" s="4"/>
      <c r="DT2979" s="4"/>
      <c r="DU2979" s="4"/>
      <c r="DV2979" s="4"/>
      <c r="DW2979" s="4"/>
      <c r="DX2979" s="4"/>
      <c r="DY2979" s="4"/>
      <c r="DZ2979" s="4"/>
      <c r="EA2979" s="4"/>
      <c r="EB2979" s="4"/>
      <c r="EC2979" s="4"/>
      <c r="ED2979" s="4"/>
      <c r="EE2979" s="4"/>
      <c r="EF2979" s="4"/>
      <c r="EG2979" s="4"/>
      <c r="EH2979" s="4"/>
      <c r="EI2979" s="4"/>
      <c r="EJ2979" s="4"/>
      <c r="EK2979" s="4"/>
      <c r="EL2979" s="4"/>
      <c r="EM2979" s="4"/>
      <c r="EN2979" s="4"/>
      <c r="EO2979" s="4"/>
      <c r="EP2979" s="4"/>
      <c r="EQ2979" s="4"/>
      <c r="ER2979" s="4"/>
      <c r="ES2979" s="4"/>
      <c r="ET2979" s="4"/>
      <c r="EU2979" s="4"/>
      <c r="EV2979" s="4"/>
      <c r="EW2979" s="4"/>
      <c r="EX2979" s="4"/>
      <c r="EY2979" s="4"/>
      <c r="EZ2979" s="4"/>
      <c r="FA2979" s="4"/>
      <c r="FB2979" s="4"/>
      <c r="FC2979" s="4"/>
      <c r="FD2979" s="4"/>
      <c r="FE2979" s="4"/>
      <c r="FF2979" s="4"/>
      <c r="FG2979" s="4"/>
      <c r="FH2979" s="4"/>
      <c r="FI2979" s="4"/>
      <c r="FJ2979" s="4"/>
      <c r="FK2979" s="4"/>
      <c r="FL2979" s="4"/>
      <c r="FM2979" s="4"/>
      <c r="FN2979" s="4"/>
      <c r="FO2979" s="4"/>
      <c r="FP2979" s="4"/>
      <c r="FQ2979" s="4"/>
      <c r="FR2979" s="4"/>
      <c r="FS2979" s="4"/>
      <c r="FT2979" s="4"/>
      <c r="FU2979" s="4"/>
      <c r="FV2979" s="4"/>
      <c r="FW2979" s="4"/>
      <c r="FX2979" s="4"/>
      <c r="FY2979" s="4"/>
      <c r="FZ2979" s="4"/>
      <c r="GA2979" s="4"/>
      <c r="GB2979" s="4"/>
      <c r="GC2979" s="4"/>
      <c r="GD2979" s="4"/>
      <c r="GE2979" s="4"/>
      <c r="GF2979" s="4"/>
      <c r="GG2979" s="4"/>
      <c r="GH2979" s="4"/>
      <c r="GI2979" s="4"/>
      <c r="GJ2979" s="4"/>
      <c r="GK2979" s="4"/>
      <c r="GL2979" s="4"/>
      <c r="GM2979" s="4"/>
      <c r="GN2979" s="4"/>
      <c r="GO2979" s="4"/>
      <c r="GP2979" s="4"/>
      <c r="GQ2979" s="4"/>
      <c r="GR2979" s="4"/>
      <c r="GS2979" s="4"/>
      <c r="GT2979" s="4"/>
      <c r="GU2979" s="4"/>
      <c r="GV2979" s="4"/>
      <c r="GW2979" s="4"/>
      <c r="GX2979" s="4"/>
      <c r="GY2979" s="4"/>
      <c r="GZ2979" s="4"/>
      <c r="HA2979" s="4"/>
      <c r="HB2979" s="4"/>
      <c r="HC2979" s="4"/>
      <c r="HD2979" s="4"/>
      <c r="HE2979" s="4"/>
      <c r="HF2979" s="4"/>
      <c r="HG2979" s="4"/>
      <c r="HH2979" s="4"/>
      <c r="HI2979" s="4"/>
      <c r="HJ2979" s="4"/>
      <c r="HK2979" s="4"/>
      <c r="HL2979" s="4"/>
    </row>
    <row r="2980">
      <c r="A2980" s="2" t="s">
        <v>12474</v>
      </c>
      <c r="B2980" s="2" t="s">
        <v>262</v>
      </c>
      <c r="C2980" s="2" t="s">
        <v>288</v>
      </c>
      <c r="D2980" s="2" t="s">
        <v>654</v>
      </c>
      <c r="E2980" s="2" t="s">
        <v>1212</v>
      </c>
      <c r="F2980" s="2" t="s">
        <v>12444</v>
      </c>
      <c r="G2980" s="2" t="s">
        <v>12462</v>
      </c>
      <c r="H2980" s="2" t="s">
        <v>12462</v>
      </c>
      <c r="I2980" s="2" t="s">
        <v>12463</v>
      </c>
      <c r="J2980" s="2" t="s">
        <v>669</v>
      </c>
      <c r="K2980" s="2" t="s">
        <v>723</v>
      </c>
      <c r="L2980" s="3">
        <v>42.5</v>
      </c>
      <c r="M2980" s="3">
        <v>44.62</v>
      </c>
      <c r="N2980" s="3">
        <v>84.99</v>
      </c>
      <c r="O2980" s="2" t="s">
        <v>243</v>
      </c>
      <c r="P2980" s="2" t="s">
        <v>236</v>
      </c>
      <c r="Q2980" s="2" t="s">
        <v>237</v>
      </c>
      <c r="R2980" s="2" t="s">
        <v>231</v>
      </c>
      <c r="S2980" s="2" t="s">
        <v>12472</v>
      </c>
      <c r="T2980" s="2" t="s">
        <v>362</v>
      </c>
      <c r="U2980" s="2" t="s">
        <v>327</v>
      </c>
      <c r="V2980" s="2" t="s">
        <v>239</v>
      </c>
      <c r="W2980" s="2" t="s">
        <v>273</v>
      </c>
      <c r="X2980" s="2" t="s">
        <v>299</v>
      </c>
      <c r="Y2980" s="2" t="s">
        <v>5477</v>
      </c>
      <c r="Z2980" s="4">
        <v>480</v>
      </c>
      <c r="AA2980" s="4">
        <f>=ROUNDDOWN(43.6363636363636,0)</f>
      </c>
      <c r="AB2980" s="5">
        <v>11</v>
      </c>
      <c r="AC2980" s="2" t="s">
        <v>231</v>
      </c>
      <c r="AD2980" s="4"/>
      <c r="AE2980" s="4"/>
      <c r="AF2980" s="6">
        <v>68</v>
      </c>
      <c r="AG2980" s="6"/>
      <c r="AH2980" s="7">
        <v>1</v>
      </c>
      <c r="AI2980" s="4"/>
      <c r="AJ2980" s="4">
        <f>=ROUNDDOWN({0},0)</f>
      </c>
      <c r="AK2980" s="5"/>
      <c r="AL2980" s="2" t="s">
        <v>231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231</v>
      </c>
      <c r="AW2980" s="8" t="s">
        <v>231</v>
      </c>
      <c r="AX2980" s="4" t="s">
        <v>231</v>
      </c>
      <c r="AY2980" s="8" t="s">
        <v>231</v>
      </c>
      <c r="AZ2980" s="7" t="s">
        <v>231</v>
      </c>
      <c r="BA2980" s="7" t="s">
        <v>231</v>
      </c>
      <c r="BB2980" s="7"/>
      <c r="BC2980" s="4" t="s">
        <v>231</v>
      </c>
      <c r="BD2980" s="8" t="s">
        <v>231</v>
      </c>
      <c r="BE2980" s="4" t="s">
        <v>231</v>
      </c>
      <c r="BF2980" s="8" t="s">
        <v>231</v>
      </c>
      <c r="BG2980" s="7" t="s">
        <v>231</v>
      </c>
      <c r="BH2980" s="7" t="s">
        <v>231</v>
      </c>
      <c r="BI2980" s="7"/>
      <c r="BJ2980" s="4">
        <v>3</v>
      </c>
      <c r="BK2980" s="8">
        <v>141.04</v>
      </c>
      <c r="BL2980" s="2" t="s">
        <v>1976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12475</v>
      </c>
      <c r="BV2980" s="2" t="s">
        <v>231</v>
      </c>
      <c r="BW2980" s="2" t="s">
        <v>231</v>
      </c>
      <c r="BX2980" s="2" t="s">
        <v>241</v>
      </c>
      <c r="BY2980" s="2" t="s">
        <v>277</v>
      </c>
      <c r="BZ2980" s="2" t="s">
        <v>243</v>
      </c>
      <c r="CA2980" s="2" t="s">
        <v>2771</v>
      </c>
      <c r="CB2980" s="2" t="s">
        <v>231</v>
      </c>
      <c r="CC2980" s="2" t="s">
        <v>244</v>
      </c>
      <c r="CD2980" s="2" t="s">
        <v>231</v>
      </c>
      <c r="CE2980" s="4">
        <v>480</v>
      </c>
      <c r="CF2980" s="4"/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4"/>
      <c r="CX2980" s="4"/>
      <c r="CY2980" s="4"/>
      <c r="CZ2980" s="4"/>
      <c r="DA2980" s="4"/>
      <c r="DB2980" s="4"/>
      <c r="DC2980" s="4"/>
      <c r="DD2980" s="4"/>
      <c r="DE2980" s="4"/>
      <c r="DF2980" s="4"/>
      <c r="DG2980" s="4"/>
      <c r="DH2980" s="4"/>
      <c r="DI2980" s="4"/>
      <c r="DJ2980" s="4"/>
      <c r="DK2980" s="4"/>
      <c r="DL2980" s="4"/>
      <c r="DM2980" s="4"/>
      <c r="DN2980" s="4"/>
      <c r="DO2980" s="4"/>
      <c r="DP2980" s="4"/>
      <c r="DQ2980" s="4"/>
      <c r="DR2980" s="4"/>
      <c r="DS2980" s="4"/>
      <c r="DT2980" s="4"/>
      <c r="DU2980" s="4"/>
      <c r="DV2980" s="4"/>
      <c r="DW2980" s="4"/>
      <c r="DX2980" s="4"/>
      <c r="DY2980" s="4"/>
      <c r="DZ2980" s="4"/>
      <c r="EA2980" s="4"/>
      <c r="EB2980" s="4"/>
      <c r="EC2980" s="4"/>
      <c r="ED2980" s="4"/>
      <c r="EE2980" s="4"/>
      <c r="EF2980" s="4"/>
      <c r="EG2980" s="4"/>
      <c r="EH2980" s="4"/>
      <c r="EI2980" s="4"/>
      <c r="EJ2980" s="4"/>
      <c r="EK2980" s="4"/>
      <c r="EL2980" s="4"/>
      <c r="EM2980" s="4"/>
      <c r="EN2980" s="4"/>
      <c r="EO2980" s="4"/>
      <c r="EP2980" s="4"/>
      <c r="EQ2980" s="4"/>
      <c r="ER2980" s="4"/>
      <c r="ES2980" s="4"/>
      <c r="ET2980" s="4"/>
      <c r="EU2980" s="4"/>
      <c r="EV2980" s="4"/>
      <c r="EW2980" s="4"/>
      <c r="EX2980" s="4"/>
      <c r="EY2980" s="4"/>
      <c r="EZ2980" s="4"/>
      <c r="FA2980" s="4"/>
      <c r="FB2980" s="4"/>
      <c r="FC2980" s="4"/>
      <c r="FD2980" s="4"/>
      <c r="FE2980" s="4"/>
      <c r="FF2980" s="4"/>
      <c r="FG2980" s="4"/>
      <c r="FH2980" s="4"/>
      <c r="FI2980" s="4"/>
      <c r="FJ2980" s="4"/>
      <c r="FK2980" s="4"/>
      <c r="FL2980" s="4"/>
      <c r="FM2980" s="4"/>
      <c r="FN2980" s="4"/>
      <c r="FO2980" s="4"/>
      <c r="FP2980" s="4"/>
      <c r="FQ2980" s="4"/>
      <c r="FR2980" s="4"/>
      <c r="FS2980" s="4"/>
      <c r="FT2980" s="4"/>
      <c r="FU2980" s="4"/>
      <c r="FV2980" s="4"/>
      <c r="FW2980" s="4"/>
      <c r="FX2980" s="4"/>
      <c r="FY2980" s="4"/>
      <c r="FZ2980" s="4"/>
      <c r="GA2980" s="4"/>
      <c r="GB2980" s="4"/>
      <c r="GC2980" s="4"/>
      <c r="GD2980" s="4"/>
      <c r="GE2980" s="4"/>
      <c r="GF2980" s="4"/>
      <c r="GG2980" s="4"/>
      <c r="GH2980" s="4"/>
      <c r="GI2980" s="4"/>
      <c r="GJ2980" s="4"/>
      <c r="GK2980" s="4"/>
      <c r="GL2980" s="4"/>
      <c r="GM2980" s="4"/>
      <c r="GN2980" s="4"/>
      <c r="GO2980" s="4"/>
      <c r="GP2980" s="4"/>
      <c r="GQ2980" s="4"/>
      <c r="GR2980" s="4"/>
      <c r="GS2980" s="4"/>
      <c r="GT2980" s="4"/>
      <c r="GU2980" s="4"/>
      <c r="GV2980" s="4"/>
      <c r="GW2980" s="4"/>
      <c r="GX2980" s="4"/>
      <c r="GY2980" s="4"/>
      <c r="GZ2980" s="4"/>
      <c r="HA2980" s="4"/>
      <c r="HB2980" s="4"/>
      <c r="HC2980" s="4"/>
      <c r="HD2980" s="4"/>
      <c r="HE2980" s="4"/>
      <c r="HF2980" s="4"/>
      <c r="HG2980" s="4"/>
      <c r="HH2980" s="4"/>
      <c r="HI2980" s="4"/>
      <c r="HJ2980" s="4"/>
      <c r="HK2980" s="4"/>
      <c r="HL2980" s="4"/>
    </row>
    <row r="2981">
      <c r="A2981" s="2" t="s">
        <v>12476</v>
      </c>
      <c r="B2981" s="2" t="s">
        <v>992</v>
      </c>
      <c r="C2981" s="2" t="s">
        <v>2371</v>
      </c>
      <c r="D2981" s="2" t="s">
        <v>993</v>
      </c>
      <c r="E2981" s="2" t="s">
        <v>994</v>
      </c>
      <c r="F2981" s="2" t="s">
        <v>12477</v>
      </c>
      <c r="G2981" s="2" t="s">
        <v>12477</v>
      </c>
      <c r="H2981" s="2" t="s">
        <v>12477</v>
      </c>
      <c r="I2981" s="2" t="s">
        <v>12478</v>
      </c>
      <c r="J2981" s="2" t="s">
        <v>2072</v>
      </c>
      <c r="K2981" s="2" t="s">
        <v>269</v>
      </c>
      <c r="L2981" s="3">
        <v>23.83</v>
      </c>
      <c r="M2981" s="3">
        <v>25.02</v>
      </c>
      <c r="N2981" s="3">
        <v>69.99</v>
      </c>
      <c r="O2981" s="2" t="s">
        <v>243</v>
      </c>
      <c r="P2981" s="2" t="s">
        <v>1985</v>
      </c>
      <c r="Q2981" s="2" t="s">
        <v>237</v>
      </c>
      <c r="R2981" s="2" t="s">
        <v>231</v>
      </c>
      <c r="S2981" s="2" t="s">
        <v>231</v>
      </c>
      <c r="T2981" s="2" t="s">
        <v>231</v>
      </c>
      <c r="U2981" s="2" t="s">
        <v>327</v>
      </c>
      <c r="V2981" s="2" t="s">
        <v>1192</v>
      </c>
      <c r="W2981" s="2" t="s">
        <v>691</v>
      </c>
      <c r="X2981" s="2" t="s">
        <v>231</v>
      </c>
      <c r="Y2981" s="2" t="s">
        <v>2560</v>
      </c>
      <c r="Z2981" s="4">
        <v>3</v>
      </c>
      <c r="AA2981" s="4">
        <f>=ROUNDDOWN(0.6,0)</f>
      </c>
      <c r="AB2981" s="5">
        <v>5</v>
      </c>
      <c r="AC2981" s="2" t="s">
        <v>231</v>
      </c>
      <c r="AD2981" s="4"/>
      <c r="AE2981" s="4"/>
      <c r="AF2981" s="6">
        <v>65</v>
      </c>
      <c r="AG2981" s="6"/>
      <c r="AH2981" s="7">
        <v>0</v>
      </c>
      <c r="AI2981" s="4"/>
      <c r="AJ2981" s="4">
        <f>=ROUNDDOWN({0},0)</f>
      </c>
      <c r="AK2981" s="5"/>
      <c r="AL2981" s="2" t="s">
        <v>231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/>
      <c r="AW2981" s="8"/>
      <c r="AX2981" s="4"/>
      <c r="AY2981" s="8"/>
      <c r="AZ2981" s="7"/>
      <c r="BA2981" s="7"/>
      <c r="BB2981" s="7"/>
      <c r="BC2981" s="4" t="s">
        <v>231</v>
      </c>
      <c r="BD2981" s="8" t="s">
        <v>231</v>
      </c>
      <c r="BE2981" s="4" t="s">
        <v>231</v>
      </c>
      <c r="BF2981" s="8" t="s">
        <v>231</v>
      </c>
      <c r="BG2981" s="7" t="s">
        <v>231</v>
      </c>
      <c r="BH2981" s="7" t="s">
        <v>231</v>
      </c>
      <c r="BI2981" s="7"/>
      <c r="BJ2981" s="4"/>
      <c r="BK2981" s="8"/>
      <c r="BL2981" s="2" t="s">
        <v>231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12479</v>
      </c>
      <c r="BV2981" s="2" t="s">
        <v>231</v>
      </c>
      <c r="BW2981" s="2" t="s">
        <v>231</v>
      </c>
      <c r="BX2981" s="2" t="s">
        <v>231</v>
      </c>
      <c r="BY2981" s="2" t="s">
        <v>277</v>
      </c>
      <c r="BZ2981" s="2" t="s">
        <v>243</v>
      </c>
      <c r="CA2981" s="2" t="s">
        <v>2070</v>
      </c>
      <c r="CB2981" s="2" t="s">
        <v>2097</v>
      </c>
      <c r="CC2981" s="2" t="s">
        <v>244</v>
      </c>
      <c r="CD2981" s="2" t="s">
        <v>231</v>
      </c>
      <c r="CE2981" s="4">
        <v>3</v>
      </c>
      <c r="CF2981" s="4"/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4"/>
      <c r="CX2981" s="4"/>
      <c r="CY2981" s="4"/>
      <c r="CZ2981" s="4"/>
      <c r="DA2981" s="4"/>
      <c r="DB2981" s="4"/>
      <c r="DC2981" s="4"/>
      <c r="DD2981" s="4"/>
      <c r="DE2981" s="4"/>
      <c r="DF2981" s="4"/>
      <c r="DG2981" s="4"/>
      <c r="DH2981" s="4"/>
      <c r="DI2981" s="4"/>
      <c r="DJ2981" s="4"/>
      <c r="DK2981" s="4"/>
      <c r="DL2981" s="4"/>
      <c r="DM2981" s="4"/>
      <c r="DN2981" s="4"/>
      <c r="DO2981" s="4"/>
      <c r="DP2981" s="4"/>
      <c r="DQ2981" s="4"/>
      <c r="DR2981" s="4"/>
      <c r="DS2981" s="4"/>
      <c r="DT2981" s="4"/>
      <c r="DU2981" s="4"/>
      <c r="DV2981" s="4"/>
      <c r="DW2981" s="4"/>
      <c r="DX2981" s="4"/>
      <c r="DY2981" s="4"/>
      <c r="DZ2981" s="4"/>
      <c r="EA2981" s="4"/>
      <c r="EB2981" s="4"/>
      <c r="EC2981" s="4"/>
      <c r="ED2981" s="4"/>
      <c r="EE2981" s="4"/>
      <c r="EF2981" s="4"/>
      <c r="EG2981" s="4"/>
      <c r="EH2981" s="4"/>
      <c r="EI2981" s="4"/>
      <c r="EJ2981" s="4"/>
      <c r="EK2981" s="4"/>
      <c r="EL2981" s="4"/>
      <c r="EM2981" s="4"/>
      <c r="EN2981" s="4"/>
      <c r="EO2981" s="4"/>
      <c r="EP2981" s="4"/>
      <c r="EQ2981" s="4"/>
      <c r="ER2981" s="4"/>
      <c r="ES2981" s="4"/>
      <c r="ET2981" s="4"/>
      <c r="EU2981" s="4"/>
      <c r="EV2981" s="4"/>
      <c r="EW2981" s="4"/>
      <c r="EX2981" s="4"/>
      <c r="EY2981" s="4"/>
      <c r="EZ2981" s="4"/>
      <c r="FA2981" s="4"/>
      <c r="FB2981" s="4"/>
      <c r="FC2981" s="4"/>
      <c r="FD2981" s="4"/>
      <c r="FE2981" s="4"/>
      <c r="FF2981" s="4"/>
      <c r="FG2981" s="4"/>
      <c r="FH2981" s="4"/>
      <c r="FI2981" s="4"/>
      <c r="FJ2981" s="4"/>
      <c r="FK2981" s="4"/>
      <c r="FL2981" s="4"/>
      <c r="FM2981" s="4"/>
      <c r="FN2981" s="4"/>
      <c r="FO2981" s="4"/>
      <c r="FP2981" s="4"/>
      <c r="FQ2981" s="4"/>
      <c r="FR2981" s="4"/>
      <c r="FS2981" s="4"/>
      <c r="FT2981" s="4"/>
      <c r="FU2981" s="4"/>
      <c r="FV2981" s="4"/>
      <c r="FW2981" s="4"/>
      <c r="FX2981" s="4"/>
      <c r="FY2981" s="4"/>
      <c r="FZ2981" s="4"/>
      <c r="GA2981" s="4"/>
      <c r="GB2981" s="4"/>
      <c r="GC2981" s="4"/>
      <c r="GD2981" s="4"/>
      <c r="GE2981" s="4"/>
      <c r="GF2981" s="4"/>
      <c r="GG2981" s="4"/>
      <c r="GH2981" s="4"/>
      <c r="GI2981" s="4"/>
      <c r="GJ2981" s="4"/>
      <c r="GK2981" s="4"/>
      <c r="GL2981" s="4"/>
      <c r="GM2981" s="4"/>
      <c r="GN2981" s="4"/>
      <c r="GO2981" s="4"/>
      <c r="GP2981" s="4"/>
      <c r="GQ2981" s="4"/>
      <c r="GR2981" s="4"/>
      <c r="GS2981" s="4"/>
      <c r="GT2981" s="4"/>
      <c r="GU2981" s="4"/>
      <c r="GV2981" s="4"/>
      <c r="GW2981" s="4"/>
      <c r="GX2981" s="4"/>
      <c r="GY2981" s="4"/>
      <c r="GZ2981" s="4"/>
      <c r="HA2981" s="4"/>
      <c r="HB2981" s="4"/>
      <c r="HC2981" s="4"/>
      <c r="HD2981" s="4"/>
      <c r="HE2981" s="4"/>
      <c r="HF2981" s="4"/>
      <c r="HG2981" s="4"/>
      <c r="HH2981" s="4"/>
      <c r="HI2981" s="4"/>
      <c r="HJ2981" s="4"/>
      <c r="HK2981" s="4"/>
      <c r="HL2981" s="4"/>
    </row>
    <row r="2982">
      <c r="A2982" s="2" t="s">
        <v>12480</v>
      </c>
      <c r="B2982" s="2" t="s">
        <v>992</v>
      </c>
      <c r="C2982" s="2" t="s">
        <v>2371</v>
      </c>
      <c r="D2982" s="2" t="s">
        <v>993</v>
      </c>
      <c r="E2982" s="2" t="s">
        <v>994</v>
      </c>
      <c r="F2982" s="2" t="s">
        <v>12477</v>
      </c>
      <c r="G2982" s="2" t="s">
        <v>12477</v>
      </c>
      <c r="H2982" s="2" t="s">
        <v>12477</v>
      </c>
      <c r="I2982" s="2" t="s">
        <v>12478</v>
      </c>
      <c r="J2982" s="2" t="s">
        <v>2072</v>
      </c>
      <c r="K2982" s="2" t="s">
        <v>8019</v>
      </c>
      <c r="L2982" s="3">
        <v>23.83</v>
      </c>
      <c r="M2982" s="3">
        <v>25.02</v>
      </c>
      <c r="N2982" s="3">
        <v>69.99</v>
      </c>
      <c r="O2982" s="2" t="s">
        <v>243</v>
      </c>
      <c r="P2982" s="2" t="s">
        <v>1985</v>
      </c>
      <c r="Q2982" s="2" t="s">
        <v>237</v>
      </c>
      <c r="R2982" s="2" t="s">
        <v>231</v>
      </c>
      <c r="S2982" s="2" t="s">
        <v>231</v>
      </c>
      <c r="T2982" s="2" t="s">
        <v>231</v>
      </c>
      <c r="U2982" s="2" t="s">
        <v>327</v>
      </c>
      <c r="V2982" s="2" t="s">
        <v>1192</v>
      </c>
      <c r="W2982" s="2" t="s">
        <v>691</v>
      </c>
      <c r="X2982" s="2" t="s">
        <v>231</v>
      </c>
      <c r="Y2982" s="2" t="s">
        <v>2560</v>
      </c>
      <c r="Z2982" s="4">
        <v>111</v>
      </c>
      <c r="AA2982" s="4">
        <f>=ROUNDDOWN(37,0)</f>
      </c>
      <c r="AB2982" s="5">
        <v>3</v>
      </c>
      <c r="AC2982" s="2" t="s">
        <v>231</v>
      </c>
      <c r="AD2982" s="4"/>
      <c r="AE2982" s="4"/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231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/>
      <c r="AW2982" s="8"/>
      <c r="AX2982" s="4"/>
      <c r="AY2982" s="8"/>
      <c r="AZ2982" s="7"/>
      <c r="BA2982" s="7"/>
      <c r="BB2982" s="7"/>
      <c r="BC2982" s="4" t="s">
        <v>231</v>
      </c>
      <c r="BD2982" s="8" t="s">
        <v>231</v>
      </c>
      <c r="BE2982" s="4" t="s">
        <v>231</v>
      </c>
      <c r="BF2982" s="8" t="s">
        <v>231</v>
      </c>
      <c r="BG2982" s="7" t="s">
        <v>231</v>
      </c>
      <c r="BH2982" s="7" t="s">
        <v>231</v>
      </c>
      <c r="BI2982" s="7"/>
      <c r="BJ2982" s="4">
        <v>6</v>
      </c>
      <c r="BK2982" s="8">
        <v>206.21</v>
      </c>
      <c r="BL2982" s="2" t="s">
        <v>12481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12482</v>
      </c>
      <c r="BV2982" s="2" t="s">
        <v>231</v>
      </c>
      <c r="BW2982" s="2" t="s">
        <v>231</v>
      </c>
      <c r="BX2982" s="2" t="s">
        <v>231</v>
      </c>
      <c r="BY2982" s="2" t="s">
        <v>277</v>
      </c>
      <c r="BZ2982" s="2" t="s">
        <v>243</v>
      </c>
      <c r="CA2982" s="2" t="s">
        <v>2070</v>
      </c>
      <c r="CB2982" s="2" t="s">
        <v>3687</v>
      </c>
      <c r="CC2982" s="2" t="s">
        <v>244</v>
      </c>
      <c r="CD2982" s="2" t="s">
        <v>231</v>
      </c>
      <c r="CE2982" s="4">
        <v>111</v>
      </c>
      <c r="CF2982" s="4"/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4"/>
      <c r="CX2982" s="4"/>
      <c r="CY2982" s="4"/>
      <c r="CZ2982" s="4"/>
      <c r="DA2982" s="4"/>
      <c r="DB2982" s="4"/>
      <c r="DC2982" s="4"/>
      <c r="DD2982" s="4"/>
      <c r="DE2982" s="4"/>
      <c r="DF2982" s="4"/>
      <c r="DG2982" s="4"/>
      <c r="DH2982" s="4"/>
      <c r="DI2982" s="4"/>
      <c r="DJ2982" s="4"/>
      <c r="DK2982" s="4"/>
      <c r="DL2982" s="4"/>
      <c r="DM2982" s="4"/>
      <c r="DN2982" s="4"/>
      <c r="DO2982" s="4"/>
      <c r="DP2982" s="4"/>
      <c r="DQ2982" s="4"/>
      <c r="DR2982" s="4"/>
      <c r="DS2982" s="4"/>
      <c r="DT2982" s="4"/>
      <c r="DU2982" s="4"/>
      <c r="DV2982" s="4"/>
      <c r="DW2982" s="4"/>
      <c r="DX2982" s="4"/>
      <c r="DY2982" s="4"/>
      <c r="DZ2982" s="4"/>
      <c r="EA2982" s="4"/>
      <c r="EB2982" s="4"/>
      <c r="EC2982" s="4"/>
      <c r="ED2982" s="4"/>
      <c r="EE2982" s="4"/>
      <c r="EF2982" s="4"/>
      <c r="EG2982" s="4"/>
      <c r="EH2982" s="4"/>
      <c r="EI2982" s="4"/>
      <c r="EJ2982" s="4"/>
      <c r="EK2982" s="4"/>
      <c r="EL2982" s="4"/>
      <c r="EM2982" s="4"/>
      <c r="EN2982" s="4"/>
      <c r="EO2982" s="4"/>
      <c r="EP2982" s="4"/>
      <c r="EQ2982" s="4"/>
      <c r="ER2982" s="4"/>
      <c r="ES2982" s="4"/>
      <c r="ET2982" s="4"/>
      <c r="EU2982" s="4"/>
      <c r="EV2982" s="4"/>
      <c r="EW2982" s="4"/>
      <c r="EX2982" s="4"/>
      <c r="EY2982" s="4"/>
      <c r="EZ2982" s="4"/>
      <c r="FA2982" s="4"/>
      <c r="FB2982" s="4"/>
      <c r="FC2982" s="4"/>
      <c r="FD2982" s="4"/>
      <c r="FE2982" s="4"/>
      <c r="FF2982" s="4"/>
      <c r="FG2982" s="4"/>
      <c r="FH2982" s="4"/>
      <c r="FI2982" s="4"/>
      <c r="FJ2982" s="4"/>
      <c r="FK2982" s="4"/>
      <c r="FL2982" s="4"/>
      <c r="FM2982" s="4"/>
      <c r="FN2982" s="4"/>
      <c r="FO2982" s="4"/>
      <c r="FP2982" s="4"/>
      <c r="FQ2982" s="4"/>
      <c r="FR2982" s="4"/>
      <c r="FS2982" s="4"/>
      <c r="FT2982" s="4"/>
      <c r="FU2982" s="4"/>
      <c r="FV2982" s="4"/>
      <c r="FW2982" s="4"/>
      <c r="FX2982" s="4"/>
      <c r="FY2982" s="4"/>
      <c r="FZ2982" s="4"/>
      <c r="GA2982" s="4"/>
      <c r="GB2982" s="4"/>
      <c r="GC2982" s="4"/>
      <c r="GD2982" s="4"/>
      <c r="GE2982" s="4"/>
      <c r="GF2982" s="4"/>
      <c r="GG2982" s="4"/>
      <c r="GH2982" s="4"/>
      <c r="GI2982" s="4"/>
      <c r="GJ2982" s="4"/>
      <c r="GK2982" s="4"/>
      <c r="GL2982" s="4"/>
      <c r="GM2982" s="4"/>
      <c r="GN2982" s="4"/>
      <c r="GO2982" s="4"/>
      <c r="GP2982" s="4"/>
      <c r="GQ2982" s="4"/>
      <c r="GR2982" s="4"/>
      <c r="GS2982" s="4"/>
      <c r="GT2982" s="4"/>
      <c r="GU2982" s="4"/>
      <c r="GV2982" s="4"/>
      <c r="GW2982" s="4"/>
      <c r="GX2982" s="4"/>
      <c r="GY2982" s="4"/>
      <c r="GZ2982" s="4"/>
      <c r="HA2982" s="4"/>
      <c r="HB2982" s="4"/>
      <c r="HC2982" s="4"/>
      <c r="HD2982" s="4"/>
      <c r="HE2982" s="4"/>
      <c r="HF2982" s="4"/>
      <c r="HG2982" s="4"/>
      <c r="HH2982" s="4"/>
      <c r="HI2982" s="4"/>
      <c r="HJ2982" s="4"/>
      <c r="HK2982" s="4"/>
      <c r="HL2982" s="4"/>
    </row>
    <row r="2983">
      <c r="A2983" s="2" t="s">
        <v>12483</v>
      </c>
      <c r="B2983" s="2" t="s">
        <v>940</v>
      </c>
      <c r="C2983" s="2" t="s">
        <v>2371</v>
      </c>
      <c r="D2983" s="2" t="s">
        <v>1533</v>
      </c>
      <c r="E2983" s="2" t="s">
        <v>1534</v>
      </c>
      <c r="F2983" s="2" t="s">
        <v>12477</v>
      </c>
      <c r="G2983" s="2" t="s">
        <v>12477</v>
      </c>
      <c r="H2983" s="2" t="s">
        <v>12477</v>
      </c>
      <c r="I2983" s="2" t="s">
        <v>12484</v>
      </c>
      <c r="J2983" s="2" t="s">
        <v>3125</v>
      </c>
      <c r="K2983" s="2" t="s">
        <v>452</v>
      </c>
      <c r="L2983" s="3">
        <v>27.23</v>
      </c>
      <c r="M2983" s="3">
        <v>28.59</v>
      </c>
      <c r="N2983" s="3">
        <v>79.99</v>
      </c>
      <c r="O2983" s="2" t="s">
        <v>243</v>
      </c>
      <c r="P2983" s="2" t="s">
        <v>341</v>
      </c>
      <c r="Q2983" s="2" t="s">
        <v>237</v>
      </c>
      <c r="R2983" s="2" t="s">
        <v>231</v>
      </c>
      <c r="S2983" s="2" t="s">
        <v>231</v>
      </c>
      <c r="T2983" s="2" t="s">
        <v>231</v>
      </c>
      <c r="U2983" s="2" t="s">
        <v>231</v>
      </c>
      <c r="V2983" s="2" t="s">
        <v>381</v>
      </c>
      <c r="W2983" s="2" t="s">
        <v>691</v>
      </c>
      <c r="X2983" s="2" t="s">
        <v>231</v>
      </c>
      <c r="Y2983" s="2" t="s">
        <v>2560</v>
      </c>
      <c r="Z2983" s="4">
        <v>214</v>
      </c>
      <c r="AA2983" s="4">
        <f>=ROUNDDOWN(107,0)</f>
      </c>
      <c r="AB2983" s="5">
        <v>2</v>
      </c>
      <c r="AC2983" s="2" t="s">
        <v>231</v>
      </c>
      <c r="AD2983" s="4"/>
      <c r="AE2983" s="4"/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231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 t="s">
        <v>231</v>
      </c>
      <c r="BD2983" s="8" t="s">
        <v>231</v>
      </c>
      <c r="BE2983" s="4" t="s">
        <v>231</v>
      </c>
      <c r="BF2983" s="8" t="s">
        <v>231</v>
      </c>
      <c r="BG2983" s="7" t="s">
        <v>231</v>
      </c>
      <c r="BH2983" s="7" t="s">
        <v>231</v>
      </c>
      <c r="BI2983" s="7"/>
      <c r="BJ2983" s="4">
        <v>10</v>
      </c>
      <c r="BK2983" s="8">
        <v>287.54</v>
      </c>
      <c r="BL2983" s="2" t="s">
        <v>12485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12486</v>
      </c>
      <c r="BV2983" s="2" t="s">
        <v>231</v>
      </c>
      <c r="BW2983" s="2" t="s">
        <v>231</v>
      </c>
      <c r="BX2983" s="2" t="s">
        <v>241</v>
      </c>
      <c r="BY2983" s="2" t="s">
        <v>277</v>
      </c>
      <c r="BZ2983" s="2" t="s">
        <v>243</v>
      </c>
      <c r="CA2983" s="2" t="s">
        <v>947</v>
      </c>
      <c r="CB2983" s="2" t="s">
        <v>2409</v>
      </c>
      <c r="CC2983" s="2" t="s">
        <v>244</v>
      </c>
      <c r="CD2983" s="2" t="s">
        <v>231</v>
      </c>
      <c r="CE2983" s="4">
        <v>214</v>
      </c>
      <c r="CF2983" s="4"/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4"/>
      <c r="CX2983" s="4"/>
      <c r="CY2983" s="4"/>
      <c r="CZ2983" s="4"/>
      <c r="DA2983" s="4"/>
      <c r="DB2983" s="4"/>
      <c r="DC2983" s="4"/>
      <c r="DD2983" s="4"/>
      <c r="DE2983" s="4"/>
      <c r="DF2983" s="4"/>
      <c r="DG2983" s="4"/>
      <c r="DH2983" s="4"/>
      <c r="DI2983" s="4"/>
      <c r="DJ2983" s="4"/>
      <c r="DK2983" s="4"/>
      <c r="DL2983" s="4"/>
      <c r="DM2983" s="4"/>
      <c r="DN2983" s="4"/>
      <c r="DO2983" s="4"/>
      <c r="DP2983" s="4"/>
      <c r="DQ2983" s="4"/>
      <c r="DR2983" s="4"/>
      <c r="DS2983" s="4"/>
      <c r="DT2983" s="4"/>
      <c r="DU2983" s="4"/>
      <c r="DV2983" s="4"/>
      <c r="DW2983" s="4"/>
      <c r="DX2983" s="4"/>
      <c r="DY2983" s="4"/>
      <c r="DZ2983" s="4"/>
      <c r="EA2983" s="4"/>
      <c r="EB2983" s="4"/>
      <c r="EC2983" s="4"/>
      <c r="ED2983" s="4"/>
      <c r="EE2983" s="4"/>
      <c r="EF2983" s="4"/>
      <c r="EG2983" s="4"/>
      <c r="EH2983" s="4"/>
      <c r="EI2983" s="4"/>
      <c r="EJ2983" s="4"/>
      <c r="EK2983" s="4"/>
      <c r="EL2983" s="4"/>
      <c r="EM2983" s="4"/>
      <c r="EN2983" s="4"/>
      <c r="EO2983" s="4"/>
      <c r="EP2983" s="4"/>
      <c r="EQ2983" s="4"/>
      <c r="ER2983" s="4"/>
      <c r="ES2983" s="4"/>
      <c r="ET2983" s="4"/>
      <c r="EU2983" s="4"/>
      <c r="EV2983" s="4"/>
      <c r="EW2983" s="4"/>
      <c r="EX2983" s="4"/>
      <c r="EY2983" s="4"/>
      <c r="EZ2983" s="4"/>
      <c r="FA2983" s="4"/>
      <c r="FB2983" s="4"/>
      <c r="FC2983" s="4"/>
      <c r="FD2983" s="4"/>
      <c r="FE2983" s="4"/>
      <c r="FF2983" s="4"/>
      <c r="FG2983" s="4"/>
      <c r="FH2983" s="4"/>
      <c r="FI2983" s="4"/>
      <c r="FJ2983" s="4"/>
      <c r="FK2983" s="4"/>
      <c r="FL2983" s="4"/>
      <c r="FM2983" s="4"/>
      <c r="FN2983" s="4"/>
      <c r="FO2983" s="4"/>
      <c r="FP2983" s="4"/>
      <c r="FQ2983" s="4"/>
      <c r="FR2983" s="4"/>
      <c r="FS2983" s="4"/>
      <c r="FT2983" s="4"/>
      <c r="FU2983" s="4"/>
      <c r="FV2983" s="4"/>
      <c r="FW2983" s="4"/>
      <c r="FX2983" s="4"/>
      <c r="FY2983" s="4"/>
      <c r="FZ2983" s="4"/>
      <c r="GA2983" s="4"/>
      <c r="GB2983" s="4"/>
      <c r="GC2983" s="4"/>
      <c r="GD2983" s="4"/>
      <c r="GE2983" s="4"/>
      <c r="GF2983" s="4"/>
      <c r="GG2983" s="4"/>
      <c r="GH2983" s="4"/>
      <c r="GI2983" s="4"/>
      <c r="GJ2983" s="4"/>
      <c r="GK2983" s="4"/>
      <c r="GL2983" s="4"/>
      <c r="GM2983" s="4"/>
      <c r="GN2983" s="4"/>
      <c r="GO2983" s="4"/>
      <c r="GP2983" s="4"/>
      <c r="GQ2983" s="4"/>
      <c r="GR2983" s="4"/>
      <c r="GS2983" s="4"/>
      <c r="GT2983" s="4"/>
      <c r="GU2983" s="4"/>
      <c r="GV2983" s="4"/>
      <c r="GW2983" s="4"/>
      <c r="GX2983" s="4"/>
      <c r="GY2983" s="4"/>
      <c r="GZ2983" s="4"/>
      <c r="HA2983" s="4"/>
      <c r="HB2983" s="4"/>
      <c r="HC2983" s="4"/>
      <c r="HD2983" s="4"/>
      <c r="HE2983" s="4"/>
      <c r="HF2983" s="4"/>
      <c r="HG2983" s="4"/>
      <c r="HH2983" s="4"/>
      <c r="HI2983" s="4"/>
      <c r="HJ2983" s="4"/>
      <c r="HK2983" s="4"/>
      <c r="HL2983" s="4"/>
    </row>
    <row r="2984">
      <c r="A2984" s="2" t="s">
        <v>12487</v>
      </c>
      <c r="B2984" s="2" t="s">
        <v>1186</v>
      </c>
      <c r="C2984" s="2" t="s">
        <v>1299</v>
      </c>
      <c r="D2984" s="2" t="s">
        <v>1624</v>
      </c>
      <c r="E2984" s="2" t="s">
        <v>1625</v>
      </c>
      <c r="F2984" s="2" t="s">
        <v>12488</v>
      </c>
      <c r="G2984" s="2" t="s">
        <v>12488</v>
      </c>
      <c r="H2984" s="2" t="s">
        <v>12488</v>
      </c>
      <c r="I2984" s="2" t="s">
        <v>7058</v>
      </c>
      <c r="J2984" s="2" t="s">
        <v>1628</v>
      </c>
      <c r="K2984" s="2" t="s">
        <v>1146</v>
      </c>
      <c r="L2984" s="3">
        <v>22.05</v>
      </c>
      <c r="M2984" s="3">
        <v>23.15</v>
      </c>
      <c r="N2984" s="3">
        <v>44.99</v>
      </c>
      <c r="O2984" s="2" t="s">
        <v>243</v>
      </c>
      <c r="P2984" s="2" t="s">
        <v>270</v>
      </c>
      <c r="Q2984" s="2" t="s">
        <v>237</v>
      </c>
      <c r="R2984" s="2" t="s">
        <v>231</v>
      </c>
      <c r="S2984" s="2" t="s">
        <v>7059</v>
      </c>
      <c r="T2984" s="2" t="s">
        <v>231</v>
      </c>
      <c r="U2984" s="2" t="s">
        <v>231</v>
      </c>
      <c r="V2984" s="2" t="s">
        <v>1304</v>
      </c>
      <c r="W2984" s="2" t="s">
        <v>897</v>
      </c>
      <c r="X2984" s="2" t="s">
        <v>8680</v>
      </c>
      <c r="Y2984" s="2" t="s">
        <v>274</v>
      </c>
      <c r="Z2984" s="4">
        <v>722</v>
      </c>
      <c r="AA2984" s="4">
        <f>=ROUNDDOWN(31.3913043478261,0)</f>
      </c>
      <c r="AB2984" s="5">
        <v>23</v>
      </c>
      <c r="AC2984" s="2" t="s">
        <v>1664</v>
      </c>
      <c r="AD2984" s="4">
        <v>50</v>
      </c>
      <c r="AE2984" s="4">
        <v>900</v>
      </c>
      <c r="AF2984" s="6">
        <v>69</v>
      </c>
      <c r="AG2984" s="6"/>
      <c r="AH2984" s="7">
        <v>1</v>
      </c>
      <c r="AI2984" s="4"/>
      <c r="AJ2984" s="4">
        <f>=ROUNDDOWN({0},0)</f>
      </c>
      <c r="AK2984" s="5"/>
      <c r="AL2984" s="2" t="s">
        <v>231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/>
      <c r="BD2984" s="8"/>
      <c r="BE2984" s="4"/>
      <c r="BF2984" s="8"/>
      <c r="BG2984" s="7"/>
      <c r="BH2984" s="7"/>
      <c r="BI2984" s="7"/>
      <c r="BJ2984" s="4">
        <v>57</v>
      </c>
      <c r="BK2984" s="8">
        <v>1331.15</v>
      </c>
      <c r="BL2984" s="2" t="s">
        <v>12489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12490</v>
      </c>
      <c r="BV2984" s="2" t="s">
        <v>231</v>
      </c>
      <c r="BW2984" s="2" t="s">
        <v>231</v>
      </c>
      <c r="BX2984" s="2" t="s">
        <v>231</v>
      </c>
      <c r="BY2984" s="2" t="s">
        <v>277</v>
      </c>
      <c r="BZ2984" s="2" t="s">
        <v>243</v>
      </c>
      <c r="CA2984" s="2" t="s">
        <v>1271</v>
      </c>
      <c r="CB2984" s="2" t="s">
        <v>4200</v>
      </c>
      <c r="CC2984" s="2" t="s">
        <v>244</v>
      </c>
      <c r="CD2984" s="2" t="s">
        <v>231</v>
      </c>
      <c r="CE2984" s="4">
        <v>722</v>
      </c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4"/>
      <c r="CX2984" s="4"/>
      <c r="CY2984" s="4"/>
      <c r="CZ2984" s="4"/>
      <c r="DA2984" s="4"/>
      <c r="DB2984" s="4"/>
      <c r="DC2984" s="4"/>
      <c r="DD2984" s="4"/>
      <c r="DE2984" s="4"/>
      <c r="DF2984" s="4"/>
      <c r="DG2984" s="4"/>
      <c r="DH2984" s="4"/>
      <c r="DI2984" s="4"/>
      <c r="DJ2984" s="4"/>
      <c r="DK2984" s="4"/>
      <c r="DL2984" s="4"/>
      <c r="DM2984" s="4"/>
      <c r="DN2984" s="4"/>
      <c r="DO2984" s="4"/>
      <c r="DP2984" s="4"/>
      <c r="DQ2984" s="4"/>
      <c r="DR2984" s="4"/>
      <c r="DS2984" s="4"/>
      <c r="DT2984" s="4"/>
      <c r="DU2984" s="4"/>
      <c r="DV2984" s="4"/>
      <c r="DW2984" s="4"/>
      <c r="DX2984" s="4"/>
      <c r="DY2984" s="4"/>
      <c r="DZ2984" s="4"/>
      <c r="EA2984" s="4"/>
      <c r="EB2984" s="4"/>
      <c r="EC2984" s="4"/>
      <c r="ED2984" s="4"/>
      <c r="EE2984" s="4"/>
      <c r="EF2984" s="4"/>
      <c r="EG2984" s="4"/>
      <c r="EH2984" s="4"/>
      <c r="EI2984" s="4"/>
      <c r="EJ2984" s="4"/>
      <c r="EK2984" s="4"/>
      <c r="EL2984" s="4"/>
      <c r="EM2984" s="4"/>
      <c r="EN2984" s="4"/>
      <c r="EO2984" s="4"/>
      <c r="EP2984" s="4"/>
      <c r="EQ2984" s="4"/>
      <c r="ER2984" s="4"/>
      <c r="ES2984" s="4"/>
      <c r="ET2984" s="4"/>
      <c r="EU2984" s="4"/>
      <c r="EV2984" s="4"/>
      <c r="EW2984" s="4"/>
      <c r="EX2984" s="4"/>
      <c r="EY2984" s="4"/>
      <c r="EZ2984" s="4"/>
      <c r="FA2984" s="4"/>
      <c r="FB2984" s="4"/>
      <c r="FC2984" s="4"/>
      <c r="FD2984" s="4"/>
      <c r="FE2984" s="4"/>
      <c r="FF2984" s="4"/>
      <c r="FG2984" s="4"/>
      <c r="FH2984" s="4"/>
      <c r="FI2984" s="4"/>
      <c r="FJ2984" s="4"/>
      <c r="FK2984" s="4"/>
      <c r="FL2984" s="4"/>
      <c r="FM2984" s="4"/>
      <c r="FN2984" s="4"/>
      <c r="FO2984" s="4"/>
      <c r="FP2984" s="4"/>
      <c r="FQ2984" s="4"/>
      <c r="FR2984" s="4"/>
      <c r="FS2984" s="4"/>
      <c r="FT2984" s="4"/>
      <c r="FU2984" s="4"/>
      <c r="FV2984" s="4">
        <v>50</v>
      </c>
      <c r="FW2984" s="4"/>
      <c r="FX2984" s="4"/>
      <c r="FY2984" s="4"/>
      <c r="FZ2984" s="4"/>
      <c r="GA2984" s="4"/>
      <c r="GB2984" s="4">
        <v>300</v>
      </c>
      <c r="GC2984" s="4"/>
      <c r="GD2984" s="4"/>
      <c r="GE2984" s="4"/>
      <c r="GF2984" s="4"/>
      <c r="GG2984" s="4"/>
      <c r="GH2984" s="4"/>
      <c r="GI2984" s="4"/>
      <c r="GJ2984" s="4"/>
      <c r="GK2984" s="4"/>
      <c r="GL2984" s="4"/>
      <c r="GM2984" s="4"/>
      <c r="GN2984" s="4"/>
      <c r="GO2984" s="4"/>
      <c r="GP2984" s="4"/>
      <c r="GQ2984" s="4"/>
      <c r="GR2984" s="4"/>
      <c r="GS2984" s="4"/>
      <c r="GT2984" s="4"/>
      <c r="GU2984" s="4"/>
      <c r="GV2984" s="4"/>
      <c r="GW2984" s="4"/>
      <c r="GX2984" s="4"/>
      <c r="GY2984" s="4"/>
      <c r="GZ2984" s="4"/>
      <c r="HA2984" s="4"/>
      <c r="HB2984" s="4"/>
      <c r="HC2984" s="4"/>
      <c r="HD2984" s="4"/>
      <c r="HE2984" s="4">
        <v>550</v>
      </c>
      <c r="HF2984" s="4"/>
      <c r="HG2984" s="4"/>
      <c r="HH2984" s="4"/>
      <c r="HI2984" s="4"/>
      <c r="HJ2984" s="4"/>
      <c r="HK2984" s="4"/>
      <c r="HL2984" s="4"/>
    </row>
    <row r="2985">
      <c r="A2985" s="2" t="s">
        <v>12491</v>
      </c>
      <c r="B2985" s="2" t="s">
        <v>1186</v>
      </c>
      <c r="C2985" s="2" t="s">
        <v>1299</v>
      </c>
      <c r="D2985" s="2" t="s">
        <v>1624</v>
      </c>
      <c r="E2985" s="2" t="s">
        <v>1625</v>
      </c>
      <c r="F2985" s="2" t="s">
        <v>12492</v>
      </c>
      <c r="G2985" s="2" t="s">
        <v>12492</v>
      </c>
      <c r="H2985" s="2" t="s">
        <v>12492</v>
      </c>
      <c r="I2985" s="2" t="s">
        <v>7058</v>
      </c>
      <c r="J2985" s="2" t="s">
        <v>1628</v>
      </c>
      <c r="K2985" s="2" t="s">
        <v>452</v>
      </c>
      <c r="L2985" s="3">
        <v>22.05</v>
      </c>
      <c r="M2985" s="3">
        <v>23.15</v>
      </c>
      <c r="N2985" s="3">
        <v>44.99</v>
      </c>
      <c r="O2985" s="2" t="s">
        <v>243</v>
      </c>
      <c r="P2985" s="2" t="s">
        <v>270</v>
      </c>
      <c r="Q2985" s="2" t="s">
        <v>237</v>
      </c>
      <c r="R2985" s="2" t="s">
        <v>231</v>
      </c>
      <c r="S2985" s="2" t="s">
        <v>7059</v>
      </c>
      <c r="T2985" s="2" t="s">
        <v>231</v>
      </c>
      <c r="U2985" s="2" t="s">
        <v>231</v>
      </c>
      <c r="V2985" s="2" t="s">
        <v>1304</v>
      </c>
      <c r="W2985" s="2" t="s">
        <v>897</v>
      </c>
      <c r="X2985" s="2" t="s">
        <v>8680</v>
      </c>
      <c r="Y2985" s="2" t="s">
        <v>274</v>
      </c>
      <c r="Z2985" s="4">
        <v>221</v>
      </c>
      <c r="AA2985" s="4">
        <f>=ROUNDDOWN(10.0454545454545,0)</f>
      </c>
      <c r="AB2985" s="5">
        <v>22</v>
      </c>
      <c r="AC2985" s="2" t="s">
        <v>477</v>
      </c>
      <c r="AD2985" s="4">
        <v>370</v>
      </c>
      <c r="AE2985" s="4">
        <v>930</v>
      </c>
      <c r="AF2985" s="6">
        <v>69</v>
      </c>
      <c r="AG2985" s="6"/>
      <c r="AH2985" s="7">
        <v>1</v>
      </c>
      <c r="AI2985" s="4"/>
      <c r="AJ2985" s="4">
        <f>=ROUNDDOWN({0},0)</f>
      </c>
      <c r="AK2985" s="5"/>
      <c r="AL2985" s="2" t="s">
        <v>231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/>
      <c r="BD2985" s="8"/>
      <c r="BE2985" s="4"/>
      <c r="BF2985" s="8"/>
      <c r="BG2985" s="7"/>
      <c r="BH2985" s="7"/>
      <c r="BI2985" s="7"/>
      <c r="BJ2985" s="4">
        <v>78</v>
      </c>
      <c r="BK2985" s="8">
        <v>1816.56</v>
      </c>
      <c r="BL2985" s="2" t="s">
        <v>1492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12493</v>
      </c>
      <c r="BV2985" s="2" t="s">
        <v>231</v>
      </c>
      <c r="BW2985" s="2" t="s">
        <v>231</v>
      </c>
      <c r="BX2985" s="2" t="s">
        <v>231</v>
      </c>
      <c r="BY2985" s="2" t="s">
        <v>277</v>
      </c>
      <c r="BZ2985" s="2" t="s">
        <v>243</v>
      </c>
      <c r="CA2985" s="2" t="s">
        <v>1271</v>
      </c>
      <c r="CB2985" s="2" t="s">
        <v>6876</v>
      </c>
      <c r="CC2985" s="2" t="s">
        <v>244</v>
      </c>
      <c r="CD2985" s="2" t="s">
        <v>231</v>
      </c>
      <c r="CE2985" s="4">
        <v>221</v>
      </c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4"/>
      <c r="CX2985" s="4"/>
      <c r="CY2985" s="4"/>
      <c r="CZ2985" s="4"/>
      <c r="DA2985" s="4"/>
      <c r="DB2985" s="4"/>
      <c r="DC2985" s="4"/>
      <c r="DD2985" s="4"/>
      <c r="DE2985" s="4"/>
      <c r="DF2985" s="4"/>
      <c r="DG2985" s="4"/>
      <c r="DH2985" s="4"/>
      <c r="DI2985" s="4"/>
      <c r="DJ2985" s="4"/>
      <c r="DK2985" s="4"/>
      <c r="DL2985" s="4"/>
      <c r="DM2985" s="4"/>
      <c r="DN2985" s="4"/>
      <c r="DO2985" s="4"/>
      <c r="DP2985" s="4"/>
      <c r="DQ2985" s="4"/>
      <c r="DR2985" s="4"/>
      <c r="DS2985" s="4">
        <v>370</v>
      </c>
      <c r="DT2985" s="4"/>
      <c r="DU2985" s="4"/>
      <c r="DV2985" s="4"/>
      <c r="DW2985" s="4"/>
      <c r="DX2985" s="4"/>
      <c r="DY2985" s="4"/>
      <c r="DZ2985" s="4"/>
      <c r="EA2985" s="4"/>
      <c r="EB2985" s="4"/>
      <c r="EC2985" s="4"/>
      <c r="ED2985" s="4"/>
      <c r="EE2985" s="4"/>
      <c r="EF2985" s="4"/>
      <c r="EG2985" s="4"/>
      <c r="EH2985" s="4"/>
      <c r="EI2985" s="4"/>
      <c r="EJ2985" s="4"/>
      <c r="EK2985" s="4"/>
      <c r="EL2985" s="4"/>
      <c r="EM2985" s="4"/>
      <c r="EN2985" s="4"/>
      <c r="EO2985" s="4"/>
      <c r="EP2985" s="4"/>
      <c r="EQ2985" s="4"/>
      <c r="ER2985" s="4"/>
      <c r="ES2985" s="4"/>
      <c r="ET2985" s="4"/>
      <c r="EU2985" s="4"/>
      <c r="EV2985" s="4"/>
      <c r="EW2985" s="4"/>
      <c r="EX2985" s="4"/>
      <c r="EY2985" s="4"/>
      <c r="EZ2985" s="4"/>
      <c r="FA2985" s="4"/>
      <c r="FB2985" s="4"/>
      <c r="FC2985" s="4"/>
      <c r="FD2985" s="4"/>
      <c r="FE2985" s="4"/>
      <c r="FF2985" s="4"/>
      <c r="FG2985" s="4"/>
      <c r="FH2985" s="4"/>
      <c r="FI2985" s="4">
        <v>280</v>
      </c>
      <c r="FJ2985" s="4"/>
      <c r="FK2985" s="4"/>
      <c r="FL2985" s="4"/>
      <c r="FM2985" s="4"/>
      <c r="FN2985" s="4"/>
      <c r="FO2985" s="4"/>
      <c r="FP2985" s="4"/>
      <c r="FQ2985" s="4"/>
      <c r="FR2985" s="4"/>
      <c r="FS2985" s="4"/>
      <c r="FT2985" s="4"/>
      <c r="FU2985" s="4"/>
      <c r="FV2985" s="4"/>
      <c r="FW2985" s="4"/>
      <c r="FX2985" s="4"/>
      <c r="FY2985" s="4"/>
      <c r="FZ2985" s="4"/>
      <c r="GA2985" s="4"/>
      <c r="GB2985" s="4">
        <v>100</v>
      </c>
      <c r="GC2985" s="4"/>
      <c r="GD2985" s="4"/>
      <c r="GE2985" s="4"/>
      <c r="GF2985" s="4"/>
      <c r="GG2985" s="4"/>
      <c r="GH2985" s="4"/>
      <c r="GI2985" s="4"/>
      <c r="GJ2985" s="4"/>
      <c r="GK2985" s="4"/>
      <c r="GL2985" s="4"/>
      <c r="GM2985" s="4"/>
      <c r="GN2985" s="4"/>
      <c r="GO2985" s="4"/>
      <c r="GP2985" s="4"/>
      <c r="GQ2985" s="4"/>
      <c r="GR2985" s="4"/>
      <c r="GS2985" s="4"/>
      <c r="GT2985" s="4"/>
      <c r="GU2985" s="4"/>
      <c r="GV2985" s="4"/>
      <c r="GW2985" s="4"/>
      <c r="GX2985" s="4"/>
      <c r="GY2985" s="4"/>
      <c r="GZ2985" s="4"/>
      <c r="HA2985" s="4"/>
      <c r="HB2985" s="4"/>
      <c r="HC2985" s="4"/>
      <c r="HD2985" s="4"/>
      <c r="HE2985" s="4">
        <v>180</v>
      </c>
      <c r="HF2985" s="4"/>
      <c r="HG2985" s="4"/>
      <c r="HH2985" s="4"/>
      <c r="HI2985" s="4"/>
      <c r="HJ2985" s="4"/>
      <c r="HK2985" s="4"/>
      <c r="HL2985" s="4"/>
    </row>
    <row r="2986">
      <c r="A2986" s="2" t="s">
        <v>12494</v>
      </c>
      <c r="B2986" s="2" t="s">
        <v>1186</v>
      </c>
      <c r="C2986" s="2" t="s">
        <v>1299</v>
      </c>
      <c r="D2986" s="2" t="s">
        <v>1462</v>
      </c>
      <c r="E2986" s="2" t="s">
        <v>1463</v>
      </c>
      <c r="F2986" s="2" t="s">
        <v>12495</v>
      </c>
      <c r="G2986" s="2" t="s">
        <v>12495</v>
      </c>
      <c r="H2986" s="2" t="s">
        <v>12495</v>
      </c>
      <c r="I2986" s="2" t="s">
        <v>12496</v>
      </c>
      <c r="J2986" s="2" t="s">
        <v>658</v>
      </c>
      <c r="K2986" s="2" t="s">
        <v>12497</v>
      </c>
      <c r="L2986" s="3">
        <v>42</v>
      </c>
      <c r="M2986" s="3">
        <v>44.1</v>
      </c>
      <c r="N2986" s="3">
        <v>89.99</v>
      </c>
      <c r="O2986" s="2" t="s">
        <v>243</v>
      </c>
      <c r="P2986" s="2" t="s">
        <v>341</v>
      </c>
      <c r="Q2986" s="2" t="s">
        <v>237</v>
      </c>
      <c r="R2986" s="2" t="s">
        <v>231</v>
      </c>
      <c r="S2986" s="2" t="s">
        <v>12498</v>
      </c>
      <c r="T2986" s="2" t="s">
        <v>472</v>
      </c>
      <c r="U2986" s="2" t="s">
        <v>835</v>
      </c>
      <c r="V2986" s="2" t="s">
        <v>1304</v>
      </c>
      <c r="W2986" s="2" t="s">
        <v>897</v>
      </c>
      <c r="X2986" s="2" t="s">
        <v>971</v>
      </c>
      <c r="Y2986" s="2" t="s">
        <v>5450</v>
      </c>
      <c r="Z2986" s="4">
        <v>86</v>
      </c>
      <c r="AA2986" s="4">
        <f>=ROUNDDOWN(28.6666666666667,0)</f>
      </c>
      <c r="AB2986" s="5">
        <v>3</v>
      </c>
      <c r="AC2986" s="2" t="s">
        <v>231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231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231</v>
      </c>
      <c r="AW2986" s="8" t="s">
        <v>231</v>
      </c>
      <c r="AX2986" s="4" t="s">
        <v>231</v>
      </c>
      <c r="AY2986" s="8" t="s">
        <v>231</v>
      </c>
      <c r="AZ2986" s="7" t="s">
        <v>231</v>
      </c>
      <c r="BA2986" s="7" t="s">
        <v>231</v>
      </c>
      <c r="BB2986" s="7"/>
      <c r="BC2986" s="4" t="s">
        <v>231</v>
      </c>
      <c r="BD2986" s="8" t="s">
        <v>231</v>
      </c>
      <c r="BE2986" s="4" t="s">
        <v>231</v>
      </c>
      <c r="BF2986" s="8" t="s">
        <v>231</v>
      </c>
      <c r="BG2986" s="7" t="s">
        <v>231</v>
      </c>
      <c r="BH2986" s="7" t="s">
        <v>231</v>
      </c>
      <c r="BI2986" s="7"/>
      <c r="BJ2986" s="4">
        <v>19</v>
      </c>
      <c r="BK2986" s="8">
        <v>520.2</v>
      </c>
      <c r="BL2986" s="2" t="s">
        <v>12499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12500</v>
      </c>
      <c r="BV2986" s="2" t="s">
        <v>231</v>
      </c>
      <c r="BW2986" s="2" t="s">
        <v>231</v>
      </c>
      <c r="BX2986" s="2" t="s">
        <v>231</v>
      </c>
      <c r="BY2986" s="2" t="s">
        <v>277</v>
      </c>
      <c r="BZ2986" s="2" t="s">
        <v>243</v>
      </c>
      <c r="CA2986" s="2" t="s">
        <v>2067</v>
      </c>
      <c r="CB2986" s="2" t="s">
        <v>11310</v>
      </c>
      <c r="CC2986" s="2" t="s">
        <v>244</v>
      </c>
      <c r="CD2986" s="2" t="s">
        <v>231</v>
      </c>
      <c r="CE2986" s="4">
        <v>66</v>
      </c>
      <c r="CF2986" s="4">
        <v>20</v>
      </c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4"/>
      <c r="CX2986" s="4"/>
      <c r="CY2986" s="4"/>
      <c r="CZ2986" s="4"/>
      <c r="DA2986" s="4"/>
      <c r="DB2986" s="4"/>
      <c r="DC2986" s="4"/>
      <c r="DD2986" s="4"/>
      <c r="DE2986" s="4"/>
      <c r="DF2986" s="4"/>
      <c r="DG2986" s="4"/>
      <c r="DH2986" s="4"/>
      <c r="DI2986" s="4"/>
      <c r="DJ2986" s="4"/>
      <c r="DK2986" s="4"/>
      <c r="DL2986" s="4"/>
      <c r="DM2986" s="4"/>
      <c r="DN2986" s="4"/>
      <c r="DO2986" s="4"/>
      <c r="DP2986" s="4"/>
      <c r="DQ2986" s="4"/>
      <c r="DR2986" s="4"/>
      <c r="DS2986" s="4"/>
      <c r="DT2986" s="4"/>
      <c r="DU2986" s="4"/>
      <c r="DV2986" s="4"/>
      <c r="DW2986" s="4"/>
      <c r="DX2986" s="4"/>
      <c r="DY2986" s="4"/>
      <c r="DZ2986" s="4"/>
      <c r="EA2986" s="4"/>
      <c r="EB2986" s="4"/>
      <c r="EC2986" s="4"/>
      <c r="ED2986" s="4"/>
      <c r="EE2986" s="4"/>
      <c r="EF2986" s="4"/>
      <c r="EG2986" s="4"/>
      <c r="EH2986" s="4"/>
      <c r="EI2986" s="4"/>
      <c r="EJ2986" s="4"/>
      <c r="EK2986" s="4"/>
      <c r="EL2986" s="4"/>
      <c r="EM2986" s="4"/>
      <c r="EN2986" s="4"/>
      <c r="EO2986" s="4"/>
      <c r="EP2986" s="4"/>
      <c r="EQ2986" s="4"/>
      <c r="ER2986" s="4"/>
      <c r="ES2986" s="4"/>
      <c r="ET2986" s="4"/>
      <c r="EU2986" s="4"/>
      <c r="EV2986" s="4"/>
      <c r="EW2986" s="4"/>
      <c r="EX2986" s="4"/>
      <c r="EY2986" s="4"/>
      <c r="EZ2986" s="4"/>
      <c r="FA2986" s="4"/>
      <c r="FB2986" s="4"/>
      <c r="FC2986" s="4"/>
      <c r="FD2986" s="4"/>
      <c r="FE2986" s="4"/>
      <c r="FF2986" s="4"/>
      <c r="FG2986" s="4"/>
      <c r="FH2986" s="4"/>
      <c r="FI2986" s="4"/>
      <c r="FJ2986" s="4"/>
      <c r="FK2986" s="4"/>
      <c r="FL2986" s="4"/>
      <c r="FM2986" s="4"/>
      <c r="FN2986" s="4"/>
      <c r="FO2986" s="4"/>
      <c r="FP2986" s="4"/>
      <c r="FQ2986" s="4"/>
      <c r="FR2986" s="4"/>
      <c r="FS2986" s="4"/>
      <c r="FT2986" s="4"/>
      <c r="FU2986" s="4"/>
      <c r="FV2986" s="4"/>
      <c r="FW2986" s="4"/>
      <c r="FX2986" s="4"/>
      <c r="FY2986" s="4"/>
      <c r="FZ2986" s="4"/>
      <c r="GA2986" s="4"/>
      <c r="GB2986" s="4"/>
      <c r="GC2986" s="4"/>
      <c r="GD2986" s="4"/>
      <c r="GE2986" s="4"/>
      <c r="GF2986" s="4"/>
      <c r="GG2986" s="4"/>
      <c r="GH2986" s="4"/>
      <c r="GI2986" s="4"/>
      <c r="GJ2986" s="4"/>
      <c r="GK2986" s="4"/>
      <c r="GL2986" s="4"/>
      <c r="GM2986" s="4"/>
      <c r="GN2986" s="4"/>
      <c r="GO2986" s="4"/>
      <c r="GP2986" s="4"/>
      <c r="GQ2986" s="4"/>
      <c r="GR2986" s="4"/>
      <c r="GS2986" s="4"/>
      <c r="GT2986" s="4"/>
      <c r="GU2986" s="4"/>
      <c r="GV2986" s="4"/>
      <c r="GW2986" s="4"/>
      <c r="GX2986" s="4"/>
      <c r="GY2986" s="4"/>
      <c r="GZ2986" s="4"/>
      <c r="HA2986" s="4"/>
      <c r="HB2986" s="4"/>
      <c r="HC2986" s="4"/>
      <c r="HD2986" s="4"/>
      <c r="HE2986" s="4"/>
      <c r="HF2986" s="4"/>
      <c r="HG2986" s="4"/>
      <c r="HH2986" s="4"/>
      <c r="HI2986" s="4"/>
      <c r="HJ2986" s="4"/>
      <c r="HK2986" s="4"/>
      <c r="HL2986" s="4"/>
    </row>
    <row r="2987">
      <c r="A2987" s="2" t="s">
        <v>12501</v>
      </c>
      <c r="B2987" s="2" t="s">
        <v>1186</v>
      </c>
      <c r="C2987" s="2" t="s">
        <v>1299</v>
      </c>
      <c r="D2987" s="2" t="s">
        <v>1462</v>
      </c>
      <c r="E2987" s="2" t="s">
        <v>1463</v>
      </c>
      <c r="F2987" s="2" t="s">
        <v>12495</v>
      </c>
      <c r="G2987" s="2" t="s">
        <v>12495</v>
      </c>
      <c r="H2987" s="2" t="s">
        <v>12495</v>
      </c>
      <c r="I2987" s="2" t="s">
        <v>12496</v>
      </c>
      <c r="J2987" s="2" t="s">
        <v>669</v>
      </c>
      <c r="K2987" s="2" t="s">
        <v>12497</v>
      </c>
      <c r="L2987" s="3">
        <v>48</v>
      </c>
      <c r="M2987" s="3">
        <v>50.4</v>
      </c>
      <c r="N2987" s="3">
        <v>99.99</v>
      </c>
      <c r="O2987" s="2" t="s">
        <v>243</v>
      </c>
      <c r="P2987" s="2" t="s">
        <v>341</v>
      </c>
      <c r="Q2987" s="2" t="s">
        <v>237</v>
      </c>
      <c r="R2987" s="2" t="s">
        <v>231</v>
      </c>
      <c r="S2987" s="2" t="s">
        <v>12498</v>
      </c>
      <c r="T2987" s="2" t="s">
        <v>472</v>
      </c>
      <c r="U2987" s="2" t="s">
        <v>835</v>
      </c>
      <c r="V2987" s="2" t="s">
        <v>1304</v>
      </c>
      <c r="W2987" s="2" t="s">
        <v>897</v>
      </c>
      <c r="X2987" s="2" t="s">
        <v>971</v>
      </c>
      <c r="Y2987" s="2" t="s">
        <v>5450</v>
      </c>
      <c r="Z2987" s="4">
        <v>66</v>
      </c>
      <c r="AA2987" s="4">
        <f>=ROUNDDOWN(22,0)</f>
      </c>
      <c r="AB2987" s="5">
        <v>3</v>
      </c>
      <c r="AC2987" s="2" t="s">
        <v>231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231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231</v>
      </c>
      <c r="AW2987" s="8" t="s">
        <v>231</v>
      </c>
      <c r="AX2987" s="4" t="s">
        <v>231</v>
      </c>
      <c r="AY2987" s="8" t="s">
        <v>231</v>
      </c>
      <c r="AZ2987" s="7" t="s">
        <v>231</v>
      </c>
      <c r="BA2987" s="7" t="s">
        <v>231</v>
      </c>
      <c r="BB2987" s="7"/>
      <c r="BC2987" s="4" t="s">
        <v>231</v>
      </c>
      <c r="BD2987" s="8" t="s">
        <v>231</v>
      </c>
      <c r="BE2987" s="4" t="s">
        <v>231</v>
      </c>
      <c r="BF2987" s="8" t="s">
        <v>231</v>
      </c>
      <c r="BG2987" s="7" t="s">
        <v>231</v>
      </c>
      <c r="BH2987" s="7" t="s">
        <v>231</v>
      </c>
      <c r="BI2987" s="7"/>
      <c r="BJ2987" s="4">
        <v>15</v>
      </c>
      <c r="BK2987" s="8">
        <v>529.93</v>
      </c>
      <c r="BL2987" s="2" t="s">
        <v>12502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12503</v>
      </c>
      <c r="BV2987" s="2" t="s">
        <v>231</v>
      </c>
      <c r="BW2987" s="2" t="s">
        <v>231</v>
      </c>
      <c r="BX2987" s="2" t="s">
        <v>231</v>
      </c>
      <c r="BY2987" s="2" t="s">
        <v>277</v>
      </c>
      <c r="BZ2987" s="2" t="s">
        <v>243</v>
      </c>
      <c r="CA2987" s="2" t="s">
        <v>2067</v>
      </c>
      <c r="CB2987" s="2" t="s">
        <v>12504</v>
      </c>
      <c r="CC2987" s="2" t="s">
        <v>244</v>
      </c>
      <c r="CD2987" s="2" t="s">
        <v>231</v>
      </c>
      <c r="CE2987" s="4">
        <v>53</v>
      </c>
      <c r="CF2987" s="4">
        <v>13</v>
      </c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4"/>
      <c r="CX2987" s="4"/>
      <c r="CY2987" s="4"/>
      <c r="CZ2987" s="4"/>
      <c r="DA2987" s="4"/>
      <c r="DB2987" s="4"/>
      <c r="DC2987" s="4"/>
      <c r="DD2987" s="4"/>
      <c r="DE2987" s="4"/>
      <c r="DF2987" s="4"/>
      <c r="DG2987" s="4"/>
      <c r="DH2987" s="4"/>
      <c r="DI2987" s="4"/>
      <c r="DJ2987" s="4"/>
      <c r="DK2987" s="4"/>
      <c r="DL2987" s="4"/>
      <c r="DM2987" s="4"/>
      <c r="DN2987" s="4"/>
      <c r="DO2987" s="4"/>
      <c r="DP2987" s="4"/>
      <c r="DQ2987" s="4"/>
      <c r="DR2987" s="4"/>
      <c r="DS2987" s="4"/>
      <c r="DT2987" s="4"/>
      <c r="DU2987" s="4"/>
      <c r="DV2987" s="4"/>
      <c r="DW2987" s="4"/>
      <c r="DX2987" s="4"/>
      <c r="DY2987" s="4"/>
      <c r="DZ2987" s="4"/>
      <c r="EA2987" s="4"/>
      <c r="EB2987" s="4"/>
      <c r="EC2987" s="4"/>
      <c r="ED2987" s="4"/>
      <c r="EE2987" s="4"/>
      <c r="EF2987" s="4"/>
      <c r="EG2987" s="4"/>
      <c r="EH2987" s="4"/>
      <c r="EI2987" s="4"/>
      <c r="EJ2987" s="4"/>
      <c r="EK2987" s="4"/>
      <c r="EL2987" s="4"/>
      <c r="EM2987" s="4"/>
      <c r="EN2987" s="4"/>
      <c r="EO2987" s="4"/>
      <c r="EP2987" s="4"/>
      <c r="EQ2987" s="4"/>
      <c r="ER2987" s="4"/>
      <c r="ES2987" s="4"/>
      <c r="ET2987" s="4"/>
      <c r="EU2987" s="4"/>
      <c r="EV2987" s="4"/>
      <c r="EW2987" s="4"/>
      <c r="EX2987" s="4"/>
      <c r="EY2987" s="4"/>
      <c r="EZ2987" s="4"/>
      <c r="FA2987" s="4"/>
      <c r="FB2987" s="4"/>
      <c r="FC2987" s="4"/>
      <c r="FD2987" s="4"/>
      <c r="FE2987" s="4"/>
      <c r="FF2987" s="4"/>
      <c r="FG2987" s="4"/>
      <c r="FH2987" s="4"/>
      <c r="FI2987" s="4"/>
      <c r="FJ2987" s="4"/>
      <c r="FK2987" s="4"/>
      <c r="FL2987" s="4"/>
      <c r="FM2987" s="4"/>
      <c r="FN2987" s="4"/>
      <c r="FO2987" s="4"/>
      <c r="FP2987" s="4"/>
      <c r="FQ2987" s="4"/>
      <c r="FR2987" s="4"/>
      <c r="FS2987" s="4"/>
      <c r="FT2987" s="4"/>
      <c r="FU2987" s="4"/>
      <c r="FV2987" s="4"/>
      <c r="FW2987" s="4"/>
      <c r="FX2987" s="4"/>
      <c r="FY2987" s="4"/>
      <c r="FZ2987" s="4"/>
      <c r="GA2987" s="4"/>
      <c r="GB2987" s="4"/>
      <c r="GC2987" s="4"/>
      <c r="GD2987" s="4"/>
      <c r="GE2987" s="4"/>
      <c r="GF2987" s="4"/>
      <c r="GG2987" s="4"/>
      <c r="GH2987" s="4"/>
      <c r="GI2987" s="4"/>
      <c r="GJ2987" s="4"/>
      <c r="GK2987" s="4"/>
      <c r="GL2987" s="4"/>
      <c r="GM2987" s="4"/>
      <c r="GN2987" s="4"/>
      <c r="GO2987" s="4"/>
      <c r="GP2987" s="4"/>
      <c r="GQ2987" s="4"/>
      <c r="GR2987" s="4"/>
      <c r="GS2987" s="4"/>
      <c r="GT2987" s="4"/>
      <c r="GU2987" s="4"/>
      <c r="GV2987" s="4"/>
      <c r="GW2987" s="4"/>
      <c r="GX2987" s="4"/>
      <c r="GY2987" s="4"/>
      <c r="GZ2987" s="4"/>
      <c r="HA2987" s="4"/>
      <c r="HB2987" s="4"/>
      <c r="HC2987" s="4"/>
      <c r="HD2987" s="4"/>
      <c r="HE2987" s="4"/>
      <c r="HF2987" s="4"/>
      <c r="HG2987" s="4"/>
      <c r="HH2987" s="4"/>
      <c r="HI2987" s="4"/>
      <c r="HJ2987" s="4"/>
      <c r="HK2987" s="4"/>
      <c r="HL2987" s="4"/>
    </row>
    <row r="2988">
      <c r="A2988" s="2" t="s">
        <v>12505</v>
      </c>
      <c r="B2988" s="2" t="s">
        <v>262</v>
      </c>
      <c r="C2988" s="2" t="s">
        <v>263</v>
      </c>
      <c r="D2988" s="2" t="s">
        <v>228</v>
      </c>
      <c r="E2988" s="2" t="s">
        <v>3164</v>
      </c>
      <c r="F2988" s="2" t="s">
        <v>12506</v>
      </c>
      <c r="G2988" s="2" t="s">
        <v>231</v>
      </c>
      <c r="H2988" s="2" t="s">
        <v>231</v>
      </c>
      <c r="I2988" s="2" t="s">
        <v>12507</v>
      </c>
      <c r="J2988" s="2" t="s">
        <v>658</v>
      </c>
      <c r="K2988" s="2" t="s">
        <v>319</v>
      </c>
      <c r="L2988" s="3">
        <v>41.4</v>
      </c>
      <c r="M2988" s="3">
        <v>43.47</v>
      </c>
      <c r="N2988" s="3">
        <v>89.99</v>
      </c>
      <c r="O2988" s="2" t="s">
        <v>243</v>
      </c>
      <c r="P2988" s="2" t="s">
        <v>270</v>
      </c>
      <c r="Q2988" s="2" t="s">
        <v>237</v>
      </c>
      <c r="R2988" s="2" t="s">
        <v>231</v>
      </c>
      <c r="S2988" s="2" t="s">
        <v>12508</v>
      </c>
      <c r="T2988" s="2" t="s">
        <v>12509</v>
      </c>
      <c r="U2988" s="2" t="s">
        <v>231</v>
      </c>
      <c r="V2988" s="2" t="s">
        <v>239</v>
      </c>
      <c r="W2988" s="2" t="s">
        <v>273</v>
      </c>
      <c r="X2988" s="2" t="s">
        <v>231</v>
      </c>
      <c r="Y2988" s="2" t="s">
        <v>274</v>
      </c>
      <c r="Z2988" s="4">
        <v>273</v>
      </c>
      <c r="AA2988" s="4">
        <f>=ROUNDDOWN(22.75,0)</f>
      </c>
      <c r="AB2988" s="5">
        <v>12</v>
      </c>
      <c r="AC2988" s="2" t="s">
        <v>3415</v>
      </c>
      <c r="AD2988" s="4">
        <v>66</v>
      </c>
      <c r="AE2988" s="4">
        <v>346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231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/>
      <c r="BD2988" s="8"/>
      <c r="BE2988" s="4"/>
      <c r="BF2988" s="8"/>
      <c r="BG2988" s="7"/>
      <c r="BH2988" s="7"/>
      <c r="BI2988" s="7"/>
      <c r="BJ2988" s="4">
        <v>26</v>
      </c>
      <c r="BK2988" s="8">
        <v>1178.86</v>
      </c>
      <c r="BL2988" s="2" t="s">
        <v>12510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12511</v>
      </c>
      <c r="BV2988" s="2" t="s">
        <v>231</v>
      </c>
      <c r="BW2988" s="2" t="s">
        <v>231</v>
      </c>
      <c r="BX2988" s="2" t="s">
        <v>231</v>
      </c>
      <c r="BY2988" s="2" t="s">
        <v>277</v>
      </c>
      <c r="BZ2988" s="2" t="s">
        <v>243</v>
      </c>
      <c r="CA2988" s="2" t="s">
        <v>284</v>
      </c>
      <c r="CB2988" s="2" t="s">
        <v>6696</v>
      </c>
      <c r="CC2988" s="2" t="s">
        <v>244</v>
      </c>
      <c r="CD2988" s="2" t="s">
        <v>231</v>
      </c>
      <c r="CE2988" s="4">
        <v>211</v>
      </c>
      <c r="CF2988" s="4"/>
      <c r="CG2988" s="4"/>
      <c r="CH2988" s="4"/>
      <c r="CI2988" s="4"/>
      <c r="CJ2988" s="4"/>
      <c r="CK2988" s="4"/>
      <c r="CL2988" s="4">
        <v>62</v>
      </c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4"/>
      <c r="CX2988" s="4">
        <v>66</v>
      </c>
      <c r="CY2988" s="4"/>
      <c r="CZ2988" s="4"/>
      <c r="DA2988" s="4"/>
      <c r="DB2988" s="4"/>
      <c r="DC2988" s="4"/>
      <c r="DD2988" s="4"/>
      <c r="DE2988" s="4"/>
      <c r="DF2988" s="4"/>
      <c r="DG2988" s="4"/>
      <c r="DH2988" s="4"/>
      <c r="DI2988" s="4"/>
      <c r="DJ2988" s="4"/>
      <c r="DK2988" s="4"/>
      <c r="DL2988" s="4"/>
      <c r="DM2988" s="4"/>
      <c r="DN2988" s="4"/>
      <c r="DO2988" s="4"/>
      <c r="DP2988" s="4"/>
      <c r="DQ2988" s="4"/>
      <c r="DR2988" s="4"/>
      <c r="DS2988" s="4"/>
      <c r="DT2988" s="4"/>
      <c r="DU2988" s="4"/>
      <c r="DV2988" s="4"/>
      <c r="DW2988" s="4"/>
      <c r="DX2988" s="4"/>
      <c r="DY2988" s="4"/>
      <c r="DZ2988" s="4"/>
      <c r="EA2988" s="4"/>
      <c r="EB2988" s="4"/>
      <c r="EC2988" s="4"/>
      <c r="ED2988" s="4"/>
      <c r="EE2988" s="4"/>
      <c r="EF2988" s="4"/>
      <c r="EG2988" s="4"/>
      <c r="EH2988" s="4"/>
      <c r="EI2988" s="4"/>
      <c r="EJ2988" s="4"/>
      <c r="EK2988" s="4"/>
      <c r="EL2988" s="4"/>
      <c r="EM2988" s="4"/>
      <c r="EN2988" s="4"/>
      <c r="EO2988" s="4"/>
      <c r="EP2988" s="4"/>
      <c r="EQ2988" s="4"/>
      <c r="ER2988" s="4"/>
      <c r="ES2988" s="4"/>
      <c r="ET2988" s="4"/>
      <c r="EU2988" s="4"/>
      <c r="EV2988" s="4"/>
      <c r="EW2988" s="4"/>
      <c r="EX2988" s="4"/>
      <c r="EY2988" s="4"/>
      <c r="EZ2988" s="4"/>
      <c r="FA2988" s="4"/>
      <c r="FB2988" s="4"/>
      <c r="FC2988" s="4"/>
      <c r="FD2988" s="4"/>
      <c r="FE2988" s="4"/>
      <c r="FF2988" s="4"/>
      <c r="FG2988" s="4"/>
      <c r="FH2988" s="4"/>
      <c r="FI2988" s="4">
        <v>280</v>
      </c>
      <c r="FJ2988" s="4"/>
      <c r="FK2988" s="4"/>
      <c r="FL2988" s="4"/>
      <c r="FM2988" s="4"/>
      <c r="FN2988" s="4"/>
      <c r="FO2988" s="4"/>
      <c r="FP2988" s="4"/>
      <c r="FQ2988" s="4"/>
      <c r="FR2988" s="4"/>
      <c r="FS2988" s="4"/>
      <c r="FT2988" s="4"/>
      <c r="FU2988" s="4"/>
      <c r="FV2988" s="4"/>
      <c r="FW2988" s="4"/>
      <c r="FX2988" s="4"/>
      <c r="FY2988" s="4"/>
      <c r="FZ2988" s="4"/>
      <c r="GA2988" s="4"/>
      <c r="GB2988" s="4"/>
      <c r="GC2988" s="4"/>
      <c r="GD2988" s="4"/>
      <c r="GE2988" s="4"/>
      <c r="GF2988" s="4"/>
      <c r="GG2988" s="4"/>
      <c r="GH2988" s="4"/>
      <c r="GI2988" s="4"/>
      <c r="GJ2988" s="4"/>
      <c r="GK2988" s="4"/>
      <c r="GL2988" s="4"/>
      <c r="GM2988" s="4"/>
      <c r="GN2988" s="4"/>
      <c r="GO2988" s="4"/>
      <c r="GP2988" s="4"/>
      <c r="GQ2988" s="4"/>
      <c r="GR2988" s="4"/>
      <c r="GS2988" s="4"/>
      <c r="GT2988" s="4"/>
      <c r="GU2988" s="4"/>
      <c r="GV2988" s="4"/>
      <c r="GW2988" s="4"/>
      <c r="GX2988" s="4"/>
      <c r="GY2988" s="4"/>
      <c r="GZ2988" s="4"/>
      <c r="HA2988" s="4"/>
      <c r="HB2988" s="4"/>
      <c r="HC2988" s="4"/>
      <c r="HD2988" s="4"/>
      <c r="HE2988" s="4"/>
      <c r="HF2988" s="4"/>
      <c r="HG2988" s="4"/>
      <c r="HH2988" s="4"/>
      <c r="HI2988" s="4"/>
      <c r="HJ2988" s="4"/>
      <c r="HK2988" s="4"/>
      <c r="HL2988" s="4"/>
    </row>
    <row r="2989">
      <c r="A2989" s="2" t="s">
        <v>12512</v>
      </c>
      <c r="B2989" s="2" t="s">
        <v>801</v>
      </c>
      <c r="C2989" s="2" t="s">
        <v>815</v>
      </c>
      <c r="D2989" s="2" t="s">
        <v>1043</v>
      </c>
      <c r="E2989" s="2" t="s">
        <v>1044</v>
      </c>
      <c r="F2989" s="2" t="s">
        <v>12513</v>
      </c>
      <c r="G2989" s="2" t="s">
        <v>12513</v>
      </c>
      <c r="H2989" s="2" t="s">
        <v>12513</v>
      </c>
      <c r="I2989" s="2" t="s">
        <v>12514</v>
      </c>
      <c r="J2989" s="2" t="s">
        <v>807</v>
      </c>
      <c r="K2989" s="2" t="s">
        <v>1496</v>
      </c>
      <c r="L2989" s="3">
        <v>81</v>
      </c>
      <c r="M2989" s="3">
        <v>85.05</v>
      </c>
      <c r="N2989" s="3">
        <v>189.99</v>
      </c>
      <c r="O2989" s="2" t="s">
        <v>243</v>
      </c>
      <c r="P2989" s="2" t="s">
        <v>341</v>
      </c>
      <c r="Q2989" s="2" t="s">
        <v>237</v>
      </c>
      <c r="R2989" s="2" t="s">
        <v>231</v>
      </c>
      <c r="S2989" s="2" t="s">
        <v>231</v>
      </c>
      <c r="T2989" s="2" t="s">
        <v>231</v>
      </c>
      <c r="U2989" s="2" t="s">
        <v>327</v>
      </c>
      <c r="V2989" s="2" t="s">
        <v>662</v>
      </c>
      <c r="W2989" s="2" t="s">
        <v>691</v>
      </c>
      <c r="X2989" s="2" t="s">
        <v>1794</v>
      </c>
      <c r="Y2989" s="2" t="s">
        <v>1617</v>
      </c>
      <c r="Z2989" s="4">
        <v>76</v>
      </c>
      <c r="AA2989" s="4">
        <f>=ROUNDDOWN(38,0)</f>
      </c>
      <c r="AB2989" s="5">
        <v>2</v>
      </c>
      <c r="AC2989" s="2" t="s">
        <v>231</v>
      </c>
      <c r="AD2989" s="4"/>
      <c r="AE2989" s="4"/>
      <c r="AF2989" s="6">
        <v>63</v>
      </c>
      <c r="AG2989" s="6"/>
      <c r="AH2989" s="7">
        <v>1</v>
      </c>
      <c r="AI2989" s="4"/>
      <c r="AJ2989" s="4">
        <f>=ROUNDDOWN({0},0)</f>
      </c>
      <c r="AK2989" s="5"/>
      <c r="AL2989" s="2" t="s">
        <v>231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/>
      <c r="AW2989" s="8"/>
      <c r="AX2989" s="4"/>
      <c r="AY2989" s="8"/>
      <c r="AZ2989" s="7"/>
      <c r="BA2989" s="7"/>
      <c r="BB2989" s="7"/>
      <c r="BC2989" s="4"/>
      <c r="BD2989" s="8"/>
      <c r="BE2989" s="4"/>
      <c r="BF2989" s="8"/>
      <c r="BG2989" s="7"/>
      <c r="BH2989" s="7"/>
      <c r="BI2989" s="7"/>
      <c r="BJ2989" s="4">
        <v>4</v>
      </c>
      <c r="BK2989" s="8">
        <v>410.85</v>
      </c>
      <c r="BL2989" s="2" t="s">
        <v>2343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12515</v>
      </c>
      <c r="BV2989" s="2" t="s">
        <v>231</v>
      </c>
      <c r="BW2989" s="2" t="s">
        <v>231</v>
      </c>
      <c r="BX2989" s="2" t="s">
        <v>231</v>
      </c>
      <c r="BY2989" s="2" t="s">
        <v>277</v>
      </c>
      <c r="BZ2989" s="2" t="s">
        <v>243</v>
      </c>
      <c r="CA2989" s="2" t="s">
        <v>1797</v>
      </c>
      <c r="CB2989" s="2" t="s">
        <v>231</v>
      </c>
      <c r="CC2989" s="2" t="s">
        <v>244</v>
      </c>
      <c r="CD2989" s="2" t="s">
        <v>231</v>
      </c>
      <c r="CE2989" s="4"/>
      <c r="CF2989" s="4">
        <v>76</v>
      </c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4"/>
      <c r="CX2989" s="4"/>
      <c r="CY2989" s="4"/>
      <c r="CZ2989" s="4"/>
      <c r="DA2989" s="4"/>
      <c r="DB2989" s="4"/>
      <c r="DC2989" s="4"/>
      <c r="DD2989" s="4"/>
      <c r="DE2989" s="4"/>
      <c r="DF2989" s="4"/>
      <c r="DG2989" s="4"/>
      <c r="DH2989" s="4"/>
      <c r="DI2989" s="4"/>
      <c r="DJ2989" s="4"/>
      <c r="DK2989" s="4"/>
      <c r="DL2989" s="4"/>
      <c r="DM2989" s="4"/>
      <c r="DN2989" s="4"/>
      <c r="DO2989" s="4"/>
      <c r="DP2989" s="4"/>
      <c r="DQ2989" s="4"/>
      <c r="DR2989" s="4"/>
      <c r="DS2989" s="4"/>
      <c r="DT2989" s="4"/>
      <c r="DU2989" s="4"/>
      <c r="DV2989" s="4"/>
      <c r="DW2989" s="4"/>
      <c r="DX2989" s="4"/>
      <c r="DY2989" s="4"/>
      <c r="DZ2989" s="4"/>
      <c r="EA2989" s="4"/>
      <c r="EB2989" s="4"/>
      <c r="EC2989" s="4"/>
      <c r="ED2989" s="4"/>
      <c r="EE2989" s="4"/>
      <c r="EF2989" s="4"/>
      <c r="EG2989" s="4"/>
      <c r="EH2989" s="4"/>
      <c r="EI2989" s="4"/>
      <c r="EJ2989" s="4"/>
      <c r="EK2989" s="4"/>
      <c r="EL2989" s="4"/>
      <c r="EM2989" s="4"/>
      <c r="EN2989" s="4"/>
      <c r="EO2989" s="4"/>
      <c r="EP2989" s="4"/>
      <c r="EQ2989" s="4"/>
      <c r="ER2989" s="4"/>
      <c r="ES2989" s="4"/>
      <c r="ET2989" s="4"/>
      <c r="EU2989" s="4"/>
      <c r="EV2989" s="4"/>
      <c r="EW2989" s="4"/>
      <c r="EX2989" s="4"/>
      <c r="EY2989" s="4"/>
      <c r="EZ2989" s="4"/>
      <c r="FA2989" s="4"/>
      <c r="FB2989" s="4"/>
      <c r="FC2989" s="4"/>
      <c r="FD2989" s="4"/>
      <c r="FE2989" s="4"/>
      <c r="FF2989" s="4"/>
      <c r="FG2989" s="4"/>
      <c r="FH2989" s="4"/>
      <c r="FI2989" s="4"/>
      <c r="FJ2989" s="4"/>
      <c r="FK2989" s="4"/>
      <c r="FL2989" s="4"/>
      <c r="FM2989" s="4"/>
      <c r="FN2989" s="4"/>
      <c r="FO2989" s="4"/>
      <c r="FP2989" s="4"/>
      <c r="FQ2989" s="4"/>
      <c r="FR2989" s="4"/>
      <c r="FS2989" s="4"/>
      <c r="FT2989" s="4"/>
      <c r="FU2989" s="4"/>
      <c r="FV2989" s="4"/>
      <c r="FW2989" s="4"/>
      <c r="FX2989" s="4"/>
      <c r="FY2989" s="4"/>
      <c r="FZ2989" s="4"/>
      <c r="GA2989" s="4"/>
      <c r="GB2989" s="4"/>
      <c r="GC2989" s="4"/>
      <c r="GD2989" s="4"/>
      <c r="GE2989" s="4"/>
      <c r="GF2989" s="4"/>
      <c r="GG2989" s="4"/>
      <c r="GH2989" s="4"/>
      <c r="GI2989" s="4"/>
      <c r="GJ2989" s="4"/>
      <c r="GK2989" s="4"/>
      <c r="GL2989" s="4"/>
      <c r="GM2989" s="4"/>
      <c r="GN2989" s="4"/>
      <c r="GO2989" s="4"/>
      <c r="GP2989" s="4"/>
      <c r="GQ2989" s="4"/>
      <c r="GR2989" s="4"/>
      <c r="GS2989" s="4"/>
      <c r="GT2989" s="4"/>
      <c r="GU2989" s="4"/>
      <c r="GV2989" s="4"/>
      <c r="GW2989" s="4"/>
      <c r="GX2989" s="4"/>
      <c r="GY2989" s="4"/>
      <c r="GZ2989" s="4"/>
      <c r="HA2989" s="4"/>
      <c r="HB2989" s="4"/>
      <c r="HC2989" s="4"/>
      <c r="HD2989" s="4"/>
      <c r="HE2989" s="4"/>
      <c r="HF2989" s="4"/>
      <c r="HG2989" s="4"/>
      <c r="HH2989" s="4"/>
      <c r="HI2989" s="4"/>
      <c r="HJ2989" s="4"/>
      <c r="HK2989" s="4"/>
      <c r="HL2989" s="4"/>
    </row>
    <row r="2990">
      <c r="A2990" s="2" t="s">
        <v>12516</v>
      </c>
      <c r="B2990" s="2" t="s">
        <v>226</v>
      </c>
      <c r="C2990" s="2" t="s">
        <v>288</v>
      </c>
      <c r="D2990" s="2" t="s">
        <v>654</v>
      </c>
      <c r="E2990" s="2" t="s">
        <v>890</v>
      </c>
      <c r="F2990" s="2" t="s">
        <v>12517</v>
      </c>
      <c r="G2990" s="2" t="s">
        <v>12518</v>
      </c>
      <c r="H2990" s="2" t="s">
        <v>12518</v>
      </c>
      <c r="I2990" s="2" t="s">
        <v>984</v>
      </c>
      <c r="J2990" s="2" t="s">
        <v>318</v>
      </c>
      <c r="K2990" s="2" t="s">
        <v>253</v>
      </c>
      <c r="L2990" s="3">
        <v>28.57</v>
      </c>
      <c r="M2990" s="3">
        <v>30</v>
      </c>
      <c r="N2990" s="3">
        <v>59.99</v>
      </c>
      <c r="O2990" s="2" t="s">
        <v>243</v>
      </c>
      <c r="P2990" s="2" t="s">
        <v>236</v>
      </c>
      <c r="Q2990" s="2" t="s">
        <v>237</v>
      </c>
      <c r="R2990" s="2" t="s">
        <v>231</v>
      </c>
      <c r="S2990" s="2" t="s">
        <v>12519</v>
      </c>
      <c r="T2990" s="2" t="s">
        <v>1432</v>
      </c>
      <c r="U2990" s="2" t="s">
        <v>791</v>
      </c>
      <c r="V2990" s="2" t="s">
        <v>239</v>
      </c>
      <c r="W2990" s="2" t="s">
        <v>273</v>
      </c>
      <c r="X2990" s="2" t="s">
        <v>896</v>
      </c>
      <c r="Y2990" s="2" t="s">
        <v>231</v>
      </c>
      <c r="Z2990" s="4"/>
      <c r="AA2990" s="4">
        <f>=ROUNDDOWN({0},0)</f>
      </c>
      <c r="AB2990" s="5"/>
      <c r="AC2990" s="2" t="s">
        <v>6141</v>
      </c>
      <c r="AD2990" s="4">
        <v>60</v>
      </c>
      <c r="AE2990" s="4">
        <v>120</v>
      </c>
      <c r="AF2990" s="6">
        <v>65</v>
      </c>
      <c r="AG2990" s="6"/>
      <c r="AH2990" s="7">
        <v>0</v>
      </c>
      <c r="AI2990" s="4"/>
      <c r="AJ2990" s="4">
        <f>=ROUNDDOWN({0},0)</f>
      </c>
      <c r="AK2990" s="5"/>
      <c r="AL2990" s="2" t="s">
        <v>231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231</v>
      </c>
      <c r="AW2990" s="8" t="s">
        <v>231</v>
      </c>
      <c r="AX2990" s="4" t="s">
        <v>231</v>
      </c>
      <c r="AY2990" s="8" t="s">
        <v>231</v>
      </c>
      <c r="AZ2990" s="7" t="s">
        <v>231</v>
      </c>
      <c r="BA2990" s="7" t="s">
        <v>231</v>
      </c>
      <c r="BB2990" s="7"/>
      <c r="BC2990" s="4" t="s">
        <v>231</v>
      </c>
      <c r="BD2990" s="8" t="s">
        <v>231</v>
      </c>
      <c r="BE2990" s="4" t="s">
        <v>231</v>
      </c>
      <c r="BF2990" s="8" t="s">
        <v>231</v>
      </c>
      <c r="BG2990" s="7" t="s">
        <v>231</v>
      </c>
      <c r="BH2990" s="7" t="s">
        <v>231</v>
      </c>
      <c r="BI2990" s="7"/>
      <c r="BJ2990" s="4"/>
      <c r="BK2990" s="8"/>
      <c r="BL2990" s="2" t="s">
        <v>231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241</v>
      </c>
      <c r="BV2990" s="2" t="s">
        <v>231</v>
      </c>
      <c r="BW2990" s="2" t="s">
        <v>231</v>
      </c>
      <c r="BX2990" s="2" t="s">
        <v>241</v>
      </c>
      <c r="BY2990" s="2" t="s">
        <v>242</v>
      </c>
      <c r="BZ2990" s="2" t="s">
        <v>243</v>
      </c>
      <c r="CA2990" s="2" t="s">
        <v>231</v>
      </c>
      <c r="CB2990" s="2" t="s">
        <v>231</v>
      </c>
      <c r="CC2990" s="2" t="s">
        <v>244</v>
      </c>
      <c r="CD2990" s="2" t="s">
        <v>231</v>
      </c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4"/>
      <c r="CX2990" s="4"/>
      <c r="CY2990" s="4"/>
      <c r="CZ2990" s="4"/>
      <c r="DA2990" s="4"/>
      <c r="DB2990" s="4"/>
      <c r="DC2990" s="4"/>
      <c r="DD2990" s="4"/>
      <c r="DE2990" s="4"/>
      <c r="DF2990" s="4"/>
      <c r="DG2990" s="4"/>
      <c r="DH2990" s="4"/>
      <c r="DI2990" s="4"/>
      <c r="DJ2990" s="4"/>
      <c r="DK2990" s="4"/>
      <c r="DL2990" s="4"/>
      <c r="DM2990" s="4"/>
      <c r="DN2990" s="4"/>
      <c r="DO2990" s="4"/>
      <c r="DP2990" s="4"/>
      <c r="DQ2990" s="4"/>
      <c r="DR2990" s="4"/>
      <c r="DS2990" s="4"/>
      <c r="DT2990" s="4"/>
      <c r="DU2990" s="4"/>
      <c r="DV2990" s="4"/>
      <c r="DW2990" s="4"/>
      <c r="DX2990" s="4"/>
      <c r="DY2990" s="4"/>
      <c r="DZ2990" s="4"/>
      <c r="EA2990" s="4"/>
      <c r="EB2990" s="4"/>
      <c r="EC2990" s="4"/>
      <c r="ED2990" s="4"/>
      <c r="EE2990" s="4"/>
      <c r="EF2990" s="4"/>
      <c r="EG2990" s="4"/>
      <c r="EH2990" s="4"/>
      <c r="EI2990" s="4"/>
      <c r="EJ2990" s="4"/>
      <c r="EK2990" s="4"/>
      <c r="EL2990" s="4"/>
      <c r="EM2990" s="4"/>
      <c r="EN2990" s="4"/>
      <c r="EO2990" s="4">
        <v>60</v>
      </c>
      <c r="EP2990" s="4"/>
      <c r="EQ2990" s="4"/>
      <c r="ER2990" s="4"/>
      <c r="ES2990" s="4"/>
      <c r="ET2990" s="4"/>
      <c r="EU2990" s="4"/>
      <c r="EV2990" s="4"/>
      <c r="EW2990" s="4"/>
      <c r="EX2990" s="4"/>
      <c r="EY2990" s="4"/>
      <c r="EZ2990" s="4"/>
      <c r="FA2990" s="4"/>
      <c r="FB2990" s="4"/>
      <c r="FC2990" s="4"/>
      <c r="FD2990" s="4"/>
      <c r="FE2990" s="4"/>
      <c r="FF2990" s="4"/>
      <c r="FG2990" s="4"/>
      <c r="FH2990" s="4"/>
      <c r="FI2990" s="4"/>
      <c r="FJ2990" s="4"/>
      <c r="FK2990" s="4"/>
      <c r="FL2990" s="4"/>
      <c r="FM2990" s="4"/>
      <c r="FN2990" s="4"/>
      <c r="FO2990" s="4"/>
      <c r="FP2990" s="4"/>
      <c r="FQ2990" s="4"/>
      <c r="FR2990" s="4"/>
      <c r="FS2990" s="4"/>
      <c r="FT2990" s="4"/>
      <c r="FU2990" s="4"/>
      <c r="FV2990" s="4"/>
      <c r="FW2990" s="4"/>
      <c r="FX2990" s="4"/>
      <c r="FY2990" s="4"/>
      <c r="FZ2990" s="4"/>
      <c r="GA2990" s="4"/>
      <c r="GB2990" s="4"/>
      <c r="GC2990" s="4"/>
      <c r="GD2990" s="4">
        <v>60</v>
      </c>
      <c r="GE2990" s="4"/>
      <c r="GF2990" s="4"/>
      <c r="GG2990" s="4"/>
      <c r="GH2990" s="4"/>
      <c r="GI2990" s="4"/>
      <c r="GJ2990" s="4"/>
      <c r="GK2990" s="4"/>
      <c r="GL2990" s="4"/>
      <c r="GM2990" s="4"/>
      <c r="GN2990" s="4"/>
      <c r="GO2990" s="4"/>
      <c r="GP2990" s="4"/>
      <c r="GQ2990" s="4"/>
      <c r="GR2990" s="4"/>
      <c r="GS2990" s="4"/>
      <c r="GT2990" s="4"/>
      <c r="GU2990" s="4"/>
      <c r="GV2990" s="4"/>
      <c r="GW2990" s="4"/>
      <c r="GX2990" s="4"/>
      <c r="GY2990" s="4"/>
      <c r="GZ2990" s="4"/>
      <c r="HA2990" s="4"/>
      <c r="HB2990" s="4"/>
      <c r="HC2990" s="4"/>
      <c r="HD2990" s="4"/>
      <c r="HE2990" s="4"/>
      <c r="HF2990" s="4"/>
      <c r="HG2990" s="4"/>
      <c r="HH2990" s="4"/>
      <c r="HI2990" s="4"/>
      <c r="HJ2990" s="4"/>
      <c r="HK2990" s="4"/>
      <c r="HL2990" s="4"/>
    </row>
    <row r="2991">
      <c r="A2991" s="2" t="s">
        <v>12520</v>
      </c>
      <c r="B2991" s="2" t="s">
        <v>226</v>
      </c>
      <c r="C2991" s="2" t="s">
        <v>288</v>
      </c>
      <c r="D2991" s="2" t="s">
        <v>654</v>
      </c>
      <c r="E2991" s="2" t="s">
        <v>890</v>
      </c>
      <c r="F2991" s="2" t="s">
        <v>12517</v>
      </c>
      <c r="G2991" s="2" t="s">
        <v>12518</v>
      </c>
      <c r="H2991" s="2" t="s">
        <v>12518</v>
      </c>
      <c r="I2991" s="2" t="s">
        <v>984</v>
      </c>
      <c r="J2991" s="2" t="s">
        <v>658</v>
      </c>
      <c r="K2991" s="2" t="s">
        <v>253</v>
      </c>
      <c r="L2991" s="3">
        <v>33.33</v>
      </c>
      <c r="M2991" s="3">
        <v>35</v>
      </c>
      <c r="N2991" s="3">
        <v>69.99</v>
      </c>
      <c r="O2991" s="2" t="s">
        <v>243</v>
      </c>
      <c r="P2991" s="2" t="s">
        <v>236</v>
      </c>
      <c r="Q2991" s="2" t="s">
        <v>237</v>
      </c>
      <c r="R2991" s="2" t="s">
        <v>231</v>
      </c>
      <c r="S2991" s="2" t="s">
        <v>12519</v>
      </c>
      <c r="T2991" s="2" t="s">
        <v>1432</v>
      </c>
      <c r="U2991" s="2" t="s">
        <v>835</v>
      </c>
      <c r="V2991" s="2" t="s">
        <v>239</v>
      </c>
      <c r="W2991" s="2" t="s">
        <v>273</v>
      </c>
      <c r="X2991" s="2" t="s">
        <v>896</v>
      </c>
      <c r="Y2991" s="2" t="s">
        <v>231</v>
      </c>
      <c r="Z2991" s="4"/>
      <c r="AA2991" s="4">
        <f>=ROUNDDOWN({0},0)</f>
      </c>
      <c r="AB2991" s="5"/>
      <c r="AC2991" s="2" t="s">
        <v>6141</v>
      </c>
      <c r="AD2991" s="4">
        <v>170</v>
      </c>
      <c r="AE2991" s="4">
        <v>350</v>
      </c>
      <c r="AF2991" s="6">
        <v>65</v>
      </c>
      <c r="AG2991" s="6"/>
      <c r="AH2991" s="7">
        <v>0</v>
      </c>
      <c r="AI2991" s="4"/>
      <c r="AJ2991" s="4">
        <f>=ROUNDDOWN({0},0)</f>
      </c>
      <c r="AK2991" s="5"/>
      <c r="AL2991" s="2" t="s">
        <v>231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231</v>
      </c>
      <c r="AW2991" s="8" t="s">
        <v>231</v>
      </c>
      <c r="AX2991" s="4" t="s">
        <v>231</v>
      </c>
      <c r="AY2991" s="8" t="s">
        <v>231</v>
      </c>
      <c r="AZ2991" s="7" t="s">
        <v>231</v>
      </c>
      <c r="BA2991" s="7" t="s">
        <v>231</v>
      </c>
      <c r="BB2991" s="7"/>
      <c r="BC2991" s="4" t="s">
        <v>231</v>
      </c>
      <c r="BD2991" s="8" t="s">
        <v>231</v>
      </c>
      <c r="BE2991" s="4" t="s">
        <v>231</v>
      </c>
      <c r="BF2991" s="8" t="s">
        <v>231</v>
      </c>
      <c r="BG2991" s="7" t="s">
        <v>231</v>
      </c>
      <c r="BH2991" s="7" t="s">
        <v>231</v>
      </c>
      <c r="BI2991" s="7"/>
      <c r="BJ2991" s="4"/>
      <c r="BK2991" s="8"/>
      <c r="BL2991" s="2" t="s">
        <v>231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241</v>
      </c>
      <c r="BV2991" s="2" t="s">
        <v>231</v>
      </c>
      <c r="BW2991" s="2" t="s">
        <v>231</v>
      </c>
      <c r="BX2991" s="2" t="s">
        <v>241</v>
      </c>
      <c r="BY2991" s="2" t="s">
        <v>242</v>
      </c>
      <c r="BZ2991" s="2" t="s">
        <v>243</v>
      </c>
      <c r="CA2991" s="2" t="s">
        <v>231</v>
      </c>
      <c r="CB2991" s="2" t="s">
        <v>231</v>
      </c>
      <c r="CC2991" s="2" t="s">
        <v>244</v>
      </c>
      <c r="CD2991" s="2" t="s">
        <v>231</v>
      </c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4"/>
      <c r="CX2991" s="4"/>
      <c r="CY2991" s="4"/>
      <c r="CZ2991" s="4"/>
      <c r="DA2991" s="4"/>
      <c r="DB2991" s="4"/>
      <c r="DC2991" s="4"/>
      <c r="DD2991" s="4"/>
      <c r="DE2991" s="4"/>
      <c r="DF2991" s="4"/>
      <c r="DG2991" s="4"/>
      <c r="DH2991" s="4"/>
      <c r="DI2991" s="4"/>
      <c r="DJ2991" s="4"/>
      <c r="DK2991" s="4"/>
      <c r="DL2991" s="4"/>
      <c r="DM2991" s="4"/>
      <c r="DN2991" s="4"/>
      <c r="DO2991" s="4"/>
      <c r="DP2991" s="4"/>
      <c r="DQ2991" s="4"/>
      <c r="DR2991" s="4"/>
      <c r="DS2991" s="4"/>
      <c r="DT2991" s="4"/>
      <c r="DU2991" s="4"/>
      <c r="DV2991" s="4"/>
      <c r="DW2991" s="4"/>
      <c r="DX2991" s="4"/>
      <c r="DY2991" s="4"/>
      <c r="DZ2991" s="4"/>
      <c r="EA2991" s="4"/>
      <c r="EB2991" s="4"/>
      <c r="EC2991" s="4"/>
      <c r="ED2991" s="4"/>
      <c r="EE2991" s="4"/>
      <c r="EF2991" s="4"/>
      <c r="EG2991" s="4"/>
      <c r="EH2991" s="4"/>
      <c r="EI2991" s="4"/>
      <c r="EJ2991" s="4"/>
      <c r="EK2991" s="4"/>
      <c r="EL2991" s="4"/>
      <c r="EM2991" s="4"/>
      <c r="EN2991" s="4"/>
      <c r="EO2991" s="4">
        <v>170</v>
      </c>
      <c r="EP2991" s="4"/>
      <c r="EQ2991" s="4"/>
      <c r="ER2991" s="4"/>
      <c r="ES2991" s="4"/>
      <c r="ET2991" s="4"/>
      <c r="EU2991" s="4"/>
      <c r="EV2991" s="4"/>
      <c r="EW2991" s="4"/>
      <c r="EX2991" s="4"/>
      <c r="EY2991" s="4"/>
      <c r="EZ2991" s="4"/>
      <c r="FA2991" s="4"/>
      <c r="FB2991" s="4"/>
      <c r="FC2991" s="4"/>
      <c r="FD2991" s="4"/>
      <c r="FE2991" s="4"/>
      <c r="FF2991" s="4"/>
      <c r="FG2991" s="4"/>
      <c r="FH2991" s="4"/>
      <c r="FI2991" s="4"/>
      <c r="FJ2991" s="4"/>
      <c r="FK2991" s="4"/>
      <c r="FL2991" s="4"/>
      <c r="FM2991" s="4"/>
      <c r="FN2991" s="4"/>
      <c r="FO2991" s="4"/>
      <c r="FP2991" s="4"/>
      <c r="FQ2991" s="4"/>
      <c r="FR2991" s="4"/>
      <c r="FS2991" s="4"/>
      <c r="FT2991" s="4"/>
      <c r="FU2991" s="4"/>
      <c r="FV2991" s="4"/>
      <c r="FW2991" s="4"/>
      <c r="FX2991" s="4"/>
      <c r="FY2991" s="4"/>
      <c r="FZ2991" s="4"/>
      <c r="GA2991" s="4"/>
      <c r="GB2991" s="4"/>
      <c r="GC2991" s="4"/>
      <c r="GD2991" s="4">
        <v>180</v>
      </c>
      <c r="GE2991" s="4"/>
      <c r="GF2991" s="4"/>
      <c r="GG2991" s="4"/>
      <c r="GH2991" s="4"/>
      <c r="GI2991" s="4"/>
      <c r="GJ2991" s="4"/>
      <c r="GK2991" s="4"/>
      <c r="GL2991" s="4"/>
      <c r="GM2991" s="4"/>
      <c r="GN2991" s="4"/>
      <c r="GO2991" s="4"/>
      <c r="GP2991" s="4"/>
      <c r="GQ2991" s="4"/>
      <c r="GR2991" s="4"/>
      <c r="GS2991" s="4"/>
      <c r="GT2991" s="4"/>
      <c r="GU2991" s="4"/>
      <c r="GV2991" s="4"/>
      <c r="GW2991" s="4"/>
      <c r="GX2991" s="4"/>
      <c r="GY2991" s="4"/>
      <c r="GZ2991" s="4"/>
      <c r="HA2991" s="4"/>
      <c r="HB2991" s="4"/>
      <c r="HC2991" s="4"/>
      <c r="HD2991" s="4"/>
      <c r="HE2991" s="4"/>
      <c r="HF2991" s="4"/>
      <c r="HG2991" s="4"/>
      <c r="HH2991" s="4"/>
      <c r="HI2991" s="4"/>
      <c r="HJ2991" s="4"/>
      <c r="HK2991" s="4"/>
      <c r="HL2991" s="4"/>
    </row>
    <row r="2992">
      <c r="A2992" s="2" t="s">
        <v>12521</v>
      </c>
      <c r="B2992" s="2" t="s">
        <v>226</v>
      </c>
      <c r="C2992" s="2" t="s">
        <v>288</v>
      </c>
      <c r="D2992" s="2" t="s">
        <v>654</v>
      </c>
      <c r="E2992" s="2" t="s">
        <v>890</v>
      </c>
      <c r="F2992" s="2" t="s">
        <v>12517</v>
      </c>
      <c r="G2992" s="2" t="s">
        <v>12518</v>
      </c>
      <c r="H2992" s="2" t="s">
        <v>12518</v>
      </c>
      <c r="I2992" s="2" t="s">
        <v>984</v>
      </c>
      <c r="J2992" s="2" t="s">
        <v>302</v>
      </c>
      <c r="K2992" s="2" t="s">
        <v>253</v>
      </c>
      <c r="L2992" s="3">
        <v>38.09</v>
      </c>
      <c r="M2992" s="3">
        <v>39.99</v>
      </c>
      <c r="N2992" s="3">
        <v>79.99</v>
      </c>
      <c r="O2992" s="2" t="s">
        <v>243</v>
      </c>
      <c r="P2992" s="2" t="s">
        <v>236</v>
      </c>
      <c r="Q2992" s="2" t="s">
        <v>237</v>
      </c>
      <c r="R2992" s="2" t="s">
        <v>231</v>
      </c>
      <c r="S2992" s="2" t="s">
        <v>12519</v>
      </c>
      <c r="T2992" s="2" t="s">
        <v>1432</v>
      </c>
      <c r="U2992" s="2" t="s">
        <v>835</v>
      </c>
      <c r="V2992" s="2" t="s">
        <v>239</v>
      </c>
      <c r="W2992" s="2" t="s">
        <v>273</v>
      </c>
      <c r="X2992" s="2" t="s">
        <v>896</v>
      </c>
      <c r="Y2992" s="2" t="s">
        <v>231</v>
      </c>
      <c r="Z2992" s="4"/>
      <c r="AA2992" s="4">
        <f>=ROUNDDOWN({0},0)</f>
      </c>
      <c r="AB2992" s="5"/>
      <c r="AC2992" s="2" t="s">
        <v>6141</v>
      </c>
      <c r="AD2992" s="4">
        <v>160</v>
      </c>
      <c r="AE2992" s="4">
        <v>330</v>
      </c>
      <c r="AF2992" s="6">
        <v>65</v>
      </c>
      <c r="AG2992" s="6"/>
      <c r="AH2992" s="7">
        <v>0</v>
      </c>
      <c r="AI2992" s="4"/>
      <c r="AJ2992" s="4">
        <f>=ROUNDDOWN({0},0)</f>
      </c>
      <c r="AK2992" s="5"/>
      <c r="AL2992" s="2" t="s">
        <v>231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231</v>
      </c>
      <c r="AW2992" s="8" t="s">
        <v>231</v>
      </c>
      <c r="AX2992" s="4" t="s">
        <v>231</v>
      </c>
      <c r="AY2992" s="8" t="s">
        <v>231</v>
      </c>
      <c r="AZ2992" s="7" t="s">
        <v>231</v>
      </c>
      <c r="BA2992" s="7" t="s">
        <v>231</v>
      </c>
      <c r="BB2992" s="7"/>
      <c r="BC2992" s="4" t="s">
        <v>231</v>
      </c>
      <c r="BD2992" s="8" t="s">
        <v>231</v>
      </c>
      <c r="BE2992" s="4" t="s">
        <v>231</v>
      </c>
      <c r="BF2992" s="8" t="s">
        <v>231</v>
      </c>
      <c r="BG2992" s="7" t="s">
        <v>231</v>
      </c>
      <c r="BH2992" s="7" t="s">
        <v>231</v>
      </c>
      <c r="BI2992" s="7"/>
      <c r="BJ2992" s="4"/>
      <c r="BK2992" s="8"/>
      <c r="BL2992" s="2" t="s">
        <v>231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241</v>
      </c>
      <c r="BV2992" s="2" t="s">
        <v>231</v>
      </c>
      <c r="BW2992" s="2" t="s">
        <v>231</v>
      </c>
      <c r="BX2992" s="2" t="s">
        <v>241</v>
      </c>
      <c r="BY2992" s="2" t="s">
        <v>242</v>
      </c>
      <c r="BZ2992" s="2" t="s">
        <v>243</v>
      </c>
      <c r="CA2992" s="2" t="s">
        <v>231</v>
      </c>
      <c r="CB2992" s="2" t="s">
        <v>231</v>
      </c>
      <c r="CC2992" s="2" t="s">
        <v>244</v>
      </c>
      <c r="CD2992" s="2" t="s">
        <v>231</v>
      </c>
      <c r="CE2992" s="4"/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4"/>
      <c r="CX2992" s="4"/>
      <c r="CY2992" s="4"/>
      <c r="CZ2992" s="4"/>
      <c r="DA2992" s="4"/>
      <c r="DB2992" s="4"/>
      <c r="DC2992" s="4"/>
      <c r="DD2992" s="4"/>
      <c r="DE2992" s="4"/>
      <c r="DF2992" s="4"/>
      <c r="DG2992" s="4"/>
      <c r="DH2992" s="4"/>
      <c r="DI2992" s="4"/>
      <c r="DJ2992" s="4"/>
      <c r="DK2992" s="4"/>
      <c r="DL2992" s="4"/>
      <c r="DM2992" s="4"/>
      <c r="DN2992" s="4"/>
      <c r="DO2992" s="4"/>
      <c r="DP2992" s="4"/>
      <c r="DQ2992" s="4"/>
      <c r="DR2992" s="4"/>
      <c r="DS2992" s="4"/>
      <c r="DT2992" s="4"/>
      <c r="DU2992" s="4"/>
      <c r="DV2992" s="4"/>
      <c r="DW2992" s="4"/>
      <c r="DX2992" s="4"/>
      <c r="DY2992" s="4"/>
      <c r="DZ2992" s="4"/>
      <c r="EA2992" s="4"/>
      <c r="EB2992" s="4"/>
      <c r="EC2992" s="4"/>
      <c r="ED2992" s="4"/>
      <c r="EE2992" s="4"/>
      <c r="EF2992" s="4"/>
      <c r="EG2992" s="4"/>
      <c r="EH2992" s="4"/>
      <c r="EI2992" s="4"/>
      <c r="EJ2992" s="4"/>
      <c r="EK2992" s="4"/>
      <c r="EL2992" s="4"/>
      <c r="EM2992" s="4"/>
      <c r="EN2992" s="4"/>
      <c r="EO2992" s="4">
        <v>160</v>
      </c>
      <c r="EP2992" s="4"/>
      <c r="EQ2992" s="4"/>
      <c r="ER2992" s="4"/>
      <c r="ES2992" s="4"/>
      <c r="ET2992" s="4"/>
      <c r="EU2992" s="4"/>
      <c r="EV2992" s="4"/>
      <c r="EW2992" s="4"/>
      <c r="EX2992" s="4"/>
      <c r="EY2992" s="4"/>
      <c r="EZ2992" s="4"/>
      <c r="FA2992" s="4"/>
      <c r="FB2992" s="4"/>
      <c r="FC2992" s="4"/>
      <c r="FD2992" s="4"/>
      <c r="FE2992" s="4"/>
      <c r="FF2992" s="4"/>
      <c r="FG2992" s="4"/>
      <c r="FH2992" s="4"/>
      <c r="FI2992" s="4"/>
      <c r="FJ2992" s="4"/>
      <c r="FK2992" s="4"/>
      <c r="FL2992" s="4"/>
      <c r="FM2992" s="4"/>
      <c r="FN2992" s="4"/>
      <c r="FO2992" s="4"/>
      <c r="FP2992" s="4"/>
      <c r="FQ2992" s="4"/>
      <c r="FR2992" s="4"/>
      <c r="FS2992" s="4"/>
      <c r="FT2992" s="4"/>
      <c r="FU2992" s="4"/>
      <c r="FV2992" s="4"/>
      <c r="FW2992" s="4"/>
      <c r="FX2992" s="4"/>
      <c r="FY2992" s="4"/>
      <c r="FZ2992" s="4"/>
      <c r="GA2992" s="4"/>
      <c r="GB2992" s="4"/>
      <c r="GC2992" s="4"/>
      <c r="GD2992" s="4">
        <v>170</v>
      </c>
      <c r="GE2992" s="4"/>
      <c r="GF2992" s="4"/>
      <c r="GG2992" s="4"/>
      <c r="GH2992" s="4"/>
      <c r="GI2992" s="4"/>
      <c r="GJ2992" s="4"/>
      <c r="GK2992" s="4"/>
      <c r="GL2992" s="4"/>
      <c r="GM2992" s="4"/>
      <c r="GN2992" s="4"/>
      <c r="GO2992" s="4"/>
      <c r="GP2992" s="4"/>
      <c r="GQ2992" s="4"/>
      <c r="GR2992" s="4"/>
      <c r="GS2992" s="4"/>
      <c r="GT2992" s="4"/>
      <c r="GU2992" s="4"/>
      <c r="GV2992" s="4"/>
      <c r="GW2992" s="4"/>
      <c r="GX2992" s="4"/>
      <c r="GY2992" s="4"/>
      <c r="GZ2992" s="4"/>
      <c r="HA2992" s="4"/>
      <c r="HB2992" s="4"/>
      <c r="HC2992" s="4"/>
      <c r="HD2992" s="4"/>
      <c r="HE2992" s="4"/>
      <c r="HF2992" s="4"/>
      <c r="HG2992" s="4"/>
      <c r="HH2992" s="4"/>
      <c r="HI2992" s="4"/>
      <c r="HJ2992" s="4"/>
      <c r="HK2992" s="4"/>
      <c r="HL2992" s="4"/>
    </row>
    <row r="2993">
      <c r="A2993" s="2" t="s">
        <v>12522</v>
      </c>
      <c r="B2993" s="2" t="s">
        <v>992</v>
      </c>
      <c r="C2993" s="2" t="s">
        <v>288</v>
      </c>
      <c r="D2993" s="2" t="s">
        <v>993</v>
      </c>
      <c r="E2993" s="2" t="s">
        <v>3390</v>
      </c>
      <c r="F2993" s="2" t="s">
        <v>12523</v>
      </c>
      <c r="G2993" s="2" t="s">
        <v>3246</v>
      </c>
      <c r="H2993" s="2" t="s">
        <v>12524</v>
      </c>
      <c r="I2993" s="2" t="s">
        <v>12525</v>
      </c>
      <c r="J2993" s="2" t="s">
        <v>12526</v>
      </c>
      <c r="K2993" s="2" t="s">
        <v>1491</v>
      </c>
      <c r="L2993" s="3">
        <v>10.75</v>
      </c>
      <c r="M2993" s="3">
        <v>11.29</v>
      </c>
      <c r="N2993" s="3">
        <v>27.99</v>
      </c>
      <c r="O2993" s="2" t="s">
        <v>250</v>
      </c>
      <c r="P2993" s="2" t="s">
        <v>341</v>
      </c>
      <c r="Q2993" s="2" t="s">
        <v>237</v>
      </c>
      <c r="R2993" s="2" t="s">
        <v>231</v>
      </c>
      <c r="S2993" s="2" t="s">
        <v>12527</v>
      </c>
      <c r="T2993" s="2" t="s">
        <v>231</v>
      </c>
      <c r="U2993" s="2" t="s">
        <v>791</v>
      </c>
      <c r="V2993" s="2" t="s">
        <v>381</v>
      </c>
      <c r="W2993" s="2" t="s">
        <v>273</v>
      </c>
      <c r="X2993" s="2" t="s">
        <v>231</v>
      </c>
      <c r="Y2993" s="2" t="s">
        <v>5929</v>
      </c>
      <c r="Z2993" s="4">
        <v>6</v>
      </c>
      <c r="AA2993" s="4">
        <f>=ROUNDDOWN(2.14285714285714,0)</f>
      </c>
      <c r="AB2993" s="5">
        <v>2.8</v>
      </c>
      <c r="AC2993" s="2" t="s">
        <v>231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231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/>
      <c r="BD2993" s="8"/>
      <c r="BE2993" s="4"/>
      <c r="BF2993" s="8"/>
      <c r="BG2993" s="7"/>
      <c r="BH2993" s="7"/>
      <c r="BI2993" s="7"/>
      <c r="BJ2993" s="4">
        <v>10</v>
      </c>
      <c r="BK2993" s="8">
        <v>128.67</v>
      </c>
      <c r="BL2993" s="2" t="s">
        <v>702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12528</v>
      </c>
      <c r="BV2993" s="2" t="s">
        <v>231</v>
      </c>
      <c r="BW2993" s="2" t="s">
        <v>231</v>
      </c>
      <c r="BX2993" s="2" t="s">
        <v>241</v>
      </c>
      <c r="BY2993" s="2" t="s">
        <v>277</v>
      </c>
      <c r="BZ2993" s="2" t="s">
        <v>243</v>
      </c>
      <c r="CA2993" s="2" t="s">
        <v>918</v>
      </c>
      <c r="CB2993" s="2" t="s">
        <v>12529</v>
      </c>
      <c r="CC2993" s="2" t="s">
        <v>244</v>
      </c>
      <c r="CD2993" s="2" t="s">
        <v>231</v>
      </c>
      <c r="CE2993" s="4">
        <v>6</v>
      </c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4"/>
      <c r="CX2993" s="4"/>
      <c r="CY2993" s="4"/>
      <c r="CZ2993" s="4"/>
      <c r="DA2993" s="4"/>
      <c r="DB2993" s="4"/>
      <c r="DC2993" s="4"/>
      <c r="DD2993" s="4"/>
      <c r="DE2993" s="4"/>
      <c r="DF2993" s="4"/>
      <c r="DG2993" s="4"/>
      <c r="DH2993" s="4"/>
      <c r="DI2993" s="4"/>
      <c r="DJ2993" s="4"/>
      <c r="DK2993" s="4"/>
      <c r="DL2993" s="4"/>
      <c r="DM2993" s="4"/>
      <c r="DN2993" s="4"/>
      <c r="DO2993" s="4"/>
      <c r="DP2993" s="4"/>
      <c r="DQ2993" s="4"/>
      <c r="DR2993" s="4"/>
      <c r="DS2993" s="4"/>
      <c r="DT2993" s="4"/>
      <c r="DU2993" s="4"/>
      <c r="DV2993" s="4"/>
      <c r="DW2993" s="4"/>
      <c r="DX2993" s="4"/>
      <c r="DY2993" s="4"/>
      <c r="DZ2993" s="4"/>
      <c r="EA2993" s="4"/>
      <c r="EB2993" s="4"/>
      <c r="EC2993" s="4"/>
      <c r="ED2993" s="4"/>
      <c r="EE2993" s="4"/>
      <c r="EF2993" s="4"/>
      <c r="EG2993" s="4"/>
      <c r="EH2993" s="4"/>
      <c r="EI2993" s="4"/>
      <c r="EJ2993" s="4"/>
      <c r="EK2993" s="4"/>
      <c r="EL2993" s="4"/>
      <c r="EM2993" s="4"/>
      <c r="EN2993" s="4"/>
      <c r="EO2993" s="4"/>
      <c r="EP2993" s="4"/>
      <c r="EQ2993" s="4"/>
      <c r="ER2993" s="4"/>
      <c r="ES2993" s="4"/>
      <c r="ET2993" s="4"/>
      <c r="EU2993" s="4"/>
      <c r="EV2993" s="4"/>
      <c r="EW2993" s="4"/>
      <c r="EX2993" s="4"/>
      <c r="EY2993" s="4"/>
      <c r="EZ2993" s="4"/>
      <c r="FA2993" s="4"/>
      <c r="FB2993" s="4"/>
      <c r="FC2993" s="4"/>
      <c r="FD2993" s="4"/>
      <c r="FE2993" s="4"/>
      <c r="FF2993" s="4"/>
      <c r="FG2993" s="4"/>
      <c r="FH2993" s="4"/>
      <c r="FI2993" s="4"/>
      <c r="FJ2993" s="4"/>
      <c r="FK2993" s="4"/>
      <c r="FL2993" s="4"/>
      <c r="FM2993" s="4"/>
      <c r="FN2993" s="4"/>
      <c r="FO2993" s="4"/>
      <c r="FP2993" s="4"/>
      <c r="FQ2993" s="4"/>
      <c r="FR2993" s="4"/>
      <c r="FS2993" s="4"/>
      <c r="FT2993" s="4"/>
      <c r="FU2993" s="4"/>
      <c r="FV2993" s="4"/>
      <c r="FW2993" s="4"/>
      <c r="FX2993" s="4"/>
      <c r="FY2993" s="4"/>
      <c r="FZ2993" s="4"/>
      <c r="GA2993" s="4"/>
      <c r="GB2993" s="4"/>
      <c r="GC2993" s="4"/>
      <c r="GD2993" s="4"/>
      <c r="GE2993" s="4"/>
      <c r="GF2993" s="4"/>
      <c r="GG2993" s="4"/>
      <c r="GH2993" s="4"/>
      <c r="GI2993" s="4"/>
      <c r="GJ2993" s="4"/>
      <c r="GK2993" s="4"/>
      <c r="GL2993" s="4"/>
      <c r="GM2993" s="4"/>
      <c r="GN2993" s="4"/>
      <c r="GO2993" s="4"/>
      <c r="GP2993" s="4"/>
      <c r="GQ2993" s="4"/>
      <c r="GR2993" s="4"/>
      <c r="GS2993" s="4"/>
      <c r="GT2993" s="4"/>
      <c r="GU2993" s="4"/>
      <c r="GV2993" s="4"/>
      <c r="GW2993" s="4"/>
      <c r="GX2993" s="4"/>
      <c r="GY2993" s="4"/>
      <c r="GZ2993" s="4"/>
      <c r="HA2993" s="4"/>
      <c r="HB2993" s="4"/>
      <c r="HC2993" s="4"/>
      <c r="HD2993" s="4"/>
      <c r="HE2993" s="4"/>
      <c r="HF2993" s="4"/>
      <c r="HG2993" s="4"/>
      <c r="HH2993" s="4"/>
      <c r="HI2993" s="4"/>
      <c r="HJ2993" s="4"/>
      <c r="HK2993" s="4"/>
      <c r="HL2993" s="4"/>
    </row>
    <row r="2994">
      <c r="A2994" s="2" t="s">
        <v>12530</v>
      </c>
      <c r="B2994" s="2" t="s">
        <v>847</v>
      </c>
      <c r="C2994" s="2" t="s">
        <v>815</v>
      </c>
      <c r="D2994" s="2" t="s">
        <v>882</v>
      </c>
      <c r="E2994" s="2" t="s">
        <v>2191</v>
      </c>
      <c r="F2994" s="2" t="s">
        <v>12531</v>
      </c>
      <c r="G2994" s="2" t="s">
        <v>231</v>
      </c>
      <c r="H2994" s="2" t="s">
        <v>231</v>
      </c>
      <c r="I2994" s="2" t="s">
        <v>12532</v>
      </c>
      <c r="J2994" s="2" t="s">
        <v>807</v>
      </c>
      <c r="K2994" s="2" t="s">
        <v>1169</v>
      </c>
      <c r="L2994" s="3">
        <v>30</v>
      </c>
      <c r="M2994" s="3">
        <v>31.49</v>
      </c>
      <c r="N2994" s="3">
        <v>59.99</v>
      </c>
      <c r="O2994" s="2" t="s">
        <v>250</v>
      </c>
      <c r="P2994" s="2" t="s">
        <v>341</v>
      </c>
      <c r="Q2994" s="2" t="s">
        <v>237</v>
      </c>
      <c r="R2994" s="2" t="s">
        <v>231</v>
      </c>
      <c r="S2994" s="2" t="s">
        <v>12533</v>
      </c>
      <c r="T2994" s="2" t="s">
        <v>231</v>
      </c>
      <c r="U2994" s="2" t="s">
        <v>835</v>
      </c>
      <c r="V2994" s="2" t="s">
        <v>987</v>
      </c>
      <c r="W2994" s="2" t="s">
        <v>691</v>
      </c>
      <c r="X2994" s="2" t="s">
        <v>231</v>
      </c>
      <c r="Y2994" s="2" t="s">
        <v>274</v>
      </c>
      <c r="Z2994" s="4"/>
      <c r="AA2994" s="4">
        <f>=ROUNDDOWN({0},0)</f>
      </c>
      <c r="AB2994" s="5"/>
      <c r="AC2994" s="2" t="s">
        <v>231</v>
      </c>
      <c r="AD2994" s="4"/>
      <c r="AE2994" s="4"/>
      <c r="AF2994" s="6"/>
      <c r="AG2994" s="6"/>
      <c r="AH2994" s="7">
        <v>0</v>
      </c>
      <c r="AI2994" s="4"/>
      <c r="AJ2994" s="4">
        <f>=ROUNDDOWN({0},0)</f>
      </c>
      <c r="AK2994" s="5"/>
      <c r="AL2994" s="2" t="s">
        <v>231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/>
      <c r="BD2994" s="8"/>
      <c r="BE2994" s="4"/>
      <c r="BF2994" s="8"/>
      <c r="BG2994" s="7"/>
      <c r="BH2994" s="7"/>
      <c r="BI2994" s="7"/>
      <c r="BJ2994" s="4"/>
      <c r="BK2994" s="8"/>
      <c r="BL2994" s="2" t="s">
        <v>231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12534</v>
      </c>
      <c r="BV2994" s="2" t="s">
        <v>231</v>
      </c>
      <c r="BW2994" s="2" t="s">
        <v>231</v>
      </c>
      <c r="BX2994" s="2" t="s">
        <v>231</v>
      </c>
      <c r="BY2994" s="2" t="s">
        <v>277</v>
      </c>
      <c r="BZ2994" s="2" t="s">
        <v>243</v>
      </c>
      <c r="CA2994" s="2" t="s">
        <v>284</v>
      </c>
      <c r="CB2994" s="2" t="s">
        <v>3482</v>
      </c>
      <c r="CC2994" s="2" t="s">
        <v>244</v>
      </c>
      <c r="CD2994" s="2" t="s">
        <v>231</v>
      </c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  <c r="DP2994" s="4"/>
      <c r="DQ2994" s="4"/>
      <c r="DR2994" s="4"/>
      <c r="DS2994" s="4"/>
      <c r="DT2994" s="4"/>
      <c r="DU2994" s="4"/>
      <c r="DV2994" s="4"/>
      <c r="DW2994" s="4"/>
      <c r="DX2994" s="4"/>
      <c r="DY2994" s="4"/>
      <c r="DZ2994" s="4"/>
      <c r="EA2994" s="4"/>
      <c r="EB2994" s="4"/>
      <c r="EC2994" s="4"/>
      <c r="ED2994" s="4"/>
      <c r="EE2994" s="4"/>
      <c r="EF2994" s="4"/>
      <c r="EG2994" s="4"/>
      <c r="EH2994" s="4"/>
      <c r="EI2994" s="4"/>
      <c r="EJ2994" s="4"/>
      <c r="EK2994" s="4"/>
      <c r="EL2994" s="4"/>
      <c r="EM2994" s="4"/>
      <c r="EN2994" s="4"/>
      <c r="EO2994" s="4"/>
      <c r="EP2994" s="4"/>
      <c r="EQ2994" s="4"/>
      <c r="ER2994" s="4"/>
      <c r="ES2994" s="4"/>
      <c r="ET2994" s="4"/>
      <c r="EU2994" s="4"/>
      <c r="EV2994" s="4"/>
      <c r="EW2994" s="4"/>
      <c r="EX2994" s="4"/>
      <c r="EY2994" s="4"/>
      <c r="EZ2994" s="4"/>
      <c r="FA2994" s="4"/>
      <c r="FB2994" s="4"/>
      <c r="FC2994" s="4"/>
      <c r="FD2994" s="4"/>
      <c r="FE2994" s="4"/>
      <c r="FF2994" s="4"/>
      <c r="FG2994" s="4"/>
      <c r="FH2994" s="4"/>
      <c r="FI2994" s="4"/>
      <c r="FJ2994" s="4"/>
      <c r="FK2994" s="4"/>
      <c r="FL2994" s="4"/>
      <c r="FM2994" s="4"/>
      <c r="FN2994" s="4"/>
      <c r="FO2994" s="4"/>
      <c r="FP2994" s="4"/>
      <c r="FQ2994" s="4"/>
      <c r="FR2994" s="4"/>
      <c r="FS2994" s="4"/>
      <c r="FT2994" s="4"/>
      <c r="FU2994" s="4"/>
      <c r="FV2994" s="4"/>
      <c r="FW2994" s="4"/>
      <c r="FX2994" s="4"/>
      <c r="FY2994" s="4"/>
      <c r="FZ2994" s="4"/>
      <c r="GA2994" s="4"/>
      <c r="GB2994" s="4"/>
      <c r="GC2994" s="4"/>
      <c r="GD2994" s="4"/>
      <c r="GE2994" s="4"/>
      <c r="GF2994" s="4"/>
      <c r="GG2994" s="4"/>
      <c r="GH2994" s="4"/>
      <c r="GI2994" s="4"/>
      <c r="GJ2994" s="4"/>
      <c r="GK2994" s="4"/>
      <c r="GL2994" s="4"/>
      <c r="GM2994" s="4"/>
      <c r="GN2994" s="4"/>
      <c r="GO2994" s="4"/>
      <c r="GP2994" s="4"/>
      <c r="GQ2994" s="4"/>
      <c r="GR2994" s="4"/>
      <c r="GS2994" s="4"/>
      <c r="GT2994" s="4"/>
      <c r="GU2994" s="4"/>
      <c r="GV2994" s="4"/>
      <c r="GW2994" s="4"/>
      <c r="GX2994" s="4"/>
      <c r="GY2994" s="4"/>
      <c r="GZ2994" s="4"/>
      <c r="HA2994" s="4"/>
      <c r="HB2994" s="4"/>
      <c r="HC2994" s="4"/>
      <c r="HD2994" s="4"/>
      <c r="HE2994" s="4"/>
      <c r="HF2994" s="4"/>
      <c r="HG2994" s="4"/>
      <c r="HH2994" s="4"/>
      <c r="HI2994" s="4"/>
      <c r="HJ2994" s="4"/>
      <c r="HK2994" s="4"/>
      <c r="HL2994" s="4"/>
    </row>
    <row r="2995">
      <c r="A2995" s="2" t="s">
        <v>12535</v>
      </c>
      <c r="B2995" s="2" t="s">
        <v>824</v>
      </c>
      <c r="C2995" s="2" t="s">
        <v>825</v>
      </c>
      <c r="D2995" s="2" t="s">
        <v>654</v>
      </c>
      <c r="E2995" s="2" t="s">
        <v>655</v>
      </c>
      <c r="F2995" s="2" t="s">
        <v>12536</v>
      </c>
      <c r="G2995" s="2" t="s">
        <v>12537</v>
      </c>
      <c r="H2995" s="2" t="s">
        <v>12538</v>
      </c>
      <c r="I2995" s="2" t="s">
        <v>984</v>
      </c>
      <c r="J2995" s="2" t="s">
        <v>832</v>
      </c>
      <c r="K2995" s="2" t="s">
        <v>985</v>
      </c>
      <c r="L2995" s="3">
        <v>28.8</v>
      </c>
      <c r="M2995" s="3">
        <v>30.24</v>
      </c>
      <c r="N2995" s="3">
        <v>59.99</v>
      </c>
      <c r="O2995" s="2" t="s">
        <v>250</v>
      </c>
      <c r="P2995" s="2" t="s">
        <v>917</v>
      </c>
      <c r="Q2995" s="2" t="s">
        <v>237</v>
      </c>
      <c r="R2995" s="2" t="s">
        <v>231</v>
      </c>
      <c r="S2995" s="2" t="s">
        <v>12539</v>
      </c>
      <c r="T2995" s="2" t="s">
        <v>231</v>
      </c>
      <c r="U2995" s="2" t="s">
        <v>298</v>
      </c>
      <c r="V2995" s="2" t="s">
        <v>1901</v>
      </c>
      <c r="W2995" s="2" t="s">
        <v>2541</v>
      </c>
      <c r="X2995" s="2" t="s">
        <v>1268</v>
      </c>
      <c r="Y2995" s="2" t="s">
        <v>274</v>
      </c>
      <c r="Z2995" s="4"/>
      <c r="AA2995" s="4">
        <f>=ROUNDDOWN({0},0)</f>
      </c>
      <c r="AB2995" s="5"/>
      <c r="AC2995" s="2" t="s">
        <v>231</v>
      </c>
      <c r="AD2995" s="4"/>
      <c r="AE2995" s="4"/>
      <c r="AF2995" s="6"/>
      <c r="AG2995" s="6"/>
      <c r="AH2995" s="7">
        <v>0</v>
      </c>
      <c r="AI2995" s="4"/>
      <c r="AJ2995" s="4">
        <f>=ROUNDDOWN({0},0)</f>
      </c>
      <c r="AK2995" s="5"/>
      <c r="AL2995" s="2" t="s">
        <v>231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/>
      <c r="BD2995" s="8"/>
      <c r="BE2995" s="4"/>
      <c r="BF2995" s="8"/>
      <c r="BG2995" s="7"/>
      <c r="BH2995" s="7"/>
      <c r="BI2995" s="7"/>
      <c r="BJ2995" s="4"/>
      <c r="BK2995" s="8"/>
      <c r="BL2995" s="2" t="s">
        <v>231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12540</v>
      </c>
      <c r="BV2995" s="2" t="s">
        <v>231</v>
      </c>
      <c r="BW2995" s="2" t="s">
        <v>231</v>
      </c>
      <c r="BX2995" s="2" t="s">
        <v>231</v>
      </c>
      <c r="BY2995" s="2" t="s">
        <v>277</v>
      </c>
      <c r="BZ2995" s="2" t="s">
        <v>243</v>
      </c>
      <c r="CA2995" s="2" t="s">
        <v>284</v>
      </c>
      <c r="CB2995" s="2" t="s">
        <v>4105</v>
      </c>
      <c r="CC2995" s="2" t="s">
        <v>244</v>
      </c>
      <c r="CD2995" s="2" t="s">
        <v>231</v>
      </c>
      <c r="CE2995" s="4"/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4"/>
      <c r="CX2995" s="4"/>
      <c r="CY2995" s="4"/>
      <c r="CZ2995" s="4"/>
      <c r="DA2995" s="4"/>
      <c r="DB2995" s="4"/>
      <c r="DC2995" s="4"/>
      <c r="DD2995" s="4"/>
      <c r="DE2995" s="4"/>
      <c r="DF2995" s="4"/>
      <c r="DG2995" s="4"/>
      <c r="DH2995" s="4"/>
      <c r="DI2995" s="4"/>
      <c r="DJ2995" s="4"/>
      <c r="DK2995" s="4"/>
      <c r="DL2995" s="4"/>
      <c r="DM2995" s="4"/>
      <c r="DN2995" s="4"/>
      <c r="DO2995" s="4"/>
      <c r="DP2995" s="4"/>
      <c r="DQ2995" s="4"/>
      <c r="DR2995" s="4"/>
      <c r="DS2995" s="4"/>
      <c r="DT2995" s="4"/>
      <c r="DU2995" s="4"/>
      <c r="DV2995" s="4"/>
      <c r="DW2995" s="4"/>
      <c r="DX2995" s="4"/>
      <c r="DY2995" s="4"/>
      <c r="DZ2995" s="4"/>
      <c r="EA2995" s="4"/>
      <c r="EB2995" s="4"/>
      <c r="EC2995" s="4"/>
      <c r="ED2995" s="4"/>
      <c r="EE2995" s="4"/>
      <c r="EF2995" s="4"/>
      <c r="EG2995" s="4"/>
      <c r="EH2995" s="4"/>
      <c r="EI2995" s="4"/>
      <c r="EJ2995" s="4"/>
      <c r="EK2995" s="4"/>
      <c r="EL2995" s="4"/>
      <c r="EM2995" s="4"/>
      <c r="EN2995" s="4"/>
      <c r="EO2995" s="4"/>
      <c r="EP2995" s="4"/>
      <c r="EQ2995" s="4"/>
      <c r="ER2995" s="4"/>
      <c r="ES2995" s="4"/>
      <c r="ET2995" s="4"/>
      <c r="EU2995" s="4"/>
      <c r="EV2995" s="4"/>
      <c r="EW2995" s="4"/>
      <c r="EX2995" s="4"/>
      <c r="EY2995" s="4"/>
      <c r="EZ2995" s="4"/>
      <c r="FA2995" s="4"/>
      <c r="FB2995" s="4"/>
      <c r="FC2995" s="4"/>
      <c r="FD2995" s="4"/>
      <c r="FE2995" s="4"/>
      <c r="FF2995" s="4"/>
      <c r="FG2995" s="4"/>
      <c r="FH2995" s="4"/>
      <c r="FI2995" s="4"/>
      <c r="FJ2995" s="4"/>
      <c r="FK2995" s="4"/>
      <c r="FL2995" s="4"/>
      <c r="FM2995" s="4"/>
      <c r="FN2995" s="4"/>
      <c r="FO2995" s="4"/>
      <c r="FP2995" s="4"/>
      <c r="FQ2995" s="4"/>
      <c r="FR2995" s="4"/>
      <c r="FS2995" s="4"/>
      <c r="FT2995" s="4"/>
      <c r="FU2995" s="4"/>
      <c r="FV2995" s="4"/>
      <c r="FW2995" s="4"/>
      <c r="FX2995" s="4"/>
      <c r="FY2995" s="4"/>
      <c r="FZ2995" s="4"/>
      <c r="GA2995" s="4"/>
      <c r="GB2995" s="4"/>
      <c r="GC2995" s="4"/>
      <c r="GD2995" s="4"/>
      <c r="GE2995" s="4"/>
      <c r="GF2995" s="4"/>
      <c r="GG2995" s="4"/>
      <c r="GH2995" s="4"/>
      <c r="GI2995" s="4"/>
      <c r="GJ2995" s="4"/>
      <c r="GK2995" s="4"/>
      <c r="GL2995" s="4"/>
      <c r="GM2995" s="4"/>
      <c r="GN2995" s="4"/>
      <c r="GO2995" s="4"/>
      <c r="GP2995" s="4"/>
      <c r="GQ2995" s="4"/>
      <c r="GR2995" s="4"/>
      <c r="GS2995" s="4"/>
      <c r="GT2995" s="4"/>
      <c r="GU2995" s="4"/>
      <c r="GV2995" s="4"/>
      <c r="GW2995" s="4"/>
      <c r="GX2995" s="4"/>
      <c r="GY2995" s="4"/>
      <c r="GZ2995" s="4"/>
      <c r="HA2995" s="4"/>
      <c r="HB2995" s="4"/>
      <c r="HC2995" s="4"/>
      <c r="HD2995" s="4"/>
      <c r="HE2995" s="4"/>
      <c r="HF2995" s="4"/>
      <c r="HG2995" s="4"/>
      <c r="HH2995" s="4"/>
      <c r="HI2995" s="4"/>
      <c r="HJ2995" s="4"/>
      <c r="HK2995" s="4"/>
      <c r="HL2995" s="4"/>
    </row>
    <row r="2996">
      <c r="A2996" s="2" t="s">
        <v>12541</v>
      </c>
      <c r="B2996" s="2" t="s">
        <v>801</v>
      </c>
      <c r="C2996" s="2" t="s">
        <v>802</v>
      </c>
      <c r="D2996" s="2" t="s">
        <v>1114</v>
      </c>
      <c r="E2996" s="2" t="s">
        <v>1115</v>
      </c>
      <c r="F2996" s="2" t="s">
        <v>12542</v>
      </c>
      <c r="G2996" s="2" t="s">
        <v>12542</v>
      </c>
      <c r="H2996" s="2" t="s">
        <v>12542</v>
      </c>
      <c r="I2996" s="2" t="s">
        <v>12543</v>
      </c>
      <c r="J2996" s="2" t="s">
        <v>807</v>
      </c>
      <c r="K2996" s="2" t="s">
        <v>269</v>
      </c>
      <c r="L2996" s="3">
        <v>53</v>
      </c>
      <c r="M2996" s="3">
        <v>55.65</v>
      </c>
      <c r="N2996" s="3">
        <v>109.99</v>
      </c>
      <c r="O2996" s="2" t="s">
        <v>243</v>
      </c>
      <c r="P2996" s="2" t="s">
        <v>236</v>
      </c>
      <c r="Q2996" s="2" t="s">
        <v>237</v>
      </c>
      <c r="R2996" s="2" t="s">
        <v>231</v>
      </c>
      <c r="S2996" s="2" t="s">
        <v>231</v>
      </c>
      <c r="T2996" s="2" t="s">
        <v>231</v>
      </c>
      <c r="U2996" s="2" t="s">
        <v>327</v>
      </c>
      <c r="V2996" s="2" t="s">
        <v>662</v>
      </c>
      <c r="W2996" s="2" t="s">
        <v>792</v>
      </c>
      <c r="X2996" s="2" t="s">
        <v>299</v>
      </c>
      <c r="Y2996" s="2" t="s">
        <v>1119</v>
      </c>
      <c r="Z2996" s="4">
        <v>72</v>
      </c>
      <c r="AA2996" s="4">
        <f>=ROUNDDOWN(72,0)</f>
      </c>
      <c r="AB2996" s="5">
        <v>1</v>
      </c>
      <c r="AC2996" s="2" t="s">
        <v>231</v>
      </c>
      <c r="AD2996" s="4"/>
      <c r="AE2996" s="4"/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231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231</v>
      </c>
      <c r="BD2996" s="8" t="s">
        <v>231</v>
      </c>
      <c r="BE2996" s="4" t="s">
        <v>231</v>
      </c>
      <c r="BF2996" s="8" t="s">
        <v>231</v>
      </c>
      <c r="BG2996" s="7" t="s">
        <v>231</v>
      </c>
      <c r="BH2996" s="7" t="s">
        <v>231</v>
      </c>
      <c r="BI2996" s="7"/>
      <c r="BJ2996" s="4">
        <v>5</v>
      </c>
      <c r="BK2996" s="8">
        <v>284.93</v>
      </c>
      <c r="BL2996" s="2" t="s">
        <v>2210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12544</v>
      </c>
      <c r="BV2996" s="2" t="s">
        <v>231</v>
      </c>
      <c r="BW2996" s="2" t="s">
        <v>231</v>
      </c>
      <c r="BX2996" s="2" t="s">
        <v>241</v>
      </c>
      <c r="BY2996" s="2" t="s">
        <v>277</v>
      </c>
      <c r="BZ2996" s="2" t="s">
        <v>243</v>
      </c>
      <c r="CA2996" s="2" t="s">
        <v>5422</v>
      </c>
      <c r="CB2996" s="2" t="s">
        <v>231</v>
      </c>
      <c r="CC2996" s="2" t="s">
        <v>244</v>
      </c>
      <c r="CD2996" s="2" t="s">
        <v>231</v>
      </c>
      <c r="CE2996" s="4"/>
      <c r="CF2996" s="4">
        <v>72</v>
      </c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4"/>
      <c r="CX2996" s="4"/>
      <c r="CY2996" s="4"/>
      <c r="CZ2996" s="4"/>
      <c r="DA2996" s="4"/>
      <c r="DB2996" s="4"/>
      <c r="DC2996" s="4"/>
      <c r="DD2996" s="4"/>
      <c r="DE2996" s="4"/>
      <c r="DF2996" s="4"/>
      <c r="DG2996" s="4"/>
      <c r="DH2996" s="4"/>
      <c r="DI2996" s="4"/>
      <c r="DJ2996" s="4"/>
      <c r="DK2996" s="4"/>
      <c r="DL2996" s="4"/>
      <c r="DM2996" s="4"/>
      <c r="DN2996" s="4"/>
      <c r="DO2996" s="4"/>
      <c r="DP2996" s="4"/>
      <c r="DQ2996" s="4"/>
      <c r="DR2996" s="4"/>
      <c r="DS2996" s="4"/>
      <c r="DT2996" s="4"/>
      <c r="DU2996" s="4"/>
      <c r="DV2996" s="4"/>
      <c r="DW2996" s="4"/>
      <c r="DX2996" s="4"/>
      <c r="DY2996" s="4"/>
      <c r="DZ2996" s="4"/>
      <c r="EA2996" s="4"/>
      <c r="EB2996" s="4"/>
      <c r="EC2996" s="4"/>
      <c r="ED2996" s="4"/>
      <c r="EE2996" s="4"/>
      <c r="EF2996" s="4"/>
      <c r="EG2996" s="4"/>
      <c r="EH2996" s="4"/>
      <c r="EI2996" s="4"/>
      <c r="EJ2996" s="4"/>
      <c r="EK2996" s="4"/>
      <c r="EL2996" s="4"/>
      <c r="EM2996" s="4"/>
      <c r="EN2996" s="4"/>
      <c r="EO2996" s="4"/>
      <c r="EP2996" s="4"/>
      <c r="EQ2996" s="4"/>
      <c r="ER2996" s="4"/>
      <c r="ES2996" s="4"/>
      <c r="ET2996" s="4"/>
      <c r="EU2996" s="4"/>
      <c r="EV2996" s="4"/>
      <c r="EW2996" s="4"/>
      <c r="EX2996" s="4"/>
      <c r="EY2996" s="4"/>
      <c r="EZ2996" s="4"/>
      <c r="FA2996" s="4"/>
      <c r="FB2996" s="4"/>
      <c r="FC2996" s="4"/>
      <c r="FD2996" s="4"/>
      <c r="FE2996" s="4"/>
      <c r="FF2996" s="4"/>
      <c r="FG2996" s="4"/>
      <c r="FH2996" s="4"/>
      <c r="FI2996" s="4"/>
      <c r="FJ2996" s="4"/>
      <c r="FK2996" s="4"/>
      <c r="FL2996" s="4"/>
      <c r="FM2996" s="4"/>
      <c r="FN2996" s="4"/>
      <c r="FO2996" s="4"/>
      <c r="FP2996" s="4"/>
      <c r="FQ2996" s="4"/>
      <c r="FR2996" s="4"/>
      <c r="FS2996" s="4"/>
      <c r="FT2996" s="4"/>
      <c r="FU2996" s="4"/>
      <c r="FV2996" s="4"/>
      <c r="FW2996" s="4"/>
      <c r="FX2996" s="4"/>
      <c r="FY2996" s="4"/>
      <c r="FZ2996" s="4"/>
      <c r="GA2996" s="4"/>
      <c r="GB2996" s="4"/>
      <c r="GC2996" s="4"/>
      <c r="GD2996" s="4"/>
      <c r="GE2996" s="4"/>
      <c r="GF2996" s="4"/>
      <c r="GG2996" s="4"/>
      <c r="GH2996" s="4"/>
      <c r="GI2996" s="4"/>
      <c r="GJ2996" s="4"/>
      <c r="GK2996" s="4"/>
      <c r="GL2996" s="4"/>
      <c r="GM2996" s="4"/>
      <c r="GN2996" s="4"/>
      <c r="GO2996" s="4"/>
      <c r="GP2996" s="4"/>
      <c r="GQ2996" s="4"/>
      <c r="GR2996" s="4"/>
      <c r="GS2996" s="4"/>
      <c r="GT2996" s="4"/>
      <c r="GU2996" s="4"/>
      <c r="GV2996" s="4"/>
      <c r="GW2996" s="4"/>
      <c r="GX2996" s="4"/>
      <c r="GY2996" s="4"/>
      <c r="GZ2996" s="4"/>
      <c r="HA2996" s="4"/>
      <c r="HB2996" s="4"/>
      <c r="HC2996" s="4"/>
      <c r="HD2996" s="4"/>
      <c r="HE2996" s="4"/>
      <c r="HF2996" s="4"/>
      <c r="HG2996" s="4"/>
      <c r="HH2996" s="4"/>
      <c r="HI2996" s="4"/>
      <c r="HJ2996" s="4"/>
      <c r="HK2996" s="4"/>
      <c r="HL2996" s="4"/>
    </row>
    <row r="2997">
      <c r="A2997" s="2" t="s">
        <v>12545</v>
      </c>
      <c r="B2997" s="2" t="s">
        <v>801</v>
      </c>
      <c r="C2997" s="2" t="s">
        <v>802</v>
      </c>
      <c r="D2997" s="2" t="s">
        <v>1114</v>
      </c>
      <c r="E2997" s="2" t="s">
        <v>1115</v>
      </c>
      <c r="F2997" s="2" t="s">
        <v>12542</v>
      </c>
      <c r="G2997" s="2" t="s">
        <v>12542</v>
      </c>
      <c r="H2997" s="2" t="s">
        <v>12542</v>
      </c>
      <c r="I2997" s="2" t="s">
        <v>12543</v>
      </c>
      <c r="J2997" s="2" t="s">
        <v>807</v>
      </c>
      <c r="K2997" s="2" t="s">
        <v>1491</v>
      </c>
      <c r="L2997" s="3">
        <v>53</v>
      </c>
      <c r="M2997" s="3">
        <v>55.65</v>
      </c>
      <c r="N2997" s="3">
        <v>109.99</v>
      </c>
      <c r="O2997" s="2" t="s">
        <v>243</v>
      </c>
      <c r="P2997" s="2" t="s">
        <v>236</v>
      </c>
      <c r="Q2997" s="2" t="s">
        <v>237</v>
      </c>
      <c r="R2997" s="2" t="s">
        <v>231</v>
      </c>
      <c r="S2997" s="2" t="s">
        <v>231</v>
      </c>
      <c r="T2997" s="2" t="s">
        <v>231</v>
      </c>
      <c r="U2997" s="2" t="s">
        <v>327</v>
      </c>
      <c r="V2997" s="2" t="s">
        <v>662</v>
      </c>
      <c r="W2997" s="2" t="s">
        <v>792</v>
      </c>
      <c r="X2997" s="2" t="s">
        <v>299</v>
      </c>
      <c r="Y2997" s="2" t="s">
        <v>1119</v>
      </c>
      <c r="Z2997" s="4">
        <v>43</v>
      </c>
      <c r="AA2997" s="4">
        <f>=ROUNDDOWN(43,0)</f>
      </c>
      <c r="AB2997" s="5">
        <v>1</v>
      </c>
      <c r="AC2997" s="2" t="s">
        <v>231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231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231</v>
      </c>
      <c r="BD2997" s="8" t="s">
        <v>231</v>
      </c>
      <c r="BE2997" s="4" t="s">
        <v>231</v>
      </c>
      <c r="BF2997" s="8" t="s">
        <v>231</v>
      </c>
      <c r="BG2997" s="7" t="s">
        <v>231</v>
      </c>
      <c r="BH2997" s="7" t="s">
        <v>231</v>
      </c>
      <c r="BI2997" s="7"/>
      <c r="BJ2997" s="4">
        <v>5</v>
      </c>
      <c r="BK2997" s="8">
        <v>284.93</v>
      </c>
      <c r="BL2997" s="2" t="s">
        <v>2225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12546</v>
      </c>
      <c r="BV2997" s="2" t="s">
        <v>231</v>
      </c>
      <c r="BW2997" s="2" t="s">
        <v>231</v>
      </c>
      <c r="BX2997" s="2" t="s">
        <v>241</v>
      </c>
      <c r="BY2997" s="2" t="s">
        <v>277</v>
      </c>
      <c r="BZ2997" s="2" t="s">
        <v>243</v>
      </c>
      <c r="CA2997" s="2" t="s">
        <v>5422</v>
      </c>
      <c r="CB2997" s="2" t="s">
        <v>231</v>
      </c>
      <c r="CC2997" s="2" t="s">
        <v>244</v>
      </c>
      <c r="CD2997" s="2" t="s">
        <v>231</v>
      </c>
      <c r="CE2997" s="4"/>
      <c r="CF2997" s="4">
        <v>43</v>
      </c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4"/>
      <c r="CX2997" s="4"/>
      <c r="CY2997" s="4"/>
      <c r="CZ2997" s="4"/>
      <c r="DA2997" s="4"/>
      <c r="DB2997" s="4"/>
      <c r="DC2997" s="4"/>
      <c r="DD2997" s="4"/>
      <c r="DE2997" s="4"/>
      <c r="DF2997" s="4"/>
      <c r="DG2997" s="4"/>
      <c r="DH2997" s="4"/>
      <c r="DI2997" s="4"/>
      <c r="DJ2997" s="4"/>
      <c r="DK2997" s="4"/>
      <c r="DL2997" s="4"/>
      <c r="DM2997" s="4"/>
      <c r="DN2997" s="4"/>
      <c r="DO2997" s="4"/>
      <c r="DP2997" s="4"/>
      <c r="DQ2997" s="4"/>
      <c r="DR2997" s="4"/>
      <c r="DS2997" s="4"/>
      <c r="DT2997" s="4"/>
      <c r="DU2997" s="4"/>
      <c r="DV2997" s="4"/>
      <c r="DW2997" s="4"/>
      <c r="DX2997" s="4"/>
      <c r="DY2997" s="4"/>
      <c r="DZ2997" s="4"/>
      <c r="EA2997" s="4"/>
      <c r="EB2997" s="4"/>
      <c r="EC2997" s="4"/>
      <c r="ED2997" s="4"/>
      <c r="EE2997" s="4"/>
      <c r="EF2997" s="4"/>
      <c r="EG2997" s="4"/>
      <c r="EH2997" s="4"/>
      <c r="EI2997" s="4"/>
      <c r="EJ2997" s="4"/>
      <c r="EK2997" s="4"/>
      <c r="EL2997" s="4"/>
      <c r="EM2997" s="4"/>
      <c r="EN2997" s="4"/>
      <c r="EO2997" s="4"/>
      <c r="EP2997" s="4"/>
      <c r="EQ2997" s="4"/>
      <c r="ER2997" s="4"/>
      <c r="ES2997" s="4"/>
      <c r="ET2997" s="4"/>
      <c r="EU2997" s="4"/>
      <c r="EV2997" s="4"/>
      <c r="EW2997" s="4"/>
      <c r="EX2997" s="4"/>
      <c r="EY2997" s="4"/>
      <c r="EZ2997" s="4"/>
      <c r="FA2997" s="4"/>
      <c r="FB2997" s="4"/>
      <c r="FC2997" s="4"/>
      <c r="FD2997" s="4"/>
      <c r="FE2997" s="4"/>
      <c r="FF2997" s="4"/>
      <c r="FG2997" s="4"/>
      <c r="FH2997" s="4"/>
      <c r="FI2997" s="4"/>
      <c r="FJ2997" s="4"/>
      <c r="FK2997" s="4"/>
      <c r="FL2997" s="4"/>
      <c r="FM2997" s="4"/>
      <c r="FN2997" s="4"/>
      <c r="FO2997" s="4"/>
      <c r="FP2997" s="4"/>
      <c r="FQ2997" s="4"/>
      <c r="FR2997" s="4"/>
      <c r="FS2997" s="4"/>
      <c r="FT2997" s="4"/>
      <c r="FU2997" s="4"/>
      <c r="FV2997" s="4"/>
      <c r="FW2997" s="4"/>
      <c r="FX2997" s="4"/>
      <c r="FY2997" s="4"/>
      <c r="FZ2997" s="4"/>
      <c r="GA2997" s="4"/>
      <c r="GB2997" s="4"/>
      <c r="GC2997" s="4"/>
      <c r="GD2997" s="4"/>
      <c r="GE2997" s="4"/>
      <c r="GF2997" s="4"/>
      <c r="GG2997" s="4"/>
      <c r="GH2997" s="4"/>
      <c r="GI2997" s="4"/>
      <c r="GJ2997" s="4"/>
      <c r="GK2997" s="4"/>
      <c r="GL2997" s="4"/>
      <c r="GM2997" s="4"/>
      <c r="GN2997" s="4"/>
      <c r="GO2997" s="4"/>
      <c r="GP2997" s="4"/>
      <c r="GQ2997" s="4"/>
      <c r="GR2997" s="4"/>
      <c r="GS2997" s="4"/>
      <c r="GT2997" s="4"/>
      <c r="GU2997" s="4"/>
      <c r="GV2997" s="4"/>
      <c r="GW2997" s="4"/>
      <c r="GX2997" s="4"/>
      <c r="GY2997" s="4"/>
      <c r="GZ2997" s="4"/>
      <c r="HA2997" s="4"/>
      <c r="HB2997" s="4"/>
      <c r="HC2997" s="4"/>
      <c r="HD2997" s="4"/>
      <c r="HE2997" s="4"/>
      <c r="HF2997" s="4"/>
      <c r="HG2997" s="4"/>
      <c r="HH2997" s="4"/>
      <c r="HI2997" s="4"/>
      <c r="HJ2997" s="4"/>
      <c r="HK2997" s="4"/>
      <c r="HL2997" s="4"/>
    </row>
    <row r="2998">
      <c r="A2998" s="2" t="s">
        <v>12547</v>
      </c>
      <c r="B2998" s="2" t="s">
        <v>801</v>
      </c>
      <c r="C2998" s="2" t="s">
        <v>802</v>
      </c>
      <c r="D2998" s="2" t="s">
        <v>1114</v>
      </c>
      <c r="E2998" s="2" t="s">
        <v>1115</v>
      </c>
      <c r="F2998" s="2" t="s">
        <v>12542</v>
      </c>
      <c r="G2998" s="2" t="s">
        <v>12542</v>
      </c>
      <c r="H2998" s="2" t="s">
        <v>12542</v>
      </c>
      <c r="I2998" s="2" t="s">
        <v>12543</v>
      </c>
      <c r="J2998" s="2" t="s">
        <v>807</v>
      </c>
      <c r="K2998" s="2" t="s">
        <v>253</v>
      </c>
      <c r="L2998" s="3">
        <v>53</v>
      </c>
      <c r="M2998" s="3">
        <v>55.65</v>
      </c>
      <c r="N2998" s="3">
        <v>109.99</v>
      </c>
      <c r="O2998" s="2" t="s">
        <v>243</v>
      </c>
      <c r="P2998" s="2" t="s">
        <v>236</v>
      </c>
      <c r="Q2998" s="2" t="s">
        <v>237</v>
      </c>
      <c r="R2998" s="2" t="s">
        <v>231</v>
      </c>
      <c r="S2998" s="2" t="s">
        <v>231</v>
      </c>
      <c r="T2998" s="2" t="s">
        <v>231</v>
      </c>
      <c r="U2998" s="2" t="s">
        <v>327</v>
      </c>
      <c r="V2998" s="2" t="s">
        <v>662</v>
      </c>
      <c r="W2998" s="2" t="s">
        <v>792</v>
      </c>
      <c r="X2998" s="2" t="s">
        <v>299</v>
      </c>
      <c r="Y2998" s="2" t="s">
        <v>1119</v>
      </c>
      <c r="Z2998" s="4">
        <v>116</v>
      </c>
      <c r="AA2998" s="4">
        <f>=ROUNDDOWN(116,0)</f>
      </c>
      <c r="AB2998" s="5">
        <v>1</v>
      </c>
      <c r="AC2998" s="2" t="s">
        <v>231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231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231</v>
      </c>
      <c r="BD2998" s="8" t="s">
        <v>231</v>
      </c>
      <c r="BE2998" s="4" t="s">
        <v>231</v>
      </c>
      <c r="BF2998" s="8" t="s">
        <v>231</v>
      </c>
      <c r="BG2998" s="7" t="s">
        <v>231</v>
      </c>
      <c r="BH2998" s="7" t="s">
        <v>231</v>
      </c>
      <c r="BI2998" s="7"/>
      <c r="BJ2998" s="4">
        <v>4</v>
      </c>
      <c r="BK2998" s="8">
        <v>259.7</v>
      </c>
      <c r="BL2998" s="2" t="s">
        <v>1306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12548</v>
      </c>
      <c r="BV2998" s="2" t="s">
        <v>231</v>
      </c>
      <c r="BW2998" s="2" t="s">
        <v>231</v>
      </c>
      <c r="BX2998" s="2" t="s">
        <v>241</v>
      </c>
      <c r="BY2998" s="2" t="s">
        <v>277</v>
      </c>
      <c r="BZ2998" s="2" t="s">
        <v>243</v>
      </c>
      <c r="CA2998" s="2" t="s">
        <v>5422</v>
      </c>
      <c r="CB2998" s="2" t="s">
        <v>231</v>
      </c>
      <c r="CC2998" s="2" t="s">
        <v>244</v>
      </c>
      <c r="CD2998" s="2" t="s">
        <v>231</v>
      </c>
      <c r="CE2998" s="4"/>
      <c r="CF2998" s="4">
        <v>116</v>
      </c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4"/>
      <c r="CX2998" s="4"/>
      <c r="CY2998" s="4"/>
      <c r="CZ2998" s="4"/>
      <c r="DA2998" s="4"/>
      <c r="DB2998" s="4"/>
      <c r="DC2998" s="4"/>
      <c r="DD2998" s="4"/>
      <c r="DE2998" s="4"/>
      <c r="DF2998" s="4"/>
      <c r="DG2998" s="4"/>
      <c r="DH2998" s="4"/>
      <c r="DI2998" s="4"/>
      <c r="DJ2998" s="4"/>
      <c r="DK2998" s="4"/>
      <c r="DL2998" s="4"/>
      <c r="DM2998" s="4"/>
      <c r="DN2998" s="4"/>
      <c r="DO2998" s="4"/>
      <c r="DP2998" s="4"/>
      <c r="DQ2998" s="4"/>
      <c r="DR2998" s="4"/>
      <c r="DS2998" s="4"/>
      <c r="DT2998" s="4"/>
      <c r="DU2998" s="4"/>
      <c r="DV2998" s="4"/>
      <c r="DW2998" s="4"/>
      <c r="DX2998" s="4"/>
      <c r="DY2998" s="4"/>
      <c r="DZ2998" s="4"/>
      <c r="EA2998" s="4"/>
      <c r="EB2998" s="4"/>
      <c r="EC2998" s="4"/>
      <c r="ED2998" s="4"/>
      <c r="EE2998" s="4"/>
      <c r="EF2998" s="4"/>
      <c r="EG2998" s="4"/>
      <c r="EH2998" s="4"/>
      <c r="EI2998" s="4"/>
      <c r="EJ2998" s="4"/>
      <c r="EK2998" s="4"/>
      <c r="EL2998" s="4"/>
      <c r="EM2998" s="4"/>
      <c r="EN2998" s="4"/>
      <c r="EO2998" s="4"/>
      <c r="EP2998" s="4"/>
      <c r="EQ2998" s="4"/>
      <c r="ER2998" s="4"/>
      <c r="ES2998" s="4"/>
      <c r="ET2998" s="4"/>
      <c r="EU2998" s="4"/>
      <c r="EV2998" s="4"/>
      <c r="EW2998" s="4"/>
      <c r="EX2998" s="4"/>
      <c r="EY2998" s="4"/>
      <c r="EZ2998" s="4"/>
      <c r="FA2998" s="4"/>
      <c r="FB2998" s="4"/>
      <c r="FC2998" s="4"/>
      <c r="FD2998" s="4"/>
      <c r="FE2998" s="4"/>
      <c r="FF2998" s="4"/>
      <c r="FG2998" s="4"/>
      <c r="FH2998" s="4"/>
      <c r="FI2998" s="4"/>
      <c r="FJ2998" s="4"/>
      <c r="FK2998" s="4"/>
      <c r="FL2998" s="4"/>
      <c r="FM2998" s="4"/>
      <c r="FN2998" s="4"/>
      <c r="FO2998" s="4"/>
      <c r="FP2998" s="4"/>
      <c r="FQ2998" s="4"/>
      <c r="FR2998" s="4"/>
      <c r="FS2998" s="4"/>
      <c r="FT2998" s="4"/>
      <c r="FU2998" s="4"/>
      <c r="FV2998" s="4"/>
      <c r="FW2998" s="4"/>
      <c r="FX2998" s="4"/>
      <c r="FY2998" s="4"/>
      <c r="FZ2998" s="4"/>
      <c r="GA2998" s="4"/>
      <c r="GB2998" s="4"/>
      <c r="GC2998" s="4"/>
      <c r="GD2998" s="4"/>
      <c r="GE2998" s="4"/>
      <c r="GF2998" s="4"/>
      <c r="GG2998" s="4"/>
      <c r="GH2998" s="4"/>
      <c r="GI2998" s="4"/>
      <c r="GJ2998" s="4"/>
      <c r="GK2998" s="4"/>
      <c r="GL2998" s="4"/>
      <c r="GM2998" s="4"/>
      <c r="GN2998" s="4"/>
      <c r="GO2998" s="4"/>
      <c r="GP2998" s="4"/>
      <c r="GQ2998" s="4"/>
      <c r="GR2998" s="4"/>
      <c r="GS2998" s="4"/>
      <c r="GT2998" s="4"/>
      <c r="GU2998" s="4"/>
      <c r="GV2998" s="4"/>
      <c r="GW2998" s="4"/>
      <c r="GX2998" s="4"/>
      <c r="GY2998" s="4"/>
      <c r="GZ2998" s="4"/>
      <c r="HA2998" s="4"/>
      <c r="HB2998" s="4"/>
      <c r="HC2998" s="4"/>
      <c r="HD2998" s="4"/>
      <c r="HE2998" s="4"/>
      <c r="HF2998" s="4"/>
      <c r="HG2998" s="4"/>
      <c r="HH2998" s="4"/>
      <c r="HI2998" s="4"/>
      <c r="HJ2998" s="4"/>
      <c r="HK2998" s="4"/>
      <c r="HL2998" s="4"/>
    </row>
    <row r="2999">
      <c r="A2999" s="2" t="s">
        <v>12549</v>
      </c>
      <c r="B2999" s="2" t="s">
        <v>801</v>
      </c>
      <c r="C2999" s="2" t="s">
        <v>815</v>
      </c>
      <c r="D2999" s="2" t="s">
        <v>1114</v>
      </c>
      <c r="E2999" s="2" t="s">
        <v>1115</v>
      </c>
      <c r="F2999" s="2" t="s">
        <v>12550</v>
      </c>
      <c r="G2999" s="2" t="s">
        <v>12550</v>
      </c>
      <c r="H2999" s="2" t="s">
        <v>12550</v>
      </c>
      <c r="I2999" s="2" t="s">
        <v>12551</v>
      </c>
      <c r="J2999" s="2" t="s">
        <v>807</v>
      </c>
      <c r="K2999" s="2" t="s">
        <v>253</v>
      </c>
      <c r="L2999" s="3">
        <v>38.4</v>
      </c>
      <c r="M2999" s="3">
        <v>40.32</v>
      </c>
      <c r="N2999" s="3">
        <v>79.99</v>
      </c>
      <c r="O2999" s="2" t="s">
        <v>243</v>
      </c>
      <c r="P2999" s="2" t="s">
        <v>236</v>
      </c>
      <c r="Q2999" s="2" t="s">
        <v>237</v>
      </c>
      <c r="R2999" s="2" t="s">
        <v>231</v>
      </c>
      <c r="S2999" s="2" t="s">
        <v>231</v>
      </c>
      <c r="T2999" s="2" t="s">
        <v>231</v>
      </c>
      <c r="U2999" s="2" t="s">
        <v>327</v>
      </c>
      <c r="V2999" s="2" t="s">
        <v>662</v>
      </c>
      <c r="W2999" s="2" t="s">
        <v>1745</v>
      </c>
      <c r="X2999" s="2" t="s">
        <v>691</v>
      </c>
      <c r="Y2999" s="2" t="s">
        <v>231</v>
      </c>
      <c r="Z2999" s="4"/>
      <c r="AA2999" s="4">
        <f>=ROUNDDOWN({0},0)</f>
      </c>
      <c r="AB2999" s="5">
        <v>1</v>
      </c>
      <c r="AC2999" s="2" t="s">
        <v>1754</v>
      </c>
      <c r="AD2999" s="4">
        <v>20</v>
      </c>
      <c r="AE2999" s="4">
        <v>100</v>
      </c>
      <c r="AF2999" s="6">
        <v>65</v>
      </c>
      <c r="AG2999" s="6"/>
      <c r="AH2999" s="7">
        <v>0</v>
      </c>
      <c r="AI2999" s="4"/>
      <c r="AJ2999" s="4">
        <f>=ROUNDDOWN({0},0)</f>
      </c>
      <c r="AK2999" s="5"/>
      <c r="AL2999" s="2" t="s">
        <v>231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/>
      <c r="BD2999" s="8"/>
      <c r="BE2999" s="4"/>
      <c r="BF2999" s="8"/>
      <c r="BG2999" s="7"/>
      <c r="BH2999" s="7"/>
      <c r="BI2999" s="7"/>
      <c r="BJ2999" s="4"/>
      <c r="BK2999" s="8"/>
      <c r="BL2999" s="2" t="s">
        <v>231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241</v>
      </c>
      <c r="BV2999" s="2" t="s">
        <v>231</v>
      </c>
      <c r="BW2999" s="2" t="s">
        <v>231</v>
      </c>
      <c r="BX2999" s="2" t="s">
        <v>241</v>
      </c>
      <c r="BY2999" s="2" t="s">
        <v>242</v>
      </c>
      <c r="BZ2999" s="2" t="s">
        <v>243</v>
      </c>
      <c r="CA2999" s="2" t="s">
        <v>231</v>
      </c>
      <c r="CB2999" s="2" t="s">
        <v>231</v>
      </c>
      <c r="CC2999" s="2" t="s">
        <v>244</v>
      </c>
      <c r="CD2999" s="2" t="s">
        <v>231</v>
      </c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4"/>
      <c r="CX2999" s="4"/>
      <c r="CY2999" s="4"/>
      <c r="CZ2999" s="4"/>
      <c r="DA2999" s="4"/>
      <c r="DB2999" s="4"/>
      <c r="DC2999" s="4"/>
      <c r="DD2999" s="4"/>
      <c r="DE2999" s="4"/>
      <c r="DF2999" s="4"/>
      <c r="DG2999" s="4"/>
      <c r="DH2999" s="4"/>
      <c r="DI2999" s="4"/>
      <c r="DJ2999" s="4"/>
      <c r="DK2999" s="4"/>
      <c r="DL2999" s="4"/>
      <c r="DM2999" s="4"/>
      <c r="DN2999" s="4"/>
      <c r="DO2999" s="4"/>
      <c r="DP2999" s="4"/>
      <c r="DQ2999" s="4"/>
      <c r="DR2999" s="4"/>
      <c r="DS2999" s="4"/>
      <c r="DT2999" s="4"/>
      <c r="DU2999" s="4"/>
      <c r="DV2999" s="4"/>
      <c r="DW2999" s="4"/>
      <c r="DX2999" s="4"/>
      <c r="DY2999" s="4"/>
      <c r="DZ2999" s="4"/>
      <c r="EA2999" s="4"/>
      <c r="EB2999" s="4"/>
      <c r="EC2999" s="4"/>
      <c r="ED2999" s="4"/>
      <c r="EE2999" s="4"/>
      <c r="EF2999" s="4"/>
      <c r="EG2999" s="4">
        <v>20</v>
      </c>
      <c r="EH2999" s="4"/>
      <c r="EI2999" s="4">
        <v>80</v>
      </c>
      <c r="EJ2999" s="4"/>
      <c r="EK2999" s="4"/>
      <c r="EL2999" s="4"/>
      <c r="EM2999" s="4"/>
      <c r="EN2999" s="4"/>
      <c r="EO2999" s="4"/>
      <c r="EP2999" s="4"/>
      <c r="EQ2999" s="4"/>
      <c r="ER2999" s="4"/>
      <c r="ES2999" s="4"/>
      <c r="ET2999" s="4"/>
      <c r="EU2999" s="4"/>
      <c r="EV2999" s="4"/>
      <c r="EW2999" s="4"/>
      <c r="EX2999" s="4"/>
      <c r="EY2999" s="4"/>
      <c r="EZ2999" s="4"/>
      <c r="FA2999" s="4"/>
      <c r="FB2999" s="4"/>
      <c r="FC2999" s="4"/>
      <c r="FD2999" s="4"/>
      <c r="FE2999" s="4"/>
      <c r="FF2999" s="4"/>
      <c r="FG2999" s="4"/>
      <c r="FH2999" s="4"/>
      <c r="FI2999" s="4"/>
      <c r="FJ2999" s="4"/>
      <c r="FK2999" s="4"/>
      <c r="FL2999" s="4"/>
      <c r="FM2999" s="4"/>
      <c r="FN2999" s="4"/>
      <c r="FO2999" s="4"/>
      <c r="FP2999" s="4"/>
      <c r="FQ2999" s="4"/>
      <c r="FR2999" s="4"/>
      <c r="FS2999" s="4"/>
      <c r="FT2999" s="4"/>
      <c r="FU2999" s="4"/>
      <c r="FV2999" s="4"/>
      <c r="FW2999" s="4"/>
      <c r="FX2999" s="4"/>
      <c r="FY2999" s="4"/>
      <c r="FZ2999" s="4"/>
      <c r="GA2999" s="4"/>
      <c r="GB2999" s="4"/>
      <c r="GC2999" s="4"/>
      <c r="GD2999" s="4"/>
      <c r="GE2999" s="4"/>
      <c r="GF2999" s="4"/>
      <c r="GG2999" s="4"/>
      <c r="GH2999" s="4"/>
      <c r="GI2999" s="4"/>
      <c r="GJ2999" s="4"/>
      <c r="GK2999" s="4"/>
      <c r="GL2999" s="4"/>
      <c r="GM2999" s="4"/>
      <c r="GN2999" s="4"/>
      <c r="GO2999" s="4"/>
      <c r="GP2999" s="4"/>
      <c r="GQ2999" s="4"/>
      <c r="GR2999" s="4"/>
      <c r="GS2999" s="4"/>
      <c r="GT2999" s="4"/>
      <c r="GU2999" s="4"/>
      <c r="GV2999" s="4"/>
      <c r="GW2999" s="4"/>
      <c r="GX2999" s="4"/>
      <c r="GY2999" s="4"/>
      <c r="GZ2999" s="4"/>
      <c r="HA2999" s="4"/>
      <c r="HB2999" s="4"/>
      <c r="HC2999" s="4"/>
      <c r="HD2999" s="4"/>
      <c r="HE2999" s="4"/>
      <c r="HF2999" s="4"/>
      <c r="HG2999" s="4"/>
      <c r="HH2999" s="4"/>
      <c r="HI2999" s="4"/>
      <c r="HJ2999" s="4"/>
      <c r="HK2999" s="4"/>
      <c r="HL2999" s="4"/>
    </row>
    <row r="3000">
      <c r="A3000" s="2" t="s">
        <v>12552</v>
      </c>
      <c r="B3000" s="2" t="s">
        <v>3036</v>
      </c>
      <c r="C3000" s="2" t="s">
        <v>1233</v>
      </c>
      <c r="D3000" s="2" t="s">
        <v>3037</v>
      </c>
      <c r="E3000" s="2" t="s">
        <v>3038</v>
      </c>
      <c r="F3000" s="2" t="s">
        <v>12553</v>
      </c>
      <c r="G3000" s="2" t="s">
        <v>12553</v>
      </c>
      <c r="H3000" s="2" t="s">
        <v>12553</v>
      </c>
      <c r="I3000" s="2" t="s">
        <v>12554</v>
      </c>
      <c r="J3000" s="2" t="s">
        <v>241</v>
      </c>
      <c r="K3000" s="2" t="s">
        <v>253</v>
      </c>
      <c r="L3000" s="3">
        <v>5.5</v>
      </c>
      <c r="M3000" s="3">
        <v>5.78</v>
      </c>
      <c r="N3000" s="3">
        <v>9.99</v>
      </c>
      <c r="O3000" s="2" t="s">
        <v>235</v>
      </c>
      <c r="P3000" s="2" t="s">
        <v>1019</v>
      </c>
      <c r="Q3000" s="2" t="s">
        <v>237</v>
      </c>
      <c r="R3000" s="2" t="s">
        <v>1020</v>
      </c>
      <c r="S3000" s="2" t="s">
        <v>231</v>
      </c>
      <c r="T3000" s="2" t="s">
        <v>231</v>
      </c>
      <c r="U3000" s="2" t="s">
        <v>231</v>
      </c>
      <c r="V3000" s="2" t="s">
        <v>662</v>
      </c>
      <c r="W3000" s="2" t="s">
        <v>231</v>
      </c>
      <c r="X3000" s="2" t="s">
        <v>231</v>
      </c>
      <c r="Y3000" s="2" t="s">
        <v>12555</v>
      </c>
      <c r="Z3000" s="4">
        <v>1402</v>
      </c>
      <c r="AA3000" s="4">
        <f>=ROUNDDOWN(368.947368421053,0)</f>
      </c>
      <c r="AB3000" s="5">
        <v>3.8</v>
      </c>
      <c r="AC3000" s="2" t="s">
        <v>231</v>
      </c>
      <c r="AD3000" s="4"/>
      <c r="AE3000" s="4"/>
      <c r="AF3000" s="6"/>
      <c r="AG3000" s="6">
        <v>47</v>
      </c>
      <c r="AH3000" s="7">
        <v>1</v>
      </c>
      <c r="AI3000" s="4"/>
      <c r="AJ3000" s="4">
        <f>=ROUNDDOWN({0},0)</f>
      </c>
      <c r="AK3000" s="5"/>
      <c r="AL3000" s="2" t="s">
        <v>231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/>
      <c r="BD3000" s="8"/>
      <c r="BE3000" s="4"/>
      <c r="BF3000" s="8"/>
      <c r="BG3000" s="7"/>
      <c r="BH3000" s="7"/>
      <c r="BI3000" s="7"/>
      <c r="BJ3000" s="4"/>
      <c r="BK3000" s="8"/>
      <c r="BL3000" s="2" t="s">
        <v>231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12556</v>
      </c>
      <c r="BV3000" s="2" t="s">
        <v>231</v>
      </c>
      <c r="BW3000" s="2" t="s">
        <v>231</v>
      </c>
      <c r="BX3000" s="2" t="s">
        <v>241</v>
      </c>
      <c r="BY3000" s="2" t="s">
        <v>277</v>
      </c>
      <c r="BZ3000" s="2" t="s">
        <v>243</v>
      </c>
      <c r="CA3000" s="2" t="s">
        <v>231</v>
      </c>
      <c r="CB3000" s="2" t="s">
        <v>231</v>
      </c>
      <c r="CC3000" s="2" t="s">
        <v>244</v>
      </c>
      <c r="CD3000" s="2" t="s">
        <v>231</v>
      </c>
      <c r="CE3000" s="4"/>
      <c r="CF3000" s="4">
        <v>1402</v>
      </c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4"/>
      <c r="CX3000" s="4"/>
      <c r="CY3000" s="4"/>
      <c r="CZ3000" s="4"/>
      <c r="DA3000" s="4"/>
      <c r="DB3000" s="4"/>
      <c r="DC3000" s="4"/>
      <c r="DD3000" s="4"/>
      <c r="DE3000" s="4"/>
      <c r="DF3000" s="4"/>
      <c r="DG3000" s="4"/>
      <c r="DH3000" s="4"/>
      <c r="DI3000" s="4"/>
      <c r="DJ3000" s="4"/>
      <c r="DK3000" s="4"/>
      <c r="DL3000" s="4"/>
      <c r="DM3000" s="4"/>
      <c r="DN3000" s="4"/>
      <c r="DO3000" s="4"/>
      <c r="DP3000" s="4"/>
      <c r="DQ3000" s="4"/>
      <c r="DR3000" s="4"/>
      <c r="DS3000" s="4"/>
      <c r="DT3000" s="4"/>
      <c r="DU3000" s="4"/>
      <c r="DV3000" s="4"/>
      <c r="DW3000" s="4"/>
      <c r="DX3000" s="4"/>
      <c r="DY3000" s="4"/>
      <c r="DZ3000" s="4"/>
      <c r="EA3000" s="4"/>
      <c r="EB3000" s="4"/>
      <c r="EC3000" s="4"/>
      <c r="ED3000" s="4"/>
      <c r="EE3000" s="4"/>
      <c r="EF3000" s="4"/>
      <c r="EG3000" s="4"/>
      <c r="EH3000" s="4"/>
      <c r="EI3000" s="4"/>
      <c r="EJ3000" s="4"/>
      <c r="EK3000" s="4"/>
      <c r="EL3000" s="4"/>
      <c r="EM3000" s="4"/>
      <c r="EN3000" s="4"/>
      <c r="EO3000" s="4"/>
      <c r="EP3000" s="4"/>
      <c r="EQ3000" s="4"/>
      <c r="ER3000" s="4"/>
      <c r="ES3000" s="4"/>
      <c r="ET3000" s="4"/>
      <c r="EU3000" s="4"/>
      <c r="EV3000" s="4"/>
      <c r="EW3000" s="4"/>
      <c r="EX3000" s="4"/>
      <c r="EY3000" s="4"/>
      <c r="EZ3000" s="4"/>
      <c r="FA3000" s="4"/>
      <c r="FB3000" s="4"/>
      <c r="FC3000" s="4"/>
      <c r="FD3000" s="4"/>
      <c r="FE3000" s="4"/>
      <c r="FF3000" s="4"/>
      <c r="FG3000" s="4"/>
      <c r="FH3000" s="4"/>
      <c r="FI3000" s="4"/>
      <c r="FJ3000" s="4"/>
      <c r="FK3000" s="4"/>
      <c r="FL3000" s="4"/>
      <c r="FM3000" s="4"/>
      <c r="FN3000" s="4"/>
      <c r="FO3000" s="4"/>
      <c r="FP3000" s="4"/>
      <c r="FQ3000" s="4"/>
      <c r="FR3000" s="4"/>
      <c r="FS3000" s="4"/>
      <c r="FT3000" s="4"/>
      <c r="FU3000" s="4"/>
      <c r="FV3000" s="4"/>
      <c r="FW3000" s="4"/>
      <c r="FX3000" s="4"/>
      <c r="FY3000" s="4"/>
      <c r="FZ3000" s="4"/>
      <c r="GA3000" s="4"/>
      <c r="GB3000" s="4"/>
      <c r="GC3000" s="4"/>
      <c r="GD3000" s="4"/>
      <c r="GE3000" s="4"/>
      <c r="GF3000" s="4"/>
      <c r="GG3000" s="4"/>
      <c r="GH3000" s="4"/>
      <c r="GI3000" s="4"/>
      <c r="GJ3000" s="4"/>
      <c r="GK3000" s="4"/>
      <c r="GL3000" s="4"/>
      <c r="GM3000" s="4"/>
      <c r="GN3000" s="4"/>
      <c r="GO3000" s="4"/>
      <c r="GP3000" s="4"/>
      <c r="GQ3000" s="4"/>
      <c r="GR3000" s="4"/>
      <c r="GS3000" s="4"/>
      <c r="GT3000" s="4"/>
      <c r="GU3000" s="4"/>
      <c r="GV3000" s="4"/>
      <c r="GW3000" s="4"/>
      <c r="GX3000" s="4"/>
      <c r="GY3000" s="4"/>
      <c r="GZ3000" s="4"/>
      <c r="HA3000" s="4"/>
      <c r="HB3000" s="4"/>
      <c r="HC3000" s="4"/>
      <c r="HD3000" s="4"/>
      <c r="HE3000" s="4"/>
      <c r="HF3000" s="4"/>
      <c r="HG3000" s="4"/>
      <c r="HH3000" s="4"/>
      <c r="HI3000" s="4"/>
      <c r="HJ3000" s="4"/>
      <c r="HK3000" s="4"/>
      <c r="HL3000" s="4"/>
    </row>
    <row r="3001">
      <c r="A3001" s="2" t="s">
        <v>12557</v>
      </c>
      <c r="B3001" s="2" t="s">
        <v>801</v>
      </c>
      <c r="C3001" s="2" t="s">
        <v>802</v>
      </c>
      <c r="D3001" s="2" t="s">
        <v>1114</v>
      </c>
      <c r="E3001" s="2" t="s">
        <v>1115</v>
      </c>
      <c r="F3001" s="2" t="s">
        <v>12558</v>
      </c>
      <c r="G3001" s="2" t="s">
        <v>12558</v>
      </c>
      <c r="H3001" s="2" t="s">
        <v>12558</v>
      </c>
      <c r="I3001" s="2" t="s">
        <v>12559</v>
      </c>
      <c r="J3001" s="2" t="s">
        <v>807</v>
      </c>
      <c r="K3001" s="2" t="s">
        <v>269</v>
      </c>
      <c r="L3001" s="3">
        <v>52</v>
      </c>
      <c r="M3001" s="3">
        <v>54.6</v>
      </c>
      <c r="N3001" s="3">
        <v>109.99</v>
      </c>
      <c r="O3001" s="2" t="s">
        <v>243</v>
      </c>
      <c r="P3001" s="2" t="s">
        <v>236</v>
      </c>
      <c r="Q3001" s="2" t="s">
        <v>237</v>
      </c>
      <c r="R3001" s="2" t="s">
        <v>231</v>
      </c>
      <c r="S3001" s="2" t="s">
        <v>231</v>
      </c>
      <c r="T3001" s="2" t="s">
        <v>231</v>
      </c>
      <c r="U3001" s="2" t="s">
        <v>327</v>
      </c>
      <c r="V3001" s="2" t="s">
        <v>662</v>
      </c>
      <c r="W3001" s="2" t="s">
        <v>299</v>
      </c>
      <c r="X3001" s="2" t="s">
        <v>792</v>
      </c>
      <c r="Y3001" s="2" t="s">
        <v>1119</v>
      </c>
      <c r="Z3001" s="4">
        <v>92</v>
      </c>
      <c r="AA3001" s="4">
        <f>=ROUNDDOWN(46,0)</f>
      </c>
      <c r="AB3001" s="5">
        <v>2</v>
      </c>
      <c r="AC3001" s="2" t="s">
        <v>231</v>
      </c>
      <c r="AD3001" s="4"/>
      <c r="AE3001" s="4"/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231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231</v>
      </c>
      <c r="BD3001" s="8" t="s">
        <v>231</v>
      </c>
      <c r="BE3001" s="4" t="s">
        <v>231</v>
      </c>
      <c r="BF3001" s="8" t="s">
        <v>231</v>
      </c>
      <c r="BG3001" s="7" t="s">
        <v>231</v>
      </c>
      <c r="BH3001" s="7" t="s">
        <v>231</v>
      </c>
      <c r="BI3001" s="7"/>
      <c r="BJ3001" s="4">
        <v>5</v>
      </c>
      <c r="BK3001" s="8">
        <v>281.39</v>
      </c>
      <c r="BL3001" s="2" t="s">
        <v>12560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12561</v>
      </c>
      <c r="BV3001" s="2" t="s">
        <v>231</v>
      </c>
      <c r="BW3001" s="2" t="s">
        <v>231</v>
      </c>
      <c r="BX3001" s="2" t="s">
        <v>241</v>
      </c>
      <c r="BY3001" s="2" t="s">
        <v>277</v>
      </c>
      <c r="BZ3001" s="2" t="s">
        <v>243</v>
      </c>
      <c r="CA3001" s="2" t="s">
        <v>5422</v>
      </c>
      <c r="CB3001" s="2" t="s">
        <v>231</v>
      </c>
      <c r="CC3001" s="2" t="s">
        <v>244</v>
      </c>
      <c r="CD3001" s="2" t="s">
        <v>231</v>
      </c>
      <c r="CE3001" s="4"/>
      <c r="CF3001" s="4">
        <v>92</v>
      </c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4"/>
      <c r="CX3001" s="4"/>
      <c r="CY3001" s="4"/>
      <c r="CZ3001" s="4"/>
      <c r="DA3001" s="4"/>
      <c r="DB3001" s="4"/>
      <c r="DC3001" s="4"/>
      <c r="DD3001" s="4"/>
      <c r="DE3001" s="4"/>
      <c r="DF3001" s="4"/>
      <c r="DG3001" s="4"/>
      <c r="DH3001" s="4"/>
      <c r="DI3001" s="4"/>
      <c r="DJ3001" s="4"/>
      <c r="DK3001" s="4"/>
      <c r="DL3001" s="4"/>
      <c r="DM3001" s="4"/>
      <c r="DN3001" s="4"/>
      <c r="DO3001" s="4"/>
      <c r="DP3001" s="4"/>
      <c r="DQ3001" s="4"/>
      <c r="DR3001" s="4"/>
      <c r="DS3001" s="4"/>
      <c r="DT3001" s="4"/>
      <c r="DU3001" s="4"/>
      <c r="DV3001" s="4"/>
      <c r="DW3001" s="4"/>
      <c r="DX3001" s="4"/>
      <c r="DY3001" s="4"/>
      <c r="DZ3001" s="4"/>
      <c r="EA3001" s="4"/>
      <c r="EB3001" s="4"/>
      <c r="EC3001" s="4"/>
      <c r="ED3001" s="4"/>
      <c r="EE3001" s="4"/>
      <c r="EF3001" s="4"/>
      <c r="EG3001" s="4"/>
      <c r="EH3001" s="4"/>
      <c r="EI3001" s="4"/>
      <c r="EJ3001" s="4"/>
      <c r="EK3001" s="4"/>
      <c r="EL3001" s="4"/>
      <c r="EM3001" s="4"/>
      <c r="EN3001" s="4"/>
      <c r="EO3001" s="4"/>
      <c r="EP3001" s="4"/>
      <c r="EQ3001" s="4"/>
      <c r="ER3001" s="4"/>
      <c r="ES3001" s="4"/>
      <c r="ET3001" s="4"/>
      <c r="EU3001" s="4"/>
      <c r="EV3001" s="4"/>
      <c r="EW3001" s="4"/>
      <c r="EX3001" s="4"/>
      <c r="EY3001" s="4"/>
      <c r="EZ3001" s="4"/>
      <c r="FA3001" s="4"/>
      <c r="FB3001" s="4"/>
      <c r="FC3001" s="4"/>
      <c r="FD3001" s="4"/>
      <c r="FE3001" s="4"/>
      <c r="FF3001" s="4"/>
      <c r="FG3001" s="4"/>
      <c r="FH3001" s="4"/>
      <c r="FI3001" s="4"/>
      <c r="FJ3001" s="4"/>
      <c r="FK3001" s="4"/>
      <c r="FL3001" s="4"/>
      <c r="FM3001" s="4"/>
      <c r="FN3001" s="4"/>
      <c r="FO3001" s="4"/>
      <c r="FP3001" s="4"/>
      <c r="FQ3001" s="4"/>
      <c r="FR3001" s="4"/>
      <c r="FS3001" s="4"/>
      <c r="FT3001" s="4"/>
      <c r="FU3001" s="4"/>
      <c r="FV3001" s="4"/>
      <c r="FW3001" s="4"/>
      <c r="FX3001" s="4"/>
      <c r="FY3001" s="4"/>
      <c r="FZ3001" s="4"/>
      <c r="GA3001" s="4"/>
      <c r="GB3001" s="4"/>
      <c r="GC3001" s="4"/>
      <c r="GD3001" s="4"/>
      <c r="GE3001" s="4"/>
      <c r="GF3001" s="4"/>
      <c r="GG3001" s="4"/>
      <c r="GH3001" s="4"/>
      <c r="GI3001" s="4"/>
      <c r="GJ3001" s="4"/>
      <c r="GK3001" s="4"/>
      <c r="GL3001" s="4"/>
      <c r="GM3001" s="4"/>
      <c r="GN3001" s="4"/>
      <c r="GO3001" s="4"/>
      <c r="GP3001" s="4"/>
      <c r="GQ3001" s="4"/>
      <c r="GR3001" s="4"/>
      <c r="GS3001" s="4"/>
      <c r="GT3001" s="4"/>
      <c r="GU3001" s="4"/>
      <c r="GV3001" s="4"/>
      <c r="GW3001" s="4"/>
      <c r="GX3001" s="4"/>
      <c r="GY3001" s="4"/>
      <c r="GZ3001" s="4"/>
      <c r="HA3001" s="4"/>
      <c r="HB3001" s="4"/>
      <c r="HC3001" s="4"/>
      <c r="HD3001" s="4"/>
      <c r="HE3001" s="4"/>
      <c r="HF3001" s="4"/>
      <c r="HG3001" s="4"/>
      <c r="HH3001" s="4"/>
      <c r="HI3001" s="4"/>
      <c r="HJ3001" s="4"/>
      <c r="HK3001" s="4"/>
      <c r="HL3001" s="4"/>
    </row>
    <row r="3002">
      <c r="A3002" s="2" t="s">
        <v>12562</v>
      </c>
      <c r="B3002" s="2" t="s">
        <v>801</v>
      </c>
      <c r="C3002" s="2" t="s">
        <v>802</v>
      </c>
      <c r="D3002" s="2" t="s">
        <v>1114</v>
      </c>
      <c r="E3002" s="2" t="s">
        <v>1115</v>
      </c>
      <c r="F3002" s="2" t="s">
        <v>12558</v>
      </c>
      <c r="G3002" s="2" t="s">
        <v>12558</v>
      </c>
      <c r="H3002" s="2" t="s">
        <v>12558</v>
      </c>
      <c r="I3002" s="2" t="s">
        <v>12563</v>
      </c>
      <c r="J3002" s="2" t="s">
        <v>807</v>
      </c>
      <c r="K3002" s="2" t="s">
        <v>901</v>
      </c>
      <c r="L3002" s="3">
        <v>52</v>
      </c>
      <c r="M3002" s="3">
        <v>54.6</v>
      </c>
      <c r="N3002" s="3">
        <v>109.99</v>
      </c>
      <c r="O3002" s="2" t="s">
        <v>243</v>
      </c>
      <c r="P3002" s="2" t="s">
        <v>236</v>
      </c>
      <c r="Q3002" s="2" t="s">
        <v>237</v>
      </c>
      <c r="R3002" s="2" t="s">
        <v>231</v>
      </c>
      <c r="S3002" s="2" t="s">
        <v>231</v>
      </c>
      <c r="T3002" s="2" t="s">
        <v>231</v>
      </c>
      <c r="U3002" s="2" t="s">
        <v>327</v>
      </c>
      <c r="V3002" s="2" t="s">
        <v>662</v>
      </c>
      <c r="W3002" s="2" t="s">
        <v>299</v>
      </c>
      <c r="X3002" s="2" t="s">
        <v>792</v>
      </c>
      <c r="Y3002" s="2" t="s">
        <v>1119</v>
      </c>
      <c r="Z3002" s="4">
        <v>93</v>
      </c>
      <c r="AA3002" s="4">
        <f>=ROUNDDOWN(155,0)</f>
      </c>
      <c r="AB3002" s="5">
        <v>0.6</v>
      </c>
      <c r="AC3002" s="2" t="s">
        <v>231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231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231</v>
      </c>
      <c r="BD3002" s="8" t="s">
        <v>231</v>
      </c>
      <c r="BE3002" s="4" t="s">
        <v>231</v>
      </c>
      <c r="BF3002" s="8" t="s">
        <v>231</v>
      </c>
      <c r="BG3002" s="7" t="s">
        <v>231</v>
      </c>
      <c r="BH3002" s="7" t="s">
        <v>231</v>
      </c>
      <c r="BI3002" s="7"/>
      <c r="BJ3002" s="4">
        <v>4</v>
      </c>
      <c r="BK3002" s="8">
        <v>202.02</v>
      </c>
      <c r="BL3002" s="2" t="s">
        <v>2343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12564</v>
      </c>
      <c r="BV3002" s="2" t="s">
        <v>231</v>
      </c>
      <c r="BW3002" s="2" t="s">
        <v>231</v>
      </c>
      <c r="BX3002" s="2" t="s">
        <v>241</v>
      </c>
      <c r="BY3002" s="2" t="s">
        <v>277</v>
      </c>
      <c r="BZ3002" s="2" t="s">
        <v>243</v>
      </c>
      <c r="CA3002" s="2" t="s">
        <v>5422</v>
      </c>
      <c r="CB3002" s="2" t="s">
        <v>231</v>
      </c>
      <c r="CC3002" s="2" t="s">
        <v>244</v>
      </c>
      <c r="CD3002" s="2" t="s">
        <v>231</v>
      </c>
      <c r="CE3002" s="4"/>
      <c r="CF3002" s="4">
        <v>93</v>
      </c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4"/>
      <c r="CX3002" s="4"/>
      <c r="CY3002" s="4"/>
      <c r="CZ3002" s="4"/>
      <c r="DA3002" s="4"/>
      <c r="DB3002" s="4"/>
      <c r="DC3002" s="4"/>
      <c r="DD3002" s="4"/>
      <c r="DE3002" s="4"/>
      <c r="DF3002" s="4"/>
      <c r="DG3002" s="4"/>
      <c r="DH3002" s="4"/>
      <c r="DI3002" s="4"/>
      <c r="DJ3002" s="4"/>
      <c r="DK3002" s="4"/>
      <c r="DL3002" s="4"/>
      <c r="DM3002" s="4"/>
      <c r="DN3002" s="4"/>
      <c r="DO3002" s="4"/>
      <c r="DP3002" s="4"/>
      <c r="DQ3002" s="4"/>
      <c r="DR3002" s="4"/>
      <c r="DS3002" s="4"/>
      <c r="DT3002" s="4"/>
      <c r="DU3002" s="4"/>
      <c r="DV3002" s="4"/>
      <c r="DW3002" s="4"/>
      <c r="DX3002" s="4"/>
      <c r="DY3002" s="4"/>
      <c r="DZ3002" s="4"/>
      <c r="EA3002" s="4"/>
      <c r="EB3002" s="4"/>
      <c r="EC3002" s="4"/>
      <c r="ED3002" s="4"/>
      <c r="EE3002" s="4"/>
      <c r="EF3002" s="4"/>
      <c r="EG3002" s="4"/>
      <c r="EH3002" s="4"/>
      <c r="EI3002" s="4"/>
      <c r="EJ3002" s="4"/>
      <c r="EK3002" s="4"/>
      <c r="EL3002" s="4"/>
      <c r="EM3002" s="4"/>
      <c r="EN3002" s="4"/>
      <c r="EO3002" s="4"/>
      <c r="EP3002" s="4"/>
      <c r="EQ3002" s="4"/>
      <c r="ER3002" s="4"/>
      <c r="ES3002" s="4"/>
      <c r="ET3002" s="4"/>
      <c r="EU3002" s="4"/>
      <c r="EV3002" s="4"/>
      <c r="EW3002" s="4"/>
      <c r="EX3002" s="4"/>
      <c r="EY3002" s="4"/>
      <c r="EZ3002" s="4"/>
      <c r="FA3002" s="4"/>
      <c r="FB3002" s="4"/>
      <c r="FC3002" s="4"/>
      <c r="FD3002" s="4"/>
      <c r="FE3002" s="4"/>
      <c r="FF3002" s="4"/>
      <c r="FG3002" s="4"/>
      <c r="FH3002" s="4"/>
      <c r="FI3002" s="4"/>
      <c r="FJ3002" s="4"/>
      <c r="FK3002" s="4"/>
      <c r="FL3002" s="4"/>
      <c r="FM3002" s="4"/>
      <c r="FN3002" s="4"/>
      <c r="FO3002" s="4"/>
      <c r="FP3002" s="4"/>
      <c r="FQ3002" s="4"/>
      <c r="FR3002" s="4"/>
      <c r="FS3002" s="4"/>
      <c r="FT3002" s="4"/>
      <c r="FU3002" s="4"/>
      <c r="FV3002" s="4"/>
      <c r="FW3002" s="4"/>
      <c r="FX3002" s="4"/>
      <c r="FY3002" s="4"/>
      <c r="FZ3002" s="4"/>
      <c r="GA3002" s="4"/>
      <c r="GB3002" s="4"/>
      <c r="GC3002" s="4"/>
      <c r="GD3002" s="4"/>
      <c r="GE3002" s="4"/>
      <c r="GF3002" s="4"/>
      <c r="GG3002" s="4"/>
      <c r="GH3002" s="4"/>
      <c r="GI3002" s="4"/>
      <c r="GJ3002" s="4"/>
      <c r="GK3002" s="4"/>
      <c r="GL3002" s="4"/>
      <c r="GM3002" s="4"/>
      <c r="GN3002" s="4"/>
      <c r="GO3002" s="4"/>
      <c r="GP3002" s="4"/>
      <c r="GQ3002" s="4"/>
      <c r="GR3002" s="4"/>
      <c r="GS3002" s="4"/>
      <c r="GT3002" s="4"/>
      <c r="GU3002" s="4"/>
      <c r="GV3002" s="4"/>
      <c r="GW3002" s="4"/>
      <c r="GX3002" s="4"/>
      <c r="GY3002" s="4"/>
      <c r="GZ3002" s="4"/>
      <c r="HA3002" s="4"/>
      <c r="HB3002" s="4"/>
      <c r="HC3002" s="4"/>
      <c r="HD3002" s="4"/>
      <c r="HE3002" s="4"/>
      <c r="HF3002" s="4"/>
      <c r="HG3002" s="4"/>
      <c r="HH3002" s="4"/>
      <c r="HI3002" s="4"/>
      <c r="HJ3002" s="4"/>
      <c r="HK3002" s="4"/>
      <c r="HL3002" s="4"/>
    </row>
    <row r="3003">
      <c r="A3003" s="2" t="s">
        <v>12565</v>
      </c>
      <c r="B3003" s="2" t="s">
        <v>824</v>
      </c>
      <c r="C3003" s="2" t="s">
        <v>825</v>
      </c>
      <c r="D3003" s="2" t="s">
        <v>826</v>
      </c>
      <c r="E3003" s="2" t="s">
        <v>827</v>
      </c>
      <c r="F3003" s="2" t="s">
        <v>12566</v>
      </c>
      <c r="G3003" s="2" t="s">
        <v>12567</v>
      </c>
      <c r="H3003" s="2" t="s">
        <v>1824</v>
      </c>
      <c r="I3003" s="2" t="s">
        <v>12568</v>
      </c>
      <c r="J3003" s="2" t="s">
        <v>669</v>
      </c>
      <c r="K3003" s="2" t="s">
        <v>3378</v>
      </c>
      <c r="L3003" s="3">
        <v>34.5</v>
      </c>
      <c r="M3003" s="3">
        <v>36.22</v>
      </c>
      <c r="N3003" s="3">
        <v>74.99</v>
      </c>
      <c r="O3003" s="2" t="s">
        <v>250</v>
      </c>
      <c r="P3003" s="2" t="s">
        <v>341</v>
      </c>
      <c r="Q3003" s="2" t="s">
        <v>237</v>
      </c>
      <c r="R3003" s="2" t="s">
        <v>231</v>
      </c>
      <c r="S3003" s="2" t="s">
        <v>12569</v>
      </c>
      <c r="T3003" s="2" t="s">
        <v>472</v>
      </c>
      <c r="U3003" s="2" t="s">
        <v>661</v>
      </c>
      <c r="V3003" s="2" t="s">
        <v>987</v>
      </c>
      <c r="W3003" s="2" t="s">
        <v>299</v>
      </c>
      <c r="X3003" s="2" t="s">
        <v>691</v>
      </c>
      <c r="Y3003" s="2" t="s">
        <v>12570</v>
      </c>
      <c r="Z3003" s="4"/>
      <c r="AA3003" s="4">
        <f>=ROUNDDOWN({0},0)</f>
      </c>
      <c r="AB3003" s="5"/>
      <c r="AC3003" s="2" t="s">
        <v>231</v>
      </c>
      <c r="AD3003" s="4"/>
      <c r="AE3003" s="4"/>
      <c r="AF3003" s="6">
        <v>64</v>
      </c>
      <c r="AG3003" s="6"/>
      <c r="AH3003" s="7">
        <v>0</v>
      </c>
      <c r="AI3003" s="4"/>
      <c r="AJ3003" s="4">
        <f>=ROUNDDOWN({0},0)</f>
      </c>
      <c r="AK3003" s="5"/>
      <c r="AL3003" s="2" t="s">
        <v>231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/>
      <c r="BD3003" s="8"/>
      <c r="BE3003" s="4"/>
      <c r="BF3003" s="8"/>
      <c r="BG3003" s="7"/>
      <c r="BH3003" s="7"/>
      <c r="BI3003" s="7"/>
      <c r="BJ3003" s="4"/>
      <c r="BK3003" s="8"/>
      <c r="BL3003" s="2" t="s">
        <v>231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12571</v>
      </c>
      <c r="BV3003" s="2" t="s">
        <v>231</v>
      </c>
      <c r="BW3003" s="2" t="s">
        <v>231</v>
      </c>
      <c r="BX3003" s="2" t="s">
        <v>231</v>
      </c>
      <c r="BY3003" s="2" t="s">
        <v>277</v>
      </c>
      <c r="BZ3003" s="2" t="s">
        <v>243</v>
      </c>
      <c r="CA3003" s="2" t="s">
        <v>2918</v>
      </c>
      <c r="CB3003" s="2" t="s">
        <v>5609</v>
      </c>
      <c r="CC3003" s="2" t="s">
        <v>244</v>
      </c>
      <c r="CD3003" s="2" t="s">
        <v>231</v>
      </c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4"/>
      <c r="CX3003" s="4"/>
      <c r="CY3003" s="4"/>
      <c r="CZ3003" s="4"/>
      <c r="DA3003" s="4"/>
      <c r="DB3003" s="4"/>
      <c r="DC3003" s="4"/>
      <c r="DD3003" s="4"/>
      <c r="DE3003" s="4"/>
      <c r="DF3003" s="4"/>
      <c r="DG3003" s="4"/>
      <c r="DH3003" s="4"/>
      <c r="DI3003" s="4"/>
      <c r="DJ3003" s="4"/>
      <c r="DK3003" s="4"/>
      <c r="DL3003" s="4"/>
      <c r="DM3003" s="4"/>
      <c r="DN3003" s="4"/>
      <c r="DO3003" s="4"/>
      <c r="DP3003" s="4"/>
      <c r="DQ3003" s="4"/>
      <c r="DR3003" s="4"/>
      <c r="DS3003" s="4"/>
      <c r="DT3003" s="4"/>
      <c r="DU3003" s="4"/>
      <c r="DV3003" s="4"/>
      <c r="DW3003" s="4"/>
      <c r="DX3003" s="4"/>
      <c r="DY3003" s="4"/>
      <c r="DZ3003" s="4"/>
      <c r="EA3003" s="4"/>
      <c r="EB3003" s="4"/>
      <c r="EC3003" s="4"/>
      <c r="ED3003" s="4"/>
      <c r="EE3003" s="4"/>
      <c r="EF3003" s="4"/>
      <c r="EG3003" s="4"/>
      <c r="EH3003" s="4"/>
      <c r="EI3003" s="4"/>
      <c r="EJ3003" s="4"/>
      <c r="EK3003" s="4"/>
      <c r="EL3003" s="4"/>
      <c r="EM3003" s="4"/>
      <c r="EN3003" s="4"/>
      <c r="EO3003" s="4"/>
      <c r="EP3003" s="4"/>
      <c r="EQ3003" s="4"/>
      <c r="ER3003" s="4"/>
      <c r="ES3003" s="4"/>
      <c r="ET3003" s="4"/>
      <c r="EU3003" s="4"/>
      <c r="EV3003" s="4"/>
      <c r="EW3003" s="4"/>
      <c r="EX3003" s="4"/>
      <c r="EY3003" s="4"/>
      <c r="EZ3003" s="4"/>
      <c r="FA3003" s="4"/>
      <c r="FB3003" s="4"/>
      <c r="FC3003" s="4"/>
      <c r="FD3003" s="4"/>
      <c r="FE3003" s="4"/>
      <c r="FF3003" s="4"/>
      <c r="FG3003" s="4"/>
      <c r="FH3003" s="4"/>
      <c r="FI3003" s="4"/>
      <c r="FJ3003" s="4"/>
      <c r="FK3003" s="4"/>
      <c r="FL3003" s="4"/>
      <c r="FM3003" s="4"/>
      <c r="FN3003" s="4"/>
      <c r="FO3003" s="4"/>
      <c r="FP3003" s="4"/>
      <c r="FQ3003" s="4"/>
      <c r="FR3003" s="4"/>
      <c r="FS3003" s="4"/>
      <c r="FT3003" s="4"/>
      <c r="FU3003" s="4"/>
      <c r="FV3003" s="4"/>
      <c r="FW3003" s="4"/>
      <c r="FX3003" s="4"/>
      <c r="FY3003" s="4"/>
      <c r="FZ3003" s="4"/>
      <c r="GA3003" s="4"/>
      <c r="GB3003" s="4"/>
      <c r="GC3003" s="4"/>
      <c r="GD3003" s="4"/>
      <c r="GE3003" s="4"/>
      <c r="GF3003" s="4"/>
      <c r="GG3003" s="4"/>
      <c r="GH3003" s="4"/>
      <c r="GI3003" s="4"/>
      <c r="GJ3003" s="4"/>
      <c r="GK3003" s="4"/>
      <c r="GL3003" s="4"/>
      <c r="GM3003" s="4"/>
      <c r="GN3003" s="4"/>
      <c r="GO3003" s="4"/>
      <c r="GP3003" s="4"/>
      <c r="GQ3003" s="4"/>
      <c r="GR3003" s="4"/>
      <c r="GS3003" s="4"/>
      <c r="GT3003" s="4"/>
      <c r="GU3003" s="4"/>
      <c r="GV3003" s="4"/>
      <c r="GW3003" s="4"/>
      <c r="GX3003" s="4"/>
      <c r="GY3003" s="4"/>
      <c r="GZ3003" s="4"/>
      <c r="HA3003" s="4"/>
      <c r="HB3003" s="4"/>
      <c r="HC3003" s="4"/>
      <c r="HD3003" s="4"/>
      <c r="HE3003" s="4"/>
      <c r="HF3003" s="4"/>
      <c r="HG3003" s="4"/>
      <c r="HH3003" s="4"/>
      <c r="HI3003" s="4"/>
      <c r="HJ3003" s="4"/>
      <c r="HK3003" s="4"/>
      <c r="HL3003" s="4"/>
    </row>
    <row r="3004">
      <c r="A3004" s="2" t="s">
        <v>12572</v>
      </c>
      <c r="B3004" s="2" t="s">
        <v>226</v>
      </c>
      <c r="C3004" s="2" t="s">
        <v>631</v>
      </c>
      <c r="D3004" s="2" t="s">
        <v>1549</v>
      </c>
      <c r="E3004" s="2" t="s">
        <v>1550</v>
      </c>
      <c r="F3004" s="2" t="s">
        <v>12573</v>
      </c>
      <c r="G3004" s="2" t="s">
        <v>12574</v>
      </c>
      <c r="H3004" s="2" t="s">
        <v>12574</v>
      </c>
      <c r="I3004" s="2" t="s">
        <v>12575</v>
      </c>
      <c r="J3004" s="2" t="s">
        <v>1628</v>
      </c>
      <c r="K3004" s="2" t="s">
        <v>12576</v>
      </c>
      <c r="L3004" s="3">
        <v>36.8</v>
      </c>
      <c r="M3004" s="3">
        <v>38.64</v>
      </c>
      <c r="N3004" s="3">
        <v>79.99</v>
      </c>
      <c r="O3004" s="2" t="s">
        <v>243</v>
      </c>
      <c r="P3004" s="2" t="s">
        <v>295</v>
      </c>
      <c r="Q3004" s="2" t="s">
        <v>237</v>
      </c>
      <c r="R3004" s="2" t="s">
        <v>231</v>
      </c>
      <c r="S3004" s="2" t="s">
        <v>12577</v>
      </c>
      <c r="T3004" s="2" t="s">
        <v>895</v>
      </c>
      <c r="U3004" s="2" t="s">
        <v>327</v>
      </c>
      <c r="V3004" s="2" t="s">
        <v>239</v>
      </c>
      <c r="W3004" s="2" t="s">
        <v>299</v>
      </c>
      <c r="X3004" s="2" t="s">
        <v>792</v>
      </c>
      <c r="Y3004" s="2" t="s">
        <v>231</v>
      </c>
      <c r="Z3004" s="4"/>
      <c r="AA3004" s="4">
        <f>=ROUNDDOWN({0},0)</f>
      </c>
      <c r="AB3004" s="5"/>
      <c r="AC3004" s="2" t="s">
        <v>1651</v>
      </c>
      <c r="AD3004" s="4">
        <v>450</v>
      </c>
      <c r="AE3004" s="4">
        <v>450</v>
      </c>
      <c r="AF3004" s="6">
        <v>66</v>
      </c>
      <c r="AG3004" s="6"/>
      <c r="AH3004" s="7">
        <v>0</v>
      </c>
      <c r="AI3004" s="4"/>
      <c r="AJ3004" s="4">
        <f>=ROUNDDOWN({0},0)</f>
      </c>
      <c r="AK3004" s="5"/>
      <c r="AL3004" s="2" t="s">
        <v>231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 t="s">
        <v>231</v>
      </c>
      <c r="BD3004" s="8" t="s">
        <v>231</v>
      </c>
      <c r="BE3004" s="4" t="s">
        <v>231</v>
      </c>
      <c r="BF3004" s="8" t="s">
        <v>231</v>
      </c>
      <c r="BG3004" s="7" t="s">
        <v>231</v>
      </c>
      <c r="BH3004" s="7" t="s">
        <v>231</v>
      </c>
      <c r="BI3004" s="7"/>
      <c r="BJ3004" s="4"/>
      <c r="BK3004" s="8"/>
      <c r="BL3004" s="2" t="s">
        <v>231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241</v>
      </c>
      <c r="BV3004" s="2" t="s">
        <v>231</v>
      </c>
      <c r="BW3004" s="2" t="s">
        <v>231</v>
      </c>
      <c r="BX3004" s="2" t="s">
        <v>241</v>
      </c>
      <c r="BY3004" s="2" t="s">
        <v>242</v>
      </c>
      <c r="BZ3004" s="2" t="s">
        <v>243</v>
      </c>
      <c r="CA3004" s="2" t="s">
        <v>231</v>
      </c>
      <c r="CB3004" s="2" t="s">
        <v>231</v>
      </c>
      <c r="CC3004" s="2" t="s">
        <v>244</v>
      </c>
      <c r="CD3004" s="2" t="s">
        <v>231</v>
      </c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4"/>
      <c r="CX3004" s="4"/>
      <c r="CY3004" s="4"/>
      <c r="CZ3004" s="4"/>
      <c r="DA3004" s="4"/>
      <c r="DB3004" s="4"/>
      <c r="DC3004" s="4"/>
      <c r="DD3004" s="4"/>
      <c r="DE3004" s="4"/>
      <c r="DF3004" s="4"/>
      <c r="DG3004" s="4"/>
      <c r="DH3004" s="4"/>
      <c r="DI3004" s="4"/>
      <c r="DJ3004" s="4"/>
      <c r="DK3004" s="4"/>
      <c r="DL3004" s="4"/>
      <c r="DM3004" s="4"/>
      <c r="DN3004" s="4"/>
      <c r="DO3004" s="4"/>
      <c r="DP3004" s="4"/>
      <c r="DQ3004" s="4"/>
      <c r="DR3004" s="4"/>
      <c r="DS3004" s="4"/>
      <c r="DT3004" s="4"/>
      <c r="DU3004" s="4"/>
      <c r="DV3004" s="4"/>
      <c r="DW3004" s="4"/>
      <c r="DX3004" s="4"/>
      <c r="DY3004" s="4"/>
      <c r="DZ3004" s="4"/>
      <c r="EA3004" s="4"/>
      <c r="EB3004" s="4"/>
      <c r="EC3004" s="4"/>
      <c r="ED3004" s="4"/>
      <c r="EE3004" s="4"/>
      <c r="EF3004" s="4"/>
      <c r="EG3004" s="4"/>
      <c r="EH3004" s="4"/>
      <c r="EI3004" s="4"/>
      <c r="EJ3004" s="4"/>
      <c r="EK3004" s="4"/>
      <c r="EL3004" s="4"/>
      <c r="EM3004" s="4"/>
      <c r="EN3004" s="4"/>
      <c r="EO3004" s="4"/>
      <c r="EP3004" s="4"/>
      <c r="EQ3004" s="4"/>
      <c r="ER3004" s="4"/>
      <c r="ES3004" s="4"/>
      <c r="ET3004" s="4"/>
      <c r="EU3004" s="4"/>
      <c r="EV3004" s="4"/>
      <c r="EW3004" s="4"/>
      <c r="EX3004" s="4"/>
      <c r="EY3004" s="4"/>
      <c r="EZ3004" s="4"/>
      <c r="FA3004" s="4"/>
      <c r="FB3004" s="4"/>
      <c r="FC3004" s="4"/>
      <c r="FD3004" s="4"/>
      <c r="FE3004" s="4"/>
      <c r="FF3004" s="4"/>
      <c r="FG3004" s="4"/>
      <c r="FH3004" s="4"/>
      <c r="FI3004" s="4"/>
      <c r="FJ3004" s="4"/>
      <c r="FK3004" s="4"/>
      <c r="FL3004" s="4"/>
      <c r="FM3004" s="4"/>
      <c r="FN3004" s="4"/>
      <c r="FO3004" s="4"/>
      <c r="FP3004" s="4"/>
      <c r="FQ3004" s="4"/>
      <c r="FR3004" s="4"/>
      <c r="FS3004" s="4"/>
      <c r="FT3004" s="4"/>
      <c r="FU3004" s="4"/>
      <c r="FV3004" s="4"/>
      <c r="FW3004" s="4"/>
      <c r="FX3004" s="4"/>
      <c r="FY3004" s="4"/>
      <c r="FZ3004" s="4"/>
      <c r="GA3004" s="4"/>
      <c r="GB3004" s="4"/>
      <c r="GC3004" s="4"/>
      <c r="GD3004" s="4"/>
      <c r="GE3004" s="4"/>
      <c r="GF3004" s="4"/>
      <c r="GG3004" s="4"/>
      <c r="GH3004" s="4"/>
      <c r="GI3004" s="4"/>
      <c r="GJ3004" s="4"/>
      <c r="GK3004" s="4"/>
      <c r="GL3004" s="4"/>
      <c r="GM3004" s="4"/>
      <c r="GN3004" s="4"/>
      <c r="GO3004" s="4"/>
      <c r="GP3004" s="4"/>
      <c r="GQ3004" s="4">
        <v>450</v>
      </c>
      <c r="GR3004" s="4"/>
      <c r="GS3004" s="4"/>
      <c r="GT3004" s="4"/>
      <c r="GU3004" s="4"/>
      <c r="GV3004" s="4"/>
      <c r="GW3004" s="4"/>
      <c r="GX3004" s="4"/>
      <c r="GY3004" s="4"/>
      <c r="GZ3004" s="4"/>
      <c r="HA3004" s="4"/>
      <c r="HB3004" s="4"/>
      <c r="HC3004" s="4"/>
      <c r="HD3004" s="4"/>
      <c r="HE3004" s="4"/>
      <c r="HF3004" s="4"/>
      <c r="HG3004" s="4"/>
      <c r="HH3004" s="4"/>
      <c r="HI3004" s="4"/>
      <c r="HJ3004" s="4"/>
      <c r="HK3004" s="4"/>
      <c r="HL3004" s="4"/>
    </row>
    <row r="3005">
      <c r="A3005" s="2" t="s">
        <v>12578</v>
      </c>
      <c r="B3005" s="2" t="s">
        <v>226</v>
      </c>
      <c r="C3005" s="2" t="s">
        <v>288</v>
      </c>
      <c r="D3005" s="2" t="s">
        <v>1624</v>
      </c>
      <c r="E3005" s="2" t="s">
        <v>2589</v>
      </c>
      <c r="F3005" s="2" t="s">
        <v>12573</v>
      </c>
      <c r="G3005" s="2" t="s">
        <v>12574</v>
      </c>
      <c r="H3005" s="2" t="s">
        <v>12574</v>
      </c>
      <c r="I3005" s="2" t="s">
        <v>12579</v>
      </c>
      <c r="J3005" s="2" t="s">
        <v>2845</v>
      </c>
      <c r="K3005" s="2" t="s">
        <v>486</v>
      </c>
      <c r="L3005" s="3">
        <v>15.91</v>
      </c>
      <c r="M3005" s="3">
        <v>16.71</v>
      </c>
      <c r="N3005" s="3">
        <v>36.99</v>
      </c>
      <c r="O3005" s="2" t="s">
        <v>243</v>
      </c>
      <c r="P3005" s="2" t="s">
        <v>270</v>
      </c>
      <c r="Q3005" s="2" t="s">
        <v>237</v>
      </c>
      <c r="R3005" s="2" t="s">
        <v>231</v>
      </c>
      <c r="S3005" s="2" t="s">
        <v>12580</v>
      </c>
      <c r="T3005" s="2" t="s">
        <v>895</v>
      </c>
      <c r="U3005" s="2" t="s">
        <v>327</v>
      </c>
      <c r="V3005" s="2" t="s">
        <v>2195</v>
      </c>
      <c r="W3005" s="2" t="s">
        <v>299</v>
      </c>
      <c r="X3005" s="2" t="s">
        <v>231</v>
      </c>
      <c r="Y3005" s="2" t="s">
        <v>12581</v>
      </c>
      <c r="Z3005" s="4">
        <v>481</v>
      </c>
      <c r="AA3005" s="4">
        <f>=ROUNDDOWN(32.0666666666667,0)</f>
      </c>
      <c r="AB3005" s="5">
        <v>15</v>
      </c>
      <c r="AC3005" s="2" t="s">
        <v>406</v>
      </c>
      <c r="AD3005" s="4">
        <v>500</v>
      </c>
      <c r="AE3005" s="4">
        <v>1300</v>
      </c>
      <c r="AF3005" s="6">
        <v>64</v>
      </c>
      <c r="AG3005" s="6"/>
      <c r="AH3005" s="7">
        <v>1</v>
      </c>
      <c r="AI3005" s="4"/>
      <c r="AJ3005" s="4">
        <f>=ROUNDDOWN({0},0)</f>
      </c>
      <c r="AK3005" s="5"/>
      <c r="AL3005" s="2" t="s">
        <v>231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231</v>
      </c>
      <c r="BD3005" s="8" t="s">
        <v>231</v>
      </c>
      <c r="BE3005" s="4" t="s">
        <v>231</v>
      </c>
      <c r="BF3005" s="8" t="s">
        <v>231</v>
      </c>
      <c r="BG3005" s="7" t="s">
        <v>231</v>
      </c>
      <c r="BH3005" s="7" t="s">
        <v>231</v>
      </c>
      <c r="BI3005" s="7"/>
      <c r="BJ3005" s="4">
        <v>96</v>
      </c>
      <c r="BK3005" s="8">
        <v>1589.07</v>
      </c>
      <c r="BL3005" s="2" t="s">
        <v>12582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12583</v>
      </c>
      <c r="BV3005" s="2" t="s">
        <v>231</v>
      </c>
      <c r="BW3005" s="2" t="s">
        <v>231</v>
      </c>
      <c r="BX3005" s="2" t="s">
        <v>231</v>
      </c>
      <c r="BY3005" s="2" t="s">
        <v>277</v>
      </c>
      <c r="BZ3005" s="2" t="s">
        <v>243</v>
      </c>
      <c r="CA3005" s="2" t="s">
        <v>12584</v>
      </c>
      <c r="CB3005" s="2" t="s">
        <v>1351</v>
      </c>
      <c r="CC3005" s="2" t="s">
        <v>244</v>
      </c>
      <c r="CD3005" s="2" t="s">
        <v>231</v>
      </c>
      <c r="CE3005" s="4">
        <v>481</v>
      </c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4"/>
      <c r="CX3005" s="4"/>
      <c r="CY3005" s="4"/>
      <c r="CZ3005" s="4"/>
      <c r="DA3005" s="4"/>
      <c r="DB3005" s="4"/>
      <c r="DC3005" s="4"/>
      <c r="DD3005" s="4"/>
      <c r="DE3005" s="4"/>
      <c r="DF3005" s="4"/>
      <c r="DG3005" s="4"/>
      <c r="DH3005" s="4"/>
      <c r="DI3005" s="4"/>
      <c r="DJ3005" s="4"/>
      <c r="DK3005" s="4"/>
      <c r="DL3005" s="4"/>
      <c r="DM3005" s="4"/>
      <c r="DN3005" s="4"/>
      <c r="DO3005" s="4"/>
      <c r="DP3005" s="4"/>
      <c r="DQ3005" s="4"/>
      <c r="DR3005" s="4"/>
      <c r="DS3005" s="4"/>
      <c r="DT3005" s="4"/>
      <c r="DU3005" s="4"/>
      <c r="DV3005" s="4"/>
      <c r="DW3005" s="4"/>
      <c r="DX3005" s="4"/>
      <c r="DY3005" s="4"/>
      <c r="DZ3005" s="4"/>
      <c r="EA3005" s="4"/>
      <c r="EB3005" s="4"/>
      <c r="EC3005" s="4"/>
      <c r="ED3005" s="4"/>
      <c r="EE3005" s="4"/>
      <c r="EF3005" s="4"/>
      <c r="EG3005" s="4"/>
      <c r="EH3005" s="4"/>
      <c r="EI3005" s="4"/>
      <c r="EJ3005" s="4"/>
      <c r="EK3005" s="4"/>
      <c r="EL3005" s="4"/>
      <c r="EM3005" s="4"/>
      <c r="EN3005" s="4"/>
      <c r="EO3005" s="4"/>
      <c r="EP3005" s="4"/>
      <c r="EQ3005" s="4"/>
      <c r="ER3005" s="4"/>
      <c r="ES3005" s="4">
        <v>500</v>
      </c>
      <c r="ET3005" s="4"/>
      <c r="EU3005" s="4"/>
      <c r="EV3005" s="4"/>
      <c r="EW3005" s="4"/>
      <c r="EX3005" s="4"/>
      <c r="EY3005" s="4"/>
      <c r="EZ3005" s="4"/>
      <c r="FA3005" s="4"/>
      <c r="FB3005" s="4"/>
      <c r="FC3005" s="4"/>
      <c r="FD3005" s="4"/>
      <c r="FE3005" s="4"/>
      <c r="FF3005" s="4"/>
      <c r="FG3005" s="4"/>
      <c r="FH3005" s="4"/>
      <c r="FI3005" s="4"/>
      <c r="FJ3005" s="4"/>
      <c r="FK3005" s="4"/>
      <c r="FL3005" s="4"/>
      <c r="FM3005" s="4"/>
      <c r="FN3005" s="4"/>
      <c r="FO3005" s="4"/>
      <c r="FP3005" s="4"/>
      <c r="FQ3005" s="4"/>
      <c r="FR3005" s="4"/>
      <c r="FS3005" s="4"/>
      <c r="FT3005" s="4"/>
      <c r="FU3005" s="4"/>
      <c r="FV3005" s="4"/>
      <c r="FW3005" s="4"/>
      <c r="FX3005" s="4"/>
      <c r="FY3005" s="4"/>
      <c r="FZ3005" s="4"/>
      <c r="GA3005" s="4"/>
      <c r="GB3005" s="4"/>
      <c r="GC3005" s="4"/>
      <c r="GD3005" s="4"/>
      <c r="GE3005" s="4"/>
      <c r="GF3005" s="4"/>
      <c r="GG3005" s="4"/>
      <c r="GH3005" s="4"/>
      <c r="GI3005" s="4"/>
      <c r="GJ3005" s="4"/>
      <c r="GK3005" s="4">
        <v>800</v>
      </c>
      <c r="GL3005" s="4"/>
      <c r="GM3005" s="4"/>
      <c r="GN3005" s="4"/>
      <c r="GO3005" s="4"/>
      <c r="GP3005" s="4"/>
      <c r="GQ3005" s="4"/>
      <c r="GR3005" s="4"/>
      <c r="GS3005" s="4"/>
      <c r="GT3005" s="4"/>
      <c r="GU3005" s="4"/>
      <c r="GV3005" s="4"/>
      <c r="GW3005" s="4"/>
      <c r="GX3005" s="4"/>
      <c r="GY3005" s="4"/>
      <c r="GZ3005" s="4"/>
      <c r="HA3005" s="4"/>
      <c r="HB3005" s="4"/>
      <c r="HC3005" s="4"/>
      <c r="HD3005" s="4"/>
      <c r="HE3005" s="4"/>
      <c r="HF3005" s="4"/>
      <c r="HG3005" s="4"/>
      <c r="HH3005" s="4"/>
      <c r="HI3005" s="4"/>
      <c r="HJ3005" s="4"/>
      <c r="HK3005" s="4"/>
      <c r="HL3005" s="4"/>
    </row>
    <row r="3006">
      <c r="A3006" s="2" t="s">
        <v>12585</v>
      </c>
      <c r="B3006" s="2" t="s">
        <v>226</v>
      </c>
      <c r="C3006" s="2" t="s">
        <v>631</v>
      </c>
      <c r="D3006" s="2" t="s">
        <v>1549</v>
      </c>
      <c r="E3006" s="2" t="s">
        <v>6928</v>
      </c>
      <c r="F3006" s="2" t="s">
        <v>12573</v>
      </c>
      <c r="G3006" s="2" t="s">
        <v>12574</v>
      </c>
      <c r="H3006" s="2" t="s">
        <v>12574</v>
      </c>
      <c r="I3006" s="2" t="s">
        <v>12586</v>
      </c>
      <c r="J3006" s="2" t="s">
        <v>6678</v>
      </c>
      <c r="K3006" s="2" t="s">
        <v>901</v>
      </c>
      <c r="L3006" s="3">
        <v>42.9</v>
      </c>
      <c r="M3006" s="3">
        <v>45.05</v>
      </c>
      <c r="N3006" s="3">
        <v>84.99</v>
      </c>
      <c r="O3006" s="2" t="s">
        <v>243</v>
      </c>
      <c r="P3006" s="2" t="s">
        <v>341</v>
      </c>
      <c r="Q3006" s="2" t="s">
        <v>237</v>
      </c>
      <c r="R3006" s="2" t="s">
        <v>231</v>
      </c>
      <c r="S3006" s="2" t="s">
        <v>231</v>
      </c>
      <c r="T3006" s="2" t="s">
        <v>895</v>
      </c>
      <c r="U3006" s="2" t="s">
        <v>327</v>
      </c>
      <c r="V3006" s="2" t="s">
        <v>2195</v>
      </c>
      <c r="W3006" s="2" t="s">
        <v>299</v>
      </c>
      <c r="X3006" s="2" t="s">
        <v>792</v>
      </c>
      <c r="Y3006" s="2" t="s">
        <v>12587</v>
      </c>
      <c r="Z3006" s="4">
        <v>284</v>
      </c>
      <c r="AA3006" s="4">
        <f>=ROUNDDOWN(94.6666666666667,0)</f>
      </c>
      <c r="AB3006" s="5">
        <v>3</v>
      </c>
      <c r="AC3006" s="2" t="s">
        <v>231</v>
      </c>
      <c r="AD3006" s="4"/>
      <c r="AE3006" s="4"/>
      <c r="AF3006" s="6">
        <v>61</v>
      </c>
      <c r="AG3006" s="6"/>
      <c r="AH3006" s="7">
        <v>1</v>
      </c>
      <c r="AI3006" s="4"/>
      <c r="AJ3006" s="4">
        <f>=ROUNDDOWN({0},0)</f>
      </c>
      <c r="AK3006" s="5"/>
      <c r="AL3006" s="2" t="s">
        <v>231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231</v>
      </c>
      <c r="AW3006" s="8" t="s">
        <v>231</v>
      </c>
      <c r="AX3006" s="4" t="s">
        <v>231</v>
      </c>
      <c r="AY3006" s="8" t="s">
        <v>231</v>
      </c>
      <c r="AZ3006" s="7" t="s">
        <v>231</v>
      </c>
      <c r="BA3006" s="7" t="s">
        <v>231</v>
      </c>
      <c r="BB3006" s="7"/>
      <c r="BC3006" s="4" t="s">
        <v>231</v>
      </c>
      <c r="BD3006" s="8" t="s">
        <v>231</v>
      </c>
      <c r="BE3006" s="4" t="s">
        <v>231</v>
      </c>
      <c r="BF3006" s="8" t="s">
        <v>231</v>
      </c>
      <c r="BG3006" s="7" t="s">
        <v>231</v>
      </c>
      <c r="BH3006" s="7" t="s">
        <v>231</v>
      </c>
      <c r="BI3006" s="7"/>
      <c r="BJ3006" s="4">
        <v>2</v>
      </c>
      <c r="BK3006" s="8">
        <v>69.11</v>
      </c>
      <c r="BL3006" s="2" t="s">
        <v>12588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12589</v>
      </c>
      <c r="BV3006" s="2" t="s">
        <v>231</v>
      </c>
      <c r="BW3006" s="2" t="s">
        <v>231</v>
      </c>
      <c r="BX3006" s="2" t="s">
        <v>231</v>
      </c>
      <c r="BY3006" s="2" t="s">
        <v>277</v>
      </c>
      <c r="BZ3006" s="2" t="s">
        <v>243</v>
      </c>
      <c r="CA3006" s="2" t="s">
        <v>8445</v>
      </c>
      <c r="CB3006" s="2" t="s">
        <v>4852</v>
      </c>
      <c r="CC3006" s="2" t="s">
        <v>244</v>
      </c>
      <c r="CD3006" s="2" t="s">
        <v>231</v>
      </c>
      <c r="CE3006" s="4">
        <v>284</v>
      </c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/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  <c r="DP3006" s="4"/>
      <c r="DQ3006" s="4"/>
      <c r="DR3006" s="4"/>
      <c r="DS3006" s="4"/>
      <c r="DT3006" s="4"/>
      <c r="DU3006" s="4"/>
      <c r="DV3006" s="4"/>
      <c r="DW3006" s="4"/>
      <c r="DX3006" s="4"/>
      <c r="DY3006" s="4"/>
      <c r="DZ3006" s="4"/>
      <c r="EA3006" s="4"/>
      <c r="EB3006" s="4"/>
      <c r="EC3006" s="4"/>
      <c r="ED3006" s="4"/>
      <c r="EE3006" s="4"/>
      <c r="EF3006" s="4"/>
      <c r="EG3006" s="4"/>
      <c r="EH3006" s="4"/>
      <c r="EI3006" s="4"/>
      <c r="EJ3006" s="4"/>
      <c r="EK3006" s="4"/>
      <c r="EL3006" s="4"/>
      <c r="EM3006" s="4"/>
      <c r="EN3006" s="4"/>
      <c r="EO3006" s="4"/>
      <c r="EP3006" s="4"/>
      <c r="EQ3006" s="4"/>
      <c r="ER3006" s="4"/>
      <c r="ES3006" s="4"/>
      <c r="ET3006" s="4"/>
      <c r="EU3006" s="4"/>
      <c r="EV3006" s="4"/>
      <c r="EW3006" s="4"/>
      <c r="EX3006" s="4"/>
      <c r="EY3006" s="4"/>
      <c r="EZ3006" s="4"/>
      <c r="FA3006" s="4"/>
      <c r="FB3006" s="4"/>
      <c r="FC3006" s="4"/>
      <c r="FD3006" s="4"/>
      <c r="FE3006" s="4"/>
      <c r="FF3006" s="4"/>
      <c r="FG3006" s="4"/>
      <c r="FH3006" s="4"/>
      <c r="FI3006" s="4"/>
      <c r="FJ3006" s="4"/>
      <c r="FK3006" s="4"/>
      <c r="FL3006" s="4"/>
      <c r="FM3006" s="4"/>
      <c r="FN3006" s="4"/>
      <c r="FO3006" s="4"/>
      <c r="FP3006" s="4"/>
      <c r="FQ3006" s="4"/>
      <c r="FR3006" s="4"/>
      <c r="FS3006" s="4"/>
      <c r="FT3006" s="4"/>
      <c r="FU3006" s="4"/>
      <c r="FV3006" s="4"/>
      <c r="FW3006" s="4"/>
      <c r="FX3006" s="4"/>
      <c r="FY3006" s="4"/>
      <c r="FZ3006" s="4"/>
      <c r="GA3006" s="4"/>
      <c r="GB3006" s="4"/>
      <c r="GC3006" s="4"/>
      <c r="GD3006" s="4"/>
      <c r="GE3006" s="4"/>
      <c r="GF3006" s="4"/>
      <c r="GG3006" s="4"/>
      <c r="GH3006" s="4"/>
      <c r="GI3006" s="4"/>
      <c r="GJ3006" s="4"/>
      <c r="GK3006" s="4"/>
      <c r="GL3006" s="4"/>
      <c r="GM3006" s="4"/>
      <c r="GN3006" s="4"/>
      <c r="GO3006" s="4"/>
      <c r="GP3006" s="4"/>
      <c r="GQ3006" s="4"/>
      <c r="GR3006" s="4"/>
      <c r="GS3006" s="4"/>
      <c r="GT3006" s="4"/>
      <c r="GU3006" s="4"/>
      <c r="GV3006" s="4"/>
      <c r="GW3006" s="4"/>
      <c r="GX3006" s="4"/>
      <c r="GY3006" s="4"/>
      <c r="GZ3006" s="4"/>
      <c r="HA3006" s="4"/>
      <c r="HB3006" s="4"/>
      <c r="HC3006" s="4"/>
      <c r="HD3006" s="4"/>
      <c r="HE3006" s="4"/>
      <c r="HF3006" s="4"/>
      <c r="HG3006" s="4"/>
      <c r="HH3006" s="4"/>
      <c r="HI3006" s="4"/>
      <c r="HJ3006" s="4"/>
      <c r="HK3006" s="4"/>
      <c r="HL3006" s="4"/>
    </row>
    <row r="3007">
      <c r="A3007" s="2" t="s">
        <v>12590</v>
      </c>
      <c r="B3007" s="2" t="s">
        <v>226</v>
      </c>
      <c r="C3007" s="2" t="s">
        <v>288</v>
      </c>
      <c r="D3007" s="2" t="s">
        <v>1624</v>
      </c>
      <c r="E3007" s="2" t="s">
        <v>2589</v>
      </c>
      <c r="F3007" s="2" t="s">
        <v>12573</v>
      </c>
      <c r="G3007" s="2" t="s">
        <v>12574</v>
      </c>
      <c r="H3007" s="2" t="s">
        <v>12574</v>
      </c>
      <c r="I3007" s="2" t="s">
        <v>12591</v>
      </c>
      <c r="J3007" s="2" t="s">
        <v>12592</v>
      </c>
      <c r="K3007" s="2" t="s">
        <v>901</v>
      </c>
      <c r="L3007" s="3">
        <v>27.6</v>
      </c>
      <c r="M3007" s="3">
        <v>28.98</v>
      </c>
      <c r="N3007" s="3">
        <v>59.99</v>
      </c>
      <c r="O3007" s="2" t="s">
        <v>243</v>
      </c>
      <c r="P3007" s="2" t="s">
        <v>341</v>
      </c>
      <c r="Q3007" s="2" t="s">
        <v>237</v>
      </c>
      <c r="R3007" s="2" t="s">
        <v>231</v>
      </c>
      <c r="S3007" s="2" t="s">
        <v>12593</v>
      </c>
      <c r="T3007" s="2" t="s">
        <v>895</v>
      </c>
      <c r="U3007" s="2" t="s">
        <v>231</v>
      </c>
      <c r="V3007" s="2" t="s">
        <v>391</v>
      </c>
      <c r="W3007" s="2" t="s">
        <v>299</v>
      </c>
      <c r="X3007" s="2" t="s">
        <v>231</v>
      </c>
      <c r="Y3007" s="2" t="s">
        <v>274</v>
      </c>
      <c r="Z3007" s="4">
        <v>347</v>
      </c>
      <c r="AA3007" s="4">
        <f>=ROUNDDOWN(86.75,0)</f>
      </c>
      <c r="AB3007" s="5">
        <v>4</v>
      </c>
      <c r="AC3007" s="2" t="s">
        <v>231</v>
      </c>
      <c r="AD3007" s="4"/>
      <c r="AE3007" s="4"/>
      <c r="AF3007" s="6">
        <v>64</v>
      </c>
      <c r="AG3007" s="6"/>
      <c r="AH3007" s="7">
        <v>1</v>
      </c>
      <c r="AI3007" s="4"/>
      <c r="AJ3007" s="4">
        <f>=ROUNDDOWN({0},0)</f>
      </c>
      <c r="AK3007" s="5"/>
      <c r="AL3007" s="2" t="s">
        <v>231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231</v>
      </c>
      <c r="AW3007" s="8" t="s">
        <v>231</v>
      </c>
      <c r="AX3007" s="4" t="s">
        <v>231</v>
      </c>
      <c r="AY3007" s="8" t="s">
        <v>231</v>
      </c>
      <c r="AZ3007" s="7" t="s">
        <v>231</v>
      </c>
      <c r="BA3007" s="7" t="s">
        <v>231</v>
      </c>
      <c r="BB3007" s="7"/>
      <c r="BC3007" s="4" t="s">
        <v>231</v>
      </c>
      <c r="BD3007" s="8" t="s">
        <v>231</v>
      </c>
      <c r="BE3007" s="4" t="s">
        <v>231</v>
      </c>
      <c r="BF3007" s="8" t="s">
        <v>231</v>
      </c>
      <c r="BG3007" s="7" t="s">
        <v>231</v>
      </c>
      <c r="BH3007" s="7" t="s">
        <v>231</v>
      </c>
      <c r="BI3007" s="7"/>
      <c r="BJ3007" s="4">
        <v>11</v>
      </c>
      <c r="BK3007" s="8">
        <v>306.38</v>
      </c>
      <c r="BL3007" s="2" t="s">
        <v>12594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12595</v>
      </c>
      <c r="BV3007" s="2" t="s">
        <v>231</v>
      </c>
      <c r="BW3007" s="2" t="s">
        <v>231</v>
      </c>
      <c r="BX3007" s="2" t="s">
        <v>1360</v>
      </c>
      <c r="BY3007" s="2" t="s">
        <v>277</v>
      </c>
      <c r="BZ3007" s="2" t="s">
        <v>243</v>
      </c>
      <c r="CA3007" s="2" t="s">
        <v>284</v>
      </c>
      <c r="CB3007" s="2" t="s">
        <v>12596</v>
      </c>
      <c r="CC3007" s="2" t="s">
        <v>244</v>
      </c>
      <c r="CD3007" s="2" t="s">
        <v>231</v>
      </c>
      <c r="CE3007" s="4">
        <v>347</v>
      </c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4"/>
      <c r="CX3007" s="4"/>
      <c r="CY3007" s="4"/>
      <c r="CZ3007" s="4"/>
      <c r="DA3007" s="4"/>
      <c r="DB3007" s="4"/>
      <c r="DC3007" s="4"/>
      <c r="DD3007" s="4"/>
      <c r="DE3007" s="4"/>
      <c r="DF3007" s="4"/>
      <c r="DG3007" s="4"/>
      <c r="DH3007" s="4"/>
      <c r="DI3007" s="4"/>
      <c r="DJ3007" s="4"/>
      <c r="DK3007" s="4"/>
      <c r="DL3007" s="4"/>
      <c r="DM3007" s="4"/>
      <c r="DN3007" s="4"/>
      <c r="DO3007" s="4"/>
      <c r="DP3007" s="4"/>
      <c r="DQ3007" s="4"/>
      <c r="DR3007" s="4"/>
      <c r="DS3007" s="4"/>
      <c r="DT3007" s="4"/>
      <c r="DU3007" s="4"/>
      <c r="DV3007" s="4"/>
      <c r="DW3007" s="4"/>
      <c r="DX3007" s="4"/>
      <c r="DY3007" s="4"/>
      <c r="DZ3007" s="4"/>
      <c r="EA3007" s="4"/>
      <c r="EB3007" s="4"/>
      <c r="EC3007" s="4"/>
      <c r="ED3007" s="4"/>
      <c r="EE3007" s="4"/>
      <c r="EF3007" s="4"/>
      <c r="EG3007" s="4"/>
      <c r="EH3007" s="4"/>
      <c r="EI3007" s="4"/>
      <c r="EJ3007" s="4"/>
      <c r="EK3007" s="4"/>
      <c r="EL3007" s="4"/>
      <c r="EM3007" s="4"/>
      <c r="EN3007" s="4"/>
      <c r="EO3007" s="4"/>
      <c r="EP3007" s="4"/>
      <c r="EQ3007" s="4"/>
      <c r="ER3007" s="4"/>
      <c r="ES3007" s="4"/>
      <c r="ET3007" s="4"/>
      <c r="EU3007" s="4"/>
      <c r="EV3007" s="4"/>
      <c r="EW3007" s="4"/>
      <c r="EX3007" s="4"/>
      <c r="EY3007" s="4"/>
      <c r="EZ3007" s="4"/>
      <c r="FA3007" s="4"/>
      <c r="FB3007" s="4"/>
      <c r="FC3007" s="4"/>
      <c r="FD3007" s="4"/>
      <c r="FE3007" s="4"/>
      <c r="FF3007" s="4"/>
      <c r="FG3007" s="4"/>
      <c r="FH3007" s="4"/>
      <c r="FI3007" s="4"/>
      <c r="FJ3007" s="4"/>
      <c r="FK3007" s="4"/>
      <c r="FL3007" s="4"/>
      <c r="FM3007" s="4"/>
      <c r="FN3007" s="4"/>
      <c r="FO3007" s="4"/>
      <c r="FP3007" s="4"/>
      <c r="FQ3007" s="4"/>
      <c r="FR3007" s="4"/>
      <c r="FS3007" s="4"/>
      <c r="FT3007" s="4"/>
      <c r="FU3007" s="4"/>
      <c r="FV3007" s="4"/>
      <c r="FW3007" s="4"/>
      <c r="FX3007" s="4"/>
      <c r="FY3007" s="4"/>
      <c r="FZ3007" s="4"/>
      <c r="GA3007" s="4"/>
      <c r="GB3007" s="4"/>
      <c r="GC3007" s="4"/>
      <c r="GD3007" s="4"/>
      <c r="GE3007" s="4"/>
      <c r="GF3007" s="4"/>
      <c r="GG3007" s="4"/>
      <c r="GH3007" s="4"/>
      <c r="GI3007" s="4"/>
      <c r="GJ3007" s="4"/>
      <c r="GK3007" s="4"/>
      <c r="GL3007" s="4"/>
      <c r="GM3007" s="4"/>
      <c r="GN3007" s="4"/>
      <c r="GO3007" s="4"/>
      <c r="GP3007" s="4"/>
      <c r="GQ3007" s="4"/>
      <c r="GR3007" s="4"/>
      <c r="GS3007" s="4"/>
      <c r="GT3007" s="4"/>
      <c r="GU3007" s="4"/>
      <c r="GV3007" s="4"/>
      <c r="GW3007" s="4"/>
      <c r="GX3007" s="4"/>
      <c r="GY3007" s="4"/>
      <c r="GZ3007" s="4"/>
      <c r="HA3007" s="4"/>
      <c r="HB3007" s="4"/>
      <c r="HC3007" s="4"/>
      <c r="HD3007" s="4"/>
      <c r="HE3007" s="4"/>
      <c r="HF3007" s="4"/>
      <c r="HG3007" s="4"/>
      <c r="HH3007" s="4"/>
      <c r="HI3007" s="4"/>
      <c r="HJ3007" s="4"/>
      <c r="HK3007" s="4"/>
      <c r="HL3007" s="4"/>
    </row>
    <row r="3008">
      <c r="A3008" s="2" t="s">
        <v>12597</v>
      </c>
      <c r="B3008" s="2" t="s">
        <v>226</v>
      </c>
      <c r="C3008" s="2" t="s">
        <v>631</v>
      </c>
      <c r="D3008" s="2" t="s">
        <v>1549</v>
      </c>
      <c r="E3008" s="2" t="s">
        <v>1550</v>
      </c>
      <c r="F3008" s="2" t="s">
        <v>12573</v>
      </c>
      <c r="G3008" s="2" t="s">
        <v>12574</v>
      </c>
      <c r="H3008" s="2" t="s">
        <v>12574</v>
      </c>
      <c r="I3008" s="2" t="s">
        <v>12575</v>
      </c>
      <c r="J3008" s="2" t="s">
        <v>1628</v>
      </c>
      <c r="K3008" s="2" t="s">
        <v>12598</v>
      </c>
      <c r="L3008" s="3">
        <v>36.8</v>
      </c>
      <c r="M3008" s="3">
        <v>38.64</v>
      </c>
      <c r="N3008" s="3">
        <v>79.99</v>
      </c>
      <c r="O3008" s="2" t="s">
        <v>243</v>
      </c>
      <c r="P3008" s="2" t="s">
        <v>295</v>
      </c>
      <c r="Q3008" s="2" t="s">
        <v>237</v>
      </c>
      <c r="R3008" s="2" t="s">
        <v>231</v>
      </c>
      <c r="S3008" s="2" t="s">
        <v>12577</v>
      </c>
      <c r="T3008" s="2" t="s">
        <v>895</v>
      </c>
      <c r="U3008" s="2" t="s">
        <v>327</v>
      </c>
      <c r="V3008" s="2" t="s">
        <v>239</v>
      </c>
      <c r="W3008" s="2" t="s">
        <v>299</v>
      </c>
      <c r="X3008" s="2" t="s">
        <v>792</v>
      </c>
      <c r="Y3008" s="2" t="s">
        <v>231</v>
      </c>
      <c r="Z3008" s="4"/>
      <c r="AA3008" s="4">
        <f>=ROUNDDOWN({0},0)</f>
      </c>
      <c r="AB3008" s="5"/>
      <c r="AC3008" s="2" t="s">
        <v>1651</v>
      </c>
      <c r="AD3008" s="4">
        <v>450</v>
      </c>
      <c r="AE3008" s="4">
        <v>450</v>
      </c>
      <c r="AF3008" s="6">
        <v>66</v>
      </c>
      <c r="AG3008" s="6"/>
      <c r="AH3008" s="7">
        <v>0</v>
      </c>
      <c r="AI3008" s="4"/>
      <c r="AJ3008" s="4">
        <f>=ROUNDDOWN({0},0)</f>
      </c>
      <c r="AK3008" s="5"/>
      <c r="AL3008" s="2" t="s">
        <v>231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 t="s">
        <v>231</v>
      </c>
      <c r="BD3008" s="8" t="s">
        <v>231</v>
      </c>
      <c r="BE3008" s="4" t="s">
        <v>231</v>
      </c>
      <c r="BF3008" s="8" t="s">
        <v>231</v>
      </c>
      <c r="BG3008" s="7" t="s">
        <v>231</v>
      </c>
      <c r="BH3008" s="7" t="s">
        <v>231</v>
      </c>
      <c r="BI3008" s="7"/>
      <c r="BJ3008" s="4"/>
      <c r="BK3008" s="8"/>
      <c r="BL3008" s="2" t="s">
        <v>231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241</v>
      </c>
      <c r="BV3008" s="2" t="s">
        <v>231</v>
      </c>
      <c r="BW3008" s="2" t="s">
        <v>231</v>
      </c>
      <c r="BX3008" s="2" t="s">
        <v>241</v>
      </c>
      <c r="BY3008" s="2" t="s">
        <v>242</v>
      </c>
      <c r="BZ3008" s="2" t="s">
        <v>243</v>
      </c>
      <c r="CA3008" s="2" t="s">
        <v>231</v>
      </c>
      <c r="CB3008" s="2" t="s">
        <v>231</v>
      </c>
      <c r="CC3008" s="2" t="s">
        <v>244</v>
      </c>
      <c r="CD3008" s="2" t="s">
        <v>231</v>
      </c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4"/>
      <c r="CX3008" s="4"/>
      <c r="CY3008" s="4"/>
      <c r="CZ3008" s="4"/>
      <c r="DA3008" s="4"/>
      <c r="DB3008" s="4"/>
      <c r="DC3008" s="4"/>
      <c r="DD3008" s="4"/>
      <c r="DE3008" s="4"/>
      <c r="DF3008" s="4"/>
      <c r="DG3008" s="4"/>
      <c r="DH3008" s="4"/>
      <c r="DI3008" s="4"/>
      <c r="DJ3008" s="4"/>
      <c r="DK3008" s="4"/>
      <c r="DL3008" s="4"/>
      <c r="DM3008" s="4"/>
      <c r="DN3008" s="4"/>
      <c r="DO3008" s="4"/>
      <c r="DP3008" s="4"/>
      <c r="DQ3008" s="4"/>
      <c r="DR3008" s="4"/>
      <c r="DS3008" s="4"/>
      <c r="DT3008" s="4"/>
      <c r="DU3008" s="4"/>
      <c r="DV3008" s="4"/>
      <c r="DW3008" s="4"/>
      <c r="DX3008" s="4"/>
      <c r="DY3008" s="4"/>
      <c r="DZ3008" s="4"/>
      <c r="EA3008" s="4"/>
      <c r="EB3008" s="4"/>
      <c r="EC3008" s="4"/>
      <c r="ED3008" s="4"/>
      <c r="EE3008" s="4"/>
      <c r="EF3008" s="4"/>
      <c r="EG3008" s="4"/>
      <c r="EH3008" s="4"/>
      <c r="EI3008" s="4"/>
      <c r="EJ3008" s="4"/>
      <c r="EK3008" s="4"/>
      <c r="EL3008" s="4"/>
      <c r="EM3008" s="4"/>
      <c r="EN3008" s="4"/>
      <c r="EO3008" s="4"/>
      <c r="EP3008" s="4"/>
      <c r="EQ3008" s="4"/>
      <c r="ER3008" s="4"/>
      <c r="ES3008" s="4"/>
      <c r="ET3008" s="4"/>
      <c r="EU3008" s="4"/>
      <c r="EV3008" s="4"/>
      <c r="EW3008" s="4"/>
      <c r="EX3008" s="4"/>
      <c r="EY3008" s="4"/>
      <c r="EZ3008" s="4"/>
      <c r="FA3008" s="4"/>
      <c r="FB3008" s="4"/>
      <c r="FC3008" s="4"/>
      <c r="FD3008" s="4"/>
      <c r="FE3008" s="4"/>
      <c r="FF3008" s="4"/>
      <c r="FG3008" s="4"/>
      <c r="FH3008" s="4"/>
      <c r="FI3008" s="4"/>
      <c r="FJ3008" s="4"/>
      <c r="FK3008" s="4"/>
      <c r="FL3008" s="4"/>
      <c r="FM3008" s="4"/>
      <c r="FN3008" s="4"/>
      <c r="FO3008" s="4"/>
      <c r="FP3008" s="4"/>
      <c r="FQ3008" s="4"/>
      <c r="FR3008" s="4"/>
      <c r="FS3008" s="4"/>
      <c r="FT3008" s="4"/>
      <c r="FU3008" s="4"/>
      <c r="FV3008" s="4"/>
      <c r="FW3008" s="4"/>
      <c r="FX3008" s="4"/>
      <c r="FY3008" s="4"/>
      <c r="FZ3008" s="4"/>
      <c r="GA3008" s="4"/>
      <c r="GB3008" s="4"/>
      <c r="GC3008" s="4"/>
      <c r="GD3008" s="4"/>
      <c r="GE3008" s="4"/>
      <c r="GF3008" s="4"/>
      <c r="GG3008" s="4"/>
      <c r="GH3008" s="4"/>
      <c r="GI3008" s="4"/>
      <c r="GJ3008" s="4"/>
      <c r="GK3008" s="4"/>
      <c r="GL3008" s="4"/>
      <c r="GM3008" s="4"/>
      <c r="GN3008" s="4"/>
      <c r="GO3008" s="4"/>
      <c r="GP3008" s="4"/>
      <c r="GQ3008" s="4">
        <v>450</v>
      </c>
      <c r="GR3008" s="4"/>
      <c r="GS3008" s="4"/>
      <c r="GT3008" s="4"/>
      <c r="GU3008" s="4"/>
      <c r="GV3008" s="4"/>
      <c r="GW3008" s="4"/>
      <c r="GX3008" s="4"/>
      <c r="GY3008" s="4"/>
      <c r="GZ3008" s="4"/>
      <c r="HA3008" s="4"/>
      <c r="HB3008" s="4"/>
      <c r="HC3008" s="4"/>
      <c r="HD3008" s="4"/>
      <c r="HE3008" s="4"/>
      <c r="HF3008" s="4"/>
      <c r="HG3008" s="4"/>
      <c r="HH3008" s="4"/>
      <c r="HI3008" s="4"/>
      <c r="HJ3008" s="4"/>
      <c r="HK3008" s="4"/>
      <c r="HL3008" s="4"/>
    </row>
    <row r="3009">
      <c r="A3009" s="2" t="s">
        <v>12599</v>
      </c>
      <c r="B3009" s="2" t="s">
        <v>226</v>
      </c>
      <c r="C3009" s="2" t="s">
        <v>631</v>
      </c>
      <c r="D3009" s="2" t="s">
        <v>1549</v>
      </c>
      <c r="E3009" s="2" t="s">
        <v>6928</v>
      </c>
      <c r="F3009" s="2" t="s">
        <v>12573</v>
      </c>
      <c r="G3009" s="2" t="s">
        <v>12574</v>
      </c>
      <c r="H3009" s="2" t="s">
        <v>12574</v>
      </c>
      <c r="I3009" s="2" t="s">
        <v>12586</v>
      </c>
      <c r="J3009" s="2" t="s">
        <v>6678</v>
      </c>
      <c r="K3009" s="2" t="s">
        <v>253</v>
      </c>
      <c r="L3009" s="3">
        <v>42.9</v>
      </c>
      <c r="M3009" s="3">
        <v>45.05</v>
      </c>
      <c r="N3009" s="3">
        <v>84.99</v>
      </c>
      <c r="O3009" s="2" t="s">
        <v>243</v>
      </c>
      <c r="P3009" s="2" t="s">
        <v>341</v>
      </c>
      <c r="Q3009" s="2" t="s">
        <v>237</v>
      </c>
      <c r="R3009" s="2" t="s">
        <v>231</v>
      </c>
      <c r="S3009" s="2" t="s">
        <v>231</v>
      </c>
      <c r="T3009" s="2" t="s">
        <v>895</v>
      </c>
      <c r="U3009" s="2" t="s">
        <v>327</v>
      </c>
      <c r="V3009" s="2" t="s">
        <v>2195</v>
      </c>
      <c r="W3009" s="2" t="s">
        <v>299</v>
      </c>
      <c r="X3009" s="2" t="s">
        <v>792</v>
      </c>
      <c r="Y3009" s="2" t="s">
        <v>12587</v>
      </c>
      <c r="Z3009" s="4">
        <v>377</v>
      </c>
      <c r="AA3009" s="4">
        <f>=ROUNDDOWN(37.7,0)</f>
      </c>
      <c r="AB3009" s="5">
        <v>10</v>
      </c>
      <c r="AC3009" s="2" t="s">
        <v>231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231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231</v>
      </c>
      <c r="AW3009" s="8" t="s">
        <v>231</v>
      </c>
      <c r="AX3009" s="4" t="s">
        <v>231</v>
      </c>
      <c r="AY3009" s="8" t="s">
        <v>231</v>
      </c>
      <c r="AZ3009" s="7" t="s">
        <v>231</v>
      </c>
      <c r="BA3009" s="7" t="s">
        <v>231</v>
      </c>
      <c r="BB3009" s="7"/>
      <c r="BC3009" s="4" t="s">
        <v>231</v>
      </c>
      <c r="BD3009" s="8" t="s">
        <v>231</v>
      </c>
      <c r="BE3009" s="4" t="s">
        <v>231</v>
      </c>
      <c r="BF3009" s="8" t="s">
        <v>231</v>
      </c>
      <c r="BG3009" s="7" t="s">
        <v>231</v>
      </c>
      <c r="BH3009" s="7" t="s">
        <v>231</v>
      </c>
      <c r="BI3009" s="7"/>
      <c r="BJ3009" s="4">
        <v>15</v>
      </c>
      <c r="BK3009" s="8">
        <v>708.83</v>
      </c>
      <c r="BL3009" s="2" t="s">
        <v>12600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12601</v>
      </c>
      <c r="BV3009" s="2" t="s">
        <v>231</v>
      </c>
      <c r="BW3009" s="2" t="s">
        <v>231</v>
      </c>
      <c r="BX3009" s="2" t="s">
        <v>1360</v>
      </c>
      <c r="BY3009" s="2" t="s">
        <v>277</v>
      </c>
      <c r="BZ3009" s="2" t="s">
        <v>243</v>
      </c>
      <c r="CA3009" s="2" t="s">
        <v>8445</v>
      </c>
      <c r="CB3009" s="2" t="s">
        <v>6013</v>
      </c>
      <c r="CC3009" s="2" t="s">
        <v>244</v>
      </c>
      <c r="CD3009" s="2" t="s">
        <v>231</v>
      </c>
      <c r="CE3009" s="4">
        <v>377</v>
      </c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4"/>
      <c r="CX3009" s="4"/>
      <c r="CY3009" s="4"/>
      <c r="CZ3009" s="4"/>
      <c r="DA3009" s="4"/>
      <c r="DB3009" s="4"/>
      <c r="DC3009" s="4"/>
      <c r="DD3009" s="4"/>
      <c r="DE3009" s="4"/>
      <c r="DF3009" s="4"/>
      <c r="DG3009" s="4"/>
      <c r="DH3009" s="4"/>
      <c r="DI3009" s="4"/>
      <c r="DJ3009" s="4"/>
      <c r="DK3009" s="4"/>
      <c r="DL3009" s="4"/>
      <c r="DM3009" s="4"/>
      <c r="DN3009" s="4"/>
      <c r="DO3009" s="4"/>
      <c r="DP3009" s="4"/>
      <c r="DQ3009" s="4"/>
      <c r="DR3009" s="4"/>
      <c r="DS3009" s="4"/>
      <c r="DT3009" s="4"/>
      <c r="DU3009" s="4"/>
      <c r="DV3009" s="4"/>
      <c r="DW3009" s="4"/>
      <c r="DX3009" s="4"/>
      <c r="DY3009" s="4"/>
      <c r="DZ3009" s="4"/>
      <c r="EA3009" s="4"/>
      <c r="EB3009" s="4"/>
      <c r="EC3009" s="4"/>
      <c r="ED3009" s="4"/>
      <c r="EE3009" s="4"/>
      <c r="EF3009" s="4"/>
      <c r="EG3009" s="4"/>
      <c r="EH3009" s="4"/>
      <c r="EI3009" s="4"/>
      <c r="EJ3009" s="4"/>
      <c r="EK3009" s="4"/>
      <c r="EL3009" s="4"/>
      <c r="EM3009" s="4"/>
      <c r="EN3009" s="4"/>
      <c r="EO3009" s="4"/>
      <c r="EP3009" s="4"/>
      <c r="EQ3009" s="4"/>
      <c r="ER3009" s="4"/>
      <c r="ES3009" s="4"/>
      <c r="ET3009" s="4"/>
      <c r="EU3009" s="4"/>
      <c r="EV3009" s="4"/>
      <c r="EW3009" s="4"/>
      <c r="EX3009" s="4"/>
      <c r="EY3009" s="4"/>
      <c r="EZ3009" s="4"/>
      <c r="FA3009" s="4"/>
      <c r="FB3009" s="4"/>
      <c r="FC3009" s="4"/>
      <c r="FD3009" s="4"/>
      <c r="FE3009" s="4"/>
      <c r="FF3009" s="4"/>
      <c r="FG3009" s="4"/>
      <c r="FH3009" s="4"/>
      <c r="FI3009" s="4"/>
      <c r="FJ3009" s="4"/>
      <c r="FK3009" s="4"/>
      <c r="FL3009" s="4"/>
      <c r="FM3009" s="4"/>
      <c r="FN3009" s="4"/>
      <c r="FO3009" s="4"/>
      <c r="FP3009" s="4"/>
      <c r="FQ3009" s="4"/>
      <c r="FR3009" s="4"/>
      <c r="FS3009" s="4"/>
      <c r="FT3009" s="4"/>
      <c r="FU3009" s="4"/>
      <c r="FV3009" s="4"/>
      <c r="FW3009" s="4"/>
      <c r="FX3009" s="4"/>
      <c r="FY3009" s="4"/>
      <c r="FZ3009" s="4"/>
      <c r="GA3009" s="4"/>
      <c r="GB3009" s="4"/>
      <c r="GC3009" s="4"/>
      <c r="GD3009" s="4"/>
      <c r="GE3009" s="4"/>
      <c r="GF3009" s="4"/>
      <c r="GG3009" s="4"/>
      <c r="GH3009" s="4"/>
      <c r="GI3009" s="4"/>
      <c r="GJ3009" s="4"/>
      <c r="GK3009" s="4"/>
      <c r="GL3009" s="4"/>
      <c r="GM3009" s="4"/>
      <c r="GN3009" s="4"/>
      <c r="GO3009" s="4"/>
      <c r="GP3009" s="4"/>
      <c r="GQ3009" s="4"/>
      <c r="GR3009" s="4"/>
      <c r="GS3009" s="4"/>
      <c r="GT3009" s="4"/>
      <c r="GU3009" s="4"/>
      <c r="GV3009" s="4"/>
      <c r="GW3009" s="4"/>
      <c r="GX3009" s="4"/>
      <c r="GY3009" s="4"/>
      <c r="GZ3009" s="4"/>
      <c r="HA3009" s="4"/>
      <c r="HB3009" s="4"/>
      <c r="HC3009" s="4"/>
      <c r="HD3009" s="4"/>
      <c r="HE3009" s="4"/>
      <c r="HF3009" s="4"/>
      <c r="HG3009" s="4"/>
      <c r="HH3009" s="4"/>
      <c r="HI3009" s="4"/>
      <c r="HJ3009" s="4"/>
      <c r="HK3009" s="4"/>
      <c r="HL3009" s="4"/>
    </row>
    <row r="3010">
      <c r="A3010" s="2" t="s">
        <v>12602</v>
      </c>
      <c r="B3010" s="2" t="s">
        <v>226</v>
      </c>
      <c r="C3010" s="2" t="s">
        <v>288</v>
      </c>
      <c r="D3010" s="2" t="s">
        <v>1139</v>
      </c>
      <c r="E3010" s="2" t="s">
        <v>1140</v>
      </c>
      <c r="F3010" s="2" t="s">
        <v>12573</v>
      </c>
      <c r="G3010" s="2" t="s">
        <v>12574</v>
      </c>
      <c r="H3010" s="2" t="s">
        <v>12574</v>
      </c>
      <c r="I3010" s="2" t="s">
        <v>5302</v>
      </c>
      <c r="J3010" s="2" t="s">
        <v>1145</v>
      </c>
      <c r="K3010" s="2" t="s">
        <v>253</v>
      </c>
      <c r="L3010" s="3">
        <v>14.83</v>
      </c>
      <c r="M3010" s="3">
        <v>15.57</v>
      </c>
      <c r="N3010" s="3">
        <v>31.99</v>
      </c>
      <c r="O3010" s="2" t="s">
        <v>243</v>
      </c>
      <c r="P3010" s="2" t="s">
        <v>871</v>
      </c>
      <c r="Q3010" s="2" t="s">
        <v>237</v>
      </c>
      <c r="R3010" s="2" t="s">
        <v>231</v>
      </c>
      <c r="S3010" s="2" t="s">
        <v>12603</v>
      </c>
      <c r="T3010" s="2" t="s">
        <v>895</v>
      </c>
      <c r="U3010" s="2" t="s">
        <v>231</v>
      </c>
      <c r="V3010" s="2" t="s">
        <v>2195</v>
      </c>
      <c r="W3010" s="2" t="s">
        <v>299</v>
      </c>
      <c r="X3010" s="2" t="s">
        <v>231</v>
      </c>
      <c r="Y3010" s="2" t="s">
        <v>4224</v>
      </c>
      <c r="Z3010" s="4">
        <v>1016</v>
      </c>
      <c r="AA3010" s="4">
        <f>=ROUNDDOWN(29.8823529411765,0)</f>
      </c>
      <c r="AB3010" s="5">
        <v>34</v>
      </c>
      <c r="AC3010" s="2" t="s">
        <v>582</v>
      </c>
      <c r="AD3010" s="4">
        <v>448</v>
      </c>
      <c r="AE3010" s="4">
        <v>648</v>
      </c>
      <c r="AF3010" s="6">
        <v>64</v>
      </c>
      <c r="AG3010" s="6"/>
      <c r="AH3010" s="7">
        <v>1</v>
      </c>
      <c r="AI3010" s="4"/>
      <c r="AJ3010" s="4">
        <f>=ROUNDDOWN({0},0)</f>
      </c>
      <c r="AK3010" s="5"/>
      <c r="AL3010" s="2" t="s">
        <v>231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231</v>
      </c>
      <c r="AW3010" s="8" t="s">
        <v>231</v>
      </c>
      <c r="AX3010" s="4" t="s">
        <v>231</v>
      </c>
      <c r="AY3010" s="8" t="s">
        <v>231</v>
      </c>
      <c r="AZ3010" s="7" t="s">
        <v>231</v>
      </c>
      <c r="BA3010" s="7" t="s">
        <v>231</v>
      </c>
      <c r="BB3010" s="7"/>
      <c r="BC3010" s="4" t="s">
        <v>231</v>
      </c>
      <c r="BD3010" s="8" t="s">
        <v>231</v>
      </c>
      <c r="BE3010" s="4" t="s">
        <v>231</v>
      </c>
      <c r="BF3010" s="8" t="s">
        <v>231</v>
      </c>
      <c r="BG3010" s="7" t="s">
        <v>231</v>
      </c>
      <c r="BH3010" s="7" t="s">
        <v>231</v>
      </c>
      <c r="BI3010" s="7"/>
      <c r="BJ3010" s="4">
        <v>64</v>
      </c>
      <c r="BK3010" s="8">
        <v>926.46</v>
      </c>
      <c r="BL3010" s="2" t="s">
        <v>12604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12605</v>
      </c>
      <c r="BV3010" s="2" t="s">
        <v>231</v>
      </c>
      <c r="BW3010" s="2" t="s">
        <v>231</v>
      </c>
      <c r="BX3010" s="2" t="s">
        <v>231</v>
      </c>
      <c r="BY3010" s="2" t="s">
        <v>277</v>
      </c>
      <c r="BZ3010" s="2" t="s">
        <v>243</v>
      </c>
      <c r="CA3010" s="2" t="s">
        <v>284</v>
      </c>
      <c r="CB3010" s="2" t="s">
        <v>5625</v>
      </c>
      <c r="CC3010" s="2" t="s">
        <v>244</v>
      </c>
      <c r="CD3010" s="2" t="s">
        <v>231</v>
      </c>
      <c r="CE3010" s="4">
        <v>1016</v>
      </c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4"/>
      <c r="CX3010" s="4"/>
      <c r="CY3010" s="4"/>
      <c r="CZ3010" s="4"/>
      <c r="DA3010" s="4"/>
      <c r="DB3010" s="4"/>
      <c r="DC3010" s="4"/>
      <c r="DD3010" s="4"/>
      <c r="DE3010" s="4"/>
      <c r="DF3010" s="4"/>
      <c r="DG3010" s="4"/>
      <c r="DH3010" s="4"/>
      <c r="DI3010" s="4"/>
      <c r="DJ3010" s="4"/>
      <c r="DK3010" s="4"/>
      <c r="DL3010" s="4"/>
      <c r="DM3010" s="4"/>
      <c r="DN3010" s="4"/>
      <c r="DO3010" s="4"/>
      <c r="DP3010" s="4"/>
      <c r="DQ3010" s="4"/>
      <c r="DR3010" s="4"/>
      <c r="DS3010" s="4"/>
      <c r="DT3010" s="4"/>
      <c r="DU3010" s="4"/>
      <c r="DV3010" s="4"/>
      <c r="DW3010" s="4"/>
      <c r="DX3010" s="4"/>
      <c r="DY3010" s="4"/>
      <c r="DZ3010" s="4"/>
      <c r="EA3010" s="4"/>
      <c r="EB3010" s="4"/>
      <c r="EC3010" s="4"/>
      <c r="ED3010" s="4"/>
      <c r="EE3010" s="4"/>
      <c r="EF3010" s="4"/>
      <c r="EG3010" s="4"/>
      <c r="EH3010" s="4"/>
      <c r="EI3010" s="4"/>
      <c r="EJ3010" s="4"/>
      <c r="EK3010" s="4"/>
      <c r="EL3010" s="4"/>
      <c r="EM3010" s="4"/>
      <c r="EN3010" s="4"/>
      <c r="EO3010" s="4"/>
      <c r="EP3010" s="4"/>
      <c r="EQ3010" s="4"/>
      <c r="ER3010" s="4"/>
      <c r="ES3010" s="4"/>
      <c r="ET3010" s="4"/>
      <c r="EU3010" s="4"/>
      <c r="EV3010" s="4"/>
      <c r="EW3010" s="4"/>
      <c r="EX3010" s="4"/>
      <c r="EY3010" s="4"/>
      <c r="EZ3010" s="4"/>
      <c r="FA3010" s="4"/>
      <c r="FB3010" s="4"/>
      <c r="FC3010" s="4"/>
      <c r="FD3010" s="4"/>
      <c r="FE3010" s="4"/>
      <c r="FF3010" s="4"/>
      <c r="FG3010" s="4"/>
      <c r="FH3010" s="4"/>
      <c r="FI3010" s="4"/>
      <c r="FJ3010" s="4"/>
      <c r="FK3010" s="4"/>
      <c r="FL3010" s="4"/>
      <c r="FM3010" s="4"/>
      <c r="FN3010" s="4"/>
      <c r="FO3010" s="4">
        <v>448</v>
      </c>
      <c r="FP3010" s="4"/>
      <c r="FQ3010" s="4"/>
      <c r="FR3010" s="4"/>
      <c r="FS3010" s="4"/>
      <c r="FT3010" s="4"/>
      <c r="FU3010" s="4"/>
      <c r="FV3010" s="4"/>
      <c r="FW3010" s="4"/>
      <c r="FX3010" s="4"/>
      <c r="FY3010" s="4"/>
      <c r="FZ3010" s="4"/>
      <c r="GA3010" s="4"/>
      <c r="GB3010" s="4"/>
      <c r="GC3010" s="4"/>
      <c r="GD3010" s="4"/>
      <c r="GE3010" s="4"/>
      <c r="GF3010" s="4"/>
      <c r="GG3010" s="4"/>
      <c r="GH3010" s="4"/>
      <c r="GI3010" s="4"/>
      <c r="GJ3010" s="4"/>
      <c r="GK3010" s="4">
        <v>200</v>
      </c>
      <c r="GL3010" s="4"/>
      <c r="GM3010" s="4"/>
      <c r="GN3010" s="4"/>
      <c r="GO3010" s="4"/>
      <c r="GP3010" s="4"/>
      <c r="GQ3010" s="4"/>
      <c r="GR3010" s="4"/>
      <c r="GS3010" s="4"/>
      <c r="GT3010" s="4"/>
      <c r="GU3010" s="4"/>
      <c r="GV3010" s="4"/>
      <c r="GW3010" s="4"/>
      <c r="GX3010" s="4"/>
      <c r="GY3010" s="4"/>
      <c r="GZ3010" s="4"/>
      <c r="HA3010" s="4"/>
      <c r="HB3010" s="4"/>
      <c r="HC3010" s="4"/>
      <c r="HD3010" s="4"/>
      <c r="HE3010" s="4"/>
      <c r="HF3010" s="4"/>
      <c r="HG3010" s="4"/>
      <c r="HH3010" s="4"/>
      <c r="HI3010" s="4"/>
      <c r="HJ3010" s="4"/>
      <c r="HK3010" s="4"/>
      <c r="HL3010" s="4"/>
    </row>
    <row r="3011">
      <c r="A3011" s="2" t="s">
        <v>12606</v>
      </c>
      <c r="B3011" s="2" t="s">
        <v>226</v>
      </c>
      <c r="C3011" s="2" t="s">
        <v>288</v>
      </c>
      <c r="D3011" s="2" t="s">
        <v>1624</v>
      </c>
      <c r="E3011" s="2" t="s">
        <v>2589</v>
      </c>
      <c r="F3011" s="2" t="s">
        <v>12573</v>
      </c>
      <c r="G3011" s="2" t="s">
        <v>12574</v>
      </c>
      <c r="H3011" s="2" t="s">
        <v>12574</v>
      </c>
      <c r="I3011" s="2" t="s">
        <v>12591</v>
      </c>
      <c r="J3011" s="2" t="s">
        <v>12592</v>
      </c>
      <c r="K3011" s="2" t="s">
        <v>253</v>
      </c>
      <c r="L3011" s="3">
        <v>27.6</v>
      </c>
      <c r="M3011" s="3">
        <v>28.98</v>
      </c>
      <c r="N3011" s="3">
        <v>59.99</v>
      </c>
      <c r="O3011" s="2" t="s">
        <v>243</v>
      </c>
      <c r="P3011" s="2" t="s">
        <v>341</v>
      </c>
      <c r="Q3011" s="2" t="s">
        <v>237</v>
      </c>
      <c r="R3011" s="2" t="s">
        <v>231</v>
      </c>
      <c r="S3011" s="2" t="s">
        <v>12603</v>
      </c>
      <c r="T3011" s="2" t="s">
        <v>895</v>
      </c>
      <c r="U3011" s="2" t="s">
        <v>231</v>
      </c>
      <c r="V3011" s="2" t="s">
        <v>391</v>
      </c>
      <c r="W3011" s="2" t="s">
        <v>299</v>
      </c>
      <c r="X3011" s="2" t="s">
        <v>231</v>
      </c>
      <c r="Y3011" s="2" t="s">
        <v>4224</v>
      </c>
      <c r="Z3011" s="4">
        <v>619</v>
      </c>
      <c r="AA3011" s="4">
        <f>=ROUNDDOWN(44.2142857142857,0)</f>
      </c>
      <c r="AB3011" s="5">
        <v>14</v>
      </c>
      <c r="AC3011" s="2" t="s">
        <v>231</v>
      </c>
      <c r="AD3011" s="4"/>
      <c r="AE3011" s="4"/>
      <c r="AF3011" s="6">
        <v>64</v>
      </c>
      <c r="AG3011" s="6"/>
      <c r="AH3011" s="7">
        <v>1</v>
      </c>
      <c r="AI3011" s="4"/>
      <c r="AJ3011" s="4">
        <f>=ROUNDDOWN({0},0)</f>
      </c>
      <c r="AK3011" s="5"/>
      <c r="AL3011" s="2" t="s">
        <v>231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231</v>
      </c>
      <c r="AW3011" s="8" t="s">
        <v>231</v>
      </c>
      <c r="AX3011" s="4" t="s">
        <v>231</v>
      </c>
      <c r="AY3011" s="8" t="s">
        <v>231</v>
      </c>
      <c r="AZ3011" s="7" t="s">
        <v>231</v>
      </c>
      <c r="BA3011" s="7" t="s">
        <v>231</v>
      </c>
      <c r="BB3011" s="7"/>
      <c r="BC3011" s="4" t="s">
        <v>231</v>
      </c>
      <c r="BD3011" s="8" t="s">
        <v>231</v>
      </c>
      <c r="BE3011" s="4" t="s">
        <v>231</v>
      </c>
      <c r="BF3011" s="8" t="s">
        <v>231</v>
      </c>
      <c r="BG3011" s="7" t="s">
        <v>231</v>
      </c>
      <c r="BH3011" s="7" t="s">
        <v>231</v>
      </c>
      <c r="BI3011" s="7"/>
      <c r="BJ3011" s="4">
        <v>47</v>
      </c>
      <c r="BK3011" s="8">
        <v>1175.18</v>
      </c>
      <c r="BL3011" s="2" t="s">
        <v>12607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12608</v>
      </c>
      <c r="BV3011" s="2" t="s">
        <v>231</v>
      </c>
      <c r="BW3011" s="2" t="s">
        <v>231</v>
      </c>
      <c r="BX3011" s="2" t="s">
        <v>1360</v>
      </c>
      <c r="BY3011" s="2" t="s">
        <v>277</v>
      </c>
      <c r="BZ3011" s="2" t="s">
        <v>243</v>
      </c>
      <c r="CA3011" s="2" t="s">
        <v>284</v>
      </c>
      <c r="CB3011" s="2" t="s">
        <v>1494</v>
      </c>
      <c r="CC3011" s="2" t="s">
        <v>244</v>
      </c>
      <c r="CD3011" s="2" t="s">
        <v>231</v>
      </c>
      <c r="CE3011" s="4">
        <v>619</v>
      </c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4"/>
      <c r="CX3011" s="4"/>
      <c r="CY3011" s="4"/>
      <c r="CZ3011" s="4"/>
      <c r="DA3011" s="4"/>
      <c r="DB3011" s="4"/>
      <c r="DC3011" s="4"/>
      <c r="DD3011" s="4"/>
      <c r="DE3011" s="4"/>
      <c r="DF3011" s="4"/>
      <c r="DG3011" s="4"/>
      <c r="DH3011" s="4"/>
      <c r="DI3011" s="4"/>
      <c r="DJ3011" s="4"/>
      <c r="DK3011" s="4"/>
      <c r="DL3011" s="4"/>
      <c r="DM3011" s="4"/>
      <c r="DN3011" s="4"/>
      <c r="DO3011" s="4"/>
      <c r="DP3011" s="4"/>
      <c r="DQ3011" s="4"/>
      <c r="DR3011" s="4"/>
      <c r="DS3011" s="4"/>
      <c r="DT3011" s="4"/>
      <c r="DU3011" s="4"/>
      <c r="DV3011" s="4"/>
      <c r="DW3011" s="4"/>
      <c r="DX3011" s="4"/>
      <c r="DY3011" s="4"/>
      <c r="DZ3011" s="4"/>
      <c r="EA3011" s="4"/>
      <c r="EB3011" s="4"/>
      <c r="EC3011" s="4"/>
      <c r="ED3011" s="4"/>
      <c r="EE3011" s="4"/>
      <c r="EF3011" s="4"/>
      <c r="EG3011" s="4"/>
      <c r="EH3011" s="4"/>
      <c r="EI3011" s="4"/>
      <c r="EJ3011" s="4"/>
      <c r="EK3011" s="4"/>
      <c r="EL3011" s="4"/>
      <c r="EM3011" s="4"/>
      <c r="EN3011" s="4"/>
      <c r="EO3011" s="4"/>
      <c r="EP3011" s="4"/>
      <c r="EQ3011" s="4"/>
      <c r="ER3011" s="4"/>
      <c r="ES3011" s="4"/>
      <c r="ET3011" s="4"/>
      <c r="EU3011" s="4"/>
      <c r="EV3011" s="4"/>
      <c r="EW3011" s="4"/>
      <c r="EX3011" s="4"/>
      <c r="EY3011" s="4"/>
      <c r="EZ3011" s="4"/>
      <c r="FA3011" s="4"/>
      <c r="FB3011" s="4"/>
      <c r="FC3011" s="4"/>
      <c r="FD3011" s="4"/>
      <c r="FE3011" s="4"/>
      <c r="FF3011" s="4"/>
      <c r="FG3011" s="4"/>
      <c r="FH3011" s="4"/>
      <c r="FI3011" s="4"/>
      <c r="FJ3011" s="4"/>
      <c r="FK3011" s="4"/>
      <c r="FL3011" s="4"/>
      <c r="FM3011" s="4"/>
      <c r="FN3011" s="4"/>
      <c r="FO3011" s="4"/>
      <c r="FP3011" s="4"/>
      <c r="FQ3011" s="4"/>
      <c r="FR3011" s="4"/>
      <c r="FS3011" s="4"/>
      <c r="FT3011" s="4"/>
      <c r="FU3011" s="4"/>
      <c r="FV3011" s="4"/>
      <c r="FW3011" s="4"/>
      <c r="FX3011" s="4"/>
      <c r="FY3011" s="4"/>
      <c r="FZ3011" s="4"/>
      <c r="GA3011" s="4"/>
      <c r="GB3011" s="4"/>
      <c r="GC3011" s="4"/>
      <c r="GD3011" s="4"/>
      <c r="GE3011" s="4"/>
      <c r="GF3011" s="4"/>
      <c r="GG3011" s="4"/>
      <c r="GH3011" s="4"/>
      <c r="GI3011" s="4"/>
      <c r="GJ3011" s="4"/>
      <c r="GK3011" s="4"/>
      <c r="GL3011" s="4"/>
      <c r="GM3011" s="4"/>
      <c r="GN3011" s="4"/>
      <c r="GO3011" s="4"/>
      <c r="GP3011" s="4"/>
      <c r="GQ3011" s="4"/>
      <c r="GR3011" s="4"/>
      <c r="GS3011" s="4"/>
      <c r="GT3011" s="4"/>
      <c r="GU3011" s="4"/>
      <c r="GV3011" s="4"/>
      <c r="GW3011" s="4"/>
      <c r="GX3011" s="4"/>
      <c r="GY3011" s="4"/>
      <c r="GZ3011" s="4"/>
      <c r="HA3011" s="4"/>
      <c r="HB3011" s="4"/>
      <c r="HC3011" s="4"/>
      <c r="HD3011" s="4"/>
      <c r="HE3011" s="4"/>
      <c r="HF3011" s="4"/>
      <c r="HG3011" s="4"/>
      <c r="HH3011" s="4"/>
      <c r="HI3011" s="4"/>
      <c r="HJ3011" s="4"/>
      <c r="HK3011" s="4"/>
      <c r="HL3011" s="4"/>
    </row>
    <row r="3012">
      <c r="A3012" s="2" t="s">
        <v>12609</v>
      </c>
      <c r="B3012" s="2" t="s">
        <v>226</v>
      </c>
      <c r="C3012" s="2" t="s">
        <v>631</v>
      </c>
      <c r="D3012" s="2" t="s">
        <v>1549</v>
      </c>
      <c r="E3012" s="2" t="s">
        <v>1550</v>
      </c>
      <c r="F3012" s="2" t="s">
        <v>12573</v>
      </c>
      <c r="G3012" s="2" t="s">
        <v>12574</v>
      </c>
      <c r="H3012" s="2" t="s">
        <v>12574</v>
      </c>
      <c r="I3012" s="2" t="s">
        <v>12575</v>
      </c>
      <c r="J3012" s="2" t="s">
        <v>1628</v>
      </c>
      <c r="K3012" s="2" t="s">
        <v>12610</v>
      </c>
      <c r="L3012" s="3">
        <v>36.8</v>
      </c>
      <c r="M3012" s="3">
        <v>38.64</v>
      </c>
      <c r="N3012" s="3">
        <v>79.99</v>
      </c>
      <c r="O3012" s="2" t="s">
        <v>243</v>
      </c>
      <c r="P3012" s="2" t="s">
        <v>270</v>
      </c>
      <c r="Q3012" s="2" t="s">
        <v>237</v>
      </c>
      <c r="R3012" s="2" t="s">
        <v>231</v>
      </c>
      <c r="S3012" s="2" t="s">
        <v>12611</v>
      </c>
      <c r="T3012" s="2" t="s">
        <v>895</v>
      </c>
      <c r="U3012" s="2" t="s">
        <v>327</v>
      </c>
      <c r="V3012" s="2" t="s">
        <v>2195</v>
      </c>
      <c r="W3012" s="2" t="s">
        <v>299</v>
      </c>
      <c r="X3012" s="2" t="s">
        <v>792</v>
      </c>
      <c r="Y3012" s="2" t="s">
        <v>934</v>
      </c>
      <c r="Z3012" s="4">
        <v>564</v>
      </c>
      <c r="AA3012" s="4">
        <f>=ROUNDDOWN(23.5,0)</f>
      </c>
      <c r="AB3012" s="5">
        <v>24</v>
      </c>
      <c r="AC3012" s="2" t="s">
        <v>2049</v>
      </c>
      <c r="AD3012" s="4">
        <v>150</v>
      </c>
      <c r="AE3012" s="4">
        <v>660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231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231</v>
      </c>
      <c r="BD3012" s="8" t="s">
        <v>231</v>
      </c>
      <c r="BE3012" s="4" t="s">
        <v>231</v>
      </c>
      <c r="BF3012" s="8" t="s">
        <v>231</v>
      </c>
      <c r="BG3012" s="7" t="s">
        <v>231</v>
      </c>
      <c r="BH3012" s="7" t="s">
        <v>231</v>
      </c>
      <c r="BI3012" s="7"/>
      <c r="BJ3012" s="4">
        <v>6</v>
      </c>
      <c r="BK3012" s="8">
        <v>243.37</v>
      </c>
      <c r="BL3012" s="2" t="s">
        <v>5195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12612</v>
      </c>
      <c r="BV3012" s="2" t="s">
        <v>231</v>
      </c>
      <c r="BW3012" s="2" t="s">
        <v>231</v>
      </c>
      <c r="BX3012" s="2" t="s">
        <v>241</v>
      </c>
      <c r="BY3012" s="2" t="s">
        <v>277</v>
      </c>
      <c r="BZ3012" s="2" t="s">
        <v>243</v>
      </c>
      <c r="CA3012" s="2" t="s">
        <v>822</v>
      </c>
      <c r="CB3012" s="2" t="s">
        <v>1990</v>
      </c>
      <c r="CC3012" s="2" t="s">
        <v>244</v>
      </c>
      <c r="CD3012" s="2" t="s">
        <v>231</v>
      </c>
      <c r="CE3012" s="4">
        <v>564</v>
      </c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4"/>
      <c r="CX3012" s="4"/>
      <c r="CY3012" s="4"/>
      <c r="CZ3012" s="4"/>
      <c r="DA3012" s="4"/>
      <c r="DB3012" s="4"/>
      <c r="DC3012" s="4"/>
      <c r="DD3012" s="4"/>
      <c r="DE3012" s="4"/>
      <c r="DF3012" s="4"/>
      <c r="DG3012" s="4"/>
      <c r="DH3012" s="4"/>
      <c r="DI3012" s="4"/>
      <c r="DJ3012" s="4"/>
      <c r="DK3012" s="4"/>
      <c r="DL3012" s="4"/>
      <c r="DM3012" s="4"/>
      <c r="DN3012" s="4"/>
      <c r="DO3012" s="4"/>
      <c r="DP3012" s="4"/>
      <c r="DQ3012" s="4"/>
      <c r="DR3012" s="4"/>
      <c r="DS3012" s="4"/>
      <c r="DT3012" s="4"/>
      <c r="DU3012" s="4"/>
      <c r="DV3012" s="4"/>
      <c r="DW3012" s="4"/>
      <c r="DX3012" s="4"/>
      <c r="DY3012" s="4"/>
      <c r="DZ3012" s="4"/>
      <c r="EA3012" s="4"/>
      <c r="EB3012" s="4"/>
      <c r="EC3012" s="4"/>
      <c r="ED3012" s="4"/>
      <c r="EE3012" s="4"/>
      <c r="EF3012" s="4"/>
      <c r="EG3012" s="4"/>
      <c r="EH3012" s="4"/>
      <c r="EI3012" s="4"/>
      <c r="EJ3012" s="4"/>
      <c r="EK3012" s="4"/>
      <c r="EL3012" s="4"/>
      <c r="EM3012" s="4"/>
      <c r="EN3012" s="4"/>
      <c r="EO3012" s="4"/>
      <c r="EP3012" s="4"/>
      <c r="EQ3012" s="4"/>
      <c r="ER3012" s="4"/>
      <c r="ES3012" s="4"/>
      <c r="ET3012" s="4"/>
      <c r="EU3012" s="4"/>
      <c r="EV3012" s="4"/>
      <c r="EW3012" s="4"/>
      <c r="EX3012" s="4"/>
      <c r="EY3012" s="4"/>
      <c r="EZ3012" s="4"/>
      <c r="FA3012" s="4"/>
      <c r="FB3012" s="4"/>
      <c r="FC3012" s="4"/>
      <c r="FD3012" s="4"/>
      <c r="FE3012" s="4"/>
      <c r="FF3012" s="4"/>
      <c r="FG3012" s="4"/>
      <c r="FH3012" s="4"/>
      <c r="FI3012" s="4"/>
      <c r="FJ3012" s="4"/>
      <c r="FK3012" s="4"/>
      <c r="FL3012" s="4"/>
      <c r="FM3012" s="4"/>
      <c r="FN3012" s="4"/>
      <c r="FO3012" s="4"/>
      <c r="FP3012" s="4"/>
      <c r="FQ3012" s="4"/>
      <c r="FR3012" s="4"/>
      <c r="FS3012" s="4"/>
      <c r="FT3012" s="4"/>
      <c r="FU3012" s="4"/>
      <c r="FV3012" s="4"/>
      <c r="FW3012" s="4"/>
      <c r="FX3012" s="4"/>
      <c r="FY3012" s="4"/>
      <c r="FZ3012" s="4"/>
      <c r="GA3012" s="4"/>
      <c r="GB3012" s="4"/>
      <c r="GC3012" s="4"/>
      <c r="GD3012" s="4"/>
      <c r="GE3012" s="4">
        <v>150</v>
      </c>
      <c r="GF3012" s="4"/>
      <c r="GG3012" s="4"/>
      <c r="GH3012" s="4"/>
      <c r="GI3012" s="4"/>
      <c r="GJ3012" s="4"/>
      <c r="GK3012" s="4"/>
      <c r="GL3012" s="4"/>
      <c r="GM3012" s="4"/>
      <c r="GN3012" s="4"/>
      <c r="GO3012" s="4"/>
      <c r="GP3012" s="4"/>
      <c r="GQ3012" s="4"/>
      <c r="GR3012" s="4"/>
      <c r="GS3012" s="4"/>
      <c r="GT3012" s="4"/>
      <c r="GU3012" s="4"/>
      <c r="GV3012" s="4"/>
      <c r="GW3012" s="4"/>
      <c r="GX3012" s="4"/>
      <c r="GY3012" s="4"/>
      <c r="GZ3012" s="4">
        <v>510</v>
      </c>
      <c r="HA3012" s="4"/>
      <c r="HB3012" s="4"/>
      <c r="HC3012" s="4"/>
      <c r="HD3012" s="4"/>
      <c r="HE3012" s="4"/>
      <c r="HF3012" s="4"/>
      <c r="HG3012" s="4"/>
      <c r="HH3012" s="4"/>
      <c r="HI3012" s="4"/>
      <c r="HJ3012" s="4"/>
      <c r="HK3012" s="4"/>
      <c r="HL3012" s="4"/>
    </row>
    <row r="3013">
      <c r="A3013" s="2" t="s">
        <v>12613</v>
      </c>
      <c r="B3013" s="2" t="s">
        <v>226</v>
      </c>
      <c r="C3013" s="2" t="s">
        <v>631</v>
      </c>
      <c r="D3013" s="2" t="s">
        <v>1549</v>
      </c>
      <c r="E3013" s="2" t="s">
        <v>1550</v>
      </c>
      <c r="F3013" s="2" t="s">
        <v>12573</v>
      </c>
      <c r="G3013" s="2" t="s">
        <v>12574</v>
      </c>
      <c r="H3013" s="2" t="s">
        <v>12574</v>
      </c>
      <c r="I3013" s="2" t="s">
        <v>12575</v>
      </c>
      <c r="J3013" s="2" t="s">
        <v>1628</v>
      </c>
      <c r="K3013" s="2" t="s">
        <v>12614</v>
      </c>
      <c r="L3013" s="3">
        <v>36.8</v>
      </c>
      <c r="M3013" s="3">
        <v>38.64</v>
      </c>
      <c r="N3013" s="3">
        <v>79.99</v>
      </c>
      <c r="O3013" s="2" t="s">
        <v>243</v>
      </c>
      <c r="P3013" s="2" t="s">
        <v>295</v>
      </c>
      <c r="Q3013" s="2" t="s">
        <v>237</v>
      </c>
      <c r="R3013" s="2" t="s">
        <v>231</v>
      </c>
      <c r="S3013" s="2" t="s">
        <v>12577</v>
      </c>
      <c r="T3013" s="2" t="s">
        <v>895</v>
      </c>
      <c r="U3013" s="2" t="s">
        <v>327</v>
      </c>
      <c r="V3013" s="2" t="s">
        <v>239</v>
      </c>
      <c r="W3013" s="2" t="s">
        <v>299</v>
      </c>
      <c r="X3013" s="2" t="s">
        <v>792</v>
      </c>
      <c r="Y3013" s="2" t="s">
        <v>231</v>
      </c>
      <c r="Z3013" s="4"/>
      <c r="AA3013" s="4">
        <f>=ROUNDDOWN({0},0)</f>
      </c>
      <c r="AB3013" s="5"/>
      <c r="AC3013" s="2" t="s">
        <v>1651</v>
      </c>
      <c r="AD3013" s="4">
        <v>450</v>
      </c>
      <c r="AE3013" s="4">
        <v>450</v>
      </c>
      <c r="AF3013" s="6">
        <v>66</v>
      </c>
      <c r="AG3013" s="6"/>
      <c r="AH3013" s="7">
        <v>0</v>
      </c>
      <c r="AI3013" s="4"/>
      <c r="AJ3013" s="4">
        <f>=ROUNDDOWN({0},0)</f>
      </c>
      <c r="AK3013" s="5"/>
      <c r="AL3013" s="2" t="s">
        <v>231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231</v>
      </c>
      <c r="BD3013" s="8" t="s">
        <v>231</v>
      </c>
      <c r="BE3013" s="4" t="s">
        <v>231</v>
      </c>
      <c r="BF3013" s="8" t="s">
        <v>231</v>
      </c>
      <c r="BG3013" s="7" t="s">
        <v>231</v>
      </c>
      <c r="BH3013" s="7" t="s">
        <v>231</v>
      </c>
      <c r="BI3013" s="7"/>
      <c r="BJ3013" s="4"/>
      <c r="BK3013" s="8"/>
      <c r="BL3013" s="2" t="s">
        <v>231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241</v>
      </c>
      <c r="BV3013" s="2" t="s">
        <v>231</v>
      </c>
      <c r="BW3013" s="2" t="s">
        <v>231</v>
      </c>
      <c r="BX3013" s="2" t="s">
        <v>241</v>
      </c>
      <c r="BY3013" s="2" t="s">
        <v>242</v>
      </c>
      <c r="BZ3013" s="2" t="s">
        <v>243</v>
      </c>
      <c r="CA3013" s="2" t="s">
        <v>231</v>
      </c>
      <c r="CB3013" s="2" t="s">
        <v>231</v>
      </c>
      <c r="CC3013" s="2" t="s">
        <v>244</v>
      </c>
      <c r="CD3013" s="2" t="s">
        <v>231</v>
      </c>
      <c r="CE3013" s="4"/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4"/>
      <c r="CX3013" s="4"/>
      <c r="CY3013" s="4"/>
      <c r="CZ3013" s="4"/>
      <c r="DA3013" s="4"/>
      <c r="DB3013" s="4"/>
      <c r="DC3013" s="4"/>
      <c r="DD3013" s="4"/>
      <c r="DE3013" s="4"/>
      <c r="DF3013" s="4"/>
      <c r="DG3013" s="4"/>
      <c r="DH3013" s="4"/>
      <c r="DI3013" s="4"/>
      <c r="DJ3013" s="4"/>
      <c r="DK3013" s="4"/>
      <c r="DL3013" s="4"/>
      <c r="DM3013" s="4"/>
      <c r="DN3013" s="4"/>
      <c r="DO3013" s="4"/>
      <c r="DP3013" s="4"/>
      <c r="DQ3013" s="4"/>
      <c r="DR3013" s="4"/>
      <c r="DS3013" s="4"/>
      <c r="DT3013" s="4"/>
      <c r="DU3013" s="4"/>
      <c r="DV3013" s="4"/>
      <c r="DW3013" s="4"/>
      <c r="DX3013" s="4"/>
      <c r="DY3013" s="4"/>
      <c r="DZ3013" s="4"/>
      <c r="EA3013" s="4"/>
      <c r="EB3013" s="4"/>
      <c r="EC3013" s="4"/>
      <c r="ED3013" s="4"/>
      <c r="EE3013" s="4"/>
      <c r="EF3013" s="4"/>
      <c r="EG3013" s="4"/>
      <c r="EH3013" s="4"/>
      <c r="EI3013" s="4"/>
      <c r="EJ3013" s="4"/>
      <c r="EK3013" s="4"/>
      <c r="EL3013" s="4"/>
      <c r="EM3013" s="4"/>
      <c r="EN3013" s="4"/>
      <c r="EO3013" s="4"/>
      <c r="EP3013" s="4"/>
      <c r="EQ3013" s="4"/>
      <c r="ER3013" s="4"/>
      <c r="ES3013" s="4"/>
      <c r="ET3013" s="4"/>
      <c r="EU3013" s="4"/>
      <c r="EV3013" s="4"/>
      <c r="EW3013" s="4"/>
      <c r="EX3013" s="4"/>
      <c r="EY3013" s="4"/>
      <c r="EZ3013" s="4"/>
      <c r="FA3013" s="4"/>
      <c r="FB3013" s="4"/>
      <c r="FC3013" s="4"/>
      <c r="FD3013" s="4"/>
      <c r="FE3013" s="4"/>
      <c r="FF3013" s="4"/>
      <c r="FG3013" s="4"/>
      <c r="FH3013" s="4"/>
      <c r="FI3013" s="4"/>
      <c r="FJ3013" s="4"/>
      <c r="FK3013" s="4"/>
      <c r="FL3013" s="4"/>
      <c r="FM3013" s="4"/>
      <c r="FN3013" s="4"/>
      <c r="FO3013" s="4"/>
      <c r="FP3013" s="4"/>
      <c r="FQ3013" s="4"/>
      <c r="FR3013" s="4"/>
      <c r="FS3013" s="4"/>
      <c r="FT3013" s="4"/>
      <c r="FU3013" s="4"/>
      <c r="FV3013" s="4"/>
      <c r="FW3013" s="4"/>
      <c r="FX3013" s="4"/>
      <c r="FY3013" s="4"/>
      <c r="FZ3013" s="4"/>
      <c r="GA3013" s="4"/>
      <c r="GB3013" s="4"/>
      <c r="GC3013" s="4"/>
      <c r="GD3013" s="4"/>
      <c r="GE3013" s="4"/>
      <c r="GF3013" s="4"/>
      <c r="GG3013" s="4"/>
      <c r="GH3013" s="4"/>
      <c r="GI3013" s="4"/>
      <c r="GJ3013" s="4"/>
      <c r="GK3013" s="4"/>
      <c r="GL3013" s="4"/>
      <c r="GM3013" s="4"/>
      <c r="GN3013" s="4"/>
      <c r="GO3013" s="4"/>
      <c r="GP3013" s="4"/>
      <c r="GQ3013" s="4">
        <v>450</v>
      </c>
      <c r="GR3013" s="4"/>
      <c r="GS3013" s="4"/>
      <c r="GT3013" s="4"/>
      <c r="GU3013" s="4"/>
      <c r="GV3013" s="4"/>
      <c r="GW3013" s="4"/>
      <c r="GX3013" s="4"/>
      <c r="GY3013" s="4"/>
      <c r="GZ3013" s="4"/>
      <c r="HA3013" s="4"/>
      <c r="HB3013" s="4"/>
      <c r="HC3013" s="4"/>
      <c r="HD3013" s="4"/>
      <c r="HE3013" s="4"/>
      <c r="HF3013" s="4"/>
      <c r="HG3013" s="4"/>
      <c r="HH3013" s="4"/>
      <c r="HI3013" s="4"/>
      <c r="HJ3013" s="4"/>
      <c r="HK3013" s="4"/>
      <c r="HL3013" s="4"/>
    </row>
    <row r="3014">
      <c r="A3014" s="2" t="s">
        <v>12615</v>
      </c>
      <c r="B3014" s="2" t="s">
        <v>226</v>
      </c>
      <c r="C3014" s="2" t="s">
        <v>631</v>
      </c>
      <c r="D3014" s="2" t="s">
        <v>1549</v>
      </c>
      <c r="E3014" s="2" t="s">
        <v>1550</v>
      </c>
      <c r="F3014" s="2" t="s">
        <v>12573</v>
      </c>
      <c r="G3014" s="2" t="s">
        <v>12574</v>
      </c>
      <c r="H3014" s="2" t="s">
        <v>12574</v>
      </c>
      <c r="I3014" s="2" t="s">
        <v>12575</v>
      </c>
      <c r="J3014" s="2" t="s">
        <v>1628</v>
      </c>
      <c r="K3014" s="2" t="s">
        <v>12616</v>
      </c>
      <c r="L3014" s="3">
        <v>36.8</v>
      </c>
      <c r="M3014" s="3">
        <v>38.64</v>
      </c>
      <c r="N3014" s="3">
        <v>79.99</v>
      </c>
      <c r="O3014" s="2" t="s">
        <v>243</v>
      </c>
      <c r="P3014" s="2" t="s">
        <v>295</v>
      </c>
      <c r="Q3014" s="2" t="s">
        <v>237</v>
      </c>
      <c r="R3014" s="2" t="s">
        <v>231</v>
      </c>
      <c r="S3014" s="2" t="s">
        <v>12577</v>
      </c>
      <c r="T3014" s="2" t="s">
        <v>895</v>
      </c>
      <c r="U3014" s="2" t="s">
        <v>327</v>
      </c>
      <c r="V3014" s="2" t="s">
        <v>239</v>
      </c>
      <c r="W3014" s="2" t="s">
        <v>299</v>
      </c>
      <c r="X3014" s="2" t="s">
        <v>792</v>
      </c>
      <c r="Y3014" s="2" t="s">
        <v>231</v>
      </c>
      <c r="Z3014" s="4"/>
      <c r="AA3014" s="4">
        <f>=ROUNDDOWN({0},0)</f>
      </c>
      <c r="AB3014" s="5"/>
      <c r="AC3014" s="2" t="s">
        <v>1651</v>
      </c>
      <c r="AD3014" s="4">
        <v>550</v>
      </c>
      <c r="AE3014" s="4">
        <v>550</v>
      </c>
      <c r="AF3014" s="6">
        <v>66</v>
      </c>
      <c r="AG3014" s="6"/>
      <c r="AH3014" s="7">
        <v>0</v>
      </c>
      <c r="AI3014" s="4"/>
      <c r="AJ3014" s="4">
        <f>=ROUNDDOWN({0},0)</f>
      </c>
      <c r="AK3014" s="5"/>
      <c r="AL3014" s="2" t="s">
        <v>231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231</v>
      </c>
      <c r="BD3014" s="8" t="s">
        <v>231</v>
      </c>
      <c r="BE3014" s="4" t="s">
        <v>231</v>
      </c>
      <c r="BF3014" s="8" t="s">
        <v>231</v>
      </c>
      <c r="BG3014" s="7" t="s">
        <v>231</v>
      </c>
      <c r="BH3014" s="7" t="s">
        <v>231</v>
      </c>
      <c r="BI3014" s="7"/>
      <c r="BJ3014" s="4"/>
      <c r="BK3014" s="8"/>
      <c r="BL3014" s="2" t="s">
        <v>231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241</v>
      </c>
      <c r="BV3014" s="2" t="s">
        <v>231</v>
      </c>
      <c r="BW3014" s="2" t="s">
        <v>231</v>
      </c>
      <c r="BX3014" s="2" t="s">
        <v>241</v>
      </c>
      <c r="BY3014" s="2" t="s">
        <v>242</v>
      </c>
      <c r="BZ3014" s="2" t="s">
        <v>243</v>
      </c>
      <c r="CA3014" s="2" t="s">
        <v>231</v>
      </c>
      <c r="CB3014" s="2" t="s">
        <v>231</v>
      </c>
      <c r="CC3014" s="2" t="s">
        <v>244</v>
      </c>
      <c r="CD3014" s="2" t="s">
        <v>231</v>
      </c>
      <c r="CE3014" s="4"/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4"/>
      <c r="CX3014" s="4"/>
      <c r="CY3014" s="4"/>
      <c r="CZ3014" s="4"/>
      <c r="DA3014" s="4"/>
      <c r="DB3014" s="4"/>
      <c r="DC3014" s="4"/>
      <c r="DD3014" s="4"/>
      <c r="DE3014" s="4"/>
      <c r="DF3014" s="4"/>
      <c r="DG3014" s="4"/>
      <c r="DH3014" s="4"/>
      <c r="DI3014" s="4"/>
      <c r="DJ3014" s="4"/>
      <c r="DK3014" s="4"/>
      <c r="DL3014" s="4"/>
      <c r="DM3014" s="4"/>
      <c r="DN3014" s="4"/>
      <c r="DO3014" s="4"/>
      <c r="DP3014" s="4"/>
      <c r="DQ3014" s="4"/>
      <c r="DR3014" s="4"/>
      <c r="DS3014" s="4"/>
      <c r="DT3014" s="4"/>
      <c r="DU3014" s="4"/>
      <c r="DV3014" s="4"/>
      <c r="DW3014" s="4"/>
      <c r="DX3014" s="4"/>
      <c r="DY3014" s="4"/>
      <c r="DZ3014" s="4"/>
      <c r="EA3014" s="4"/>
      <c r="EB3014" s="4"/>
      <c r="EC3014" s="4"/>
      <c r="ED3014" s="4"/>
      <c r="EE3014" s="4"/>
      <c r="EF3014" s="4"/>
      <c r="EG3014" s="4"/>
      <c r="EH3014" s="4"/>
      <c r="EI3014" s="4"/>
      <c r="EJ3014" s="4"/>
      <c r="EK3014" s="4"/>
      <c r="EL3014" s="4"/>
      <c r="EM3014" s="4"/>
      <c r="EN3014" s="4"/>
      <c r="EO3014" s="4"/>
      <c r="EP3014" s="4"/>
      <c r="EQ3014" s="4"/>
      <c r="ER3014" s="4"/>
      <c r="ES3014" s="4"/>
      <c r="ET3014" s="4"/>
      <c r="EU3014" s="4"/>
      <c r="EV3014" s="4"/>
      <c r="EW3014" s="4"/>
      <c r="EX3014" s="4"/>
      <c r="EY3014" s="4"/>
      <c r="EZ3014" s="4"/>
      <c r="FA3014" s="4"/>
      <c r="FB3014" s="4"/>
      <c r="FC3014" s="4"/>
      <c r="FD3014" s="4"/>
      <c r="FE3014" s="4"/>
      <c r="FF3014" s="4"/>
      <c r="FG3014" s="4"/>
      <c r="FH3014" s="4"/>
      <c r="FI3014" s="4"/>
      <c r="FJ3014" s="4"/>
      <c r="FK3014" s="4"/>
      <c r="FL3014" s="4"/>
      <c r="FM3014" s="4"/>
      <c r="FN3014" s="4"/>
      <c r="FO3014" s="4"/>
      <c r="FP3014" s="4"/>
      <c r="FQ3014" s="4"/>
      <c r="FR3014" s="4"/>
      <c r="FS3014" s="4"/>
      <c r="FT3014" s="4"/>
      <c r="FU3014" s="4"/>
      <c r="FV3014" s="4"/>
      <c r="FW3014" s="4"/>
      <c r="FX3014" s="4"/>
      <c r="FY3014" s="4"/>
      <c r="FZ3014" s="4"/>
      <c r="GA3014" s="4"/>
      <c r="GB3014" s="4"/>
      <c r="GC3014" s="4"/>
      <c r="GD3014" s="4"/>
      <c r="GE3014" s="4"/>
      <c r="GF3014" s="4"/>
      <c r="GG3014" s="4"/>
      <c r="GH3014" s="4"/>
      <c r="GI3014" s="4"/>
      <c r="GJ3014" s="4"/>
      <c r="GK3014" s="4"/>
      <c r="GL3014" s="4"/>
      <c r="GM3014" s="4"/>
      <c r="GN3014" s="4"/>
      <c r="GO3014" s="4"/>
      <c r="GP3014" s="4"/>
      <c r="GQ3014" s="4">
        <v>550</v>
      </c>
      <c r="GR3014" s="4"/>
      <c r="GS3014" s="4"/>
      <c r="GT3014" s="4"/>
      <c r="GU3014" s="4"/>
      <c r="GV3014" s="4"/>
      <c r="GW3014" s="4"/>
      <c r="GX3014" s="4"/>
      <c r="GY3014" s="4"/>
      <c r="GZ3014" s="4"/>
      <c r="HA3014" s="4"/>
      <c r="HB3014" s="4"/>
      <c r="HC3014" s="4"/>
      <c r="HD3014" s="4"/>
      <c r="HE3014" s="4"/>
      <c r="HF3014" s="4"/>
      <c r="HG3014" s="4"/>
      <c r="HH3014" s="4"/>
      <c r="HI3014" s="4"/>
      <c r="HJ3014" s="4"/>
      <c r="HK3014" s="4"/>
      <c r="HL3014" s="4"/>
    </row>
    <row r="3015">
      <c r="A3015" s="2" t="s">
        <v>12617</v>
      </c>
      <c r="B3015" s="2" t="s">
        <v>226</v>
      </c>
      <c r="C3015" s="2" t="s">
        <v>631</v>
      </c>
      <c r="D3015" s="2" t="s">
        <v>1549</v>
      </c>
      <c r="E3015" s="2" t="s">
        <v>1550</v>
      </c>
      <c r="F3015" s="2" t="s">
        <v>12573</v>
      </c>
      <c r="G3015" s="2" t="s">
        <v>12574</v>
      </c>
      <c r="H3015" s="2" t="s">
        <v>12574</v>
      </c>
      <c r="I3015" s="2" t="s">
        <v>12575</v>
      </c>
      <c r="J3015" s="2" t="s">
        <v>1628</v>
      </c>
      <c r="K3015" s="2" t="s">
        <v>3732</v>
      </c>
      <c r="L3015" s="3">
        <v>36.8</v>
      </c>
      <c r="M3015" s="3">
        <v>38.64</v>
      </c>
      <c r="N3015" s="3">
        <v>79.99</v>
      </c>
      <c r="O3015" s="2" t="s">
        <v>243</v>
      </c>
      <c r="P3015" s="2" t="s">
        <v>871</v>
      </c>
      <c r="Q3015" s="2" t="s">
        <v>237</v>
      </c>
      <c r="R3015" s="2" t="s">
        <v>231</v>
      </c>
      <c r="S3015" s="2" t="s">
        <v>12618</v>
      </c>
      <c r="T3015" s="2" t="s">
        <v>231</v>
      </c>
      <c r="U3015" s="2" t="s">
        <v>327</v>
      </c>
      <c r="V3015" s="2" t="s">
        <v>2195</v>
      </c>
      <c r="W3015" s="2" t="s">
        <v>299</v>
      </c>
      <c r="X3015" s="2" t="s">
        <v>792</v>
      </c>
      <c r="Y3015" s="2" t="s">
        <v>2657</v>
      </c>
      <c r="Z3015" s="4"/>
      <c r="AA3015" s="4">
        <f>=ROUNDDOWN({0},0)</f>
      </c>
      <c r="AB3015" s="5">
        <v>68</v>
      </c>
      <c r="AC3015" s="2" t="s">
        <v>3723</v>
      </c>
      <c r="AD3015" s="4">
        <v>430</v>
      </c>
      <c r="AE3015" s="4">
        <v>2410</v>
      </c>
      <c r="AF3015" s="6">
        <v>65</v>
      </c>
      <c r="AG3015" s="6"/>
      <c r="AH3015" s="7">
        <v>0</v>
      </c>
      <c r="AI3015" s="4"/>
      <c r="AJ3015" s="4">
        <f>=ROUNDDOWN({0},0)</f>
      </c>
      <c r="AK3015" s="5"/>
      <c r="AL3015" s="2" t="s">
        <v>231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 t="s">
        <v>231</v>
      </c>
      <c r="BD3015" s="8" t="s">
        <v>231</v>
      </c>
      <c r="BE3015" s="4" t="s">
        <v>231</v>
      </c>
      <c r="BF3015" s="8" t="s">
        <v>231</v>
      </c>
      <c r="BG3015" s="7" t="s">
        <v>231</v>
      </c>
      <c r="BH3015" s="7" t="s">
        <v>231</v>
      </c>
      <c r="BI3015" s="7"/>
      <c r="BJ3015" s="4"/>
      <c r="BK3015" s="8"/>
      <c r="BL3015" s="2" t="s">
        <v>12619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12620</v>
      </c>
      <c r="BV3015" s="2" t="s">
        <v>231</v>
      </c>
      <c r="BW3015" s="2" t="s">
        <v>231</v>
      </c>
      <c r="BX3015" s="2" t="s">
        <v>231</v>
      </c>
      <c r="BY3015" s="2" t="s">
        <v>277</v>
      </c>
      <c r="BZ3015" s="2" t="s">
        <v>243</v>
      </c>
      <c r="CA3015" s="2" t="s">
        <v>9755</v>
      </c>
      <c r="CB3015" s="2" t="s">
        <v>3579</v>
      </c>
      <c r="CC3015" s="2" t="s">
        <v>244</v>
      </c>
      <c r="CD3015" s="2" t="s">
        <v>231</v>
      </c>
      <c r="CE3015" s="4"/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4"/>
      <c r="CX3015" s="4"/>
      <c r="CY3015" s="4"/>
      <c r="CZ3015" s="4"/>
      <c r="DA3015" s="4"/>
      <c r="DB3015" s="4"/>
      <c r="DC3015" s="4"/>
      <c r="DD3015" s="4"/>
      <c r="DE3015" s="4"/>
      <c r="DF3015" s="4"/>
      <c r="DG3015" s="4"/>
      <c r="DH3015" s="4"/>
      <c r="DI3015" s="4"/>
      <c r="DJ3015" s="4"/>
      <c r="DK3015" s="4"/>
      <c r="DL3015" s="4"/>
      <c r="DM3015" s="4"/>
      <c r="DN3015" s="4"/>
      <c r="DO3015" s="4"/>
      <c r="DP3015" s="4"/>
      <c r="DQ3015" s="4"/>
      <c r="DR3015" s="4"/>
      <c r="DS3015" s="4"/>
      <c r="DT3015" s="4"/>
      <c r="DU3015" s="4"/>
      <c r="DV3015" s="4"/>
      <c r="DW3015" s="4"/>
      <c r="DX3015" s="4"/>
      <c r="DY3015" s="4"/>
      <c r="DZ3015" s="4"/>
      <c r="EA3015" s="4"/>
      <c r="EB3015" s="4"/>
      <c r="EC3015" s="4"/>
      <c r="ED3015" s="4"/>
      <c r="EE3015" s="4"/>
      <c r="EF3015" s="4"/>
      <c r="EG3015" s="4"/>
      <c r="EH3015" s="4"/>
      <c r="EI3015" s="4"/>
      <c r="EJ3015" s="4">
        <v>430</v>
      </c>
      <c r="EK3015" s="4"/>
      <c r="EL3015" s="4"/>
      <c r="EM3015" s="4"/>
      <c r="EN3015" s="4"/>
      <c r="EO3015" s="4"/>
      <c r="EP3015" s="4"/>
      <c r="EQ3015" s="4"/>
      <c r="ER3015" s="4"/>
      <c r="ES3015" s="4"/>
      <c r="ET3015" s="4"/>
      <c r="EU3015" s="4"/>
      <c r="EV3015" s="4"/>
      <c r="EW3015" s="4"/>
      <c r="EX3015" s="4"/>
      <c r="EY3015" s="4"/>
      <c r="EZ3015" s="4"/>
      <c r="FA3015" s="4"/>
      <c r="FB3015" s="4"/>
      <c r="FC3015" s="4"/>
      <c r="FD3015" s="4"/>
      <c r="FE3015" s="4"/>
      <c r="FF3015" s="4"/>
      <c r="FG3015" s="4"/>
      <c r="FH3015" s="4"/>
      <c r="FI3015" s="4"/>
      <c r="FJ3015" s="4"/>
      <c r="FK3015" s="4"/>
      <c r="FL3015" s="4"/>
      <c r="FM3015" s="4"/>
      <c r="FN3015" s="4"/>
      <c r="FO3015" s="4"/>
      <c r="FP3015" s="4"/>
      <c r="FQ3015" s="4"/>
      <c r="FR3015" s="4"/>
      <c r="FS3015" s="4"/>
      <c r="FT3015" s="4"/>
      <c r="FU3015" s="4"/>
      <c r="FV3015" s="4"/>
      <c r="FW3015" s="4"/>
      <c r="FX3015" s="4"/>
      <c r="FY3015" s="4"/>
      <c r="FZ3015" s="4"/>
      <c r="GA3015" s="4"/>
      <c r="GB3015" s="4"/>
      <c r="GC3015" s="4"/>
      <c r="GD3015" s="4"/>
      <c r="GE3015" s="4">
        <v>810</v>
      </c>
      <c r="GF3015" s="4"/>
      <c r="GG3015" s="4"/>
      <c r="GH3015" s="4"/>
      <c r="GI3015" s="4"/>
      <c r="GJ3015" s="4"/>
      <c r="GK3015" s="4"/>
      <c r="GL3015" s="4"/>
      <c r="GM3015" s="4"/>
      <c r="GN3015" s="4"/>
      <c r="GO3015" s="4"/>
      <c r="GP3015" s="4"/>
      <c r="GQ3015" s="4"/>
      <c r="GR3015" s="4"/>
      <c r="GS3015" s="4"/>
      <c r="GT3015" s="4"/>
      <c r="GU3015" s="4"/>
      <c r="GV3015" s="4"/>
      <c r="GW3015" s="4"/>
      <c r="GX3015" s="4"/>
      <c r="GY3015" s="4"/>
      <c r="GZ3015" s="4">
        <v>1170</v>
      </c>
      <c r="HA3015" s="4"/>
      <c r="HB3015" s="4"/>
      <c r="HC3015" s="4"/>
      <c r="HD3015" s="4"/>
      <c r="HE3015" s="4"/>
      <c r="HF3015" s="4"/>
      <c r="HG3015" s="4"/>
      <c r="HH3015" s="4"/>
      <c r="HI3015" s="4"/>
      <c r="HJ3015" s="4"/>
      <c r="HK3015" s="4"/>
      <c r="HL3015" s="4"/>
    </row>
    <row r="3016">
      <c r="A3016" s="2" t="s">
        <v>12621</v>
      </c>
      <c r="B3016" s="2" t="s">
        <v>226</v>
      </c>
      <c r="C3016" s="2" t="s">
        <v>631</v>
      </c>
      <c r="D3016" s="2" t="s">
        <v>1549</v>
      </c>
      <c r="E3016" s="2" t="s">
        <v>6928</v>
      </c>
      <c r="F3016" s="2" t="s">
        <v>12573</v>
      </c>
      <c r="G3016" s="2" t="s">
        <v>12574</v>
      </c>
      <c r="H3016" s="2" t="s">
        <v>12574</v>
      </c>
      <c r="I3016" s="2" t="s">
        <v>12586</v>
      </c>
      <c r="J3016" s="2" t="s">
        <v>6678</v>
      </c>
      <c r="K3016" s="2" t="s">
        <v>12622</v>
      </c>
      <c r="L3016" s="3">
        <v>42.9</v>
      </c>
      <c r="M3016" s="3">
        <v>45.05</v>
      </c>
      <c r="N3016" s="3">
        <v>84.99</v>
      </c>
      <c r="O3016" s="2" t="s">
        <v>243</v>
      </c>
      <c r="P3016" s="2" t="s">
        <v>341</v>
      </c>
      <c r="Q3016" s="2" t="s">
        <v>237</v>
      </c>
      <c r="R3016" s="2" t="s">
        <v>231</v>
      </c>
      <c r="S3016" s="2" t="s">
        <v>231</v>
      </c>
      <c r="T3016" s="2" t="s">
        <v>895</v>
      </c>
      <c r="U3016" s="2" t="s">
        <v>327</v>
      </c>
      <c r="V3016" s="2" t="s">
        <v>2195</v>
      </c>
      <c r="W3016" s="2" t="s">
        <v>299</v>
      </c>
      <c r="X3016" s="2" t="s">
        <v>792</v>
      </c>
      <c r="Y3016" s="2" t="s">
        <v>12587</v>
      </c>
      <c r="Z3016" s="4">
        <v>704</v>
      </c>
      <c r="AA3016" s="4">
        <f>=ROUNDDOWN(70.4,0)</f>
      </c>
      <c r="AB3016" s="5">
        <v>10</v>
      </c>
      <c r="AC3016" s="2" t="s">
        <v>231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231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/>
      <c r="AW3016" s="8"/>
      <c r="AX3016" s="4"/>
      <c r="AY3016" s="8"/>
      <c r="AZ3016" s="7"/>
      <c r="BA3016" s="7"/>
      <c r="BB3016" s="7"/>
      <c r="BC3016" s="4" t="s">
        <v>231</v>
      </c>
      <c r="BD3016" s="8" t="s">
        <v>231</v>
      </c>
      <c r="BE3016" s="4" t="s">
        <v>231</v>
      </c>
      <c r="BF3016" s="8" t="s">
        <v>231</v>
      </c>
      <c r="BG3016" s="7" t="s">
        <v>231</v>
      </c>
      <c r="BH3016" s="7" t="s">
        <v>231</v>
      </c>
      <c r="BI3016" s="7"/>
      <c r="BJ3016" s="4">
        <v>13</v>
      </c>
      <c r="BK3016" s="8">
        <v>615.35</v>
      </c>
      <c r="BL3016" s="2" t="s">
        <v>12623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12624</v>
      </c>
      <c r="BV3016" s="2" t="s">
        <v>231</v>
      </c>
      <c r="BW3016" s="2" t="s">
        <v>231</v>
      </c>
      <c r="BX3016" s="2" t="s">
        <v>1360</v>
      </c>
      <c r="BY3016" s="2" t="s">
        <v>277</v>
      </c>
      <c r="BZ3016" s="2" t="s">
        <v>243</v>
      </c>
      <c r="CA3016" s="2" t="s">
        <v>8445</v>
      </c>
      <c r="CB3016" s="2" t="s">
        <v>12625</v>
      </c>
      <c r="CC3016" s="2" t="s">
        <v>244</v>
      </c>
      <c r="CD3016" s="2" t="s">
        <v>231</v>
      </c>
      <c r="CE3016" s="4">
        <v>704</v>
      </c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4"/>
      <c r="CX3016" s="4"/>
      <c r="CY3016" s="4"/>
      <c r="CZ3016" s="4"/>
      <c r="DA3016" s="4"/>
      <c r="DB3016" s="4"/>
      <c r="DC3016" s="4"/>
      <c r="DD3016" s="4"/>
      <c r="DE3016" s="4"/>
      <c r="DF3016" s="4"/>
      <c r="DG3016" s="4"/>
      <c r="DH3016" s="4"/>
      <c r="DI3016" s="4"/>
      <c r="DJ3016" s="4"/>
      <c r="DK3016" s="4"/>
      <c r="DL3016" s="4"/>
      <c r="DM3016" s="4"/>
      <c r="DN3016" s="4"/>
      <c r="DO3016" s="4"/>
      <c r="DP3016" s="4"/>
      <c r="DQ3016" s="4"/>
      <c r="DR3016" s="4"/>
      <c r="DS3016" s="4"/>
      <c r="DT3016" s="4"/>
      <c r="DU3016" s="4"/>
      <c r="DV3016" s="4"/>
      <c r="DW3016" s="4"/>
      <c r="DX3016" s="4"/>
      <c r="DY3016" s="4"/>
      <c r="DZ3016" s="4"/>
      <c r="EA3016" s="4"/>
      <c r="EB3016" s="4"/>
      <c r="EC3016" s="4"/>
      <c r="ED3016" s="4"/>
      <c r="EE3016" s="4"/>
      <c r="EF3016" s="4"/>
      <c r="EG3016" s="4"/>
      <c r="EH3016" s="4"/>
      <c r="EI3016" s="4"/>
      <c r="EJ3016" s="4"/>
      <c r="EK3016" s="4"/>
      <c r="EL3016" s="4"/>
      <c r="EM3016" s="4"/>
      <c r="EN3016" s="4"/>
      <c r="EO3016" s="4"/>
      <c r="EP3016" s="4"/>
      <c r="EQ3016" s="4"/>
      <c r="ER3016" s="4"/>
      <c r="ES3016" s="4"/>
      <c r="ET3016" s="4"/>
      <c r="EU3016" s="4"/>
      <c r="EV3016" s="4"/>
      <c r="EW3016" s="4"/>
      <c r="EX3016" s="4"/>
      <c r="EY3016" s="4"/>
      <c r="EZ3016" s="4"/>
      <c r="FA3016" s="4"/>
      <c r="FB3016" s="4"/>
      <c r="FC3016" s="4"/>
      <c r="FD3016" s="4"/>
      <c r="FE3016" s="4"/>
      <c r="FF3016" s="4"/>
      <c r="FG3016" s="4"/>
      <c r="FH3016" s="4"/>
      <c r="FI3016" s="4"/>
      <c r="FJ3016" s="4"/>
      <c r="FK3016" s="4"/>
      <c r="FL3016" s="4"/>
      <c r="FM3016" s="4"/>
      <c r="FN3016" s="4"/>
      <c r="FO3016" s="4"/>
      <c r="FP3016" s="4"/>
      <c r="FQ3016" s="4"/>
      <c r="FR3016" s="4"/>
      <c r="FS3016" s="4"/>
      <c r="FT3016" s="4"/>
      <c r="FU3016" s="4"/>
      <c r="FV3016" s="4"/>
      <c r="FW3016" s="4"/>
      <c r="FX3016" s="4"/>
      <c r="FY3016" s="4"/>
      <c r="FZ3016" s="4"/>
      <c r="GA3016" s="4"/>
      <c r="GB3016" s="4"/>
      <c r="GC3016" s="4"/>
      <c r="GD3016" s="4"/>
      <c r="GE3016" s="4"/>
      <c r="GF3016" s="4"/>
      <c r="GG3016" s="4"/>
      <c r="GH3016" s="4"/>
      <c r="GI3016" s="4"/>
      <c r="GJ3016" s="4"/>
      <c r="GK3016" s="4"/>
      <c r="GL3016" s="4"/>
      <c r="GM3016" s="4"/>
      <c r="GN3016" s="4"/>
      <c r="GO3016" s="4"/>
      <c r="GP3016" s="4"/>
      <c r="GQ3016" s="4"/>
      <c r="GR3016" s="4"/>
      <c r="GS3016" s="4"/>
      <c r="GT3016" s="4"/>
      <c r="GU3016" s="4"/>
      <c r="GV3016" s="4"/>
      <c r="GW3016" s="4"/>
      <c r="GX3016" s="4"/>
      <c r="GY3016" s="4"/>
      <c r="GZ3016" s="4"/>
      <c r="HA3016" s="4"/>
      <c r="HB3016" s="4"/>
      <c r="HC3016" s="4"/>
      <c r="HD3016" s="4"/>
      <c r="HE3016" s="4"/>
      <c r="HF3016" s="4"/>
      <c r="HG3016" s="4"/>
      <c r="HH3016" s="4"/>
      <c r="HI3016" s="4"/>
      <c r="HJ3016" s="4"/>
      <c r="HK3016" s="4"/>
      <c r="HL3016" s="4"/>
    </row>
    <row r="3017">
      <c r="A3017" s="2" t="s">
        <v>12626</v>
      </c>
      <c r="B3017" s="2" t="s">
        <v>226</v>
      </c>
      <c r="C3017" s="2" t="s">
        <v>631</v>
      </c>
      <c r="D3017" s="2" t="s">
        <v>1549</v>
      </c>
      <c r="E3017" s="2" t="s">
        <v>6928</v>
      </c>
      <c r="F3017" s="2" t="s">
        <v>12573</v>
      </c>
      <c r="G3017" s="2" t="s">
        <v>12574</v>
      </c>
      <c r="H3017" s="2" t="s">
        <v>12574</v>
      </c>
      <c r="I3017" s="2" t="s">
        <v>12586</v>
      </c>
      <c r="J3017" s="2" t="s">
        <v>6678</v>
      </c>
      <c r="K3017" s="2" t="s">
        <v>1146</v>
      </c>
      <c r="L3017" s="3">
        <v>42.9</v>
      </c>
      <c r="M3017" s="3">
        <v>45.05</v>
      </c>
      <c r="N3017" s="3">
        <v>84.99</v>
      </c>
      <c r="O3017" s="2" t="s">
        <v>243</v>
      </c>
      <c r="P3017" s="2" t="s">
        <v>341</v>
      </c>
      <c r="Q3017" s="2" t="s">
        <v>237</v>
      </c>
      <c r="R3017" s="2" t="s">
        <v>231</v>
      </c>
      <c r="S3017" s="2" t="s">
        <v>231</v>
      </c>
      <c r="T3017" s="2" t="s">
        <v>895</v>
      </c>
      <c r="U3017" s="2" t="s">
        <v>327</v>
      </c>
      <c r="V3017" s="2" t="s">
        <v>2195</v>
      </c>
      <c r="W3017" s="2" t="s">
        <v>299</v>
      </c>
      <c r="X3017" s="2" t="s">
        <v>792</v>
      </c>
      <c r="Y3017" s="2" t="s">
        <v>12587</v>
      </c>
      <c r="Z3017" s="4">
        <v>60</v>
      </c>
      <c r="AA3017" s="4">
        <f>=ROUNDDOWN(10,0)</f>
      </c>
      <c r="AB3017" s="5">
        <v>6</v>
      </c>
      <c r="AC3017" s="2" t="s">
        <v>231</v>
      </c>
      <c r="AD3017" s="4"/>
      <c r="AE3017" s="4"/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231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231</v>
      </c>
      <c r="AW3017" s="8" t="s">
        <v>231</v>
      </c>
      <c r="AX3017" s="4" t="s">
        <v>231</v>
      </c>
      <c r="AY3017" s="8" t="s">
        <v>231</v>
      </c>
      <c r="AZ3017" s="7" t="s">
        <v>231</v>
      </c>
      <c r="BA3017" s="7" t="s">
        <v>231</v>
      </c>
      <c r="BB3017" s="7"/>
      <c r="BC3017" s="4" t="s">
        <v>231</v>
      </c>
      <c r="BD3017" s="8" t="s">
        <v>231</v>
      </c>
      <c r="BE3017" s="4" t="s">
        <v>231</v>
      </c>
      <c r="BF3017" s="8" t="s">
        <v>231</v>
      </c>
      <c r="BG3017" s="7" t="s">
        <v>231</v>
      </c>
      <c r="BH3017" s="7" t="s">
        <v>231</v>
      </c>
      <c r="BI3017" s="7"/>
      <c r="BJ3017" s="4">
        <v>4</v>
      </c>
      <c r="BK3017" s="8">
        <v>190.33</v>
      </c>
      <c r="BL3017" s="2" t="s">
        <v>12627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12628</v>
      </c>
      <c r="BV3017" s="2" t="s">
        <v>231</v>
      </c>
      <c r="BW3017" s="2" t="s">
        <v>231</v>
      </c>
      <c r="BX3017" s="2" t="s">
        <v>1360</v>
      </c>
      <c r="BY3017" s="2" t="s">
        <v>277</v>
      </c>
      <c r="BZ3017" s="2" t="s">
        <v>243</v>
      </c>
      <c r="CA3017" s="2" t="s">
        <v>8445</v>
      </c>
      <c r="CB3017" s="2" t="s">
        <v>4852</v>
      </c>
      <c r="CC3017" s="2" t="s">
        <v>244</v>
      </c>
      <c r="CD3017" s="2" t="s">
        <v>231</v>
      </c>
      <c r="CE3017" s="4">
        <v>60</v>
      </c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4"/>
      <c r="CX3017" s="4"/>
      <c r="CY3017" s="4"/>
      <c r="CZ3017" s="4"/>
      <c r="DA3017" s="4"/>
      <c r="DB3017" s="4"/>
      <c r="DC3017" s="4"/>
      <c r="DD3017" s="4"/>
      <c r="DE3017" s="4"/>
      <c r="DF3017" s="4"/>
      <c r="DG3017" s="4"/>
      <c r="DH3017" s="4"/>
      <c r="DI3017" s="4"/>
      <c r="DJ3017" s="4"/>
      <c r="DK3017" s="4"/>
      <c r="DL3017" s="4"/>
      <c r="DM3017" s="4"/>
      <c r="DN3017" s="4"/>
      <c r="DO3017" s="4"/>
      <c r="DP3017" s="4"/>
      <c r="DQ3017" s="4"/>
      <c r="DR3017" s="4"/>
      <c r="DS3017" s="4"/>
      <c r="DT3017" s="4"/>
      <c r="DU3017" s="4"/>
      <c r="DV3017" s="4"/>
      <c r="DW3017" s="4"/>
      <c r="DX3017" s="4"/>
      <c r="DY3017" s="4"/>
      <c r="DZ3017" s="4"/>
      <c r="EA3017" s="4"/>
      <c r="EB3017" s="4"/>
      <c r="EC3017" s="4"/>
      <c r="ED3017" s="4"/>
      <c r="EE3017" s="4"/>
      <c r="EF3017" s="4"/>
      <c r="EG3017" s="4"/>
      <c r="EH3017" s="4"/>
      <c r="EI3017" s="4"/>
      <c r="EJ3017" s="4"/>
      <c r="EK3017" s="4"/>
      <c r="EL3017" s="4"/>
      <c r="EM3017" s="4"/>
      <c r="EN3017" s="4"/>
      <c r="EO3017" s="4"/>
      <c r="EP3017" s="4"/>
      <c r="EQ3017" s="4"/>
      <c r="ER3017" s="4"/>
      <c r="ES3017" s="4"/>
      <c r="ET3017" s="4"/>
      <c r="EU3017" s="4"/>
      <c r="EV3017" s="4"/>
      <c r="EW3017" s="4"/>
      <c r="EX3017" s="4"/>
      <c r="EY3017" s="4"/>
      <c r="EZ3017" s="4"/>
      <c r="FA3017" s="4"/>
      <c r="FB3017" s="4"/>
      <c r="FC3017" s="4"/>
      <c r="FD3017" s="4"/>
      <c r="FE3017" s="4"/>
      <c r="FF3017" s="4"/>
      <c r="FG3017" s="4"/>
      <c r="FH3017" s="4"/>
      <c r="FI3017" s="4"/>
      <c r="FJ3017" s="4"/>
      <c r="FK3017" s="4"/>
      <c r="FL3017" s="4"/>
      <c r="FM3017" s="4"/>
      <c r="FN3017" s="4"/>
      <c r="FO3017" s="4"/>
      <c r="FP3017" s="4"/>
      <c r="FQ3017" s="4"/>
      <c r="FR3017" s="4"/>
      <c r="FS3017" s="4"/>
      <c r="FT3017" s="4"/>
      <c r="FU3017" s="4"/>
      <c r="FV3017" s="4"/>
      <c r="FW3017" s="4"/>
      <c r="FX3017" s="4"/>
      <c r="FY3017" s="4"/>
      <c r="FZ3017" s="4"/>
      <c r="GA3017" s="4"/>
      <c r="GB3017" s="4"/>
      <c r="GC3017" s="4"/>
      <c r="GD3017" s="4"/>
      <c r="GE3017" s="4"/>
      <c r="GF3017" s="4"/>
      <c r="GG3017" s="4"/>
      <c r="GH3017" s="4"/>
      <c r="GI3017" s="4"/>
      <c r="GJ3017" s="4"/>
      <c r="GK3017" s="4"/>
      <c r="GL3017" s="4"/>
      <c r="GM3017" s="4"/>
      <c r="GN3017" s="4"/>
      <c r="GO3017" s="4"/>
      <c r="GP3017" s="4"/>
      <c r="GQ3017" s="4"/>
      <c r="GR3017" s="4"/>
      <c r="GS3017" s="4"/>
      <c r="GT3017" s="4"/>
      <c r="GU3017" s="4"/>
      <c r="GV3017" s="4"/>
      <c r="GW3017" s="4"/>
      <c r="GX3017" s="4"/>
      <c r="GY3017" s="4"/>
      <c r="GZ3017" s="4"/>
      <c r="HA3017" s="4"/>
      <c r="HB3017" s="4"/>
      <c r="HC3017" s="4"/>
      <c r="HD3017" s="4"/>
      <c r="HE3017" s="4"/>
      <c r="HF3017" s="4"/>
      <c r="HG3017" s="4"/>
      <c r="HH3017" s="4"/>
      <c r="HI3017" s="4"/>
      <c r="HJ3017" s="4"/>
      <c r="HK3017" s="4"/>
      <c r="HL3017" s="4"/>
    </row>
    <row r="3018">
      <c r="A3018" s="2" t="s">
        <v>12629</v>
      </c>
      <c r="B3018" s="2" t="s">
        <v>226</v>
      </c>
      <c r="C3018" s="2" t="s">
        <v>288</v>
      </c>
      <c r="D3018" s="2" t="s">
        <v>1624</v>
      </c>
      <c r="E3018" s="2" t="s">
        <v>2589</v>
      </c>
      <c r="F3018" s="2" t="s">
        <v>12573</v>
      </c>
      <c r="G3018" s="2" t="s">
        <v>12574</v>
      </c>
      <c r="H3018" s="2" t="s">
        <v>12574</v>
      </c>
      <c r="I3018" s="2" t="s">
        <v>12579</v>
      </c>
      <c r="J3018" s="2" t="s">
        <v>2845</v>
      </c>
      <c r="K3018" s="2" t="s">
        <v>1146</v>
      </c>
      <c r="L3018" s="3">
        <v>15.91</v>
      </c>
      <c r="M3018" s="3">
        <v>16.71</v>
      </c>
      <c r="N3018" s="3">
        <v>36.99</v>
      </c>
      <c r="O3018" s="2" t="s">
        <v>243</v>
      </c>
      <c r="P3018" s="2" t="s">
        <v>1281</v>
      </c>
      <c r="Q3018" s="2" t="s">
        <v>237</v>
      </c>
      <c r="R3018" s="2" t="s">
        <v>231</v>
      </c>
      <c r="S3018" s="2" t="s">
        <v>12630</v>
      </c>
      <c r="T3018" s="2" t="s">
        <v>895</v>
      </c>
      <c r="U3018" s="2" t="s">
        <v>231</v>
      </c>
      <c r="V3018" s="2" t="s">
        <v>2195</v>
      </c>
      <c r="W3018" s="2" t="s">
        <v>299</v>
      </c>
      <c r="X3018" s="2" t="s">
        <v>231</v>
      </c>
      <c r="Y3018" s="2" t="s">
        <v>274</v>
      </c>
      <c r="Z3018" s="4">
        <v>709</v>
      </c>
      <c r="AA3018" s="4">
        <f>=ROUNDDOWN(26.2592592592593,0)</f>
      </c>
      <c r="AB3018" s="5">
        <v>27</v>
      </c>
      <c r="AC3018" s="2" t="s">
        <v>406</v>
      </c>
      <c r="AD3018" s="4">
        <v>480</v>
      </c>
      <c r="AE3018" s="4">
        <v>1280</v>
      </c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231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231</v>
      </c>
      <c r="AW3018" s="8" t="s">
        <v>231</v>
      </c>
      <c r="AX3018" s="4" t="s">
        <v>231</v>
      </c>
      <c r="AY3018" s="8" t="s">
        <v>231</v>
      </c>
      <c r="AZ3018" s="7" t="s">
        <v>231</v>
      </c>
      <c r="BA3018" s="7" t="s">
        <v>231</v>
      </c>
      <c r="BB3018" s="7"/>
      <c r="BC3018" s="4" t="s">
        <v>231</v>
      </c>
      <c r="BD3018" s="8" t="s">
        <v>231</v>
      </c>
      <c r="BE3018" s="4" t="s">
        <v>231</v>
      </c>
      <c r="BF3018" s="8" t="s">
        <v>231</v>
      </c>
      <c r="BG3018" s="7" t="s">
        <v>231</v>
      </c>
      <c r="BH3018" s="7" t="s">
        <v>231</v>
      </c>
      <c r="BI3018" s="7"/>
      <c r="BJ3018" s="4">
        <v>111</v>
      </c>
      <c r="BK3018" s="8">
        <v>1859.48</v>
      </c>
      <c r="BL3018" s="2" t="s">
        <v>12631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12632</v>
      </c>
      <c r="BV3018" s="2" t="s">
        <v>231</v>
      </c>
      <c r="BW3018" s="2" t="s">
        <v>231</v>
      </c>
      <c r="BX3018" s="2" t="s">
        <v>231</v>
      </c>
      <c r="BY3018" s="2" t="s">
        <v>277</v>
      </c>
      <c r="BZ3018" s="2" t="s">
        <v>243</v>
      </c>
      <c r="CA3018" s="2" t="s">
        <v>284</v>
      </c>
      <c r="CB3018" s="2" t="s">
        <v>12633</v>
      </c>
      <c r="CC3018" s="2" t="s">
        <v>244</v>
      </c>
      <c r="CD3018" s="2" t="s">
        <v>231</v>
      </c>
      <c r="CE3018" s="4">
        <v>709</v>
      </c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4"/>
      <c r="CX3018" s="4"/>
      <c r="CY3018" s="4"/>
      <c r="CZ3018" s="4"/>
      <c r="DA3018" s="4"/>
      <c r="DB3018" s="4"/>
      <c r="DC3018" s="4"/>
      <c r="DD3018" s="4"/>
      <c r="DE3018" s="4"/>
      <c r="DF3018" s="4"/>
      <c r="DG3018" s="4"/>
      <c r="DH3018" s="4"/>
      <c r="DI3018" s="4"/>
      <c r="DJ3018" s="4"/>
      <c r="DK3018" s="4"/>
      <c r="DL3018" s="4"/>
      <c r="DM3018" s="4"/>
      <c r="DN3018" s="4"/>
      <c r="DO3018" s="4"/>
      <c r="DP3018" s="4"/>
      <c r="DQ3018" s="4"/>
      <c r="DR3018" s="4"/>
      <c r="DS3018" s="4"/>
      <c r="DT3018" s="4"/>
      <c r="DU3018" s="4"/>
      <c r="DV3018" s="4"/>
      <c r="DW3018" s="4"/>
      <c r="DX3018" s="4"/>
      <c r="DY3018" s="4"/>
      <c r="DZ3018" s="4"/>
      <c r="EA3018" s="4"/>
      <c r="EB3018" s="4"/>
      <c r="EC3018" s="4"/>
      <c r="ED3018" s="4"/>
      <c r="EE3018" s="4"/>
      <c r="EF3018" s="4"/>
      <c r="EG3018" s="4"/>
      <c r="EH3018" s="4"/>
      <c r="EI3018" s="4"/>
      <c r="EJ3018" s="4"/>
      <c r="EK3018" s="4"/>
      <c r="EL3018" s="4"/>
      <c r="EM3018" s="4"/>
      <c r="EN3018" s="4"/>
      <c r="EO3018" s="4"/>
      <c r="EP3018" s="4"/>
      <c r="EQ3018" s="4"/>
      <c r="ER3018" s="4"/>
      <c r="ES3018" s="4">
        <v>480</v>
      </c>
      <c r="ET3018" s="4"/>
      <c r="EU3018" s="4"/>
      <c r="EV3018" s="4"/>
      <c r="EW3018" s="4"/>
      <c r="EX3018" s="4"/>
      <c r="EY3018" s="4"/>
      <c r="EZ3018" s="4"/>
      <c r="FA3018" s="4"/>
      <c r="FB3018" s="4"/>
      <c r="FC3018" s="4"/>
      <c r="FD3018" s="4"/>
      <c r="FE3018" s="4"/>
      <c r="FF3018" s="4"/>
      <c r="FG3018" s="4"/>
      <c r="FH3018" s="4"/>
      <c r="FI3018" s="4"/>
      <c r="FJ3018" s="4"/>
      <c r="FK3018" s="4"/>
      <c r="FL3018" s="4"/>
      <c r="FM3018" s="4"/>
      <c r="FN3018" s="4"/>
      <c r="FO3018" s="4"/>
      <c r="FP3018" s="4"/>
      <c r="FQ3018" s="4"/>
      <c r="FR3018" s="4"/>
      <c r="FS3018" s="4"/>
      <c r="FT3018" s="4"/>
      <c r="FU3018" s="4"/>
      <c r="FV3018" s="4"/>
      <c r="FW3018" s="4"/>
      <c r="FX3018" s="4"/>
      <c r="FY3018" s="4"/>
      <c r="FZ3018" s="4"/>
      <c r="GA3018" s="4"/>
      <c r="GB3018" s="4"/>
      <c r="GC3018" s="4"/>
      <c r="GD3018" s="4"/>
      <c r="GE3018" s="4"/>
      <c r="GF3018" s="4"/>
      <c r="GG3018" s="4"/>
      <c r="GH3018" s="4"/>
      <c r="GI3018" s="4"/>
      <c r="GJ3018" s="4"/>
      <c r="GK3018" s="4">
        <v>800</v>
      </c>
      <c r="GL3018" s="4"/>
      <c r="GM3018" s="4"/>
      <c r="GN3018" s="4"/>
      <c r="GO3018" s="4"/>
      <c r="GP3018" s="4"/>
      <c r="GQ3018" s="4"/>
      <c r="GR3018" s="4"/>
      <c r="GS3018" s="4"/>
      <c r="GT3018" s="4"/>
      <c r="GU3018" s="4"/>
      <c r="GV3018" s="4"/>
      <c r="GW3018" s="4"/>
      <c r="GX3018" s="4"/>
      <c r="GY3018" s="4"/>
      <c r="GZ3018" s="4"/>
      <c r="HA3018" s="4"/>
      <c r="HB3018" s="4"/>
      <c r="HC3018" s="4"/>
      <c r="HD3018" s="4"/>
      <c r="HE3018" s="4"/>
      <c r="HF3018" s="4"/>
      <c r="HG3018" s="4"/>
      <c r="HH3018" s="4"/>
      <c r="HI3018" s="4"/>
      <c r="HJ3018" s="4"/>
      <c r="HK3018" s="4"/>
      <c r="HL3018" s="4"/>
    </row>
    <row r="3019">
      <c r="A3019" s="2" t="s">
        <v>12634</v>
      </c>
      <c r="B3019" s="2" t="s">
        <v>226</v>
      </c>
      <c r="C3019" s="2" t="s">
        <v>288</v>
      </c>
      <c r="D3019" s="2" t="s">
        <v>1624</v>
      </c>
      <c r="E3019" s="2" t="s">
        <v>2589</v>
      </c>
      <c r="F3019" s="2" t="s">
        <v>12573</v>
      </c>
      <c r="G3019" s="2" t="s">
        <v>12574</v>
      </c>
      <c r="H3019" s="2" t="s">
        <v>12574</v>
      </c>
      <c r="I3019" s="2" t="s">
        <v>12591</v>
      </c>
      <c r="J3019" s="2" t="s">
        <v>12592</v>
      </c>
      <c r="K3019" s="2" t="s">
        <v>1146</v>
      </c>
      <c r="L3019" s="3">
        <v>27.6</v>
      </c>
      <c r="M3019" s="3">
        <v>28.98</v>
      </c>
      <c r="N3019" s="3">
        <v>59.99</v>
      </c>
      <c r="O3019" s="2" t="s">
        <v>243</v>
      </c>
      <c r="P3019" s="2" t="s">
        <v>341</v>
      </c>
      <c r="Q3019" s="2" t="s">
        <v>237</v>
      </c>
      <c r="R3019" s="2" t="s">
        <v>231</v>
      </c>
      <c r="S3019" s="2" t="s">
        <v>12630</v>
      </c>
      <c r="T3019" s="2" t="s">
        <v>895</v>
      </c>
      <c r="U3019" s="2" t="s">
        <v>231</v>
      </c>
      <c r="V3019" s="2" t="s">
        <v>391</v>
      </c>
      <c r="W3019" s="2" t="s">
        <v>299</v>
      </c>
      <c r="X3019" s="2" t="s">
        <v>231</v>
      </c>
      <c r="Y3019" s="2" t="s">
        <v>274</v>
      </c>
      <c r="Z3019" s="4">
        <v>233</v>
      </c>
      <c r="AA3019" s="4">
        <f>=ROUNDDOWN(36.984126984127,0)</f>
      </c>
      <c r="AB3019" s="5">
        <v>6.3</v>
      </c>
      <c r="AC3019" s="2" t="s">
        <v>406</v>
      </c>
      <c r="AD3019" s="4">
        <v>60</v>
      </c>
      <c r="AE3019" s="4">
        <v>60</v>
      </c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231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231</v>
      </c>
      <c r="AW3019" s="8" t="s">
        <v>231</v>
      </c>
      <c r="AX3019" s="4" t="s">
        <v>231</v>
      </c>
      <c r="AY3019" s="8" t="s">
        <v>231</v>
      </c>
      <c r="AZ3019" s="7" t="s">
        <v>231</v>
      </c>
      <c r="BA3019" s="7" t="s">
        <v>231</v>
      </c>
      <c r="BB3019" s="7"/>
      <c r="BC3019" s="4" t="s">
        <v>231</v>
      </c>
      <c r="BD3019" s="8" t="s">
        <v>231</v>
      </c>
      <c r="BE3019" s="4" t="s">
        <v>231</v>
      </c>
      <c r="BF3019" s="8" t="s">
        <v>231</v>
      </c>
      <c r="BG3019" s="7" t="s">
        <v>231</v>
      </c>
      <c r="BH3019" s="7" t="s">
        <v>231</v>
      </c>
      <c r="BI3019" s="7"/>
      <c r="BJ3019" s="4">
        <v>28</v>
      </c>
      <c r="BK3019" s="8">
        <v>728.16</v>
      </c>
      <c r="BL3019" s="2" t="s">
        <v>12635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12636</v>
      </c>
      <c r="BV3019" s="2" t="s">
        <v>231</v>
      </c>
      <c r="BW3019" s="2" t="s">
        <v>231</v>
      </c>
      <c r="BX3019" s="2" t="s">
        <v>1360</v>
      </c>
      <c r="BY3019" s="2" t="s">
        <v>277</v>
      </c>
      <c r="BZ3019" s="2" t="s">
        <v>243</v>
      </c>
      <c r="CA3019" s="2" t="s">
        <v>284</v>
      </c>
      <c r="CB3019" s="2" t="s">
        <v>12637</v>
      </c>
      <c r="CC3019" s="2" t="s">
        <v>244</v>
      </c>
      <c r="CD3019" s="2" t="s">
        <v>231</v>
      </c>
      <c r="CE3019" s="4">
        <v>233</v>
      </c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4"/>
      <c r="CX3019" s="4"/>
      <c r="CY3019" s="4"/>
      <c r="CZ3019" s="4"/>
      <c r="DA3019" s="4"/>
      <c r="DB3019" s="4"/>
      <c r="DC3019" s="4"/>
      <c r="DD3019" s="4"/>
      <c r="DE3019" s="4"/>
      <c r="DF3019" s="4"/>
      <c r="DG3019" s="4"/>
      <c r="DH3019" s="4"/>
      <c r="DI3019" s="4"/>
      <c r="DJ3019" s="4"/>
      <c r="DK3019" s="4"/>
      <c r="DL3019" s="4"/>
      <c r="DM3019" s="4"/>
      <c r="DN3019" s="4"/>
      <c r="DO3019" s="4"/>
      <c r="DP3019" s="4"/>
      <c r="DQ3019" s="4"/>
      <c r="DR3019" s="4"/>
      <c r="DS3019" s="4"/>
      <c r="DT3019" s="4"/>
      <c r="DU3019" s="4"/>
      <c r="DV3019" s="4"/>
      <c r="DW3019" s="4"/>
      <c r="DX3019" s="4"/>
      <c r="DY3019" s="4"/>
      <c r="DZ3019" s="4"/>
      <c r="EA3019" s="4"/>
      <c r="EB3019" s="4"/>
      <c r="EC3019" s="4"/>
      <c r="ED3019" s="4"/>
      <c r="EE3019" s="4"/>
      <c r="EF3019" s="4"/>
      <c r="EG3019" s="4"/>
      <c r="EH3019" s="4"/>
      <c r="EI3019" s="4"/>
      <c r="EJ3019" s="4"/>
      <c r="EK3019" s="4"/>
      <c r="EL3019" s="4"/>
      <c r="EM3019" s="4"/>
      <c r="EN3019" s="4"/>
      <c r="EO3019" s="4"/>
      <c r="EP3019" s="4"/>
      <c r="EQ3019" s="4"/>
      <c r="ER3019" s="4"/>
      <c r="ES3019" s="4">
        <v>60</v>
      </c>
      <c r="ET3019" s="4"/>
      <c r="EU3019" s="4"/>
      <c r="EV3019" s="4"/>
      <c r="EW3019" s="4"/>
      <c r="EX3019" s="4"/>
      <c r="EY3019" s="4"/>
      <c r="EZ3019" s="4"/>
      <c r="FA3019" s="4"/>
      <c r="FB3019" s="4"/>
      <c r="FC3019" s="4"/>
      <c r="FD3019" s="4"/>
      <c r="FE3019" s="4"/>
      <c r="FF3019" s="4"/>
      <c r="FG3019" s="4"/>
      <c r="FH3019" s="4"/>
      <c r="FI3019" s="4"/>
      <c r="FJ3019" s="4"/>
      <c r="FK3019" s="4"/>
      <c r="FL3019" s="4"/>
      <c r="FM3019" s="4"/>
      <c r="FN3019" s="4"/>
      <c r="FO3019" s="4"/>
      <c r="FP3019" s="4"/>
      <c r="FQ3019" s="4"/>
      <c r="FR3019" s="4"/>
      <c r="FS3019" s="4"/>
      <c r="FT3019" s="4"/>
      <c r="FU3019" s="4"/>
      <c r="FV3019" s="4"/>
      <c r="FW3019" s="4"/>
      <c r="FX3019" s="4"/>
      <c r="FY3019" s="4"/>
      <c r="FZ3019" s="4"/>
      <c r="GA3019" s="4"/>
      <c r="GB3019" s="4"/>
      <c r="GC3019" s="4"/>
      <c r="GD3019" s="4"/>
      <c r="GE3019" s="4"/>
      <c r="GF3019" s="4"/>
      <c r="GG3019" s="4"/>
      <c r="GH3019" s="4"/>
      <c r="GI3019" s="4"/>
      <c r="GJ3019" s="4"/>
      <c r="GK3019" s="4"/>
      <c r="GL3019" s="4"/>
      <c r="GM3019" s="4"/>
      <c r="GN3019" s="4"/>
      <c r="GO3019" s="4"/>
      <c r="GP3019" s="4"/>
      <c r="GQ3019" s="4"/>
      <c r="GR3019" s="4"/>
      <c r="GS3019" s="4"/>
      <c r="GT3019" s="4"/>
      <c r="GU3019" s="4"/>
      <c r="GV3019" s="4"/>
      <c r="GW3019" s="4"/>
      <c r="GX3019" s="4"/>
      <c r="GY3019" s="4"/>
      <c r="GZ3019" s="4"/>
      <c r="HA3019" s="4"/>
      <c r="HB3019" s="4"/>
      <c r="HC3019" s="4"/>
      <c r="HD3019" s="4"/>
      <c r="HE3019" s="4"/>
      <c r="HF3019" s="4"/>
      <c r="HG3019" s="4"/>
      <c r="HH3019" s="4"/>
      <c r="HI3019" s="4"/>
      <c r="HJ3019" s="4"/>
      <c r="HK3019" s="4"/>
      <c r="HL3019" s="4"/>
    </row>
    <row r="3020">
      <c r="A3020" s="2" t="s">
        <v>12638</v>
      </c>
      <c r="B3020" s="2" t="s">
        <v>226</v>
      </c>
      <c r="C3020" s="2" t="s">
        <v>288</v>
      </c>
      <c r="D3020" s="2" t="s">
        <v>1624</v>
      </c>
      <c r="E3020" s="2" t="s">
        <v>2589</v>
      </c>
      <c r="F3020" s="2" t="s">
        <v>12573</v>
      </c>
      <c r="G3020" s="2" t="s">
        <v>12574</v>
      </c>
      <c r="H3020" s="2" t="s">
        <v>12574</v>
      </c>
      <c r="I3020" s="2" t="s">
        <v>12579</v>
      </c>
      <c r="J3020" s="2" t="s">
        <v>2845</v>
      </c>
      <c r="K3020" s="2" t="s">
        <v>319</v>
      </c>
      <c r="L3020" s="3">
        <v>15.91</v>
      </c>
      <c r="M3020" s="3">
        <v>16.71</v>
      </c>
      <c r="N3020" s="3">
        <v>36.99</v>
      </c>
      <c r="O3020" s="2" t="s">
        <v>243</v>
      </c>
      <c r="P3020" s="2" t="s">
        <v>270</v>
      </c>
      <c r="Q3020" s="2" t="s">
        <v>237</v>
      </c>
      <c r="R3020" s="2" t="s">
        <v>231</v>
      </c>
      <c r="S3020" s="2" t="s">
        <v>12639</v>
      </c>
      <c r="T3020" s="2" t="s">
        <v>895</v>
      </c>
      <c r="U3020" s="2" t="s">
        <v>327</v>
      </c>
      <c r="V3020" s="2" t="s">
        <v>2195</v>
      </c>
      <c r="W3020" s="2" t="s">
        <v>299</v>
      </c>
      <c r="X3020" s="2" t="s">
        <v>231</v>
      </c>
      <c r="Y3020" s="2" t="s">
        <v>12581</v>
      </c>
      <c r="Z3020" s="4">
        <v>677</v>
      </c>
      <c r="AA3020" s="4">
        <f>=ROUNDDOWN(45.1333333333333,0)</f>
      </c>
      <c r="AB3020" s="5">
        <v>15</v>
      </c>
      <c r="AC3020" s="2" t="s">
        <v>701</v>
      </c>
      <c r="AD3020" s="4">
        <v>600</v>
      </c>
      <c r="AE3020" s="4">
        <v>600</v>
      </c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231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/>
      <c r="AW3020" s="8"/>
      <c r="AX3020" s="4"/>
      <c r="AY3020" s="8"/>
      <c r="AZ3020" s="7"/>
      <c r="BA3020" s="7"/>
      <c r="BB3020" s="7"/>
      <c r="BC3020" s="4" t="s">
        <v>231</v>
      </c>
      <c r="BD3020" s="8" t="s">
        <v>231</v>
      </c>
      <c r="BE3020" s="4" t="s">
        <v>231</v>
      </c>
      <c r="BF3020" s="8" t="s">
        <v>231</v>
      </c>
      <c r="BG3020" s="7" t="s">
        <v>231</v>
      </c>
      <c r="BH3020" s="7" t="s">
        <v>231</v>
      </c>
      <c r="BI3020" s="7"/>
      <c r="BJ3020" s="4">
        <v>58</v>
      </c>
      <c r="BK3020" s="8">
        <v>907.68</v>
      </c>
      <c r="BL3020" s="2" t="s">
        <v>12640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12641</v>
      </c>
      <c r="BV3020" s="2" t="s">
        <v>231</v>
      </c>
      <c r="BW3020" s="2" t="s">
        <v>231</v>
      </c>
      <c r="BX3020" s="2" t="s">
        <v>231</v>
      </c>
      <c r="BY3020" s="2" t="s">
        <v>277</v>
      </c>
      <c r="BZ3020" s="2" t="s">
        <v>243</v>
      </c>
      <c r="CA3020" s="2" t="s">
        <v>12584</v>
      </c>
      <c r="CB3020" s="2" t="s">
        <v>972</v>
      </c>
      <c r="CC3020" s="2" t="s">
        <v>244</v>
      </c>
      <c r="CD3020" s="2" t="s">
        <v>231</v>
      </c>
      <c r="CE3020" s="4">
        <v>677</v>
      </c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4"/>
      <c r="CX3020" s="4"/>
      <c r="CY3020" s="4"/>
      <c r="CZ3020" s="4"/>
      <c r="DA3020" s="4"/>
      <c r="DB3020" s="4"/>
      <c r="DC3020" s="4"/>
      <c r="DD3020" s="4"/>
      <c r="DE3020" s="4"/>
      <c r="DF3020" s="4"/>
      <c r="DG3020" s="4"/>
      <c r="DH3020" s="4"/>
      <c r="DI3020" s="4"/>
      <c r="DJ3020" s="4"/>
      <c r="DK3020" s="4"/>
      <c r="DL3020" s="4"/>
      <c r="DM3020" s="4"/>
      <c r="DN3020" s="4"/>
      <c r="DO3020" s="4"/>
      <c r="DP3020" s="4"/>
      <c r="DQ3020" s="4"/>
      <c r="DR3020" s="4"/>
      <c r="DS3020" s="4"/>
      <c r="DT3020" s="4"/>
      <c r="DU3020" s="4"/>
      <c r="DV3020" s="4"/>
      <c r="DW3020" s="4"/>
      <c r="DX3020" s="4"/>
      <c r="DY3020" s="4"/>
      <c r="DZ3020" s="4"/>
      <c r="EA3020" s="4"/>
      <c r="EB3020" s="4">
        <v>600</v>
      </c>
      <c r="EC3020" s="4"/>
      <c r="ED3020" s="4"/>
      <c r="EE3020" s="4"/>
      <c r="EF3020" s="4"/>
      <c r="EG3020" s="4"/>
      <c r="EH3020" s="4"/>
      <c r="EI3020" s="4"/>
      <c r="EJ3020" s="4"/>
      <c r="EK3020" s="4"/>
      <c r="EL3020" s="4"/>
      <c r="EM3020" s="4"/>
      <c r="EN3020" s="4"/>
      <c r="EO3020" s="4"/>
      <c r="EP3020" s="4"/>
      <c r="EQ3020" s="4"/>
      <c r="ER3020" s="4"/>
      <c r="ES3020" s="4"/>
      <c r="ET3020" s="4"/>
      <c r="EU3020" s="4"/>
      <c r="EV3020" s="4"/>
      <c r="EW3020" s="4"/>
      <c r="EX3020" s="4"/>
      <c r="EY3020" s="4"/>
      <c r="EZ3020" s="4"/>
      <c r="FA3020" s="4"/>
      <c r="FB3020" s="4"/>
      <c r="FC3020" s="4"/>
      <c r="FD3020" s="4"/>
      <c r="FE3020" s="4"/>
      <c r="FF3020" s="4"/>
      <c r="FG3020" s="4"/>
      <c r="FH3020" s="4"/>
      <c r="FI3020" s="4"/>
      <c r="FJ3020" s="4"/>
      <c r="FK3020" s="4"/>
      <c r="FL3020" s="4"/>
      <c r="FM3020" s="4"/>
      <c r="FN3020" s="4"/>
      <c r="FO3020" s="4"/>
      <c r="FP3020" s="4"/>
      <c r="FQ3020" s="4"/>
      <c r="FR3020" s="4"/>
      <c r="FS3020" s="4"/>
      <c r="FT3020" s="4"/>
      <c r="FU3020" s="4"/>
      <c r="FV3020" s="4"/>
      <c r="FW3020" s="4"/>
      <c r="FX3020" s="4"/>
      <c r="FY3020" s="4"/>
      <c r="FZ3020" s="4"/>
      <c r="GA3020" s="4"/>
      <c r="GB3020" s="4"/>
      <c r="GC3020" s="4"/>
      <c r="GD3020" s="4"/>
      <c r="GE3020" s="4"/>
      <c r="GF3020" s="4"/>
      <c r="GG3020" s="4"/>
      <c r="GH3020" s="4"/>
      <c r="GI3020" s="4"/>
      <c r="GJ3020" s="4"/>
      <c r="GK3020" s="4"/>
      <c r="GL3020" s="4"/>
      <c r="GM3020" s="4"/>
      <c r="GN3020" s="4"/>
      <c r="GO3020" s="4"/>
      <c r="GP3020" s="4"/>
      <c r="GQ3020" s="4"/>
      <c r="GR3020" s="4"/>
      <c r="GS3020" s="4"/>
      <c r="GT3020" s="4"/>
      <c r="GU3020" s="4"/>
      <c r="GV3020" s="4"/>
      <c r="GW3020" s="4"/>
      <c r="GX3020" s="4"/>
      <c r="GY3020" s="4"/>
      <c r="GZ3020" s="4"/>
      <c r="HA3020" s="4"/>
      <c r="HB3020" s="4"/>
      <c r="HC3020" s="4"/>
      <c r="HD3020" s="4"/>
      <c r="HE3020" s="4"/>
      <c r="HF3020" s="4"/>
      <c r="HG3020" s="4"/>
      <c r="HH3020" s="4"/>
      <c r="HI3020" s="4"/>
      <c r="HJ3020" s="4"/>
      <c r="HK3020" s="4"/>
      <c r="HL3020" s="4"/>
    </row>
    <row r="3021">
      <c r="A3021" s="16" t="s">
        <v>12642</v>
      </c>
      <c r="B3021" s="9" t="s">
        <v>231</v>
      </c>
      <c r="C3021" s="9" t="s">
        <v>231</v>
      </c>
      <c r="D3021" s="9" t="s">
        <v>231</v>
      </c>
      <c r="E3021" s="9" t="s">
        <v>231</v>
      </c>
      <c r="F3021" s="9" t="s">
        <v>231</v>
      </c>
      <c r="G3021" s="9" t="s">
        <v>231</v>
      </c>
      <c r="H3021" s="9" t="s">
        <v>231</v>
      </c>
      <c r="I3021" s="9" t="s">
        <v>231</v>
      </c>
      <c r="J3021" s="9" t="s">
        <v>231</v>
      </c>
      <c r="K3021" s="9" t="s">
        <v>231</v>
      </c>
      <c r="L3021" s="10"/>
      <c r="M3021" s="10"/>
      <c r="N3021" s="10"/>
      <c r="O3021" s="9" t="s">
        <v>231</v>
      </c>
      <c r="P3021" s="9" t="s">
        <v>231</v>
      </c>
      <c r="Q3021" s="9" t="s">
        <v>231</v>
      </c>
      <c r="R3021" s="9" t="s">
        <v>231</v>
      </c>
      <c r="S3021" s="9" t="s">
        <v>231</v>
      </c>
      <c r="T3021" s="9" t="s">
        <v>231</v>
      </c>
      <c r="U3021" s="9" t="s">
        <v>231</v>
      </c>
      <c r="V3021" s="9" t="s">
        <v>231</v>
      </c>
      <c r="W3021" s="9" t="s">
        <v>231</v>
      </c>
      <c r="X3021" s="9" t="s">
        <v>231</v>
      </c>
      <c r="Y3021" s="9" t="s">
        <v>231</v>
      </c>
      <c r="Z3021" s="11">
        <v>445344</v>
      </c>
      <c r="AA3021" s="11">
        <f>=ROUNDDOWN({0},0)</f>
      </c>
      <c r="AB3021" s="12">
        <v>25401</v>
      </c>
      <c r="AC3021" s="9" t="s">
        <v>231</v>
      </c>
      <c r="AD3021" s="11"/>
      <c r="AE3021" s="11">
        <v>879925</v>
      </c>
      <c r="AF3021" s="13"/>
      <c r="AG3021" s="13"/>
      <c r="AH3021" s="14"/>
      <c r="AI3021" s="11"/>
      <c r="AJ3021" s="11">
        <f>=ROUNDDOWN({0},0)</f>
      </c>
      <c r="AK3021" s="12"/>
      <c r="AL3021" s="9" t="s">
        <v>231</v>
      </c>
      <c r="AM3021" s="11"/>
      <c r="AN3021" s="11">
        <v>691</v>
      </c>
      <c r="AO3021" s="14"/>
      <c r="AP3021" s="11"/>
      <c r="AQ3021" s="15"/>
      <c r="AR3021" s="11"/>
      <c r="AS3021" s="15"/>
      <c r="AT3021" s="14"/>
      <c r="AU3021" s="14"/>
      <c r="AV3021" s="11"/>
      <c r="AW3021" s="15"/>
      <c r="AX3021" s="11"/>
      <c r="AY3021" s="15"/>
      <c r="AZ3021" s="14"/>
      <c r="BA3021" s="14"/>
      <c r="BB3021" s="14"/>
      <c r="BC3021" s="11"/>
      <c r="BD3021" s="15"/>
      <c r="BE3021" s="11"/>
      <c r="BF3021" s="15"/>
      <c r="BG3021" s="14"/>
      <c r="BH3021" s="14"/>
      <c r="BI3021" s="14"/>
      <c r="BJ3021" s="11"/>
      <c r="BK3021" s="15"/>
      <c r="BL3021" s="9" t="s">
        <v>231</v>
      </c>
      <c r="BM3021" s="14"/>
      <c r="BN3021" s="14"/>
      <c r="BO3021" s="11"/>
      <c r="BP3021" s="15"/>
      <c r="BQ3021" s="11"/>
      <c r="BR3021" s="15"/>
      <c r="BS3021" s="14"/>
      <c r="BT3021" s="14"/>
      <c r="BU3021" s="9" t="s">
        <v>231</v>
      </c>
      <c r="BV3021" s="9" t="s">
        <v>231</v>
      </c>
      <c r="BW3021" s="9" t="s">
        <v>231</v>
      </c>
      <c r="BX3021" s="9" t="s">
        <v>231</v>
      </c>
      <c r="BY3021" s="9" t="s">
        <v>231</v>
      </c>
      <c r="BZ3021" s="9" t="s">
        <v>231</v>
      </c>
      <c r="CA3021" s="9" t="s">
        <v>231</v>
      </c>
      <c r="CB3021" s="9" t="s">
        <v>231</v>
      </c>
      <c r="CC3021" s="9" t="s">
        <v>231</v>
      </c>
      <c r="CD3021" s="9" t="s">
        <v>231</v>
      </c>
      <c r="CE3021" s="11">
        <v>333524</v>
      </c>
      <c r="CF3021" s="11">
        <v>55135</v>
      </c>
      <c r="CG3021" s="11"/>
      <c r="CH3021" s="11"/>
      <c r="CI3021" s="11">
        <v>45360</v>
      </c>
      <c r="CJ3021" s="11"/>
      <c r="CK3021" s="11"/>
      <c r="CL3021" s="11">
        <v>6593</v>
      </c>
      <c r="CM3021" s="11"/>
      <c r="CN3021" s="11"/>
      <c r="CO3021" s="11"/>
      <c r="CP3021" s="11">
        <v>4732</v>
      </c>
      <c r="CQ3021" s="11"/>
      <c r="CR3021" s="11"/>
      <c r="CS3021" s="11"/>
      <c r="CT3021" s="11"/>
      <c r="CU3021" s="11">
        <v>2</v>
      </c>
      <c r="CV3021" s="11">
        <v>5</v>
      </c>
      <c r="CW3021" s="11">
        <v>710</v>
      </c>
      <c r="CX3021" s="11">
        <v>1920</v>
      </c>
      <c r="CY3021" s="11">
        <v>1264</v>
      </c>
      <c r="CZ3021" s="11">
        <v>15236</v>
      </c>
      <c r="DA3021" s="11">
        <v>7299</v>
      </c>
      <c r="DB3021" s="11">
        <v>340</v>
      </c>
      <c r="DC3021" s="11">
        <v>275</v>
      </c>
      <c r="DD3021" s="11">
        <v>8078</v>
      </c>
      <c r="DE3021" s="11">
        <v>477</v>
      </c>
      <c r="DF3021" s="11">
        <v>1709</v>
      </c>
      <c r="DG3021" s="11">
        <v>460</v>
      </c>
      <c r="DH3021" s="11">
        <v>460</v>
      </c>
      <c r="DI3021" s="11">
        <v>100</v>
      </c>
      <c r="DJ3021" s="11">
        <v>2449</v>
      </c>
      <c r="DK3021" s="11">
        <v>2380</v>
      </c>
      <c r="DL3021" s="11">
        <v>1150</v>
      </c>
      <c r="DM3021" s="11">
        <v>100</v>
      </c>
      <c r="DN3021" s="11">
        <v>437</v>
      </c>
      <c r="DO3021" s="11">
        <v>12204</v>
      </c>
      <c r="DP3021" s="11">
        <v>364</v>
      </c>
      <c r="DQ3021" s="11">
        <v>21231</v>
      </c>
      <c r="DR3021" s="11">
        <v>2688</v>
      </c>
      <c r="DS3021" s="11">
        <v>10740</v>
      </c>
      <c r="DT3021" s="11">
        <v>22871</v>
      </c>
      <c r="DU3021" s="11">
        <v>13944</v>
      </c>
      <c r="DV3021" s="11">
        <v>2060</v>
      </c>
      <c r="DW3021" s="11">
        <v>14024</v>
      </c>
      <c r="DX3021" s="11">
        <v>2819</v>
      </c>
      <c r="DY3021" s="11">
        <v>9856</v>
      </c>
      <c r="DZ3021" s="11">
        <v>2056</v>
      </c>
      <c r="EA3021" s="11">
        <v>1200</v>
      </c>
      <c r="EB3021" s="11">
        <v>14025</v>
      </c>
      <c r="EC3021" s="11">
        <v>2040</v>
      </c>
      <c r="ED3021" s="11">
        <v>606</v>
      </c>
      <c r="EE3021" s="11">
        <v>10545</v>
      </c>
      <c r="EF3021" s="11">
        <v>152</v>
      </c>
      <c r="EG3021" s="11">
        <v>8630</v>
      </c>
      <c r="EH3021" s="11">
        <v>2851</v>
      </c>
      <c r="EI3021" s="11">
        <v>6554</v>
      </c>
      <c r="EJ3021" s="11">
        <v>7252</v>
      </c>
      <c r="EK3021" s="11">
        <v>8330</v>
      </c>
      <c r="EL3021" s="11">
        <v>801</v>
      </c>
      <c r="EM3021" s="11">
        <v>100</v>
      </c>
      <c r="EN3021" s="11">
        <v>18625</v>
      </c>
      <c r="EO3021" s="11">
        <v>2520</v>
      </c>
      <c r="EP3021" s="11">
        <v>13297</v>
      </c>
      <c r="EQ3021" s="11">
        <v>3830</v>
      </c>
      <c r="ER3021" s="11">
        <v>8709</v>
      </c>
      <c r="ES3021" s="11">
        <v>9736</v>
      </c>
      <c r="ET3021" s="11">
        <v>1770</v>
      </c>
      <c r="EU3021" s="11">
        <v>57</v>
      </c>
      <c r="EV3021" s="11">
        <v>7838</v>
      </c>
      <c r="EW3021" s="11">
        <v>22869</v>
      </c>
      <c r="EX3021" s="11">
        <v>5470</v>
      </c>
      <c r="EY3021" s="11">
        <v>1879</v>
      </c>
      <c r="EZ3021" s="11">
        <v>1415</v>
      </c>
      <c r="FA3021" s="11">
        <v>15357</v>
      </c>
      <c r="FB3021" s="11">
        <v>856</v>
      </c>
      <c r="FC3021" s="11">
        <v>10393</v>
      </c>
      <c r="FD3021" s="11">
        <v>900</v>
      </c>
      <c r="FE3021" s="11">
        <v>1860</v>
      </c>
      <c r="FF3021" s="11">
        <v>2541</v>
      </c>
      <c r="FG3021" s="11">
        <v>800</v>
      </c>
      <c r="FH3021" s="11">
        <v>528</v>
      </c>
      <c r="FI3021" s="11">
        <v>37584</v>
      </c>
      <c r="FJ3021" s="11">
        <v>10645</v>
      </c>
      <c r="FK3021" s="11">
        <v>250</v>
      </c>
      <c r="FL3021" s="11">
        <v>250</v>
      </c>
      <c r="FM3021" s="11">
        <v>2144</v>
      </c>
      <c r="FN3021" s="11">
        <v>980</v>
      </c>
      <c r="FO3021" s="11">
        <v>9637</v>
      </c>
      <c r="FP3021" s="11">
        <v>35713</v>
      </c>
      <c r="FQ3021" s="11">
        <v>686</v>
      </c>
      <c r="FR3021" s="11">
        <v>2675</v>
      </c>
      <c r="FS3021" s="11">
        <v>840</v>
      </c>
      <c r="FT3021" s="11">
        <v>2000</v>
      </c>
      <c r="FU3021" s="11">
        <v>980</v>
      </c>
      <c r="FV3021" s="11">
        <v>32065</v>
      </c>
      <c r="FW3021" s="11">
        <v>290</v>
      </c>
      <c r="FX3021" s="11">
        <v>5535</v>
      </c>
      <c r="FY3021" s="11">
        <v>294</v>
      </c>
      <c r="FZ3021" s="11">
        <v>680</v>
      </c>
      <c r="GA3021" s="11">
        <v>1640</v>
      </c>
      <c r="GB3021" s="11">
        <v>130202</v>
      </c>
      <c r="GC3021" s="11">
        <v>650</v>
      </c>
      <c r="GD3021" s="11">
        <v>14270</v>
      </c>
      <c r="GE3021" s="11">
        <v>28091</v>
      </c>
      <c r="GF3021" s="11">
        <v>2402</v>
      </c>
      <c r="GG3021" s="11">
        <v>270</v>
      </c>
      <c r="GH3021" s="11">
        <v>460</v>
      </c>
      <c r="GI3021" s="11">
        <v>2330</v>
      </c>
      <c r="GJ3021" s="11">
        <v>600</v>
      </c>
      <c r="GK3021" s="11">
        <v>18287</v>
      </c>
      <c r="GL3021" s="11">
        <v>160</v>
      </c>
      <c r="GM3021" s="11">
        <v>793</v>
      </c>
      <c r="GN3021" s="11">
        <v>22635</v>
      </c>
      <c r="GO3021" s="11">
        <v>244</v>
      </c>
      <c r="GP3021" s="11">
        <v>70</v>
      </c>
      <c r="GQ3021" s="11">
        <v>24996</v>
      </c>
      <c r="GR3021" s="11">
        <v>2000</v>
      </c>
      <c r="GS3021" s="11">
        <v>115</v>
      </c>
      <c r="GT3021" s="11">
        <v>400</v>
      </c>
      <c r="GU3021" s="11">
        <v>88854</v>
      </c>
      <c r="GV3021" s="11">
        <v>890</v>
      </c>
      <c r="GW3021" s="11">
        <v>1280</v>
      </c>
      <c r="GX3021" s="11">
        <v>400</v>
      </c>
      <c r="GY3021" s="11">
        <v>800</v>
      </c>
      <c r="GZ3021" s="11">
        <v>24300</v>
      </c>
      <c r="HA3021" s="11">
        <v>7531</v>
      </c>
      <c r="HB3021" s="11">
        <v>432</v>
      </c>
      <c r="HC3021" s="11">
        <v>260</v>
      </c>
      <c r="HD3021" s="11">
        <v>10</v>
      </c>
      <c r="HE3021" s="11">
        <v>6526</v>
      </c>
      <c r="HF3021" s="11">
        <v>735</v>
      </c>
      <c r="HG3021" s="11">
        <v>115</v>
      </c>
      <c r="HH3021" s="11">
        <v>100</v>
      </c>
      <c r="HI3021" s="11">
        <v>87</v>
      </c>
      <c r="HJ3021" s="11">
        <v>180</v>
      </c>
      <c r="HK3021" s="11">
        <v>137</v>
      </c>
      <c r="HL3021" s="11">
        <v>72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4"/>
    <mergeCell ref="CU3:HF4"/>
    <mergeCell ref="HG3:HL4"/>
    <mergeCell ref="BC6:BC15"/>
    <mergeCell ref="BD6:BD15"/>
    <mergeCell ref="BE6:BE15"/>
    <mergeCell ref="BF6:BF15"/>
    <mergeCell ref="BG6:BG15"/>
    <mergeCell ref="BH6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4"/>
    <mergeCell ref="BD22:BD24"/>
    <mergeCell ref="BE22:BE24"/>
    <mergeCell ref="BF22:BF24"/>
    <mergeCell ref="BG22:BG24"/>
    <mergeCell ref="BH22:BH24"/>
    <mergeCell ref="BC25:BC27"/>
    <mergeCell ref="BD25:BD27"/>
    <mergeCell ref="BE25:BE27"/>
    <mergeCell ref="BF25:BF27"/>
    <mergeCell ref="BG25:BG27"/>
    <mergeCell ref="BH25:BH27"/>
    <mergeCell ref="BC28:BC35"/>
    <mergeCell ref="BD28:BD35"/>
    <mergeCell ref="BE28:BE35"/>
    <mergeCell ref="BF28:BF35"/>
    <mergeCell ref="BG28:BG35"/>
    <mergeCell ref="BH28:BH35"/>
    <mergeCell ref="BC36:BC38"/>
    <mergeCell ref="BD36:BD38"/>
    <mergeCell ref="BE36:BE38"/>
    <mergeCell ref="BF36:BF38"/>
    <mergeCell ref="BG36:BG38"/>
    <mergeCell ref="BH36:BH38"/>
    <mergeCell ref="BC39:BC42"/>
    <mergeCell ref="BD39:BD42"/>
    <mergeCell ref="BE39:BE42"/>
    <mergeCell ref="BF39:BF42"/>
    <mergeCell ref="BG39:BG42"/>
    <mergeCell ref="BH39:BH42"/>
    <mergeCell ref="BC43:BC45"/>
    <mergeCell ref="BD43:BD45"/>
    <mergeCell ref="BE43:BE45"/>
    <mergeCell ref="BF43:BF45"/>
    <mergeCell ref="BG43:BG45"/>
    <mergeCell ref="BH43:BH45"/>
    <mergeCell ref="BC47:BC73"/>
    <mergeCell ref="BD47:BD73"/>
    <mergeCell ref="BE47:BE73"/>
    <mergeCell ref="BF47:BF73"/>
    <mergeCell ref="BG47:BG73"/>
    <mergeCell ref="BH47:BH73"/>
    <mergeCell ref="BC74:BC81"/>
    <mergeCell ref="BD74:BD81"/>
    <mergeCell ref="BE74:BE81"/>
    <mergeCell ref="BF74:BF81"/>
    <mergeCell ref="BG74:BG81"/>
    <mergeCell ref="BH74:BH81"/>
    <mergeCell ref="BC82:BC84"/>
    <mergeCell ref="BD82:BD84"/>
    <mergeCell ref="BE82:BE84"/>
    <mergeCell ref="BF82:BF84"/>
    <mergeCell ref="BG82:BG84"/>
    <mergeCell ref="BH82:BH84"/>
    <mergeCell ref="BC85:BC86"/>
    <mergeCell ref="BD85:BD86"/>
    <mergeCell ref="BE85:BE86"/>
    <mergeCell ref="BF85:BF86"/>
    <mergeCell ref="BG85:BG86"/>
    <mergeCell ref="BH85:BH86"/>
    <mergeCell ref="BC87:BC88"/>
    <mergeCell ref="BD87:BD88"/>
    <mergeCell ref="BE87:BE88"/>
    <mergeCell ref="BF87:BF88"/>
    <mergeCell ref="BG87:BG88"/>
    <mergeCell ref="BH87:BH88"/>
    <mergeCell ref="BC89:BC97"/>
    <mergeCell ref="BD89:BD97"/>
    <mergeCell ref="BE89:BE97"/>
    <mergeCell ref="BF89:BF97"/>
    <mergeCell ref="BG89:BG97"/>
    <mergeCell ref="BH89:BH97"/>
    <mergeCell ref="BC98:BC102"/>
    <mergeCell ref="BD98:BD102"/>
    <mergeCell ref="BE98:BE102"/>
    <mergeCell ref="BF98:BF102"/>
    <mergeCell ref="BG98:BG102"/>
    <mergeCell ref="BH98:BH102"/>
    <mergeCell ref="BC103:BC105"/>
    <mergeCell ref="BD103:BD105"/>
    <mergeCell ref="BE103:BE105"/>
    <mergeCell ref="BF103:BF105"/>
    <mergeCell ref="BG103:BG105"/>
    <mergeCell ref="BH103:BH105"/>
    <mergeCell ref="BC106:BC108"/>
    <mergeCell ref="BD106:BD108"/>
    <mergeCell ref="BE106:BE108"/>
    <mergeCell ref="BF106:BF108"/>
    <mergeCell ref="BG106:BG108"/>
    <mergeCell ref="BH106:BH108"/>
    <mergeCell ref="BC111:BC112"/>
    <mergeCell ref="BD111:BD112"/>
    <mergeCell ref="BE111:BE112"/>
    <mergeCell ref="BF111:BF112"/>
    <mergeCell ref="BG111:BG112"/>
    <mergeCell ref="BH111:BH112"/>
    <mergeCell ref="BC117:BC122"/>
    <mergeCell ref="BD117:BD122"/>
    <mergeCell ref="BE117:BE122"/>
    <mergeCell ref="BF117:BF122"/>
    <mergeCell ref="BG117:BG122"/>
    <mergeCell ref="BH117:BH122"/>
    <mergeCell ref="BC124:BC134"/>
    <mergeCell ref="BD124:BD134"/>
    <mergeCell ref="BE124:BE134"/>
    <mergeCell ref="BF124:BF134"/>
    <mergeCell ref="BG124:BG134"/>
    <mergeCell ref="BH124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40:BC143"/>
    <mergeCell ref="BD140:BD143"/>
    <mergeCell ref="BE140:BE143"/>
    <mergeCell ref="BF140:BF143"/>
    <mergeCell ref="BG140:BG143"/>
    <mergeCell ref="BH140:BH143"/>
    <mergeCell ref="BC144:BC146"/>
    <mergeCell ref="BD144:BD146"/>
    <mergeCell ref="BE144:BE146"/>
    <mergeCell ref="BF144:BF146"/>
    <mergeCell ref="BG144:BG146"/>
    <mergeCell ref="BH144:BH146"/>
    <mergeCell ref="BC147:BC152"/>
    <mergeCell ref="BD147:BD152"/>
    <mergeCell ref="BE147:BE152"/>
    <mergeCell ref="BF147:BF152"/>
    <mergeCell ref="BG147:BG152"/>
    <mergeCell ref="BH147:BH152"/>
    <mergeCell ref="BC159:BC161"/>
    <mergeCell ref="BD159:BD161"/>
    <mergeCell ref="BE159:BE161"/>
    <mergeCell ref="BF159:BF161"/>
    <mergeCell ref="BG159:BG161"/>
    <mergeCell ref="BH159:BH161"/>
    <mergeCell ref="BC162:BC167"/>
    <mergeCell ref="BD162:BD167"/>
    <mergeCell ref="BE162:BE167"/>
    <mergeCell ref="BF162:BF167"/>
    <mergeCell ref="BG162:BG167"/>
    <mergeCell ref="BH162:BH167"/>
    <mergeCell ref="BC171:BC179"/>
    <mergeCell ref="BD171:BD179"/>
    <mergeCell ref="BE171:BE179"/>
    <mergeCell ref="BF171:BF179"/>
    <mergeCell ref="BG171:BG179"/>
    <mergeCell ref="BH171:BH179"/>
    <mergeCell ref="BC180:BC184"/>
    <mergeCell ref="BD180:BD184"/>
    <mergeCell ref="BE180:BE184"/>
    <mergeCell ref="BF180:BF184"/>
    <mergeCell ref="BG180:BG184"/>
    <mergeCell ref="BH180:BH184"/>
    <mergeCell ref="BC186:BC203"/>
    <mergeCell ref="BD186:BD203"/>
    <mergeCell ref="BE186:BE203"/>
    <mergeCell ref="BF186:BF203"/>
    <mergeCell ref="BG186:BG203"/>
    <mergeCell ref="BH186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8:BC212"/>
    <mergeCell ref="BD208:BD212"/>
    <mergeCell ref="BE208:BE212"/>
    <mergeCell ref="BF208:BF212"/>
    <mergeCell ref="BG208:BG212"/>
    <mergeCell ref="BH208:BH212"/>
    <mergeCell ref="BC213:BC215"/>
    <mergeCell ref="BD213:BD215"/>
    <mergeCell ref="BE213:BE215"/>
    <mergeCell ref="BF213:BF215"/>
    <mergeCell ref="BG213:BG215"/>
    <mergeCell ref="BH213:BH215"/>
    <mergeCell ref="BC216:BC225"/>
    <mergeCell ref="BD216:BD225"/>
    <mergeCell ref="BE216:BE225"/>
    <mergeCell ref="BF216:BF225"/>
    <mergeCell ref="BG216:BG225"/>
    <mergeCell ref="BH216:BH225"/>
    <mergeCell ref="BC226:BC232"/>
    <mergeCell ref="BD226:BD232"/>
    <mergeCell ref="BE226:BE232"/>
    <mergeCell ref="BF226:BF232"/>
    <mergeCell ref="BG226:BG232"/>
    <mergeCell ref="BH226:BH232"/>
    <mergeCell ref="BC233:BC238"/>
    <mergeCell ref="BD233:BD238"/>
    <mergeCell ref="BE233:BE238"/>
    <mergeCell ref="BF233:BF238"/>
    <mergeCell ref="BG233:BG238"/>
    <mergeCell ref="BH233:BH238"/>
    <mergeCell ref="BC240:BC241"/>
    <mergeCell ref="BD240:BD241"/>
    <mergeCell ref="BE240:BE241"/>
    <mergeCell ref="BF240:BF241"/>
    <mergeCell ref="BG240:BG241"/>
    <mergeCell ref="BH240:BH241"/>
    <mergeCell ref="BC244:BC248"/>
    <mergeCell ref="BD244:BD248"/>
    <mergeCell ref="BE244:BE248"/>
    <mergeCell ref="BF244:BF248"/>
    <mergeCell ref="BG244:BG248"/>
    <mergeCell ref="BH244:BH248"/>
    <mergeCell ref="BC251:BC252"/>
    <mergeCell ref="BD251:BD252"/>
    <mergeCell ref="BE251:BE252"/>
    <mergeCell ref="BF251:BF252"/>
    <mergeCell ref="BG251:BG252"/>
    <mergeCell ref="BH251:BH252"/>
    <mergeCell ref="BC254:BC257"/>
    <mergeCell ref="BD254:BD257"/>
    <mergeCell ref="BE254:BE257"/>
    <mergeCell ref="BF254:BF257"/>
    <mergeCell ref="BG254:BG257"/>
    <mergeCell ref="BH254:BH257"/>
    <mergeCell ref="BC262:BC263"/>
    <mergeCell ref="BD262:BD263"/>
    <mergeCell ref="BE262:BE263"/>
    <mergeCell ref="BF262:BF263"/>
    <mergeCell ref="BG262:BG263"/>
    <mergeCell ref="BH262:BH263"/>
    <mergeCell ref="BC264:BC266"/>
    <mergeCell ref="BD264:BD266"/>
    <mergeCell ref="BE264:BE266"/>
    <mergeCell ref="BF264:BF266"/>
    <mergeCell ref="BG264:BG266"/>
    <mergeCell ref="BH264:BH266"/>
    <mergeCell ref="BC268:BC269"/>
    <mergeCell ref="BD268:BD269"/>
    <mergeCell ref="BE268:BE269"/>
    <mergeCell ref="BF268:BF269"/>
    <mergeCell ref="BG268:BG269"/>
    <mergeCell ref="BH268:BH269"/>
    <mergeCell ref="BC272:BC273"/>
    <mergeCell ref="BD272:BD273"/>
    <mergeCell ref="BE272:BE273"/>
    <mergeCell ref="BF272:BF273"/>
    <mergeCell ref="BG272:BG273"/>
    <mergeCell ref="BH272:BH273"/>
    <mergeCell ref="BC274:BC276"/>
    <mergeCell ref="BD274:BD276"/>
    <mergeCell ref="BE274:BE276"/>
    <mergeCell ref="BF274:BF276"/>
    <mergeCell ref="BG274:BG276"/>
    <mergeCell ref="BH274:BH276"/>
    <mergeCell ref="BC277:BC278"/>
    <mergeCell ref="BD277:BD278"/>
    <mergeCell ref="BE277:BE278"/>
    <mergeCell ref="BF277:BF278"/>
    <mergeCell ref="BG277:BG278"/>
    <mergeCell ref="BH277:BH278"/>
    <mergeCell ref="BC280:BC295"/>
    <mergeCell ref="BD280:BD295"/>
    <mergeCell ref="BE280:BE295"/>
    <mergeCell ref="BF280:BF295"/>
    <mergeCell ref="BG280:BG295"/>
    <mergeCell ref="BH280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4:BC306"/>
    <mergeCell ref="BD304:BD306"/>
    <mergeCell ref="BE304:BE306"/>
    <mergeCell ref="BF304:BF306"/>
    <mergeCell ref="BG304:BG306"/>
    <mergeCell ref="BH304:BH306"/>
    <mergeCell ref="BC309:BC318"/>
    <mergeCell ref="BD309:BD318"/>
    <mergeCell ref="BE309:BE318"/>
    <mergeCell ref="BF309:BF318"/>
    <mergeCell ref="BG309:BG318"/>
    <mergeCell ref="BH309:BH318"/>
    <mergeCell ref="BC319:BC333"/>
    <mergeCell ref="BD319:BD333"/>
    <mergeCell ref="BE319:BE333"/>
    <mergeCell ref="BF319:BF333"/>
    <mergeCell ref="BG319:BG333"/>
    <mergeCell ref="BH319:BH333"/>
    <mergeCell ref="BC335:BC354"/>
    <mergeCell ref="BD335:BD354"/>
    <mergeCell ref="BE335:BE354"/>
    <mergeCell ref="BF335:BF354"/>
    <mergeCell ref="BG335:BG354"/>
    <mergeCell ref="BH335:BH354"/>
    <mergeCell ref="BC355:BC358"/>
    <mergeCell ref="BD355:BD358"/>
    <mergeCell ref="BE355:BE358"/>
    <mergeCell ref="BF355:BF358"/>
    <mergeCell ref="BG355:BG358"/>
    <mergeCell ref="BH355:BH358"/>
    <mergeCell ref="BC359:BC364"/>
    <mergeCell ref="BD359:BD364"/>
    <mergeCell ref="BE359:BE364"/>
    <mergeCell ref="BF359:BF364"/>
    <mergeCell ref="BG359:BG364"/>
    <mergeCell ref="BH359:BH364"/>
    <mergeCell ref="BC367:BC371"/>
    <mergeCell ref="BD367:BD371"/>
    <mergeCell ref="BE367:BE371"/>
    <mergeCell ref="BF367:BF371"/>
    <mergeCell ref="BG367:BG371"/>
    <mergeCell ref="BH367:BH371"/>
    <mergeCell ref="BC373:BC375"/>
    <mergeCell ref="BD373:BD375"/>
    <mergeCell ref="BE373:BE375"/>
    <mergeCell ref="BF373:BF375"/>
    <mergeCell ref="BG373:BG375"/>
    <mergeCell ref="BH373:BH375"/>
    <mergeCell ref="BC377:BC378"/>
    <mergeCell ref="BD377:BD378"/>
    <mergeCell ref="BE377:BE378"/>
    <mergeCell ref="BF377:BF378"/>
    <mergeCell ref="BG377:BG378"/>
    <mergeCell ref="BH377:BH378"/>
    <mergeCell ref="BC380:BC384"/>
    <mergeCell ref="BD380:BD384"/>
    <mergeCell ref="BE380:BE384"/>
    <mergeCell ref="BF380:BF384"/>
    <mergeCell ref="BG380:BG384"/>
    <mergeCell ref="BH380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5"/>
    <mergeCell ref="BD389:BD395"/>
    <mergeCell ref="BE389:BE395"/>
    <mergeCell ref="BF389:BF395"/>
    <mergeCell ref="BG389:BG395"/>
    <mergeCell ref="BH389:BH395"/>
    <mergeCell ref="BC398:BC403"/>
    <mergeCell ref="BD398:BD403"/>
    <mergeCell ref="BE398:BE403"/>
    <mergeCell ref="BF398:BF403"/>
    <mergeCell ref="BG398:BG403"/>
    <mergeCell ref="BH398:BH403"/>
    <mergeCell ref="BC405:BC406"/>
    <mergeCell ref="BD405:BD406"/>
    <mergeCell ref="BE405:BE406"/>
    <mergeCell ref="BF405:BF406"/>
    <mergeCell ref="BG405:BG406"/>
    <mergeCell ref="BH405:BH406"/>
    <mergeCell ref="BC408:BC409"/>
    <mergeCell ref="BD408:BD409"/>
    <mergeCell ref="BE408:BE409"/>
    <mergeCell ref="BF408:BF409"/>
    <mergeCell ref="BG408:BG409"/>
    <mergeCell ref="BH408:BH409"/>
    <mergeCell ref="BC410:BC414"/>
    <mergeCell ref="BD410:BD414"/>
    <mergeCell ref="BE410:BE414"/>
    <mergeCell ref="BF410:BF414"/>
    <mergeCell ref="BG410:BG414"/>
    <mergeCell ref="BH410:BH414"/>
    <mergeCell ref="BC415:BC417"/>
    <mergeCell ref="BD415:BD417"/>
    <mergeCell ref="BE415:BE417"/>
    <mergeCell ref="BF415:BF417"/>
    <mergeCell ref="BG415:BG417"/>
    <mergeCell ref="BH415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9:BC430"/>
    <mergeCell ref="BD429:BD430"/>
    <mergeCell ref="BE429:BE430"/>
    <mergeCell ref="BF429:BF430"/>
    <mergeCell ref="BG429:BG430"/>
    <mergeCell ref="BH429:BH430"/>
    <mergeCell ref="BC434:BC444"/>
    <mergeCell ref="BD434:BD444"/>
    <mergeCell ref="BE434:BE444"/>
    <mergeCell ref="BF434:BF444"/>
    <mergeCell ref="BG434:BG444"/>
    <mergeCell ref="BH434:BH444"/>
    <mergeCell ref="BC445:BC452"/>
    <mergeCell ref="BD445:BD452"/>
    <mergeCell ref="BE445:BE452"/>
    <mergeCell ref="BF445:BF452"/>
    <mergeCell ref="BG445:BG452"/>
    <mergeCell ref="BH445:BH452"/>
    <mergeCell ref="BC456:BC476"/>
    <mergeCell ref="BD456:BD476"/>
    <mergeCell ref="BE456:BE476"/>
    <mergeCell ref="BF456:BF476"/>
    <mergeCell ref="BG456:BG476"/>
    <mergeCell ref="BH456:BH476"/>
    <mergeCell ref="BC484:BC505"/>
    <mergeCell ref="BD484:BD505"/>
    <mergeCell ref="BE484:BE505"/>
    <mergeCell ref="BF484:BF505"/>
    <mergeCell ref="BG484:BG505"/>
    <mergeCell ref="BH484:BH505"/>
    <mergeCell ref="BC506:BC507"/>
    <mergeCell ref="BD506:BD507"/>
    <mergeCell ref="BE506:BE507"/>
    <mergeCell ref="BF506:BF507"/>
    <mergeCell ref="BG506:BG507"/>
    <mergeCell ref="BH506:BH507"/>
    <mergeCell ref="BC509:BC517"/>
    <mergeCell ref="BD509:BD517"/>
    <mergeCell ref="BE509:BE517"/>
    <mergeCell ref="BF509:BF517"/>
    <mergeCell ref="BG509:BG517"/>
    <mergeCell ref="BH509:BH517"/>
    <mergeCell ref="BC518:BC520"/>
    <mergeCell ref="BD518:BD520"/>
    <mergeCell ref="BE518:BE520"/>
    <mergeCell ref="BF518:BF520"/>
    <mergeCell ref="BG518:BG520"/>
    <mergeCell ref="BH518:BH520"/>
    <mergeCell ref="BC521:BC524"/>
    <mergeCell ref="BD521:BD524"/>
    <mergeCell ref="BE521:BE524"/>
    <mergeCell ref="BF521:BF524"/>
    <mergeCell ref="BG521:BG524"/>
    <mergeCell ref="BH521:BH524"/>
    <mergeCell ref="BC528:BC529"/>
    <mergeCell ref="BD528:BD529"/>
    <mergeCell ref="BE528:BE529"/>
    <mergeCell ref="BF528:BF529"/>
    <mergeCell ref="BG528:BG529"/>
    <mergeCell ref="BH528:BH529"/>
    <mergeCell ref="BC531:BC533"/>
    <mergeCell ref="BD531:BD533"/>
    <mergeCell ref="BE531:BE533"/>
    <mergeCell ref="BF531:BF533"/>
    <mergeCell ref="BG531:BG533"/>
    <mergeCell ref="BH531:BH533"/>
    <mergeCell ref="BC535:BC538"/>
    <mergeCell ref="BD535:BD538"/>
    <mergeCell ref="BE535:BE538"/>
    <mergeCell ref="BF535:BF538"/>
    <mergeCell ref="BG535:BG538"/>
    <mergeCell ref="BH535:BH538"/>
    <mergeCell ref="BC540:BC545"/>
    <mergeCell ref="BD540:BD545"/>
    <mergeCell ref="BE540:BE545"/>
    <mergeCell ref="BF540:BF545"/>
    <mergeCell ref="BG540:BG545"/>
    <mergeCell ref="BH540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4:BC559"/>
    <mergeCell ref="BD554:BD559"/>
    <mergeCell ref="BE554:BE559"/>
    <mergeCell ref="BF554:BF559"/>
    <mergeCell ref="BG554:BG559"/>
    <mergeCell ref="BH554:BH559"/>
    <mergeCell ref="BC560:BC569"/>
    <mergeCell ref="BD560:BD569"/>
    <mergeCell ref="BE560:BE569"/>
    <mergeCell ref="BF560:BF569"/>
    <mergeCell ref="BG560:BG569"/>
    <mergeCell ref="BH560:BH569"/>
    <mergeCell ref="BC571:BC572"/>
    <mergeCell ref="BD571:BD572"/>
    <mergeCell ref="BE571:BE572"/>
    <mergeCell ref="BF571:BF572"/>
    <mergeCell ref="BG571:BG572"/>
    <mergeCell ref="BH571:BH572"/>
    <mergeCell ref="BC573:BC581"/>
    <mergeCell ref="BD573:BD581"/>
    <mergeCell ref="BE573:BE581"/>
    <mergeCell ref="BF573:BF581"/>
    <mergeCell ref="BG573:BG581"/>
    <mergeCell ref="BH573:BH581"/>
    <mergeCell ref="BC582:BC583"/>
    <mergeCell ref="BD582:BD583"/>
    <mergeCell ref="BE582:BE583"/>
    <mergeCell ref="BF582:BF583"/>
    <mergeCell ref="BG582:BG583"/>
    <mergeCell ref="BH582:BH583"/>
    <mergeCell ref="BC587:BC589"/>
    <mergeCell ref="BD587:BD589"/>
    <mergeCell ref="BE587:BE589"/>
    <mergeCell ref="BF587:BF589"/>
    <mergeCell ref="BG587:BG589"/>
    <mergeCell ref="BH587:BH589"/>
    <mergeCell ref="BC592:BC593"/>
    <mergeCell ref="BD592:BD593"/>
    <mergeCell ref="BE592:BE593"/>
    <mergeCell ref="BF592:BF593"/>
    <mergeCell ref="BG592:BG593"/>
    <mergeCell ref="BH592:BH593"/>
    <mergeCell ref="BC596:BC597"/>
    <mergeCell ref="BD596:BD597"/>
    <mergeCell ref="BE596:BE597"/>
    <mergeCell ref="BF596:BF597"/>
    <mergeCell ref="BG596:BG597"/>
    <mergeCell ref="BH596:BH597"/>
    <mergeCell ref="BC599:BC600"/>
    <mergeCell ref="BD599:BD600"/>
    <mergeCell ref="BE599:BE600"/>
    <mergeCell ref="BF599:BF600"/>
    <mergeCell ref="BG599:BG600"/>
    <mergeCell ref="BH599:BH600"/>
    <mergeCell ref="BC601:BC603"/>
    <mergeCell ref="BD601:BD603"/>
    <mergeCell ref="BE601:BE603"/>
    <mergeCell ref="BF601:BF603"/>
    <mergeCell ref="BG601:BG603"/>
    <mergeCell ref="BH601:BH603"/>
    <mergeCell ref="BC606:BC607"/>
    <mergeCell ref="BD606:BD607"/>
    <mergeCell ref="BE606:BE607"/>
    <mergeCell ref="BF606:BF607"/>
    <mergeCell ref="BG606:BG607"/>
    <mergeCell ref="BH606:BH607"/>
    <mergeCell ref="BC610:BC611"/>
    <mergeCell ref="BD610:BD611"/>
    <mergeCell ref="BE610:BE611"/>
    <mergeCell ref="BF610:BF611"/>
    <mergeCell ref="BG610:BG611"/>
    <mergeCell ref="BH610:BH611"/>
    <mergeCell ref="BC613:BC615"/>
    <mergeCell ref="BD613:BD615"/>
    <mergeCell ref="BE613:BE615"/>
    <mergeCell ref="BF613:BF615"/>
    <mergeCell ref="BG613:BG615"/>
    <mergeCell ref="BH613:BH615"/>
    <mergeCell ref="BC616:BC618"/>
    <mergeCell ref="BD616:BD618"/>
    <mergeCell ref="BE616:BE618"/>
    <mergeCell ref="BF616:BF618"/>
    <mergeCell ref="BG616:BG618"/>
    <mergeCell ref="BH616:BH618"/>
    <mergeCell ref="BC619:BC622"/>
    <mergeCell ref="BD619:BD622"/>
    <mergeCell ref="BE619:BE622"/>
    <mergeCell ref="BF619:BF622"/>
    <mergeCell ref="BG619:BG622"/>
    <mergeCell ref="BH619:BH622"/>
    <mergeCell ref="BC624:BC626"/>
    <mergeCell ref="BD624:BD626"/>
    <mergeCell ref="BE624:BE626"/>
    <mergeCell ref="BF624:BF626"/>
    <mergeCell ref="BG624:BG626"/>
    <mergeCell ref="BH624:BH626"/>
    <mergeCell ref="BC627:BC636"/>
    <mergeCell ref="BD627:BD636"/>
    <mergeCell ref="BE627:BE636"/>
    <mergeCell ref="BF627:BF636"/>
    <mergeCell ref="BG627:BG636"/>
    <mergeCell ref="BH627:BH636"/>
    <mergeCell ref="BC637:BC639"/>
    <mergeCell ref="BD637:BD639"/>
    <mergeCell ref="BE637:BE639"/>
    <mergeCell ref="BF637:BF639"/>
    <mergeCell ref="BG637:BG639"/>
    <mergeCell ref="BH637:BH639"/>
    <mergeCell ref="BC640:BC649"/>
    <mergeCell ref="BD640:BD649"/>
    <mergeCell ref="BE640:BE649"/>
    <mergeCell ref="BF640:BF649"/>
    <mergeCell ref="BG640:BG649"/>
    <mergeCell ref="BH640:BH649"/>
    <mergeCell ref="BC650:BC660"/>
    <mergeCell ref="BD650:BD660"/>
    <mergeCell ref="BE650:BE660"/>
    <mergeCell ref="BF650:BF660"/>
    <mergeCell ref="BG650:BG660"/>
    <mergeCell ref="BH650:BH660"/>
    <mergeCell ref="BC661:BC662"/>
    <mergeCell ref="BD661:BD662"/>
    <mergeCell ref="BE661:BE662"/>
    <mergeCell ref="BF661:BF662"/>
    <mergeCell ref="BG661:BG662"/>
    <mergeCell ref="BH661:BH662"/>
    <mergeCell ref="BC664:BC667"/>
    <mergeCell ref="BD664:BD667"/>
    <mergeCell ref="BE664:BE667"/>
    <mergeCell ref="BF664:BF667"/>
    <mergeCell ref="BG664:BG667"/>
    <mergeCell ref="BH664:BH667"/>
    <mergeCell ref="BC668:BC670"/>
    <mergeCell ref="BD668:BD670"/>
    <mergeCell ref="BE668:BE670"/>
    <mergeCell ref="BF668:BF670"/>
    <mergeCell ref="BG668:BG670"/>
    <mergeCell ref="BH668:BH670"/>
    <mergeCell ref="BC671:BC684"/>
    <mergeCell ref="BD671:BD684"/>
    <mergeCell ref="BE671:BE684"/>
    <mergeCell ref="BF671:BF684"/>
    <mergeCell ref="BG671:BG684"/>
    <mergeCell ref="BH671:BH684"/>
    <mergeCell ref="BC686:BC687"/>
    <mergeCell ref="BD686:BD687"/>
    <mergeCell ref="BE686:BE687"/>
    <mergeCell ref="BF686:BF687"/>
    <mergeCell ref="BG686:BG687"/>
    <mergeCell ref="BH686:BH687"/>
    <mergeCell ref="BC688:BC700"/>
    <mergeCell ref="BD688:BD700"/>
    <mergeCell ref="BE688:BE700"/>
    <mergeCell ref="BF688:BF700"/>
    <mergeCell ref="BG688:BG700"/>
    <mergeCell ref="BH688:BH700"/>
    <mergeCell ref="BC701:BC703"/>
    <mergeCell ref="BD701:BD703"/>
    <mergeCell ref="BE701:BE703"/>
    <mergeCell ref="BF701:BF703"/>
    <mergeCell ref="BG701:BG703"/>
    <mergeCell ref="BH701:BH703"/>
    <mergeCell ref="BC704:BC705"/>
    <mergeCell ref="BD704:BD705"/>
    <mergeCell ref="BE704:BE705"/>
    <mergeCell ref="BF704:BF705"/>
    <mergeCell ref="BG704:BG705"/>
    <mergeCell ref="BH704:BH705"/>
    <mergeCell ref="BC707:BC732"/>
    <mergeCell ref="BD707:BD732"/>
    <mergeCell ref="BE707:BE732"/>
    <mergeCell ref="BF707:BF732"/>
    <mergeCell ref="BG707:BG732"/>
    <mergeCell ref="BH707:BH732"/>
    <mergeCell ref="BC734:BC760"/>
    <mergeCell ref="BD734:BD760"/>
    <mergeCell ref="BE734:BE760"/>
    <mergeCell ref="BF734:BF760"/>
    <mergeCell ref="BG734:BG760"/>
    <mergeCell ref="BH734:BH760"/>
    <mergeCell ref="BC761:BC835"/>
    <mergeCell ref="BD761:BD835"/>
    <mergeCell ref="BE761:BE835"/>
    <mergeCell ref="BF761:BF835"/>
    <mergeCell ref="BG761:BG835"/>
    <mergeCell ref="BH761:BH835"/>
    <mergeCell ref="BC837:BC984"/>
    <mergeCell ref="BD837:BD984"/>
    <mergeCell ref="BE837:BE984"/>
    <mergeCell ref="BF837:BF984"/>
    <mergeCell ref="BG837:BG984"/>
    <mergeCell ref="BH837:BH984"/>
    <mergeCell ref="BC985:BC986"/>
    <mergeCell ref="BD985:BD986"/>
    <mergeCell ref="BE985:BE986"/>
    <mergeCell ref="BF985:BF986"/>
    <mergeCell ref="BG985:BG986"/>
    <mergeCell ref="BH985:BH986"/>
    <mergeCell ref="BC987:BC1029"/>
    <mergeCell ref="BD987:BD1029"/>
    <mergeCell ref="BE987:BE1029"/>
    <mergeCell ref="BF987:BF1029"/>
    <mergeCell ref="BG987:BG1029"/>
    <mergeCell ref="BH987:BH1029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8:BC1043"/>
    <mergeCell ref="BD1038:BD1043"/>
    <mergeCell ref="BE1038:BE1043"/>
    <mergeCell ref="BF1038:BF1043"/>
    <mergeCell ref="BG1038:BG1043"/>
    <mergeCell ref="BH1038:BH1043"/>
    <mergeCell ref="BC1061:BC1076"/>
    <mergeCell ref="BD1061:BD1076"/>
    <mergeCell ref="BE1061:BE1076"/>
    <mergeCell ref="BF1061:BF1076"/>
    <mergeCell ref="BG1061:BG1076"/>
    <mergeCell ref="BH1061:BH1076"/>
    <mergeCell ref="BC1077:BC1082"/>
    <mergeCell ref="BD1077:BD1082"/>
    <mergeCell ref="BE1077:BE1082"/>
    <mergeCell ref="BF1077:BF1082"/>
    <mergeCell ref="BG1077:BG1082"/>
    <mergeCell ref="BH1077:BH1082"/>
    <mergeCell ref="BC1083:BC1102"/>
    <mergeCell ref="BD1083:BD1102"/>
    <mergeCell ref="BE1083:BE1102"/>
    <mergeCell ref="BF1083:BF1102"/>
    <mergeCell ref="BG1083:BG1102"/>
    <mergeCell ref="BH1083:BH1102"/>
    <mergeCell ref="BC1104:BC1106"/>
    <mergeCell ref="BD1104:BD1106"/>
    <mergeCell ref="BE1104:BE1106"/>
    <mergeCell ref="BF1104:BF1106"/>
    <mergeCell ref="BG1104:BG1106"/>
    <mergeCell ref="BH1104:BH1106"/>
    <mergeCell ref="BC1109:BC1116"/>
    <mergeCell ref="BD1109:BD1116"/>
    <mergeCell ref="BE1109:BE1116"/>
    <mergeCell ref="BF1109:BF1116"/>
    <mergeCell ref="BG1109:BG1116"/>
    <mergeCell ref="BH1109:BH1116"/>
    <mergeCell ref="BC1117:BC1119"/>
    <mergeCell ref="BD1117:BD1119"/>
    <mergeCell ref="BE1117:BE1119"/>
    <mergeCell ref="BF1117:BF1119"/>
    <mergeCell ref="BG1117:BG1119"/>
    <mergeCell ref="BH1117:BH1119"/>
    <mergeCell ref="BC1123:BC1132"/>
    <mergeCell ref="BD1123:BD1132"/>
    <mergeCell ref="BE1123:BE1132"/>
    <mergeCell ref="BF1123:BF1132"/>
    <mergeCell ref="BG1123:BG1132"/>
    <mergeCell ref="BH1123:BH1132"/>
    <mergeCell ref="BC1133:BC1137"/>
    <mergeCell ref="BD1133:BD1137"/>
    <mergeCell ref="BE1133:BE1137"/>
    <mergeCell ref="BF1133:BF1137"/>
    <mergeCell ref="BG1133:BG1137"/>
    <mergeCell ref="BH1133:BH1137"/>
    <mergeCell ref="BC1138:BC1139"/>
    <mergeCell ref="BD1138:BD1139"/>
    <mergeCell ref="BE1138:BE1139"/>
    <mergeCell ref="BF1138:BF1139"/>
    <mergeCell ref="BG1138:BG1139"/>
    <mergeCell ref="BH1138:BH1139"/>
    <mergeCell ref="BC1148:BC1149"/>
    <mergeCell ref="BD1148:BD1149"/>
    <mergeCell ref="BE1148:BE1149"/>
    <mergeCell ref="BF1148:BF1149"/>
    <mergeCell ref="BG1148:BG1149"/>
    <mergeCell ref="BH1148:BH1149"/>
    <mergeCell ref="BC1153:BC1157"/>
    <mergeCell ref="BD1153:BD1157"/>
    <mergeCell ref="BE1153:BE1157"/>
    <mergeCell ref="BF1153:BF1157"/>
    <mergeCell ref="BG1153:BG1157"/>
    <mergeCell ref="BH1153:BH1157"/>
    <mergeCell ref="BC1158:BC1163"/>
    <mergeCell ref="BD1158:BD1163"/>
    <mergeCell ref="BE1158:BE1163"/>
    <mergeCell ref="BF1158:BF1163"/>
    <mergeCell ref="BG1158:BG1163"/>
    <mergeCell ref="BH1158:BH1163"/>
    <mergeCell ref="BC1164:BC1165"/>
    <mergeCell ref="BD1164:BD1165"/>
    <mergeCell ref="BE1164:BE1165"/>
    <mergeCell ref="BF1164:BF1165"/>
    <mergeCell ref="BG1164:BG1165"/>
    <mergeCell ref="BH1164:BH1165"/>
    <mergeCell ref="BC1166:BC1197"/>
    <mergeCell ref="BD1166:BD1197"/>
    <mergeCell ref="BE1166:BE1197"/>
    <mergeCell ref="BF1166:BF1197"/>
    <mergeCell ref="BG1166:BG1197"/>
    <mergeCell ref="BH1166:BH1197"/>
    <mergeCell ref="BC1199:BC1200"/>
    <mergeCell ref="BD1199:BD1200"/>
    <mergeCell ref="BE1199:BE1200"/>
    <mergeCell ref="BF1199:BF1200"/>
    <mergeCell ref="BG1199:BG1200"/>
    <mergeCell ref="BH1199:BH1200"/>
    <mergeCell ref="BC1201:BC1203"/>
    <mergeCell ref="BD1201:BD1203"/>
    <mergeCell ref="BE1201:BE1203"/>
    <mergeCell ref="BF1201:BF1203"/>
    <mergeCell ref="BG1201:BG1203"/>
    <mergeCell ref="BH1201:BH1203"/>
    <mergeCell ref="BC1204:BC1205"/>
    <mergeCell ref="BD1204:BD1205"/>
    <mergeCell ref="BE1204:BE1205"/>
    <mergeCell ref="BF1204:BF1205"/>
    <mergeCell ref="BG1204:BG1205"/>
    <mergeCell ref="BH1204:BH1205"/>
    <mergeCell ref="BC1206:BC1213"/>
    <mergeCell ref="BD1206:BD1213"/>
    <mergeCell ref="BE1206:BE1213"/>
    <mergeCell ref="BF1206:BF1213"/>
    <mergeCell ref="BG1206:BG1213"/>
    <mergeCell ref="BH1206:BH1213"/>
    <mergeCell ref="BC1214:BC1215"/>
    <mergeCell ref="BD1214:BD1215"/>
    <mergeCell ref="BE1214:BE1215"/>
    <mergeCell ref="BF1214:BF1215"/>
    <mergeCell ref="BG1214:BG1215"/>
    <mergeCell ref="BH1214:BH1215"/>
    <mergeCell ref="BC1220:BC1222"/>
    <mergeCell ref="BD1220:BD1222"/>
    <mergeCell ref="BE1220:BE1222"/>
    <mergeCell ref="BF1220:BF1222"/>
    <mergeCell ref="BG1220:BG1222"/>
    <mergeCell ref="BH1220:BH1222"/>
    <mergeCell ref="BC1223:BC1224"/>
    <mergeCell ref="BD1223:BD1224"/>
    <mergeCell ref="BE1223:BE1224"/>
    <mergeCell ref="BF1223:BF1224"/>
    <mergeCell ref="BG1223:BG1224"/>
    <mergeCell ref="BH1223:BH1224"/>
    <mergeCell ref="BC1225:BC1232"/>
    <mergeCell ref="BD1225:BD1232"/>
    <mergeCell ref="BE1225:BE1232"/>
    <mergeCell ref="BF1225:BF1232"/>
    <mergeCell ref="BG1225:BG1232"/>
    <mergeCell ref="BH1225:BH1232"/>
    <mergeCell ref="BC1233:BC1234"/>
    <mergeCell ref="BD1233:BD1234"/>
    <mergeCell ref="BE1233:BE1234"/>
    <mergeCell ref="BF1233:BF1234"/>
    <mergeCell ref="BG1233:BG1234"/>
    <mergeCell ref="BH1233:BH1234"/>
    <mergeCell ref="BC1238:BC1239"/>
    <mergeCell ref="BD1238:BD1239"/>
    <mergeCell ref="BE1238:BE1239"/>
    <mergeCell ref="BF1238:BF1239"/>
    <mergeCell ref="BG1238:BG1239"/>
    <mergeCell ref="BH1238:BH1239"/>
    <mergeCell ref="BC1242:BC1271"/>
    <mergeCell ref="BD1242:BD1271"/>
    <mergeCell ref="BE1242:BE1271"/>
    <mergeCell ref="BF1242:BF1271"/>
    <mergeCell ref="BG1242:BG1271"/>
    <mergeCell ref="BH1242:BH1271"/>
    <mergeCell ref="BC1274:BC1275"/>
    <mergeCell ref="BD1274:BD1275"/>
    <mergeCell ref="BE1274:BE1275"/>
    <mergeCell ref="BF1274:BF1275"/>
    <mergeCell ref="BG1274:BG1275"/>
    <mergeCell ref="BH1274:BH1275"/>
    <mergeCell ref="BC1276:BC1277"/>
    <mergeCell ref="BD1276:BD1277"/>
    <mergeCell ref="BE1276:BE1277"/>
    <mergeCell ref="BF1276:BF1277"/>
    <mergeCell ref="BG1276:BG1277"/>
    <mergeCell ref="BH1276:BH1277"/>
    <mergeCell ref="BC1278:BC1279"/>
    <mergeCell ref="BD1278:BD1279"/>
    <mergeCell ref="BE1278:BE1279"/>
    <mergeCell ref="BF1278:BF1279"/>
    <mergeCell ref="BG1278:BG1279"/>
    <mergeCell ref="BH1278:BH1279"/>
    <mergeCell ref="BC1280:BC1287"/>
    <mergeCell ref="BD1280:BD1287"/>
    <mergeCell ref="BE1280:BE1287"/>
    <mergeCell ref="BF1280:BF1287"/>
    <mergeCell ref="BG1280:BG1287"/>
    <mergeCell ref="BH1280:BH1287"/>
    <mergeCell ref="BC1290:BC1291"/>
    <mergeCell ref="BD1290:BD1291"/>
    <mergeCell ref="BE1290:BE1291"/>
    <mergeCell ref="BF1290:BF1291"/>
    <mergeCell ref="BG1290:BG1291"/>
    <mergeCell ref="BH1290:BH1291"/>
    <mergeCell ref="BC1296:BC1297"/>
    <mergeCell ref="BD1296:BD1297"/>
    <mergeCell ref="BE1296:BE1297"/>
    <mergeCell ref="BF1296:BF1297"/>
    <mergeCell ref="BG1296:BG1297"/>
    <mergeCell ref="BH1296:BH1297"/>
    <mergeCell ref="BC1300:BC1301"/>
    <mergeCell ref="BD1300:BD1301"/>
    <mergeCell ref="BE1300:BE1301"/>
    <mergeCell ref="BF1300:BF1301"/>
    <mergeCell ref="BG1300:BG1301"/>
    <mergeCell ref="BH1300:BH1301"/>
    <mergeCell ref="BC1302:BC1303"/>
    <mergeCell ref="BD1302:BD1303"/>
    <mergeCell ref="BE1302:BE1303"/>
    <mergeCell ref="BF1302:BF1303"/>
    <mergeCell ref="BG1302:BG1303"/>
    <mergeCell ref="BH1302:BH1303"/>
    <mergeCell ref="BC1304:BC1307"/>
    <mergeCell ref="BD1304:BD1307"/>
    <mergeCell ref="BE1304:BE1307"/>
    <mergeCell ref="BF1304:BF1307"/>
    <mergeCell ref="BG1304:BG1307"/>
    <mergeCell ref="BH1304:BH1307"/>
    <mergeCell ref="BC1311:BC1324"/>
    <mergeCell ref="BD1311:BD1324"/>
    <mergeCell ref="BE1311:BE1324"/>
    <mergeCell ref="BF1311:BF1324"/>
    <mergeCell ref="BG1311:BG1324"/>
    <mergeCell ref="BH1311:BH1324"/>
    <mergeCell ref="BC1326:BC1345"/>
    <mergeCell ref="BD1326:BD1345"/>
    <mergeCell ref="BE1326:BE1345"/>
    <mergeCell ref="BF1326:BF1345"/>
    <mergeCell ref="BG1326:BG1345"/>
    <mergeCell ref="BH1326:BH1345"/>
    <mergeCell ref="BC1350:BC1353"/>
    <mergeCell ref="BD1350:BD1353"/>
    <mergeCell ref="BE1350:BE1353"/>
    <mergeCell ref="BF1350:BF1353"/>
    <mergeCell ref="BG1350:BG1353"/>
    <mergeCell ref="BH1350:BH1353"/>
    <mergeCell ref="BC1354:BC1357"/>
    <mergeCell ref="BD1354:BD1357"/>
    <mergeCell ref="BE1354:BE1357"/>
    <mergeCell ref="BF1354:BF1357"/>
    <mergeCell ref="BG1354:BG1357"/>
    <mergeCell ref="BH1354:BH1357"/>
    <mergeCell ref="BC1367:BC1369"/>
    <mergeCell ref="BD1367:BD1369"/>
    <mergeCell ref="BE1367:BE1369"/>
    <mergeCell ref="BF1367:BF1369"/>
    <mergeCell ref="BG1367:BG1369"/>
    <mergeCell ref="BH1367:BH1369"/>
    <mergeCell ref="BC1371:BC1372"/>
    <mergeCell ref="BD1371:BD1372"/>
    <mergeCell ref="BE1371:BE1372"/>
    <mergeCell ref="BF1371:BF1372"/>
    <mergeCell ref="BG1371:BG1372"/>
    <mergeCell ref="BH1371:BH1372"/>
    <mergeCell ref="BC1374:BC1380"/>
    <mergeCell ref="BD1374:BD1380"/>
    <mergeCell ref="BE1374:BE1380"/>
    <mergeCell ref="BF1374:BF1380"/>
    <mergeCell ref="BG1374:BG1380"/>
    <mergeCell ref="BH1374:BH1380"/>
    <mergeCell ref="BC1383:BC1384"/>
    <mergeCell ref="BD1383:BD1384"/>
    <mergeCell ref="BE1383:BE1384"/>
    <mergeCell ref="BF1383:BF1384"/>
    <mergeCell ref="BG1383:BG1384"/>
    <mergeCell ref="BH1383:BH1384"/>
    <mergeCell ref="BC1385:BC1386"/>
    <mergeCell ref="BD1385:BD1386"/>
    <mergeCell ref="BE1385:BE1386"/>
    <mergeCell ref="BF1385:BF1386"/>
    <mergeCell ref="BG1385:BG1386"/>
    <mergeCell ref="BH1385:BH1386"/>
    <mergeCell ref="BC1388:BC1396"/>
    <mergeCell ref="BD1388:BD1396"/>
    <mergeCell ref="BE1388:BE1396"/>
    <mergeCell ref="BF1388:BF1396"/>
    <mergeCell ref="BG1388:BG1396"/>
    <mergeCell ref="BH1388:BH1396"/>
    <mergeCell ref="BC1397:BC1399"/>
    <mergeCell ref="BD1397:BD1399"/>
    <mergeCell ref="BE1397:BE1399"/>
    <mergeCell ref="BF1397:BF1399"/>
    <mergeCell ref="BG1397:BG1399"/>
    <mergeCell ref="BH1397:BH1399"/>
    <mergeCell ref="BC1400:BC1405"/>
    <mergeCell ref="BD1400:BD1405"/>
    <mergeCell ref="BE1400:BE1405"/>
    <mergeCell ref="BF1400:BF1405"/>
    <mergeCell ref="BG1400:BG1405"/>
    <mergeCell ref="BH1400:BH1405"/>
    <mergeCell ref="BC1408:BC1409"/>
    <mergeCell ref="BD1408:BD1409"/>
    <mergeCell ref="BE1408:BE1409"/>
    <mergeCell ref="BF1408:BF1409"/>
    <mergeCell ref="BG1408:BG1409"/>
    <mergeCell ref="BH1408:BH1409"/>
    <mergeCell ref="BC1414:BC1417"/>
    <mergeCell ref="BD1414:BD1417"/>
    <mergeCell ref="BE1414:BE1417"/>
    <mergeCell ref="BF1414:BF1417"/>
    <mergeCell ref="BG1414:BG1417"/>
    <mergeCell ref="BH1414:BH1417"/>
    <mergeCell ref="BC1419:BC1445"/>
    <mergeCell ref="BD1419:BD1445"/>
    <mergeCell ref="BE1419:BE1445"/>
    <mergeCell ref="BF1419:BF1445"/>
    <mergeCell ref="BG1419:BG1445"/>
    <mergeCell ref="BH1419:BH1445"/>
    <mergeCell ref="BC1446:BC1450"/>
    <mergeCell ref="BD1446:BD1450"/>
    <mergeCell ref="BE1446:BE1450"/>
    <mergeCell ref="BF1446:BF1450"/>
    <mergeCell ref="BG1446:BG1450"/>
    <mergeCell ref="BH1446:BH1450"/>
    <mergeCell ref="BC1451:BC1463"/>
    <mergeCell ref="BD1451:BD1463"/>
    <mergeCell ref="BE1451:BE1463"/>
    <mergeCell ref="BF1451:BF1463"/>
    <mergeCell ref="BG1451:BG1463"/>
    <mergeCell ref="BH1451:BH1463"/>
    <mergeCell ref="BC1464:BC1479"/>
    <mergeCell ref="BD1464:BD1479"/>
    <mergeCell ref="BE1464:BE1479"/>
    <mergeCell ref="BF1464:BF1479"/>
    <mergeCell ref="BG1464:BG1479"/>
    <mergeCell ref="BH1464:BH1479"/>
    <mergeCell ref="BC1481:BC1488"/>
    <mergeCell ref="BD1481:BD1488"/>
    <mergeCell ref="BE1481:BE1488"/>
    <mergeCell ref="BF1481:BF1488"/>
    <mergeCell ref="BG1481:BG1488"/>
    <mergeCell ref="BH1481:BH1488"/>
    <mergeCell ref="BC1489:BC1491"/>
    <mergeCell ref="BD1489:BD1491"/>
    <mergeCell ref="BE1489:BE1491"/>
    <mergeCell ref="BF1489:BF1491"/>
    <mergeCell ref="BG1489:BG1491"/>
    <mergeCell ref="BH1489:BH1491"/>
    <mergeCell ref="BC1496:BC1498"/>
    <mergeCell ref="BD1496:BD1498"/>
    <mergeCell ref="BE1496:BE1498"/>
    <mergeCell ref="BF1496:BF1498"/>
    <mergeCell ref="BG1496:BG1498"/>
    <mergeCell ref="BH1496:BH1498"/>
    <mergeCell ref="BC1500:BC1501"/>
    <mergeCell ref="BD1500:BD1501"/>
    <mergeCell ref="BE1500:BE1501"/>
    <mergeCell ref="BF1500:BF1501"/>
    <mergeCell ref="BG1500:BG1501"/>
    <mergeCell ref="BH1500:BH1501"/>
    <mergeCell ref="BC1502:BC1503"/>
    <mergeCell ref="BD1502:BD1503"/>
    <mergeCell ref="BE1502:BE1503"/>
    <mergeCell ref="BF1502:BF1503"/>
    <mergeCell ref="BG1502:BG1503"/>
    <mergeCell ref="BH1502:BH1503"/>
    <mergeCell ref="BC1510:BC1511"/>
    <mergeCell ref="BD1510:BD1511"/>
    <mergeCell ref="BE1510:BE1511"/>
    <mergeCell ref="BF1510:BF1511"/>
    <mergeCell ref="BG1510:BG1511"/>
    <mergeCell ref="BH1510:BH1511"/>
    <mergeCell ref="BC1512:BC1516"/>
    <mergeCell ref="BD1512:BD1516"/>
    <mergeCell ref="BE1512:BE1516"/>
    <mergeCell ref="BF1512:BF1516"/>
    <mergeCell ref="BG1512:BG1516"/>
    <mergeCell ref="BH1512:BH1516"/>
    <mergeCell ref="BC1517:BC1520"/>
    <mergeCell ref="BD1517:BD1520"/>
    <mergeCell ref="BE1517:BE1520"/>
    <mergeCell ref="BF1517:BF1520"/>
    <mergeCell ref="BG1517:BG1520"/>
    <mergeCell ref="BH1517:BH1520"/>
    <mergeCell ref="BC1521:BC1522"/>
    <mergeCell ref="BD1521:BD1522"/>
    <mergeCell ref="BE1521:BE1522"/>
    <mergeCell ref="BF1521:BF1522"/>
    <mergeCell ref="BG1521:BG1522"/>
    <mergeCell ref="BH1521:BH1522"/>
    <mergeCell ref="BC1524:BC1525"/>
    <mergeCell ref="BD1524:BD1525"/>
    <mergeCell ref="BE1524:BE1525"/>
    <mergeCell ref="BF1524:BF1525"/>
    <mergeCell ref="BG1524:BG1525"/>
    <mergeCell ref="BH1524:BH1525"/>
    <mergeCell ref="BC1526:BC1532"/>
    <mergeCell ref="BD1526:BD1532"/>
    <mergeCell ref="BE1526:BE1532"/>
    <mergeCell ref="BF1526:BF1532"/>
    <mergeCell ref="BG1526:BG1532"/>
    <mergeCell ref="BH1526:BH1532"/>
    <mergeCell ref="BC1533:BC1549"/>
    <mergeCell ref="BD1533:BD1549"/>
    <mergeCell ref="BE1533:BE1549"/>
    <mergeCell ref="BF1533:BF1549"/>
    <mergeCell ref="BG1533:BG1549"/>
    <mergeCell ref="BH1533:BH1549"/>
    <mergeCell ref="BC1550:BC1564"/>
    <mergeCell ref="BD1550:BD1564"/>
    <mergeCell ref="BE1550:BE1564"/>
    <mergeCell ref="BF1550:BF1564"/>
    <mergeCell ref="BG1550:BG1564"/>
    <mergeCell ref="BH1550:BH1564"/>
    <mergeCell ref="BC1565:BC1567"/>
    <mergeCell ref="BD1565:BD1567"/>
    <mergeCell ref="BE1565:BE1567"/>
    <mergeCell ref="BF1565:BF1567"/>
    <mergeCell ref="BG1565:BG1567"/>
    <mergeCell ref="BH1565:BH1567"/>
    <mergeCell ref="BC1569:BC1575"/>
    <mergeCell ref="BD1569:BD1575"/>
    <mergeCell ref="BE1569:BE1575"/>
    <mergeCell ref="BF1569:BF1575"/>
    <mergeCell ref="BG1569:BG1575"/>
    <mergeCell ref="BH1569:BH1575"/>
    <mergeCell ref="BC1578:BC1580"/>
    <mergeCell ref="BD1578:BD1580"/>
    <mergeCell ref="BE1578:BE1580"/>
    <mergeCell ref="BF1578:BF1580"/>
    <mergeCell ref="BG1578:BG1580"/>
    <mergeCell ref="BH1578:BH1580"/>
    <mergeCell ref="BC1586:BC1587"/>
    <mergeCell ref="BD1586:BD1587"/>
    <mergeCell ref="BE1586:BE1587"/>
    <mergeCell ref="BF1586:BF1587"/>
    <mergeCell ref="BG1586:BG1587"/>
    <mergeCell ref="BH1586:BH1587"/>
    <mergeCell ref="BC1588:BC1595"/>
    <mergeCell ref="BD1588:BD1595"/>
    <mergeCell ref="BE1588:BE1595"/>
    <mergeCell ref="BF1588:BF1595"/>
    <mergeCell ref="BG1588:BG1595"/>
    <mergeCell ref="BH1588:BH1595"/>
    <mergeCell ref="BC1596:BC1599"/>
    <mergeCell ref="BD1596:BD1599"/>
    <mergeCell ref="BE1596:BE1599"/>
    <mergeCell ref="BF1596:BF1599"/>
    <mergeCell ref="BG1596:BG1599"/>
    <mergeCell ref="BH1596:BH1599"/>
    <mergeCell ref="BC1600:BC1612"/>
    <mergeCell ref="BD1600:BD1612"/>
    <mergeCell ref="BE1600:BE1612"/>
    <mergeCell ref="BF1600:BF1612"/>
    <mergeCell ref="BG1600:BG1612"/>
    <mergeCell ref="BH1600:BH1612"/>
    <mergeCell ref="BC1615:BC1616"/>
    <mergeCell ref="BD1615:BD1616"/>
    <mergeCell ref="BE1615:BE1616"/>
    <mergeCell ref="BF1615:BF1616"/>
    <mergeCell ref="BG1615:BG1616"/>
    <mergeCell ref="BH1615:BH1616"/>
    <mergeCell ref="BC1620:BC1621"/>
    <mergeCell ref="BD1620:BD1621"/>
    <mergeCell ref="BE1620:BE1621"/>
    <mergeCell ref="BF1620:BF1621"/>
    <mergeCell ref="BG1620:BG1621"/>
    <mergeCell ref="BH1620:BH1621"/>
    <mergeCell ref="BC1624:BC1626"/>
    <mergeCell ref="BD1624:BD1626"/>
    <mergeCell ref="BE1624:BE1626"/>
    <mergeCell ref="BF1624:BF1626"/>
    <mergeCell ref="BG1624:BG1626"/>
    <mergeCell ref="BH1624:BH1626"/>
    <mergeCell ref="BC1630:BC1635"/>
    <mergeCell ref="BD1630:BD1635"/>
    <mergeCell ref="BE1630:BE1635"/>
    <mergeCell ref="BF1630:BF1635"/>
    <mergeCell ref="BG1630:BG1635"/>
    <mergeCell ref="BH1630:BH1635"/>
    <mergeCell ref="BC1636:BC1639"/>
    <mergeCell ref="BD1636:BD1639"/>
    <mergeCell ref="BE1636:BE1639"/>
    <mergeCell ref="BF1636:BF1639"/>
    <mergeCell ref="BG1636:BG1639"/>
    <mergeCell ref="BH1636:BH1639"/>
    <mergeCell ref="BC1641:BC1643"/>
    <mergeCell ref="BD1641:BD1643"/>
    <mergeCell ref="BE1641:BE1643"/>
    <mergeCell ref="BF1641:BF1643"/>
    <mergeCell ref="BG1641:BG1643"/>
    <mergeCell ref="BH1641:BH1643"/>
    <mergeCell ref="BC1644:BC1648"/>
    <mergeCell ref="BD1644:BD1648"/>
    <mergeCell ref="BE1644:BE1648"/>
    <mergeCell ref="BF1644:BF1648"/>
    <mergeCell ref="BG1644:BG1648"/>
    <mergeCell ref="BH1644:BH1648"/>
    <mergeCell ref="BC1649:BC1651"/>
    <mergeCell ref="BD1649:BD1651"/>
    <mergeCell ref="BE1649:BE1651"/>
    <mergeCell ref="BF1649:BF1651"/>
    <mergeCell ref="BG1649:BG1651"/>
    <mergeCell ref="BH1649:BH1651"/>
    <mergeCell ref="BC1654:BC1659"/>
    <mergeCell ref="BD1654:BD1659"/>
    <mergeCell ref="BE1654:BE1659"/>
    <mergeCell ref="BF1654:BF1659"/>
    <mergeCell ref="BG1654:BG1659"/>
    <mergeCell ref="BH1654:BH1659"/>
    <mergeCell ref="BC1660:BC1668"/>
    <mergeCell ref="BD1660:BD1668"/>
    <mergeCell ref="BE1660:BE1668"/>
    <mergeCell ref="BF1660:BF1668"/>
    <mergeCell ref="BG1660:BG1668"/>
    <mergeCell ref="BH1660:BH1668"/>
    <mergeCell ref="BC1670:BC1671"/>
    <mergeCell ref="BD1670:BD1671"/>
    <mergeCell ref="BE1670:BE1671"/>
    <mergeCell ref="BF1670:BF1671"/>
    <mergeCell ref="BG1670:BG1671"/>
    <mergeCell ref="BH1670:BH1671"/>
    <mergeCell ref="BC1675:BC1676"/>
    <mergeCell ref="BD1675:BD1676"/>
    <mergeCell ref="BE1675:BE1676"/>
    <mergeCell ref="BF1675:BF1676"/>
    <mergeCell ref="BG1675:BG1676"/>
    <mergeCell ref="BH1675:BH1676"/>
    <mergeCell ref="BC1677:BC1678"/>
    <mergeCell ref="BD1677:BD1678"/>
    <mergeCell ref="BE1677:BE1678"/>
    <mergeCell ref="BF1677:BF1678"/>
    <mergeCell ref="BG1677:BG1678"/>
    <mergeCell ref="BH1677:BH1678"/>
    <mergeCell ref="BC1683:BC1684"/>
    <mergeCell ref="BD1683:BD1684"/>
    <mergeCell ref="BE1683:BE1684"/>
    <mergeCell ref="BF1683:BF1684"/>
    <mergeCell ref="BG1683:BG1684"/>
    <mergeCell ref="BH1683:BH1684"/>
    <mergeCell ref="BC1685:BC1696"/>
    <mergeCell ref="BD1685:BD1696"/>
    <mergeCell ref="BE1685:BE1696"/>
    <mergeCell ref="BF1685:BF1696"/>
    <mergeCell ref="BG1685:BG1696"/>
    <mergeCell ref="BH1685:BH1696"/>
    <mergeCell ref="BC1697:BC1701"/>
    <mergeCell ref="BD1697:BD1701"/>
    <mergeCell ref="BE1697:BE1701"/>
    <mergeCell ref="BF1697:BF1701"/>
    <mergeCell ref="BG1697:BG1701"/>
    <mergeCell ref="BH1697:BH1701"/>
    <mergeCell ref="BC1704:BC1705"/>
    <mergeCell ref="BD1704:BD1705"/>
    <mergeCell ref="BE1704:BE1705"/>
    <mergeCell ref="BF1704:BF1705"/>
    <mergeCell ref="BG1704:BG1705"/>
    <mergeCell ref="BH1704:BH1705"/>
    <mergeCell ref="BC1707:BC1708"/>
    <mergeCell ref="BD1707:BD1708"/>
    <mergeCell ref="BE1707:BE1708"/>
    <mergeCell ref="BF1707:BF1708"/>
    <mergeCell ref="BG1707:BG1708"/>
    <mergeCell ref="BH1707:BH1708"/>
    <mergeCell ref="BC1709:BC1711"/>
    <mergeCell ref="BD1709:BD1711"/>
    <mergeCell ref="BE1709:BE1711"/>
    <mergeCell ref="BF1709:BF1711"/>
    <mergeCell ref="BG1709:BG1711"/>
    <mergeCell ref="BH1709:BH1711"/>
    <mergeCell ref="BC1712:BC1713"/>
    <mergeCell ref="BD1712:BD1713"/>
    <mergeCell ref="BE1712:BE1713"/>
    <mergeCell ref="BF1712:BF1713"/>
    <mergeCell ref="BG1712:BG1713"/>
    <mergeCell ref="BH1712:BH1713"/>
    <mergeCell ref="BC1714:BC1719"/>
    <mergeCell ref="BD1714:BD1719"/>
    <mergeCell ref="BE1714:BE1719"/>
    <mergeCell ref="BF1714:BF1719"/>
    <mergeCell ref="BG1714:BG1719"/>
    <mergeCell ref="BH1714:BH1719"/>
    <mergeCell ref="BC1720:BC1725"/>
    <mergeCell ref="BD1720:BD1725"/>
    <mergeCell ref="BE1720:BE1725"/>
    <mergeCell ref="BF1720:BF1725"/>
    <mergeCell ref="BG1720:BG1725"/>
    <mergeCell ref="BH1720:BH1725"/>
    <mergeCell ref="BC1726:BC1727"/>
    <mergeCell ref="BD1726:BD1727"/>
    <mergeCell ref="BE1726:BE1727"/>
    <mergeCell ref="BF1726:BF1727"/>
    <mergeCell ref="BG1726:BG1727"/>
    <mergeCell ref="BH1726:BH1727"/>
    <mergeCell ref="BC1728:BC1730"/>
    <mergeCell ref="BD1728:BD1730"/>
    <mergeCell ref="BE1728:BE1730"/>
    <mergeCell ref="BF1728:BF1730"/>
    <mergeCell ref="BG1728:BG1730"/>
    <mergeCell ref="BH1728:BH1730"/>
    <mergeCell ref="BC1732:BC1733"/>
    <mergeCell ref="BD1732:BD1733"/>
    <mergeCell ref="BE1732:BE1733"/>
    <mergeCell ref="BF1732:BF1733"/>
    <mergeCell ref="BG1732:BG1733"/>
    <mergeCell ref="BH1732:BH1733"/>
    <mergeCell ref="BC1738:BC1739"/>
    <mergeCell ref="BD1738:BD1739"/>
    <mergeCell ref="BE1738:BE1739"/>
    <mergeCell ref="BF1738:BF1739"/>
    <mergeCell ref="BG1738:BG1739"/>
    <mergeCell ref="BH1738:BH1739"/>
    <mergeCell ref="BC1743:BC1745"/>
    <mergeCell ref="BD1743:BD1745"/>
    <mergeCell ref="BE1743:BE1745"/>
    <mergeCell ref="BF1743:BF1745"/>
    <mergeCell ref="BG1743:BG1745"/>
    <mergeCell ref="BH1743:BH1745"/>
    <mergeCell ref="BC1746:BC1749"/>
    <mergeCell ref="BD1746:BD1749"/>
    <mergeCell ref="BE1746:BE1749"/>
    <mergeCell ref="BF1746:BF1749"/>
    <mergeCell ref="BG1746:BG1749"/>
    <mergeCell ref="BH1746:BH1749"/>
    <mergeCell ref="BC1751:BC1752"/>
    <mergeCell ref="BD1751:BD1752"/>
    <mergeCell ref="BE1751:BE1752"/>
    <mergeCell ref="BF1751:BF1752"/>
    <mergeCell ref="BG1751:BG1752"/>
    <mergeCell ref="BH1751:BH1752"/>
    <mergeCell ref="BC1754:BC1756"/>
    <mergeCell ref="BD1754:BD1756"/>
    <mergeCell ref="BE1754:BE1756"/>
    <mergeCell ref="BF1754:BF1756"/>
    <mergeCell ref="BG1754:BG1756"/>
    <mergeCell ref="BH1754:BH1756"/>
    <mergeCell ref="BC1757:BC1763"/>
    <mergeCell ref="BD1757:BD1763"/>
    <mergeCell ref="BE1757:BE1763"/>
    <mergeCell ref="BF1757:BF1763"/>
    <mergeCell ref="BG1757:BG1763"/>
    <mergeCell ref="BH1757:BH1763"/>
    <mergeCell ref="BC1765:BC1767"/>
    <mergeCell ref="BD1765:BD1767"/>
    <mergeCell ref="BE1765:BE1767"/>
    <mergeCell ref="BF1765:BF1767"/>
    <mergeCell ref="BG1765:BG1767"/>
    <mergeCell ref="BH1765:BH1767"/>
    <mergeCell ref="BC1770:BC1773"/>
    <mergeCell ref="BD1770:BD1773"/>
    <mergeCell ref="BE1770:BE1773"/>
    <mergeCell ref="BF1770:BF1773"/>
    <mergeCell ref="BG1770:BG1773"/>
    <mergeCell ref="BH1770:BH1773"/>
    <mergeCell ref="BC1774:BC1777"/>
    <mergeCell ref="BD1774:BD1777"/>
    <mergeCell ref="BE1774:BE1777"/>
    <mergeCell ref="BF1774:BF1777"/>
    <mergeCell ref="BG1774:BG1777"/>
    <mergeCell ref="BH1774:BH1777"/>
    <mergeCell ref="BC1780:BC1799"/>
    <mergeCell ref="BD1780:BD1799"/>
    <mergeCell ref="BE1780:BE1799"/>
    <mergeCell ref="BF1780:BF1799"/>
    <mergeCell ref="BG1780:BG1799"/>
    <mergeCell ref="BH1780:BH1799"/>
    <mergeCell ref="BC1801:BC1803"/>
    <mergeCell ref="BD1801:BD1803"/>
    <mergeCell ref="BE1801:BE1803"/>
    <mergeCell ref="BF1801:BF1803"/>
    <mergeCell ref="BG1801:BG1803"/>
    <mergeCell ref="BH1801:BH1803"/>
    <mergeCell ref="BC1806:BC1815"/>
    <mergeCell ref="BD1806:BD1815"/>
    <mergeCell ref="BE1806:BE1815"/>
    <mergeCell ref="BF1806:BF1815"/>
    <mergeCell ref="BG1806:BG1815"/>
    <mergeCell ref="BH1806:BH1815"/>
    <mergeCell ref="BC1816:BC1817"/>
    <mergeCell ref="BD1816:BD1817"/>
    <mergeCell ref="BE1816:BE1817"/>
    <mergeCell ref="BF1816:BF1817"/>
    <mergeCell ref="BG1816:BG1817"/>
    <mergeCell ref="BH1816:BH1817"/>
    <mergeCell ref="BC1818:BC1826"/>
    <mergeCell ref="BD1818:BD1826"/>
    <mergeCell ref="BE1818:BE1826"/>
    <mergeCell ref="BF1818:BF1826"/>
    <mergeCell ref="BG1818:BG1826"/>
    <mergeCell ref="BH1818:BH1826"/>
    <mergeCell ref="BC1829:BC1844"/>
    <mergeCell ref="BD1829:BD1844"/>
    <mergeCell ref="BE1829:BE1844"/>
    <mergeCell ref="BF1829:BF1844"/>
    <mergeCell ref="BG1829:BG1844"/>
    <mergeCell ref="BH1829:BH1844"/>
    <mergeCell ref="BC1846:BC1849"/>
    <mergeCell ref="BD1846:BD1849"/>
    <mergeCell ref="BE1846:BE1849"/>
    <mergeCell ref="BF1846:BF1849"/>
    <mergeCell ref="BG1846:BG1849"/>
    <mergeCell ref="BH1846:BH1849"/>
    <mergeCell ref="BC1854:BC1865"/>
    <mergeCell ref="BD1854:BD1865"/>
    <mergeCell ref="BE1854:BE1865"/>
    <mergeCell ref="BF1854:BF1865"/>
    <mergeCell ref="BG1854:BG1865"/>
    <mergeCell ref="BH1854:BH1865"/>
    <mergeCell ref="BC1870:BC1872"/>
    <mergeCell ref="BD1870:BD1872"/>
    <mergeCell ref="BE1870:BE1872"/>
    <mergeCell ref="BF1870:BF1872"/>
    <mergeCell ref="BG1870:BG1872"/>
    <mergeCell ref="BH1870:BH1872"/>
    <mergeCell ref="BC1874:BC1877"/>
    <mergeCell ref="BD1874:BD1877"/>
    <mergeCell ref="BE1874:BE1877"/>
    <mergeCell ref="BF1874:BF1877"/>
    <mergeCell ref="BG1874:BG1877"/>
    <mergeCell ref="BH1874:BH1877"/>
    <mergeCell ref="BC1883:BC1884"/>
    <mergeCell ref="BD1883:BD1884"/>
    <mergeCell ref="BE1883:BE1884"/>
    <mergeCell ref="BF1883:BF1884"/>
    <mergeCell ref="BG1883:BG1884"/>
    <mergeCell ref="BH1883:BH1884"/>
    <mergeCell ref="BC1885:BC1887"/>
    <mergeCell ref="BD1885:BD1887"/>
    <mergeCell ref="BE1885:BE1887"/>
    <mergeCell ref="BF1885:BF1887"/>
    <mergeCell ref="BG1885:BG1887"/>
    <mergeCell ref="BH1885:BH1887"/>
    <mergeCell ref="BC1888:BC1889"/>
    <mergeCell ref="BD1888:BD1889"/>
    <mergeCell ref="BE1888:BE1889"/>
    <mergeCell ref="BF1888:BF1889"/>
    <mergeCell ref="BG1888:BG1889"/>
    <mergeCell ref="BH1888:BH1889"/>
    <mergeCell ref="BC1890:BC1891"/>
    <mergeCell ref="BD1890:BD1891"/>
    <mergeCell ref="BE1890:BE1891"/>
    <mergeCell ref="BF1890:BF1891"/>
    <mergeCell ref="BG1890:BG1891"/>
    <mergeCell ref="BH1890:BH1891"/>
    <mergeCell ref="BC1893:BC1896"/>
    <mergeCell ref="BD1893:BD1896"/>
    <mergeCell ref="BE1893:BE1896"/>
    <mergeCell ref="BF1893:BF1896"/>
    <mergeCell ref="BG1893:BG1896"/>
    <mergeCell ref="BH1893:BH1896"/>
    <mergeCell ref="BC1898:BC1899"/>
    <mergeCell ref="BD1898:BD1899"/>
    <mergeCell ref="BE1898:BE1899"/>
    <mergeCell ref="BF1898:BF1899"/>
    <mergeCell ref="BG1898:BG1899"/>
    <mergeCell ref="BH1898:BH1899"/>
    <mergeCell ref="BC1900:BC1901"/>
    <mergeCell ref="BD1900:BD1901"/>
    <mergeCell ref="BE1900:BE1901"/>
    <mergeCell ref="BF1900:BF1901"/>
    <mergeCell ref="BG1900:BG1901"/>
    <mergeCell ref="BH1900:BH1901"/>
    <mergeCell ref="BC1903:BC1906"/>
    <mergeCell ref="BD1903:BD1906"/>
    <mergeCell ref="BE1903:BE1906"/>
    <mergeCell ref="BF1903:BF1906"/>
    <mergeCell ref="BG1903:BG1906"/>
    <mergeCell ref="BH1903:BH1906"/>
    <mergeCell ref="BC1909:BC1910"/>
    <mergeCell ref="BD1909:BD1910"/>
    <mergeCell ref="BE1909:BE1910"/>
    <mergeCell ref="BF1909:BF1910"/>
    <mergeCell ref="BG1909:BG1910"/>
    <mergeCell ref="BH1909:BH1910"/>
    <mergeCell ref="BC1912:BC1913"/>
    <mergeCell ref="BD1912:BD1913"/>
    <mergeCell ref="BE1912:BE1913"/>
    <mergeCell ref="BF1912:BF1913"/>
    <mergeCell ref="BG1912:BG1913"/>
    <mergeCell ref="BH1912:BH1913"/>
    <mergeCell ref="BC1914:BC1920"/>
    <mergeCell ref="BD1914:BD1920"/>
    <mergeCell ref="BE1914:BE1920"/>
    <mergeCell ref="BF1914:BF1920"/>
    <mergeCell ref="BG1914:BG1920"/>
    <mergeCell ref="BH1914:BH1920"/>
    <mergeCell ref="BC1921:BC1922"/>
    <mergeCell ref="BD1921:BD1922"/>
    <mergeCell ref="BE1921:BE1922"/>
    <mergeCell ref="BF1921:BF1922"/>
    <mergeCell ref="BG1921:BG1922"/>
    <mergeCell ref="BH1921:BH1922"/>
    <mergeCell ref="BC1926:BC2006"/>
    <mergeCell ref="BD1926:BD2006"/>
    <mergeCell ref="BE1926:BE2006"/>
    <mergeCell ref="BF1926:BF2006"/>
    <mergeCell ref="BG1926:BG2006"/>
    <mergeCell ref="BH1926:BH2006"/>
    <mergeCell ref="BC2007:BC2047"/>
    <mergeCell ref="BD2007:BD2047"/>
    <mergeCell ref="BE2007:BE2047"/>
    <mergeCell ref="BF2007:BF2047"/>
    <mergeCell ref="BG2007:BG2047"/>
    <mergeCell ref="BH2007:BH2047"/>
    <mergeCell ref="BC2048:BC2049"/>
    <mergeCell ref="BD2048:BD2049"/>
    <mergeCell ref="BE2048:BE2049"/>
    <mergeCell ref="BF2048:BF2049"/>
    <mergeCell ref="BG2048:BG2049"/>
    <mergeCell ref="BH2048:BH2049"/>
    <mergeCell ref="BC2050:BC2053"/>
    <mergeCell ref="BD2050:BD2053"/>
    <mergeCell ref="BE2050:BE2053"/>
    <mergeCell ref="BF2050:BF2053"/>
    <mergeCell ref="BG2050:BG2053"/>
    <mergeCell ref="BH2050:BH2053"/>
    <mergeCell ref="BC2054:BC2058"/>
    <mergeCell ref="BD2054:BD2058"/>
    <mergeCell ref="BE2054:BE2058"/>
    <mergeCell ref="BF2054:BF2058"/>
    <mergeCell ref="BG2054:BG2058"/>
    <mergeCell ref="BH2054:BH2058"/>
    <mergeCell ref="BC2059:BC2073"/>
    <mergeCell ref="BD2059:BD2073"/>
    <mergeCell ref="BE2059:BE2073"/>
    <mergeCell ref="BF2059:BF2073"/>
    <mergeCell ref="BG2059:BG2073"/>
    <mergeCell ref="BH2059:BH2073"/>
    <mergeCell ref="BC2075:BC2084"/>
    <mergeCell ref="BD2075:BD2084"/>
    <mergeCell ref="BE2075:BE2084"/>
    <mergeCell ref="BF2075:BF2084"/>
    <mergeCell ref="BG2075:BG2084"/>
    <mergeCell ref="BH2075:BH2084"/>
    <mergeCell ref="BC2085:BC2088"/>
    <mergeCell ref="BD2085:BD2088"/>
    <mergeCell ref="BE2085:BE2088"/>
    <mergeCell ref="BF2085:BF2088"/>
    <mergeCell ref="BG2085:BG2088"/>
    <mergeCell ref="BH2085:BH2088"/>
    <mergeCell ref="BC2090:BC2092"/>
    <mergeCell ref="BD2090:BD2092"/>
    <mergeCell ref="BE2090:BE2092"/>
    <mergeCell ref="BF2090:BF2092"/>
    <mergeCell ref="BG2090:BG2092"/>
    <mergeCell ref="BH2090:BH2092"/>
    <mergeCell ref="BC2095:BC2106"/>
    <mergeCell ref="BD2095:BD2106"/>
    <mergeCell ref="BE2095:BE2106"/>
    <mergeCell ref="BF2095:BF2106"/>
    <mergeCell ref="BG2095:BG2106"/>
    <mergeCell ref="BH2095:BH2106"/>
    <mergeCell ref="BC2107:BC2119"/>
    <mergeCell ref="BD2107:BD2119"/>
    <mergeCell ref="BE2107:BE2119"/>
    <mergeCell ref="BF2107:BF2119"/>
    <mergeCell ref="BG2107:BG2119"/>
    <mergeCell ref="BH2107:BH2119"/>
    <mergeCell ref="BC2120:BC2122"/>
    <mergeCell ref="BD2120:BD2122"/>
    <mergeCell ref="BE2120:BE2122"/>
    <mergeCell ref="BF2120:BF2122"/>
    <mergeCell ref="BG2120:BG2122"/>
    <mergeCell ref="BH2120:BH2122"/>
    <mergeCell ref="BC2123:BC2134"/>
    <mergeCell ref="BD2123:BD2134"/>
    <mergeCell ref="BE2123:BE2134"/>
    <mergeCell ref="BF2123:BF2134"/>
    <mergeCell ref="BG2123:BG2134"/>
    <mergeCell ref="BH2123:BH2134"/>
    <mergeCell ref="BC2135:BC2151"/>
    <mergeCell ref="BD2135:BD2151"/>
    <mergeCell ref="BE2135:BE2151"/>
    <mergeCell ref="BF2135:BF2151"/>
    <mergeCell ref="BG2135:BG2151"/>
    <mergeCell ref="BH2135:BH2151"/>
    <mergeCell ref="BC2152:BC2153"/>
    <mergeCell ref="BD2152:BD2153"/>
    <mergeCell ref="BE2152:BE2153"/>
    <mergeCell ref="BF2152:BF2153"/>
    <mergeCell ref="BG2152:BG2153"/>
    <mergeCell ref="BH2152:BH2153"/>
    <mergeCell ref="BC2154:BC2155"/>
    <mergeCell ref="BD2154:BD2155"/>
    <mergeCell ref="BE2154:BE2155"/>
    <mergeCell ref="BF2154:BF2155"/>
    <mergeCell ref="BG2154:BG2155"/>
    <mergeCell ref="BH2154:BH2155"/>
    <mergeCell ref="BC2159:BC2161"/>
    <mergeCell ref="BD2159:BD2161"/>
    <mergeCell ref="BE2159:BE2161"/>
    <mergeCell ref="BF2159:BF2161"/>
    <mergeCell ref="BG2159:BG2161"/>
    <mergeCell ref="BH2159:BH2161"/>
    <mergeCell ref="BC2163:BC2164"/>
    <mergeCell ref="BD2163:BD2164"/>
    <mergeCell ref="BE2163:BE2164"/>
    <mergeCell ref="BF2163:BF2164"/>
    <mergeCell ref="BG2163:BG2164"/>
    <mergeCell ref="BH2163:BH2164"/>
    <mergeCell ref="BC2168:BC2170"/>
    <mergeCell ref="BD2168:BD2170"/>
    <mergeCell ref="BE2168:BE2170"/>
    <mergeCell ref="BF2168:BF2170"/>
    <mergeCell ref="BG2168:BG2170"/>
    <mergeCell ref="BH2168:BH2170"/>
    <mergeCell ref="BC2171:BC2181"/>
    <mergeCell ref="BD2171:BD2181"/>
    <mergeCell ref="BE2171:BE2181"/>
    <mergeCell ref="BF2171:BF2181"/>
    <mergeCell ref="BG2171:BG2181"/>
    <mergeCell ref="BH2171:BH2181"/>
    <mergeCell ref="BC2183:BC2184"/>
    <mergeCell ref="BD2183:BD2184"/>
    <mergeCell ref="BE2183:BE2184"/>
    <mergeCell ref="BF2183:BF2184"/>
    <mergeCell ref="BG2183:BG2184"/>
    <mergeCell ref="BH2183:BH2184"/>
    <mergeCell ref="BC2186:BC2187"/>
    <mergeCell ref="BD2186:BD2187"/>
    <mergeCell ref="BE2186:BE2187"/>
    <mergeCell ref="BF2186:BF2187"/>
    <mergeCell ref="BG2186:BG2187"/>
    <mergeCell ref="BH2186:BH2187"/>
    <mergeCell ref="BC2190:BC2191"/>
    <mergeCell ref="BD2190:BD2191"/>
    <mergeCell ref="BE2190:BE2191"/>
    <mergeCell ref="BF2190:BF2191"/>
    <mergeCell ref="BG2190:BG2191"/>
    <mergeCell ref="BH2190:BH2191"/>
    <mergeCell ref="BC2193:BC2204"/>
    <mergeCell ref="BD2193:BD2204"/>
    <mergeCell ref="BE2193:BE2204"/>
    <mergeCell ref="BF2193:BF2204"/>
    <mergeCell ref="BG2193:BG2204"/>
    <mergeCell ref="BH2193:BH2204"/>
    <mergeCell ref="BC2205:BC2206"/>
    <mergeCell ref="BD2205:BD2206"/>
    <mergeCell ref="BE2205:BE2206"/>
    <mergeCell ref="BF2205:BF2206"/>
    <mergeCell ref="BG2205:BG2206"/>
    <mergeCell ref="BH2205:BH2206"/>
    <mergeCell ref="BC2207:BC2208"/>
    <mergeCell ref="BD2207:BD2208"/>
    <mergeCell ref="BE2207:BE2208"/>
    <mergeCell ref="BF2207:BF2208"/>
    <mergeCell ref="BG2207:BG2208"/>
    <mergeCell ref="BH2207:BH2208"/>
    <mergeCell ref="BC2209:BC2211"/>
    <mergeCell ref="BD2209:BD2211"/>
    <mergeCell ref="BE2209:BE2211"/>
    <mergeCell ref="BF2209:BF2211"/>
    <mergeCell ref="BG2209:BG2211"/>
    <mergeCell ref="BH2209:BH2211"/>
    <mergeCell ref="BC2213:BC2214"/>
    <mergeCell ref="BD2213:BD2214"/>
    <mergeCell ref="BE2213:BE2214"/>
    <mergeCell ref="BF2213:BF2214"/>
    <mergeCell ref="BG2213:BG2214"/>
    <mergeCell ref="BH2213:BH2214"/>
    <mergeCell ref="BC2215:BC2225"/>
    <mergeCell ref="BD2215:BD2225"/>
    <mergeCell ref="BE2215:BE2225"/>
    <mergeCell ref="BF2215:BF2225"/>
    <mergeCell ref="BG2215:BG2225"/>
    <mergeCell ref="BH2215:BH2225"/>
    <mergeCell ref="BC2226:BC2228"/>
    <mergeCell ref="BD2226:BD2228"/>
    <mergeCell ref="BE2226:BE2228"/>
    <mergeCell ref="BF2226:BF2228"/>
    <mergeCell ref="BG2226:BG2228"/>
    <mergeCell ref="BH2226:BH2228"/>
    <mergeCell ref="BC2229:BC2234"/>
    <mergeCell ref="BD2229:BD2234"/>
    <mergeCell ref="BE2229:BE2234"/>
    <mergeCell ref="BF2229:BF2234"/>
    <mergeCell ref="BG2229:BG2234"/>
    <mergeCell ref="BH2229:BH2234"/>
    <mergeCell ref="BC2235:BC2239"/>
    <mergeCell ref="BD2235:BD2239"/>
    <mergeCell ref="BE2235:BE2239"/>
    <mergeCell ref="BF2235:BF2239"/>
    <mergeCell ref="BG2235:BG2239"/>
    <mergeCell ref="BH2235:BH2239"/>
    <mergeCell ref="BC2241:BC2244"/>
    <mergeCell ref="BD2241:BD2244"/>
    <mergeCell ref="BE2241:BE2244"/>
    <mergeCell ref="BF2241:BF2244"/>
    <mergeCell ref="BG2241:BG2244"/>
    <mergeCell ref="BH2241:BH2244"/>
    <mergeCell ref="BC2246:BC2247"/>
    <mergeCell ref="BD2246:BD2247"/>
    <mergeCell ref="BE2246:BE2247"/>
    <mergeCell ref="BF2246:BF2247"/>
    <mergeCell ref="BG2246:BG2247"/>
    <mergeCell ref="BH2246:BH2247"/>
    <mergeCell ref="BC2250:BC2251"/>
    <mergeCell ref="BD2250:BD2251"/>
    <mergeCell ref="BE2250:BE2251"/>
    <mergeCell ref="BF2250:BF2251"/>
    <mergeCell ref="BG2250:BG2251"/>
    <mergeCell ref="BH2250:BH2251"/>
    <mergeCell ref="BC2255:BC2258"/>
    <mergeCell ref="BD2255:BD2258"/>
    <mergeCell ref="BE2255:BE2258"/>
    <mergeCell ref="BF2255:BF2258"/>
    <mergeCell ref="BG2255:BG2258"/>
    <mergeCell ref="BH2255:BH2258"/>
    <mergeCell ref="BC2263:BC2264"/>
    <mergeCell ref="BD2263:BD2264"/>
    <mergeCell ref="BE2263:BE2264"/>
    <mergeCell ref="BF2263:BF2264"/>
    <mergeCell ref="BG2263:BG2264"/>
    <mergeCell ref="BH2263:BH2264"/>
    <mergeCell ref="BC2265:BC2266"/>
    <mergeCell ref="BD2265:BD2266"/>
    <mergeCell ref="BE2265:BE2266"/>
    <mergeCell ref="BF2265:BF2266"/>
    <mergeCell ref="BG2265:BG2266"/>
    <mergeCell ref="BH2265:BH2266"/>
    <mergeCell ref="BC2268:BC2272"/>
    <mergeCell ref="BD2268:BD2272"/>
    <mergeCell ref="BE2268:BE2272"/>
    <mergeCell ref="BF2268:BF2272"/>
    <mergeCell ref="BG2268:BG2272"/>
    <mergeCell ref="BH2268:BH2272"/>
    <mergeCell ref="BC2273:BC2274"/>
    <mergeCell ref="BD2273:BD2274"/>
    <mergeCell ref="BE2273:BE2274"/>
    <mergeCell ref="BF2273:BF2274"/>
    <mergeCell ref="BG2273:BG2274"/>
    <mergeCell ref="BH2273:BH2274"/>
    <mergeCell ref="BC2275:BC2307"/>
    <mergeCell ref="BD2275:BD2307"/>
    <mergeCell ref="BE2275:BE2307"/>
    <mergeCell ref="BF2275:BF2307"/>
    <mergeCell ref="BG2275:BG2307"/>
    <mergeCell ref="BH2275:BH2307"/>
    <mergeCell ref="BC2309:BC2310"/>
    <mergeCell ref="BD2309:BD2310"/>
    <mergeCell ref="BE2309:BE2310"/>
    <mergeCell ref="BF2309:BF2310"/>
    <mergeCell ref="BG2309:BG2310"/>
    <mergeCell ref="BH2309:BH2310"/>
    <mergeCell ref="BC2311:BC2313"/>
    <mergeCell ref="BD2311:BD2313"/>
    <mergeCell ref="BE2311:BE2313"/>
    <mergeCell ref="BF2311:BF2313"/>
    <mergeCell ref="BG2311:BG2313"/>
    <mergeCell ref="BH2311:BH2313"/>
    <mergeCell ref="BC2317:BC2326"/>
    <mergeCell ref="BD2317:BD2326"/>
    <mergeCell ref="BE2317:BE2326"/>
    <mergeCell ref="BF2317:BF2326"/>
    <mergeCell ref="BG2317:BG2326"/>
    <mergeCell ref="BH2317:BH2326"/>
    <mergeCell ref="BC2327:BC2333"/>
    <mergeCell ref="BD2327:BD2333"/>
    <mergeCell ref="BE2327:BE2333"/>
    <mergeCell ref="BF2327:BF2333"/>
    <mergeCell ref="BG2327:BG2333"/>
    <mergeCell ref="BH2327:BH2333"/>
    <mergeCell ref="BC2337:BC2339"/>
    <mergeCell ref="BD2337:BD2339"/>
    <mergeCell ref="BE2337:BE2339"/>
    <mergeCell ref="BF2337:BF2339"/>
    <mergeCell ref="BG2337:BG2339"/>
    <mergeCell ref="BH2337:BH2339"/>
    <mergeCell ref="BC2341:BC2357"/>
    <mergeCell ref="BD2341:BD2357"/>
    <mergeCell ref="BE2341:BE2357"/>
    <mergeCell ref="BF2341:BF2357"/>
    <mergeCell ref="BG2341:BG2357"/>
    <mergeCell ref="BH2341:BH2357"/>
    <mergeCell ref="BC2358:BC2365"/>
    <mergeCell ref="BD2358:BD2365"/>
    <mergeCell ref="BE2358:BE2365"/>
    <mergeCell ref="BF2358:BF2365"/>
    <mergeCell ref="BG2358:BG2365"/>
    <mergeCell ref="BH2358:BH2365"/>
    <mergeCell ref="BC2368:BC2369"/>
    <mergeCell ref="BD2368:BD2369"/>
    <mergeCell ref="BE2368:BE2369"/>
    <mergeCell ref="BF2368:BF2369"/>
    <mergeCell ref="BG2368:BG2369"/>
    <mergeCell ref="BH2368:BH2369"/>
    <mergeCell ref="BC2370:BC2376"/>
    <mergeCell ref="BD2370:BD2376"/>
    <mergeCell ref="BE2370:BE2376"/>
    <mergeCell ref="BF2370:BF2376"/>
    <mergeCell ref="BG2370:BG2376"/>
    <mergeCell ref="BH2370:BH2376"/>
    <mergeCell ref="BC2377:BC2379"/>
    <mergeCell ref="BD2377:BD2379"/>
    <mergeCell ref="BE2377:BE2379"/>
    <mergeCell ref="BF2377:BF2379"/>
    <mergeCell ref="BG2377:BG2379"/>
    <mergeCell ref="BH2377:BH2379"/>
    <mergeCell ref="BC2380:BC2394"/>
    <mergeCell ref="BD2380:BD2394"/>
    <mergeCell ref="BE2380:BE2394"/>
    <mergeCell ref="BF2380:BF2394"/>
    <mergeCell ref="BG2380:BG2394"/>
    <mergeCell ref="BH2380:BH2394"/>
    <mergeCell ref="BC2396:BC2398"/>
    <mergeCell ref="BD2396:BD2398"/>
    <mergeCell ref="BE2396:BE2398"/>
    <mergeCell ref="BF2396:BF2398"/>
    <mergeCell ref="BG2396:BG2398"/>
    <mergeCell ref="BH2396:BH2398"/>
    <mergeCell ref="BC2400:BC2402"/>
    <mergeCell ref="BD2400:BD2402"/>
    <mergeCell ref="BE2400:BE2402"/>
    <mergeCell ref="BF2400:BF2402"/>
    <mergeCell ref="BG2400:BG2402"/>
    <mergeCell ref="BH2400:BH2402"/>
    <mergeCell ref="BC2403:BC2409"/>
    <mergeCell ref="BD2403:BD2409"/>
    <mergeCell ref="BE2403:BE2409"/>
    <mergeCell ref="BF2403:BF2409"/>
    <mergeCell ref="BG2403:BG2409"/>
    <mergeCell ref="BH2403:BH2409"/>
    <mergeCell ref="BC2410:BC2412"/>
    <mergeCell ref="BD2410:BD2412"/>
    <mergeCell ref="BE2410:BE2412"/>
    <mergeCell ref="BF2410:BF2412"/>
    <mergeCell ref="BG2410:BG2412"/>
    <mergeCell ref="BH2410:BH2412"/>
    <mergeCell ref="BC2413:BC2420"/>
    <mergeCell ref="BD2413:BD2420"/>
    <mergeCell ref="BE2413:BE2420"/>
    <mergeCell ref="BF2413:BF2420"/>
    <mergeCell ref="BG2413:BG2420"/>
    <mergeCell ref="BH2413:BH2420"/>
    <mergeCell ref="BC2421:BC2460"/>
    <mergeCell ref="BD2421:BD2460"/>
    <mergeCell ref="BE2421:BE2460"/>
    <mergeCell ref="BF2421:BF2460"/>
    <mergeCell ref="BG2421:BG2460"/>
    <mergeCell ref="BH2421:BH2460"/>
    <mergeCell ref="BC2462:BC2465"/>
    <mergeCell ref="BD2462:BD2465"/>
    <mergeCell ref="BE2462:BE2465"/>
    <mergeCell ref="BF2462:BF2465"/>
    <mergeCell ref="BG2462:BG2465"/>
    <mergeCell ref="BH2462:BH2465"/>
    <mergeCell ref="BC2466:BC2476"/>
    <mergeCell ref="BD2466:BD2476"/>
    <mergeCell ref="BE2466:BE2476"/>
    <mergeCell ref="BF2466:BF2476"/>
    <mergeCell ref="BG2466:BG2476"/>
    <mergeCell ref="BH2466:BH2476"/>
    <mergeCell ref="BC2477:BC2478"/>
    <mergeCell ref="BD2477:BD2478"/>
    <mergeCell ref="BE2477:BE2478"/>
    <mergeCell ref="BF2477:BF2478"/>
    <mergeCell ref="BG2477:BG2478"/>
    <mergeCell ref="BH2477:BH2478"/>
    <mergeCell ref="BC2479:BC2485"/>
    <mergeCell ref="BD2479:BD2485"/>
    <mergeCell ref="BE2479:BE2485"/>
    <mergeCell ref="BF2479:BF2485"/>
    <mergeCell ref="BG2479:BG2485"/>
    <mergeCell ref="BH2479:BH2485"/>
    <mergeCell ref="BC2488:BC2495"/>
    <mergeCell ref="BD2488:BD2495"/>
    <mergeCell ref="BE2488:BE2495"/>
    <mergeCell ref="BF2488:BF2495"/>
    <mergeCell ref="BG2488:BG2495"/>
    <mergeCell ref="BH2488:BH2495"/>
    <mergeCell ref="BC2499:BC2511"/>
    <mergeCell ref="BD2499:BD2511"/>
    <mergeCell ref="BE2499:BE2511"/>
    <mergeCell ref="BF2499:BF2511"/>
    <mergeCell ref="BG2499:BG2511"/>
    <mergeCell ref="BH2499:BH2511"/>
    <mergeCell ref="BC2515:BC2516"/>
    <mergeCell ref="BD2515:BD2516"/>
    <mergeCell ref="BE2515:BE2516"/>
    <mergeCell ref="BF2515:BF2516"/>
    <mergeCell ref="BG2515:BG2516"/>
    <mergeCell ref="BH2515:BH2516"/>
    <mergeCell ref="BC2519:BC2522"/>
    <mergeCell ref="BD2519:BD2522"/>
    <mergeCell ref="BE2519:BE2522"/>
    <mergeCell ref="BF2519:BF2522"/>
    <mergeCell ref="BG2519:BG2522"/>
    <mergeCell ref="BH2519:BH2522"/>
    <mergeCell ref="BC2523:BC2524"/>
    <mergeCell ref="BD2523:BD2524"/>
    <mergeCell ref="BE2523:BE2524"/>
    <mergeCell ref="BF2523:BF2524"/>
    <mergeCell ref="BG2523:BG2524"/>
    <mergeCell ref="BH2523:BH2524"/>
    <mergeCell ref="BC2526:BC2527"/>
    <mergeCell ref="BD2526:BD2527"/>
    <mergeCell ref="BE2526:BE2527"/>
    <mergeCell ref="BF2526:BF2527"/>
    <mergeCell ref="BG2526:BG2527"/>
    <mergeCell ref="BH2526:BH2527"/>
    <mergeCell ref="BC2529:BC2530"/>
    <mergeCell ref="BD2529:BD2530"/>
    <mergeCell ref="BE2529:BE2530"/>
    <mergeCell ref="BF2529:BF2530"/>
    <mergeCell ref="BG2529:BG2530"/>
    <mergeCell ref="BH2529:BH2530"/>
    <mergeCell ref="BC2531:BC2550"/>
    <mergeCell ref="BD2531:BD2550"/>
    <mergeCell ref="BE2531:BE2550"/>
    <mergeCell ref="BF2531:BF2550"/>
    <mergeCell ref="BG2531:BG2550"/>
    <mergeCell ref="BH2531:BH2550"/>
    <mergeCell ref="BC2551:BC2554"/>
    <mergeCell ref="BD2551:BD2554"/>
    <mergeCell ref="BE2551:BE2554"/>
    <mergeCell ref="BF2551:BF2554"/>
    <mergeCell ref="BG2551:BG2554"/>
    <mergeCell ref="BH2551:BH2554"/>
    <mergeCell ref="BC2555:BC2556"/>
    <mergeCell ref="BD2555:BD2556"/>
    <mergeCell ref="BE2555:BE2556"/>
    <mergeCell ref="BF2555:BF2556"/>
    <mergeCell ref="BG2555:BG2556"/>
    <mergeCell ref="BH2555:BH2556"/>
    <mergeCell ref="BC2558:BC2565"/>
    <mergeCell ref="BD2558:BD2565"/>
    <mergeCell ref="BE2558:BE2565"/>
    <mergeCell ref="BF2558:BF2565"/>
    <mergeCell ref="BG2558:BG2565"/>
    <mergeCell ref="BH2558:BH2565"/>
    <mergeCell ref="BC2566:BC2568"/>
    <mergeCell ref="BD2566:BD2568"/>
    <mergeCell ref="BE2566:BE2568"/>
    <mergeCell ref="BF2566:BF2568"/>
    <mergeCell ref="BG2566:BG2568"/>
    <mergeCell ref="BH2566:BH2568"/>
    <mergeCell ref="BC2569:BC2572"/>
    <mergeCell ref="BD2569:BD2572"/>
    <mergeCell ref="BE2569:BE2572"/>
    <mergeCell ref="BF2569:BF2572"/>
    <mergeCell ref="BG2569:BG2572"/>
    <mergeCell ref="BH2569:BH2572"/>
    <mergeCell ref="BC2577:BC2582"/>
    <mergeCell ref="BD2577:BD2582"/>
    <mergeCell ref="BE2577:BE2582"/>
    <mergeCell ref="BF2577:BF2582"/>
    <mergeCell ref="BG2577:BG2582"/>
    <mergeCell ref="BH2577:BH2582"/>
    <mergeCell ref="BC2583:BC2584"/>
    <mergeCell ref="BD2583:BD2584"/>
    <mergeCell ref="BE2583:BE2584"/>
    <mergeCell ref="BF2583:BF2584"/>
    <mergeCell ref="BG2583:BG2584"/>
    <mergeCell ref="BH2583:BH2584"/>
    <mergeCell ref="BC2585:BC2596"/>
    <mergeCell ref="BD2585:BD2596"/>
    <mergeCell ref="BE2585:BE2596"/>
    <mergeCell ref="BF2585:BF2596"/>
    <mergeCell ref="BG2585:BG2596"/>
    <mergeCell ref="BH2585:BH2596"/>
    <mergeCell ref="BC2600:BC2602"/>
    <mergeCell ref="BD2600:BD2602"/>
    <mergeCell ref="BE2600:BE2602"/>
    <mergeCell ref="BF2600:BF2602"/>
    <mergeCell ref="BG2600:BG2602"/>
    <mergeCell ref="BH2600:BH2602"/>
    <mergeCell ref="BC2603:BC2608"/>
    <mergeCell ref="BD2603:BD2608"/>
    <mergeCell ref="BE2603:BE2608"/>
    <mergeCell ref="BF2603:BF2608"/>
    <mergeCell ref="BG2603:BG2608"/>
    <mergeCell ref="BH2603:BH2608"/>
    <mergeCell ref="BC2611:BC2612"/>
    <mergeCell ref="BD2611:BD2612"/>
    <mergeCell ref="BE2611:BE2612"/>
    <mergeCell ref="BF2611:BF2612"/>
    <mergeCell ref="BG2611:BG2612"/>
    <mergeCell ref="BH2611:BH2612"/>
    <mergeCell ref="BC2614:BC2615"/>
    <mergeCell ref="BD2614:BD2615"/>
    <mergeCell ref="BE2614:BE2615"/>
    <mergeCell ref="BF2614:BF2615"/>
    <mergeCell ref="BG2614:BG2615"/>
    <mergeCell ref="BH2614:BH2615"/>
    <mergeCell ref="BC2617:BC2626"/>
    <mergeCell ref="BD2617:BD2626"/>
    <mergeCell ref="BE2617:BE2626"/>
    <mergeCell ref="BF2617:BF2626"/>
    <mergeCell ref="BG2617:BG2626"/>
    <mergeCell ref="BH2617:BH2626"/>
    <mergeCell ref="BC2627:BC2632"/>
    <mergeCell ref="BD2627:BD2632"/>
    <mergeCell ref="BE2627:BE2632"/>
    <mergeCell ref="BF2627:BF2632"/>
    <mergeCell ref="BG2627:BG2632"/>
    <mergeCell ref="BH2627:BH2632"/>
    <mergeCell ref="BC2633:BC2638"/>
    <mergeCell ref="BD2633:BD2638"/>
    <mergeCell ref="BE2633:BE2638"/>
    <mergeCell ref="BF2633:BF2638"/>
    <mergeCell ref="BG2633:BG2638"/>
    <mergeCell ref="BH2633:BH2638"/>
    <mergeCell ref="BC2643:BC2644"/>
    <mergeCell ref="BD2643:BD2644"/>
    <mergeCell ref="BE2643:BE2644"/>
    <mergeCell ref="BF2643:BF2644"/>
    <mergeCell ref="BG2643:BG2644"/>
    <mergeCell ref="BH2643:BH2644"/>
    <mergeCell ref="BC2647:BC2648"/>
    <mergeCell ref="BD2647:BD2648"/>
    <mergeCell ref="BE2647:BE2648"/>
    <mergeCell ref="BF2647:BF2648"/>
    <mergeCell ref="BG2647:BG2648"/>
    <mergeCell ref="BH2647:BH2648"/>
    <mergeCell ref="BC2650:BC2651"/>
    <mergeCell ref="BD2650:BD2651"/>
    <mergeCell ref="BE2650:BE2651"/>
    <mergeCell ref="BF2650:BF2651"/>
    <mergeCell ref="BG2650:BG2651"/>
    <mergeCell ref="BH2650:BH2651"/>
    <mergeCell ref="BC2652:BC2653"/>
    <mergeCell ref="BD2652:BD2653"/>
    <mergeCell ref="BE2652:BE2653"/>
    <mergeCell ref="BF2652:BF2653"/>
    <mergeCell ref="BG2652:BG2653"/>
    <mergeCell ref="BH2652:BH2653"/>
    <mergeCell ref="BC2654:BC2657"/>
    <mergeCell ref="BD2654:BD2657"/>
    <mergeCell ref="BE2654:BE2657"/>
    <mergeCell ref="BF2654:BF2657"/>
    <mergeCell ref="BG2654:BG2657"/>
    <mergeCell ref="BH2654:BH2657"/>
    <mergeCell ref="BC2659:BC2660"/>
    <mergeCell ref="BD2659:BD2660"/>
    <mergeCell ref="BE2659:BE2660"/>
    <mergeCell ref="BF2659:BF2660"/>
    <mergeCell ref="BG2659:BG2660"/>
    <mergeCell ref="BH2659:BH2660"/>
    <mergeCell ref="BC2665:BC2678"/>
    <mergeCell ref="BD2665:BD2678"/>
    <mergeCell ref="BE2665:BE2678"/>
    <mergeCell ref="BF2665:BF2678"/>
    <mergeCell ref="BG2665:BG2678"/>
    <mergeCell ref="BH2665:BH2678"/>
    <mergeCell ref="BC2681:BC2690"/>
    <mergeCell ref="BD2681:BD2690"/>
    <mergeCell ref="BE2681:BE2690"/>
    <mergeCell ref="BF2681:BF2690"/>
    <mergeCell ref="BG2681:BG2690"/>
    <mergeCell ref="BH2681:BH2690"/>
    <mergeCell ref="BC2692:BC2693"/>
    <mergeCell ref="BD2692:BD2693"/>
    <mergeCell ref="BE2692:BE2693"/>
    <mergeCell ref="BF2692:BF2693"/>
    <mergeCell ref="BG2692:BG2693"/>
    <mergeCell ref="BH2692:BH2693"/>
    <mergeCell ref="BC2694:BC2701"/>
    <mergeCell ref="BD2694:BD2701"/>
    <mergeCell ref="BE2694:BE2701"/>
    <mergeCell ref="BF2694:BF2701"/>
    <mergeCell ref="BG2694:BG2701"/>
    <mergeCell ref="BH2694:BH2701"/>
    <mergeCell ref="BC2704:BC2717"/>
    <mergeCell ref="BD2704:BD2717"/>
    <mergeCell ref="BE2704:BE2717"/>
    <mergeCell ref="BF2704:BF2717"/>
    <mergeCell ref="BG2704:BG2717"/>
    <mergeCell ref="BH2704:BH2717"/>
    <mergeCell ref="BC2720:BC2737"/>
    <mergeCell ref="BD2720:BD2737"/>
    <mergeCell ref="BE2720:BE2737"/>
    <mergeCell ref="BF2720:BF2737"/>
    <mergeCell ref="BG2720:BG2737"/>
    <mergeCell ref="BH2720:BH2737"/>
    <mergeCell ref="BC2740:BC2767"/>
    <mergeCell ref="BD2740:BD2767"/>
    <mergeCell ref="BE2740:BE2767"/>
    <mergeCell ref="BF2740:BF2767"/>
    <mergeCell ref="BG2740:BG2767"/>
    <mergeCell ref="BH2740:BH2767"/>
    <mergeCell ref="BC2769:BC2774"/>
    <mergeCell ref="BD2769:BD2774"/>
    <mergeCell ref="BE2769:BE2774"/>
    <mergeCell ref="BF2769:BF2774"/>
    <mergeCell ref="BG2769:BG2774"/>
    <mergeCell ref="BH2769:BH2774"/>
    <mergeCell ref="BC2775:BC2776"/>
    <mergeCell ref="BD2775:BD2776"/>
    <mergeCell ref="BE2775:BE2776"/>
    <mergeCell ref="BF2775:BF2776"/>
    <mergeCell ref="BG2775:BG2776"/>
    <mergeCell ref="BH2775:BH2776"/>
    <mergeCell ref="BC2777:BC2782"/>
    <mergeCell ref="BD2777:BD2782"/>
    <mergeCell ref="BE2777:BE2782"/>
    <mergeCell ref="BF2777:BF2782"/>
    <mergeCell ref="BG2777:BG2782"/>
    <mergeCell ref="BH2777:BH2782"/>
    <mergeCell ref="BC2784:BC2787"/>
    <mergeCell ref="BD2784:BD2787"/>
    <mergeCell ref="BE2784:BE2787"/>
    <mergeCell ref="BF2784:BF2787"/>
    <mergeCell ref="BG2784:BG2787"/>
    <mergeCell ref="BH2784:BH2787"/>
    <mergeCell ref="BC2792:BC2793"/>
    <mergeCell ref="BD2792:BD2793"/>
    <mergeCell ref="BE2792:BE2793"/>
    <mergeCell ref="BF2792:BF2793"/>
    <mergeCell ref="BG2792:BG2793"/>
    <mergeCell ref="BH2792:BH2793"/>
    <mergeCell ref="BC2795:BC2798"/>
    <mergeCell ref="BD2795:BD2798"/>
    <mergeCell ref="BE2795:BE2798"/>
    <mergeCell ref="BF2795:BF2798"/>
    <mergeCell ref="BG2795:BG2798"/>
    <mergeCell ref="BH2795:BH2798"/>
    <mergeCell ref="BC2803:BC2806"/>
    <mergeCell ref="BD2803:BD2806"/>
    <mergeCell ref="BE2803:BE2806"/>
    <mergeCell ref="BF2803:BF2806"/>
    <mergeCell ref="BG2803:BG2806"/>
    <mergeCell ref="BH2803:BH2806"/>
    <mergeCell ref="BC2808:BC2810"/>
    <mergeCell ref="BD2808:BD2810"/>
    <mergeCell ref="BE2808:BE2810"/>
    <mergeCell ref="BF2808:BF2810"/>
    <mergeCell ref="BG2808:BG2810"/>
    <mergeCell ref="BH2808:BH2810"/>
    <mergeCell ref="BC2811:BC2812"/>
    <mergeCell ref="BD2811:BD2812"/>
    <mergeCell ref="BE2811:BE2812"/>
    <mergeCell ref="BF2811:BF2812"/>
    <mergeCell ref="BG2811:BG2812"/>
    <mergeCell ref="BH2811:BH2812"/>
    <mergeCell ref="BC2813:BC2818"/>
    <mergeCell ref="BD2813:BD2818"/>
    <mergeCell ref="BE2813:BE2818"/>
    <mergeCell ref="BF2813:BF2818"/>
    <mergeCell ref="BG2813:BG2818"/>
    <mergeCell ref="BH2813:BH2818"/>
    <mergeCell ref="BC2819:BC2820"/>
    <mergeCell ref="BD2819:BD2820"/>
    <mergeCell ref="BE2819:BE2820"/>
    <mergeCell ref="BF2819:BF2820"/>
    <mergeCell ref="BG2819:BG2820"/>
    <mergeCell ref="BH2819:BH2820"/>
    <mergeCell ref="BC2821:BC2823"/>
    <mergeCell ref="BD2821:BD2823"/>
    <mergeCell ref="BE2821:BE2823"/>
    <mergeCell ref="BF2821:BF2823"/>
    <mergeCell ref="BG2821:BG2823"/>
    <mergeCell ref="BH2821:BH2823"/>
    <mergeCell ref="BC2824:BC2826"/>
    <mergeCell ref="BD2824:BD2826"/>
    <mergeCell ref="BE2824:BE2826"/>
    <mergeCell ref="BF2824:BF2826"/>
    <mergeCell ref="BG2824:BG2826"/>
    <mergeCell ref="BH2824:BH2826"/>
    <mergeCell ref="BC2828:BC2830"/>
    <mergeCell ref="BD2828:BD2830"/>
    <mergeCell ref="BE2828:BE2830"/>
    <mergeCell ref="BF2828:BF2830"/>
    <mergeCell ref="BG2828:BG2830"/>
    <mergeCell ref="BH2828:BH2830"/>
    <mergeCell ref="BC2831:BC2834"/>
    <mergeCell ref="BD2831:BD2834"/>
    <mergeCell ref="BE2831:BE2834"/>
    <mergeCell ref="BF2831:BF2834"/>
    <mergeCell ref="BG2831:BG2834"/>
    <mergeCell ref="BH2831:BH2834"/>
    <mergeCell ref="BC2836:BC2838"/>
    <mergeCell ref="BD2836:BD2838"/>
    <mergeCell ref="BE2836:BE2838"/>
    <mergeCell ref="BF2836:BF2838"/>
    <mergeCell ref="BG2836:BG2838"/>
    <mergeCell ref="BH2836:BH2838"/>
    <mergeCell ref="BC2839:BC2840"/>
    <mergeCell ref="BD2839:BD2840"/>
    <mergeCell ref="BE2839:BE2840"/>
    <mergeCell ref="BF2839:BF2840"/>
    <mergeCell ref="BG2839:BG2840"/>
    <mergeCell ref="BH2839:BH2840"/>
    <mergeCell ref="BC2841:BC2842"/>
    <mergeCell ref="BD2841:BD2842"/>
    <mergeCell ref="BE2841:BE2842"/>
    <mergeCell ref="BF2841:BF2842"/>
    <mergeCell ref="BG2841:BG2842"/>
    <mergeCell ref="BH2841:BH2842"/>
    <mergeCell ref="BC2843:BC2844"/>
    <mergeCell ref="BD2843:BD2844"/>
    <mergeCell ref="BE2843:BE2844"/>
    <mergeCell ref="BF2843:BF2844"/>
    <mergeCell ref="BG2843:BG2844"/>
    <mergeCell ref="BH2843:BH2844"/>
    <mergeCell ref="BC2847:BC2873"/>
    <mergeCell ref="BD2847:BD2873"/>
    <mergeCell ref="BE2847:BE2873"/>
    <mergeCell ref="BF2847:BF2873"/>
    <mergeCell ref="BG2847:BG2873"/>
    <mergeCell ref="BH2847:BH2873"/>
    <mergeCell ref="BC2876:BC2879"/>
    <mergeCell ref="BD2876:BD2879"/>
    <mergeCell ref="BE2876:BE2879"/>
    <mergeCell ref="BF2876:BF2879"/>
    <mergeCell ref="BG2876:BG2879"/>
    <mergeCell ref="BH2876:BH2879"/>
    <mergeCell ref="BC2880:BC2881"/>
    <mergeCell ref="BD2880:BD2881"/>
    <mergeCell ref="BE2880:BE2881"/>
    <mergeCell ref="BF2880:BF2881"/>
    <mergeCell ref="BG2880:BG2881"/>
    <mergeCell ref="BH2880:BH2881"/>
    <mergeCell ref="BC2882:BC2886"/>
    <mergeCell ref="BD2882:BD2886"/>
    <mergeCell ref="BE2882:BE2886"/>
    <mergeCell ref="BF2882:BF2886"/>
    <mergeCell ref="BG2882:BG2886"/>
    <mergeCell ref="BH2882:BH2886"/>
    <mergeCell ref="BC2888:BC2905"/>
    <mergeCell ref="BD2888:BD2905"/>
    <mergeCell ref="BE2888:BE2905"/>
    <mergeCell ref="BF2888:BF2905"/>
    <mergeCell ref="BG2888:BG2905"/>
    <mergeCell ref="BH2888:BH2905"/>
    <mergeCell ref="BC2907:BC2908"/>
    <mergeCell ref="BD2907:BD2908"/>
    <mergeCell ref="BE2907:BE2908"/>
    <mergeCell ref="BF2907:BF2908"/>
    <mergeCell ref="BG2907:BG2908"/>
    <mergeCell ref="BH2907:BH2908"/>
    <mergeCell ref="BC2909:BC2912"/>
    <mergeCell ref="BD2909:BD2912"/>
    <mergeCell ref="BE2909:BE2912"/>
    <mergeCell ref="BF2909:BF2912"/>
    <mergeCell ref="BG2909:BG2912"/>
    <mergeCell ref="BH2909:BH2912"/>
    <mergeCell ref="BC2913:BC2914"/>
    <mergeCell ref="BD2913:BD2914"/>
    <mergeCell ref="BE2913:BE2914"/>
    <mergeCell ref="BF2913:BF2914"/>
    <mergeCell ref="BG2913:BG2914"/>
    <mergeCell ref="BH2913:BH2914"/>
    <mergeCell ref="BC2916:BC2922"/>
    <mergeCell ref="BD2916:BD2922"/>
    <mergeCell ref="BE2916:BE2922"/>
    <mergeCell ref="BF2916:BF2922"/>
    <mergeCell ref="BG2916:BG2922"/>
    <mergeCell ref="BH2916:BH2922"/>
    <mergeCell ref="BC2928:BC2929"/>
    <mergeCell ref="BD2928:BD2929"/>
    <mergeCell ref="BE2928:BE2929"/>
    <mergeCell ref="BF2928:BF2929"/>
    <mergeCell ref="BG2928:BG2929"/>
    <mergeCell ref="BH2928:BH2929"/>
    <mergeCell ref="BC2930:BC2935"/>
    <mergeCell ref="BD2930:BD2935"/>
    <mergeCell ref="BE2930:BE2935"/>
    <mergeCell ref="BF2930:BF2935"/>
    <mergeCell ref="BG2930:BG2935"/>
    <mergeCell ref="BH2930:BH2935"/>
    <mergeCell ref="BC2939:BC2941"/>
    <mergeCell ref="BD2939:BD2941"/>
    <mergeCell ref="BE2939:BE2941"/>
    <mergeCell ref="BF2939:BF2941"/>
    <mergeCell ref="BG2939:BG2941"/>
    <mergeCell ref="BH2939:BH2941"/>
    <mergeCell ref="BC2948:BC2949"/>
    <mergeCell ref="BD2948:BD2949"/>
    <mergeCell ref="BE2948:BE2949"/>
    <mergeCell ref="BF2948:BF2949"/>
    <mergeCell ref="BG2948:BG2949"/>
    <mergeCell ref="BH2948:BH2949"/>
    <mergeCell ref="BC2950:BC2952"/>
    <mergeCell ref="BD2950:BD2952"/>
    <mergeCell ref="BE2950:BE2952"/>
    <mergeCell ref="BF2950:BF2952"/>
    <mergeCell ref="BG2950:BG2952"/>
    <mergeCell ref="BH2950:BH2952"/>
    <mergeCell ref="BC2953:BC2955"/>
    <mergeCell ref="BD2953:BD2955"/>
    <mergeCell ref="BE2953:BE2955"/>
    <mergeCell ref="BF2953:BF2955"/>
    <mergeCell ref="BG2953:BG2955"/>
    <mergeCell ref="BH2953:BH2955"/>
    <mergeCell ref="BC2956:BC2961"/>
    <mergeCell ref="BD2956:BD2961"/>
    <mergeCell ref="BE2956:BE2961"/>
    <mergeCell ref="BF2956:BF2961"/>
    <mergeCell ref="BG2956:BG2961"/>
    <mergeCell ref="BH2956:BH2961"/>
    <mergeCell ref="BC2963:BC2980"/>
    <mergeCell ref="BD2963:BD2980"/>
    <mergeCell ref="BE2963:BE2980"/>
    <mergeCell ref="BF2963:BF2980"/>
    <mergeCell ref="BG2963:BG2980"/>
    <mergeCell ref="BH2963:BH2980"/>
    <mergeCell ref="BC2981:BC2983"/>
    <mergeCell ref="BD2981:BD2983"/>
    <mergeCell ref="BE2981:BE2983"/>
    <mergeCell ref="BF2981:BF2983"/>
    <mergeCell ref="BG2981:BG2983"/>
    <mergeCell ref="BH2981:BH2983"/>
    <mergeCell ref="BC2986:BC2987"/>
    <mergeCell ref="BD2986:BD2987"/>
    <mergeCell ref="BE2986:BE2987"/>
    <mergeCell ref="BF2986:BF2987"/>
    <mergeCell ref="BG2986:BG2987"/>
    <mergeCell ref="BH2986:BH2987"/>
    <mergeCell ref="BC2990:BC2992"/>
    <mergeCell ref="BD2990:BD2992"/>
    <mergeCell ref="BE2990:BE2992"/>
    <mergeCell ref="BF2990:BF2992"/>
    <mergeCell ref="BG2990:BG2992"/>
    <mergeCell ref="BH2990:BH2992"/>
    <mergeCell ref="BC2996:BC2998"/>
    <mergeCell ref="BD2996:BD2998"/>
    <mergeCell ref="BE2996:BE2998"/>
    <mergeCell ref="BF2996:BF2998"/>
    <mergeCell ref="BG2996:BG2998"/>
    <mergeCell ref="BH2996:BH2998"/>
    <mergeCell ref="BC3001:BC3002"/>
    <mergeCell ref="BD3001:BD3002"/>
    <mergeCell ref="BE3001:BE3002"/>
    <mergeCell ref="BF3001:BF3002"/>
    <mergeCell ref="BG3001:BG3002"/>
    <mergeCell ref="BH3001:BH3002"/>
    <mergeCell ref="BC3004:BC3020"/>
    <mergeCell ref="BD3004:BD3020"/>
    <mergeCell ref="BE3004:BE3020"/>
    <mergeCell ref="BF3004:BF3020"/>
    <mergeCell ref="BG3004:BG3020"/>
    <mergeCell ref="BH3004:BH3020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7"/>
    <mergeCell ref="AW16:AW17"/>
    <mergeCell ref="AX16:AX17"/>
    <mergeCell ref="AY16:AY17"/>
    <mergeCell ref="AZ16:AZ17"/>
    <mergeCell ref="BA16:BA17"/>
    <mergeCell ref="AV18:AV20"/>
    <mergeCell ref="AW18:AW20"/>
    <mergeCell ref="AX18:AX20"/>
    <mergeCell ref="AY18:AY20"/>
    <mergeCell ref="AZ18:AZ20"/>
    <mergeCell ref="BA18:BA20"/>
    <mergeCell ref="AV22:AV24"/>
    <mergeCell ref="AW22:AW24"/>
    <mergeCell ref="AX22:AX24"/>
    <mergeCell ref="AY22:AY24"/>
    <mergeCell ref="AZ22:AZ24"/>
    <mergeCell ref="BA22:BA24"/>
    <mergeCell ref="AV25:AV27"/>
    <mergeCell ref="AW25:AW27"/>
    <mergeCell ref="AX25:AX27"/>
    <mergeCell ref="AY25:AY27"/>
    <mergeCell ref="AZ25:AZ27"/>
    <mergeCell ref="BA25:BA27"/>
    <mergeCell ref="AV28:AV29"/>
    <mergeCell ref="AW28:AW29"/>
    <mergeCell ref="AX28:AX29"/>
    <mergeCell ref="AY28:AY29"/>
    <mergeCell ref="AZ28:AZ29"/>
    <mergeCell ref="BA28:BA29"/>
    <mergeCell ref="AV30:AV31"/>
    <mergeCell ref="AW30:AW31"/>
    <mergeCell ref="AX30:AX31"/>
    <mergeCell ref="AY30:AY31"/>
    <mergeCell ref="AZ30:AZ31"/>
    <mergeCell ref="BA30:BA31"/>
    <mergeCell ref="AV34:AV35"/>
    <mergeCell ref="AW34:AW35"/>
    <mergeCell ref="AX34:AX35"/>
    <mergeCell ref="AY34:AY35"/>
    <mergeCell ref="AZ34:AZ35"/>
    <mergeCell ref="BA34:BA35"/>
    <mergeCell ref="AV36:AV38"/>
    <mergeCell ref="AW36:AW38"/>
    <mergeCell ref="AX36:AX38"/>
    <mergeCell ref="AY36:AY38"/>
    <mergeCell ref="AZ36:AZ38"/>
    <mergeCell ref="BA36:BA38"/>
    <mergeCell ref="AV39:AV42"/>
    <mergeCell ref="AW39:AW42"/>
    <mergeCell ref="AX39:AX42"/>
    <mergeCell ref="AY39:AY42"/>
    <mergeCell ref="AZ39:AZ42"/>
    <mergeCell ref="BA39:BA42"/>
    <mergeCell ref="AV43:AV44"/>
    <mergeCell ref="AW43:AW44"/>
    <mergeCell ref="AX43:AX44"/>
    <mergeCell ref="AY43:AY44"/>
    <mergeCell ref="AZ43:AZ44"/>
    <mergeCell ref="BA43:BA44"/>
    <mergeCell ref="AV47:AV49"/>
    <mergeCell ref="AW47:AW49"/>
    <mergeCell ref="AX47:AX49"/>
    <mergeCell ref="AY47:AY49"/>
    <mergeCell ref="AZ47:AZ49"/>
    <mergeCell ref="BA47:BA49"/>
    <mergeCell ref="AV50:AV53"/>
    <mergeCell ref="AW50:AW53"/>
    <mergeCell ref="AX50:AX53"/>
    <mergeCell ref="AY50:AY53"/>
    <mergeCell ref="AZ50:AZ53"/>
    <mergeCell ref="BA50:BA53"/>
    <mergeCell ref="AV54:AV58"/>
    <mergeCell ref="AW54:AW58"/>
    <mergeCell ref="AX54:AX58"/>
    <mergeCell ref="AY54:AY58"/>
    <mergeCell ref="AZ54:AZ58"/>
    <mergeCell ref="BA54:BA58"/>
    <mergeCell ref="AV59:AV63"/>
    <mergeCell ref="AW59:AW63"/>
    <mergeCell ref="AX59:AX63"/>
    <mergeCell ref="AY59:AY63"/>
    <mergeCell ref="AZ59:AZ63"/>
    <mergeCell ref="BA59:BA63"/>
    <mergeCell ref="AV64:AV65"/>
    <mergeCell ref="AW64:AW65"/>
    <mergeCell ref="AX64:AX65"/>
    <mergeCell ref="AY64:AY65"/>
    <mergeCell ref="AZ64:AZ65"/>
    <mergeCell ref="BA64:BA65"/>
    <mergeCell ref="AV66:AV69"/>
    <mergeCell ref="AW66:AW69"/>
    <mergeCell ref="AX66:AX69"/>
    <mergeCell ref="AY66:AY69"/>
    <mergeCell ref="AZ66:AZ69"/>
    <mergeCell ref="BA66:BA69"/>
    <mergeCell ref="AV70:AV73"/>
    <mergeCell ref="AW70:AW73"/>
    <mergeCell ref="AX70:AX73"/>
    <mergeCell ref="AY70:AY73"/>
    <mergeCell ref="AZ70:AZ73"/>
    <mergeCell ref="BA70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3:AV84"/>
    <mergeCell ref="AW83:AW84"/>
    <mergeCell ref="AX83:AX84"/>
    <mergeCell ref="AY83:AY84"/>
    <mergeCell ref="AZ83:AZ84"/>
    <mergeCell ref="BA83:BA84"/>
    <mergeCell ref="AV85:AV86"/>
    <mergeCell ref="AW85:AW86"/>
    <mergeCell ref="AX85:AX86"/>
    <mergeCell ref="AY85:AY86"/>
    <mergeCell ref="AZ85:AZ86"/>
    <mergeCell ref="BA85:BA86"/>
    <mergeCell ref="AV89:AV92"/>
    <mergeCell ref="AW89:AW92"/>
    <mergeCell ref="AX89:AX92"/>
    <mergeCell ref="AY89:AY92"/>
    <mergeCell ref="AZ89:AZ92"/>
    <mergeCell ref="BA89:BA92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1:AV102"/>
    <mergeCell ref="AW101:AW102"/>
    <mergeCell ref="AX101:AX102"/>
    <mergeCell ref="AY101:AY102"/>
    <mergeCell ref="AZ101:AZ102"/>
    <mergeCell ref="BA101:BA102"/>
    <mergeCell ref="AV111:AV112"/>
    <mergeCell ref="AW111:AW112"/>
    <mergeCell ref="AX111:AX112"/>
    <mergeCell ref="AY111:AY112"/>
    <mergeCell ref="AZ111:AZ112"/>
    <mergeCell ref="BA111:BA112"/>
    <mergeCell ref="AV117:AV119"/>
    <mergeCell ref="AW117:AW119"/>
    <mergeCell ref="AX117:AX119"/>
    <mergeCell ref="AY117:AY119"/>
    <mergeCell ref="AZ117:AZ119"/>
    <mergeCell ref="BA117:BA119"/>
    <mergeCell ref="AV120:AV122"/>
    <mergeCell ref="AW120:AW122"/>
    <mergeCell ref="AX120:AX122"/>
    <mergeCell ref="AY120:AY122"/>
    <mergeCell ref="AZ120:AZ122"/>
    <mergeCell ref="BA120:BA122"/>
    <mergeCell ref="AV124:AV125"/>
    <mergeCell ref="AW124:AW125"/>
    <mergeCell ref="AX124:AX125"/>
    <mergeCell ref="AY124:AY125"/>
    <mergeCell ref="AZ124:AZ125"/>
    <mergeCell ref="BA124:BA125"/>
    <mergeCell ref="AV126:AV129"/>
    <mergeCell ref="AW126:AW129"/>
    <mergeCell ref="AX126:AX129"/>
    <mergeCell ref="AY126:AY129"/>
    <mergeCell ref="AZ126:AZ129"/>
    <mergeCell ref="BA126:BA129"/>
    <mergeCell ref="AV131:AV134"/>
    <mergeCell ref="AW131:AW134"/>
    <mergeCell ref="AX131:AX134"/>
    <mergeCell ref="AY131:AY134"/>
    <mergeCell ref="AZ131:AZ134"/>
    <mergeCell ref="BA131:BA134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40:AV141"/>
    <mergeCell ref="AW140:AW141"/>
    <mergeCell ref="AX140:AX141"/>
    <mergeCell ref="AY140:AY141"/>
    <mergeCell ref="AZ140:AZ141"/>
    <mergeCell ref="BA140:BA141"/>
    <mergeCell ref="AV144:AV146"/>
    <mergeCell ref="AW144:AW146"/>
    <mergeCell ref="AX144:AX146"/>
    <mergeCell ref="AY144:AY146"/>
    <mergeCell ref="AZ144:AZ146"/>
    <mergeCell ref="BA144:BA146"/>
    <mergeCell ref="AV160:AV161"/>
    <mergeCell ref="AW160:AW161"/>
    <mergeCell ref="AX160:AX161"/>
    <mergeCell ref="AY160:AY161"/>
    <mergeCell ref="AZ160:AZ161"/>
    <mergeCell ref="BA160:BA161"/>
    <mergeCell ref="AV163:AV167"/>
    <mergeCell ref="AW163:AW167"/>
    <mergeCell ref="AX163:AX167"/>
    <mergeCell ref="AY163:AY167"/>
    <mergeCell ref="AZ163:AZ167"/>
    <mergeCell ref="BA163:BA167"/>
    <mergeCell ref="AV171:AV173"/>
    <mergeCell ref="AW171:AW173"/>
    <mergeCell ref="AX171:AX173"/>
    <mergeCell ref="AY171:AY173"/>
    <mergeCell ref="AZ171:AZ173"/>
    <mergeCell ref="BA171:BA173"/>
    <mergeCell ref="AV174:AV176"/>
    <mergeCell ref="AW174:AW176"/>
    <mergeCell ref="AX174:AX176"/>
    <mergeCell ref="AY174:AY176"/>
    <mergeCell ref="AZ174:AZ176"/>
    <mergeCell ref="BA174:BA176"/>
    <mergeCell ref="AV177:AV179"/>
    <mergeCell ref="AW177:AW179"/>
    <mergeCell ref="AX177:AX179"/>
    <mergeCell ref="AY177:AY179"/>
    <mergeCell ref="AZ177:AZ179"/>
    <mergeCell ref="BA177:BA179"/>
    <mergeCell ref="AV182:AV184"/>
    <mergeCell ref="AW182:AW184"/>
    <mergeCell ref="AX182:AX184"/>
    <mergeCell ref="AY182:AY184"/>
    <mergeCell ref="AZ182:AZ184"/>
    <mergeCell ref="BA182:BA184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9:AV201"/>
    <mergeCell ref="AW199:AW201"/>
    <mergeCell ref="AX199:AX201"/>
    <mergeCell ref="AY199:AY201"/>
    <mergeCell ref="AZ199:AZ201"/>
    <mergeCell ref="BA199:BA201"/>
    <mergeCell ref="AV202:AV203"/>
    <mergeCell ref="AW202:AW203"/>
    <mergeCell ref="AX202:AX203"/>
    <mergeCell ref="AY202:AY203"/>
    <mergeCell ref="AZ202:AZ203"/>
    <mergeCell ref="BA202:BA203"/>
    <mergeCell ref="AV204:AV205"/>
    <mergeCell ref="AW204:AW205"/>
    <mergeCell ref="AX204:AX205"/>
    <mergeCell ref="AY204:AY205"/>
    <mergeCell ref="AZ204:AZ205"/>
    <mergeCell ref="BA204:BA205"/>
    <mergeCell ref="AV209:AV210"/>
    <mergeCell ref="AW209:AW210"/>
    <mergeCell ref="AX209:AX210"/>
    <mergeCell ref="AY209:AY210"/>
    <mergeCell ref="AZ209:AZ210"/>
    <mergeCell ref="BA209:BA210"/>
    <mergeCell ref="AV214:AV215"/>
    <mergeCell ref="AW214:AW215"/>
    <mergeCell ref="AX214:AX215"/>
    <mergeCell ref="AY214:AY215"/>
    <mergeCell ref="AZ214:AZ215"/>
    <mergeCell ref="BA214:BA215"/>
    <mergeCell ref="AV221:AV224"/>
    <mergeCell ref="AW221:AW224"/>
    <mergeCell ref="AX221:AX224"/>
    <mergeCell ref="AY221:AY224"/>
    <mergeCell ref="AZ221:AZ224"/>
    <mergeCell ref="BA221:BA224"/>
    <mergeCell ref="AV233:AV234"/>
    <mergeCell ref="AW233:AW234"/>
    <mergeCell ref="AX233:AX234"/>
    <mergeCell ref="AY233:AY234"/>
    <mergeCell ref="AZ233:AZ234"/>
    <mergeCell ref="BA233:BA234"/>
    <mergeCell ref="AV235:AV237"/>
    <mergeCell ref="AW235:AW237"/>
    <mergeCell ref="AX235:AX237"/>
    <mergeCell ref="AY235:AY237"/>
    <mergeCell ref="AZ235:AZ237"/>
    <mergeCell ref="BA235:BA237"/>
    <mergeCell ref="AV240:AV241"/>
    <mergeCell ref="AW240:AW241"/>
    <mergeCell ref="AX240:AX241"/>
    <mergeCell ref="AY240:AY241"/>
    <mergeCell ref="AZ240:AZ241"/>
    <mergeCell ref="BA240:BA241"/>
    <mergeCell ref="AV245:AV246"/>
    <mergeCell ref="AW245:AW246"/>
    <mergeCell ref="AX245:AX246"/>
    <mergeCell ref="AY245:AY246"/>
    <mergeCell ref="AZ245:AZ246"/>
    <mergeCell ref="BA245:BA246"/>
    <mergeCell ref="AV255:AV257"/>
    <mergeCell ref="AW255:AW257"/>
    <mergeCell ref="AX255:AX257"/>
    <mergeCell ref="AY255:AY257"/>
    <mergeCell ref="AZ255:AZ257"/>
    <mergeCell ref="BA255:BA257"/>
    <mergeCell ref="AV262:AV263"/>
    <mergeCell ref="AW262:AW263"/>
    <mergeCell ref="AX262:AX263"/>
    <mergeCell ref="AY262:AY263"/>
    <mergeCell ref="AZ262:AZ263"/>
    <mergeCell ref="BA262:BA263"/>
    <mergeCell ref="AV268:AV269"/>
    <mergeCell ref="AW268:AW269"/>
    <mergeCell ref="AX268:AX269"/>
    <mergeCell ref="AY268:AY269"/>
    <mergeCell ref="AZ268:AZ269"/>
    <mergeCell ref="BA268:BA269"/>
    <mergeCell ref="AV272:AV273"/>
    <mergeCell ref="AW272:AW273"/>
    <mergeCell ref="AX272:AX273"/>
    <mergeCell ref="AY272:AY273"/>
    <mergeCell ref="AZ272:AZ273"/>
    <mergeCell ref="BA272:BA273"/>
    <mergeCell ref="AV277:AV278"/>
    <mergeCell ref="AW277:AW278"/>
    <mergeCell ref="AX277:AX278"/>
    <mergeCell ref="AY277:AY278"/>
    <mergeCell ref="AZ277:AZ278"/>
    <mergeCell ref="BA277:BA278"/>
    <mergeCell ref="AV280:AV281"/>
    <mergeCell ref="AW280:AW281"/>
    <mergeCell ref="AX280:AX281"/>
    <mergeCell ref="AY280:AY281"/>
    <mergeCell ref="AZ280:AZ281"/>
    <mergeCell ref="BA280:BA281"/>
    <mergeCell ref="AV282:AV284"/>
    <mergeCell ref="AW282:AW284"/>
    <mergeCell ref="AX282:AX284"/>
    <mergeCell ref="AY282:AY284"/>
    <mergeCell ref="AZ282:AZ284"/>
    <mergeCell ref="BA282:BA284"/>
    <mergeCell ref="AV288:AV289"/>
    <mergeCell ref="AW288:AW289"/>
    <mergeCell ref="AX288:AX289"/>
    <mergeCell ref="AY288:AY289"/>
    <mergeCell ref="AZ288:AZ289"/>
    <mergeCell ref="BA288:BA289"/>
    <mergeCell ref="AV290:AV292"/>
    <mergeCell ref="AW290:AW292"/>
    <mergeCell ref="AX290:AX292"/>
    <mergeCell ref="AY290:AY292"/>
    <mergeCell ref="AZ290:AZ292"/>
    <mergeCell ref="BA290:BA292"/>
    <mergeCell ref="AV294:AV295"/>
    <mergeCell ref="AW294:AW295"/>
    <mergeCell ref="AX294:AX295"/>
    <mergeCell ref="AY294:AY295"/>
    <mergeCell ref="AZ294:AZ295"/>
    <mergeCell ref="BA294:BA295"/>
    <mergeCell ref="AV300:AV301"/>
    <mergeCell ref="AW300:AW301"/>
    <mergeCell ref="AX300:AX301"/>
    <mergeCell ref="AY300:AY301"/>
    <mergeCell ref="AZ300:AZ301"/>
    <mergeCell ref="BA300:BA301"/>
    <mergeCell ref="AV304:AV306"/>
    <mergeCell ref="AW304:AW306"/>
    <mergeCell ref="AX304:AX306"/>
    <mergeCell ref="AY304:AY306"/>
    <mergeCell ref="AZ304:AZ306"/>
    <mergeCell ref="BA304:BA306"/>
    <mergeCell ref="AV309:AV311"/>
    <mergeCell ref="AW309:AW311"/>
    <mergeCell ref="AX309:AX311"/>
    <mergeCell ref="AY309:AY311"/>
    <mergeCell ref="AZ309:AZ311"/>
    <mergeCell ref="BA309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8"/>
    <mergeCell ref="AW316:AW318"/>
    <mergeCell ref="AX316:AX318"/>
    <mergeCell ref="AY316:AY318"/>
    <mergeCell ref="AZ316:AZ318"/>
    <mergeCell ref="BA316:BA318"/>
    <mergeCell ref="AV319:AV321"/>
    <mergeCell ref="AW319:AW321"/>
    <mergeCell ref="AX319:AX321"/>
    <mergeCell ref="AY319:AY321"/>
    <mergeCell ref="AZ319:AZ321"/>
    <mergeCell ref="BA319:BA321"/>
    <mergeCell ref="AV322:AV324"/>
    <mergeCell ref="AW322:AW324"/>
    <mergeCell ref="AX322:AX324"/>
    <mergeCell ref="AY322:AY324"/>
    <mergeCell ref="AZ322:AZ324"/>
    <mergeCell ref="BA322:BA324"/>
    <mergeCell ref="AV325:AV327"/>
    <mergeCell ref="AW325:AW327"/>
    <mergeCell ref="AX325:AX327"/>
    <mergeCell ref="AY325:AY327"/>
    <mergeCell ref="AZ325:AZ327"/>
    <mergeCell ref="BA325:BA327"/>
    <mergeCell ref="AV328:AV330"/>
    <mergeCell ref="AW328:AW330"/>
    <mergeCell ref="AX328:AX330"/>
    <mergeCell ref="AY328:AY330"/>
    <mergeCell ref="AZ328:AZ330"/>
    <mergeCell ref="BA328:BA330"/>
    <mergeCell ref="AV331:AV333"/>
    <mergeCell ref="AW331:AW333"/>
    <mergeCell ref="AX331:AX333"/>
    <mergeCell ref="AY331:AY333"/>
    <mergeCell ref="AZ331:AZ333"/>
    <mergeCell ref="BA331:BA333"/>
    <mergeCell ref="AV337:AV342"/>
    <mergeCell ref="AW337:AW342"/>
    <mergeCell ref="AX337:AX342"/>
    <mergeCell ref="AY337:AY342"/>
    <mergeCell ref="AZ337:AZ342"/>
    <mergeCell ref="BA337:BA342"/>
    <mergeCell ref="AV343:AV348"/>
    <mergeCell ref="AW343:AW348"/>
    <mergeCell ref="AX343:AX348"/>
    <mergeCell ref="AY343:AY348"/>
    <mergeCell ref="AZ343:AZ348"/>
    <mergeCell ref="BA343:BA348"/>
    <mergeCell ref="AV349:AV354"/>
    <mergeCell ref="AW349:AW354"/>
    <mergeCell ref="AX349:AX354"/>
    <mergeCell ref="AY349:AY354"/>
    <mergeCell ref="AZ349:AZ354"/>
    <mergeCell ref="BA349:BA354"/>
    <mergeCell ref="AV368:AV371"/>
    <mergeCell ref="AW368:AW371"/>
    <mergeCell ref="AX368:AX371"/>
    <mergeCell ref="AY368:AY371"/>
    <mergeCell ref="AZ368:AZ371"/>
    <mergeCell ref="BA368:BA371"/>
    <mergeCell ref="AV373:AV374"/>
    <mergeCell ref="AW373:AW374"/>
    <mergeCell ref="AX373:AX374"/>
    <mergeCell ref="AY373:AY374"/>
    <mergeCell ref="AZ373:AZ374"/>
    <mergeCell ref="BA373:BA374"/>
    <mergeCell ref="AV380:AV383"/>
    <mergeCell ref="AW380:AW383"/>
    <mergeCell ref="AX380:AX383"/>
    <mergeCell ref="AY380:AY383"/>
    <mergeCell ref="AZ380:AZ383"/>
    <mergeCell ref="BA380:BA383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1"/>
    <mergeCell ref="AW389:AW391"/>
    <mergeCell ref="AX389:AX391"/>
    <mergeCell ref="AY389:AY391"/>
    <mergeCell ref="AZ389:AZ391"/>
    <mergeCell ref="BA389:BA391"/>
    <mergeCell ref="AV393:AV395"/>
    <mergeCell ref="AW393:AW395"/>
    <mergeCell ref="AX393:AX395"/>
    <mergeCell ref="AY393:AY395"/>
    <mergeCell ref="AZ393:AZ395"/>
    <mergeCell ref="BA393:BA395"/>
    <mergeCell ref="AV405:AV406"/>
    <mergeCell ref="AW405:AW406"/>
    <mergeCell ref="AX405:AX406"/>
    <mergeCell ref="AY405:AY406"/>
    <mergeCell ref="AZ405:AZ406"/>
    <mergeCell ref="BA405:BA406"/>
    <mergeCell ref="AV408:AV409"/>
    <mergeCell ref="AW408:AW409"/>
    <mergeCell ref="AX408:AX409"/>
    <mergeCell ref="AY408:AY409"/>
    <mergeCell ref="AZ408:AZ409"/>
    <mergeCell ref="BA408:BA409"/>
    <mergeCell ref="AV416:AV417"/>
    <mergeCell ref="AW416:AW417"/>
    <mergeCell ref="AX416:AX417"/>
    <mergeCell ref="AY416:AY417"/>
    <mergeCell ref="AZ416:AZ417"/>
    <mergeCell ref="BA416:BA417"/>
    <mergeCell ref="AV418:AV421"/>
    <mergeCell ref="AW418:AW421"/>
    <mergeCell ref="AX418:AX421"/>
    <mergeCell ref="AY418:AY421"/>
    <mergeCell ref="AZ418:AZ421"/>
    <mergeCell ref="BA418:BA421"/>
    <mergeCell ref="AV422:AV423"/>
    <mergeCell ref="AW422:AW423"/>
    <mergeCell ref="AX422:AX423"/>
    <mergeCell ref="AY422:AY423"/>
    <mergeCell ref="AZ422:AZ423"/>
    <mergeCell ref="BA422:BA423"/>
    <mergeCell ref="AV435:AV437"/>
    <mergeCell ref="AW435:AW437"/>
    <mergeCell ref="AX435:AX437"/>
    <mergeCell ref="AY435:AY437"/>
    <mergeCell ref="AZ435:AZ437"/>
    <mergeCell ref="BA435:BA437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8"/>
    <mergeCell ref="AW445:AW448"/>
    <mergeCell ref="AX445:AX448"/>
    <mergeCell ref="AY445:AY448"/>
    <mergeCell ref="AZ445:AZ448"/>
    <mergeCell ref="BA445:BA448"/>
    <mergeCell ref="AV449:AV452"/>
    <mergeCell ref="AW449:AW452"/>
    <mergeCell ref="AX449:AX452"/>
    <mergeCell ref="AY449:AY452"/>
    <mergeCell ref="AZ449:AZ452"/>
    <mergeCell ref="BA449:BA452"/>
    <mergeCell ref="AV456:AV458"/>
    <mergeCell ref="AW456:AW458"/>
    <mergeCell ref="AX456:AX458"/>
    <mergeCell ref="AY456:AY458"/>
    <mergeCell ref="AZ456:AZ458"/>
    <mergeCell ref="BA456:BA458"/>
    <mergeCell ref="AV459:AV461"/>
    <mergeCell ref="AW459:AW461"/>
    <mergeCell ref="AX459:AX461"/>
    <mergeCell ref="AY459:AY461"/>
    <mergeCell ref="AZ459:AZ461"/>
    <mergeCell ref="BA459:BA461"/>
    <mergeCell ref="AV462:AV465"/>
    <mergeCell ref="AW462:AW465"/>
    <mergeCell ref="AX462:AX465"/>
    <mergeCell ref="AY462:AY465"/>
    <mergeCell ref="AZ462:AZ465"/>
    <mergeCell ref="BA462:BA465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2:AV476"/>
    <mergeCell ref="AW472:AW476"/>
    <mergeCell ref="AX472:AX476"/>
    <mergeCell ref="AY472:AY476"/>
    <mergeCell ref="AZ472:AZ476"/>
    <mergeCell ref="BA472:BA476"/>
    <mergeCell ref="AV484:AV485"/>
    <mergeCell ref="AW484:AW485"/>
    <mergeCell ref="AX484:AX485"/>
    <mergeCell ref="AY484:AY485"/>
    <mergeCell ref="AZ484:AZ485"/>
    <mergeCell ref="BA484:BA485"/>
    <mergeCell ref="AV486:AV489"/>
    <mergeCell ref="AW486:AW489"/>
    <mergeCell ref="AX486:AX489"/>
    <mergeCell ref="AY486:AY489"/>
    <mergeCell ref="AZ486:AZ489"/>
    <mergeCell ref="BA486:BA489"/>
    <mergeCell ref="AV493:AV495"/>
    <mergeCell ref="AW493:AW495"/>
    <mergeCell ref="AX493:AX495"/>
    <mergeCell ref="AY493:AY495"/>
    <mergeCell ref="AZ493:AZ495"/>
    <mergeCell ref="BA493:BA495"/>
    <mergeCell ref="AV496:AV498"/>
    <mergeCell ref="AW496:AW498"/>
    <mergeCell ref="AX496:AX498"/>
    <mergeCell ref="AY496:AY498"/>
    <mergeCell ref="AZ496:AZ498"/>
    <mergeCell ref="BA496:BA498"/>
    <mergeCell ref="AV499:AV503"/>
    <mergeCell ref="AW499:AW503"/>
    <mergeCell ref="AX499:AX503"/>
    <mergeCell ref="AY499:AY503"/>
    <mergeCell ref="AZ499:AZ503"/>
    <mergeCell ref="BA499:BA503"/>
    <mergeCell ref="AV504:AV505"/>
    <mergeCell ref="AW504:AW505"/>
    <mergeCell ref="AX504:AX505"/>
    <mergeCell ref="AY504:AY505"/>
    <mergeCell ref="AZ504:AZ505"/>
    <mergeCell ref="BA504:BA505"/>
    <mergeCell ref="AV518:AV519"/>
    <mergeCell ref="AW518:AW519"/>
    <mergeCell ref="AX518:AX519"/>
    <mergeCell ref="AY518:AY519"/>
    <mergeCell ref="AZ518:AZ519"/>
    <mergeCell ref="BA518:BA519"/>
    <mergeCell ref="AV521:AV524"/>
    <mergeCell ref="AW521:AW524"/>
    <mergeCell ref="AX521:AX524"/>
    <mergeCell ref="AY521:AY524"/>
    <mergeCell ref="AZ521:AZ524"/>
    <mergeCell ref="BA521:BA524"/>
    <mergeCell ref="AV531:AV532"/>
    <mergeCell ref="AW531:AW532"/>
    <mergeCell ref="AX531:AX532"/>
    <mergeCell ref="AY531:AY532"/>
    <mergeCell ref="AZ531:AZ532"/>
    <mergeCell ref="BA531:BA532"/>
    <mergeCell ref="AV540:AV541"/>
    <mergeCell ref="AW540:AW541"/>
    <mergeCell ref="AX540:AX541"/>
    <mergeCell ref="AY540:AY541"/>
    <mergeCell ref="AZ540:AZ541"/>
    <mergeCell ref="BA540:BA541"/>
    <mergeCell ref="AV542:AV545"/>
    <mergeCell ref="AW542:AW545"/>
    <mergeCell ref="AX542:AX545"/>
    <mergeCell ref="AY542:AY545"/>
    <mergeCell ref="AZ542:AZ545"/>
    <mergeCell ref="BA542:BA545"/>
    <mergeCell ref="AV546:AV547"/>
    <mergeCell ref="AW546:AW547"/>
    <mergeCell ref="AX546:AX547"/>
    <mergeCell ref="AY546:AY547"/>
    <mergeCell ref="AZ546:AZ547"/>
    <mergeCell ref="BA546:BA547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60:AV562"/>
    <mergeCell ref="AW560:AW562"/>
    <mergeCell ref="AX560:AX562"/>
    <mergeCell ref="AY560:AY562"/>
    <mergeCell ref="AZ560:AZ562"/>
    <mergeCell ref="BA560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9"/>
    <mergeCell ref="AW567:AW569"/>
    <mergeCell ref="AX567:AX569"/>
    <mergeCell ref="AY567:AY569"/>
    <mergeCell ref="AZ567:AZ569"/>
    <mergeCell ref="BA567:BA569"/>
    <mergeCell ref="AV571:AV572"/>
    <mergeCell ref="AW571:AW572"/>
    <mergeCell ref="AX571:AX572"/>
    <mergeCell ref="AY571:AY572"/>
    <mergeCell ref="AZ571:AZ572"/>
    <mergeCell ref="BA571:BA572"/>
    <mergeCell ref="AV574:AV579"/>
    <mergeCell ref="AW574:AW579"/>
    <mergeCell ref="AX574:AX579"/>
    <mergeCell ref="AY574:AY579"/>
    <mergeCell ref="AZ574:AZ579"/>
    <mergeCell ref="BA574:BA579"/>
    <mergeCell ref="AV580:AV581"/>
    <mergeCell ref="AW580:AW581"/>
    <mergeCell ref="AX580:AX581"/>
    <mergeCell ref="AY580:AY581"/>
    <mergeCell ref="AZ580:AZ581"/>
    <mergeCell ref="BA580:BA581"/>
    <mergeCell ref="AV587:AV589"/>
    <mergeCell ref="AW587:AW589"/>
    <mergeCell ref="AX587:AX589"/>
    <mergeCell ref="AY587:AY589"/>
    <mergeCell ref="AZ587:AZ589"/>
    <mergeCell ref="BA587:BA589"/>
    <mergeCell ref="AV601:AV603"/>
    <mergeCell ref="AW601:AW603"/>
    <mergeCell ref="AX601:AX603"/>
    <mergeCell ref="AY601:AY603"/>
    <mergeCell ref="AZ601:AZ603"/>
    <mergeCell ref="BA601:BA603"/>
    <mergeCell ref="AV613:AV614"/>
    <mergeCell ref="AW613:AW614"/>
    <mergeCell ref="AX613:AX614"/>
    <mergeCell ref="AY613:AY614"/>
    <mergeCell ref="AZ613:AZ614"/>
    <mergeCell ref="BA613:BA614"/>
    <mergeCell ref="AV617:AV618"/>
    <mergeCell ref="AW617:AW618"/>
    <mergeCell ref="AX617:AX618"/>
    <mergeCell ref="AY617:AY618"/>
    <mergeCell ref="AZ617:AZ618"/>
    <mergeCell ref="BA617:BA618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40:AV642"/>
    <mergeCell ref="AW640:AW642"/>
    <mergeCell ref="AX640:AX642"/>
    <mergeCell ref="AY640:AY642"/>
    <mergeCell ref="AZ640:AZ642"/>
    <mergeCell ref="BA640:BA642"/>
    <mergeCell ref="AV643:AV644"/>
    <mergeCell ref="AW643:AW644"/>
    <mergeCell ref="AX643:AX644"/>
    <mergeCell ref="AY643:AY644"/>
    <mergeCell ref="AZ643:AZ644"/>
    <mergeCell ref="BA643:BA644"/>
    <mergeCell ref="AV645:AV649"/>
    <mergeCell ref="AW645:AW649"/>
    <mergeCell ref="AX645:AX649"/>
    <mergeCell ref="AY645:AY649"/>
    <mergeCell ref="AZ645:AZ649"/>
    <mergeCell ref="BA645:BA649"/>
    <mergeCell ref="AV650:AV655"/>
    <mergeCell ref="AW650:AW655"/>
    <mergeCell ref="AX650:AX655"/>
    <mergeCell ref="AY650:AY655"/>
    <mergeCell ref="AZ650:AZ655"/>
    <mergeCell ref="BA650:BA655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6:AV667"/>
    <mergeCell ref="AW666:AW667"/>
    <mergeCell ref="AX666:AX667"/>
    <mergeCell ref="AY666:AY667"/>
    <mergeCell ref="AZ666:AZ667"/>
    <mergeCell ref="BA666:BA667"/>
    <mergeCell ref="AV668:AV670"/>
    <mergeCell ref="AW668:AW670"/>
    <mergeCell ref="AX668:AX670"/>
    <mergeCell ref="AY668:AY670"/>
    <mergeCell ref="AZ668:AZ670"/>
    <mergeCell ref="BA668:BA670"/>
    <mergeCell ref="AV675:AV684"/>
    <mergeCell ref="AW675:AW684"/>
    <mergeCell ref="AX675:AX684"/>
    <mergeCell ref="AY675:AY684"/>
    <mergeCell ref="AZ675:AZ684"/>
    <mergeCell ref="BA675:BA684"/>
    <mergeCell ref="AV686:AV687"/>
    <mergeCell ref="AW686:AW687"/>
    <mergeCell ref="AX686:AX687"/>
    <mergeCell ref="AY686:AY687"/>
    <mergeCell ref="AZ686:AZ687"/>
    <mergeCell ref="BA686:BA687"/>
    <mergeCell ref="AV688:AV691"/>
    <mergeCell ref="AW688:AW691"/>
    <mergeCell ref="AX688:AX691"/>
    <mergeCell ref="AY688:AY691"/>
    <mergeCell ref="AZ688:AZ691"/>
    <mergeCell ref="BA688:BA691"/>
    <mergeCell ref="AV692:AV695"/>
    <mergeCell ref="AW692:AW695"/>
    <mergeCell ref="AX692:AX695"/>
    <mergeCell ref="AY692:AY695"/>
    <mergeCell ref="AZ692:AZ695"/>
    <mergeCell ref="BA692:BA695"/>
    <mergeCell ref="AV696:AV699"/>
    <mergeCell ref="AW696:AW699"/>
    <mergeCell ref="AX696:AX699"/>
    <mergeCell ref="AY696:AY699"/>
    <mergeCell ref="AZ696:AZ699"/>
    <mergeCell ref="BA696:BA699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8:AV711"/>
    <mergeCell ref="AW708:AW711"/>
    <mergeCell ref="AX708:AX711"/>
    <mergeCell ref="AY708:AY711"/>
    <mergeCell ref="AZ708:AZ711"/>
    <mergeCell ref="BA708:BA711"/>
    <mergeCell ref="AV712:AV715"/>
    <mergeCell ref="AW712:AW715"/>
    <mergeCell ref="AX712:AX715"/>
    <mergeCell ref="AY712:AY715"/>
    <mergeCell ref="AZ712:AZ715"/>
    <mergeCell ref="BA712:BA715"/>
    <mergeCell ref="AV716:AV721"/>
    <mergeCell ref="AW716:AW721"/>
    <mergeCell ref="AX716:AX721"/>
    <mergeCell ref="AY716:AY721"/>
    <mergeCell ref="AZ716:AZ721"/>
    <mergeCell ref="BA716:BA721"/>
    <mergeCell ref="AV722:AV725"/>
    <mergeCell ref="AW722:AW725"/>
    <mergeCell ref="AX722:AX725"/>
    <mergeCell ref="AY722:AY725"/>
    <mergeCell ref="AZ722:AZ725"/>
    <mergeCell ref="BA722:BA725"/>
    <mergeCell ref="AV727:AV732"/>
    <mergeCell ref="AW727:AW732"/>
    <mergeCell ref="AX727:AX732"/>
    <mergeCell ref="AY727:AY732"/>
    <mergeCell ref="AZ727:AZ732"/>
    <mergeCell ref="BA727:BA732"/>
    <mergeCell ref="AV734:AV736"/>
    <mergeCell ref="AW734:AW736"/>
    <mergeCell ref="AX734:AX736"/>
    <mergeCell ref="AY734:AY736"/>
    <mergeCell ref="AZ734:AZ736"/>
    <mergeCell ref="BA734:BA736"/>
    <mergeCell ref="AV737:AV741"/>
    <mergeCell ref="AW737:AW741"/>
    <mergeCell ref="AX737:AX741"/>
    <mergeCell ref="AY737:AY741"/>
    <mergeCell ref="AZ737:AZ741"/>
    <mergeCell ref="BA737:BA741"/>
    <mergeCell ref="AV743:AV747"/>
    <mergeCell ref="AW743:AW747"/>
    <mergeCell ref="AX743:AX747"/>
    <mergeCell ref="AY743:AY747"/>
    <mergeCell ref="AZ743:AZ747"/>
    <mergeCell ref="BA743:BA747"/>
    <mergeCell ref="AV748:AV752"/>
    <mergeCell ref="AW748:AW752"/>
    <mergeCell ref="AX748:AX752"/>
    <mergeCell ref="AY748:AY752"/>
    <mergeCell ref="AZ748:AZ752"/>
    <mergeCell ref="BA748:BA752"/>
    <mergeCell ref="AV753:AV755"/>
    <mergeCell ref="AW753:AW755"/>
    <mergeCell ref="AX753:AX755"/>
    <mergeCell ref="AY753:AY755"/>
    <mergeCell ref="AZ753:AZ755"/>
    <mergeCell ref="BA753:BA755"/>
    <mergeCell ref="AV756:AV758"/>
    <mergeCell ref="AW756:AW758"/>
    <mergeCell ref="AX756:AX758"/>
    <mergeCell ref="AY756:AY758"/>
    <mergeCell ref="AZ756:AZ758"/>
    <mergeCell ref="BA756:BA758"/>
    <mergeCell ref="AV759:AV760"/>
    <mergeCell ref="AW759:AW760"/>
    <mergeCell ref="AX759:AX760"/>
    <mergeCell ref="AY759:AY760"/>
    <mergeCell ref="AZ759:AZ760"/>
    <mergeCell ref="BA759:BA760"/>
    <mergeCell ref="AV761:AV764"/>
    <mergeCell ref="AW761:AW764"/>
    <mergeCell ref="AX761:AX764"/>
    <mergeCell ref="AY761:AY764"/>
    <mergeCell ref="AZ761:AZ764"/>
    <mergeCell ref="BA761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1"/>
    <mergeCell ref="AW769:AW771"/>
    <mergeCell ref="AX769:AX771"/>
    <mergeCell ref="AY769:AY771"/>
    <mergeCell ref="AZ769:AZ771"/>
    <mergeCell ref="BA769:BA771"/>
    <mergeCell ref="AV772:AV773"/>
    <mergeCell ref="AW772:AW773"/>
    <mergeCell ref="AX772:AX773"/>
    <mergeCell ref="AY772:AY773"/>
    <mergeCell ref="AZ772:AZ773"/>
    <mergeCell ref="BA772:BA773"/>
    <mergeCell ref="AV774:AV778"/>
    <mergeCell ref="AW774:AW778"/>
    <mergeCell ref="AX774:AX778"/>
    <mergeCell ref="AY774:AY778"/>
    <mergeCell ref="AZ774:AZ778"/>
    <mergeCell ref="BA774:BA778"/>
    <mergeCell ref="AV779:AV781"/>
    <mergeCell ref="AW779:AW781"/>
    <mergeCell ref="AX779:AX781"/>
    <mergeCell ref="AY779:AY781"/>
    <mergeCell ref="AZ779:AZ781"/>
    <mergeCell ref="BA779:BA781"/>
    <mergeCell ref="AV782:AV784"/>
    <mergeCell ref="AW782:AW784"/>
    <mergeCell ref="AX782:AX784"/>
    <mergeCell ref="AY782:AY784"/>
    <mergeCell ref="AZ782:AZ784"/>
    <mergeCell ref="BA782:BA784"/>
    <mergeCell ref="AV785:AV789"/>
    <mergeCell ref="AW785:AW789"/>
    <mergeCell ref="AX785:AX789"/>
    <mergeCell ref="AY785:AY789"/>
    <mergeCell ref="AZ785:AZ789"/>
    <mergeCell ref="BA785:BA789"/>
    <mergeCell ref="AV790:AV794"/>
    <mergeCell ref="AW790:AW794"/>
    <mergeCell ref="AX790:AX794"/>
    <mergeCell ref="AY790:AY794"/>
    <mergeCell ref="AZ790:AZ794"/>
    <mergeCell ref="BA790:BA794"/>
    <mergeCell ref="AV795:AV799"/>
    <mergeCell ref="AW795:AW799"/>
    <mergeCell ref="AX795:AX799"/>
    <mergeCell ref="AY795:AY799"/>
    <mergeCell ref="AZ795:AZ799"/>
    <mergeCell ref="BA795:BA799"/>
    <mergeCell ref="AV800:AV804"/>
    <mergeCell ref="AW800:AW804"/>
    <mergeCell ref="AX800:AX804"/>
    <mergeCell ref="AY800:AY804"/>
    <mergeCell ref="AZ800:AZ804"/>
    <mergeCell ref="BA800:BA804"/>
    <mergeCell ref="AV805:AV807"/>
    <mergeCell ref="AW805:AW807"/>
    <mergeCell ref="AX805:AX807"/>
    <mergeCell ref="AY805:AY807"/>
    <mergeCell ref="AZ805:AZ807"/>
    <mergeCell ref="BA805:BA807"/>
    <mergeCell ref="AV808:AV809"/>
    <mergeCell ref="AW808:AW809"/>
    <mergeCell ref="AX808:AX809"/>
    <mergeCell ref="AY808:AY809"/>
    <mergeCell ref="AZ808:AZ809"/>
    <mergeCell ref="BA808:BA809"/>
    <mergeCell ref="AV810:AV814"/>
    <mergeCell ref="AW810:AW814"/>
    <mergeCell ref="AX810:AX814"/>
    <mergeCell ref="AY810:AY814"/>
    <mergeCell ref="AZ810:AZ814"/>
    <mergeCell ref="BA810:BA814"/>
    <mergeCell ref="AV815:AV818"/>
    <mergeCell ref="AW815:AW818"/>
    <mergeCell ref="AX815:AX818"/>
    <mergeCell ref="AY815:AY818"/>
    <mergeCell ref="AZ815:AZ818"/>
    <mergeCell ref="BA815:BA818"/>
    <mergeCell ref="AV820:AV823"/>
    <mergeCell ref="AW820:AW823"/>
    <mergeCell ref="AX820:AX823"/>
    <mergeCell ref="AY820:AY823"/>
    <mergeCell ref="AZ820:AZ823"/>
    <mergeCell ref="BA820:BA823"/>
    <mergeCell ref="AV824:AV827"/>
    <mergeCell ref="AW824:AW827"/>
    <mergeCell ref="AX824:AX827"/>
    <mergeCell ref="AY824:AY827"/>
    <mergeCell ref="AZ824:AZ827"/>
    <mergeCell ref="BA824:BA827"/>
    <mergeCell ref="AV828:AV832"/>
    <mergeCell ref="AW828:AW832"/>
    <mergeCell ref="AX828:AX832"/>
    <mergeCell ref="AY828:AY832"/>
    <mergeCell ref="AZ828:AZ832"/>
    <mergeCell ref="BA828:BA832"/>
    <mergeCell ref="AV833:AV835"/>
    <mergeCell ref="AW833:AW835"/>
    <mergeCell ref="AX833:AX835"/>
    <mergeCell ref="AY833:AY835"/>
    <mergeCell ref="AZ833:AZ835"/>
    <mergeCell ref="BA833:BA835"/>
    <mergeCell ref="AV837:AV840"/>
    <mergeCell ref="AW837:AW840"/>
    <mergeCell ref="AX837:AX840"/>
    <mergeCell ref="AY837:AY840"/>
    <mergeCell ref="AZ837:AZ840"/>
    <mergeCell ref="BA837:BA840"/>
    <mergeCell ref="AV841:AV844"/>
    <mergeCell ref="AW841:AW844"/>
    <mergeCell ref="AX841:AX844"/>
    <mergeCell ref="AY841:AY844"/>
    <mergeCell ref="AZ841:AZ844"/>
    <mergeCell ref="BA841:BA844"/>
    <mergeCell ref="AV845:AV848"/>
    <mergeCell ref="AW845:AW848"/>
    <mergeCell ref="AX845:AX848"/>
    <mergeCell ref="AY845:AY848"/>
    <mergeCell ref="AZ845:AZ848"/>
    <mergeCell ref="BA845:BA848"/>
    <mergeCell ref="AV849:AV853"/>
    <mergeCell ref="AW849:AW853"/>
    <mergeCell ref="AX849:AX853"/>
    <mergeCell ref="AY849:AY853"/>
    <mergeCell ref="AZ849:AZ853"/>
    <mergeCell ref="BA849:BA853"/>
    <mergeCell ref="AV854:AV856"/>
    <mergeCell ref="AW854:AW856"/>
    <mergeCell ref="AX854:AX856"/>
    <mergeCell ref="AY854:AY856"/>
    <mergeCell ref="AZ854:AZ856"/>
    <mergeCell ref="BA854:BA856"/>
    <mergeCell ref="AV857:AV860"/>
    <mergeCell ref="AW857:AW860"/>
    <mergeCell ref="AX857:AX860"/>
    <mergeCell ref="AY857:AY860"/>
    <mergeCell ref="AZ857:AZ860"/>
    <mergeCell ref="BA857:BA860"/>
    <mergeCell ref="AV861:AV863"/>
    <mergeCell ref="AW861:AW863"/>
    <mergeCell ref="AX861:AX863"/>
    <mergeCell ref="AY861:AY863"/>
    <mergeCell ref="AZ861:AZ863"/>
    <mergeCell ref="BA861:BA863"/>
    <mergeCell ref="AV864:AV868"/>
    <mergeCell ref="AW864:AW868"/>
    <mergeCell ref="AX864:AX868"/>
    <mergeCell ref="AY864:AY868"/>
    <mergeCell ref="AZ864:AZ868"/>
    <mergeCell ref="BA864:BA868"/>
    <mergeCell ref="AV869:AV873"/>
    <mergeCell ref="AW869:AW873"/>
    <mergeCell ref="AX869:AX873"/>
    <mergeCell ref="AY869:AY873"/>
    <mergeCell ref="AZ869:AZ873"/>
    <mergeCell ref="BA869:BA873"/>
    <mergeCell ref="AV874:AV877"/>
    <mergeCell ref="AW874:AW877"/>
    <mergeCell ref="AX874:AX877"/>
    <mergeCell ref="AY874:AY877"/>
    <mergeCell ref="AZ874:AZ877"/>
    <mergeCell ref="BA874:BA877"/>
    <mergeCell ref="AV878:AV880"/>
    <mergeCell ref="AW878:AW880"/>
    <mergeCell ref="AX878:AX880"/>
    <mergeCell ref="AY878:AY880"/>
    <mergeCell ref="AZ878:AZ880"/>
    <mergeCell ref="BA878:BA880"/>
    <mergeCell ref="AV881:AV886"/>
    <mergeCell ref="AW881:AW886"/>
    <mergeCell ref="AX881:AX886"/>
    <mergeCell ref="AY881:AY886"/>
    <mergeCell ref="AZ881:AZ886"/>
    <mergeCell ref="BA881:BA886"/>
    <mergeCell ref="AV887:AV890"/>
    <mergeCell ref="AW887:AW890"/>
    <mergeCell ref="AX887:AX890"/>
    <mergeCell ref="AY887:AY890"/>
    <mergeCell ref="AZ887:AZ890"/>
    <mergeCell ref="BA887:BA890"/>
    <mergeCell ref="AV891:AV896"/>
    <mergeCell ref="AW891:AW896"/>
    <mergeCell ref="AX891:AX896"/>
    <mergeCell ref="AY891:AY896"/>
    <mergeCell ref="AZ891:AZ896"/>
    <mergeCell ref="BA891:BA896"/>
    <mergeCell ref="AV897:AV900"/>
    <mergeCell ref="AW897:AW900"/>
    <mergeCell ref="AX897:AX900"/>
    <mergeCell ref="AY897:AY900"/>
    <mergeCell ref="AZ897:AZ900"/>
    <mergeCell ref="BA897:BA900"/>
    <mergeCell ref="AV901:AV904"/>
    <mergeCell ref="AW901:AW904"/>
    <mergeCell ref="AX901:AX904"/>
    <mergeCell ref="AY901:AY904"/>
    <mergeCell ref="AZ901:AZ904"/>
    <mergeCell ref="BA901:BA904"/>
    <mergeCell ref="AV905:AV908"/>
    <mergeCell ref="AW905:AW908"/>
    <mergeCell ref="AX905:AX908"/>
    <mergeCell ref="AY905:AY908"/>
    <mergeCell ref="AZ905:AZ908"/>
    <mergeCell ref="BA905:BA908"/>
    <mergeCell ref="AV909:AV912"/>
    <mergeCell ref="AW909:AW912"/>
    <mergeCell ref="AX909:AX912"/>
    <mergeCell ref="AY909:AY912"/>
    <mergeCell ref="AZ909:AZ912"/>
    <mergeCell ref="BA909:BA912"/>
    <mergeCell ref="AV913:AV917"/>
    <mergeCell ref="AW913:AW917"/>
    <mergeCell ref="AX913:AX917"/>
    <mergeCell ref="AY913:AY917"/>
    <mergeCell ref="AZ913:AZ917"/>
    <mergeCell ref="BA913:BA917"/>
    <mergeCell ref="AV918:AV921"/>
    <mergeCell ref="AW918:AW921"/>
    <mergeCell ref="AX918:AX921"/>
    <mergeCell ref="AY918:AY921"/>
    <mergeCell ref="AZ918:AZ921"/>
    <mergeCell ref="BA918:BA921"/>
    <mergeCell ref="AV922:AV926"/>
    <mergeCell ref="AW922:AW926"/>
    <mergeCell ref="AX922:AX926"/>
    <mergeCell ref="AY922:AY926"/>
    <mergeCell ref="AZ922:AZ926"/>
    <mergeCell ref="BA922:BA926"/>
    <mergeCell ref="AV927:AV930"/>
    <mergeCell ref="AW927:AW930"/>
    <mergeCell ref="AX927:AX930"/>
    <mergeCell ref="AY927:AY930"/>
    <mergeCell ref="AZ927:AZ930"/>
    <mergeCell ref="BA927:BA930"/>
    <mergeCell ref="AV931:AV934"/>
    <mergeCell ref="AW931:AW934"/>
    <mergeCell ref="AX931:AX934"/>
    <mergeCell ref="AY931:AY934"/>
    <mergeCell ref="AZ931:AZ934"/>
    <mergeCell ref="BA931:BA934"/>
    <mergeCell ref="AV935:AV939"/>
    <mergeCell ref="AW935:AW939"/>
    <mergeCell ref="AX935:AX939"/>
    <mergeCell ref="AY935:AY939"/>
    <mergeCell ref="AZ935:AZ939"/>
    <mergeCell ref="BA935:BA939"/>
    <mergeCell ref="AV940:AV944"/>
    <mergeCell ref="AW940:AW944"/>
    <mergeCell ref="AX940:AX944"/>
    <mergeCell ref="AY940:AY944"/>
    <mergeCell ref="AZ940:AZ944"/>
    <mergeCell ref="BA940:BA944"/>
    <mergeCell ref="AV945:AV949"/>
    <mergeCell ref="AW945:AW949"/>
    <mergeCell ref="AX945:AX949"/>
    <mergeCell ref="AY945:AY949"/>
    <mergeCell ref="AZ945:AZ949"/>
    <mergeCell ref="BA945:BA949"/>
    <mergeCell ref="AV950:AV953"/>
    <mergeCell ref="AW950:AW953"/>
    <mergeCell ref="AX950:AX953"/>
    <mergeCell ref="AY950:AY953"/>
    <mergeCell ref="AZ950:AZ953"/>
    <mergeCell ref="BA950:BA953"/>
    <mergeCell ref="AV955:AV958"/>
    <mergeCell ref="AW955:AW958"/>
    <mergeCell ref="AX955:AX958"/>
    <mergeCell ref="AY955:AY958"/>
    <mergeCell ref="AZ955:AZ958"/>
    <mergeCell ref="BA955:BA958"/>
    <mergeCell ref="AV959:AV963"/>
    <mergeCell ref="AW959:AW963"/>
    <mergeCell ref="AX959:AX963"/>
    <mergeCell ref="AY959:AY963"/>
    <mergeCell ref="AZ959:AZ963"/>
    <mergeCell ref="BA959:BA963"/>
    <mergeCell ref="AV964:AV968"/>
    <mergeCell ref="AW964:AW968"/>
    <mergeCell ref="AX964:AX968"/>
    <mergeCell ref="AY964:AY968"/>
    <mergeCell ref="AZ964:AZ968"/>
    <mergeCell ref="BA964:BA968"/>
    <mergeCell ref="AV969:AV974"/>
    <mergeCell ref="AW969:AW974"/>
    <mergeCell ref="AX969:AX974"/>
    <mergeCell ref="AY969:AY974"/>
    <mergeCell ref="AZ969:AZ974"/>
    <mergeCell ref="BA969:BA974"/>
    <mergeCell ref="AV975:AV978"/>
    <mergeCell ref="AW975:AW978"/>
    <mergeCell ref="AX975:AX978"/>
    <mergeCell ref="AY975:AY978"/>
    <mergeCell ref="AZ975:AZ978"/>
    <mergeCell ref="BA975:BA978"/>
    <mergeCell ref="AV979:AV984"/>
    <mergeCell ref="AW979:AW984"/>
    <mergeCell ref="AX979:AX984"/>
    <mergeCell ref="AY979:AY984"/>
    <mergeCell ref="AZ979:AZ984"/>
    <mergeCell ref="BA979:BA984"/>
    <mergeCell ref="AV987:AV990"/>
    <mergeCell ref="AW987:AW990"/>
    <mergeCell ref="AX987:AX990"/>
    <mergeCell ref="AY987:AY990"/>
    <mergeCell ref="AZ987:AZ990"/>
    <mergeCell ref="BA987:BA990"/>
    <mergeCell ref="AV991:AV994"/>
    <mergeCell ref="AW991:AW994"/>
    <mergeCell ref="AX991:AX994"/>
    <mergeCell ref="AY991:AY994"/>
    <mergeCell ref="AZ991:AZ994"/>
    <mergeCell ref="BA991:BA994"/>
    <mergeCell ref="AV996:AV999"/>
    <mergeCell ref="AW996:AW999"/>
    <mergeCell ref="AX996:AX999"/>
    <mergeCell ref="AY996:AY999"/>
    <mergeCell ref="AZ996:AZ999"/>
    <mergeCell ref="BA996:BA999"/>
    <mergeCell ref="AV1000:AV1003"/>
    <mergeCell ref="AW1000:AW1003"/>
    <mergeCell ref="AX1000:AX1003"/>
    <mergeCell ref="AY1000:AY1003"/>
    <mergeCell ref="AZ1000:AZ1003"/>
    <mergeCell ref="BA1000:BA1003"/>
    <mergeCell ref="AV1004:AV1007"/>
    <mergeCell ref="AW1004:AW1007"/>
    <mergeCell ref="AX1004:AX1007"/>
    <mergeCell ref="AY1004:AY1007"/>
    <mergeCell ref="AZ1004:AZ1007"/>
    <mergeCell ref="BA1004:BA1007"/>
    <mergeCell ref="AV1008:AV1011"/>
    <mergeCell ref="AW1008:AW1011"/>
    <mergeCell ref="AX1008:AX1011"/>
    <mergeCell ref="AY1008:AY1011"/>
    <mergeCell ref="AZ1008:AZ1011"/>
    <mergeCell ref="BA1008:BA1011"/>
    <mergeCell ref="AV1012:AV1014"/>
    <mergeCell ref="AW1012:AW1014"/>
    <mergeCell ref="AX1012:AX1014"/>
    <mergeCell ref="AY1012:AY1014"/>
    <mergeCell ref="AZ1012:AZ1014"/>
    <mergeCell ref="BA1012:BA1014"/>
    <mergeCell ref="AV1015:AV1017"/>
    <mergeCell ref="AW1015:AW1017"/>
    <mergeCell ref="AX1015:AX1017"/>
    <mergeCell ref="AY1015:AY1017"/>
    <mergeCell ref="AZ1015:AZ1017"/>
    <mergeCell ref="BA1015:BA1017"/>
    <mergeCell ref="AV1018:AV1021"/>
    <mergeCell ref="AW1018:AW1021"/>
    <mergeCell ref="AX1018:AX1021"/>
    <mergeCell ref="AY1018:AY1021"/>
    <mergeCell ref="AZ1018:AZ1021"/>
    <mergeCell ref="BA1018:BA1021"/>
    <mergeCell ref="AV1022:AV1025"/>
    <mergeCell ref="AW1022:AW1025"/>
    <mergeCell ref="AX1022:AX1025"/>
    <mergeCell ref="AY1022:AY1025"/>
    <mergeCell ref="AZ1022:AZ1025"/>
    <mergeCell ref="BA1022:BA1025"/>
    <mergeCell ref="AV1026:AV1029"/>
    <mergeCell ref="AW1026:AW1029"/>
    <mergeCell ref="AX1026:AX1029"/>
    <mergeCell ref="AY1026:AY1029"/>
    <mergeCell ref="AZ1026:AZ1029"/>
    <mergeCell ref="BA1026:BA1029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61:AV1063"/>
    <mergeCell ref="AW1061:AW1063"/>
    <mergeCell ref="AX1061:AX1063"/>
    <mergeCell ref="AY1061:AY1063"/>
    <mergeCell ref="AZ1061:AZ1063"/>
    <mergeCell ref="BA1061:BA1063"/>
    <mergeCell ref="AV1064:AV1066"/>
    <mergeCell ref="AW1064:AW1066"/>
    <mergeCell ref="AX1064:AX1066"/>
    <mergeCell ref="AY1064:AY1066"/>
    <mergeCell ref="AZ1064:AZ1066"/>
    <mergeCell ref="BA1064:BA1066"/>
    <mergeCell ref="AV1067:AV1069"/>
    <mergeCell ref="AW1067:AW1069"/>
    <mergeCell ref="AX1067:AX1069"/>
    <mergeCell ref="AY1067:AY1069"/>
    <mergeCell ref="AZ1067:AZ1069"/>
    <mergeCell ref="BA1067:BA1069"/>
    <mergeCell ref="AV1070:AV1072"/>
    <mergeCell ref="AW1070:AW1072"/>
    <mergeCell ref="AX1070:AX1072"/>
    <mergeCell ref="AY1070:AY1072"/>
    <mergeCell ref="AZ1070:AZ1072"/>
    <mergeCell ref="BA1070:BA1072"/>
    <mergeCell ref="AV1073:AV1076"/>
    <mergeCell ref="AW1073:AW1076"/>
    <mergeCell ref="AX1073:AX1076"/>
    <mergeCell ref="AY1073:AY1076"/>
    <mergeCell ref="AZ1073:AZ1076"/>
    <mergeCell ref="BA1073:BA1076"/>
    <mergeCell ref="AV1078:AV1079"/>
    <mergeCell ref="AW1078:AW1079"/>
    <mergeCell ref="AX1078:AX1079"/>
    <mergeCell ref="AY1078:AY1079"/>
    <mergeCell ref="AZ1078:AZ1079"/>
    <mergeCell ref="BA1078:BA1079"/>
    <mergeCell ref="AV1081:AV1082"/>
    <mergeCell ref="AW1081:AW1082"/>
    <mergeCell ref="AX1081:AX1082"/>
    <mergeCell ref="AY1081:AY1082"/>
    <mergeCell ref="AZ1081:AZ1082"/>
    <mergeCell ref="BA1081:BA1082"/>
    <mergeCell ref="AV1083:AV1086"/>
    <mergeCell ref="AW1083:AW1086"/>
    <mergeCell ref="AX1083:AX1086"/>
    <mergeCell ref="AY1083:AY1086"/>
    <mergeCell ref="AZ1083:AZ1086"/>
    <mergeCell ref="BA1083:BA1086"/>
    <mergeCell ref="AV1087:AV1090"/>
    <mergeCell ref="AW1087:AW1090"/>
    <mergeCell ref="AX1087:AX1090"/>
    <mergeCell ref="AY1087:AY1090"/>
    <mergeCell ref="AZ1087:AZ1090"/>
    <mergeCell ref="BA1087:BA1090"/>
    <mergeCell ref="AV1091:AV1094"/>
    <mergeCell ref="AW1091:AW1094"/>
    <mergeCell ref="AX1091:AX1094"/>
    <mergeCell ref="AY1091:AY1094"/>
    <mergeCell ref="AZ1091:AZ1094"/>
    <mergeCell ref="BA1091:BA1094"/>
    <mergeCell ref="AV1095:AV1098"/>
    <mergeCell ref="AW1095:AW1098"/>
    <mergeCell ref="AX1095:AX1098"/>
    <mergeCell ref="AY1095:AY1098"/>
    <mergeCell ref="AZ1095:AZ1098"/>
    <mergeCell ref="BA1095:BA1098"/>
    <mergeCell ref="AV1099:AV1102"/>
    <mergeCell ref="AW1099:AW1102"/>
    <mergeCell ref="AX1099:AX1102"/>
    <mergeCell ref="AY1099:AY1102"/>
    <mergeCell ref="AZ1099:AZ1102"/>
    <mergeCell ref="BA1099:BA1102"/>
    <mergeCell ref="AV1104:AV1106"/>
    <mergeCell ref="AW1104:AW1106"/>
    <mergeCell ref="AX1104:AX1106"/>
    <mergeCell ref="AY1104:AY1106"/>
    <mergeCell ref="AZ1104:AZ1106"/>
    <mergeCell ref="BA1104:BA1106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8:AV1119"/>
    <mergeCell ref="AW1118:AW1119"/>
    <mergeCell ref="AX1118:AX1119"/>
    <mergeCell ref="AY1118:AY1119"/>
    <mergeCell ref="AZ1118:AZ1119"/>
    <mergeCell ref="BA1118:BA1119"/>
    <mergeCell ref="AV1123:AV1125"/>
    <mergeCell ref="AW1123:AW1125"/>
    <mergeCell ref="AX1123:AX1125"/>
    <mergeCell ref="AY1123:AY1125"/>
    <mergeCell ref="AZ1123:AZ1125"/>
    <mergeCell ref="BA1123:BA1125"/>
    <mergeCell ref="AV1126:AV1128"/>
    <mergeCell ref="AW1126:AW1128"/>
    <mergeCell ref="AX1126:AX1128"/>
    <mergeCell ref="AY1126:AY1128"/>
    <mergeCell ref="AZ1126:AZ1128"/>
    <mergeCell ref="BA1126:BA1128"/>
    <mergeCell ref="AV1130:AV1132"/>
    <mergeCell ref="AW1130:AW1132"/>
    <mergeCell ref="AX1130:AX1132"/>
    <mergeCell ref="AY1130:AY1132"/>
    <mergeCell ref="AZ1130:AZ1132"/>
    <mergeCell ref="BA1130:BA1132"/>
    <mergeCell ref="AV1153:AV1155"/>
    <mergeCell ref="AW1153:AW1155"/>
    <mergeCell ref="AX1153:AX1155"/>
    <mergeCell ref="AY1153:AY1155"/>
    <mergeCell ref="AZ1153:AZ1155"/>
    <mergeCell ref="BA1153:BA1155"/>
    <mergeCell ref="AV1156:AV1157"/>
    <mergeCell ref="AW1156:AW1157"/>
    <mergeCell ref="AX1156:AX1157"/>
    <mergeCell ref="AY1156:AY1157"/>
    <mergeCell ref="AZ1156:AZ1157"/>
    <mergeCell ref="BA1156:BA1157"/>
    <mergeCell ref="AV1158:AV1163"/>
    <mergeCell ref="AW1158:AW1163"/>
    <mergeCell ref="AX1158:AX1163"/>
    <mergeCell ref="AY1158:AY1163"/>
    <mergeCell ref="AZ1158:AZ1163"/>
    <mergeCell ref="BA1158:BA1163"/>
    <mergeCell ref="AV1166:AV1170"/>
    <mergeCell ref="AW1166:AW1170"/>
    <mergeCell ref="AX1166:AX1170"/>
    <mergeCell ref="AY1166:AY1170"/>
    <mergeCell ref="AZ1166:AZ1170"/>
    <mergeCell ref="BA1166:BA1170"/>
    <mergeCell ref="AV1171:AV1173"/>
    <mergeCell ref="AW1171:AW1173"/>
    <mergeCell ref="AX1171:AX1173"/>
    <mergeCell ref="AY1171:AY1173"/>
    <mergeCell ref="AZ1171:AZ1173"/>
    <mergeCell ref="BA1171:BA1173"/>
    <mergeCell ref="AV1174:AV1176"/>
    <mergeCell ref="AW1174:AW1176"/>
    <mergeCell ref="AX1174:AX1176"/>
    <mergeCell ref="AY1174:AY1176"/>
    <mergeCell ref="AZ1174:AZ1176"/>
    <mergeCell ref="BA1174:BA1176"/>
    <mergeCell ref="AV1179:AV1181"/>
    <mergeCell ref="AW1179:AW1181"/>
    <mergeCell ref="AX1179:AX1181"/>
    <mergeCell ref="AY1179:AY1181"/>
    <mergeCell ref="AZ1179:AZ1181"/>
    <mergeCell ref="BA1179:BA1181"/>
    <mergeCell ref="AV1183:AV1185"/>
    <mergeCell ref="AW1183:AW1185"/>
    <mergeCell ref="AX1183:AX1185"/>
    <mergeCell ref="AY1183:AY1185"/>
    <mergeCell ref="AZ1183:AZ1185"/>
    <mergeCell ref="BA1183:BA1185"/>
    <mergeCell ref="AV1186:AV1188"/>
    <mergeCell ref="AW1186:AW1188"/>
    <mergeCell ref="AX1186:AX1188"/>
    <mergeCell ref="AY1186:AY1188"/>
    <mergeCell ref="AZ1186:AZ1188"/>
    <mergeCell ref="BA1186:BA1188"/>
    <mergeCell ref="AV1189:AV1191"/>
    <mergeCell ref="AW1189:AW1191"/>
    <mergeCell ref="AX1189:AX1191"/>
    <mergeCell ref="AY1189:AY1191"/>
    <mergeCell ref="AZ1189:AZ1191"/>
    <mergeCell ref="BA1189:BA1191"/>
    <mergeCell ref="AV1192:AV1195"/>
    <mergeCell ref="AW1192:AW1195"/>
    <mergeCell ref="AX1192:AX1195"/>
    <mergeCell ref="AY1192:AY1195"/>
    <mergeCell ref="AZ1192:AZ1195"/>
    <mergeCell ref="BA1192:BA1195"/>
    <mergeCell ref="AV1199:AV1200"/>
    <mergeCell ref="AW1199:AW1200"/>
    <mergeCell ref="AX1199:AX1200"/>
    <mergeCell ref="AY1199:AY1200"/>
    <mergeCell ref="AZ1199:AZ1200"/>
    <mergeCell ref="BA1199:BA1200"/>
    <mergeCell ref="AV1201:AV1203"/>
    <mergeCell ref="AW1201:AW1203"/>
    <mergeCell ref="AX1201:AX1203"/>
    <mergeCell ref="AY1201:AY1203"/>
    <mergeCell ref="AZ1201:AZ1203"/>
    <mergeCell ref="BA1201:BA1203"/>
    <mergeCell ref="AV1204:AV1205"/>
    <mergeCell ref="AW1204:AW1205"/>
    <mergeCell ref="AX1204:AX1205"/>
    <mergeCell ref="AY1204:AY1205"/>
    <mergeCell ref="AZ1204:AZ1205"/>
    <mergeCell ref="BA1204:BA1205"/>
    <mergeCell ref="AV1206:AV1209"/>
    <mergeCell ref="AW1206:AW1209"/>
    <mergeCell ref="AX1206:AX1209"/>
    <mergeCell ref="AY1206:AY1209"/>
    <mergeCell ref="AZ1206:AZ1209"/>
    <mergeCell ref="BA1206:BA1209"/>
    <mergeCell ref="AV1210:AV1213"/>
    <mergeCell ref="AW1210:AW1213"/>
    <mergeCell ref="AX1210:AX1213"/>
    <mergeCell ref="AY1210:AY1213"/>
    <mergeCell ref="AZ1210:AZ1213"/>
    <mergeCell ref="BA1210:BA1213"/>
    <mergeCell ref="AV1214:AV1215"/>
    <mergeCell ref="AW1214:AW1215"/>
    <mergeCell ref="AX1214:AX1215"/>
    <mergeCell ref="AY1214:AY1215"/>
    <mergeCell ref="AZ1214:AZ1215"/>
    <mergeCell ref="BA1214:BA1215"/>
    <mergeCell ref="AV1220:AV1221"/>
    <mergeCell ref="AW1220:AW1221"/>
    <mergeCell ref="AX1220:AX1221"/>
    <mergeCell ref="AY1220:AY1221"/>
    <mergeCell ref="AZ1220:AZ1221"/>
    <mergeCell ref="BA1220:BA1221"/>
    <mergeCell ref="AV1223:AV1224"/>
    <mergeCell ref="AW1223:AW1224"/>
    <mergeCell ref="AX1223:AX1224"/>
    <mergeCell ref="AY1223:AY1224"/>
    <mergeCell ref="AZ1223:AZ1224"/>
    <mergeCell ref="BA1223:BA1224"/>
    <mergeCell ref="AV1226:AV1228"/>
    <mergeCell ref="AW1226:AW1228"/>
    <mergeCell ref="AX1226:AX1228"/>
    <mergeCell ref="AY1226:AY1228"/>
    <mergeCell ref="AZ1226:AZ1228"/>
    <mergeCell ref="BA1226:BA1228"/>
    <mergeCell ref="AV1238:AV1239"/>
    <mergeCell ref="AW1238:AW1239"/>
    <mergeCell ref="AX1238:AX1239"/>
    <mergeCell ref="AY1238:AY1239"/>
    <mergeCell ref="AZ1238:AZ1239"/>
    <mergeCell ref="BA1238:BA1239"/>
    <mergeCell ref="AV1242:AV1243"/>
    <mergeCell ref="AW1242:AW1243"/>
    <mergeCell ref="AX1242:AX1243"/>
    <mergeCell ref="AY1242:AY1243"/>
    <mergeCell ref="AZ1242:AZ1243"/>
    <mergeCell ref="BA1242:BA1243"/>
    <mergeCell ref="AV1244:AV1245"/>
    <mergeCell ref="AW1244:AW1245"/>
    <mergeCell ref="AX1244:AX1245"/>
    <mergeCell ref="AY1244:AY1245"/>
    <mergeCell ref="AZ1244:AZ1245"/>
    <mergeCell ref="BA1244:BA1245"/>
    <mergeCell ref="AV1247:AV1252"/>
    <mergeCell ref="AW1247:AW1252"/>
    <mergeCell ref="AX1247:AX1252"/>
    <mergeCell ref="AY1247:AY1252"/>
    <mergeCell ref="AZ1247:AZ1252"/>
    <mergeCell ref="BA1247:BA1252"/>
    <mergeCell ref="AV1253:AV1258"/>
    <mergeCell ref="AW1253:AW1258"/>
    <mergeCell ref="AX1253:AX1258"/>
    <mergeCell ref="AY1253:AY1258"/>
    <mergeCell ref="AZ1253:AZ1258"/>
    <mergeCell ref="BA1253:BA1258"/>
    <mergeCell ref="AV1259:AV1262"/>
    <mergeCell ref="AW1259:AW1262"/>
    <mergeCell ref="AX1259:AX1262"/>
    <mergeCell ref="AY1259:AY1262"/>
    <mergeCell ref="AZ1259:AZ1262"/>
    <mergeCell ref="BA1259:BA1262"/>
    <mergeCell ref="AV1263:AV1268"/>
    <mergeCell ref="AW1263:AW1268"/>
    <mergeCell ref="AX1263:AX1268"/>
    <mergeCell ref="AY1263:AY1268"/>
    <mergeCell ref="AZ1263:AZ1268"/>
    <mergeCell ref="BA1263:BA1268"/>
    <mergeCell ref="AV1269:AV1271"/>
    <mergeCell ref="AW1269:AW1271"/>
    <mergeCell ref="AX1269:AX1271"/>
    <mergeCell ref="AY1269:AY1271"/>
    <mergeCell ref="AZ1269:AZ1271"/>
    <mergeCell ref="BA1269:BA1271"/>
    <mergeCell ref="AV1274:AV1275"/>
    <mergeCell ref="AW1274:AW1275"/>
    <mergeCell ref="AX1274:AX1275"/>
    <mergeCell ref="AY1274:AY1275"/>
    <mergeCell ref="AZ1274:AZ1275"/>
    <mergeCell ref="BA1274:BA1275"/>
    <mergeCell ref="AV1280:AV1282"/>
    <mergeCell ref="AW1280:AW1282"/>
    <mergeCell ref="AX1280:AX1282"/>
    <mergeCell ref="AY1280:AY1282"/>
    <mergeCell ref="AZ1280:AZ1282"/>
    <mergeCell ref="BA1280:BA1282"/>
    <mergeCell ref="AV1284:AV1285"/>
    <mergeCell ref="AW1284:AW1285"/>
    <mergeCell ref="AX1284:AX1285"/>
    <mergeCell ref="AY1284:AY1285"/>
    <mergeCell ref="AZ1284:AZ1285"/>
    <mergeCell ref="BA1284:BA1285"/>
    <mergeCell ref="AV1286:AV1287"/>
    <mergeCell ref="AW1286:AW1287"/>
    <mergeCell ref="AX1286:AX1287"/>
    <mergeCell ref="AY1286:AY1287"/>
    <mergeCell ref="AZ1286:AZ1287"/>
    <mergeCell ref="BA1286:BA1287"/>
    <mergeCell ref="AV1290:AV1291"/>
    <mergeCell ref="AW1290:AW1291"/>
    <mergeCell ref="AX1290:AX1291"/>
    <mergeCell ref="AY1290:AY1291"/>
    <mergeCell ref="AZ1290:AZ1291"/>
    <mergeCell ref="BA1290:BA1291"/>
    <mergeCell ref="AV1300:AV1301"/>
    <mergeCell ref="AW1300:AW1301"/>
    <mergeCell ref="AX1300:AX1301"/>
    <mergeCell ref="AY1300:AY1301"/>
    <mergeCell ref="AZ1300:AZ1301"/>
    <mergeCell ref="BA1300:BA1301"/>
    <mergeCell ref="AV1304:AV1307"/>
    <mergeCell ref="AW1304:AW1307"/>
    <mergeCell ref="AX1304:AX1307"/>
    <mergeCell ref="AY1304:AY1307"/>
    <mergeCell ref="AZ1304:AZ1307"/>
    <mergeCell ref="BA1304:BA1307"/>
    <mergeCell ref="AV1313:AV1315"/>
    <mergeCell ref="AW1313:AW1315"/>
    <mergeCell ref="AX1313:AX1315"/>
    <mergeCell ref="AY1313:AY1315"/>
    <mergeCell ref="AZ1313:AZ1315"/>
    <mergeCell ref="BA1313:BA1315"/>
    <mergeCell ref="AV1316:AV1318"/>
    <mergeCell ref="AW1316:AW1318"/>
    <mergeCell ref="AX1316:AX1318"/>
    <mergeCell ref="AY1316:AY1318"/>
    <mergeCell ref="AZ1316:AZ1318"/>
    <mergeCell ref="BA1316:BA1318"/>
    <mergeCell ref="AV1319:AV1321"/>
    <mergeCell ref="AW1319:AW1321"/>
    <mergeCell ref="AX1319:AX1321"/>
    <mergeCell ref="AY1319:AY1321"/>
    <mergeCell ref="AZ1319:AZ1321"/>
    <mergeCell ref="BA1319:BA1321"/>
    <mergeCell ref="AV1322:AV1323"/>
    <mergeCell ref="AW1322:AW1323"/>
    <mergeCell ref="AX1322:AX1323"/>
    <mergeCell ref="AY1322:AY1323"/>
    <mergeCell ref="AZ1322:AZ1323"/>
    <mergeCell ref="BA1322:BA1323"/>
    <mergeCell ref="AV1326:AV1330"/>
    <mergeCell ref="AW1326:AW1330"/>
    <mergeCell ref="AX1326:AX1330"/>
    <mergeCell ref="AY1326:AY1330"/>
    <mergeCell ref="AZ1326:AZ1330"/>
    <mergeCell ref="BA1326:BA1330"/>
    <mergeCell ref="AV1332:AV1340"/>
    <mergeCell ref="AW1332:AW1340"/>
    <mergeCell ref="AX1332:AX1340"/>
    <mergeCell ref="AY1332:AY1340"/>
    <mergeCell ref="AZ1332:AZ1340"/>
    <mergeCell ref="BA1332:BA1340"/>
    <mergeCell ref="AV1343:AV1345"/>
    <mergeCell ref="AW1343:AW1345"/>
    <mergeCell ref="AX1343:AX1345"/>
    <mergeCell ref="AY1343:AY1345"/>
    <mergeCell ref="AZ1343:AZ1345"/>
    <mergeCell ref="BA1343:BA1345"/>
    <mergeCell ref="AV1352:AV1353"/>
    <mergeCell ref="AW1352:AW1353"/>
    <mergeCell ref="AX1352:AX1353"/>
    <mergeCell ref="AY1352:AY1353"/>
    <mergeCell ref="AZ1352:AZ1353"/>
    <mergeCell ref="BA1352:BA1353"/>
    <mergeCell ref="AV1355:AV1357"/>
    <mergeCell ref="AW1355:AW1357"/>
    <mergeCell ref="AX1355:AX1357"/>
    <mergeCell ref="AY1355:AY1357"/>
    <mergeCell ref="AZ1355:AZ1357"/>
    <mergeCell ref="BA1355:BA1357"/>
    <mergeCell ref="AV1367:AV1369"/>
    <mergeCell ref="AW1367:AW1369"/>
    <mergeCell ref="AX1367:AX1369"/>
    <mergeCell ref="AY1367:AY1369"/>
    <mergeCell ref="AZ1367:AZ1369"/>
    <mergeCell ref="BA1367:BA1369"/>
    <mergeCell ref="AV1383:AV1384"/>
    <mergeCell ref="AW1383:AW1384"/>
    <mergeCell ref="AX1383:AX1384"/>
    <mergeCell ref="AY1383:AY1384"/>
    <mergeCell ref="AZ1383:AZ1384"/>
    <mergeCell ref="BA1383:BA1384"/>
    <mergeCell ref="AV1385:AV1386"/>
    <mergeCell ref="AW1385:AW1386"/>
    <mergeCell ref="AX1385:AX1386"/>
    <mergeCell ref="AY1385:AY1386"/>
    <mergeCell ref="AZ1385:AZ1386"/>
    <mergeCell ref="BA1385:BA1386"/>
    <mergeCell ref="AV1388:AV1389"/>
    <mergeCell ref="AW1388:AW1389"/>
    <mergeCell ref="AX1388:AX1389"/>
    <mergeCell ref="AY1388:AY1389"/>
    <mergeCell ref="AZ1388:AZ1389"/>
    <mergeCell ref="BA1388:BA1389"/>
    <mergeCell ref="AV1390:AV1392"/>
    <mergeCell ref="AW1390:AW1392"/>
    <mergeCell ref="AX1390:AX1392"/>
    <mergeCell ref="AY1390:AY1392"/>
    <mergeCell ref="AZ1390:AZ1392"/>
    <mergeCell ref="BA1390:BA1392"/>
    <mergeCell ref="AV1393:AV1396"/>
    <mergeCell ref="AW1393:AW1396"/>
    <mergeCell ref="AX1393:AX1396"/>
    <mergeCell ref="AY1393:AY1396"/>
    <mergeCell ref="AZ1393:AZ1396"/>
    <mergeCell ref="BA1393:BA1396"/>
    <mergeCell ref="AV1397:AV1398"/>
    <mergeCell ref="AW1397:AW1398"/>
    <mergeCell ref="AX1397:AX1398"/>
    <mergeCell ref="AY1397:AY1398"/>
    <mergeCell ref="AZ1397:AZ1398"/>
    <mergeCell ref="BA1397:BA1398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19:AV1423"/>
    <mergeCell ref="AW1419:AW1423"/>
    <mergeCell ref="AX1419:AX1423"/>
    <mergeCell ref="AY1419:AY1423"/>
    <mergeCell ref="AZ1419:AZ1423"/>
    <mergeCell ref="BA1419:BA1423"/>
    <mergeCell ref="AV1424:AV1426"/>
    <mergeCell ref="AW1424:AW1426"/>
    <mergeCell ref="AX1424:AX1426"/>
    <mergeCell ref="AY1424:AY1426"/>
    <mergeCell ref="AZ1424:AZ1426"/>
    <mergeCell ref="BA1424:BA1426"/>
    <mergeCell ref="AV1427:AV1429"/>
    <mergeCell ref="AW1427:AW1429"/>
    <mergeCell ref="AX1427:AX1429"/>
    <mergeCell ref="AY1427:AY1429"/>
    <mergeCell ref="AZ1427:AZ1429"/>
    <mergeCell ref="BA1427:BA1429"/>
    <mergeCell ref="AV1430:AV1431"/>
    <mergeCell ref="AW1430:AW1431"/>
    <mergeCell ref="AX1430:AX1431"/>
    <mergeCell ref="AY1430:AY1431"/>
    <mergeCell ref="AZ1430:AZ1431"/>
    <mergeCell ref="BA1430:BA1431"/>
    <mergeCell ref="AV1432:AV1434"/>
    <mergeCell ref="AW1432:AW1434"/>
    <mergeCell ref="AX1432:AX1434"/>
    <mergeCell ref="AY1432:AY1434"/>
    <mergeCell ref="AZ1432:AZ1434"/>
    <mergeCell ref="BA1432:BA1434"/>
    <mergeCell ref="AV1435:AV1437"/>
    <mergeCell ref="AW1435:AW1437"/>
    <mergeCell ref="AX1435:AX1437"/>
    <mergeCell ref="AY1435:AY1437"/>
    <mergeCell ref="AZ1435:AZ1437"/>
    <mergeCell ref="BA1435:BA1437"/>
    <mergeCell ref="AV1438:AV1440"/>
    <mergeCell ref="AW1438:AW1440"/>
    <mergeCell ref="AX1438:AX1440"/>
    <mergeCell ref="AY1438:AY1440"/>
    <mergeCell ref="AZ1438:AZ1440"/>
    <mergeCell ref="BA1438:BA1440"/>
    <mergeCell ref="AV1441:AV1443"/>
    <mergeCell ref="AW1441:AW1443"/>
    <mergeCell ref="AX1441:AX1443"/>
    <mergeCell ref="AY1441:AY1443"/>
    <mergeCell ref="AZ1441:AZ1443"/>
    <mergeCell ref="BA1441:BA1443"/>
    <mergeCell ref="AV1444:AV1445"/>
    <mergeCell ref="AW1444:AW1445"/>
    <mergeCell ref="AX1444:AX1445"/>
    <mergeCell ref="AY1444:AY1445"/>
    <mergeCell ref="AZ1444:AZ1445"/>
    <mergeCell ref="BA1444:BA1445"/>
    <mergeCell ref="AV1452:AV1453"/>
    <mergeCell ref="AW1452:AW1453"/>
    <mergeCell ref="AX1452:AX1453"/>
    <mergeCell ref="AY1452:AY1453"/>
    <mergeCell ref="AZ1452:AZ1453"/>
    <mergeCell ref="BA1452:BA1453"/>
    <mergeCell ref="AV1454:AV1455"/>
    <mergeCell ref="AW1454:AW1455"/>
    <mergeCell ref="AX1454:AX1455"/>
    <mergeCell ref="AY1454:AY1455"/>
    <mergeCell ref="AZ1454:AZ1455"/>
    <mergeCell ref="BA1454:BA1455"/>
    <mergeCell ref="AV1456:AV1457"/>
    <mergeCell ref="AW1456:AW1457"/>
    <mergeCell ref="AX1456:AX1457"/>
    <mergeCell ref="AY1456:AY1457"/>
    <mergeCell ref="AZ1456:AZ1457"/>
    <mergeCell ref="BA1456:BA1457"/>
    <mergeCell ref="AV1458:AV1459"/>
    <mergeCell ref="AW1458:AW1459"/>
    <mergeCell ref="AX1458:AX1459"/>
    <mergeCell ref="AY1458:AY1459"/>
    <mergeCell ref="AZ1458:AZ1459"/>
    <mergeCell ref="BA1458:BA1459"/>
    <mergeCell ref="AV1461:AV1462"/>
    <mergeCell ref="AW1461:AW1462"/>
    <mergeCell ref="AX1461:AX1462"/>
    <mergeCell ref="AY1461:AY1462"/>
    <mergeCell ref="AZ1461:AZ1462"/>
    <mergeCell ref="BA1461:BA1462"/>
    <mergeCell ref="AV1464:AV1465"/>
    <mergeCell ref="AW1464:AW1465"/>
    <mergeCell ref="AX1464:AX1465"/>
    <mergeCell ref="AY1464:AY1465"/>
    <mergeCell ref="AZ1464:AZ1465"/>
    <mergeCell ref="BA1464:BA1465"/>
    <mergeCell ref="AV1466:AV1467"/>
    <mergeCell ref="AW1466:AW1467"/>
    <mergeCell ref="AX1466:AX1467"/>
    <mergeCell ref="AY1466:AY1467"/>
    <mergeCell ref="AZ1466:AZ1467"/>
    <mergeCell ref="BA1466:BA1467"/>
    <mergeCell ref="AV1469:AV1472"/>
    <mergeCell ref="AW1469:AW1472"/>
    <mergeCell ref="AX1469:AX1472"/>
    <mergeCell ref="AY1469:AY1472"/>
    <mergeCell ref="AZ1469:AZ1472"/>
    <mergeCell ref="BA1469:BA1472"/>
    <mergeCell ref="AV1476:AV1479"/>
    <mergeCell ref="AW1476:AW1479"/>
    <mergeCell ref="AX1476:AX1479"/>
    <mergeCell ref="AY1476:AY1479"/>
    <mergeCell ref="AZ1476:AZ1479"/>
    <mergeCell ref="BA1476:BA1479"/>
    <mergeCell ref="AV1481:AV1483"/>
    <mergeCell ref="AW1481:AW1483"/>
    <mergeCell ref="AX1481:AX1483"/>
    <mergeCell ref="AY1481:AY1483"/>
    <mergeCell ref="AZ1481:AZ1483"/>
    <mergeCell ref="BA1481:BA1483"/>
    <mergeCell ref="AV1484:AV1486"/>
    <mergeCell ref="AW1484:AW1486"/>
    <mergeCell ref="AX1484:AX1486"/>
    <mergeCell ref="AY1484:AY1486"/>
    <mergeCell ref="AZ1484:AZ1486"/>
    <mergeCell ref="BA1484:BA1486"/>
    <mergeCell ref="AV1487:AV1488"/>
    <mergeCell ref="AW1487:AW1488"/>
    <mergeCell ref="AX1487:AX1488"/>
    <mergeCell ref="AY1487:AY1488"/>
    <mergeCell ref="AZ1487:AZ1488"/>
    <mergeCell ref="BA1487:BA1488"/>
    <mergeCell ref="AV1496:AV1498"/>
    <mergeCell ref="AW1496:AW1498"/>
    <mergeCell ref="AX1496:AX1498"/>
    <mergeCell ref="AY1496:AY1498"/>
    <mergeCell ref="AZ1496:AZ1498"/>
    <mergeCell ref="BA1496:BA1498"/>
    <mergeCell ref="AV1500:AV1501"/>
    <mergeCell ref="AW1500:AW1501"/>
    <mergeCell ref="AX1500:AX1501"/>
    <mergeCell ref="AY1500:AY1501"/>
    <mergeCell ref="AZ1500:AZ1501"/>
    <mergeCell ref="BA1500:BA1501"/>
    <mergeCell ref="AV1502:AV1503"/>
    <mergeCell ref="AW1502:AW1503"/>
    <mergeCell ref="AX1502:AX1503"/>
    <mergeCell ref="AY1502:AY1503"/>
    <mergeCell ref="AZ1502:AZ1503"/>
    <mergeCell ref="BA1502:BA1503"/>
    <mergeCell ref="AV1510:AV1511"/>
    <mergeCell ref="AW1510:AW1511"/>
    <mergeCell ref="AX1510:AX1511"/>
    <mergeCell ref="AY1510:AY1511"/>
    <mergeCell ref="AZ1510:AZ1511"/>
    <mergeCell ref="BA1510:BA1511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8:AV1519"/>
    <mergeCell ref="AW1518:AW1519"/>
    <mergeCell ref="AX1518:AX1519"/>
    <mergeCell ref="AY1518:AY1519"/>
    <mergeCell ref="AZ1518:AZ1519"/>
    <mergeCell ref="BA1518:BA1519"/>
    <mergeCell ref="AV1524:AV1525"/>
    <mergeCell ref="AW1524:AW1525"/>
    <mergeCell ref="AX1524:AX1525"/>
    <mergeCell ref="AY1524:AY1525"/>
    <mergeCell ref="AZ1524:AZ1525"/>
    <mergeCell ref="BA1524:BA1525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1:AV1532"/>
    <mergeCell ref="AW1531:AW1532"/>
    <mergeCell ref="AX1531:AX1532"/>
    <mergeCell ref="AY1531:AY1532"/>
    <mergeCell ref="AZ1531:AZ1532"/>
    <mergeCell ref="BA1531:BA1532"/>
    <mergeCell ref="AV1533:AV1538"/>
    <mergeCell ref="AW1533:AW1538"/>
    <mergeCell ref="AX1533:AX1538"/>
    <mergeCell ref="AY1533:AY1538"/>
    <mergeCell ref="AZ1533:AZ1538"/>
    <mergeCell ref="BA1533:BA1538"/>
    <mergeCell ref="AV1539:AV1544"/>
    <mergeCell ref="AW1539:AW1544"/>
    <mergeCell ref="AX1539:AX1544"/>
    <mergeCell ref="AY1539:AY1544"/>
    <mergeCell ref="AZ1539:AZ1544"/>
    <mergeCell ref="BA1539:BA1544"/>
    <mergeCell ref="AV1545:AV1549"/>
    <mergeCell ref="AW1545:AW1549"/>
    <mergeCell ref="AX1545:AX1549"/>
    <mergeCell ref="AY1545:AY1549"/>
    <mergeCell ref="AZ1545:AZ1549"/>
    <mergeCell ref="BA1545:BA1549"/>
    <mergeCell ref="AV1550:AV1552"/>
    <mergeCell ref="AW1550:AW1552"/>
    <mergeCell ref="AX1550:AX1552"/>
    <mergeCell ref="AY1550:AY1552"/>
    <mergeCell ref="AZ1550:AZ1552"/>
    <mergeCell ref="BA1550:BA1552"/>
    <mergeCell ref="AV1553:AV1554"/>
    <mergeCell ref="AW1553:AW1554"/>
    <mergeCell ref="AX1553:AX1554"/>
    <mergeCell ref="AY1553:AY1554"/>
    <mergeCell ref="AZ1553:AZ1554"/>
    <mergeCell ref="BA1553:BA1554"/>
    <mergeCell ref="AV1555:AV1557"/>
    <mergeCell ref="AW1555:AW1557"/>
    <mergeCell ref="AX1555:AX1557"/>
    <mergeCell ref="AY1555:AY1557"/>
    <mergeCell ref="AZ1555:AZ1557"/>
    <mergeCell ref="BA1555:BA1557"/>
    <mergeCell ref="AV1558:AV1559"/>
    <mergeCell ref="AW1558:AW1559"/>
    <mergeCell ref="AX1558:AX1559"/>
    <mergeCell ref="AY1558:AY1559"/>
    <mergeCell ref="AZ1558:AZ1559"/>
    <mergeCell ref="BA1558:BA1559"/>
    <mergeCell ref="AV1560:AV1562"/>
    <mergeCell ref="AW1560:AW1562"/>
    <mergeCell ref="AX1560:AX1562"/>
    <mergeCell ref="AY1560:AY1562"/>
    <mergeCell ref="AZ1560:AZ1562"/>
    <mergeCell ref="BA1560:BA1562"/>
    <mergeCell ref="AV1563:AV1564"/>
    <mergeCell ref="AW1563:AW1564"/>
    <mergeCell ref="AX1563:AX1564"/>
    <mergeCell ref="AY1563:AY1564"/>
    <mergeCell ref="AZ1563:AZ1564"/>
    <mergeCell ref="BA1563:BA1564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88:AV1589"/>
    <mergeCell ref="AW1588:AW1589"/>
    <mergeCell ref="AX1588:AX1589"/>
    <mergeCell ref="AY1588:AY1589"/>
    <mergeCell ref="AZ1588:AZ1589"/>
    <mergeCell ref="BA1588:BA1589"/>
    <mergeCell ref="AV1590:AV1593"/>
    <mergeCell ref="AW1590:AW1593"/>
    <mergeCell ref="AX1590:AX1593"/>
    <mergeCell ref="AY1590:AY1593"/>
    <mergeCell ref="AZ1590:AZ1593"/>
    <mergeCell ref="BA1590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8:AV1599"/>
    <mergeCell ref="AW1598:AW1599"/>
    <mergeCell ref="AX1598:AX1599"/>
    <mergeCell ref="AY1598:AY1599"/>
    <mergeCell ref="AZ1598:AZ1599"/>
    <mergeCell ref="BA1598:BA1599"/>
    <mergeCell ref="AV1600:AV1604"/>
    <mergeCell ref="AW1600:AW1604"/>
    <mergeCell ref="AX1600:AX1604"/>
    <mergeCell ref="AY1600:AY1604"/>
    <mergeCell ref="AZ1600:AZ1604"/>
    <mergeCell ref="BA1600:BA1604"/>
    <mergeCell ref="AV1605:AV1609"/>
    <mergeCell ref="AW1605:AW1609"/>
    <mergeCell ref="AX1605:AX1609"/>
    <mergeCell ref="AY1605:AY1609"/>
    <mergeCell ref="AZ1605:AZ1609"/>
    <mergeCell ref="BA1605:BA1609"/>
    <mergeCell ref="AV1610:AV1612"/>
    <mergeCell ref="AW1610:AW1612"/>
    <mergeCell ref="AX1610:AX1612"/>
    <mergeCell ref="AY1610:AY1612"/>
    <mergeCell ref="AZ1610:AZ1612"/>
    <mergeCell ref="BA1610:BA1612"/>
    <mergeCell ref="AV1624:AV1625"/>
    <mergeCell ref="AW1624:AW1625"/>
    <mergeCell ref="AX1624:AX1625"/>
    <mergeCell ref="AY1624:AY1625"/>
    <mergeCell ref="AZ1624:AZ1625"/>
    <mergeCell ref="BA1624:BA1625"/>
    <mergeCell ref="AV1630:AV1632"/>
    <mergeCell ref="AW1630:AW1632"/>
    <mergeCell ref="AX1630:AX1632"/>
    <mergeCell ref="AY1630:AY1632"/>
    <mergeCell ref="AZ1630:AZ1632"/>
    <mergeCell ref="BA1630:BA1632"/>
    <mergeCell ref="AV1633:AV1635"/>
    <mergeCell ref="AW1633:AW1635"/>
    <mergeCell ref="AX1633:AX1635"/>
    <mergeCell ref="AY1633:AY1635"/>
    <mergeCell ref="AZ1633:AZ1635"/>
    <mergeCell ref="BA1633:BA1635"/>
    <mergeCell ref="AV1636:AV1637"/>
    <mergeCell ref="AW1636:AW1637"/>
    <mergeCell ref="AX1636:AX1637"/>
    <mergeCell ref="AY1636:AY1637"/>
    <mergeCell ref="AZ1636:AZ1637"/>
    <mergeCell ref="BA1636:BA1637"/>
    <mergeCell ref="AV1638:AV1639"/>
    <mergeCell ref="AW1638:AW1639"/>
    <mergeCell ref="AX1638:AX1639"/>
    <mergeCell ref="AY1638:AY1639"/>
    <mergeCell ref="AZ1638:AZ1639"/>
    <mergeCell ref="BA1638:BA1639"/>
    <mergeCell ref="AV1644:AV1645"/>
    <mergeCell ref="AW1644:AW1645"/>
    <mergeCell ref="AX1644:AX1645"/>
    <mergeCell ref="AY1644:AY1645"/>
    <mergeCell ref="AZ1644:AZ1645"/>
    <mergeCell ref="BA1644:BA1645"/>
    <mergeCell ref="AV1646:AV1648"/>
    <mergeCell ref="AW1646:AW1648"/>
    <mergeCell ref="AX1646:AX1648"/>
    <mergeCell ref="AY1646:AY1648"/>
    <mergeCell ref="AZ1646:AZ1648"/>
    <mergeCell ref="BA1646:BA1648"/>
    <mergeCell ref="AV1655:AV1657"/>
    <mergeCell ref="AW1655:AW1657"/>
    <mergeCell ref="AX1655:AX1657"/>
    <mergeCell ref="AY1655:AY1657"/>
    <mergeCell ref="AZ1655:AZ1657"/>
    <mergeCell ref="BA1655:BA1657"/>
    <mergeCell ref="AV1658:AV1659"/>
    <mergeCell ref="AW1658:AW1659"/>
    <mergeCell ref="AX1658:AX1659"/>
    <mergeCell ref="AY1658:AY1659"/>
    <mergeCell ref="AZ1658:AZ1659"/>
    <mergeCell ref="BA1658:BA1659"/>
    <mergeCell ref="AV1660:AV1662"/>
    <mergeCell ref="AW1660:AW1662"/>
    <mergeCell ref="AX1660:AX1662"/>
    <mergeCell ref="AY1660:AY1662"/>
    <mergeCell ref="AZ1660:AZ1662"/>
    <mergeCell ref="BA1660:BA1662"/>
    <mergeCell ref="AV1663:AV1665"/>
    <mergeCell ref="AW1663:AW1665"/>
    <mergeCell ref="AX1663:AX1665"/>
    <mergeCell ref="AY1663:AY1665"/>
    <mergeCell ref="AZ1663:AZ1665"/>
    <mergeCell ref="BA1663:BA1665"/>
    <mergeCell ref="AV1666:AV1668"/>
    <mergeCell ref="AW1666:AW1668"/>
    <mergeCell ref="AX1666:AX1668"/>
    <mergeCell ref="AY1666:AY1668"/>
    <mergeCell ref="AZ1666:AZ1668"/>
    <mergeCell ref="BA1666:BA1668"/>
    <mergeCell ref="AV1677:AV1678"/>
    <mergeCell ref="AW1677:AW1678"/>
    <mergeCell ref="AX1677:AX1678"/>
    <mergeCell ref="AY1677:AY1678"/>
    <mergeCell ref="AZ1677:AZ1678"/>
    <mergeCell ref="BA1677:BA1678"/>
    <mergeCell ref="AV1683:AV1684"/>
    <mergeCell ref="AW1683:AW1684"/>
    <mergeCell ref="AX1683:AX1684"/>
    <mergeCell ref="AY1683:AY1684"/>
    <mergeCell ref="AZ1683:AZ1684"/>
    <mergeCell ref="BA1683:BA1684"/>
    <mergeCell ref="AV1685:AV1687"/>
    <mergeCell ref="AW1685:AW1687"/>
    <mergeCell ref="AX1685:AX1687"/>
    <mergeCell ref="AY1685:AY1687"/>
    <mergeCell ref="AZ1685:AZ1687"/>
    <mergeCell ref="BA1685:BA1687"/>
    <mergeCell ref="AV1688:AV1690"/>
    <mergeCell ref="AW1688:AW1690"/>
    <mergeCell ref="AX1688:AX1690"/>
    <mergeCell ref="AY1688:AY1690"/>
    <mergeCell ref="AZ1688:AZ1690"/>
    <mergeCell ref="BA1688:BA1690"/>
    <mergeCell ref="AV1691:AV1693"/>
    <mergeCell ref="AW1691:AW1693"/>
    <mergeCell ref="AX1691:AX1693"/>
    <mergeCell ref="AY1691:AY1693"/>
    <mergeCell ref="AZ1691:AZ1693"/>
    <mergeCell ref="BA1691:BA1693"/>
    <mergeCell ref="AV1694:AV1696"/>
    <mergeCell ref="AW1694:AW1696"/>
    <mergeCell ref="AX1694:AX1696"/>
    <mergeCell ref="AY1694:AY1696"/>
    <mergeCell ref="AZ1694:AZ1696"/>
    <mergeCell ref="BA1694:BA1696"/>
    <mergeCell ref="AV1697:AV1698"/>
    <mergeCell ref="AW1697:AW1698"/>
    <mergeCell ref="AX1697:AX1698"/>
    <mergeCell ref="AY1697:AY1698"/>
    <mergeCell ref="AZ1697:AZ1698"/>
    <mergeCell ref="BA1697:BA1698"/>
    <mergeCell ref="AV1700:AV1701"/>
    <mergeCell ref="AW1700:AW1701"/>
    <mergeCell ref="AX1700:AX1701"/>
    <mergeCell ref="AY1700:AY1701"/>
    <mergeCell ref="AZ1700:AZ1701"/>
    <mergeCell ref="BA1700:BA1701"/>
    <mergeCell ref="AV1704:AV1705"/>
    <mergeCell ref="AW1704:AW1705"/>
    <mergeCell ref="AX1704:AX1705"/>
    <mergeCell ref="AY1704:AY1705"/>
    <mergeCell ref="AZ1704:AZ1705"/>
    <mergeCell ref="BA1704:BA1705"/>
    <mergeCell ref="AV1707:AV1708"/>
    <mergeCell ref="AW1707:AW1708"/>
    <mergeCell ref="AX1707:AX1708"/>
    <mergeCell ref="AY1707:AY1708"/>
    <mergeCell ref="AZ1707:AZ1708"/>
    <mergeCell ref="BA1707:BA1708"/>
    <mergeCell ref="AV1712:AV1713"/>
    <mergeCell ref="AW1712:AW1713"/>
    <mergeCell ref="AX1712:AX1713"/>
    <mergeCell ref="AY1712:AY1713"/>
    <mergeCell ref="AZ1712:AZ1713"/>
    <mergeCell ref="BA1712:BA1713"/>
    <mergeCell ref="AV1714:AV1719"/>
    <mergeCell ref="AW1714:AW1719"/>
    <mergeCell ref="AX1714:AX1719"/>
    <mergeCell ref="AY1714:AY1719"/>
    <mergeCell ref="AZ1714:AZ1719"/>
    <mergeCell ref="BA1714:BA1719"/>
    <mergeCell ref="AV1721:AV1722"/>
    <mergeCell ref="AW1721:AW1722"/>
    <mergeCell ref="AX1721:AX1722"/>
    <mergeCell ref="AY1721:AY1722"/>
    <mergeCell ref="AZ1721:AZ1722"/>
    <mergeCell ref="BA1721:BA1722"/>
    <mergeCell ref="AV1732:AV1733"/>
    <mergeCell ref="AW1732:AW1733"/>
    <mergeCell ref="AX1732:AX1733"/>
    <mergeCell ref="AY1732:AY1733"/>
    <mergeCell ref="AZ1732:AZ1733"/>
    <mergeCell ref="BA1732:BA1733"/>
    <mergeCell ref="AV1738:AV1739"/>
    <mergeCell ref="AW1738:AW1739"/>
    <mergeCell ref="AX1738:AX1739"/>
    <mergeCell ref="AY1738:AY1739"/>
    <mergeCell ref="AZ1738:AZ1739"/>
    <mergeCell ref="BA1738:BA1739"/>
    <mergeCell ref="AV1744:AV1745"/>
    <mergeCell ref="AW1744:AW1745"/>
    <mergeCell ref="AX1744:AX1745"/>
    <mergeCell ref="AY1744:AY1745"/>
    <mergeCell ref="AZ1744:AZ1745"/>
    <mergeCell ref="BA1744:BA1745"/>
    <mergeCell ref="AV1746:AV1747"/>
    <mergeCell ref="AW1746:AW1747"/>
    <mergeCell ref="AX1746:AX1747"/>
    <mergeCell ref="AY1746:AY1747"/>
    <mergeCell ref="AZ1746:AZ1747"/>
    <mergeCell ref="BA1746:BA1747"/>
    <mergeCell ref="AV1748:AV1749"/>
    <mergeCell ref="AW1748:AW1749"/>
    <mergeCell ref="AX1748:AX1749"/>
    <mergeCell ref="AY1748:AY1749"/>
    <mergeCell ref="AZ1748:AZ1749"/>
    <mergeCell ref="BA1748:BA1749"/>
    <mergeCell ref="AV1751:AV1752"/>
    <mergeCell ref="AW1751:AW1752"/>
    <mergeCell ref="AX1751:AX1752"/>
    <mergeCell ref="AY1751:AY1752"/>
    <mergeCell ref="AZ1751:AZ1752"/>
    <mergeCell ref="BA1751:BA1752"/>
    <mergeCell ref="AV1760:AV1761"/>
    <mergeCell ref="AW1760:AW1761"/>
    <mergeCell ref="AX1760:AX1761"/>
    <mergeCell ref="AY1760:AY1761"/>
    <mergeCell ref="AZ1760:AZ1761"/>
    <mergeCell ref="BA1760:BA1761"/>
    <mergeCell ref="AV1771:AV1772"/>
    <mergeCell ref="AW1771:AW1772"/>
    <mergeCell ref="AX1771:AX1772"/>
    <mergeCell ref="AY1771:AY1772"/>
    <mergeCell ref="AZ1771:AZ1772"/>
    <mergeCell ref="BA1771:BA1772"/>
    <mergeCell ref="AV1774:AV1775"/>
    <mergeCell ref="AW1774:AW1775"/>
    <mergeCell ref="AX1774:AX1775"/>
    <mergeCell ref="AY1774:AY1775"/>
    <mergeCell ref="AZ1774:AZ1775"/>
    <mergeCell ref="BA1774:BA1775"/>
    <mergeCell ref="AV1776:AV1777"/>
    <mergeCell ref="AW1776:AW1777"/>
    <mergeCell ref="AX1776:AX1777"/>
    <mergeCell ref="AY1776:AY1777"/>
    <mergeCell ref="AZ1776:AZ1777"/>
    <mergeCell ref="BA1776:BA1777"/>
    <mergeCell ref="AV1780:AV1784"/>
    <mergeCell ref="AW1780:AW1784"/>
    <mergeCell ref="AX1780:AX1784"/>
    <mergeCell ref="AY1780:AY1784"/>
    <mergeCell ref="AZ1780:AZ1784"/>
    <mergeCell ref="BA1780:BA1784"/>
    <mergeCell ref="AV1785:AV1789"/>
    <mergeCell ref="AW1785:AW1789"/>
    <mergeCell ref="AX1785:AX1789"/>
    <mergeCell ref="AY1785:AY1789"/>
    <mergeCell ref="AZ1785:AZ1789"/>
    <mergeCell ref="BA1785:BA1789"/>
    <mergeCell ref="AV1790:AV1793"/>
    <mergeCell ref="AW1790:AW1793"/>
    <mergeCell ref="AX1790:AX1793"/>
    <mergeCell ref="AY1790:AY1793"/>
    <mergeCell ref="AZ1790:AZ1793"/>
    <mergeCell ref="BA1790:BA1793"/>
    <mergeCell ref="AV1795:AV1796"/>
    <mergeCell ref="AW1795:AW1796"/>
    <mergeCell ref="AX1795:AX1796"/>
    <mergeCell ref="AY1795:AY1796"/>
    <mergeCell ref="AZ1795:AZ1796"/>
    <mergeCell ref="BA1795:BA1796"/>
    <mergeCell ref="AV1798:AV1799"/>
    <mergeCell ref="AW1798:AW1799"/>
    <mergeCell ref="AX1798:AX1799"/>
    <mergeCell ref="AY1798:AY1799"/>
    <mergeCell ref="AZ1798:AZ1799"/>
    <mergeCell ref="BA1798:BA1799"/>
    <mergeCell ref="AV1801:AV1803"/>
    <mergeCell ref="AW1801:AW1803"/>
    <mergeCell ref="AX1801:AX1803"/>
    <mergeCell ref="AY1801:AY1803"/>
    <mergeCell ref="AZ1801:AZ1803"/>
    <mergeCell ref="BA1801:BA1803"/>
    <mergeCell ref="AV1806:AV1810"/>
    <mergeCell ref="AW1806:AW1810"/>
    <mergeCell ref="AX1806:AX1810"/>
    <mergeCell ref="AY1806:AY1810"/>
    <mergeCell ref="AZ1806:AZ1810"/>
    <mergeCell ref="BA1806:BA1810"/>
    <mergeCell ref="AV1811:AV1815"/>
    <mergeCell ref="AW1811:AW1815"/>
    <mergeCell ref="AX1811:AX1815"/>
    <mergeCell ref="AY1811:AY1815"/>
    <mergeCell ref="AZ1811:AZ1815"/>
    <mergeCell ref="BA1811:BA1815"/>
    <mergeCell ref="AV1818:AV1822"/>
    <mergeCell ref="AW1818:AW1822"/>
    <mergeCell ref="AX1818:AX1822"/>
    <mergeCell ref="AY1818:AY1822"/>
    <mergeCell ref="AZ1818:AZ1822"/>
    <mergeCell ref="BA1818:BA1822"/>
    <mergeCell ref="AV1823:AV1824"/>
    <mergeCell ref="AW1823:AW1824"/>
    <mergeCell ref="AX1823:AX1824"/>
    <mergeCell ref="AY1823:AY1824"/>
    <mergeCell ref="AZ1823:AZ1824"/>
    <mergeCell ref="BA1823:BA1824"/>
    <mergeCell ref="AV1825:AV1826"/>
    <mergeCell ref="AW1825:AW1826"/>
    <mergeCell ref="AX1825:AX1826"/>
    <mergeCell ref="AY1825:AY1826"/>
    <mergeCell ref="AZ1825:AZ1826"/>
    <mergeCell ref="BA1825:BA1826"/>
    <mergeCell ref="AV1829:AV1834"/>
    <mergeCell ref="AW1829:AW1834"/>
    <mergeCell ref="AX1829:AX1834"/>
    <mergeCell ref="AY1829:AY1834"/>
    <mergeCell ref="AZ1829:AZ1834"/>
    <mergeCell ref="BA1829:BA1834"/>
    <mergeCell ref="AV1835:AV1838"/>
    <mergeCell ref="AW1835:AW1838"/>
    <mergeCell ref="AX1835:AX1838"/>
    <mergeCell ref="AY1835:AY1838"/>
    <mergeCell ref="AZ1835:AZ1838"/>
    <mergeCell ref="BA1835:BA1838"/>
    <mergeCell ref="AV1839:AV1844"/>
    <mergeCell ref="AW1839:AW1844"/>
    <mergeCell ref="AX1839:AX1844"/>
    <mergeCell ref="AY1839:AY1844"/>
    <mergeCell ref="AZ1839:AZ1844"/>
    <mergeCell ref="BA1839:BA1844"/>
    <mergeCell ref="AV1846:AV1848"/>
    <mergeCell ref="AW1846:AW1848"/>
    <mergeCell ref="AX1846:AX1848"/>
    <mergeCell ref="AY1846:AY1848"/>
    <mergeCell ref="AZ1846:AZ1848"/>
    <mergeCell ref="BA1846:BA1848"/>
    <mergeCell ref="AV1855:AV1856"/>
    <mergeCell ref="AW1855:AW1856"/>
    <mergeCell ref="AX1855:AX1856"/>
    <mergeCell ref="AY1855:AY1856"/>
    <mergeCell ref="AZ1855:AZ1856"/>
    <mergeCell ref="BA1855:BA1856"/>
    <mergeCell ref="AV1857:AV1859"/>
    <mergeCell ref="AW1857:AW1859"/>
    <mergeCell ref="AX1857:AX1859"/>
    <mergeCell ref="AY1857:AY1859"/>
    <mergeCell ref="AZ1857:AZ1859"/>
    <mergeCell ref="BA1857:BA1859"/>
    <mergeCell ref="AV1860:AV1862"/>
    <mergeCell ref="AW1860:AW1862"/>
    <mergeCell ref="AX1860:AX1862"/>
    <mergeCell ref="AY1860:AY1862"/>
    <mergeCell ref="AZ1860:AZ1862"/>
    <mergeCell ref="BA1860:BA1862"/>
    <mergeCell ref="AV1863:AV1865"/>
    <mergeCell ref="AW1863:AW1865"/>
    <mergeCell ref="AX1863:AX1865"/>
    <mergeCell ref="AY1863:AY1865"/>
    <mergeCell ref="AZ1863:AZ1865"/>
    <mergeCell ref="BA1863:BA1865"/>
    <mergeCell ref="AV1874:AV1877"/>
    <mergeCell ref="AW1874:AW1877"/>
    <mergeCell ref="AX1874:AX1877"/>
    <mergeCell ref="AY1874:AY1877"/>
    <mergeCell ref="AZ1874:AZ1877"/>
    <mergeCell ref="BA1874:BA1877"/>
    <mergeCell ref="AV1883:AV1884"/>
    <mergeCell ref="AW1883:AW1884"/>
    <mergeCell ref="AX1883:AX1884"/>
    <mergeCell ref="AY1883:AY1884"/>
    <mergeCell ref="AZ1883:AZ1884"/>
    <mergeCell ref="BA1883:BA1884"/>
    <mergeCell ref="AV1886:AV1887"/>
    <mergeCell ref="AW1886:AW1887"/>
    <mergeCell ref="AX1886:AX1887"/>
    <mergeCell ref="AY1886:AY1887"/>
    <mergeCell ref="AZ1886:AZ1887"/>
    <mergeCell ref="BA1886:BA1887"/>
    <mergeCell ref="AV1888:AV1889"/>
    <mergeCell ref="AW1888:AW1889"/>
    <mergeCell ref="AX1888:AX1889"/>
    <mergeCell ref="AY1888:AY1889"/>
    <mergeCell ref="AZ1888:AZ1889"/>
    <mergeCell ref="BA1888:BA1889"/>
    <mergeCell ref="AV1890:AV1891"/>
    <mergeCell ref="AW1890:AW1891"/>
    <mergeCell ref="AX1890:AX1891"/>
    <mergeCell ref="AY1890:AY1891"/>
    <mergeCell ref="AZ1890:AZ1891"/>
    <mergeCell ref="BA1890:BA1891"/>
    <mergeCell ref="AV1893:AV1895"/>
    <mergeCell ref="AW1893:AW1895"/>
    <mergeCell ref="AX1893:AX1895"/>
    <mergeCell ref="AY1893:AY1895"/>
    <mergeCell ref="AZ1893:AZ1895"/>
    <mergeCell ref="BA1893:BA1895"/>
    <mergeCell ref="AV1898:AV1899"/>
    <mergeCell ref="AW1898:AW1899"/>
    <mergeCell ref="AX1898:AX1899"/>
    <mergeCell ref="AY1898:AY1899"/>
    <mergeCell ref="AZ1898:AZ1899"/>
    <mergeCell ref="BA1898:BA1899"/>
    <mergeCell ref="AV1900:AV1901"/>
    <mergeCell ref="AW1900:AW1901"/>
    <mergeCell ref="AX1900:AX1901"/>
    <mergeCell ref="AY1900:AY1901"/>
    <mergeCell ref="AZ1900:AZ1901"/>
    <mergeCell ref="BA1900:BA1901"/>
    <mergeCell ref="AV1903:AV1904"/>
    <mergeCell ref="AW1903:AW1904"/>
    <mergeCell ref="AX1903:AX1904"/>
    <mergeCell ref="AY1903:AY1904"/>
    <mergeCell ref="AZ1903:AZ1904"/>
    <mergeCell ref="BA1903:BA1904"/>
    <mergeCell ref="AV1905:AV1906"/>
    <mergeCell ref="AW1905:AW1906"/>
    <mergeCell ref="AX1905:AX1906"/>
    <mergeCell ref="AY1905:AY1906"/>
    <mergeCell ref="AZ1905:AZ1906"/>
    <mergeCell ref="BA1905:BA1906"/>
    <mergeCell ref="AV1914:AV1915"/>
    <mergeCell ref="AW1914:AW1915"/>
    <mergeCell ref="AX1914:AX1915"/>
    <mergeCell ref="AY1914:AY1915"/>
    <mergeCell ref="AZ1914:AZ1915"/>
    <mergeCell ref="BA1914:BA1915"/>
    <mergeCell ref="AV1917:AV1919"/>
    <mergeCell ref="AW1917:AW1919"/>
    <mergeCell ref="AX1917:AX1919"/>
    <mergeCell ref="AY1917:AY1919"/>
    <mergeCell ref="AZ1917:AZ1919"/>
    <mergeCell ref="BA1917:BA1919"/>
    <mergeCell ref="AV1921:AV1922"/>
    <mergeCell ref="AW1921:AW1922"/>
    <mergeCell ref="AX1921:AX1922"/>
    <mergeCell ref="AY1921:AY1922"/>
    <mergeCell ref="AZ1921:AZ1922"/>
    <mergeCell ref="BA1921:BA1922"/>
    <mergeCell ref="AV1926:AV1931"/>
    <mergeCell ref="AW1926:AW1931"/>
    <mergeCell ref="AX1926:AX1931"/>
    <mergeCell ref="AY1926:AY1931"/>
    <mergeCell ref="AZ1926:AZ1931"/>
    <mergeCell ref="BA1926:BA1931"/>
    <mergeCell ref="AV1932:AV1937"/>
    <mergeCell ref="AW1932:AW1937"/>
    <mergeCell ref="AX1932:AX1937"/>
    <mergeCell ref="AY1932:AY1937"/>
    <mergeCell ref="AZ1932:AZ1937"/>
    <mergeCell ref="BA1932:BA1937"/>
    <mergeCell ref="AV1938:AV1943"/>
    <mergeCell ref="AW1938:AW1943"/>
    <mergeCell ref="AX1938:AX1943"/>
    <mergeCell ref="AY1938:AY1943"/>
    <mergeCell ref="AZ1938:AZ1943"/>
    <mergeCell ref="BA1938:BA1943"/>
    <mergeCell ref="AV1945:AV1950"/>
    <mergeCell ref="AW1945:AW1950"/>
    <mergeCell ref="AX1945:AX1950"/>
    <mergeCell ref="AY1945:AY1950"/>
    <mergeCell ref="AZ1945:AZ1950"/>
    <mergeCell ref="BA1945:BA1950"/>
    <mergeCell ref="AV1951:AV1956"/>
    <mergeCell ref="AW1951:AW1956"/>
    <mergeCell ref="AX1951:AX1956"/>
    <mergeCell ref="AY1951:AY1956"/>
    <mergeCell ref="AZ1951:AZ1956"/>
    <mergeCell ref="BA1951:BA1956"/>
    <mergeCell ref="AV1957:AV1961"/>
    <mergeCell ref="AW1957:AW1961"/>
    <mergeCell ref="AX1957:AX1961"/>
    <mergeCell ref="AY1957:AY1961"/>
    <mergeCell ref="AZ1957:AZ1961"/>
    <mergeCell ref="BA1957:BA1961"/>
    <mergeCell ref="AV1962:AV1967"/>
    <mergeCell ref="AW1962:AW1967"/>
    <mergeCell ref="AX1962:AX1967"/>
    <mergeCell ref="AY1962:AY1967"/>
    <mergeCell ref="AZ1962:AZ1967"/>
    <mergeCell ref="BA1962:BA1967"/>
    <mergeCell ref="AV1969:AV1972"/>
    <mergeCell ref="AW1969:AW1972"/>
    <mergeCell ref="AX1969:AX1972"/>
    <mergeCell ref="AY1969:AY1972"/>
    <mergeCell ref="AZ1969:AZ1972"/>
    <mergeCell ref="BA1969:BA1972"/>
    <mergeCell ref="AV1973:AV1976"/>
    <mergeCell ref="AW1973:AW1976"/>
    <mergeCell ref="AX1973:AX1976"/>
    <mergeCell ref="AY1973:AY1976"/>
    <mergeCell ref="AZ1973:AZ1976"/>
    <mergeCell ref="BA1973:BA1976"/>
    <mergeCell ref="AV1977:AV1980"/>
    <mergeCell ref="AW1977:AW1980"/>
    <mergeCell ref="AX1977:AX1980"/>
    <mergeCell ref="AY1977:AY1980"/>
    <mergeCell ref="AZ1977:AZ1980"/>
    <mergeCell ref="BA1977:BA1980"/>
    <mergeCell ref="AV1981:AV1985"/>
    <mergeCell ref="AW1981:AW1985"/>
    <mergeCell ref="AX1981:AX1985"/>
    <mergeCell ref="AY1981:AY1985"/>
    <mergeCell ref="AZ1981:AZ1985"/>
    <mergeCell ref="BA1981:BA1985"/>
    <mergeCell ref="AV1986:AV1991"/>
    <mergeCell ref="AW1986:AW1991"/>
    <mergeCell ref="AX1986:AX1991"/>
    <mergeCell ref="AY1986:AY1991"/>
    <mergeCell ref="AZ1986:AZ1991"/>
    <mergeCell ref="BA1986:BA1991"/>
    <mergeCell ref="AV1992:AV1995"/>
    <mergeCell ref="AW1992:AW1995"/>
    <mergeCell ref="AX1992:AX1995"/>
    <mergeCell ref="AY1992:AY1995"/>
    <mergeCell ref="AZ1992:AZ1995"/>
    <mergeCell ref="BA1992:BA1995"/>
    <mergeCell ref="AV1996:AV1999"/>
    <mergeCell ref="AW1996:AW1999"/>
    <mergeCell ref="AX1996:AX1999"/>
    <mergeCell ref="AY1996:AY1999"/>
    <mergeCell ref="AZ1996:AZ1999"/>
    <mergeCell ref="BA1996:BA1999"/>
    <mergeCell ref="AV2000:AV2005"/>
    <mergeCell ref="AW2000:AW2005"/>
    <mergeCell ref="AX2000:AX2005"/>
    <mergeCell ref="AY2000:AY2005"/>
    <mergeCell ref="AZ2000:AZ2005"/>
    <mergeCell ref="BA2000:BA2005"/>
    <mergeCell ref="AV2007:AV2011"/>
    <mergeCell ref="AW2007:AW2011"/>
    <mergeCell ref="AX2007:AX2011"/>
    <mergeCell ref="AY2007:AY2011"/>
    <mergeCell ref="AZ2007:AZ2011"/>
    <mergeCell ref="BA2007:BA2011"/>
    <mergeCell ref="AV2012:AV2015"/>
    <mergeCell ref="AW2012:AW2015"/>
    <mergeCell ref="AX2012:AX2015"/>
    <mergeCell ref="AY2012:AY2015"/>
    <mergeCell ref="AZ2012:AZ2015"/>
    <mergeCell ref="BA2012:BA2015"/>
    <mergeCell ref="AV2016:AV2021"/>
    <mergeCell ref="AW2016:AW2021"/>
    <mergeCell ref="AX2016:AX2021"/>
    <mergeCell ref="AY2016:AY2021"/>
    <mergeCell ref="AZ2016:AZ2021"/>
    <mergeCell ref="BA2016:BA2021"/>
    <mergeCell ref="AV2022:AV2027"/>
    <mergeCell ref="AW2022:AW2027"/>
    <mergeCell ref="AX2022:AX2027"/>
    <mergeCell ref="AY2022:AY2027"/>
    <mergeCell ref="AZ2022:AZ2027"/>
    <mergeCell ref="BA2022:BA2027"/>
    <mergeCell ref="AV2028:AV2031"/>
    <mergeCell ref="AW2028:AW2031"/>
    <mergeCell ref="AX2028:AX2031"/>
    <mergeCell ref="AY2028:AY2031"/>
    <mergeCell ref="AZ2028:AZ2031"/>
    <mergeCell ref="BA2028:BA2031"/>
    <mergeCell ref="AV2032:AV2037"/>
    <mergeCell ref="AW2032:AW2037"/>
    <mergeCell ref="AX2032:AX2037"/>
    <mergeCell ref="AY2032:AY2037"/>
    <mergeCell ref="AZ2032:AZ2037"/>
    <mergeCell ref="BA2032:BA2037"/>
    <mergeCell ref="AV2038:AV2041"/>
    <mergeCell ref="AW2038:AW2041"/>
    <mergeCell ref="AX2038:AX2041"/>
    <mergeCell ref="AY2038:AY2041"/>
    <mergeCell ref="AZ2038:AZ2041"/>
    <mergeCell ref="BA2038:BA2041"/>
    <mergeCell ref="AV2042:AV2047"/>
    <mergeCell ref="AW2042:AW2047"/>
    <mergeCell ref="AX2042:AX2047"/>
    <mergeCell ref="AY2042:AY2047"/>
    <mergeCell ref="AZ2042:AZ2047"/>
    <mergeCell ref="BA2042:BA2047"/>
    <mergeCell ref="AV2050:AV2053"/>
    <mergeCell ref="AW2050:AW2053"/>
    <mergeCell ref="AX2050:AX2053"/>
    <mergeCell ref="AY2050:AY2053"/>
    <mergeCell ref="AZ2050:AZ2053"/>
    <mergeCell ref="BA2050:BA2053"/>
    <mergeCell ref="AV2054:AV2058"/>
    <mergeCell ref="AW2054:AW2058"/>
    <mergeCell ref="AX2054:AX2058"/>
    <mergeCell ref="AY2054:AY2058"/>
    <mergeCell ref="AZ2054:AZ2058"/>
    <mergeCell ref="BA2054:BA2058"/>
    <mergeCell ref="AV2059:AV2061"/>
    <mergeCell ref="AW2059:AW2061"/>
    <mergeCell ref="AX2059:AX2061"/>
    <mergeCell ref="AY2059:AY2061"/>
    <mergeCell ref="AZ2059:AZ2061"/>
    <mergeCell ref="BA2059:BA2061"/>
    <mergeCell ref="AV2062:AV2064"/>
    <mergeCell ref="AW2062:AW2064"/>
    <mergeCell ref="AX2062:AX2064"/>
    <mergeCell ref="AY2062:AY2064"/>
    <mergeCell ref="AZ2062:AZ2064"/>
    <mergeCell ref="BA2062:BA2064"/>
    <mergeCell ref="AV2065:AV2067"/>
    <mergeCell ref="AW2065:AW2067"/>
    <mergeCell ref="AX2065:AX2067"/>
    <mergeCell ref="AY2065:AY2067"/>
    <mergeCell ref="AZ2065:AZ2067"/>
    <mergeCell ref="BA2065:BA2067"/>
    <mergeCell ref="AV2068:AV2070"/>
    <mergeCell ref="AW2068:AW2070"/>
    <mergeCell ref="AX2068:AX2070"/>
    <mergeCell ref="AY2068:AY2070"/>
    <mergeCell ref="AZ2068:AZ2070"/>
    <mergeCell ref="BA2068:BA2070"/>
    <mergeCell ref="AV2071:AV2073"/>
    <mergeCell ref="AW2071:AW2073"/>
    <mergeCell ref="AX2071:AX2073"/>
    <mergeCell ref="AY2071:AY2073"/>
    <mergeCell ref="AZ2071:AZ2073"/>
    <mergeCell ref="BA2071:BA2073"/>
    <mergeCell ref="AV2076:AV2077"/>
    <mergeCell ref="AW2076:AW2077"/>
    <mergeCell ref="AX2076:AX2077"/>
    <mergeCell ref="AY2076:AY2077"/>
    <mergeCell ref="AZ2076:AZ2077"/>
    <mergeCell ref="BA2076:BA2077"/>
    <mergeCell ref="AV2078:AV2079"/>
    <mergeCell ref="AW2078:AW2079"/>
    <mergeCell ref="AX2078:AX2079"/>
    <mergeCell ref="AY2078:AY2079"/>
    <mergeCell ref="AZ2078:AZ2079"/>
    <mergeCell ref="BA2078:BA2079"/>
    <mergeCell ref="AV2082:AV2084"/>
    <mergeCell ref="AW2082:AW2084"/>
    <mergeCell ref="AX2082:AX2084"/>
    <mergeCell ref="AY2082:AY2084"/>
    <mergeCell ref="AZ2082:AZ2084"/>
    <mergeCell ref="BA2082:BA2084"/>
    <mergeCell ref="AV2086:AV2087"/>
    <mergeCell ref="AW2086:AW2087"/>
    <mergeCell ref="AX2086:AX2087"/>
    <mergeCell ref="AY2086:AY2087"/>
    <mergeCell ref="AZ2086:AZ2087"/>
    <mergeCell ref="BA2086:BA2087"/>
    <mergeCell ref="AV2090:AV2091"/>
    <mergeCell ref="AW2090:AW2091"/>
    <mergeCell ref="AX2090:AX2091"/>
    <mergeCell ref="AY2090:AY2091"/>
    <mergeCell ref="AZ2090:AZ2091"/>
    <mergeCell ref="BA2090:BA2091"/>
    <mergeCell ref="AV2095:AV2097"/>
    <mergeCell ref="AW2095:AW2097"/>
    <mergeCell ref="AX2095:AX2097"/>
    <mergeCell ref="AY2095:AY2097"/>
    <mergeCell ref="AZ2095:AZ2097"/>
    <mergeCell ref="BA2095:BA2097"/>
    <mergeCell ref="AV2098:AV2100"/>
    <mergeCell ref="AW2098:AW2100"/>
    <mergeCell ref="AX2098:AX2100"/>
    <mergeCell ref="AY2098:AY2100"/>
    <mergeCell ref="AZ2098:AZ2100"/>
    <mergeCell ref="BA2098:BA2100"/>
    <mergeCell ref="AV2101:AV2103"/>
    <mergeCell ref="AW2101:AW2103"/>
    <mergeCell ref="AX2101:AX2103"/>
    <mergeCell ref="AY2101:AY2103"/>
    <mergeCell ref="AZ2101:AZ2103"/>
    <mergeCell ref="BA2101:BA2103"/>
    <mergeCell ref="AV2104:AV2106"/>
    <mergeCell ref="AW2104:AW2106"/>
    <mergeCell ref="AX2104:AX2106"/>
    <mergeCell ref="AY2104:AY2106"/>
    <mergeCell ref="AZ2104:AZ2106"/>
    <mergeCell ref="BA2104:BA2106"/>
    <mergeCell ref="AV2107:AV2109"/>
    <mergeCell ref="AW2107:AW2109"/>
    <mergeCell ref="AX2107:AX2109"/>
    <mergeCell ref="AY2107:AY2109"/>
    <mergeCell ref="AZ2107:AZ2109"/>
    <mergeCell ref="BA2107:BA2109"/>
    <mergeCell ref="AV2110:AV2112"/>
    <mergeCell ref="AW2110:AW2112"/>
    <mergeCell ref="AX2110:AX2112"/>
    <mergeCell ref="AY2110:AY2112"/>
    <mergeCell ref="AZ2110:AZ2112"/>
    <mergeCell ref="BA2110:BA2112"/>
    <mergeCell ref="AV2113:AV2115"/>
    <mergeCell ref="AW2113:AW2115"/>
    <mergeCell ref="AX2113:AX2115"/>
    <mergeCell ref="AY2113:AY2115"/>
    <mergeCell ref="AZ2113:AZ2115"/>
    <mergeCell ref="BA2113:BA2115"/>
    <mergeCell ref="AV2116:AV2117"/>
    <mergeCell ref="AW2116:AW2117"/>
    <mergeCell ref="AX2116:AX2117"/>
    <mergeCell ref="AY2116:AY2117"/>
    <mergeCell ref="AZ2116:AZ2117"/>
    <mergeCell ref="BA2116:BA2117"/>
    <mergeCell ref="AV2118:AV2119"/>
    <mergeCell ref="AW2118:AW2119"/>
    <mergeCell ref="AX2118:AX2119"/>
    <mergeCell ref="AY2118:AY2119"/>
    <mergeCell ref="AZ2118:AZ2119"/>
    <mergeCell ref="BA2118:BA2119"/>
    <mergeCell ref="AV2121:AV2122"/>
    <mergeCell ref="AW2121:AW2122"/>
    <mergeCell ref="AX2121:AX2122"/>
    <mergeCell ref="AY2121:AY2122"/>
    <mergeCell ref="AZ2121:AZ2122"/>
    <mergeCell ref="BA2121:BA2122"/>
    <mergeCell ref="AV2123:AV2125"/>
    <mergeCell ref="AW2123:AW2125"/>
    <mergeCell ref="AX2123:AX2125"/>
    <mergeCell ref="AY2123:AY2125"/>
    <mergeCell ref="AZ2123:AZ2125"/>
    <mergeCell ref="BA2123:BA2125"/>
    <mergeCell ref="AV2126:AV2127"/>
    <mergeCell ref="AW2126:AW2127"/>
    <mergeCell ref="AX2126:AX2127"/>
    <mergeCell ref="AY2126:AY2127"/>
    <mergeCell ref="AZ2126:AZ2127"/>
    <mergeCell ref="BA2126:BA2127"/>
    <mergeCell ref="AV2128:AV2130"/>
    <mergeCell ref="AW2128:AW2130"/>
    <mergeCell ref="AX2128:AX2130"/>
    <mergeCell ref="AY2128:AY2130"/>
    <mergeCell ref="AZ2128:AZ2130"/>
    <mergeCell ref="BA2128:BA2130"/>
    <mergeCell ref="AV2132:AV2134"/>
    <mergeCell ref="AW2132:AW2134"/>
    <mergeCell ref="AX2132:AX2134"/>
    <mergeCell ref="AY2132:AY2134"/>
    <mergeCell ref="AZ2132:AZ2134"/>
    <mergeCell ref="BA2132:BA2134"/>
    <mergeCell ref="AV2135:AV2142"/>
    <mergeCell ref="AW2135:AW2142"/>
    <mergeCell ref="AX2135:AX2142"/>
    <mergeCell ref="AY2135:AY2142"/>
    <mergeCell ref="AZ2135:AZ2142"/>
    <mergeCell ref="BA2135:BA2142"/>
    <mergeCell ref="AV2143:AV2151"/>
    <mergeCell ref="AW2143:AW2151"/>
    <mergeCell ref="AX2143:AX2151"/>
    <mergeCell ref="AY2143:AY2151"/>
    <mergeCell ref="AZ2143:AZ2151"/>
    <mergeCell ref="BA2143:BA2151"/>
    <mergeCell ref="AV2160:AV2161"/>
    <mergeCell ref="AW2160:AW2161"/>
    <mergeCell ref="AX2160:AX2161"/>
    <mergeCell ref="AY2160:AY2161"/>
    <mergeCell ref="AZ2160:AZ2161"/>
    <mergeCell ref="BA2160:BA2161"/>
    <mergeCell ref="AV2163:AV2164"/>
    <mergeCell ref="AW2163:AW2164"/>
    <mergeCell ref="AX2163:AX2164"/>
    <mergeCell ref="AY2163:AY2164"/>
    <mergeCell ref="AZ2163:AZ2164"/>
    <mergeCell ref="BA2163:BA2164"/>
    <mergeCell ref="AV2168:AV2169"/>
    <mergeCell ref="AW2168:AW2169"/>
    <mergeCell ref="AX2168:AX2169"/>
    <mergeCell ref="AY2168:AY2169"/>
    <mergeCell ref="AZ2168:AZ2169"/>
    <mergeCell ref="BA2168:BA2169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79:AV2181"/>
    <mergeCell ref="AW2179:AW2181"/>
    <mergeCell ref="AX2179:AX2181"/>
    <mergeCell ref="AY2179:AY2181"/>
    <mergeCell ref="AZ2179:AZ2181"/>
    <mergeCell ref="BA2179:BA2181"/>
    <mergeCell ref="AV2183:AV2184"/>
    <mergeCell ref="AW2183:AW2184"/>
    <mergeCell ref="AX2183:AX2184"/>
    <mergeCell ref="AY2183:AY2184"/>
    <mergeCell ref="AZ2183:AZ2184"/>
    <mergeCell ref="BA2183:BA2184"/>
    <mergeCell ref="AV2186:AV2187"/>
    <mergeCell ref="AW2186:AW2187"/>
    <mergeCell ref="AX2186:AX2187"/>
    <mergeCell ref="AY2186:AY2187"/>
    <mergeCell ref="AZ2186:AZ2187"/>
    <mergeCell ref="BA2186:BA2187"/>
    <mergeCell ref="AV2195:AV2196"/>
    <mergeCell ref="AW2195:AW2196"/>
    <mergeCell ref="AX2195:AX2196"/>
    <mergeCell ref="AY2195:AY2196"/>
    <mergeCell ref="AZ2195:AZ2196"/>
    <mergeCell ref="BA2195:BA2196"/>
    <mergeCell ref="AV2200:AV2201"/>
    <mergeCell ref="AW2200:AW2201"/>
    <mergeCell ref="AX2200:AX2201"/>
    <mergeCell ref="AY2200:AY2201"/>
    <mergeCell ref="AZ2200:AZ2201"/>
    <mergeCell ref="BA2200:BA2201"/>
    <mergeCell ref="AV2202:AV2203"/>
    <mergeCell ref="AW2202:AW2203"/>
    <mergeCell ref="AX2202:AX2203"/>
    <mergeCell ref="AY2202:AY2203"/>
    <mergeCell ref="AZ2202:AZ2203"/>
    <mergeCell ref="BA2202:BA2203"/>
    <mergeCell ref="AV2207:AV2208"/>
    <mergeCell ref="AW2207:AW2208"/>
    <mergeCell ref="AX2207:AX2208"/>
    <mergeCell ref="AY2207:AY2208"/>
    <mergeCell ref="AZ2207:AZ2208"/>
    <mergeCell ref="BA2207:BA2208"/>
    <mergeCell ref="AV2209:AV2210"/>
    <mergeCell ref="AW2209:AW2210"/>
    <mergeCell ref="AX2209:AX2210"/>
    <mergeCell ref="AY2209:AY2210"/>
    <mergeCell ref="AZ2209:AZ2210"/>
    <mergeCell ref="BA2209:BA2210"/>
    <mergeCell ref="AV2213:AV2214"/>
    <mergeCell ref="AW2213:AW2214"/>
    <mergeCell ref="AX2213:AX2214"/>
    <mergeCell ref="AY2213:AY2214"/>
    <mergeCell ref="AZ2213:AZ2214"/>
    <mergeCell ref="BA2213:BA2214"/>
    <mergeCell ref="AV2215:AV2219"/>
    <mergeCell ref="AW2215:AW2219"/>
    <mergeCell ref="AX2215:AX2219"/>
    <mergeCell ref="AY2215:AY2219"/>
    <mergeCell ref="AZ2215:AZ2219"/>
    <mergeCell ref="BA2215:BA2219"/>
    <mergeCell ref="AV2222:AV2225"/>
    <mergeCell ref="AW2222:AW2225"/>
    <mergeCell ref="AX2222:AX2225"/>
    <mergeCell ref="AY2222:AY2225"/>
    <mergeCell ref="AZ2222:AZ2225"/>
    <mergeCell ref="BA2222:BA2225"/>
    <mergeCell ref="AV2229:AV2231"/>
    <mergeCell ref="AW2229:AW2231"/>
    <mergeCell ref="AX2229:AX2231"/>
    <mergeCell ref="AY2229:AY2231"/>
    <mergeCell ref="AZ2229:AZ2231"/>
    <mergeCell ref="BA2229:BA2231"/>
    <mergeCell ref="AV2233:AV2234"/>
    <mergeCell ref="AW2233:AW2234"/>
    <mergeCell ref="AX2233:AX2234"/>
    <mergeCell ref="AY2233:AY2234"/>
    <mergeCell ref="AZ2233:AZ2234"/>
    <mergeCell ref="BA2233:BA2234"/>
    <mergeCell ref="AV2241:AV2242"/>
    <mergeCell ref="AW2241:AW2242"/>
    <mergeCell ref="AX2241:AX2242"/>
    <mergeCell ref="AY2241:AY2242"/>
    <mergeCell ref="AZ2241:AZ2242"/>
    <mergeCell ref="BA2241:BA2242"/>
    <mergeCell ref="AV2243:AV2244"/>
    <mergeCell ref="AW2243:AW2244"/>
    <mergeCell ref="AX2243:AX2244"/>
    <mergeCell ref="AY2243:AY2244"/>
    <mergeCell ref="AZ2243:AZ2244"/>
    <mergeCell ref="BA2243:BA2244"/>
    <mergeCell ref="AV2246:AV2247"/>
    <mergeCell ref="AW2246:AW2247"/>
    <mergeCell ref="AX2246:AX2247"/>
    <mergeCell ref="AY2246:AY2247"/>
    <mergeCell ref="AZ2246:AZ2247"/>
    <mergeCell ref="BA2246:BA2247"/>
    <mergeCell ref="AV2256:AV2258"/>
    <mergeCell ref="AW2256:AW2258"/>
    <mergeCell ref="AX2256:AX2258"/>
    <mergeCell ref="AY2256:AY2258"/>
    <mergeCell ref="AZ2256:AZ2258"/>
    <mergeCell ref="BA2256:BA2258"/>
    <mergeCell ref="AV2263:AV2264"/>
    <mergeCell ref="AW2263:AW2264"/>
    <mergeCell ref="AX2263:AX2264"/>
    <mergeCell ref="AY2263:AY2264"/>
    <mergeCell ref="AZ2263:AZ2264"/>
    <mergeCell ref="BA2263:BA2264"/>
    <mergeCell ref="AV2265:AV2266"/>
    <mergeCell ref="AW2265:AW2266"/>
    <mergeCell ref="AX2265:AX2266"/>
    <mergeCell ref="AY2265:AY2266"/>
    <mergeCell ref="AZ2265:AZ2266"/>
    <mergeCell ref="BA2265:BA2266"/>
    <mergeCell ref="AV2268:AV2271"/>
    <mergeCell ref="AW2268:AW2271"/>
    <mergeCell ref="AX2268:AX2271"/>
    <mergeCell ref="AY2268:AY2271"/>
    <mergeCell ref="AZ2268:AZ2271"/>
    <mergeCell ref="BA2268:BA2271"/>
    <mergeCell ref="AV2273:AV2274"/>
    <mergeCell ref="AW2273:AW2274"/>
    <mergeCell ref="AX2273:AX2274"/>
    <mergeCell ref="AY2273:AY2274"/>
    <mergeCell ref="AZ2273:AZ2274"/>
    <mergeCell ref="BA2273:BA2274"/>
    <mergeCell ref="AV2275:AV2277"/>
    <mergeCell ref="AW2275:AW2277"/>
    <mergeCell ref="AX2275:AX2277"/>
    <mergeCell ref="AY2275:AY2277"/>
    <mergeCell ref="AZ2275:AZ2277"/>
    <mergeCell ref="BA2275:BA2277"/>
    <mergeCell ref="AV2278:AV2280"/>
    <mergeCell ref="AW2278:AW2280"/>
    <mergeCell ref="AX2278:AX2280"/>
    <mergeCell ref="AY2278:AY2280"/>
    <mergeCell ref="AZ2278:AZ2280"/>
    <mergeCell ref="BA2278:BA2280"/>
    <mergeCell ref="AV2281:AV2284"/>
    <mergeCell ref="AW2281:AW2284"/>
    <mergeCell ref="AX2281:AX2284"/>
    <mergeCell ref="AY2281:AY2284"/>
    <mergeCell ref="AZ2281:AZ2284"/>
    <mergeCell ref="BA2281:BA2284"/>
    <mergeCell ref="AV2285:AV2287"/>
    <mergeCell ref="AW2285:AW2287"/>
    <mergeCell ref="AX2285:AX2287"/>
    <mergeCell ref="AY2285:AY2287"/>
    <mergeCell ref="AZ2285:AZ2287"/>
    <mergeCell ref="BA2285:BA2287"/>
    <mergeCell ref="AV2288:AV2290"/>
    <mergeCell ref="AW2288:AW2290"/>
    <mergeCell ref="AX2288:AX2290"/>
    <mergeCell ref="AY2288:AY2290"/>
    <mergeCell ref="AZ2288:AZ2290"/>
    <mergeCell ref="BA2288:BA2290"/>
    <mergeCell ref="AV2291:AV2293"/>
    <mergeCell ref="AW2291:AW2293"/>
    <mergeCell ref="AX2291:AX2293"/>
    <mergeCell ref="AY2291:AY2293"/>
    <mergeCell ref="AZ2291:AZ2293"/>
    <mergeCell ref="BA2291:BA2293"/>
    <mergeCell ref="AV2294:AV2297"/>
    <mergeCell ref="AW2294:AW2297"/>
    <mergeCell ref="AX2294:AX2297"/>
    <mergeCell ref="AY2294:AY2297"/>
    <mergeCell ref="AZ2294:AZ2297"/>
    <mergeCell ref="BA2294:BA2297"/>
    <mergeCell ref="AV2298:AV2301"/>
    <mergeCell ref="AW2298:AW2301"/>
    <mergeCell ref="AX2298:AX2301"/>
    <mergeCell ref="AY2298:AY2301"/>
    <mergeCell ref="AZ2298:AZ2301"/>
    <mergeCell ref="BA2298:BA2301"/>
    <mergeCell ref="AV2302:AV2304"/>
    <mergeCell ref="AW2302:AW2304"/>
    <mergeCell ref="AX2302:AX2304"/>
    <mergeCell ref="AY2302:AY2304"/>
    <mergeCell ref="AZ2302:AZ2304"/>
    <mergeCell ref="BA2302:BA2304"/>
    <mergeCell ref="AV2305:AV2307"/>
    <mergeCell ref="AW2305:AW2307"/>
    <mergeCell ref="AX2305:AX2307"/>
    <mergeCell ref="AY2305:AY2307"/>
    <mergeCell ref="AZ2305:AZ2307"/>
    <mergeCell ref="BA2305:BA2307"/>
    <mergeCell ref="AV2317:AV2318"/>
    <mergeCell ref="AW2317:AW2318"/>
    <mergeCell ref="AX2317:AX2318"/>
    <mergeCell ref="AY2317:AY2318"/>
    <mergeCell ref="AZ2317:AZ2318"/>
    <mergeCell ref="BA2317:BA2318"/>
    <mergeCell ref="AV2319:AV2321"/>
    <mergeCell ref="AW2319:AW2321"/>
    <mergeCell ref="AX2319:AX2321"/>
    <mergeCell ref="AY2319:AY2321"/>
    <mergeCell ref="AZ2319:AZ2321"/>
    <mergeCell ref="BA2319:BA2321"/>
    <mergeCell ref="AV2323:AV2326"/>
    <mergeCell ref="AW2323:AW2326"/>
    <mergeCell ref="AX2323:AX2326"/>
    <mergeCell ref="AY2323:AY2326"/>
    <mergeCell ref="AZ2323:AZ2326"/>
    <mergeCell ref="BA2323:BA2326"/>
    <mergeCell ref="AV2327:AV2328"/>
    <mergeCell ref="AW2327:AW2328"/>
    <mergeCell ref="AX2327:AX2328"/>
    <mergeCell ref="AY2327:AY2328"/>
    <mergeCell ref="AZ2327:AZ2328"/>
    <mergeCell ref="BA2327:BA2328"/>
    <mergeCell ref="AV2329:AV2330"/>
    <mergeCell ref="AW2329:AW2330"/>
    <mergeCell ref="AX2329:AX2330"/>
    <mergeCell ref="AY2329:AY2330"/>
    <mergeCell ref="AZ2329:AZ2330"/>
    <mergeCell ref="BA2329:BA2330"/>
    <mergeCell ref="AV2332:AV2333"/>
    <mergeCell ref="AW2332:AW2333"/>
    <mergeCell ref="AX2332:AX2333"/>
    <mergeCell ref="AY2332:AY2333"/>
    <mergeCell ref="AZ2332:AZ2333"/>
    <mergeCell ref="BA2332:BA2333"/>
    <mergeCell ref="AV2341:AV2343"/>
    <mergeCell ref="AW2341:AW2343"/>
    <mergeCell ref="AX2341:AX2343"/>
    <mergeCell ref="AY2341:AY2343"/>
    <mergeCell ref="AZ2341:AZ2343"/>
    <mergeCell ref="BA2341:BA2343"/>
    <mergeCell ref="AV2344:AV2345"/>
    <mergeCell ref="AW2344:AW2345"/>
    <mergeCell ref="AX2344:AX2345"/>
    <mergeCell ref="AY2344:AY2345"/>
    <mergeCell ref="AZ2344:AZ2345"/>
    <mergeCell ref="BA2344:BA2345"/>
    <mergeCell ref="AV2347:AV2348"/>
    <mergeCell ref="AW2347:AW2348"/>
    <mergeCell ref="AX2347:AX2348"/>
    <mergeCell ref="AY2347:AY2348"/>
    <mergeCell ref="AZ2347:AZ2348"/>
    <mergeCell ref="BA2347:BA2348"/>
    <mergeCell ref="AV2349:AV2351"/>
    <mergeCell ref="AW2349:AW2351"/>
    <mergeCell ref="AX2349:AX2351"/>
    <mergeCell ref="AY2349:AY2351"/>
    <mergeCell ref="AZ2349:AZ2351"/>
    <mergeCell ref="BA2349:BA2351"/>
    <mergeCell ref="AV2353:AV2355"/>
    <mergeCell ref="AW2353:AW2355"/>
    <mergeCell ref="AX2353:AX2355"/>
    <mergeCell ref="AY2353:AY2355"/>
    <mergeCell ref="AZ2353:AZ2355"/>
    <mergeCell ref="BA2353:BA2355"/>
    <mergeCell ref="AV2356:AV2357"/>
    <mergeCell ref="AW2356:AW2357"/>
    <mergeCell ref="AX2356:AX2357"/>
    <mergeCell ref="AY2356:AY2357"/>
    <mergeCell ref="AZ2356:AZ2357"/>
    <mergeCell ref="BA2356:BA2357"/>
    <mergeCell ref="AV2358:AV2359"/>
    <mergeCell ref="AW2358:AW2359"/>
    <mergeCell ref="AX2358:AX2359"/>
    <mergeCell ref="AY2358:AY2359"/>
    <mergeCell ref="AZ2358:AZ2359"/>
    <mergeCell ref="BA2358:BA2359"/>
    <mergeCell ref="AV2360:AV2361"/>
    <mergeCell ref="AW2360:AW2361"/>
    <mergeCell ref="AX2360:AX2361"/>
    <mergeCell ref="AY2360:AY2361"/>
    <mergeCell ref="AZ2360:AZ2361"/>
    <mergeCell ref="BA2360:BA2361"/>
    <mergeCell ref="AV2362:AV2363"/>
    <mergeCell ref="AW2362:AW2363"/>
    <mergeCell ref="AX2362:AX2363"/>
    <mergeCell ref="AY2362:AY2363"/>
    <mergeCell ref="AZ2362:AZ2363"/>
    <mergeCell ref="BA2362:BA2363"/>
    <mergeCell ref="AV2364:AV2365"/>
    <mergeCell ref="AW2364:AW2365"/>
    <mergeCell ref="AX2364:AX2365"/>
    <mergeCell ref="AY2364:AY2365"/>
    <mergeCell ref="AZ2364:AZ2365"/>
    <mergeCell ref="BA2364:BA2365"/>
    <mergeCell ref="AV2368:AV2369"/>
    <mergeCell ref="AW2368:AW2369"/>
    <mergeCell ref="AX2368:AX2369"/>
    <mergeCell ref="AY2368:AY2369"/>
    <mergeCell ref="AZ2368:AZ2369"/>
    <mergeCell ref="BA2368:BA2369"/>
    <mergeCell ref="AV2378:AV2379"/>
    <mergeCell ref="AW2378:AW2379"/>
    <mergeCell ref="AX2378:AX2379"/>
    <mergeCell ref="AY2378:AY2379"/>
    <mergeCell ref="AZ2378:AZ2379"/>
    <mergeCell ref="BA2378:BA2379"/>
    <mergeCell ref="AV2380:AV2382"/>
    <mergeCell ref="AW2380:AW2382"/>
    <mergeCell ref="AX2380:AX2382"/>
    <mergeCell ref="AY2380:AY2382"/>
    <mergeCell ref="AZ2380:AZ2382"/>
    <mergeCell ref="BA2380:BA2382"/>
    <mergeCell ref="AV2383:AV2385"/>
    <mergeCell ref="AW2383:AW2385"/>
    <mergeCell ref="AX2383:AX2385"/>
    <mergeCell ref="AY2383:AY2385"/>
    <mergeCell ref="AZ2383:AZ2385"/>
    <mergeCell ref="BA2383:BA2385"/>
    <mergeCell ref="AV2386:AV2388"/>
    <mergeCell ref="AW2386:AW2388"/>
    <mergeCell ref="AX2386:AX2388"/>
    <mergeCell ref="AY2386:AY2388"/>
    <mergeCell ref="AZ2386:AZ2388"/>
    <mergeCell ref="BA2386:BA2388"/>
    <mergeCell ref="AV2389:AV2391"/>
    <mergeCell ref="AW2389:AW2391"/>
    <mergeCell ref="AX2389:AX2391"/>
    <mergeCell ref="AY2389:AY2391"/>
    <mergeCell ref="AZ2389:AZ2391"/>
    <mergeCell ref="BA2389:BA2391"/>
    <mergeCell ref="AV2392:AV2394"/>
    <mergeCell ref="AW2392:AW2394"/>
    <mergeCell ref="AX2392:AX2394"/>
    <mergeCell ref="AY2392:AY2394"/>
    <mergeCell ref="AZ2392:AZ2394"/>
    <mergeCell ref="BA2392:BA2394"/>
    <mergeCell ref="AV2396:AV2398"/>
    <mergeCell ref="AW2396:AW2398"/>
    <mergeCell ref="AX2396:AX2398"/>
    <mergeCell ref="AY2396:AY2398"/>
    <mergeCell ref="AZ2396:AZ2398"/>
    <mergeCell ref="BA2396:BA2398"/>
    <mergeCell ref="AV2405:AV2407"/>
    <mergeCell ref="AW2405:AW2407"/>
    <mergeCell ref="AX2405:AX2407"/>
    <mergeCell ref="AY2405:AY2407"/>
    <mergeCell ref="AZ2405:AZ2407"/>
    <mergeCell ref="BA2405:BA2407"/>
    <mergeCell ref="AV2410:AV2411"/>
    <mergeCell ref="AW2410:AW2411"/>
    <mergeCell ref="AX2410:AX2411"/>
    <mergeCell ref="AY2410:AY2411"/>
    <mergeCell ref="AZ2410:AZ2411"/>
    <mergeCell ref="BA2410:BA2411"/>
    <mergeCell ref="AV2413:AV2414"/>
    <mergeCell ref="AW2413:AW2414"/>
    <mergeCell ref="AX2413:AX2414"/>
    <mergeCell ref="AY2413:AY2414"/>
    <mergeCell ref="AZ2413:AZ2414"/>
    <mergeCell ref="BA2413:BA2414"/>
    <mergeCell ref="AV2415:AV2416"/>
    <mergeCell ref="AW2415:AW2416"/>
    <mergeCell ref="AX2415:AX2416"/>
    <mergeCell ref="AY2415:AY2416"/>
    <mergeCell ref="AZ2415:AZ2416"/>
    <mergeCell ref="BA2415:BA2416"/>
    <mergeCell ref="AV2417:AV2418"/>
    <mergeCell ref="AW2417:AW2418"/>
    <mergeCell ref="AX2417:AX2418"/>
    <mergeCell ref="AY2417:AY2418"/>
    <mergeCell ref="AZ2417:AZ2418"/>
    <mergeCell ref="BA2417:BA2418"/>
    <mergeCell ref="AV2419:AV2420"/>
    <mergeCell ref="AW2419:AW2420"/>
    <mergeCell ref="AX2419:AX2420"/>
    <mergeCell ref="AY2419:AY2420"/>
    <mergeCell ref="AZ2419:AZ2420"/>
    <mergeCell ref="BA2419:BA2420"/>
    <mergeCell ref="AV2423:AV2428"/>
    <mergeCell ref="AW2423:AW2428"/>
    <mergeCell ref="AX2423:AX2428"/>
    <mergeCell ref="AY2423:AY2428"/>
    <mergeCell ref="AZ2423:AZ2428"/>
    <mergeCell ref="BA2423:BA2428"/>
    <mergeCell ref="AV2430:AV2435"/>
    <mergeCell ref="AW2430:AW2435"/>
    <mergeCell ref="AX2430:AX2435"/>
    <mergeCell ref="AY2430:AY2435"/>
    <mergeCell ref="AZ2430:AZ2435"/>
    <mergeCell ref="BA2430:BA2435"/>
    <mergeCell ref="AV2436:AV2441"/>
    <mergeCell ref="AW2436:AW2441"/>
    <mergeCell ref="AX2436:AX2441"/>
    <mergeCell ref="AY2436:AY2441"/>
    <mergeCell ref="AZ2436:AZ2441"/>
    <mergeCell ref="BA2436:BA2441"/>
    <mergeCell ref="AV2442:AV2447"/>
    <mergeCell ref="AW2442:AW2447"/>
    <mergeCell ref="AX2442:AX2447"/>
    <mergeCell ref="AY2442:AY2447"/>
    <mergeCell ref="AZ2442:AZ2447"/>
    <mergeCell ref="BA2442:BA2447"/>
    <mergeCell ref="AV2448:AV2453"/>
    <mergeCell ref="AW2448:AW2453"/>
    <mergeCell ref="AX2448:AX2453"/>
    <mergeCell ref="AY2448:AY2453"/>
    <mergeCell ref="AZ2448:AZ2453"/>
    <mergeCell ref="BA2448:BA2453"/>
    <mergeCell ref="AV2455:AV2460"/>
    <mergeCell ref="AW2455:AW2460"/>
    <mergeCell ref="AX2455:AX2460"/>
    <mergeCell ref="AY2455:AY2460"/>
    <mergeCell ref="AZ2455:AZ2460"/>
    <mergeCell ref="BA2455:BA2460"/>
    <mergeCell ref="AV2462:AV2463"/>
    <mergeCell ref="AW2462:AW2463"/>
    <mergeCell ref="AX2462:AX2463"/>
    <mergeCell ref="AY2462:AY2463"/>
    <mergeCell ref="AZ2462:AZ2463"/>
    <mergeCell ref="BA2462:BA2463"/>
    <mergeCell ref="AV2466:AV2467"/>
    <mergeCell ref="AW2466:AW2467"/>
    <mergeCell ref="AX2466:AX2467"/>
    <mergeCell ref="AY2466:AY2467"/>
    <mergeCell ref="AZ2466:AZ2467"/>
    <mergeCell ref="BA2466:BA2467"/>
    <mergeCell ref="AV2468:AV2470"/>
    <mergeCell ref="AW2468:AW2470"/>
    <mergeCell ref="AX2468:AX2470"/>
    <mergeCell ref="AY2468:AY2470"/>
    <mergeCell ref="AZ2468:AZ2470"/>
    <mergeCell ref="BA2468:BA2470"/>
    <mergeCell ref="AV2471:AV2472"/>
    <mergeCell ref="AW2471:AW2472"/>
    <mergeCell ref="AX2471:AX2472"/>
    <mergeCell ref="AY2471:AY2472"/>
    <mergeCell ref="AZ2471:AZ2472"/>
    <mergeCell ref="BA2471:BA2472"/>
    <mergeCell ref="AV2473:AV2476"/>
    <mergeCell ref="AW2473:AW2476"/>
    <mergeCell ref="AX2473:AX2476"/>
    <mergeCell ref="AY2473:AY2476"/>
    <mergeCell ref="AZ2473:AZ2476"/>
    <mergeCell ref="BA2473:BA2476"/>
    <mergeCell ref="AV2479:AV2480"/>
    <mergeCell ref="AW2479:AW2480"/>
    <mergeCell ref="AX2479:AX2480"/>
    <mergeCell ref="AY2479:AY2480"/>
    <mergeCell ref="AZ2479:AZ2480"/>
    <mergeCell ref="BA2479:BA2480"/>
    <mergeCell ref="AV2481:AV2482"/>
    <mergeCell ref="AW2481:AW2482"/>
    <mergeCell ref="AX2481:AX2482"/>
    <mergeCell ref="AY2481:AY2482"/>
    <mergeCell ref="AZ2481:AZ2482"/>
    <mergeCell ref="BA2481:BA2482"/>
    <mergeCell ref="AV2483:AV2485"/>
    <mergeCell ref="AW2483:AW2485"/>
    <mergeCell ref="AX2483:AX2485"/>
    <mergeCell ref="AY2483:AY2485"/>
    <mergeCell ref="AZ2483:AZ2485"/>
    <mergeCell ref="BA2483:BA2485"/>
    <mergeCell ref="AV2488:AV2490"/>
    <mergeCell ref="AW2488:AW2490"/>
    <mergeCell ref="AX2488:AX2490"/>
    <mergeCell ref="AY2488:AY2490"/>
    <mergeCell ref="AZ2488:AZ2490"/>
    <mergeCell ref="BA2488:BA2490"/>
    <mergeCell ref="AV2491:AV2493"/>
    <mergeCell ref="AW2491:AW2493"/>
    <mergeCell ref="AX2491:AX2493"/>
    <mergeCell ref="AY2491:AY2493"/>
    <mergeCell ref="AZ2491:AZ2493"/>
    <mergeCell ref="BA2491:BA2493"/>
    <mergeCell ref="AV2494:AV2495"/>
    <mergeCell ref="AW2494:AW2495"/>
    <mergeCell ref="AX2494:AX2495"/>
    <mergeCell ref="AY2494:AY2495"/>
    <mergeCell ref="AZ2494:AZ2495"/>
    <mergeCell ref="BA2494:BA2495"/>
    <mergeCell ref="AV2500:AV2501"/>
    <mergeCell ref="AW2500:AW2501"/>
    <mergeCell ref="AX2500:AX2501"/>
    <mergeCell ref="AY2500:AY2501"/>
    <mergeCell ref="AZ2500:AZ2501"/>
    <mergeCell ref="BA2500:BA2501"/>
    <mergeCell ref="AV2505:AV2506"/>
    <mergeCell ref="AW2505:AW2506"/>
    <mergeCell ref="AX2505:AX2506"/>
    <mergeCell ref="AY2505:AY2506"/>
    <mergeCell ref="AZ2505:AZ2506"/>
    <mergeCell ref="BA2505:BA2506"/>
    <mergeCell ref="AV2507:AV2509"/>
    <mergeCell ref="AW2507:AW2509"/>
    <mergeCell ref="AX2507:AX2509"/>
    <mergeCell ref="AY2507:AY2509"/>
    <mergeCell ref="AZ2507:AZ2509"/>
    <mergeCell ref="BA2507:BA2509"/>
    <mergeCell ref="AV2510:AV2511"/>
    <mergeCell ref="AW2510:AW2511"/>
    <mergeCell ref="AX2510:AX2511"/>
    <mergeCell ref="AY2510:AY2511"/>
    <mergeCell ref="AZ2510:AZ2511"/>
    <mergeCell ref="BA2510:BA2511"/>
    <mergeCell ref="AV2515:AV2516"/>
    <mergeCell ref="AW2515:AW2516"/>
    <mergeCell ref="AX2515:AX2516"/>
    <mergeCell ref="AY2515:AY2516"/>
    <mergeCell ref="AZ2515:AZ2516"/>
    <mergeCell ref="BA2515:BA2516"/>
    <mergeCell ref="AV2520:AV2521"/>
    <mergeCell ref="AW2520:AW2521"/>
    <mergeCell ref="AX2520:AX2521"/>
    <mergeCell ref="AY2520:AY2521"/>
    <mergeCell ref="AZ2520:AZ2521"/>
    <mergeCell ref="BA2520:BA2521"/>
    <mergeCell ref="AV2523:AV2524"/>
    <mergeCell ref="AW2523:AW2524"/>
    <mergeCell ref="AX2523:AX2524"/>
    <mergeCell ref="AY2523:AY2524"/>
    <mergeCell ref="AZ2523:AZ2524"/>
    <mergeCell ref="BA2523:BA2524"/>
    <mergeCell ref="AV2529:AV2530"/>
    <mergeCell ref="AW2529:AW2530"/>
    <mergeCell ref="AX2529:AX2530"/>
    <mergeCell ref="AY2529:AY2530"/>
    <mergeCell ref="AZ2529:AZ2530"/>
    <mergeCell ref="BA2529:BA2530"/>
    <mergeCell ref="AV2531:AV2533"/>
    <mergeCell ref="AW2531:AW2533"/>
    <mergeCell ref="AX2531:AX2533"/>
    <mergeCell ref="AY2531:AY2533"/>
    <mergeCell ref="AZ2531:AZ2533"/>
    <mergeCell ref="BA2531:BA2533"/>
    <mergeCell ref="AV2534:AV2535"/>
    <mergeCell ref="AW2534:AW2535"/>
    <mergeCell ref="AX2534:AX2535"/>
    <mergeCell ref="AY2534:AY2535"/>
    <mergeCell ref="AZ2534:AZ2535"/>
    <mergeCell ref="BA2534:BA2535"/>
    <mergeCell ref="AV2536:AV2537"/>
    <mergeCell ref="AW2536:AW2537"/>
    <mergeCell ref="AX2536:AX2537"/>
    <mergeCell ref="AY2536:AY2537"/>
    <mergeCell ref="AZ2536:AZ2537"/>
    <mergeCell ref="BA2536:BA2537"/>
    <mergeCell ref="AV2538:AV2540"/>
    <mergeCell ref="AW2538:AW2540"/>
    <mergeCell ref="AX2538:AX2540"/>
    <mergeCell ref="AY2538:AY2540"/>
    <mergeCell ref="AZ2538:AZ2540"/>
    <mergeCell ref="BA2538:BA2540"/>
    <mergeCell ref="AV2541:AV2543"/>
    <mergeCell ref="AW2541:AW2543"/>
    <mergeCell ref="AX2541:AX2543"/>
    <mergeCell ref="AY2541:AY2543"/>
    <mergeCell ref="AZ2541:AZ2543"/>
    <mergeCell ref="BA2541:BA2543"/>
    <mergeCell ref="AV2544:AV2547"/>
    <mergeCell ref="AW2544:AW2547"/>
    <mergeCell ref="AX2544:AX2547"/>
    <mergeCell ref="AY2544:AY2547"/>
    <mergeCell ref="AZ2544:AZ2547"/>
    <mergeCell ref="BA2544:BA2547"/>
    <mergeCell ref="AV2548:AV2550"/>
    <mergeCell ref="AW2548:AW2550"/>
    <mergeCell ref="AX2548:AX2550"/>
    <mergeCell ref="AY2548:AY2550"/>
    <mergeCell ref="AZ2548:AZ2550"/>
    <mergeCell ref="BA2548:BA2550"/>
    <mergeCell ref="AV2552:AV2553"/>
    <mergeCell ref="AW2552:AW2553"/>
    <mergeCell ref="AX2552:AX2553"/>
    <mergeCell ref="AY2552:AY2553"/>
    <mergeCell ref="AZ2552:AZ2553"/>
    <mergeCell ref="BA2552:BA2553"/>
    <mergeCell ref="AV2555:AV2556"/>
    <mergeCell ref="AW2555:AW2556"/>
    <mergeCell ref="AX2555:AX2556"/>
    <mergeCell ref="AY2555:AY2556"/>
    <mergeCell ref="AZ2555:AZ2556"/>
    <mergeCell ref="BA2555:BA2556"/>
    <mergeCell ref="AV2558:AV2561"/>
    <mergeCell ref="AW2558:AW2561"/>
    <mergeCell ref="AX2558:AX2561"/>
    <mergeCell ref="AY2558:AY2561"/>
    <mergeCell ref="AZ2558:AZ2561"/>
    <mergeCell ref="BA2558:BA2561"/>
    <mergeCell ref="AV2562:AV2565"/>
    <mergeCell ref="AW2562:AW2565"/>
    <mergeCell ref="AX2562:AX2565"/>
    <mergeCell ref="AY2562:AY2565"/>
    <mergeCell ref="AZ2562:AZ2565"/>
    <mergeCell ref="BA2562:BA2565"/>
    <mergeCell ref="AV2566:AV2568"/>
    <mergeCell ref="AW2566:AW2568"/>
    <mergeCell ref="AX2566:AX2568"/>
    <mergeCell ref="AY2566:AY2568"/>
    <mergeCell ref="AZ2566:AZ2568"/>
    <mergeCell ref="BA2566:BA2568"/>
    <mergeCell ref="AV2569:AV2572"/>
    <mergeCell ref="AW2569:AW2572"/>
    <mergeCell ref="AX2569:AX2572"/>
    <mergeCell ref="AY2569:AY2572"/>
    <mergeCell ref="AZ2569:AZ2572"/>
    <mergeCell ref="BA2569:BA2572"/>
    <mergeCell ref="AV2577:AV2578"/>
    <mergeCell ref="AW2577:AW2578"/>
    <mergeCell ref="AX2577:AX2578"/>
    <mergeCell ref="AY2577:AY2578"/>
    <mergeCell ref="AZ2577:AZ2578"/>
    <mergeCell ref="BA2577:BA2578"/>
    <mergeCell ref="AV2579:AV2580"/>
    <mergeCell ref="AW2579:AW2580"/>
    <mergeCell ref="AX2579:AX2580"/>
    <mergeCell ref="AY2579:AY2580"/>
    <mergeCell ref="AZ2579:AZ2580"/>
    <mergeCell ref="BA2579:BA2580"/>
    <mergeCell ref="AV2581:AV2582"/>
    <mergeCell ref="AW2581:AW2582"/>
    <mergeCell ref="AX2581:AX2582"/>
    <mergeCell ref="AY2581:AY2582"/>
    <mergeCell ref="AZ2581:AZ2582"/>
    <mergeCell ref="BA2581:BA2582"/>
    <mergeCell ref="AV2585:AV2587"/>
    <mergeCell ref="AW2585:AW2587"/>
    <mergeCell ref="AX2585:AX2587"/>
    <mergeCell ref="AY2585:AY2587"/>
    <mergeCell ref="AZ2585:AZ2587"/>
    <mergeCell ref="BA2585:BA2587"/>
    <mergeCell ref="AV2590:AV2593"/>
    <mergeCell ref="AW2590:AW2593"/>
    <mergeCell ref="AX2590:AX2593"/>
    <mergeCell ref="AY2590:AY2593"/>
    <mergeCell ref="AZ2590:AZ2593"/>
    <mergeCell ref="BA2590:BA2593"/>
    <mergeCell ref="AV2604:AV2605"/>
    <mergeCell ref="AW2604:AW2605"/>
    <mergeCell ref="AX2604:AX2605"/>
    <mergeCell ref="AY2604:AY2605"/>
    <mergeCell ref="AZ2604:AZ2605"/>
    <mergeCell ref="BA2604:BA2605"/>
    <mergeCell ref="AV2606:AV2607"/>
    <mergeCell ref="AW2606:AW2607"/>
    <mergeCell ref="AX2606:AX2607"/>
    <mergeCell ref="AY2606:AY2607"/>
    <mergeCell ref="AZ2606:AZ2607"/>
    <mergeCell ref="BA2606:BA2607"/>
    <mergeCell ref="AV2611:AV2612"/>
    <mergeCell ref="AW2611:AW2612"/>
    <mergeCell ref="AX2611:AX2612"/>
    <mergeCell ref="AY2611:AY2612"/>
    <mergeCell ref="AZ2611:AZ2612"/>
    <mergeCell ref="BA2611:BA2612"/>
    <mergeCell ref="AV2614:AV2615"/>
    <mergeCell ref="AW2614:AW2615"/>
    <mergeCell ref="AX2614:AX2615"/>
    <mergeCell ref="AY2614:AY2615"/>
    <mergeCell ref="AZ2614:AZ2615"/>
    <mergeCell ref="BA2614:BA2615"/>
    <mergeCell ref="AV2618:AV2621"/>
    <mergeCell ref="AW2618:AW2621"/>
    <mergeCell ref="AX2618:AX2621"/>
    <mergeCell ref="AY2618:AY2621"/>
    <mergeCell ref="AZ2618:AZ2621"/>
    <mergeCell ref="BA2618:BA2621"/>
    <mergeCell ref="AV2623:AV2624"/>
    <mergeCell ref="AW2623:AW2624"/>
    <mergeCell ref="AX2623:AX2624"/>
    <mergeCell ref="AY2623:AY2624"/>
    <mergeCell ref="AZ2623:AZ2624"/>
    <mergeCell ref="BA2623:BA2624"/>
    <mergeCell ref="AV2630:AV2631"/>
    <mergeCell ref="AW2630:AW2631"/>
    <mergeCell ref="AX2630:AX2631"/>
    <mergeCell ref="AY2630:AY2631"/>
    <mergeCell ref="AZ2630:AZ2631"/>
    <mergeCell ref="BA2630:BA2631"/>
    <mergeCell ref="AV2633:AV2634"/>
    <mergeCell ref="AW2633:AW2634"/>
    <mergeCell ref="AX2633:AX2634"/>
    <mergeCell ref="AY2633:AY2634"/>
    <mergeCell ref="AZ2633:AZ2634"/>
    <mergeCell ref="BA2633:BA2634"/>
    <mergeCell ref="AV2635:AV2636"/>
    <mergeCell ref="AW2635:AW2636"/>
    <mergeCell ref="AX2635:AX2636"/>
    <mergeCell ref="AY2635:AY2636"/>
    <mergeCell ref="AZ2635:AZ2636"/>
    <mergeCell ref="BA2635:BA2636"/>
    <mergeCell ref="AV2637:AV2638"/>
    <mergeCell ref="AW2637:AW2638"/>
    <mergeCell ref="AX2637:AX2638"/>
    <mergeCell ref="AY2637:AY2638"/>
    <mergeCell ref="AZ2637:AZ2638"/>
    <mergeCell ref="BA2637:BA2638"/>
    <mergeCell ref="AV2643:AV2644"/>
    <mergeCell ref="AW2643:AW2644"/>
    <mergeCell ref="AX2643:AX2644"/>
    <mergeCell ref="AY2643:AY2644"/>
    <mergeCell ref="AZ2643:AZ2644"/>
    <mergeCell ref="BA2643:BA2644"/>
    <mergeCell ref="AV2647:AV2648"/>
    <mergeCell ref="AW2647:AW2648"/>
    <mergeCell ref="AX2647:AX2648"/>
    <mergeCell ref="AY2647:AY2648"/>
    <mergeCell ref="AZ2647:AZ2648"/>
    <mergeCell ref="BA2647:BA2648"/>
    <mergeCell ref="AV2652:AV2653"/>
    <mergeCell ref="AW2652:AW2653"/>
    <mergeCell ref="AX2652:AX2653"/>
    <mergeCell ref="AY2652:AY2653"/>
    <mergeCell ref="AZ2652:AZ2653"/>
    <mergeCell ref="BA2652:BA2653"/>
    <mergeCell ref="AV2659:AV2660"/>
    <mergeCell ref="AW2659:AW2660"/>
    <mergeCell ref="AX2659:AX2660"/>
    <mergeCell ref="AY2659:AY2660"/>
    <mergeCell ref="AZ2659:AZ2660"/>
    <mergeCell ref="BA2659:BA2660"/>
    <mergeCell ref="AV2665:AV2670"/>
    <mergeCell ref="AW2665:AW2670"/>
    <mergeCell ref="AX2665:AX2670"/>
    <mergeCell ref="AY2665:AY2670"/>
    <mergeCell ref="AZ2665:AZ2670"/>
    <mergeCell ref="BA2665:BA2670"/>
    <mergeCell ref="AV2671:AV2674"/>
    <mergeCell ref="AW2671:AW2674"/>
    <mergeCell ref="AX2671:AX2674"/>
    <mergeCell ref="AY2671:AY2674"/>
    <mergeCell ref="AZ2671:AZ2674"/>
    <mergeCell ref="BA2671:BA2674"/>
    <mergeCell ref="AV2675:AV2678"/>
    <mergeCell ref="AW2675:AW2678"/>
    <mergeCell ref="AX2675:AX2678"/>
    <mergeCell ref="AY2675:AY2678"/>
    <mergeCell ref="AZ2675:AZ2678"/>
    <mergeCell ref="BA2675:BA2678"/>
    <mergeCell ref="AV2681:AV2682"/>
    <mergeCell ref="AW2681:AW2682"/>
    <mergeCell ref="AX2681:AX2682"/>
    <mergeCell ref="AY2681:AY2682"/>
    <mergeCell ref="AZ2681:AZ2682"/>
    <mergeCell ref="BA2681:BA2682"/>
    <mergeCell ref="AV2683:AV2685"/>
    <mergeCell ref="AW2683:AW2685"/>
    <mergeCell ref="AX2683:AX2685"/>
    <mergeCell ref="AY2683:AY2685"/>
    <mergeCell ref="AZ2683:AZ2685"/>
    <mergeCell ref="BA2683:BA2685"/>
    <mergeCell ref="AV2686:AV2688"/>
    <mergeCell ref="AW2686:AW2688"/>
    <mergeCell ref="AX2686:AX2688"/>
    <mergeCell ref="AY2686:AY2688"/>
    <mergeCell ref="AZ2686:AZ2688"/>
    <mergeCell ref="BA2686:BA2688"/>
    <mergeCell ref="AV2689:AV2690"/>
    <mergeCell ref="AW2689:AW2690"/>
    <mergeCell ref="AX2689:AX2690"/>
    <mergeCell ref="AY2689:AY2690"/>
    <mergeCell ref="AZ2689:AZ2690"/>
    <mergeCell ref="BA2689:BA2690"/>
    <mergeCell ref="AV2692:AV2693"/>
    <mergeCell ref="AW2692:AW2693"/>
    <mergeCell ref="AX2692:AX2693"/>
    <mergeCell ref="AY2692:AY2693"/>
    <mergeCell ref="AZ2692:AZ2693"/>
    <mergeCell ref="BA2692:BA2693"/>
    <mergeCell ref="AV2694:AV2697"/>
    <mergeCell ref="AW2694:AW2697"/>
    <mergeCell ref="AX2694:AX2697"/>
    <mergeCell ref="AY2694:AY2697"/>
    <mergeCell ref="AZ2694:AZ2697"/>
    <mergeCell ref="BA2694:BA2697"/>
    <mergeCell ref="AV2698:AV2701"/>
    <mergeCell ref="AW2698:AW2701"/>
    <mergeCell ref="AX2698:AX2701"/>
    <mergeCell ref="AY2698:AY2701"/>
    <mergeCell ref="AZ2698:AZ2701"/>
    <mergeCell ref="BA2698:BA2701"/>
    <mergeCell ref="AV2704:AV2708"/>
    <mergeCell ref="AW2704:AW2708"/>
    <mergeCell ref="AX2704:AX2708"/>
    <mergeCell ref="AY2704:AY2708"/>
    <mergeCell ref="AZ2704:AZ2708"/>
    <mergeCell ref="BA2704:BA2708"/>
    <mergeCell ref="AV2709:AV2711"/>
    <mergeCell ref="AW2709:AW2711"/>
    <mergeCell ref="AX2709:AX2711"/>
    <mergeCell ref="AY2709:AY2711"/>
    <mergeCell ref="AZ2709:AZ2711"/>
    <mergeCell ref="BA2709:BA2711"/>
    <mergeCell ref="AV2712:AV2713"/>
    <mergeCell ref="AW2712:AW2713"/>
    <mergeCell ref="AX2712:AX2713"/>
    <mergeCell ref="AY2712:AY2713"/>
    <mergeCell ref="AZ2712:AZ2713"/>
    <mergeCell ref="BA2712:BA2713"/>
    <mergeCell ref="AV2714:AV2717"/>
    <mergeCell ref="AW2714:AW2717"/>
    <mergeCell ref="AX2714:AX2717"/>
    <mergeCell ref="AY2714:AY2717"/>
    <mergeCell ref="AZ2714:AZ2717"/>
    <mergeCell ref="BA2714:BA2717"/>
    <mergeCell ref="AV2720:AV2722"/>
    <mergeCell ref="AW2720:AW2722"/>
    <mergeCell ref="AX2720:AX2722"/>
    <mergeCell ref="AY2720:AY2722"/>
    <mergeCell ref="AZ2720:AZ2722"/>
    <mergeCell ref="BA2720:BA2722"/>
    <mergeCell ref="AV2723:AV2724"/>
    <mergeCell ref="AW2723:AW2724"/>
    <mergeCell ref="AX2723:AX2724"/>
    <mergeCell ref="AY2723:AY2724"/>
    <mergeCell ref="AZ2723:AZ2724"/>
    <mergeCell ref="BA2723:BA2724"/>
    <mergeCell ref="AV2725:AV2727"/>
    <mergeCell ref="AW2725:AW2727"/>
    <mergeCell ref="AX2725:AX2727"/>
    <mergeCell ref="AY2725:AY2727"/>
    <mergeCell ref="AZ2725:AZ2727"/>
    <mergeCell ref="BA2725:BA2727"/>
    <mergeCell ref="AV2728:AV2732"/>
    <mergeCell ref="AW2728:AW2732"/>
    <mergeCell ref="AX2728:AX2732"/>
    <mergeCell ref="AY2728:AY2732"/>
    <mergeCell ref="AZ2728:AZ2732"/>
    <mergeCell ref="BA2728:BA2732"/>
    <mergeCell ref="AV2733:AV2735"/>
    <mergeCell ref="AW2733:AW2735"/>
    <mergeCell ref="AX2733:AX2735"/>
    <mergeCell ref="AY2733:AY2735"/>
    <mergeCell ref="AZ2733:AZ2735"/>
    <mergeCell ref="BA2733:BA2735"/>
    <mergeCell ref="AV2736:AV2737"/>
    <mergeCell ref="AW2736:AW2737"/>
    <mergeCell ref="AX2736:AX2737"/>
    <mergeCell ref="AY2736:AY2737"/>
    <mergeCell ref="AZ2736:AZ2737"/>
    <mergeCell ref="BA2736:BA2737"/>
    <mergeCell ref="AV2741:AV2744"/>
    <mergeCell ref="AW2741:AW2744"/>
    <mergeCell ref="AX2741:AX2744"/>
    <mergeCell ref="AY2741:AY2744"/>
    <mergeCell ref="AZ2741:AZ2744"/>
    <mergeCell ref="BA2741:BA2744"/>
    <mergeCell ref="AV2745:AV2748"/>
    <mergeCell ref="AW2745:AW2748"/>
    <mergeCell ref="AX2745:AX2748"/>
    <mergeCell ref="AY2745:AY2748"/>
    <mergeCell ref="AZ2745:AZ2748"/>
    <mergeCell ref="BA2745:BA2748"/>
    <mergeCell ref="AV2749:AV2752"/>
    <mergeCell ref="AW2749:AW2752"/>
    <mergeCell ref="AX2749:AX2752"/>
    <mergeCell ref="AY2749:AY2752"/>
    <mergeCell ref="AZ2749:AZ2752"/>
    <mergeCell ref="BA2749:BA2752"/>
    <mergeCell ref="AV2753:AV2756"/>
    <mergeCell ref="AW2753:AW2756"/>
    <mergeCell ref="AX2753:AX2756"/>
    <mergeCell ref="AY2753:AY2756"/>
    <mergeCell ref="AZ2753:AZ2756"/>
    <mergeCell ref="BA2753:BA2756"/>
    <mergeCell ref="AV2757:AV2758"/>
    <mergeCell ref="AW2757:AW2758"/>
    <mergeCell ref="AX2757:AX2758"/>
    <mergeCell ref="AY2757:AY2758"/>
    <mergeCell ref="AZ2757:AZ2758"/>
    <mergeCell ref="BA2757:BA2758"/>
    <mergeCell ref="AV2759:AV2762"/>
    <mergeCell ref="AW2759:AW2762"/>
    <mergeCell ref="AX2759:AX2762"/>
    <mergeCell ref="AY2759:AY2762"/>
    <mergeCell ref="AZ2759:AZ2762"/>
    <mergeCell ref="BA2759:BA2762"/>
    <mergeCell ref="AV2763:AV2766"/>
    <mergeCell ref="AW2763:AW2766"/>
    <mergeCell ref="AX2763:AX2766"/>
    <mergeCell ref="AY2763:AY2766"/>
    <mergeCell ref="AZ2763:AZ2766"/>
    <mergeCell ref="BA2763:BA2766"/>
    <mergeCell ref="AV2769:AV2770"/>
    <mergeCell ref="AW2769:AW2770"/>
    <mergeCell ref="AX2769:AX2770"/>
    <mergeCell ref="AY2769:AY2770"/>
    <mergeCell ref="AZ2769:AZ2770"/>
    <mergeCell ref="BA2769:BA2770"/>
    <mergeCell ref="AV2771:AV2772"/>
    <mergeCell ref="AW2771:AW2772"/>
    <mergeCell ref="AX2771:AX2772"/>
    <mergeCell ref="AY2771:AY2772"/>
    <mergeCell ref="AZ2771:AZ2772"/>
    <mergeCell ref="BA2771:BA2772"/>
    <mergeCell ref="AV2773:AV2774"/>
    <mergeCell ref="AW2773:AW2774"/>
    <mergeCell ref="AX2773:AX2774"/>
    <mergeCell ref="AY2773:AY2774"/>
    <mergeCell ref="AZ2773:AZ2774"/>
    <mergeCell ref="BA2773:BA2774"/>
    <mergeCell ref="AV2775:AV2776"/>
    <mergeCell ref="AW2775:AW2776"/>
    <mergeCell ref="AX2775:AX2776"/>
    <mergeCell ref="AY2775:AY2776"/>
    <mergeCell ref="AZ2775:AZ2776"/>
    <mergeCell ref="BA2775:BA2776"/>
    <mergeCell ref="AV2780:AV2782"/>
    <mergeCell ref="AW2780:AW2782"/>
    <mergeCell ref="AX2780:AX2782"/>
    <mergeCell ref="AY2780:AY2782"/>
    <mergeCell ref="AZ2780:AZ2782"/>
    <mergeCell ref="BA2780:BA2782"/>
    <mergeCell ref="AV2784:AV2785"/>
    <mergeCell ref="AW2784:AW2785"/>
    <mergeCell ref="AX2784:AX2785"/>
    <mergeCell ref="AY2784:AY2785"/>
    <mergeCell ref="AZ2784:AZ2785"/>
    <mergeCell ref="BA2784:BA2785"/>
    <mergeCell ref="AV2786:AV2787"/>
    <mergeCell ref="AW2786:AW2787"/>
    <mergeCell ref="AX2786:AX2787"/>
    <mergeCell ref="AY2786:AY2787"/>
    <mergeCell ref="AZ2786:AZ2787"/>
    <mergeCell ref="BA2786:BA2787"/>
    <mergeCell ref="AV2795:AV2798"/>
    <mergeCell ref="AW2795:AW2798"/>
    <mergeCell ref="AX2795:AX2798"/>
    <mergeCell ref="AY2795:AY2798"/>
    <mergeCell ref="AZ2795:AZ2798"/>
    <mergeCell ref="BA2795:BA2798"/>
    <mergeCell ref="AV2805:AV2806"/>
    <mergeCell ref="AW2805:AW2806"/>
    <mergeCell ref="AX2805:AX2806"/>
    <mergeCell ref="AY2805:AY2806"/>
    <mergeCell ref="AZ2805:AZ2806"/>
    <mergeCell ref="BA2805:BA2806"/>
    <mergeCell ref="AV2808:AV2810"/>
    <mergeCell ref="AW2808:AW2810"/>
    <mergeCell ref="AX2808:AX2810"/>
    <mergeCell ref="AY2808:AY2810"/>
    <mergeCell ref="AZ2808:AZ2810"/>
    <mergeCell ref="BA2808:BA2810"/>
    <mergeCell ref="AV2811:AV2812"/>
    <mergeCell ref="AW2811:AW2812"/>
    <mergeCell ref="AX2811:AX2812"/>
    <mergeCell ref="AY2811:AY2812"/>
    <mergeCell ref="AZ2811:AZ2812"/>
    <mergeCell ref="BA2811:BA2812"/>
    <mergeCell ref="AV2819:AV2820"/>
    <mergeCell ref="AW2819:AW2820"/>
    <mergeCell ref="AX2819:AX2820"/>
    <mergeCell ref="AY2819:AY2820"/>
    <mergeCell ref="AZ2819:AZ2820"/>
    <mergeCell ref="BA2819:BA2820"/>
    <mergeCell ref="AV2825:AV2826"/>
    <mergeCell ref="AW2825:AW2826"/>
    <mergeCell ref="AX2825:AX2826"/>
    <mergeCell ref="AY2825:AY2826"/>
    <mergeCell ref="AZ2825:AZ2826"/>
    <mergeCell ref="BA2825:BA2826"/>
    <mergeCell ref="AV2828:AV2829"/>
    <mergeCell ref="AW2828:AW2829"/>
    <mergeCell ref="AX2828:AX2829"/>
    <mergeCell ref="AY2828:AY2829"/>
    <mergeCell ref="AZ2828:AZ2829"/>
    <mergeCell ref="BA2828:BA2829"/>
    <mergeCell ref="AV2832:AV2834"/>
    <mergeCell ref="AW2832:AW2834"/>
    <mergeCell ref="AX2832:AX2834"/>
    <mergeCell ref="AY2832:AY2834"/>
    <mergeCell ref="AZ2832:AZ2834"/>
    <mergeCell ref="BA2832:BA2834"/>
    <mergeCell ref="AV2839:AV2840"/>
    <mergeCell ref="AW2839:AW2840"/>
    <mergeCell ref="AX2839:AX2840"/>
    <mergeCell ref="AY2839:AY2840"/>
    <mergeCell ref="AZ2839:AZ2840"/>
    <mergeCell ref="BA2839:BA2840"/>
    <mergeCell ref="AV2841:AV2842"/>
    <mergeCell ref="AW2841:AW2842"/>
    <mergeCell ref="AX2841:AX2842"/>
    <mergeCell ref="AY2841:AY2842"/>
    <mergeCell ref="AZ2841:AZ2842"/>
    <mergeCell ref="BA2841:BA2842"/>
    <mergeCell ref="AV2843:AV2844"/>
    <mergeCell ref="AW2843:AW2844"/>
    <mergeCell ref="AX2843:AX2844"/>
    <mergeCell ref="AY2843:AY2844"/>
    <mergeCell ref="AZ2843:AZ2844"/>
    <mergeCell ref="BA2843:BA2844"/>
    <mergeCell ref="AV2847:AV2849"/>
    <mergeCell ref="AW2847:AW2849"/>
    <mergeCell ref="AX2847:AX2849"/>
    <mergeCell ref="AY2847:AY2849"/>
    <mergeCell ref="AZ2847:AZ2849"/>
    <mergeCell ref="BA2847:BA2849"/>
    <mergeCell ref="AV2850:AV2853"/>
    <mergeCell ref="AW2850:AW2853"/>
    <mergeCell ref="AX2850:AX2853"/>
    <mergeCell ref="AY2850:AY2853"/>
    <mergeCell ref="AZ2850:AZ2853"/>
    <mergeCell ref="BA2850:BA2853"/>
    <mergeCell ref="AV2854:AV2857"/>
    <mergeCell ref="AW2854:AW2857"/>
    <mergeCell ref="AX2854:AX2857"/>
    <mergeCell ref="AY2854:AY2857"/>
    <mergeCell ref="AZ2854:AZ2857"/>
    <mergeCell ref="BA2854:BA2857"/>
    <mergeCell ref="AV2858:AV2861"/>
    <mergeCell ref="AW2858:AW2861"/>
    <mergeCell ref="AX2858:AX2861"/>
    <mergeCell ref="AY2858:AY2861"/>
    <mergeCell ref="AZ2858:AZ2861"/>
    <mergeCell ref="BA2858:BA2861"/>
    <mergeCell ref="AV2862:AV2865"/>
    <mergeCell ref="AW2862:AW2865"/>
    <mergeCell ref="AX2862:AX2865"/>
    <mergeCell ref="AY2862:AY2865"/>
    <mergeCell ref="AZ2862:AZ2865"/>
    <mergeCell ref="BA2862:BA2865"/>
    <mergeCell ref="AV2866:AV2869"/>
    <mergeCell ref="AW2866:AW2869"/>
    <mergeCell ref="AX2866:AX2869"/>
    <mergeCell ref="AY2866:AY2869"/>
    <mergeCell ref="AZ2866:AZ2869"/>
    <mergeCell ref="BA2866:BA2869"/>
    <mergeCell ref="AV2870:AV2873"/>
    <mergeCell ref="AW2870:AW2873"/>
    <mergeCell ref="AX2870:AX2873"/>
    <mergeCell ref="AY2870:AY2873"/>
    <mergeCell ref="AZ2870:AZ2873"/>
    <mergeCell ref="BA2870:BA2873"/>
    <mergeCell ref="AV2876:AV2879"/>
    <mergeCell ref="AW2876:AW2879"/>
    <mergeCell ref="AX2876:AX2879"/>
    <mergeCell ref="AY2876:AY2879"/>
    <mergeCell ref="AZ2876:AZ2879"/>
    <mergeCell ref="BA2876:BA2879"/>
    <mergeCell ref="AV2880:AV2881"/>
    <mergeCell ref="AW2880:AW2881"/>
    <mergeCell ref="AX2880:AX2881"/>
    <mergeCell ref="AY2880:AY2881"/>
    <mergeCell ref="AZ2880:AZ2881"/>
    <mergeCell ref="BA2880:BA2881"/>
    <mergeCell ref="AV2888:AV2889"/>
    <mergeCell ref="AW2888:AW2889"/>
    <mergeCell ref="AX2888:AX2889"/>
    <mergeCell ref="AY2888:AY2889"/>
    <mergeCell ref="AZ2888:AZ2889"/>
    <mergeCell ref="BA2888:BA2889"/>
    <mergeCell ref="AV2890:AV2893"/>
    <mergeCell ref="AW2890:AW2893"/>
    <mergeCell ref="AX2890:AX2893"/>
    <mergeCell ref="AY2890:AY2893"/>
    <mergeCell ref="AZ2890:AZ2893"/>
    <mergeCell ref="BA2890:BA2893"/>
    <mergeCell ref="AV2894:AV2896"/>
    <mergeCell ref="AW2894:AW2896"/>
    <mergeCell ref="AX2894:AX2896"/>
    <mergeCell ref="AY2894:AY2896"/>
    <mergeCell ref="AZ2894:AZ2896"/>
    <mergeCell ref="BA2894:BA2896"/>
    <mergeCell ref="AV2897:AV2899"/>
    <mergeCell ref="AW2897:AW2899"/>
    <mergeCell ref="AX2897:AX2899"/>
    <mergeCell ref="AY2897:AY2899"/>
    <mergeCell ref="AZ2897:AZ2899"/>
    <mergeCell ref="BA2897:BA2899"/>
    <mergeCell ref="AV2900:AV2902"/>
    <mergeCell ref="AW2900:AW2902"/>
    <mergeCell ref="AX2900:AX2902"/>
    <mergeCell ref="AY2900:AY2902"/>
    <mergeCell ref="AZ2900:AZ2902"/>
    <mergeCell ref="BA2900:BA2902"/>
    <mergeCell ref="AV2903:AV2905"/>
    <mergeCell ref="AW2903:AW2905"/>
    <mergeCell ref="AX2903:AX2905"/>
    <mergeCell ref="AY2903:AY2905"/>
    <mergeCell ref="AZ2903:AZ2905"/>
    <mergeCell ref="BA2903:BA2905"/>
    <mergeCell ref="AV2907:AV2908"/>
    <mergeCell ref="AW2907:AW2908"/>
    <mergeCell ref="AX2907:AX2908"/>
    <mergeCell ref="AY2907:AY2908"/>
    <mergeCell ref="AZ2907:AZ2908"/>
    <mergeCell ref="BA2907:BA2908"/>
    <mergeCell ref="AV2909:AV2910"/>
    <mergeCell ref="AW2909:AW2910"/>
    <mergeCell ref="AX2909:AX2910"/>
    <mergeCell ref="AY2909:AY2910"/>
    <mergeCell ref="AZ2909:AZ2910"/>
    <mergeCell ref="BA2909:BA2910"/>
    <mergeCell ref="AV2911:AV2912"/>
    <mergeCell ref="AW2911:AW2912"/>
    <mergeCell ref="AX2911:AX2912"/>
    <mergeCell ref="AY2911:AY2912"/>
    <mergeCell ref="AZ2911:AZ2912"/>
    <mergeCell ref="BA2911:BA2912"/>
    <mergeCell ref="AV2913:AV2914"/>
    <mergeCell ref="AW2913:AW2914"/>
    <mergeCell ref="AX2913:AX2914"/>
    <mergeCell ref="AY2913:AY2914"/>
    <mergeCell ref="AZ2913:AZ2914"/>
    <mergeCell ref="BA2913:BA2914"/>
    <mergeCell ref="AV2916:AV2917"/>
    <mergeCell ref="AW2916:AW2917"/>
    <mergeCell ref="AX2916:AX2917"/>
    <mergeCell ref="AY2916:AY2917"/>
    <mergeCell ref="AZ2916:AZ2917"/>
    <mergeCell ref="BA2916:BA2917"/>
    <mergeCell ref="AV2918:AV2919"/>
    <mergeCell ref="AW2918:AW2919"/>
    <mergeCell ref="AX2918:AX2919"/>
    <mergeCell ref="AY2918:AY2919"/>
    <mergeCell ref="AZ2918:AZ2919"/>
    <mergeCell ref="BA2918:BA2919"/>
    <mergeCell ref="AV2920:AV2922"/>
    <mergeCell ref="AW2920:AW2922"/>
    <mergeCell ref="AX2920:AX2922"/>
    <mergeCell ref="AY2920:AY2922"/>
    <mergeCell ref="AZ2920:AZ2922"/>
    <mergeCell ref="BA2920:BA2922"/>
    <mergeCell ref="AV2928:AV2929"/>
    <mergeCell ref="AW2928:AW2929"/>
    <mergeCell ref="AX2928:AX2929"/>
    <mergeCell ref="AY2928:AY2929"/>
    <mergeCell ref="AZ2928:AZ2929"/>
    <mergeCell ref="BA2928:BA2929"/>
    <mergeCell ref="AV2930:AV2931"/>
    <mergeCell ref="AW2930:AW2931"/>
    <mergeCell ref="AX2930:AX2931"/>
    <mergeCell ref="AY2930:AY2931"/>
    <mergeCell ref="AZ2930:AZ2931"/>
    <mergeCell ref="BA2930:BA2931"/>
    <mergeCell ref="AV2932:AV2933"/>
    <mergeCell ref="AW2932:AW2933"/>
    <mergeCell ref="AX2932:AX2933"/>
    <mergeCell ref="AY2932:AY2933"/>
    <mergeCell ref="AZ2932:AZ2933"/>
    <mergeCell ref="BA2932:BA2933"/>
    <mergeCell ref="AV2934:AV2935"/>
    <mergeCell ref="AW2934:AW2935"/>
    <mergeCell ref="AX2934:AX2935"/>
    <mergeCell ref="AY2934:AY2935"/>
    <mergeCell ref="AZ2934:AZ2935"/>
    <mergeCell ref="BA2934:BA2935"/>
    <mergeCell ref="AV2939:AV2941"/>
    <mergeCell ref="AW2939:AW2941"/>
    <mergeCell ref="AX2939:AX2941"/>
    <mergeCell ref="AY2939:AY2941"/>
    <mergeCell ref="AZ2939:AZ2941"/>
    <mergeCell ref="BA2939:BA2941"/>
    <mergeCell ref="AV2948:AV2949"/>
    <mergeCell ref="AW2948:AW2949"/>
    <mergeCell ref="AX2948:AX2949"/>
    <mergeCell ref="AY2948:AY2949"/>
    <mergeCell ref="AZ2948:AZ2949"/>
    <mergeCell ref="BA2948:BA2949"/>
    <mergeCell ref="AV2953:AV2955"/>
    <mergeCell ref="AW2953:AW2955"/>
    <mergeCell ref="AX2953:AX2955"/>
    <mergeCell ref="AY2953:AY2955"/>
    <mergeCell ref="AZ2953:AZ2955"/>
    <mergeCell ref="BA2953:BA2955"/>
    <mergeCell ref="AV2956:AV2957"/>
    <mergeCell ref="AW2956:AW2957"/>
    <mergeCell ref="AX2956:AX2957"/>
    <mergeCell ref="AY2956:AY2957"/>
    <mergeCell ref="AZ2956:AZ2957"/>
    <mergeCell ref="BA2956:BA2957"/>
    <mergeCell ref="AV2959:AV2961"/>
    <mergeCell ref="AW2959:AW2961"/>
    <mergeCell ref="AX2959:AX2961"/>
    <mergeCell ref="AY2959:AY2961"/>
    <mergeCell ref="AZ2959:AZ2961"/>
    <mergeCell ref="BA2959:BA2961"/>
    <mergeCell ref="AV2963:AV2965"/>
    <mergeCell ref="AW2963:AW2965"/>
    <mergeCell ref="AX2963:AX2965"/>
    <mergeCell ref="AY2963:AY2965"/>
    <mergeCell ref="AZ2963:AZ2965"/>
    <mergeCell ref="BA2963:BA2965"/>
    <mergeCell ref="AV2966:AV2968"/>
    <mergeCell ref="AW2966:AW2968"/>
    <mergeCell ref="AX2966:AX2968"/>
    <mergeCell ref="AY2966:AY2968"/>
    <mergeCell ref="AZ2966:AZ2968"/>
    <mergeCell ref="BA2966:BA2968"/>
    <mergeCell ref="AV2970:AV2972"/>
    <mergeCell ref="AW2970:AW2972"/>
    <mergeCell ref="AX2970:AX2972"/>
    <mergeCell ref="AY2970:AY2972"/>
    <mergeCell ref="AZ2970:AZ2972"/>
    <mergeCell ref="BA2970:BA2972"/>
    <mergeCell ref="AV2973:AV2975"/>
    <mergeCell ref="AW2973:AW2975"/>
    <mergeCell ref="AX2973:AX2975"/>
    <mergeCell ref="AY2973:AY2975"/>
    <mergeCell ref="AZ2973:AZ2975"/>
    <mergeCell ref="BA2973:BA2975"/>
    <mergeCell ref="AV2976:AV2978"/>
    <mergeCell ref="AW2976:AW2978"/>
    <mergeCell ref="AX2976:AX2978"/>
    <mergeCell ref="AY2976:AY2978"/>
    <mergeCell ref="AZ2976:AZ2978"/>
    <mergeCell ref="BA2976:BA2978"/>
    <mergeCell ref="AV2979:AV2980"/>
    <mergeCell ref="AW2979:AW2980"/>
    <mergeCell ref="AX2979:AX2980"/>
    <mergeCell ref="AY2979:AY2980"/>
    <mergeCell ref="AZ2979:AZ2980"/>
    <mergeCell ref="BA2979:BA2980"/>
    <mergeCell ref="AV2986:AV2987"/>
    <mergeCell ref="AW2986:AW2987"/>
    <mergeCell ref="AX2986:AX2987"/>
    <mergeCell ref="AY2986:AY2987"/>
    <mergeCell ref="AZ2986:AZ2987"/>
    <mergeCell ref="BA2986:BA2987"/>
    <mergeCell ref="AV2990:AV2992"/>
    <mergeCell ref="AW2990:AW2992"/>
    <mergeCell ref="AX2990:AX2992"/>
    <mergeCell ref="AY2990:AY2992"/>
    <mergeCell ref="AZ2990:AZ2992"/>
    <mergeCell ref="BA2990:BA2992"/>
    <mergeCell ref="AV3006:AV3007"/>
    <mergeCell ref="AW3006:AW3007"/>
    <mergeCell ref="AX3006:AX3007"/>
    <mergeCell ref="AY3006:AY3007"/>
    <mergeCell ref="AZ3006:AZ3007"/>
    <mergeCell ref="BA3006:BA3007"/>
    <mergeCell ref="AV3009:AV3011"/>
    <mergeCell ref="AW3009:AW3011"/>
    <mergeCell ref="AX3009:AX3011"/>
    <mergeCell ref="AY3009:AY3011"/>
    <mergeCell ref="AZ3009:AZ3011"/>
    <mergeCell ref="BA3009:BA3011"/>
    <mergeCell ref="AV3017:AV3019"/>
    <mergeCell ref="AW3017:AW3019"/>
    <mergeCell ref="AX3017:AX3019"/>
    <mergeCell ref="AY3017:AY3019"/>
    <mergeCell ref="AZ3017:AZ3019"/>
    <mergeCell ref="BA3017:BA3019"/>
    <mergeCell ref="BB6:BB7"/>
    <mergeCell ref="BB144:BB145"/>
    <mergeCell ref="BB182:BB183"/>
    <mergeCell ref="BB235:BB236"/>
    <mergeCell ref="BB256:BB257"/>
    <mergeCell ref="BB282:BB284"/>
    <mergeCell ref="BB288:BB289"/>
    <mergeCell ref="BB290:BB292"/>
    <mergeCell ref="BB337:BB338"/>
    <mergeCell ref="BB339:BB340"/>
    <mergeCell ref="BB341:BB342"/>
    <mergeCell ref="BB343:BB344"/>
    <mergeCell ref="BB345:BB346"/>
    <mergeCell ref="BB347:BB348"/>
    <mergeCell ref="BB349:BB350"/>
    <mergeCell ref="BB351:BB352"/>
    <mergeCell ref="BB353:BB354"/>
    <mergeCell ref="BB370:BB371"/>
    <mergeCell ref="BB380:BB381"/>
    <mergeCell ref="BB382:BB383"/>
    <mergeCell ref="BB418:BB419"/>
    <mergeCell ref="BB420:BB421"/>
    <mergeCell ref="BB486:BB487"/>
    <mergeCell ref="BB499:BB500"/>
    <mergeCell ref="BB502:BB503"/>
    <mergeCell ref="BB521:BB522"/>
    <mergeCell ref="BB523:BB524"/>
    <mergeCell ref="BB531:BB532"/>
    <mergeCell ref="BB554:BB555"/>
    <mergeCell ref="BB556:BB557"/>
    <mergeCell ref="BB574:BB575"/>
    <mergeCell ref="BB576:BB577"/>
    <mergeCell ref="BB578:BB579"/>
    <mergeCell ref="BB601:BB602"/>
    <mergeCell ref="BB675:BB676"/>
    <mergeCell ref="BB679:BB680"/>
    <mergeCell ref="BB682:BB683"/>
    <mergeCell ref="BB704:BB705"/>
    <mergeCell ref="BB1105:BB1106"/>
    <mergeCell ref="BB1227:BB1228"/>
    <mergeCell ref="BB1247:BB1248"/>
    <mergeCell ref="BB1249:BB1250"/>
    <mergeCell ref="BB1251:BB1252"/>
    <mergeCell ref="BB1253:BB1254"/>
    <mergeCell ref="BB1255:BB1256"/>
    <mergeCell ref="BB1257:BB1258"/>
    <mergeCell ref="BB1259:BB1261"/>
    <mergeCell ref="BB1263:BB1264"/>
    <mergeCell ref="BB1265:BB1266"/>
    <mergeCell ref="BB1267:BB1268"/>
    <mergeCell ref="BB1274:BB1275"/>
    <mergeCell ref="BB1304:BB1305"/>
    <mergeCell ref="BB1306:BB1307"/>
    <mergeCell ref="BB1356:BB1357"/>
    <mergeCell ref="BB1368:BB1369"/>
    <mergeCell ref="BB1510:BB1511"/>
    <mergeCell ref="BB1704:BB1705"/>
    <mergeCell ref="BB1714:BB1715"/>
    <mergeCell ref="BB1716:BB1717"/>
    <mergeCell ref="BB1718:BB1719"/>
    <mergeCell ref="BB1732:BB1733"/>
    <mergeCell ref="BB1744:BB1745"/>
    <mergeCell ref="BB1780:BB1781"/>
    <mergeCell ref="BB1782:BB1783"/>
    <mergeCell ref="BB1785:BB1786"/>
    <mergeCell ref="BB1787:BB1788"/>
    <mergeCell ref="BB1790:BB1791"/>
    <mergeCell ref="BB1801:BB1802"/>
    <mergeCell ref="BB1819:BB1820"/>
    <mergeCell ref="BB1829:BB1830"/>
    <mergeCell ref="BB1831:BB1832"/>
    <mergeCell ref="BB1833:BB1834"/>
    <mergeCell ref="BB1835:BB1836"/>
    <mergeCell ref="BB1839:BB1840"/>
    <mergeCell ref="BB1841:BB1842"/>
    <mergeCell ref="BB1843:BB1844"/>
    <mergeCell ref="BB1846:BB1847"/>
    <mergeCell ref="BB1874:BB1875"/>
    <mergeCell ref="BB1876:BB1877"/>
    <mergeCell ref="BB1962:BB1963"/>
    <mergeCell ref="BB2017:BB2018"/>
    <mergeCell ref="BB2019:BB2020"/>
    <mergeCell ref="BB2022:BB2023"/>
    <mergeCell ref="BB2032:BB2033"/>
    <mergeCell ref="BB2034:BB2035"/>
    <mergeCell ref="BB2043:BB2044"/>
    <mergeCell ref="BB2045:BB2046"/>
    <mergeCell ref="BB2090:BB2091"/>
    <mergeCell ref="BB2137:BB2142"/>
    <mergeCell ref="BB2146:BB2151"/>
    <mergeCell ref="BB2171:BB2172"/>
    <mergeCell ref="BB2175:BB2176"/>
    <mergeCell ref="BB2195:BB2196"/>
    <mergeCell ref="BB2202:BB2203"/>
    <mergeCell ref="BB2257:BB2258"/>
    <mergeCell ref="BB2358:BB2359"/>
    <mergeCell ref="BB2360:BB2361"/>
    <mergeCell ref="BB2362:BB2363"/>
    <mergeCell ref="BB2364:BB2365"/>
    <mergeCell ref="BB2378:BB2379"/>
    <mergeCell ref="BB2423:BB2424"/>
    <mergeCell ref="BB2425:BB2426"/>
    <mergeCell ref="BB2427:BB2428"/>
    <mergeCell ref="BB2430:BB2431"/>
    <mergeCell ref="BB2432:BB2433"/>
    <mergeCell ref="BB2434:BB2435"/>
    <mergeCell ref="BB2436:BB2437"/>
    <mergeCell ref="BB2438:BB2439"/>
    <mergeCell ref="BB2440:BB2441"/>
    <mergeCell ref="BB2442:BB2443"/>
    <mergeCell ref="BB2444:BB2445"/>
    <mergeCell ref="BB2446:BB2447"/>
    <mergeCell ref="BB2448:BB2449"/>
    <mergeCell ref="BB2450:BB2451"/>
    <mergeCell ref="BB2452:BB2453"/>
    <mergeCell ref="BB2455:BB2456"/>
    <mergeCell ref="BB2457:BB2458"/>
    <mergeCell ref="BB2459:BB2460"/>
    <mergeCell ref="BB2507:BB2508"/>
    <mergeCell ref="BB2523:BB2524"/>
    <mergeCell ref="BB2591:BB2592"/>
    <mergeCell ref="BB2611:BB2612"/>
    <mergeCell ref="BB2643:BB2644"/>
    <mergeCell ref="BB2665:BB2666"/>
    <mergeCell ref="BB2667:BB2668"/>
    <mergeCell ref="BB2669:BB2670"/>
    <mergeCell ref="BB2671:BB2672"/>
    <mergeCell ref="BB2673:BB2674"/>
    <mergeCell ref="BB2675:BB2676"/>
    <mergeCell ref="BB2677:BB2678"/>
    <mergeCell ref="BB2695:BB2696"/>
    <mergeCell ref="BB2699:BB2700"/>
    <mergeCell ref="BB2705:BB2706"/>
    <mergeCell ref="BB2710:BB2711"/>
    <mergeCell ref="BB2714:BB2715"/>
    <mergeCell ref="BB2716:BB2717"/>
    <mergeCell ref="BB2769:BB2770"/>
    <mergeCell ref="BB2771:BB2772"/>
    <mergeCell ref="BB2773:BB2774"/>
    <mergeCell ref="BB2825:BB2826"/>
    <mergeCell ref="BB2928:BB2929"/>
    <mergeCell ref="BB2948:BB294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12643</v>
      </c>
      <c r="C2" s="0" t="s">
        <v>12644</v>
      </c>
      <c r="D2" s="0" t="s">
        <v>12645</v>
      </c>
      <c r="E2" s="0" t="s">
        <v>59</v>
      </c>
    </row>
    <row r="3">
      <c r="A3" s="1" t="s">
        <v>59</v>
      </c>
      <c r="B3" s="1" t="s">
        <v>60</v>
      </c>
      <c r="C3" s="1" t="s">
        <v>61</v>
      </c>
      <c r="D3" s="1" t="s">
        <v>62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59</v>
      </c>
      <c r="B4" s="1" t="s">
        <v>60</v>
      </c>
      <c r="C4" s="1" t="s">
        <v>61</v>
      </c>
      <c r="D4" s="1" t="s">
        <v>62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12646</v>
      </c>
      <c r="J4" s="1" t="s">
        <v>12647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12648</v>
      </c>
      <c r="P4" s="1" t="s">
        <v>12649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12650</v>
      </c>
      <c r="F5" s="1" t="s">
        <v>12651</v>
      </c>
      <c r="G5" s="1" t="s">
        <v>12650</v>
      </c>
      <c r="H5" s="1" t="s">
        <v>12651</v>
      </c>
      <c r="I5" s="1" t="s">
        <v>12646</v>
      </c>
      <c r="J5" s="1" t="s">
        <v>12647</v>
      </c>
      <c r="K5" s="1" t="s">
        <v>12652</v>
      </c>
      <c r="L5" s="1" t="s">
        <v>12653</v>
      </c>
      <c r="M5" s="1" t="s">
        <v>12652</v>
      </c>
      <c r="N5" s="1" t="s">
        <v>12653</v>
      </c>
      <c r="O5" s="1" t="s">
        <v>12648</v>
      </c>
      <c r="P5" s="1" t="s">
        <v>12649</v>
      </c>
    </row>
    <row r="6">
      <c r="A6" s="2" t="s">
        <v>1186</v>
      </c>
      <c r="B6" s="2" t="s">
        <v>1105</v>
      </c>
      <c r="C6" s="2" t="s">
        <v>654</v>
      </c>
      <c r="D6" s="2" t="s">
        <v>655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1186</v>
      </c>
      <c r="B7" s="2" t="s">
        <v>1105</v>
      </c>
      <c r="C7" s="2" t="s">
        <v>1462</v>
      </c>
      <c r="D7" s="2" t="s">
        <v>1952</v>
      </c>
      <c r="E7" s="4" t="s">
        <v>231</v>
      </c>
      <c r="F7" s="8" t="s">
        <v>231</v>
      </c>
      <c r="G7" s="4" t="s">
        <v>231</v>
      </c>
      <c r="H7" s="8" t="s">
        <v>231</v>
      </c>
      <c r="I7" s="7" t="s">
        <v>231</v>
      </c>
      <c r="J7" s="7" t="s">
        <v>231</v>
      </c>
      <c r="K7" s="4"/>
      <c r="L7" s="8"/>
      <c r="M7" s="4"/>
      <c r="N7" s="8"/>
      <c r="O7" s="7"/>
      <c r="P7" s="7"/>
    </row>
    <row r="8">
      <c r="A8" s="2" t="s">
        <v>1186</v>
      </c>
      <c r="B8" s="2" t="s">
        <v>1105</v>
      </c>
      <c r="C8" s="2" t="s">
        <v>1462</v>
      </c>
      <c r="D8" s="2" t="s">
        <v>1884</v>
      </c>
      <c r="E8" s="4" t="s">
        <v>231</v>
      </c>
      <c r="F8" s="8" t="s">
        <v>231</v>
      </c>
      <c r="G8" s="4" t="s">
        <v>231</v>
      </c>
      <c r="H8" s="8" t="s">
        <v>231</v>
      </c>
      <c r="I8" s="7" t="s">
        <v>231</v>
      </c>
      <c r="J8" s="7" t="s">
        <v>231</v>
      </c>
      <c r="K8" s="4"/>
      <c r="L8" s="8"/>
      <c r="M8" s="4"/>
      <c r="N8" s="8"/>
      <c r="O8" s="7"/>
      <c r="P8" s="7"/>
    </row>
    <row r="9">
      <c r="A9" s="2" t="s">
        <v>1186</v>
      </c>
      <c r="B9" s="2" t="s">
        <v>631</v>
      </c>
      <c r="C9" s="2" t="s">
        <v>654</v>
      </c>
      <c r="D9" s="2" t="s">
        <v>1187</v>
      </c>
      <c r="E9" s="4" t="s">
        <v>231</v>
      </c>
      <c r="F9" s="8" t="s">
        <v>231</v>
      </c>
      <c r="G9" s="4" t="s">
        <v>231</v>
      </c>
      <c r="H9" s="8" t="s">
        <v>231</v>
      </c>
      <c r="I9" s="7" t="s">
        <v>231</v>
      </c>
      <c r="J9" s="7" t="s">
        <v>231</v>
      </c>
      <c r="K9" s="4"/>
      <c r="L9" s="8"/>
      <c r="M9" s="4"/>
      <c r="N9" s="8"/>
      <c r="O9" s="7"/>
      <c r="P9" s="7"/>
    </row>
    <row r="10">
      <c r="A10" s="2" t="s">
        <v>1186</v>
      </c>
      <c r="B10" s="2" t="s">
        <v>631</v>
      </c>
      <c r="C10" s="2" t="s">
        <v>654</v>
      </c>
      <c r="D10" s="2" t="s">
        <v>655</v>
      </c>
      <c r="E10" s="4" t="s">
        <v>231</v>
      </c>
      <c r="F10" s="8" t="s">
        <v>231</v>
      </c>
      <c r="G10" s="4" t="s">
        <v>231</v>
      </c>
      <c r="H10" s="8" t="s">
        <v>231</v>
      </c>
      <c r="I10" s="7" t="s">
        <v>231</v>
      </c>
      <c r="J10" s="7" t="s">
        <v>231</v>
      </c>
      <c r="K10" s="4"/>
      <c r="L10" s="8"/>
      <c r="M10" s="4"/>
      <c r="N10" s="8"/>
      <c r="O10" s="7"/>
      <c r="P10" s="7"/>
    </row>
    <row r="11">
      <c r="A11" s="2" t="s">
        <v>1186</v>
      </c>
      <c r="B11" s="2" t="s">
        <v>631</v>
      </c>
      <c r="C11" s="2" t="s">
        <v>654</v>
      </c>
      <c r="D11" s="2" t="s">
        <v>890</v>
      </c>
      <c r="E11" s="4" t="s">
        <v>231</v>
      </c>
      <c r="F11" s="8" t="s">
        <v>231</v>
      </c>
      <c r="G11" s="4" t="s">
        <v>231</v>
      </c>
      <c r="H11" s="8" t="s">
        <v>231</v>
      </c>
      <c r="I11" s="7" t="s">
        <v>231</v>
      </c>
      <c r="J11" s="7" t="s">
        <v>231</v>
      </c>
      <c r="K11" s="4"/>
      <c r="L11" s="8"/>
      <c r="M11" s="4"/>
      <c r="N11" s="8"/>
      <c r="O11" s="7"/>
      <c r="P11" s="7"/>
    </row>
    <row r="12">
      <c r="A12" s="2" t="s">
        <v>1186</v>
      </c>
      <c r="B12" s="2" t="s">
        <v>631</v>
      </c>
      <c r="C12" s="2" t="s">
        <v>1462</v>
      </c>
      <c r="D12" s="2" t="s">
        <v>1463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1186</v>
      </c>
      <c r="B13" s="2" t="s">
        <v>631</v>
      </c>
      <c r="C13" s="2" t="s">
        <v>826</v>
      </c>
      <c r="D13" s="2" t="s">
        <v>1060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1186</v>
      </c>
      <c r="B14" s="2" t="s">
        <v>1816</v>
      </c>
      <c r="C14" s="2" t="s">
        <v>654</v>
      </c>
      <c r="D14" s="2" t="s">
        <v>890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1186</v>
      </c>
      <c r="B15" s="2" t="s">
        <v>1211</v>
      </c>
      <c r="C15" s="2" t="s">
        <v>654</v>
      </c>
      <c r="D15" s="2" t="s">
        <v>890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1186</v>
      </c>
      <c r="B16" s="2" t="s">
        <v>1017</v>
      </c>
      <c r="C16" s="2" t="s">
        <v>654</v>
      </c>
      <c r="D16" s="2" t="s">
        <v>655</v>
      </c>
      <c r="E16" s="4" t="s">
        <v>231</v>
      </c>
      <c r="F16" s="8" t="s">
        <v>231</v>
      </c>
      <c r="G16" s="4" t="s">
        <v>231</v>
      </c>
      <c r="H16" s="8" t="s">
        <v>231</v>
      </c>
      <c r="I16" s="7" t="s">
        <v>231</v>
      </c>
      <c r="J16" s="7" t="s">
        <v>231</v>
      </c>
      <c r="K16" s="4"/>
      <c r="L16" s="8"/>
      <c r="M16" s="4"/>
      <c r="N16" s="8"/>
      <c r="O16" s="7"/>
      <c r="P16" s="7"/>
    </row>
    <row r="17">
      <c r="A17" s="2" t="s">
        <v>1186</v>
      </c>
      <c r="B17" s="2" t="s">
        <v>1017</v>
      </c>
      <c r="C17" s="2" t="s">
        <v>654</v>
      </c>
      <c r="D17" s="2" t="s">
        <v>890</v>
      </c>
      <c r="E17" s="4" t="s">
        <v>231</v>
      </c>
      <c r="F17" s="8" t="s">
        <v>231</v>
      </c>
      <c r="G17" s="4" t="s">
        <v>231</v>
      </c>
      <c r="H17" s="8" t="s">
        <v>231</v>
      </c>
      <c r="I17" s="7" t="s">
        <v>231</v>
      </c>
      <c r="J17" s="7" t="s">
        <v>231</v>
      </c>
      <c r="K17" s="4"/>
      <c r="L17" s="8"/>
      <c r="M17" s="4"/>
      <c r="N17" s="8"/>
      <c r="O17" s="7"/>
      <c r="P17" s="7"/>
    </row>
    <row r="18">
      <c r="A18" s="2" t="s">
        <v>1186</v>
      </c>
      <c r="B18" s="2" t="s">
        <v>1017</v>
      </c>
      <c r="C18" s="2" t="s">
        <v>1462</v>
      </c>
      <c r="D18" s="2" t="s">
        <v>2563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1186</v>
      </c>
      <c r="B19" s="2" t="s">
        <v>1017</v>
      </c>
      <c r="C19" s="2" t="s">
        <v>826</v>
      </c>
      <c r="D19" s="2" t="s">
        <v>1060</v>
      </c>
      <c r="E19" s="4" t="s">
        <v>231</v>
      </c>
      <c r="F19" s="8" t="s">
        <v>231</v>
      </c>
      <c r="G19" s="4" t="s">
        <v>231</v>
      </c>
      <c r="H19" s="8" t="s">
        <v>231</v>
      </c>
      <c r="I19" s="7" t="s">
        <v>231</v>
      </c>
      <c r="J19" s="7" t="s">
        <v>231</v>
      </c>
      <c r="K19" s="4"/>
      <c r="L19" s="8"/>
      <c r="M19" s="4"/>
      <c r="N19" s="8"/>
      <c r="O19" s="7"/>
      <c r="P19" s="7"/>
    </row>
    <row r="20">
      <c r="A20" s="2" t="s">
        <v>1186</v>
      </c>
      <c r="B20" s="2" t="s">
        <v>1017</v>
      </c>
      <c r="C20" s="2" t="s">
        <v>826</v>
      </c>
      <c r="D20" s="2" t="s">
        <v>827</v>
      </c>
      <c r="E20" s="4" t="s">
        <v>231</v>
      </c>
      <c r="F20" s="8" t="s">
        <v>231</v>
      </c>
      <c r="G20" s="4" t="s">
        <v>231</v>
      </c>
      <c r="H20" s="8" t="s">
        <v>231</v>
      </c>
      <c r="I20" s="7" t="s">
        <v>231</v>
      </c>
      <c r="J20" s="7" t="s">
        <v>231</v>
      </c>
      <c r="K20" s="4"/>
      <c r="L20" s="8"/>
      <c r="M20" s="4"/>
      <c r="N20" s="8"/>
      <c r="O20" s="7"/>
      <c r="P20" s="7"/>
    </row>
    <row r="21">
      <c r="A21" s="2" t="s">
        <v>1186</v>
      </c>
      <c r="B21" s="2" t="s">
        <v>1017</v>
      </c>
      <c r="C21" s="2" t="s">
        <v>9280</v>
      </c>
      <c r="D21" s="2" t="s">
        <v>1463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1186</v>
      </c>
      <c r="B22" s="2" t="s">
        <v>1614</v>
      </c>
      <c r="C22" s="2" t="s">
        <v>3558</v>
      </c>
      <c r="D22" s="2" t="s">
        <v>3559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1186</v>
      </c>
      <c r="B23" s="2" t="s">
        <v>1614</v>
      </c>
      <c r="C23" s="2" t="s">
        <v>1462</v>
      </c>
      <c r="D23" s="2" t="s">
        <v>2563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1186</v>
      </c>
      <c r="B24" s="2" t="s">
        <v>1614</v>
      </c>
      <c r="C24" s="2" t="s">
        <v>826</v>
      </c>
      <c r="D24" s="2" t="s">
        <v>827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1186</v>
      </c>
      <c r="B25" s="2" t="s">
        <v>1980</v>
      </c>
      <c r="C25" s="2" t="s">
        <v>3558</v>
      </c>
      <c r="D25" s="2" t="s">
        <v>3559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1186</v>
      </c>
      <c r="B26" s="2" t="s">
        <v>1980</v>
      </c>
      <c r="C26" s="2" t="s">
        <v>654</v>
      </c>
      <c r="D26" s="2" t="s">
        <v>655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1186</v>
      </c>
      <c r="B27" s="2" t="s">
        <v>1980</v>
      </c>
      <c r="C27" s="2" t="s">
        <v>1462</v>
      </c>
      <c r="D27" s="2" t="s">
        <v>2563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1186</v>
      </c>
      <c r="B28" s="2" t="s">
        <v>1980</v>
      </c>
      <c r="C28" s="2" t="s">
        <v>1139</v>
      </c>
      <c r="D28" s="2" t="s">
        <v>1981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1186</v>
      </c>
      <c r="B29" s="2" t="s">
        <v>2371</v>
      </c>
      <c r="C29" s="2" t="s">
        <v>1462</v>
      </c>
      <c r="D29" s="2" t="s">
        <v>2563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1186</v>
      </c>
      <c r="B30" s="2" t="s">
        <v>2371</v>
      </c>
      <c r="C30" s="2" t="s">
        <v>826</v>
      </c>
      <c r="D30" s="2" t="s">
        <v>827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1186</v>
      </c>
      <c r="B31" s="2" t="s">
        <v>2371</v>
      </c>
      <c r="C31" s="2" t="s">
        <v>1139</v>
      </c>
      <c r="D31" s="2" t="s">
        <v>1981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1186</v>
      </c>
      <c r="B32" s="2" t="s">
        <v>802</v>
      </c>
      <c r="C32" s="2" t="s">
        <v>1462</v>
      </c>
      <c r="D32" s="2" t="s">
        <v>2563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1186</v>
      </c>
      <c r="B33" s="2" t="s">
        <v>1836</v>
      </c>
      <c r="C33" s="2" t="s">
        <v>654</v>
      </c>
      <c r="D33" s="2" t="s">
        <v>655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1186</v>
      </c>
      <c r="B34" s="2" t="s">
        <v>1836</v>
      </c>
      <c r="C34" s="2" t="s">
        <v>826</v>
      </c>
      <c r="D34" s="2" t="s">
        <v>827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1186</v>
      </c>
      <c r="B35" s="2" t="s">
        <v>1836</v>
      </c>
      <c r="C35" s="2" t="s">
        <v>1139</v>
      </c>
      <c r="D35" s="2" t="s">
        <v>1140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1186</v>
      </c>
      <c r="B36" s="2" t="s">
        <v>10464</v>
      </c>
      <c r="C36" s="2" t="s">
        <v>654</v>
      </c>
      <c r="D36" s="2" t="s">
        <v>655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1186</v>
      </c>
      <c r="B37" s="2" t="s">
        <v>815</v>
      </c>
      <c r="C37" s="2" t="s">
        <v>3558</v>
      </c>
      <c r="D37" s="2" t="s">
        <v>7331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1186</v>
      </c>
      <c r="B38" s="2" t="s">
        <v>815</v>
      </c>
      <c r="C38" s="2" t="s">
        <v>654</v>
      </c>
      <c r="D38" s="2" t="s">
        <v>655</v>
      </c>
      <c r="E38" s="4" t="s">
        <v>231</v>
      </c>
      <c r="F38" s="8" t="s">
        <v>231</v>
      </c>
      <c r="G38" s="4" t="s">
        <v>231</v>
      </c>
      <c r="H38" s="8" t="s">
        <v>231</v>
      </c>
      <c r="I38" s="7" t="s">
        <v>231</v>
      </c>
      <c r="J38" s="7" t="s">
        <v>231</v>
      </c>
      <c r="K38" s="4"/>
      <c r="L38" s="8"/>
      <c r="M38" s="4"/>
      <c r="N38" s="8"/>
      <c r="O38" s="7"/>
      <c r="P38" s="7"/>
    </row>
    <row r="39">
      <c r="A39" s="2" t="s">
        <v>1186</v>
      </c>
      <c r="B39" s="2" t="s">
        <v>815</v>
      </c>
      <c r="C39" s="2" t="s">
        <v>654</v>
      </c>
      <c r="D39" s="2" t="s">
        <v>890</v>
      </c>
      <c r="E39" s="4" t="s">
        <v>231</v>
      </c>
      <c r="F39" s="8" t="s">
        <v>231</v>
      </c>
      <c r="G39" s="4" t="s">
        <v>231</v>
      </c>
      <c r="H39" s="8" t="s">
        <v>231</v>
      </c>
      <c r="I39" s="7" t="s">
        <v>231</v>
      </c>
      <c r="J39" s="7" t="s">
        <v>231</v>
      </c>
      <c r="K39" s="4"/>
      <c r="L39" s="8"/>
      <c r="M39" s="4"/>
      <c r="N39" s="8"/>
      <c r="O39" s="7"/>
      <c r="P39" s="7"/>
    </row>
    <row r="40">
      <c r="A40" s="2" t="s">
        <v>1186</v>
      </c>
      <c r="B40" s="2" t="s">
        <v>815</v>
      </c>
      <c r="C40" s="2" t="s">
        <v>1462</v>
      </c>
      <c r="D40" s="2" t="s">
        <v>2563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1186</v>
      </c>
      <c r="B41" s="2" t="s">
        <v>815</v>
      </c>
      <c r="C41" s="2" t="s">
        <v>826</v>
      </c>
      <c r="D41" s="2" t="s">
        <v>1060</v>
      </c>
      <c r="E41" s="4" t="s">
        <v>231</v>
      </c>
      <c r="F41" s="8" t="s">
        <v>231</v>
      </c>
      <c r="G41" s="4" t="s">
        <v>231</v>
      </c>
      <c r="H41" s="8" t="s">
        <v>231</v>
      </c>
      <c r="I41" s="7" t="s">
        <v>231</v>
      </c>
      <c r="J41" s="7" t="s">
        <v>231</v>
      </c>
      <c r="K41" s="4"/>
      <c r="L41" s="8"/>
      <c r="M41" s="4"/>
      <c r="N41" s="8"/>
      <c r="O41" s="7"/>
      <c r="P41" s="7"/>
    </row>
    <row r="42">
      <c r="A42" s="2" t="s">
        <v>1186</v>
      </c>
      <c r="B42" s="2" t="s">
        <v>815</v>
      </c>
      <c r="C42" s="2" t="s">
        <v>826</v>
      </c>
      <c r="D42" s="2" t="s">
        <v>827</v>
      </c>
      <c r="E42" s="4" t="s">
        <v>231</v>
      </c>
      <c r="F42" s="8" t="s">
        <v>231</v>
      </c>
      <c r="G42" s="4" t="s">
        <v>231</v>
      </c>
      <c r="H42" s="8" t="s">
        <v>231</v>
      </c>
      <c r="I42" s="7" t="s">
        <v>231</v>
      </c>
      <c r="J42" s="7" t="s">
        <v>231</v>
      </c>
      <c r="K42" s="4"/>
      <c r="L42" s="8"/>
      <c r="M42" s="4"/>
      <c r="N42" s="8"/>
      <c r="O42" s="7"/>
      <c r="P42" s="7"/>
    </row>
    <row r="43">
      <c r="A43" s="2" t="s">
        <v>1186</v>
      </c>
      <c r="B43" s="2" t="s">
        <v>815</v>
      </c>
      <c r="C43" s="2" t="s">
        <v>1139</v>
      </c>
      <c r="D43" s="2" t="s">
        <v>1140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1186</v>
      </c>
      <c r="B44" s="2" t="s">
        <v>288</v>
      </c>
      <c r="C44" s="2" t="s">
        <v>654</v>
      </c>
      <c r="D44" s="2" t="s">
        <v>1187</v>
      </c>
      <c r="E44" s="4" t="s">
        <v>231</v>
      </c>
      <c r="F44" s="8" t="s">
        <v>231</v>
      </c>
      <c r="G44" s="4" t="s">
        <v>231</v>
      </c>
      <c r="H44" s="8" t="s">
        <v>231</v>
      </c>
      <c r="I44" s="7" t="s">
        <v>231</v>
      </c>
      <c r="J44" s="7" t="s">
        <v>231</v>
      </c>
      <c r="K44" s="4"/>
      <c r="L44" s="8"/>
      <c r="M44" s="4"/>
      <c r="N44" s="8"/>
      <c r="O44" s="7"/>
      <c r="P44" s="7"/>
    </row>
    <row r="45">
      <c r="A45" s="2" t="s">
        <v>1186</v>
      </c>
      <c r="B45" s="2" t="s">
        <v>288</v>
      </c>
      <c r="C45" s="2" t="s">
        <v>654</v>
      </c>
      <c r="D45" s="2" t="s">
        <v>655</v>
      </c>
      <c r="E45" s="4" t="s">
        <v>231</v>
      </c>
      <c r="F45" s="8" t="s">
        <v>231</v>
      </c>
      <c r="G45" s="4" t="s">
        <v>231</v>
      </c>
      <c r="H45" s="8" t="s">
        <v>231</v>
      </c>
      <c r="I45" s="7" t="s">
        <v>231</v>
      </c>
      <c r="J45" s="7" t="s">
        <v>231</v>
      </c>
      <c r="K45" s="4"/>
      <c r="L45" s="8"/>
      <c r="M45" s="4"/>
      <c r="N45" s="8"/>
      <c r="O45" s="7"/>
      <c r="P45" s="7"/>
    </row>
    <row r="46">
      <c r="A46" s="2" t="s">
        <v>1186</v>
      </c>
      <c r="B46" s="2" t="s">
        <v>288</v>
      </c>
      <c r="C46" s="2" t="s">
        <v>654</v>
      </c>
      <c r="D46" s="2" t="s">
        <v>890</v>
      </c>
      <c r="E46" s="4" t="s">
        <v>231</v>
      </c>
      <c r="F46" s="8" t="s">
        <v>231</v>
      </c>
      <c r="G46" s="4" t="s">
        <v>231</v>
      </c>
      <c r="H46" s="8" t="s">
        <v>231</v>
      </c>
      <c r="I46" s="7" t="s">
        <v>231</v>
      </c>
      <c r="J46" s="7" t="s">
        <v>231</v>
      </c>
      <c r="K46" s="4"/>
      <c r="L46" s="8"/>
      <c r="M46" s="4"/>
      <c r="N46" s="8"/>
      <c r="O46" s="7"/>
      <c r="P46" s="7"/>
    </row>
    <row r="47">
      <c r="A47" s="2" t="s">
        <v>1186</v>
      </c>
      <c r="B47" s="2" t="s">
        <v>288</v>
      </c>
      <c r="C47" s="2" t="s">
        <v>1462</v>
      </c>
      <c r="D47" s="2" t="s">
        <v>1952</v>
      </c>
      <c r="E47" s="4" t="s">
        <v>231</v>
      </c>
      <c r="F47" s="8" t="s">
        <v>231</v>
      </c>
      <c r="G47" s="4" t="s">
        <v>231</v>
      </c>
      <c r="H47" s="8" t="s">
        <v>231</v>
      </c>
      <c r="I47" s="7" t="s">
        <v>231</v>
      </c>
      <c r="J47" s="7" t="s">
        <v>231</v>
      </c>
      <c r="K47" s="4"/>
      <c r="L47" s="8"/>
      <c r="M47" s="4"/>
      <c r="N47" s="8"/>
      <c r="O47" s="7"/>
      <c r="P47" s="7"/>
    </row>
    <row r="48">
      <c r="A48" s="2" t="s">
        <v>1186</v>
      </c>
      <c r="B48" s="2" t="s">
        <v>288</v>
      </c>
      <c r="C48" s="2" t="s">
        <v>1462</v>
      </c>
      <c r="D48" s="2" t="s">
        <v>1884</v>
      </c>
      <c r="E48" s="4" t="s">
        <v>231</v>
      </c>
      <c r="F48" s="8" t="s">
        <v>231</v>
      </c>
      <c r="G48" s="4" t="s">
        <v>231</v>
      </c>
      <c r="H48" s="8" t="s">
        <v>231</v>
      </c>
      <c r="I48" s="7" t="s">
        <v>231</v>
      </c>
      <c r="J48" s="7" t="s">
        <v>231</v>
      </c>
      <c r="K48" s="4"/>
      <c r="L48" s="8"/>
      <c r="M48" s="4"/>
      <c r="N48" s="8"/>
      <c r="O48" s="7"/>
      <c r="P48" s="7"/>
    </row>
    <row r="49">
      <c r="A49" s="2" t="s">
        <v>1186</v>
      </c>
      <c r="B49" s="2" t="s">
        <v>288</v>
      </c>
      <c r="C49" s="2" t="s">
        <v>1462</v>
      </c>
      <c r="D49" s="2" t="s">
        <v>1463</v>
      </c>
      <c r="E49" s="4" t="s">
        <v>231</v>
      </c>
      <c r="F49" s="8" t="s">
        <v>231</v>
      </c>
      <c r="G49" s="4" t="s">
        <v>231</v>
      </c>
      <c r="H49" s="8" t="s">
        <v>231</v>
      </c>
      <c r="I49" s="7" t="s">
        <v>231</v>
      </c>
      <c r="J49" s="7" t="s">
        <v>231</v>
      </c>
      <c r="K49" s="4"/>
      <c r="L49" s="8"/>
      <c r="M49" s="4"/>
      <c r="N49" s="8"/>
      <c r="O49" s="7"/>
      <c r="P49" s="7"/>
    </row>
    <row r="50">
      <c r="A50" s="2" t="s">
        <v>1186</v>
      </c>
      <c r="B50" s="2" t="s">
        <v>288</v>
      </c>
      <c r="C50" s="2" t="s">
        <v>1462</v>
      </c>
      <c r="D50" s="2" t="s">
        <v>3568</v>
      </c>
      <c r="E50" s="4" t="s">
        <v>231</v>
      </c>
      <c r="F50" s="8" t="s">
        <v>231</v>
      </c>
      <c r="G50" s="4" t="s">
        <v>231</v>
      </c>
      <c r="H50" s="8" t="s">
        <v>231</v>
      </c>
      <c r="I50" s="7" t="s">
        <v>231</v>
      </c>
      <c r="J50" s="7" t="s">
        <v>231</v>
      </c>
      <c r="K50" s="4"/>
      <c r="L50" s="8"/>
      <c r="M50" s="4"/>
      <c r="N50" s="8"/>
      <c r="O50" s="7"/>
      <c r="P50" s="7"/>
    </row>
    <row r="51">
      <c r="A51" s="2" t="s">
        <v>1186</v>
      </c>
      <c r="B51" s="2" t="s">
        <v>288</v>
      </c>
      <c r="C51" s="2" t="s">
        <v>826</v>
      </c>
      <c r="D51" s="2" t="s">
        <v>1060</v>
      </c>
      <c r="E51" s="4" t="s">
        <v>231</v>
      </c>
      <c r="F51" s="8" t="s">
        <v>231</v>
      </c>
      <c r="G51" s="4" t="s">
        <v>231</v>
      </c>
      <c r="H51" s="8" t="s">
        <v>231</v>
      </c>
      <c r="I51" s="7" t="s">
        <v>231</v>
      </c>
      <c r="J51" s="7" t="s">
        <v>231</v>
      </c>
      <c r="K51" s="4"/>
      <c r="L51" s="8"/>
      <c r="M51" s="4"/>
      <c r="N51" s="8"/>
      <c r="O51" s="7"/>
      <c r="P51" s="7"/>
    </row>
    <row r="52">
      <c r="A52" s="2" t="s">
        <v>1186</v>
      </c>
      <c r="B52" s="2" t="s">
        <v>288</v>
      </c>
      <c r="C52" s="2" t="s">
        <v>826</v>
      </c>
      <c r="D52" s="2" t="s">
        <v>827</v>
      </c>
      <c r="E52" s="4" t="s">
        <v>231</v>
      </c>
      <c r="F52" s="8" t="s">
        <v>231</v>
      </c>
      <c r="G52" s="4" t="s">
        <v>231</v>
      </c>
      <c r="H52" s="8" t="s">
        <v>231</v>
      </c>
      <c r="I52" s="7" t="s">
        <v>231</v>
      </c>
      <c r="J52" s="7" t="s">
        <v>231</v>
      </c>
      <c r="K52" s="4"/>
      <c r="L52" s="8"/>
      <c r="M52" s="4"/>
      <c r="N52" s="8"/>
      <c r="O52" s="7"/>
      <c r="P52" s="7"/>
    </row>
    <row r="53">
      <c r="A53" s="2" t="s">
        <v>1186</v>
      </c>
      <c r="B53" s="2" t="s">
        <v>288</v>
      </c>
      <c r="C53" s="2" t="s">
        <v>1624</v>
      </c>
      <c r="D53" s="2" t="s">
        <v>1625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1186</v>
      </c>
      <c r="B54" s="2" t="s">
        <v>357</v>
      </c>
      <c r="C54" s="2" t="s">
        <v>654</v>
      </c>
      <c r="D54" s="2" t="s">
        <v>1187</v>
      </c>
      <c r="E54" s="4" t="s">
        <v>231</v>
      </c>
      <c r="F54" s="8" t="s">
        <v>231</v>
      </c>
      <c r="G54" s="4" t="s">
        <v>231</v>
      </c>
      <c r="H54" s="8" t="s">
        <v>231</v>
      </c>
      <c r="I54" s="7" t="s">
        <v>231</v>
      </c>
      <c r="J54" s="7" t="s">
        <v>231</v>
      </c>
      <c r="K54" s="4"/>
      <c r="L54" s="8"/>
      <c r="M54" s="4"/>
      <c r="N54" s="8"/>
      <c r="O54" s="7"/>
      <c r="P54" s="7"/>
    </row>
    <row r="55">
      <c r="A55" s="2" t="s">
        <v>1186</v>
      </c>
      <c r="B55" s="2" t="s">
        <v>357</v>
      </c>
      <c r="C55" s="2" t="s">
        <v>654</v>
      </c>
      <c r="D55" s="2" t="s">
        <v>8748</v>
      </c>
      <c r="E55" s="4" t="s">
        <v>231</v>
      </c>
      <c r="F55" s="8" t="s">
        <v>231</v>
      </c>
      <c r="G55" s="4" t="s">
        <v>231</v>
      </c>
      <c r="H55" s="8" t="s">
        <v>231</v>
      </c>
      <c r="I55" s="7" t="s">
        <v>231</v>
      </c>
      <c r="J55" s="7" t="s">
        <v>231</v>
      </c>
      <c r="K55" s="4"/>
      <c r="L55" s="8"/>
      <c r="M55" s="4"/>
      <c r="N55" s="8"/>
      <c r="O55" s="7"/>
      <c r="P55" s="7"/>
    </row>
    <row r="56">
      <c r="A56" s="2" t="s">
        <v>1186</v>
      </c>
      <c r="B56" s="2" t="s">
        <v>357</v>
      </c>
      <c r="C56" s="2" t="s">
        <v>1462</v>
      </c>
      <c r="D56" s="2" t="s">
        <v>1187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1186</v>
      </c>
      <c r="B57" s="2" t="s">
        <v>653</v>
      </c>
      <c r="C57" s="2" t="s">
        <v>654</v>
      </c>
      <c r="D57" s="2" t="s">
        <v>655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1186</v>
      </c>
      <c r="B58" s="2" t="s">
        <v>3461</v>
      </c>
      <c r="C58" s="2" t="s">
        <v>3558</v>
      </c>
      <c r="D58" s="2" t="s">
        <v>3559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1186</v>
      </c>
      <c r="B59" s="2" t="s">
        <v>3461</v>
      </c>
      <c r="C59" s="2" t="s">
        <v>654</v>
      </c>
      <c r="D59" s="2" t="s">
        <v>890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1186</v>
      </c>
      <c r="B60" s="2" t="s">
        <v>3461</v>
      </c>
      <c r="C60" s="2" t="s">
        <v>826</v>
      </c>
      <c r="D60" s="2" t="s">
        <v>1060</v>
      </c>
      <c r="E60" s="4" t="s">
        <v>231</v>
      </c>
      <c r="F60" s="8" t="s">
        <v>231</v>
      </c>
      <c r="G60" s="4" t="s">
        <v>231</v>
      </c>
      <c r="H60" s="8" t="s">
        <v>231</v>
      </c>
      <c r="I60" s="7" t="s">
        <v>231</v>
      </c>
      <c r="J60" s="7" t="s">
        <v>231</v>
      </c>
      <c r="K60" s="4"/>
      <c r="L60" s="8"/>
      <c r="M60" s="4"/>
      <c r="N60" s="8"/>
      <c r="O60" s="7"/>
      <c r="P60" s="7"/>
    </row>
    <row r="61">
      <c r="A61" s="2" t="s">
        <v>1186</v>
      </c>
      <c r="B61" s="2" t="s">
        <v>3461</v>
      </c>
      <c r="C61" s="2" t="s">
        <v>826</v>
      </c>
      <c r="D61" s="2" t="s">
        <v>827</v>
      </c>
      <c r="E61" s="4" t="s">
        <v>231</v>
      </c>
      <c r="F61" s="8" t="s">
        <v>231</v>
      </c>
      <c r="G61" s="4" t="s">
        <v>231</v>
      </c>
      <c r="H61" s="8" t="s">
        <v>231</v>
      </c>
      <c r="I61" s="7" t="s">
        <v>231</v>
      </c>
      <c r="J61" s="7" t="s">
        <v>231</v>
      </c>
      <c r="K61" s="4"/>
      <c r="L61" s="8"/>
      <c r="M61" s="4"/>
      <c r="N61" s="8"/>
      <c r="O61" s="7"/>
      <c r="P61" s="7"/>
    </row>
    <row r="62">
      <c r="A62" s="2" t="s">
        <v>1186</v>
      </c>
      <c r="B62" s="2" t="s">
        <v>3461</v>
      </c>
      <c r="C62" s="2" t="s">
        <v>1139</v>
      </c>
      <c r="D62" s="2" t="s">
        <v>1140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1186</v>
      </c>
      <c r="B63" s="2" t="s">
        <v>241</v>
      </c>
      <c r="C63" s="2" t="s">
        <v>654</v>
      </c>
      <c r="D63" s="2" t="s">
        <v>890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1186</v>
      </c>
      <c r="B64" s="2" t="s">
        <v>1299</v>
      </c>
      <c r="C64" s="2" t="s">
        <v>654</v>
      </c>
      <c r="D64" s="2" t="s">
        <v>655</v>
      </c>
      <c r="E64" s="4" t="s">
        <v>231</v>
      </c>
      <c r="F64" s="8" t="s">
        <v>231</v>
      </c>
      <c r="G64" s="4" t="s">
        <v>231</v>
      </c>
      <c r="H64" s="8" t="s">
        <v>231</v>
      </c>
      <c r="I64" s="7" t="s">
        <v>231</v>
      </c>
      <c r="J64" s="7" t="s">
        <v>231</v>
      </c>
      <c r="K64" s="4"/>
      <c r="L64" s="8"/>
      <c r="M64" s="4"/>
      <c r="N64" s="8"/>
      <c r="O64" s="7"/>
      <c r="P64" s="7"/>
    </row>
    <row r="65">
      <c r="A65" s="2" t="s">
        <v>1186</v>
      </c>
      <c r="B65" s="2" t="s">
        <v>1299</v>
      </c>
      <c r="C65" s="2" t="s">
        <v>654</v>
      </c>
      <c r="D65" s="2" t="s">
        <v>890</v>
      </c>
      <c r="E65" s="4" t="s">
        <v>231</v>
      </c>
      <c r="F65" s="8" t="s">
        <v>231</v>
      </c>
      <c r="G65" s="4" t="s">
        <v>231</v>
      </c>
      <c r="H65" s="8" t="s">
        <v>231</v>
      </c>
      <c r="I65" s="7" t="s">
        <v>231</v>
      </c>
      <c r="J65" s="7" t="s">
        <v>231</v>
      </c>
      <c r="K65" s="4"/>
      <c r="L65" s="8"/>
      <c r="M65" s="4"/>
      <c r="N65" s="8"/>
      <c r="O65" s="7"/>
      <c r="P65" s="7"/>
    </row>
    <row r="66">
      <c r="A66" s="2" t="s">
        <v>1186</v>
      </c>
      <c r="B66" s="2" t="s">
        <v>1299</v>
      </c>
      <c r="C66" s="2" t="s">
        <v>1462</v>
      </c>
      <c r="D66" s="2" t="s">
        <v>2563</v>
      </c>
      <c r="E66" s="4" t="s">
        <v>231</v>
      </c>
      <c r="F66" s="8" t="s">
        <v>231</v>
      </c>
      <c r="G66" s="4" t="s">
        <v>231</v>
      </c>
      <c r="H66" s="8" t="s">
        <v>231</v>
      </c>
      <c r="I66" s="7" t="s">
        <v>231</v>
      </c>
      <c r="J66" s="7" t="s">
        <v>231</v>
      </c>
      <c r="K66" s="4"/>
      <c r="L66" s="8"/>
      <c r="M66" s="4"/>
      <c r="N66" s="8"/>
      <c r="O66" s="7"/>
      <c r="P66" s="7"/>
    </row>
    <row r="67">
      <c r="A67" s="2" t="s">
        <v>1186</v>
      </c>
      <c r="B67" s="2" t="s">
        <v>1299</v>
      </c>
      <c r="C67" s="2" t="s">
        <v>1462</v>
      </c>
      <c r="D67" s="2" t="s">
        <v>1463</v>
      </c>
      <c r="E67" s="4" t="s">
        <v>231</v>
      </c>
      <c r="F67" s="8" t="s">
        <v>231</v>
      </c>
      <c r="G67" s="4" t="s">
        <v>231</v>
      </c>
      <c r="H67" s="8" t="s">
        <v>231</v>
      </c>
      <c r="I67" s="7" t="s">
        <v>231</v>
      </c>
      <c r="J67" s="7" t="s">
        <v>231</v>
      </c>
      <c r="K67" s="4"/>
      <c r="L67" s="8"/>
      <c r="M67" s="4"/>
      <c r="N67" s="8"/>
      <c r="O67" s="7"/>
      <c r="P67" s="7"/>
    </row>
    <row r="68">
      <c r="A68" s="2" t="s">
        <v>1186</v>
      </c>
      <c r="B68" s="2" t="s">
        <v>1299</v>
      </c>
      <c r="C68" s="2" t="s">
        <v>1462</v>
      </c>
      <c r="D68" s="2" t="s">
        <v>7034</v>
      </c>
      <c r="E68" s="4" t="s">
        <v>231</v>
      </c>
      <c r="F68" s="8" t="s">
        <v>231</v>
      </c>
      <c r="G68" s="4" t="s">
        <v>231</v>
      </c>
      <c r="H68" s="8" t="s">
        <v>231</v>
      </c>
      <c r="I68" s="7" t="s">
        <v>231</v>
      </c>
      <c r="J68" s="7" t="s">
        <v>231</v>
      </c>
      <c r="K68" s="4"/>
      <c r="L68" s="8"/>
      <c r="M68" s="4"/>
      <c r="N68" s="8"/>
      <c r="O68" s="7"/>
      <c r="P68" s="7"/>
    </row>
    <row r="69">
      <c r="A69" s="2" t="s">
        <v>1186</v>
      </c>
      <c r="B69" s="2" t="s">
        <v>1299</v>
      </c>
      <c r="C69" s="2" t="s">
        <v>1624</v>
      </c>
      <c r="D69" s="2" t="s">
        <v>1625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2695</v>
      </c>
      <c r="B70" s="2" t="s">
        <v>631</v>
      </c>
      <c r="C70" s="2" t="s">
        <v>2696</v>
      </c>
      <c r="D70" s="2" t="s">
        <v>2697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2695</v>
      </c>
      <c r="B71" s="2" t="s">
        <v>5706</v>
      </c>
      <c r="C71" s="2" t="s">
        <v>2696</v>
      </c>
      <c r="D71" s="2" t="s">
        <v>2697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2695</v>
      </c>
      <c r="B72" s="2" t="s">
        <v>815</v>
      </c>
      <c r="C72" s="2" t="s">
        <v>2696</v>
      </c>
      <c r="D72" s="2" t="s">
        <v>2697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847</v>
      </c>
      <c r="B73" s="2" t="s">
        <v>815</v>
      </c>
      <c r="C73" s="2" t="s">
        <v>2003</v>
      </c>
      <c r="D73" s="2" t="s">
        <v>6975</v>
      </c>
      <c r="E73" s="4" t="s">
        <v>231</v>
      </c>
      <c r="F73" s="8" t="s">
        <v>231</v>
      </c>
      <c r="G73" s="4" t="s">
        <v>231</v>
      </c>
      <c r="H73" s="8" t="s">
        <v>231</v>
      </c>
      <c r="I73" s="7" t="s">
        <v>231</v>
      </c>
      <c r="J73" s="7" t="s">
        <v>231</v>
      </c>
      <c r="K73" s="4"/>
      <c r="L73" s="8"/>
      <c r="M73" s="4"/>
      <c r="N73" s="8"/>
      <c r="O73" s="7"/>
      <c r="P73" s="7"/>
    </row>
    <row r="74">
      <c r="A74" s="2" t="s">
        <v>847</v>
      </c>
      <c r="B74" s="2" t="s">
        <v>815</v>
      </c>
      <c r="C74" s="2" t="s">
        <v>2003</v>
      </c>
      <c r="D74" s="2" t="s">
        <v>2623</v>
      </c>
      <c r="E74" s="4" t="s">
        <v>231</v>
      </c>
      <c r="F74" s="8" t="s">
        <v>231</v>
      </c>
      <c r="G74" s="4" t="s">
        <v>231</v>
      </c>
      <c r="H74" s="8" t="s">
        <v>231</v>
      </c>
      <c r="I74" s="7" t="s">
        <v>231</v>
      </c>
      <c r="J74" s="7" t="s">
        <v>231</v>
      </c>
      <c r="K74" s="4"/>
      <c r="L74" s="8"/>
      <c r="M74" s="4"/>
      <c r="N74" s="8"/>
      <c r="O74" s="7"/>
      <c r="P74" s="7"/>
    </row>
    <row r="75">
      <c r="A75" s="2" t="s">
        <v>847</v>
      </c>
      <c r="B75" s="2" t="s">
        <v>815</v>
      </c>
      <c r="C75" s="2" t="s">
        <v>882</v>
      </c>
      <c r="D75" s="2" t="s">
        <v>2191</v>
      </c>
      <c r="E75" s="4" t="s">
        <v>231</v>
      </c>
      <c r="F75" s="8" t="s">
        <v>231</v>
      </c>
      <c r="G75" s="4" t="s">
        <v>231</v>
      </c>
      <c r="H75" s="8" t="s">
        <v>231</v>
      </c>
      <c r="I75" s="7" t="s">
        <v>231</v>
      </c>
      <c r="J75" s="7" t="s">
        <v>231</v>
      </c>
      <c r="K75" s="4"/>
      <c r="L75" s="8"/>
      <c r="M75" s="4"/>
      <c r="N75" s="8"/>
      <c r="O75" s="7"/>
      <c r="P75" s="7"/>
    </row>
    <row r="76">
      <c r="A76" s="2" t="s">
        <v>847</v>
      </c>
      <c r="B76" s="2" t="s">
        <v>815</v>
      </c>
      <c r="C76" s="2" t="s">
        <v>882</v>
      </c>
      <c r="D76" s="2" t="s">
        <v>849</v>
      </c>
      <c r="E76" s="4" t="s">
        <v>231</v>
      </c>
      <c r="F76" s="8" t="s">
        <v>231</v>
      </c>
      <c r="G76" s="4" t="s">
        <v>231</v>
      </c>
      <c r="H76" s="8" t="s">
        <v>231</v>
      </c>
      <c r="I76" s="7" t="s">
        <v>231</v>
      </c>
      <c r="J76" s="7" t="s">
        <v>231</v>
      </c>
      <c r="K76" s="4"/>
      <c r="L76" s="8"/>
      <c r="M76" s="4"/>
      <c r="N76" s="8"/>
      <c r="O76" s="7"/>
      <c r="P76" s="7"/>
    </row>
    <row r="77">
      <c r="A77" s="2" t="s">
        <v>847</v>
      </c>
      <c r="B77" s="2" t="s">
        <v>815</v>
      </c>
      <c r="C77" s="2" t="s">
        <v>906</v>
      </c>
      <c r="D77" s="2" t="s">
        <v>907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847</v>
      </c>
      <c r="B78" s="2" t="s">
        <v>815</v>
      </c>
      <c r="C78" s="2" t="s">
        <v>848</v>
      </c>
      <c r="D78" s="2" t="s">
        <v>849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847</v>
      </c>
      <c r="B79" s="2" t="s">
        <v>825</v>
      </c>
      <c r="C79" s="2" t="s">
        <v>7337</v>
      </c>
      <c r="D79" s="2" t="s">
        <v>7338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847</v>
      </c>
      <c r="B80" s="2" t="s">
        <v>825</v>
      </c>
      <c r="C80" s="2" t="s">
        <v>2003</v>
      </c>
      <c r="D80" s="2" t="s">
        <v>6975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847</v>
      </c>
      <c r="B81" s="2" t="s">
        <v>825</v>
      </c>
      <c r="C81" s="2" t="s">
        <v>882</v>
      </c>
      <c r="D81" s="2" t="s">
        <v>2191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847</v>
      </c>
      <c r="B82" s="2" t="s">
        <v>288</v>
      </c>
      <c r="C82" s="2" t="s">
        <v>2003</v>
      </c>
      <c r="D82" s="2" t="s">
        <v>6975</v>
      </c>
      <c r="E82" s="4" t="s">
        <v>231</v>
      </c>
      <c r="F82" s="8" t="s">
        <v>231</v>
      </c>
      <c r="G82" s="4" t="s">
        <v>231</v>
      </c>
      <c r="H82" s="8" t="s">
        <v>231</v>
      </c>
      <c r="I82" s="7" t="s">
        <v>231</v>
      </c>
      <c r="J82" s="7" t="s">
        <v>231</v>
      </c>
      <c r="K82" s="4"/>
      <c r="L82" s="8"/>
      <c r="M82" s="4"/>
      <c r="N82" s="8"/>
      <c r="O82" s="7"/>
      <c r="P82" s="7"/>
    </row>
    <row r="83">
      <c r="A83" s="2" t="s">
        <v>847</v>
      </c>
      <c r="B83" s="2" t="s">
        <v>288</v>
      </c>
      <c r="C83" s="2" t="s">
        <v>2003</v>
      </c>
      <c r="D83" s="2" t="s">
        <v>849</v>
      </c>
      <c r="E83" s="4" t="s">
        <v>231</v>
      </c>
      <c r="F83" s="8" t="s">
        <v>231</v>
      </c>
      <c r="G83" s="4" t="s">
        <v>231</v>
      </c>
      <c r="H83" s="8" t="s">
        <v>231</v>
      </c>
      <c r="I83" s="7" t="s">
        <v>231</v>
      </c>
      <c r="J83" s="7" t="s">
        <v>231</v>
      </c>
      <c r="K83" s="4"/>
      <c r="L83" s="8"/>
      <c r="M83" s="4"/>
      <c r="N83" s="8"/>
      <c r="O83" s="7"/>
      <c r="P83" s="7"/>
    </row>
    <row r="84">
      <c r="A84" s="2" t="s">
        <v>847</v>
      </c>
      <c r="B84" s="2" t="s">
        <v>288</v>
      </c>
      <c r="C84" s="2" t="s">
        <v>2003</v>
      </c>
      <c r="D84" s="2" t="s">
        <v>2623</v>
      </c>
      <c r="E84" s="4" t="s">
        <v>231</v>
      </c>
      <c r="F84" s="8" t="s">
        <v>231</v>
      </c>
      <c r="G84" s="4" t="s">
        <v>231</v>
      </c>
      <c r="H84" s="8" t="s">
        <v>231</v>
      </c>
      <c r="I84" s="7" t="s">
        <v>231</v>
      </c>
      <c r="J84" s="7" t="s">
        <v>231</v>
      </c>
      <c r="K84" s="4"/>
      <c r="L84" s="8"/>
      <c r="M84" s="4"/>
      <c r="N84" s="8"/>
      <c r="O84" s="7"/>
      <c r="P84" s="7"/>
    </row>
    <row r="85">
      <c r="A85" s="2" t="s">
        <v>847</v>
      </c>
      <c r="B85" s="2" t="s">
        <v>288</v>
      </c>
      <c r="C85" s="2" t="s">
        <v>9466</v>
      </c>
      <c r="D85" s="2" t="s">
        <v>9467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847</v>
      </c>
      <c r="B86" s="2" t="s">
        <v>288</v>
      </c>
      <c r="C86" s="2" t="s">
        <v>882</v>
      </c>
      <c r="D86" s="2" t="s">
        <v>2191</v>
      </c>
      <c r="E86" s="4" t="s">
        <v>231</v>
      </c>
      <c r="F86" s="8" t="s">
        <v>231</v>
      </c>
      <c r="G86" s="4" t="s">
        <v>231</v>
      </c>
      <c r="H86" s="8" t="s">
        <v>231</v>
      </c>
      <c r="I86" s="7" t="s">
        <v>231</v>
      </c>
      <c r="J86" s="7" t="s">
        <v>231</v>
      </c>
      <c r="K86" s="4"/>
      <c r="L86" s="8"/>
      <c r="M86" s="4"/>
      <c r="N86" s="8"/>
      <c r="O86" s="7"/>
      <c r="P86" s="7"/>
    </row>
    <row r="87">
      <c r="A87" s="2" t="s">
        <v>847</v>
      </c>
      <c r="B87" s="2" t="s">
        <v>288</v>
      </c>
      <c r="C87" s="2" t="s">
        <v>882</v>
      </c>
      <c r="D87" s="2" t="s">
        <v>849</v>
      </c>
      <c r="E87" s="4" t="s">
        <v>231</v>
      </c>
      <c r="F87" s="8" t="s">
        <v>231</v>
      </c>
      <c r="G87" s="4" t="s">
        <v>231</v>
      </c>
      <c r="H87" s="8" t="s">
        <v>231</v>
      </c>
      <c r="I87" s="7" t="s">
        <v>231</v>
      </c>
      <c r="J87" s="7" t="s">
        <v>231</v>
      </c>
      <c r="K87" s="4"/>
      <c r="L87" s="8"/>
      <c r="M87" s="4"/>
      <c r="N87" s="8"/>
      <c r="O87" s="7"/>
      <c r="P87" s="7"/>
    </row>
    <row r="88">
      <c r="A88" s="2" t="s">
        <v>847</v>
      </c>
      <c r="B88" s="2" t="s">
        <v>288</v>
      </c>
      <c r="C88" s="2" t="s">
        <v>882</v>
      </c>
      <c r="D88" s="2" t="s">
        <v>2623</v>
      </c>
      <c r="E88" s="4" t="s">
        <v>231</v>
      </c>
      <c r="F88" s="8" t="s">
        <v>231</v>
      </c>
      <c r="G88" s="4" t="s">
        <v>231</v>
      </c>
      <c r="H88" s="8" t="s">
        <v>231</v>
      </c>
      <c r="I88" s="7" t="s">
        <v>231</v>
      </c>
      <c r="J88" s="7" t="s">
        <v>231</v>
      </c>
      <c r="K88" s="4"/>
      <c r="L88" s="8"/>
      <c r="M88" s="4"/>
      <c r="N88" s="8"/>
      <c r="O88" s="7"/>
      <c r="P88" s="7"/>
    </row>
    <row r="89">
      <c r="A89" s="2" t="s">
        <v>847</v>
      </c>
      <c r="B89" s="2" t="s">
        <v>288</v>
      </c>
      <c r="C89" s="2" t="s">
        <v>8582</v>
      </c>
      <c r="D89" s="2" t="s">
        <v>8583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847</v>
      </c>
      <c r="B90" s="2" t="s">
        <v>288</v>
      </c>
      <c r="C90" s="2" t="s">
        <v>906</v>
      </c>
      <c r="D90" s="2" t="s">
        <v>907</v>
      </c>
      <c r="E90" s="4" t="s">
        <v>231</v>
      </c>
      <c r="F90" s="8" t="s">
        <v>231</v>
      </c>
      <c r="G90" s="4" t="s">
        <v>231</v>
      </c>
      <c r="H90" s="8" t="s">
        <v>231</v>
      </c>
      <c r="I90" s="7" t="s">
        <v>231</v>
      </c>
      <c r="J90" s="7" t="s">
        <v>231</v>
      </c>
      <c r="K90" s="4"/>
      <c r="L90" s="8"/>
      <c r="M90" s="4"/>
      <c r="N90" s="8"/>
      <c r="O90" s="7"/>
      <c r="P90" s="7"/>
    </row>
    <row r="91">
      <c r="A91" s="2" t="s">
        <v>847</v>
      </c>
      <c r="B91" s="2" t="s">
        <v>288</v>
      </c>
      <c r="C91" s="2" t="s">
        <v>906</v>
      </c>
      <c r="D91" s="2" t="s">
        <v>5338</v>
      </c>
      <c r="E91" s="4" t="s">
        <v>231</v>
      </c>
      <c r="F91" s="8" t="s">
        <v>231</v>
      </c>
      <c r="G91" s="4" t="s">
        <v>231</v>
      </c>
      <c r="H91" s="8" t="s">
        <v>231</v>
      </c>
      <c r="I91" s="7" t="s">
        <v>231</v>
      </c>
      <c r="J91" s="7" t="s">
        <v>231</v>
      </c>
      <c r="K91" s="4"/>
      <c r="L91" s="8"/>
      <c r="M91" s="4"/>
      <c r="N91" s="8"/>
      <c r="O91" s="7"/>
      <c r="P91" s="7"/>
    </row>
    <row r="92">
      <c r="A92" s="2" t="s">
        <v>847</v>
      </c>
      <c r="B92" s="2" t="s">
        <v>288</v>
      </c>
      <c r="C92" s="2" t="s">
        <v>10694</v>
      </c>
      <c r="D92" s="2" t="s">
        <v>10695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847</v>
      </c>
      <c r="B93" s="2" t="s">
        <v>288</v>
      </c>
      <c r="C93" s="2" t="s">
        <v>848</v>
      </c>
      <c r="D93" s="2" t="s">
        <v>849</v>
      </c>
      <c r="E93" s="4" t="s">
        <v>231</v>
      </c>
      <c r="F93" s="8" t="s">
        <v>231</v>
      </c>
      <c r="G93" s="4" t="s">
        <v>231</v>
      </c>
      <c r="H93" s="8" t="s">
        <v>231</v>
      </c>
      <c r="I93" s="7" t="s">
        <v>231</v>
      </c>
      <c r="J93" s="7" t="s">
        <v>231</v>
      </c>
      <c r="K93" s="4"/>
      <c r="L93" s="8"/>
      <c r="M93" s="4"/>
      <c r="N93" s="8"/>
      <c r="O93" s="7"/>
      <c r="P93" s="7"/>
    </row>
    <row r="94">
      <c r="A94" s="2" t="s">
        <v>847</v>
      </c>
      <c r="B94" s="2" t="s">
        <v>288</v>
      </c>
      <c r="C94" s="2" t="s">
        <v>848</v>
      </c>
      <c r="D94" s="2" t="s">
        <v>2623</v>
      </c>
      <c r="E94" s="4" t="s">
        <v>231</v>
      </c>
      <c r="F94" s="8" t="s">
        <v>231</v>
      </c>
      <c r="G94" s="4" t="s">
        <v>231</v>
      </c>
      <c r="H94" s="8" t="s">
        <v>231</v>
      </c>
      <c r="I94" s="7" t="s">
        <v>231</v>
      </c>
      <c r="J94" s="7" t="s">
        <v>231</v>
      </c>
      <c r="K94" s="4"/>
      <c r="L94" s="8"/>
      <c r="M94" s="4"/>
      <c r="N94" s="8"/>
      <c r="O94" s="7"/>
      <c r="P94" s="7"/>
    </row>
    <row r="95">
      <c r="A95" s="2" t="s">
        <v>847</v>
      </c>
      <c r="B95" s="2" t="s">
        <v>653</v>
      </c>
      <c r="C95" s="2" t="s">
        <v>2003</v>
      </c>
      <c r="D95" s="2" t="s">
        <v>7338</v>
      </c>
      <c r="E95" s="4" t="s">
        <v>231</v>
      </c>
      <c r="F95" s="8" t="s">
        <v>231</v>
      </c>
      <c r="G95" s="4" t="s">
        <v>231</v>
      </c>
      <c r="H95" s="8" t="s">
        <v>231</v>
      </c>
      <c r="I95" s="7" t="s">
        <v>231</v>
      </c>
      <c r="J95" s="7" t="s">
        <v>231</v>
      </c>
      <c r="K95" s="4"/>
      <c r="L95" s="8"/>
      <c r="M95" s="4"/>
      <c r="N95" s="8"/>
      <c r="O95" s="7"/>
      <c r="P95" s="7"/>
    </row>
    <row r="96">
      <c r="A96" s="2" t="s">
        <v>847</v>
      </c>
      <c r="B96" s="2" t="s">
        <v>653</v>
      </c>
      <c r="C96" s="2" t="s">
        <v>2003</v>
      </c>
      <c r="D96" s="2" t="s">
        <v>6975</v>
      </c>
      <c r="E96" s="4" t="s">
        <v>231</v>
      </c>
      <c r="F96" s="8" t="s">
        <v>231</v>
      </c>
      <c r="G96" s="4" t="s">
        <v>231</v>
      </c>
      <c r="H96" s="8" t="s">
        <v>231</v>
      </c>
      <c r="I96" s="7" t="s">
        <v>231</v>
      </c>
      <c r="J96" s="7" t="s">
        <v>231</v>
      </c>
      <c r="K96" s="4"/>
      <c r="L96" s="8"/>
      <c r="M96" s="4"/>
      <c r="N96" s="8"/>
      <c r="O96" s="7"/>
      <c r="P96" s="7"/>
    </row>
    <row r="97">
      <c r="A97" s="2" t="s">
        <v>847</v>
      </c>
      <c r="B97" s="2" t="s">
        <v>653</v>
      </c>
      <c r="C97" s="2" t="s">
        <v>906</v>
      </c>
      <c r="D97" s="2" t="s">
        <v>5338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847</v>
      </c>
      <c r="B98" s="2" t="s">
        <v>867</v>
      </c>
      <c r="C98" s="2" t="s">
        <v>2003</v>
      </c>
      <c r="D98" s="2" t="s">
        <v>6975</v>
      </c>
      <c r="E98" s="4" t="s">
        <v>231</v>
      </c>
      <c r="F98" s="8" t="s">
        <v>231</v>
      </c>
      <c r="G98" s="4" t="s">
        <v>231</v>
      </c>
      <c r="H98" s="8" t="s">
        <v>231</v>
      </c>
      <c r="I98" s="7" t="s">
        <v>231</v>
      </c>
      <c r="J98" s="7" t="s">
        <v>231</v>
      </c>
      <c r="K98" s="4"/>
      <c r="L98" s="8"/>
      <c r="M98" s="4"/>
      <c r="N98" s="8"/>
      <c r="O98" s="7"/>
      <c r="P98" s="7"/>
    </row>
    <row r="99">
      <c r="A99" s="2" t="s">
        <v>847</v>
      </c>
      <c r="B99" s="2" t="s">
        <v>867</v>
      </c>
      <c r="C99" s="2" t="s">
        <v>2003</v>
      </c>
      <c r="D99" s="2" t="s">
        <v>849</v>
      </c>
      <c r="E99" s="4" t="s">
        <v>231</v>
      </c>
      <c r="F99" s="8" t="s">
        <v>231</v>
      </c>
      <c r="G99" s="4" t="s">
        <v>231</v>
      </c>
      <c r="H99" s="8" t="s">
        <v>231</v>
      </c>
      <c r="I99" s="7" t="s">
        <v>231</v>
      </c>
      <c r="J99" s="7" t="s">
        <v>231</v>
      </c>
      <c r="K99" s="4"/>
      <c r="L99" s="8"/>
      <c r="M99" s="4"/>
      <c r="N99" s="8"/>
      <c r="O99" s="7"/>
      <c r="P99" s="7"/>
    </row>
    <row r="100">
      <c r="A100" s="2" t="s">
        <v>847</v>
      </c>
      <c r="B100" s="2" t="s">
        <v>867</v>
      </c>
      <c r="C100" s="2" t="s">
        <v>2003</v>
      </c>
      <c r="D100" s="2" t="s">
        <v>2623</v>
      </c>
      <c r="E100" s="4" t="s">
        <v>231</v>
      </c>
      <c r="F100" s="8" t="s">
        <v>231</v>
      </c>
      <c r="G100" s="4" t="s">
        <v>231</v>
      </c>
      <c r="H100" s="8" t="s">
        <v>231</v>
      </c>
      <c r="I100" s="7" t="s">
        <v>231</v>
      </c>
      <c r="J100" s="7" t="s">
        <v>231</v>
      </c>
      <c r="K100" s="4"/>
      <c r="L100" s="8"/>
      <c r="M100" s="4"/>
      <c r="N100" s="8"/>
      <c r="O100" s="7"/>
      <c r="P100" s="7"/>
    </row>
    <row r="101">
      <c r="A101" s="2" t="s">
        <v>847</v>
      </c>
      <c r="B101" s="2" t="s">
        <v>867</v>
      </c>
      <c r="C101" s="2" t="s">
        <v>882</v>
      </c>
      <c r="D101" s="2" t="s">
        <v>849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847</v>
      </c>
      <c r="B102" s="2" t="s">
        <v>867</v>
      </c>
      <c r="C102" s="2" t="s">
        <v>906</v>
      </c>
      <c r="D102" s="2" t="s">
        <v>907</v>
      </c>
      <c r="E102" s="4" t="s">
        <v>231</v>
      </c>
      <c r="F102" s="8" t="s">
        <v>231</v>
      </c>
      <c r="G102" s="4" t="s">
        <v>231</v>
      </c>
      <c r="H102" s="8" t="s">
        <v>231</v>
      </c>
      <c r="I102" s="7" t="s">
        <v>231</v>
      </c>
      <c r="J102" s="7" t="s">
        <v>231</v>
      </c>
      <c r="K102" s="4"/>
      <c r="L102" s="8"/>
      <c r="M102" s="4"/>
      <c r="N102" s="8"/>
      <c r="O102" s="7"/>
      <c r="P102" s="7"/>
    </row>
    <row r="103">
      <c r="A103" s="2" t="s">
        <v>847</v>
      </c>
      <c r="B103" s="2" t="s">
        <v>867</v>
      </c>
      <c r="C103" s="2" t="s">
        <v>906</v>
      </c>
      <c r="D103" s="2" t="s">
        <v>5338</v>
      </c>
      <c r="E103" s="4" t="s">
        <v>231</v>
      </c>
      <c r="F103" s="8" t="s">
        <v>231</v>
      </c>
      <c r="G103" s="4" t="s">
        <v>231</v>
      </c>
      <c r="H103" s="8" t="s">
        <v>231</v>
      </c>
      <c r="I103" s="7" t="s">
        <v>231</v>
      </c>
      <c r="J103" s="7" t="s">
        <v>231</v>
      </c>
      <c r="K103" s="4"/>
      <c r="L103" s="8"/>
      <c r="M103" s="4"/>
      <c r="N103" s="8"/>
      <c r="O103" s="7"/>
      <c r="P103" s="7"/>
    </row>
    <row r="104">
      <c r="A104" s="2" t="s">
        <v>847</v>
      </c>
      <c r="B104" s="2" t="s">
        <v>867</v>
      </c>
      <c r="C104" s="2" t="s">
        <v>848</v>
      </c>
      <c r="D104" s="2" t="s">
        <v>849</v>
      </c>
      <c r="E104" s="4" t="s">
        <v>231</v>
      </c>
      <c r="F104" s="8" t="s">
        <v>231</v>
      </c>
      <c r="G104" s="4" t="s">
        <v>231</v>
      </c>
      <c r="H104" s="8" t="s">
        <v>231</v>
      </c>
      <c r="I104" s="7" t="s">
        <v>231</v>
      </c>
      <c r="J104" s="7" t="s">
        <v>231</v>
      </c>
      <c r="K104" s="4"/>
      <c r="L104" s="8"/>
      <c r="M104" s="4"/>
      <c r="N104" s="8"/>
      <c r="O104" s="7"/>
      <c r="P104" s="7"/>
    </row>
    <row r="105">
      <c r="A105" s="2" t="s">
        <v>847</v>
      </c>
      <c r="B105" s="2" t="s">
        <v>867</v>
      </c>
      <c r="C105" s="2" t="s">
        <v>848</v>
      </c>
      <c r="D105" s="2" t="s">
        <v>2623</v>
      </c>
      <c r="E105" s="4" t="s">
        <v>231</v>
      </c>
      <c r="F105" s="8" t="s">
        <v>231</v>
      </c>
      <c r="G105" s="4" t="s">
        <v>231</v>
      </c>
      <c r="H105" s="8" t="s">
        <v>231</v>
      </c>
      <c r="I105" s="7" t="s">
        <v>231</v>
      </c>
      <c r="J105" s="7" t="s">
        <v>231</v>
      </c>
      <c r="K105" s="4"/>
      <c r="L105" s="8"/>
      <c r="M105" s="4"/>
      <c r="N105" s="8"/>
      <c r="O105" s="7"/>
      <c r="P105" s="7"/>
    </row>
    <row r="106">
      <c r="A106" s="2" t="s">
        <v>847</v>
      </c>
      <c r="B106" s="2" t="s">
        <v>1051</v>
      </c>
      <c r="C106" s="2" t="s">
        <v>882</v>
      </c>
      <c r="D106" s="2" t="s">
        <v>2191</v>
      </c>
      <c r="E106" s="4" t="s">
        <v>231</v>
      </c>
      <c r="F106" s="8" t="s">
        <v>231</v>
      </c>
      <c r="G106" s="4" t="s">
        <v>231</v>
      </c>
      <c r="H106" s="8" t="s">
        <v>231</v>
      </c>
      <c r="I106" s="7" t="s">
        <v>231</v>
      </c>
      <c r="J106" s="7" t="s">
        <v>231</v>
      </c>
      <c r="K106" s="4"/>
      <c r="L106" s="8"/>
      <c r="M106" s="4"/>
      <c r="N106" s="8"/>
      <c r="O106" s="7"/>
      <c r="P106" s="7"/>
    </row>
    <row r="107">
      <c r="A107" s="2" t="s">
        <v>847</v>
      </c>
      <c r="B107" s="2" t="s">
        <v>1051</v>
      </c>
      <c r="C107" s="2" t="s">
        <v>882</v>
      </c>
      <c r="D107" s="2" t="s">
        <v>849</v>
      </c>
      <c r="E107" s="4" t="s">
        <v>231</v>
      </c>
      <c r="F107" s="8" t="s">
        <v>231</v>
      </c>
      <c r="G107" s="4" t="s">
        <v>231</v>
      </c>
      <c r="H107" s="8" t="s">
        <v>231</v>
      </c>
      <c r="I107" s="7" t="s">
        <v>231</v>
      </c>
      <c r="J107" s="7" t="s">
        <v>231</v>
      </c>
      <c r="K107" s="4"/>
      <c r="L107" s="8"/>
      <c r="M107" s="4"/>
      <c r="N107" s="8"/>
      <c r="O107" s="7"/>
      <c r="P107" s="7"/>
    </row>
    <row r="108">
      <c r="A108" s="2" t="s">
        <v>847</v>
      </c>
      <c r="B108" s="2" t="s">
        <v>1051</v>
      </c>
      <c r="C108" s="2" t="s">
        <v>848</v>
      </c>
      <c r="D108" s="2" t="s">
        <v>849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262</v>
      </c>
      <c r="B109" s="2" t="s">
        <v>1211</v>
      </c>
      <c r="C109" s="2" t="s">
        <v>654</v>
      </c>
      <c r="D109" s="2" t="s">
        <v>1212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262</v>
      </c>
      <c r="B110" s="2" t="s">
        <v>913</v>
      </c>
      <c r="C110" s="2" t="s">
        <v>654</v>
      </c>
      <c r="D110" s="2" t="s">
        <v>1212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262</v>
      </c>
      <c r="B111" s="2" t="s">
        <v>825</v>
      </c>
      <c r="C111" s="2" t="s">
        <v>654</v>
      </c>
      <c r="D111" s="2" t="s">
        <v>890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262</v>
      </c>
      <c r="B112" s="2" t="s">
        <v>825</v>
      </c>
      <c r="C112" s="2" t="s">
        <v>264</v>
      </c>
      <c r="D112" s="2" t="s">
        <v>3915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262</v>
      </c>
      <c r="B113" s="2" t="s">
        <v>288</v>
      </c>
      <c r="C113" s="2" t="s">
        <v>228</v>
      </c>
      <c r="D113" s="2" t="s">
        <v>229</v>
      </c>
      <c r="E113" s="4" t="s">
        <v>231</v>
      </c>
      <c r="F113" s="8" t="s">
        <v>231</v>
      </c>
      <c r="G113" s="4" t="s">
        <v>231</v>
      </c>
      <c r="H113" s="8" t="s">
        <v>231</v>
      </c>
      <c r="I113" s="7" t="s">
        <v>231</v>
      </c>
      <c r="J113" s="7" t="s">
        <v>231</v>
      </c>
      <c r="K113" s="4"/>
      <c r="L113" s="8"/>
      <c r="M113" s="4"/>
      <c r="N113" s="8"/>
      <c r="O113" s="7"/>
      <c r="P113" s="7"/>
    </row>
    <row r="114">
      <c r="A114" s="2" t="s">
        <v>262</v>
      </c>
      <c r="B114" s="2" t="s">
        <v>288</v>
      </c>
      <c r="C114" s="2" t="s">
        <v>228</v>
      </c>
      <c r="D114" s="2" t="s">
        <v>3164</v>
      </c>
      <c r="E114" s="4" t="s">
        <v>231</v>
      </c>
      <c r="F114" s="8" t="s">
        <v>231</v>
      </c>
      <c r="G114" s="4" t="s">
        <v>231</v>
      </c>
      <c r="H114" s="8" t="s">
        <v>231</v>
      </c>
      <c r="I114" s="7" t="s">
        <v>231</v>
      </c>
      <c r="J114" s="7" t="s">
        <v>231</v>
      </c>
      <c r="K114" s="4"/>
      <c r="L114" s="8"/>
      <c r="M114" s="4"/>
      <c r="N114" s="8"/>
      <c r="O114" s="7"/>
      <c r="P114" s="7"/>
    </row>
    <row r="115">
      <c r="A115" s="2" t="s">
        <v>262</v>
      </c>
      <c r="B115" s="2" t="s">
        <v>288</v>
      </c>
      <c r="C115" s="2" t="s">
        <v>654</v>
      </c>
      <c r="D115" s="2" t="s">
        <v>655</v>
      </c>
      <c r="E115" s="4" t="s">
        <v>231</v>
      </c>
      <c r="F115" s="8" t="s">
        <v>231</v>
      </c>
      <c r="G115" s="4" t="s">
        <v>231</v>
      </c>
      <c r="H115" s="8" t="s">
        <v>231</v>
      </c>
      <c r="I115" s="7" t="s">
        <v>231</v>
      </c>
      <c r="J115" s="7" t="s">
        <v>231</v>
      </c>
      <c r="K115" s="4"/>
      <c r="L115" s="8"/>
      <c r="M115" s="4"/>
      <c r="N115" s="8"/>
      <c r="O115" s="7"/>
      <c r="P115" s="7"/>
    </row>
    <row r="116">
      <c r="A116" s="2" t="s">
        <v>262</v>
      </c>
      <c r="B116" s="2" t="s">
        <v>288</v>
      </c>
      <c r="C116" s="2" t="s">
        <v>654</v>
      </c>
      <c r="D116" s="2" t="s">
        <v>1212</v>
      </c>
      <c r="E116" s="4" t="s">
        <v>231</v>
      </c>
      <c r="F116" s="8" t="s">
        <v>231</v>
      </c>
      <c r="G116" s="4" t="s">
        <v>231</v>
      </c>
      <c r="H116" s="8" t="s">
        <v>231</v>
      </c>
      <c r="I116" s="7" t="s">
        <v>231</v>
      </c>
      <c r="J116" s="7" t="s">
        <v>231</v>
      </c>
      <c r="K116" s="4"/>
      <c r="L116" s="8"/>
      <c r="M116" s="4"/>
      <c r="N116" s="8"/>
      <c r="O116" s="7"/>
      <c r="P116" s="7"/>
    </row>
    <row r="117">
      <c r="A117" s="2" t="s">
        <v>262</v>
      </c>
      <c r="B117" s="2" t="s">
        <v>288</v>
      </c>
      <c r="C117" s="2" t="s">
        <v>264</v>
      </c>
      <c r="D117" s="2" t="s">
        <v>3915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262</v>
      </c>
      <c r="B118" s="2" t="s">
        <v>288</v>
      </c>
      <c r="C118" s="2" t="s">
        <v>458</v>
      </c>
      <c r="D118" s="2" t="s">
        <v>10793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262</v>
      </c>
      <c r="B119" s="2" t="s">
        <v>357</v>
      </c>
      <c r="C119" s="2" t="s">
        <v>654</v>
      </c>
      <c r="D119" s="2" t="s">
        <v>655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262</v>
      </c>
      <c r="B120" s="2" t="s">
        <v>653</v>
      </c>
      <c r="C120" s="2" t="s">
        <v>654</v>
      </c>
      <c r="D120" s="2" t="s">
        <v>655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262</v>
      </c>
      <c r="B121" s="2" t="s">
        <v>1548</v>
      </c>
      <c r="C121" s="2" t="s">
        <v>228</v>
      </c>
      <c r="D121" s="2" t="s">
        <v>3164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262</v>
      </c>
      <c r="B122" s="2" t="s">
        <v>1548</v>
      </c>
      <c r="C122" s="2" t="s">
        <v>654</v>
      </c>
      <c r="D122" s="2" t="s">
        <v>1212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262</v>
      </c>
      <c r="B123" s="2" t="s">
        <v>1548</v>
      </c>
      <c r="C123" s="2" t="s">
        <v>264</v>
      </c>
      <c r="D123" s="2" t="s">
        <v>3915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262</v>
      </c>
      <c r="B124" s="2" t="s">
        <v>1548</v>
      </c>
      <c r="C124" s="2" t="s">
        <v>1624</v>
      </c>
      <c r="D124" s="2" t="s">
        <v>1625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262</v>
      </c>
      <c r="B125" s="2" t="s">
        <v>263</v>
      </c>
      <c r="C125" s="2" t="s">
        <v>228</v>
      </c>
      <c r="D125" s="2" t="s">
        <v>3164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262</v>
      </c>
      <c r="B126" s="2" t="s">
        <v>263</v>
      </c>
      <c r="C126" s="2" t="s">
        <v>654</v>
      </c>
      <c r="D126" s="2" t="s">
        <v>1212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262</v>
      </c>
      <c r="B127" s="2" t="s">
        <v>263</v>
      </c>
      <c r="C127" s="2" t="s">
        <v>264</v>
      </c>
      <c r="D127" s="2" t="s">
        <v>3915</v>
      </c>
      <c r="E127" s="4" t="s">
        <v>231</v>
      </c>
      <c r="F127" s="8" t="s">
        <v>231</v>
      </c>
      <c r="G127" s="4" t="s">
        <v>231</v>
      </c>
      <c r="H127" s="8" t="s">
        <v>231</v>
      </c>
      <c r="I127" s="7" t="s">
        <v>231</v>
      </c>
      <c r="J127" s="7" t="s">
        <v>231</v>
      </c>
      <c r="K127" s="4"/>
      <c r="L127" s="8"/>
      <c r="M127" s="4"/>
      <c r="N127" s="8"/>
      <c r="O127" s="7"/>
      <c r="P127" s="7"/>
    </row>
    <row r="128">
      <c r="A128" s="2" t="s">
        <v>262</v>
      </c>
      <c r="B128" s="2" t="s">
        <v>263</v>
      </c>
      <c r="C128" s="2" t="s">
        <v>264</v>
      </c>
      <c r="D128" s="2" t="s">
        <v>265</v>
      </c>
      <c r="E128" s="4" t="s">
        <v>231</v>
      </c>
      <c r="F128" s="8" t="s">
        <v>231</v>
      </c>
      <c r="G128" s="4" t="s">
        <v>231</v>
      </c>
      <c r="H128" s="8" t="s">
        <v>231</v>
      </c>
      <c r="I128" s="7" t="s">
        <v>231</v>
      </c>
      <c r="J128" s="7" t="s">
        <v>231</v>
      </c>
      <c r="K128" s="4"/>
      <c r="L128" s="8"/>
      <c r="M128" s="4"/>
      <c r="N128" s="8"/>
      <c r="O128" s="7"/>
      <c r="P128" s="7"/>
    </row>
    <row r="129">
      <c r="A129" s="2" t="s">
        <v>262</v>
      </c>
      <c r="B129" s="2" t="s">
        <v>263</v>
      </c>
      <c r="C129" s="2" t="s">
        <v>1139</v>
      </c>
      <c r="D129" s="2" t="s">
        <v>10793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262</v>
      </c>
      <c r="B130" s="2" t="s">
        <v>965</v>
      </c>
      <c r="C130" s="2" t="s">
        <v>228</v>
      </c>
      <c r="D130" s="2" t="s">
        <v>3164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262</v>
      </c>
      <c r="B131" s="2" t="s">
        <v>965</v>
      </c>
      <c r="C131" s="2" t="s">
        <v>654</v>
      </c>
      <c r="D131" s="2" t="s">
        <v>1200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262</v>
      </c>
      <c r="B132" s="2" t="s">
        <v>965</v>
      </c>
      <c r="C132" s="2" t="s">
        <v>1624</v>
      </c>
      <c r="D132" s="2" t="s">
        <v>3164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262</v>
      </c>
      <c r="B133" s="2" t="s">
        <v>1051</v>
      </c>
      <c r="C133" s="2" t="s">
        <v>654</v>
      </c>
      <c r="D133" s="2" t="s">
        <v>1212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940</v>
      </c>
      <c r="B134" s="2" t="s">
        <v>1105</v>
      </c>
      <c r="C134" s="2" t="s">
        <v>1533</v>
      </c>
      <c r="D134" s="2" t="s">
        <v>1534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940</v>
      </c>
      <c r="B135" s="2" t="s">
        <v>913</v>
      </c>
      <c r="C135" s="2" t="s">
        <v>3996</v>
      </c>
      <c r="D135" s="2" t="s">
        <v>3997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940</v>
      </c>
      <c r="B136" s="2" t="s">
        <v>913</v>
      </c>
      <c r="C136" s="2" t="s">
        <v>941</v>
      </c>
      <c r="D136" s="2" t="s">
        <v>942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940</v>
      </c>
      <c r="B137" s="2" t="s">
        <v>1614</v>
      </c>
      <c r="C137" s="2" t="s">
        <v>1533</v>
      </c>
      <c r="D137" s="2" t="s">
        <v>1534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940</v>
      </c>
      <c r="B138" s="2" t="s">
        <v>2371</v>
      </c>
      <c r="C138" s="2" t="s">
        <v>1533</v>
      </c>
      <c r="D138" s="2" t="s">
        <v>1534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940</v>
      </c>
      <c r="B139" s="2" t="s">
        <v>815</v>
      </c>
      <c r="C139" s="2" t="s">
        <v>1533</v>
      </c>
      <c r="D139" s="2" t="s">
        <v>1534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940</v>
      </c>
      <c r="B140" s="2" t="s">
        <v>825</v>
      </c>
      <c r="C140" s="2" t="s">
        <v>1533</v>
      </c>
      <c r="D140" s="2" t="s">
        <v>1534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940</v>
      </c>
      <c r="B141" s="2" t="s">
        <v>288</v>
      </c>
      <c r="C141" s="2" t="s">
        <v>3996</v>
      </c>
      <c r="D141" s="2" t="s">
        <v>3997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940</v>
      </c>
      <c r="B142" s="2" t="s">
        <v>288</v>
      </c>
      <c r="C142" s="2" t="s">
        <v>941</v>
      </c>
      <c r="D142" s="2" t="s">
        <v>942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940</v>
      </c>
      <c r="B143" s="2" t="s">
        <v>288</v>
      </c>
      <c r="C143" s="2" t="s">
        <v>1533</v>
      </c>
      <c r="D143" s="2" t="s">
        <v>1534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940</v>
      </c>
      <c r="B144" s="2" t="s">
        <v>357</v>
      </c>
      <c r="C144" s="2" t="s">
        <v>1533</v>
      </c>
      <c r="D144" s="2" t="s">
        <v>1534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940</v>
      </c>
      <c r="B145" s="2" t="s">
        <v>1051</v>
      </c>
      <c r="C145" s="2" t="s">
        <v>1533</v>
      </c>
      <c r="D145" s="2" t="s">
        <v>1534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940</v>
      </c>
      <c r="B146" s="2" t="s">
        <v>1299</v>
      </c>
      <c r="C146" s="2" t="s">
        <v>1533</v>
      </c>
      <c r="D146" s="2" t="s">
        <v>1534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226</v>
      </c>
      <c r="B147" s="2" t="s">
        <v>631</v>
      </c>
      <c r="C147" s="2" t="s">
        <v>228</v>
      </c>
      <c r="D147" s="2" t="s">
        <v>229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226</v>
      </c>
      <c r="B148" s="2" t="s">
        <v>631</v>
      </c>
      <c r="C148" s="2" t="s">
        <v>3885</v>
      </c>
      <c r="D148" s="2" t="s">
        <v>3886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226</v>
      </c>
      <c r="B149" s="2" t="s">
        <v>631</v>
      </c>
      <c r="C149" s="2" t="s">
        <v>1549</v>
      </c>
      <c r="D149" s="2" t="s">
        <v>6675</v>
      </c>
      <c r="E149" s="4" t="s">
        <v>231</v>
      </c>
      <c r="F149" s="8" t="s">
        <v>231</v>
      </c>
      <c r="G149" s="4" t="s">
        <v>231</v>
      </c>
      <c r="H149" s="8" t="s">
        <v>231</v>
      </c>
      <c r="I149" s="7" t="s">
        <v>231</v>
      </c>
      <c r="J149" s="7" t="s">
        <v>231</v>
      </c>
      <c r="K149" s="4"/>
      <c r="L149" s="8"/>
      <c r="M149" s="4"/>
      <c r="N149" s="8"/>
      <c r="O149" s="7"/>
      <c r="P149" s="7"/>
    </row>
    <row r="150">
      <c r="A150" s="2" t="s">
        <v>226</v>
      </c>
      <c r="B150" s="2" t="s">
        <v>631</v>
      </c>
      <c r="C150" s="2" t="s">
        <v>1549</v>
      </c>
      <c r="D150" s="2" t="s">
        <v>3949</v>
      </c>
      <c r="E150" s="4" t="s">
        <v>231</v>
      </c>
      <c r="F150" s="8" t="s">
        <v>231</v>
      </c>
      <c r="G150" s="4" t="s">
        <v>231</v>
      </c>
      <c r="H150" s="8" t="s">
        <v>231</v>
      </c>
      <c r="I150" s="7" t="s">
        <v>231</v>
      </c>
      <c r="J150" s="7" t="s">
        <v>231</v>
      </c>
      <c r="K150" s="4"/>
      <c r="L150" s="8"/>
      <c r="M150" s="4"/>
      <c r="N150" s="8"/>
      <c r="O150" s="7"/>
      <c r="P150" s="7"/>
    </row>
    <row r="151">
      <c r="A151" s="2" t="s">
        <v>226</v>
      </c>
      <c r="B151" s="2" t="s">
        <v>631</v>
      </c>
      <c r="C151" s="2" t="s">
        <v>1549</v>
      </c>
      <c r="D151" s="2" t="s">
        <v>1550</v>
      </c>
      <c r="E151" s="4" t="s">
        <v>231</v>
      </c>
      <c r="F151" s="8" t="s">
        <v>231</v>
      </c>
      <c r="G151" s="4" t="s">
        <v>231</v>
      </c>
      <c r="H151" s="8" t="s">
        <v>231</v>
      </c>
      <c r="I151" s="7" t="s">
        <v>231</v>
      </c>
      <c r="J151" s="7" t="s">
        <v>231</v>
      </c>
      <c r="K151" s="4"/>
      <c r="L151" s="8"/>
      <c r="M151" s="4"/>
      <c r="N151" s="8"/>
      <c r="O151" s="7"/>
      <c r="P151" s="7"/>
    </row>
    <row r="152">
      <c r="A152" s="2" t="s">
        <v>226</v>
      </c>
      <c r="B152" s="2" t="s">
        <v>631</v>
      </c>
      <c r="C152" s="2" t="s">
        <v>1549</v>
      </c>
      <c r="D152" s="2" t="s">
        <v>6928</v>
      </c>
      <c r="E152" s="4" t="s">
        <v>231</v>
      </c>
      <c r="F152" s="8" t="s">
        <v>231</v>
      </c>
      <c r="G152" s="4" t="s">
        <v>231</v>
      </c>
      <c r="H152" s="8" t="s">
        <v>231</v>
      </c>
      <c r="I152" s="7" t="s">
        <v>231</v>
      </c>
      <c r="J152" s="7" t="s">
        <v>231</v>
      </c>
      <c r="K152" s="4"/>
      <c r="L152" s="8"/>
      <c r="M152" s="4"/>
      <c r="N152" s="8"/>
      <c r="O152" s="7"/>
      <c r="P152" s="7"/>
    </row>
    <row r="153">
      <c r="A153" s="2" t="s">
        <v>226</v>
      </c>
      <c r="B153" s="2" t="s">
        <v>631</v>
      </c>
      <c r="C153" s="2" t="s">
        <v>10657</v>
      </c>
      <c r="D153" s="2" t="s">
        <v>10658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226</v>
      </c>
      <c r="B154" s="2" t="s">
        <v>1211</v>
      </c>
      <c r="C154" s="2" t="s">
        <v>228</v>
      </c>
      <c r="D154" s="2" t="s">
        <v>229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226</v>
      </c>
      <c r="B155" s="2" t="s">
        <v>1017</v>
      </c>
      <c r="C155" s="2" t="s">
        <v>654</v>
      </c>
      <c r="D155" s="2" t="s">
        <v>890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226</v>
      </c>
      <c r="B156" s="2" t="s">
        <v>1017</v>
      </c>
      <c r="C156" s="2" t="s">
        <v>1549</v>
      </c>
      <c r="D156" s="2" t="s">
        <v>6928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226</v>
      </c>
      <c r="B157" s="2" t="s">
        <v>1017</v>
      </c>
      <c r="C157" s="2" t="s">
        <v>1673</v>
      </c>
      <c r="D157" s="2" t="s">
        <v>1673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226</v>
      </c>
      <c r="B158" s="2" t="s">
        <v>913</v>
      </c>
      <c r="C158" s="2" t="s">
        <v>228</v>
      </c>
      <c r="D158" s="2" t="s">
        <v>229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226</v>
      </c>
      <c r="B159" s="2" t="s">
        <v>913</v>
      </c>
      <c r="C159" s="2" t="s">
        <v>1139</v>
      </c>
      <c r="D159" s="2" t="s">
        <v>1981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226</v>
      </c>
      <c r="B160" s="2" t="s">
        <v>913</v>
      </c>
      <c r="C160" s="2" t="s">
        <v>1624</v>
      </c>
      <c r="D160" s="2" t="s">
        <v>2589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226</v>
      </c>
      <c r="B161" s="2" t="s">
        <v>815</v>
      </c>
      <c r="C161" s="2" t="s">
        <v>228</v>
      </c>
      <c r="D161" s="2" t="s">
        <v>229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226</v>
      </c>
      <c r="B162" s="2" t="s">
        <v>815</v>
      </c>
      <c r="C162" s="2" t="s">
        <v>458</v>
      </c>
      <c r="D162" s="2" t="s">
        <v>459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226</v>
      </c>
      <c r="B163" s="2" t="s">
        <v>825</v>
      </c>
      <c r="C163" s="2" t="s">
        <v>228</v>
      </c>
      <c r="D163" s="2" t="s">
        <v>229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226</v>
      </c>
      <c r="B164" s="2" t="s">
        <v>825</v>
      </c>
      <c r="C164" s="2" t="s">
        <v>654</v>
      </c>
      <c r="D164" s="2" t="s">
        <v>655</v>
      </c>
      <c r="E164" s="4" t="s">
        <v>231</v>
      </c>
      <c r="F164" s="8" t="s">
        <v>231</v>
      </c>
      <c r="G164" s="4" t="s">
        <v>231</v>
      </c>
      <c r="H164" s="8" t="s">
        <v>231</v>
      </c>
      <c r="I164" s="7" t="s">
        <v>231</v>
      </c>
      <c r="J164" s="7" t="s">
        <v>231</v>
      </c>
      <c r="K164" s="4"/>
      <c r="L164" s="8"/>
      <c r="M164" s="4"/>
      <c r="N164" s="8"/>
      <c r="O164" s="7"/>
      <c r="P164" s="7"/>
    </row>
    <row r="165">
      <c r="A165" s="2" t="s">
        <v>226</v>
      </c>
      <c r="B165" s="2" t="s">
        <v>825</v>
      </c>
      <c r="C165" s="2" t="s">
        <v>654</v>
      </c>
      <c r="D165" s="2" t="s">
        <v>890</v>
      </c>
      <c r="E165" s="4" t="s">
        <v>231</v>
      </c>
      <c r="F165" s="8" t="s">
        <v>231</v>
      </c>
      <c r="G165" s="4" t="s">
        <v>231</v>
      </c>
      <c r="H165" s="8" t="s">
        <v>231</v>
      </c>
      <c r="I165" s="7" t="s">
        <v>231</v>
      </c>
      <c r="J165" s="7" t="s">
        <v>231</v>
      </c>
      <c r="K165" s="4"/>
      <c r="L165" s="8"/>
      <c r="M165" s="4"/>
      <c r="N165" s="8"/>
      <c r="O165" s="7"/>
      <c r="P165" s="7"/>
    </row>
    <row r="166">
      <c r="A166" s="2" t="s">
        <v>226</v>
      </c>
      <c r="B166" s="2" t="s">
        <v>825</v>
      </c>
      <c r="C166" s="2" t="s">
        <v>826</v>
      </c>
      <c r="D166" s="2" t="s">
        <v>1060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226</v>
      </c>
      <c r="B167" s="2" t="s">
        <v>825</v>
      </c>
      <c r="C167" s="2" t="s">
        <v>1624</v>
      </c>
      <c r="D167" s="2" t="s">
        <v>2589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226</v>
      </c>
      <c r="B168" s="2" t="s">
        <v>288</v>
      </c>
      <c r="C168" s="2" t="s">
        <v>228</v>
      </c>
      <c r="D168" s="2" t="s">
        <v>229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226</v>
      </c>
      <c r="B169" s="2" t="s">
        <v>288</v>
      </c>
      <c r="C169" s="2" t="s">
        <v>654</v>
      </c>
      <c r="D169" s="2" t="s">
        <v>890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226</v>
      </c>
      <c r="B170" s="2" t="s">
        <v>288</v>
      </c>
      <c r="C170" s="2" t="s">
        <v>1139</v>
      </c>
      <c r="D170" s="2" t="s">
        <v>1140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226</v>
      </c>
      <c r="B171" s="2" t="s">
        <v>288</v>
      </c>
      <c r="C171" s="2" t="s">
        <v>1624</v>
      </c>
      <c r="D171" s="2" t="s">
        <v>1625</v>
      </c>
      <c r="E171" s="4" t="s">
        <v>231</v>
      </c>
      <c r="F171" s="8" t="s">
        <v>231</v>
      </c>
      <c r="G171" s="4" t="s">
        <v>231</v>
      </c>
      <c r="H171" s="8" t="s">
        <v>231</v>
      </c>
      <c r="I171" s="7" t="s">
        <v>231</v>
      </c>
      <c r="J171" s="7" t="s">
        <v>231</v>
      </c>
      <c r="K171" s="4"/>
      <c r="L171" s="8"/>
      <c r="M171" s="4"/>
      <c r="N171" s="8"/>
      <c r="O171" s="7"/>
      <c r="P171" s="7"/>
    </row>
    <row r="172">
      <c r="A172" s="2" t="s">
        <v>226</v>
      </c>
      <c r="B172" s="2" t="s">
        <v>288</v>
      </c>
      <c r="C172" s="2" t="s">
        <v>1624</v>
      </c>
      <c r="D172" s="2" t="s">
        <v>2589</v>
      </c>
      <c r="E172" s="4" t="s">
        <v>231</v>
      </c>
      <c r="F172" s="8" t="s">
        <v>231</v>
      </c>
      <c r="G172" s="4" t="s">
        <v>231</v>
      </c>
      <c r="H172" s="8" t="s">
        <v>231</v>
      </c>
      <c r="I172" s="7" t="s">
        <v>231</v>
      </c>
      <c r="J172" s="7" t="s">
        <v>231</v>
      </c>
      <c r="K172" s="4"/>
      <c r="L172" s="8"/>
      <c r="M172" s="4"/>
      <c r="N172" s="8"/>
      <c r="O172" s="7"/>
      <c r="P172" s="7"/>
    </row>
    <row r="173">
      <c r="A173" s="2" t="s">
        <v>226</v>
      </c>
      <c r="B173" s="2" t="s">
        <v>357</v>
      </c>
      <c r="C173" s="2" t="s">
        <v>654</v>
      </c>
      <c r="D173" s="2" t="s">
        <v>890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226</v>
      </c>
      <c r="B174" s="2" t="s">
        <v>227</v>
      </c>
      <c r="C174" s="2" t="s">
        <v>228</v>
      </c>
      <c r="D174" s="2" t="s">
        <v>229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226</v>
      </c>
      <c r="B175" s="2" t="s">
        <v>3948</v>
      </c>
      <c r="C175" s="2" t="s">
        <v>3885</v>
      </c>
      <c r="D175" s="2" t="s">
        <v>3886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226</v>
      </c>
      <c r="B176" s="2" t="s">
        <v>3948</v>
      </c>
      <c r="C176" s="2" t="s">
        <v>1549</v>
      </c>
      <c r="D176" s="2" t="s">
        <v>6675</v>
      </c>
      <c r="E176" s="4" t="s">
        <v>231</v>
      </c>
      <c r="F176" s="8" t="s">
        <v>231</v>
      </c>
      <c r="G176" s="4" t="s">
        <v>231</v>
      </c>
      <c r="H176" s="8" t="s">
        <v>231</v>
      </c>
      <c r="I176" s="7" t="s">
        <v>231</v>
      </c>
      <c r="J176" s="7" t="s">
        <v>231</v>
      </c>
      <c r="K176" s="4"/>
      <c r="L176" s="8"/>
      <c r="M176" s="4"/>
      <c r="N176" s="8"/>
      <c r="O176" s="7"/>
      <c r="P176" s="7"/>
    </row>
    <row r="177">
      <c r="A177" s="2" t="s">
        <v>226</v>
      </c>
      <c r="B177" s="2" t="s">
        <v>3948</v>
      </c>
      <c r="C177" s="2" t="s">
        <v>1549</v>
      </c>
      <c r="D177" s="2" t="s">
        <v>3949</v>
      </c>
      <c r="E177" s="4" t="s">
        <v>231</v>
      </c>
      <c r="F177" s="8" t="s">
        <v>231</v>
      </c>
      <c r="G177" s="4" t="s">
        <v>231</v>
      </c>
      <c r="H177" s="8" t="s">
        <v>231</v>
      </c>
      <c r="I177" s="7" t="s">
        <v>231</v>
      </c>
      <c r="J177" s="7" t="s">
        <v>231</v>
      </c>
      <c r="K177" s="4"/>
      <c r="L177" s="8"/>
      <c r="M177" s="4"/>
      <c r="N177" s="8"/>
      <c r="O177" s="7"/>
      <c r="P177" s="7"/>
    </row>
    <row r="178">
      <c r="A178" s="2" t="s">
        <v>226</v>
      </c>
      <c r="B178" s="2" t="s">
        <v>3948</v>
      </c>
      <c r="C178" s="2" t="s">
        <v>1549</v>
      </c>
      <c r="D178" s="2" t="s">
        <v>1550</v>
      </c>
      <c r="E178" s="4" t="s">
        <v>231</v>
      </c>
      <c r="F178" s="8" t="s">
        <v>231</v>
      </c>
      <c r="G178" s="4" t="s">
        <v>231</v>
      </c>
      <c r="H178" s="8" t="s">
        <v>231</v>
      </c>
      <c r="I178" s="7" t="s">
        <v>231</v>
      </c>
      <c r="J178" s="7" t="s">
        <v>231</v>
      </c>
      <c r="K178" s="4"/>
      <c r="L178" s="8"/>
      <c r="M178" s="4"/>
      <c r="N178" s="8"/>
      <c r="O178" s="7"/>
      <c r="P178" s="7"/>
    </row>
    <row r="179">
      <c r="A179" s="2" t="s">
        <v>226</v>
      </c>
      <c r="B179" s="2" t="s">
        <v>1548</v>
      </c>
      <c r="C179" s="2" t="s">
        <v>3885</v>
      </c>
      <c r="D179" s="2" t="s">
        <v>3915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226</v>
      </c>
      <c r="B180" s="2" t="s">
        <v>1548</v>
      </c>
      <c r="C180" s="2" t="s">
        <v>1549</v>
      </c>
      <c r="D180" s="2" t="s">
        <v>1550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226</v>
      </c>
      <c r="B181" s="2" t="s">
        <v>965</v>
      </c>
      <c r="C181" s="2" t="s">
        <v>228</v>
      </c>
      <c r="D181" s="2" t="s">
        <v>229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226</v>
      </c>
      <c r="B182" s="2" t="s">
        <v>965</v>
      </c>
      <c r="C182" s="2" t="s">
        <v>654</v>
      </c>
      <c r="D182" s="2" t="s">
        <v>890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226</v>
      </c>
      <c r="B183" s="2" t="s">
        <v>965</v>
      </c>
      <c r="C183" s="2" t="s">
        <v>1549</v>
      </c>
      <c r="D183" s="2" t="s">
        <v>3949</v>
      </c>
      <c r="E183" s="4" t="s">
        <v>231</v>
      </c>
      <c r="F183" s="8" t="s">
        <v>231</v>
      </c>
      <c r="G183" s="4" t="s">
        <v>231</v>
      </c>
      <c r="H183" s="8" t="s">
        <v>231</v>
      </c>
      <c r="I183" s="7" t="s">
        <v>231</v>
      </c>
      <c r="J183" s="7" t="s">
        <v>231</v>
      </c>
      <c r="K183" s="4"/>
      <c r="L183" s="8"/>
      <c r="M183" s="4"/>
      <c r="N183" s="8"/>
      <c r="O183" s="7"/>
      <c r="P183" s="7"/>
    </row>
    <row r="184">
      <c r="A184" s="2" t="s">
        <v>226</v>
      </c>
      <c r="B184" s="2" t="s">
        <v>965</v>
      </c>
      <c r="C184" s="2" t="s">
        <v>1549</v>
      </c>
      <c r="D184" s="2" t="s">
        <v>1550</v>
      </c>
      <c r="E184" s="4" t="s">
        <v>231</v>
      </c>
      <c r="F184" s="8" t="s">
        <v>231</v>
      </c>
      <c r="G184" s="4" t="s">
        <v>231</v>
      </c>
      <c r="H184" s="8" t="s">
        <v>231</v>
      </c>
      <c r="I184" s="7" t="s">
        <v>231</v>
      </c>
      <c r="J184" s="7" t="s">
        <v>231</v>
      </c>
      <c r="K184" s="4"/>
      <c r="L184" s="8"/>
      <c r="M184" s="4"/>
      <c r="N184" s="8"/>
      <c r="O184" s="7"/>
      <c r="P184" s="7"/>
    </row>
    <row r="185">
      <c r="A185" s="2" t="s">
        <v>226</v>
      </c>
      <c r="B185" s="2" t="s">
        <v>1299</v>
      </c>
      <c r="C185" s="2" t="s">
        <v>228</v>
      </c>
      <c r="D185" s="2" t="s">
        <v>229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226</v>
      </c>
      <c r="B186" s="2" t="s">
        <v>1299</v>
      </c>
      <c r="C186" s="2" t="s">
        <v>654</v>
      </c>
      <c r="D186" s="2" t="s">
        <v>655</v>
      </c>
      <c r="E186" s="4" t="s">
        <v>231</v>
      </c>
      <c r="F186" s="8" t="s">
        <v>231</v>
      </c>
      <c r="G186" s="4" t="s">
        <v>231</v>
      </c>
      <c r="H186" s="8" t="s">
        <v>231</v>
      </c>
      <c r="I186" s="7" t="s">
        <v>231</v>
      </c>
      <c r="J186" s="7" t="s">
        <v>231</v>
      </c>
      <c r="K186" s="4"/>
      <c r="L186" s="8"/>
      <c r="M186" s="4"/>
      <c r="N186" s="8"/>
      <c r="O186" s="7"/>
      <c r="P186" s="7"/>
    </row>
    <row r="187">
      <c r="A187" s="2" t="s">
        <v>226</v>
      </c>
      <c r="B187" s="2" t="s">
        <v>1299</v>
      </c>
      <c r="C187" s="2" t="s">
        <v>654</v>
      </c>
      <c r="D187" s="2" t="s">
        <v>890</v>
      </c>
      <c r="E187" s="4" t="s">
        <v>231</v>
      </c>
      <c r="F187" s="8" t="s">
        <v>231</v>
      </c>
      <c r="G187" s="4" t="s">
        <v>231</v>
      </c>
      <c r="H187" s="8" t="s">
        <v>231</v>
      </c>
      <c r="I187" s="7" t="s">
        <v>231</v>
      </c>
      <c r="J187" s="7" t="s">
        <v>231</v>
      </c>
      <c r="K187" s="4"/>
      <c r="L187" s="8"/>
      <c r="M187" s="4"/>
      <c r="N187" s="8"/>
      <c r="O187" s="7"/>
      <c r="P187" s="7"/>
    </row>
    <row r="188">
      <c r="A188" s="2" t="s">
        <v>226</v>
      </c>
      <c r="B188" s="2" t="s">
        <v>1299</v>
      </c>
      <c r="C188" s="2" t="s">
        <v>1462</v>
      </c>
      <c r="D188" s="2" t="s">
        <v>2563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226</v>
      </c>
      <c r="B189" s="2" t="s">
        <v>1299</v>
      </c>
      <c r="C189" s="2" t="s">
        <v>1549</v>
      </c>
      <c r="D189" s="2" t="s">
        <v>3949</v>
      </c>
      <c r="E189" s="4" t="s">
        <v>231</v>
      </c>
      <c r="F189" s="8" t="s">
        <v>231</v>
      </c>
      <c r="G189" s="4" t="s">
        <v>231</v>
      </c>
      <c r="H189" s="8" t="s">
        <v>231</v>
      </c>
      <c r="I189" s="7" t="s">
        <v>231</v>
      </c>
      <c r="J189" s="7" t="s">
        <v>231</v>
      </c>
      <c r="K189" s="4"/>
      <c r="L189" s="8"/>
      <c r="M189" s="4"/>
      <c r="N189" s="8"/>
      <c r="O189" s="7"/>
      <c r="P189" s="7"/>
    </row>
    <row r="190">
      <c r="A190" s="2" t="s">
        <v>226</v>
      </c>
      <c r="B190" s="2" t="s">
        <v>1299</v>
      </c>
      <c r="C190" s="2" t="s">
        <v>1549</v>
      </c>
      <c r="D190" s="2" t="s">
        <v>1550</v>
      </c>
      <c r="E190" s="4" t="s">
        <v>231</v>
      </c>
      <c r="F190" s="8" t="s">
        <v>231</v>
      </c>
      <c r="G190" s="4" t="s">
        <v>231</v>
      </c>
      <c r="H190" s="8" t="s">
        <v>231</v>
      </c>
      <c r="I190" s="7" t="s">
        <v>231</v>
      </c>
      <c r="J190" s="7" t="s">
        <v>231</v>
      </c>
      <c r="K190" s="4"/>
      <c r="L190" s="8"/>
      <c r="M190" s="4"/>
      <c r="N190" s="8"/>
      <c r="O190" s="7"/>
      <c r="P190" s="7"/>
    </row>
    <row r="191">
      <c r="A191" s="2" t="s">
        <v>226</v>
      </c>
      <c r="B191" s="2" t="s">
        <v>1299</v>
      </c>
      <c r="C191" s="2" t="s">
        <v>1624</v>
      </c>
      <c r="D191" s="2" t="s">
        <v>1625</v>
      </c>
      <c r="E191" s="4" t="s">
        <v>231</v>
      </c>
      <c r="F191" s="8" t="s">
        <v>231</v>
      </c>
      <c r="G191" s="4" t="s">
        <v>231</v>
      </c>
      <c r="H191" s="8" t="s">
        <v>231</v>
      </c>
      <c r="I191" s="7" t="s">
        <v>231</v>
      </c>
      <c r="J191" s="7" t="s">
        <v>231</v>
      </c>
      <c r="K191" s="4"/>
      <c r="L191" s="8"/>
      <c r="M191" s="4"/>
      <c r="N191" s="8"/>
      <c r="O191" s="7"/>
      <c r="P191" s="7"/>
    </row>
    <row r="192">
      <c r="A192" s="2" t="s">
        <v>226</v>
      </c>
      <c r="B192" s="2" t="s">
        <v>1299</v>
      </c>
      <c r="C192" s="2" t="s">
        <v>1624</v>
      </c>
      <c r="D192" s="2" t="s">
        <v>2589</v>
      </c>
      <c r="E192" s="4" t="s">
        <v>231</v>
      </c>
      <c r="F192" s="8" t="s">
        <v>231</v>
      </c>
      <c r="G192" s="4" t="s">
        <v>231</v>
      </c>
      <c r="H192" s="8" t="s">
        <v>231</v>
      </c>
      <c r="I192" s="7" t="s">
        <v>231</v>
      </c>
      <c r="J192" s="7" t="s">
        <v>231</v>
      </c>
      <c r="K192" s="4"/>
      <c r="L192" s="8"/>
      <c r="M192" s="4"/>
      <c r="N192" s="8"/>
      <c r="O192" s="7"/>
      <c r="P192" s="7"/>
    </row>
    <row r="193">
      <c r="A193" s="2" t="s">
        <v>1004</v>
      </c>
      <c r="B193" s="2" t="s">
        <v>1105</v>
      </c>
      <c r="C193" s="2" t="s">
        <v>1912</v>
      </c>
      <c r="D193" s="2" t="s">
        <v>2523</v>
      </c>
      <c r="E193" s="4" t="s">
        <v>231</v>
      </c>
      <c r="F193" s="8" t="s">
        <v>231</v>
      </c>
      <c r="G193" s="4" t="s">
        <v>231</v>
      </c>
      <c r="H193" s="8" t="s">
        <v>231</v>
      </c>
      <c r="I193" s="7" t="s">
        <v>231</v>
      </c>
      <c r="J193" s="7" t="s">
        <v>231</v>
      </c>
      <c r="K193" s="4"/>
      <c r="L193" s="8"/>
      <c r="M193" s="4"/>
      <c r="N193" s="8"/>
      <c r="O193" s="7"/>
      <c r="P193" s="7"/>
    </row>
    <row r="194">
      <c r="A194" s="2" t="s">
        <v>1004</v>
      </c>
      <c r="B194" s="2" t="s">
        <v>1105</v>
      </c>
      <c r="C194" s="2" t="s">
        <v>1912</v>
      </c>
      <c r="D194" s="2" t="s">
        <v>1913</v>
      </c>
      <c r="E194" s="4" t="s">
        <v>231</v>
      </c>
      <c r="F194" s="8" t="s">
        <v>231</v>
      </c>
      <c r="G194" s="4" t="s">
        <v>231</v>
      </c>
      <c r="H194" s="8" t="s">
        <v>231</v>
      </c>
      <c r="I194" s="7" t="s">
        <v>231</v>
      </c>
      <c r="J194" s="7" t="s">
        <v>231</v>
      </c>
      <c r="K194" s="4"/>
      <c r="L194" s="8"/>
      <c r="M194" s="4"/>
      <c r="N194" s="8"/>
      <c r="O194" s="7"/>
      <c r="P194" s="7"/>
    </row>
    <row r="195">
      <c r="A195" s="2" t="s">
        <v>1004</v>
      </c>
      <c r="B195" s="2" t="s">
        <v>1105</v>
      </c>
      <c r="C195" s="2" t="s">
        <v>1689</v>
      </c>
      <c r="D195" s="2" t="s">
        <v>2538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1004</v>
      </c>
      <c r="B196" s="2" t="s">
        <v>1105</v>
      </c>
      <c r="C196" s="2" t="s">
        <v>1917</v>
      </c>
      <c r="D196" s="2" t="s">
        <v>1918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1004</v>
      </c>
      <c r="B197" s="2" t="s">
        <v>1105</v>
      </c>
      <c r="C197" s="2" t="s">
        <v>1005</v>
      </c>
      <c r="D197" s="2" t="s">
        <v>1006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1004</v>
      </c>
      <c r="B198" s="2" t="s">
        <v>1105</v>
      </c>
      <c r="C198" s="2" t="s">
        <v>1922</v>
      </c>
      <c r="D198" s="2" t="s">
        <v>1923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1004</v>
      </c>
      <c r="B199" s="2" t="s">
        <v>1105</v>
      </c>
      <c r="C199" s="2" t="s">
        <v>1837</v>
      </c>
      <c r="D199" s="2" t="s">
        <v>2264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1004</v>
      </c>
      <c r="B200" s="2" t="s">
        <v>1836</v>
      </c>
      <c r="C200" s="2" t="s">
        <v>1837</v>
      </c>
      <c r="D200" s="2" t="s">
        <v>1838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1004</v>
      </c>
      <c r="B201" s="2" t="s">
        <v>815</v>
      </c>
      <c r="C201" s="2" t="s">
        <v>1912</v>
      </c>
      <c r="D201" s="2" t="s">
        <v>1913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1004</v>
      </c>
      <c r="B202" s="2" t="s">
        <v>815</v>
      </c>
      <c r="C202" s="2" t="s">
        <v>1689</v>
      </c>
      <c r="D202" s="2" t="s">
        <v>2651</v>
      </c>
      <c r="E202" s="4" t="s">
        <v>231</v>
      </c>
      <c r="F202" s="8" t="s">
        <v>231</v>
      </c>
      <c r="G202" s="4" t="s">
        <v>231</v>
      </c>
      <c r="H202" s="8" t="s">
        <v>231</v>
      </c>
      <c r="I202" s="7" t="s">
        <v>231</v>
      </c>
      <c r="J202" s="7" t="s">
        <v>231</v>
      </c>
      <c r="K202" s="4"/>
      <c r="L202" s="8"/>
      <c r="M202" s="4"/>
      <c r="N202" s="8"/>
      <c r="O202" s="7"/>
      <c r="P202" s="7"/>
    </row>
    <row r="203">
      <c r="A203" s="2" t="s">
        <v>1004</v>
      </c>
      <c r="B203" s="2" t="s">
        <v>815</v>
      </c>
      <c r="C203" s="2" t="s">
        <v>1689</v>
      </c>
      <c r="D203" s="2" t="s">
        <v>2538</v>
      </c>
      <c r="E203" s="4" t="s">
        <v>231</v>
      </c>
      <c r="F203" s="8" t="s">
        <v>231</v>
      </c>
      <c r="G203" s="4" t="s">
        <v>231</v>
      </c>
      <c r="H203" s="8" t="s">
        <v>231</v>
      </c>
      <c r="I203" s="7" t="s">
        <v>231</v>
      </c>
      <c r="J203" s="7" t="s">
        <v>231</v>
      </c>
      <c r="K203" s="4"/>
      <c r="L203" s="8"/>
      <c r="M203" s="4"/>
      <c r="N203" s="8"/>
      <c r="O203" s="7"/>
      <c r="P203" s="7"/>
    </row>
    <row r="204">
      <c r="A204" s="2" t="s">
        <v>1004</v>
      </c>
      <c r="B204" s="2" t="s">
        <v>815</v>
      </c>
      <c r="C204" s="2" t="s">
        <v>1689</v>
      </c>
      <c r="D204" s="2" t="s">
        <v>1690</v>
      </c>
      <c r="E204" s="4" t="s">
        <v>231</v>
      </c>
      <c r="F204" s="8" t="s">
        <v>231</v>
      </c>
      <c r="G204" s="4" t="s">
        <v>231</v>
      </c>
      <c r="H204" s="8" t="s">
        <v>231</v>
      </c>
      <c r="I204" s="7" t="s">
        <v>231</v>
      </c>
      <c r="J204" s="7" t="s">
        <v>231</v>
      </c>
      <c r="K204" s="4"/>
      <c r="L204" s="8"/>
      <c r="M204" s="4"/>
      <c r="N204" s="8"/>
      <c r="O204" s="7"/>
      <c r="P204" s="7"/>
    </row>
    <row r="205">
      <c r="A205" s="2" t="s">
        <v>1004</v>
      </c>
      <c r="B205" s="2" t="s">
        <v>815</v>
      </c>
      <c r="C205" s="2" t="s">
        <v>2130</v>
      </c>
      <c r="D205" s="2" t="s">
        <v>4359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1004</v>
      </c>
      <c r="B206" s="2" t="s">
        <v>815</v>
      </c>
      <c r="C206" s="2" t="s">
        <v>1917</v>
      </c>
      <c r="D206" s="2" t="s">
        <v>2495</v>
      </c>
      <c r="E206" s="4" t="s">
        <v>231</v>
      </c>
      <c r="F206" s="8" t="s">
        <v>231</v>
      </c>
      <c r="G206" s="4" t="s">
        <v>231</v>
      </c>
      <c r="H206" s="8" t="s">
        <v>231</v>
      </c>
      <c r="I206" s="7" t="s">
        <v>231</v>
      </c>
      <c r="J206" s="7" t="s">
        <v>231</v>
      </c>
      <c r="K206" s="4"/>
      <c r="L206" s="8"/>
      <c r="M206" s="4"/>
      <c r="N206" s="8"/>
      <c r="O206" s="7"/>
      <c r="P206" s="7"/>
    </row>
    <row r="207">
      <c r="A207" s="2" t="s">
        <v>1004</v>
      </c>
      <c r="B207" s="2" t="s">
        <v>815</v>
      </c>
      <c r="C207" s="2" t="s">
        <v>1917</v>
      </c>
      <c r="D207" s="2" t="s">
        <v>1918</v>
      </c>
      <c r="E207" s="4" t="s">
        <v>231</v>
      </c>
      <c r="F207" s="8" t="s">
        <v>231</v>
      </c>
      <c r="G207" s="4" t="s">
        <v>231</v>
      </c>
      <c r="H207" s="8" t="s">
        <v>231</v>
      </c>
      <c r="I207" s="7" t="s">
        <v>231</v>
      </c>
      <c r="J207" s="7" t="s">
        <v>231</v>
      </c>
      <c r="K207" s="4"/>
      <c r="L207" s="8"/>
      <c r="M207" s="4"/>
      <c r="N207" s="8"/>
      <c r="O207" s="7"/>
      <c r="P207" s="7"/>
    </row>
    <row r="208">
      <c r="A208" s="2" t="s">
        <v>1004</v>
      </c>
      <c r="B208" s="2" t="s">
        <v>815</v>
      </c>
      <c r="C208" s="2" t="s">
        <v>1917</v>
      </c>
      <c r="D208" s="2" t="s">
        <v>1032</v>
      </c>
      <c r="E208" s="4" t="s">
        <v>231</v>
      </c>
      <c r="F208" s="8" t="s">
        <v>231</v>
      </c>
      <c r="G208" s="4" t="s">
        <v>231</v>
      </c>
      <c r="H208" s="8" t="s">
        <v>231</v>
      </c>
      <c r="I208" s="7" t="s">
        <v>231</v>
      </c>
      <c r="J208" s="7" t="s">
        <v>231</v>
      </c>
      <c r="K208" s="4"/>
      <c r="L208" s="8"/>
      <c r="M208" s="4"/>
      <c r="N208" s="8"/>
      <c r="O208" s="7"/>
      <c r="P208" s="7"/>
    </row>
    <row r="209">
      <c r="A209" s="2" t="s">
        <v>1004</v>
      </c>
      <c r="B209" s="2" t="s">
        <v>815</v>
      </c>
      <c r="C209" s="2" t="s">
        <v>1295</v>
      </c>
      <c r="D209" s="2" t="s">
        <v>2253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1004</v>
      </c>
      <c r="B210" s="2" t="s">
        <v>815</v>
      </c>
      <c r="C210" s="2" t="s">
        <v>1005</v>
      </c>
      <c r="D210" s="2" t="s">
        <v>1006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1004</v>
      </c>
      <c r="B211" s="2" t="s">
        <v>815</v>
      </c>
      <c r="C211" s="2" t="s">
        <v>6126</v>
      </c>
      <c r="D211" s="2" t="s">
        <v>6127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1004</v>
      </c>
      <c r="B212" s="2" t="s">
        <v>815</v>
      </c>
      <c r="C212" s="2" t="s">
        <v>1922</v>
      </c>
      <c r="D212" s="2" t="s">
        <v>11741</v>
      </c>
      <c r="E212" s="4" t="s">
        <v>231</v>
      </c>
      <c r="F212" s="8" t="s">
        <v>231</v>
      </c>
      <c r="G212" s="4" t="s">
        <v>231</v>
      </c>
      <c r="H212" s="8" t="s">
        <v>231</v>
      </c>
      <c r="I212" s="7" t="s">
        <v>231</v>
      </c>
      <c r="J212" s="7" t="s">
        <v>231</v>
      </c>
      <c r="K212" s="4"/>
      <c r="L212" s="8"/>
      <c r="M212" s="4"/>
      <c r="N212" s="8"/>
      <c r="O212" s="7"/>
      <c r="P212" s="7"/>
    </row>
    <row r="213">
      <c r="A213" s="2" t="s">
        <v>1004</v>
      </c>
      <c r="B213" s="2" t="s">
        <v>815</v>
      </c>
      <c r="C213" s="2" t="s">
        <v>1922</v>
      </c>
      <c r="D213" s="2" t="s">
        <v>1923</v>
      </c>
      <c r="E213" s="4" t="s">
        <v>231</v>
      </c>
      <c r="F213" s="8" t="s">
        <v>231</v>
      </c>
      <c r="G213" s="4" t="s">
        <v>231</v>
      </c>
      <c r="H213" s="8" t="s">
        <v>231</v>
      </c>
      <c r="I213" s="7" t="s">
        <v>231</v>
      </c>
      <c r="J213" s="7" t="s">
        <v>231</v>
      </c>
      <c r="K213" s="4"/>
      <c r="L213" s="8"/>
      <c r="M213" s="4"/>
      <c r="N213" s="8"/>
      <c r="O213" s="7"/>
      <c r="P213" s="7"/>
    </row>
    <row r="214">
      <c r="A214" s="2" t="s">
        <v>1004</v>
      </c>
      <c r="B214" s="2" t="s">
        <v>815</v>
      </c>
      <c r="C214" s="2" t="s">
        <v>1922</v>
      </c>
      <c r="D214" s="2" t="s">
        <v>5986</v>
      </c>
      <c r="E214" s="4" t="s">
        <v>231</v>
      </c>
      <c r="F214" s="8" t="s">
        <v>231</v>
      </c>
      <c r="G214" s="4" t="s">
        <v>231</v>
      </c>
      <c r="H214" s="8" t="s">
        <v>231</v>
      </c>
      <c r="I214" s="7" t="s">
        <v>231</v>
      </c>
      <c r="J214" s="7" t="s">
        <v>231</v>
      </c>
      <c r="K214" s="4"/>
      <c r="L214" s="8"/>
      <c r="M214" s="4"/>
      <c r="N214" s="8"/>
      <c r="O214" s="7"/>
      <c r="P214" s="7"/>
    </row>
    <row r="215">
      <c r="A215" s="2" t="s">
        <v>1004</v>
      </c>
      <c r="B215" s="2" t="s">
        <v>815</v>
      </c>
      <c r="C215" s="2" t="s">
        <v>5985</v>
      </c>
      <c r="D215" s="2" t="s">
        <v>5986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1004</v>
      </c>
      <c r="B216" s="2" t="s">
        <v>815</v>
      </c>
      <c r="C216" s="2" t="s">
        <v>11312</v>
      </c>
      <c r="D216" s="2" t="s">
        <v>11313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1004</v>
      </c>
      <c r="B217" s="2" t="s">
        <v>815</v>
      </c>
      <c r="C217" s="2" t="s">
        <v>1031</v>
      </c>
      <c r="D217" s="2" t="s">
        <v>1032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1004</v>
      </c>
      <c r="B218" s="2" t="s">
        <v>815</v>
      </c>
      <c r="C218" s="2" t="s">
        <v>2260</v>
      </c>
      <c r="D218" s="2" t="s">
        <v>2261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1004</v>
      </c>
      <c r="B219" s="2" t="s">
        <v>815</v>
      </c>
      <c r="C219" s="2" t="s">
        <v>1837</v>
      </c>
      <c r="D219" s="2" t="s">
        <v>6476</v>
      </c>
      <c r="E219" s="4" t="s">
        <v>231</v>
      </c>
      <c r="F219" s="8" t="s">
        <v>231</v>
      </c>
      <c r="G219" s="4" t="s">
        <v>231</v>
      </c>
      <c r="H219" s="8" t="s">
        <v>231</v>
      </c>
      <c r="I219" s="7" t="s">
        <v>231</v>
      </c>
      <c r="J219" s="7" t="s">
        <v>231</v>
      </c>
      <c r="K219" s="4"/>
      <c r="L219" s="8"/>
      <c r="M219" s="4"/>
      <c r="N219" s="8"/>
      <c r="O219" s="7"/>
      <c r="P219" s="7"/>
    </row>
    <row r="220">
      <c r="A220" s="2" t="s">
        <v>1004</v>
      </c>
      <c r="B220" s="2" t="s">
        <v>815</v>
      </c>
      <c r="C220" s="2" t="s">
        <v>1837</v>
      </c>
      <c r="D220" s="2" t="s">
        <v>7920</v>
      </c>
      <c r="E220" s="4" t="s">
        <v>231</v>
      </c>
      <c r="F220" s="8" t="s">
        <v>231</v>
      </c>
      <c r="G220" s="4" t="s">
        <v>231</v>
      </c>
      <c r="H220" s="8" t="s">
        <v>231</v>
      </c>
      <c r="I220" s="7" t="s">
        <v>231</v>
      </c>
      <c r="J220" s="7" t="s">
        <v>231</v>
      </c>
      <c r="K220" s="4"/>
      <c r="L220" s="8"/>
      <c r="M220" s="4"/>
      <c r="N220" s="8"/>
      <c r="O220" s="7"/>
      <c r="P220" s="7"/>
    </row>
    <row r="221">
      <c r="A221" s="2" t="s">
        <v>1004</v>
      </c>
      <c r="B221" s="2" t="s">
        <v>815</v>
      </c>
      <c r="C221" s="2" t="s">
        <v>1837</v>
      </c>
      <c r="D221" s="2" t="s">
        <v>1838</v>
      </c>
      <c r="E221" s="4" t="s">
        <v>231</v>
      </c>
      <c r="F221" s="8" t="s">
        <v>231</v>
      </c>
      <c r="G221" s="4" t="s">
        <v>231</v>
      </c>
      <c r="H221" s="8" t="s">
        <v>231</v>
      </c>
      <c r="I221" s="7" t="s">
        <v>231</v>
      </c>
      <c r="J221" s="7" t="s">
        <v>231</v>
      </c>
      <c r="K221" s="4"/>
      <c r="L221" s="8"/>
      <c r="M221" s="4"/>
      <c r="N221" s="8"/>
      <c r="O221" s="7"/>
      <c r="P221" s="7"/>
    </row>
    <row r="222">
      <c r="A222" s="2" t="s">
        <v>1004</v>
      </c>
      <c r="B222" s="2" t="s">
        <v>815</v>
      </c>
      <c r="C222" s="2" t="s">
        <v>1837</v>
      </c>
      <c r="D222" s="2" t="s">
        <v>2264</v>
      </c>
      <c r="E222" s="4" t="s">
        <v>231</v>
      </c>
      <c r="F222" s="8" t="s">
        <v>231</v>
      </c>
      <c r="G222" s="4" t="s">
        <v>231</v>
      </c>
      <c r="H222" s="8" t="s">
        <v>231</v>
      </c>
      <c r="I222" s="7" t="s">
        <v>231</v>
      </c>
      <c r="J222" s="7" t="s">
        <v>231</v>
      </c>
      <c r="K222" s="4"/>
      <c r="L222" s="8"/>
      <c r="M222" s="4"/>
      <c r="N222" s="8"/>
      <c r="O222" s="7"/>
      <c r="P222" s="7"/>
    </row>
    <row r="223">
      <c r="A223" s="2" t="s">
        <v>1004</v>
      </c>
      <c r="B223" s="2" t="s">
        <v>815</v>
      </c>
      <c r="C223" s="2" t="s">
        <v>2411</v>
      </c>
      <c r="D223" s="2" t="s">
        <v>2412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1004</v>
      </c>
      <c r="B224" s="2" t="s">
        <v>815</v>
      </c>
      <c r="C224" s="2" t="s">
        <v>6435</v>
      </c>
      <c r="D224" s="2" t="s">
        <v>2651</v>
      </c>
      <c r="E224" s="4" t="s">
        <v>231</v>
      </c>
      <c r="F224" s="8" t="s">
        <v>231</v>
      </c>
      <c r="G224" s="4" t="s">
        <v>231</v>
      </c>
      <c r="H224" s="8" t="s">
        <v>231</v>
      </c>
      <c r="I224" s="7" t="s">
        <v>231</v>
      </c>
      <c r="J224" s="7" t="s">
        <v>231</v>
      </c>
      <c r="K224" s="4"/>
      <c r="L224" s="8"/>
      <c r="M224" s="4"/>
      <c r="N224" s="8"/>
      <c r="O224" s="7"/>
      <c r="P224" s="7"/>
    </row>
    <row r="225">
      <c r="A225" s="2" t="s">
        <v>1004</v>
      </c>
      <c r="B225" s="2" t="s">
        <v>815</v>
      </c>
      <c r="C225" s="2" t="s">
        <v>6435</v>
      </c>
      <c r="D225" s="2" t="s">
        <v>9425</v>
      </c>
      <c r="E225" s="4" t="s">
        <v>231</v>
      </c>
      <c r="F225" s="8" t="s">
        <v>231</v>
      </c>
      <c r="G225" s="4" t="s">
        <v>231</v>
      </c>
      <c r="H225" s="8" t="s">
        <v>231</v>
      </c>
      <c r="I225" s="7" t="s">
        <v>231</v>
      </c>
      <c r="J225" s="7" t="s">
        <v>231</v>
      </c>
      <c r="K225" s="4"/>
      <c r="L225" s="8"/>
      <c r="M225" s="4"/>
      <c r="N225" s="8"/>
      <c r="O225" s="7"/>
      <c r="P225" s="7"/>
    </row>
    <row r="226">
      <c r="A226" s="2" t="s">
        <v>1004</v>
      </c>
      <c r="B226" s="2" t="s">
        <v>815</v>
      </c>
      <c r="C226" s="2" t="s">
        <v>6435</v>
      </c>
      <c r="D226" s="2" t="s">
        <v>2538</v>
      </c>
      <c r="E226" s="4" t="s">
        <v>231</v>
      </c>
      <c r="F226" s="8" t="s">
        <v>231</v>
      </c>
      <c r="G226" s="4" t="s">
        <v>231</v>
      </c>
      <c r="H226" s="8" t="s">
        <v>231</v>
      </c>
      <c r="I226" s="7" t="s">
        <v>231</v>
      </c>
      <c r="J226" s="7" t="s">
        <v>231</v>
      </c>
      <c r="K226" s="4"/>
      <c r="L226" s="8"/>
      <c r="M226" s="4"/>
      <c r="N226" s="8"/>
      <c r="O226" s="7"/>
      <c r="P226" s="7"/>
    </row>
    <row r="227">
      <c r="A227" s="2" t="s">
        <v>1004</v>
      </c>
      <c r="B227" s="2" t="s">
        <v>815</v>
      </c>
      <c r="C227" s="2" t="s">
        <v>6435</v>
      </c>
      <c r="D227" s="2" t="s">
        <v>2412</v>
      </c>
      <c r="E227" s="4" t="s">
        <v>231</v>
      </c>
      <c r="F227" s="8" t="s">
        <v>231</v>
      </c>
      <c r="G227" s="4" t="s">
        <v>231</v>
      </c>
      <c r="H227" s="8" t="s">
        <v>231</v>
      </c>
      <c r="I227" s="7" t="s">
        <v>231</v>
      </c>
      <c r="J227" s="7" t="s">
        <v>231</v>
      </c>
      <c r="K227" s="4"/>
      <c r="L227" s="8"/>
      <c r="M227" s="4"/>
      <c r="N227" s="8"/>
      <c r="O227" s="7"/>
      <c r="P227" s="7"/>
    </row>
    <row r="228">
      <c r="A228" s="2" t="s">
        <v>1004</v>
      </c>
      <c r="B228" s="2" t="s">
        <v>815</v>
      </c>
      <c r="C228" s="2" t="s">
        <v>6435</v>
      </c>
      <c r="D228" s="2" t="s">
        <v>6436</v>
      </c>
      <c r="E228" s="4" t="s">
        <v>231</v>
      </c>
      <c r="F228" s="8" t="s">
        <v>231</v>
      </c>
      <c r="G228" s="4" t="s">
        <v>231</v>
      </c>
      <c r="H228" s="8" t="s">
        <v>231</v>
      </c>
      <c r="I228" s="7" t="s">
        <v>231</v>
      </c>
      <c r="J228" s="7" t="s">
        <v>231</v>
      </c>
      <c r="K228" s="4"/>
      <c r="L228" s="8"/>
      <c r="M228" s="4"/>
      <c r="N228" s="8"/>
      <c r="O228" s="7"/>
      <c r="P228" s="7"/>
    </row>
    <row r="229">
      <c r="A229" s="2" t="s">
        <v>1004</v>
      </c>
      <c r="B229" s="2" t="s">
        <v>288</v>
      </c>
      <c r="C229" s="2" t="s">
        <v>1912</v>
      </c>
      <c r="D229" s="2" t="s">
        <v>1913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1004</v>
      </c>
      <c r="B230" s="2" t="s">
        <v>288</v>
      </c>
      <c r="C230" s="2" t="s">
        <v>1689</v>
      </c>
      <c r="D230" s="2" t="s">
        <v>2538</v>
      </c>
      <c r="E230" s="4" t="s">
        <v>231</v>
      </c>
      <c r="F230" s="8" t="s">
        <v>231</v>
      </c>
      <c r="G230" s="4" t="s">
        <v>231</v>
      </c>
      <c r="H230" s="8" t="s">
        <v>231</v>
      </c>
      <c r="I230" s="7" t="s">
        <v>231</v>
      </c>
      <c r="J230" s="7" t="s">
        <v>231</v>
      </c>
      <c r="K230" s="4"/>
      <c r="L230" s="8"/>
      <c r="M230" s="4"/>
      <c r="N230" s="8"/>
      <c r="O230" s="7"/>
      <c r="P230" s="7"/>
    </row>
    <row r="231">
      <c r="A231" s="2" t="s">
        <v>1004</v>
      </c>
      <c r="B231" s="2" t="s">
        <v>288</v>
      </c>
      <c r="C231" s="2" t="s">
        <v>1689</v>
      </c>
      <c r="D231" s="2" t="s">
        <v>7979</v>
      </c>
      <c r="E231" s="4" t="s">
        <v>231</v>
      </c>
      <c r="F231" s="8" t="s">
        <v>231</v>
      </c>
      <c r="G231" s="4" t="s">
        <v>231</v>
      </c>
      <c r="H231" s="8" t="s">
        <v>231</v>
      </c>
      <c r="I231" s="7" t="s">
        <v>231</v>
      </c>
      <c r="J231" s="7" t="s">
        <v>231</v>
      </c>
      <c r="K231" s="4"/>
      <c r="L231" s="8"/>
      <c r="M231" s="4"/>
      <c r="N231" s="8"/>
      <c r="O231" s="7"/>
      <c r="P231" s="7"/>
    </row>
    <row r="232">
      <c r="A232" s="2" t="s">
        <v>1004</v>
      </c>
      <c r="B232" s="2" t="s">
        <v>288</v>
      </c>
      <c r="C232" s="2" t="s">
        <v>1689</v>
      </c>
      <c r="D232" s="2" t="s">
        <v>1690</v>
      </c>
      <c r="E232" s="4" t="s">
        <v>231</v>
      </c>
      <c r="F232" s="8" t="s">
        <v>231</v>
      </c>
      <c r="G232" s="4" t="s">
        <v>231</v>
      </c>
      <c r="H232" s="8" t="s">
        <v>231</v>
      </c>
      <c r="I232" s="7" t="s">
        <v>231</v>
      </c>
      <c r="J232" s="7" t="s">
        <v>231</v>
      </c>
      <c r="K232" s="4"/>
      <c r="L232" s="8"/>
      <c r="M232" s="4"/>
      <c r="N232" s="8"/>
      <c r="O232" s="7"/>
      <c r="P232" s="7"/>
    </row>
    <row r="233">
      <c r="A233" s="2" t="s">
        <v>1004</v>
      </c>
      <c r="B233" s="2" t="s">
        <v>288</v>
      </c>
      <c r="C233" s="2" t="s">
        <v>2130</v>
      </c>
      <c r="D233" s="2" t="s">
        <v>4355</v>
      </c>
      <c r="E233" s="4" t="s">
        <v>231</v>
      </c>
      <c r="F233" s="8" t="s">
        <v>231</v>
      </c>
      <c r="G233" s="4" t="s">
        <v>231</v>
      </c>
      <c r="H233" s="8" t="s">
        <v>231</v>
      </c>
      <c r="I233" s="7" t="s">
        <v>231</v>
      </c>
      <c r="J233" s="7" t="s">
        <v>231</v>
      </c>
      <c r="K233" s="4"/>
      <c r="L233" s="8"/>
      <c r="M233" s="4"/>
      <c r="N233" s="8"/>
      <c r="O233" s="7"/>
      <c r="P233" s="7"/>
    </row>
    <row r="234">
      <c r="A234" s="2" t="s">
        <v>1004</v>
      </c>
      <c r="B234" s="2" t="s">
        <v>288</v>
      </c>
      <c r="C234" s="2" t="s">
        <v>2130</v>
      </c>
      <c r="D234" s="2" t="s">
        <v>2131</v>
      </c>
      <c r="E234" s="4" t="s">
        <v>231</v>
      </c>
      <c r="F234" s="8" t="s">
        <v>231</v>
      </c>
      <c r="G234" s="4" t="s">
        <v>231</v>
      </c>
      <c r="H234" s="8" t="s">
        <v>231</v>
      </c>
      <c r="I234" s="7" t="s">
        <v>231</v>
      </c>
      <c r="J234" s="7" t="s">
        <v>231</v>
      </c>
      <c r="K234" s="4"/>
      <c r="L234" s="8"/>
      <c r="M234" s="4"/>
      <c r="N234" s="8"/>
      <c r="O234" s="7"/>
      <c r="P234" s="7"/>
    </row>
    <row r="235">
      <c r="A235" s="2" t="s">
        <v>1004</v>
      </c>
      <c r="B235" s="2" t="s">
        <v>288</v>
      </c>
      <c r="C235" s="2" t="s">
        <v>5078</v>
      </c>
      <c r="D235" s="2" t="s">
        <v>5079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1004</v>
      </c>
      <c r="B236" s="2" t="s">
        <v>288</v>
      </c>
      <c r="C236" s="2" t="s">
        <v>1917</v>
      </c>
      <c r="D236" s="2" t="s">
        <v>2495</v>
      </c>
      <c r="E236" s="4" t="s">
        <v>231</v>
      </c>
      <c r="F236" s="8" t="s">
        <v>231</v>
      </c>
      <c r="G236" s="4" t="s">
        <v>231</v>
      </c>
      <c r="H236" s="8" t="s">
        <v>231</v>
      </c>
      <c r="I236" s="7" t="s">
        <v>231</v>
      </c>
      <c r="J236" s="7" t="s">
        <v>231</v>
      </c>
      <c r="K236" s="4"/>
      <c r="L236" s="8"/>
      <c r="M236" s="4"/>
      <c r="N236" s="8"/>
      <c r="O236" s="7"/>
      <c r="P236" s="7"/>
    </row>
    <row r="237">
      <c r="A237" s="2" t="s">
        <v>1004</v>
      </c>
      <c r="B237" s="2" t="s">
        <v>288</v>
      </c>
      <c r="C237" s="2" t="s">
        <v>1917</v>
      </c>
      <c r="D237" s="2" t="s">
        <v>1918</v>
      </c>
      <c r="E237" s="4" t="s">
        <v>231</v>
      </c>
      <c r="F237" s="8" t="s">
        <v>231</v>
      </c>
      <c r="G237" s="4" t="s">
        <v>231</v>
      </c>
      <c r="H237" s="8" t="s">
        <v>231</v>
      </c>
      <c r="I237" s="7" t="s">
        <v>231</v>
      </c>
      <c r="J237" s="7" t="s">
        <v>231</v>
      </c>
      <c r="K237" s="4"/>
      <c r="L237" s="8"/>
      <c r="M237" s="4"/>
      <c r="N237" s="8"/>
      <c r="O237" s="7"/>
      <c r="P237" s="7"/>
    </row>
    <row r="238">
      <c r="A238" s="2" t="s">
        <v>1004</v>
      </c>
      <c r="B238" s="2" t="s">
        <v>288</v>
      </c>
      <c r="C238" s="2" t="s">
        <v>5034</v>
      </c>
      <c r="D238" s="2" t="s">
        <v>5035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1004</v>
      </c>
      <c r="B239" s="2" t="s">
        <v>288</v>
      </c>
      <c r="C239" s="2" t="s">
        <v>6082</v>
      </c>
      <c r="D239" s="2" t="s">
        <v>6083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1004</v>
      </c>
      <c r="B240" s="2" t="s">
        <v>288</v>
      </c>
      <c r="C240" s="2" t="s">
        <v>1005</v>
      </c>
      <c r="D240" s="2" t="s">
        <v>1006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1004</v>
      </c>
      <c r="B241" s="2" t="s">
        <v>288</v>
      </c>
      <c r="C241" s="2" t="s">
        <v>1922</v>
      </c>
      <c r="D241" s="2" t="s">
        <v>2538</v>
      </c>
      <c r="E241" s="4" t="s">
        <v>231</v>
      </c>
      <c r="F241" s="8" t="s">
        <v>231</v>
      </c>
      <c r="G241" s="4" t="s">
        <v>231</v>
      </c>
      <c r="H241" s="8" t="s">
        <v>231</v>
      </c>
      <c r="I241" s="7" t="s">
        <v>231</v>
      </c>
      <c r="J241" s="7" t="s">
        <v>231</v>
      </c>
      <c r="K241" s="4"/>
      <c r="L241" s="8"/>
      <c r="M241" s="4"/>
      <c r="N241" s="8"/>
      <c r="O241" s="7"/>
      <c r="P241" s="7"/>
    </row>
    <row r="242">
      <c r="A242" s="2" t="s">
        <v>1004</v>
      </c>
      <c r="B242" s="2" t="s">
        <v>288</v>
      </c>
      <c r="C242" s="2" t="s">
        <v>1922</v>
      </c>
      <c r="D242" s="2" t="s">
        <v>1923</v>
      </c>
      <c r="E242" s="4" t="s">
        <v>231</v>
      </c>
      <c r="F242" s="8" t="s">
        <v>231</v>
      </c>
      <c r="G242" s="4" t="s">
        <v>231</v>
      </c>
      <c r="H242" s="8" t="s">
        <v>231</v>
      </c>
      <c r="I242" s="7" t="s">
        <v>231</v>
      </c>
      <c r="J242" s="7" t="s">
        <v>231</v>
      </c>
      <c r="K242" s="4"/>
      <c r="L242" s="8"/>
      <c r="M242" s="4"/>
      <c r="N242" s="8"/>
      <c r="O242" s="7"/>
      <c r="P242" s="7"/>
    </row>
    <row r="243">
      <c r="A243" s="2" t="s">
        <v>1004</v>
      </c>
      <c r="B243" s="2" t="s">
        <v>288</v>
      </c>
      <c r="C243" s="2" t="s">
        <v>5985</v>
      </c>
      <c r="D243" s="2" t="s">
        <v>5986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1004</v>
      </c>
      <c r="B244" s="2" t="s">
        <v>288</v>
      </c>
      <c r="C244" s="2" t="s">
        <v>2014</v>
      </c>
      <c r="D244" s="2" t="s">
        <v>2015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1004</v>
      </c>
      <c r="B245" s="2" t="s">
        <v>288</v>
      </c>
      <c r="C245" s="2" t="s">
        <v>1031</v>
      </c>
      <c r="D245" s="2" t="s">
        <v>1123</v>
      </c>
      <c r="E245" s="4" t="s">
        <v>231</v>
      </c>
      <c r="F245" s="8" t="s">
        <v>231</v>
      </c>
      <c r="G245" s="4" t="s">
        <v>231</v>
      </c>
      <c r="H245" s="8" t="s">
        <v>231</v>
      </c>
      <c r="I245" s="7" t="s">
        <v>231</v>
      </c>
      <c r="J245" s="7" t="s">
        <v>231</v>
      </c>
      <c r="K245" s="4"/>
      <c r="L245" s="8"/>
      <c r="M245" s="4"/>
      <c r="N245" s="8"/>
      <c r="O245" s="7"/>
      <c r="P245" s="7"/>
    </row>
    <row r="246">
      <c r="A246" s="2" t="s">
        <v>1004</v>
      </c>
      <c r="B246" s="2" t="s">
        <v>288</v>
      </c>
      <c r="C246" s="2" t="s">
        <v>1031</v>
      </c>
      <c r="D246" s="2" t="s">
        <v>1032</v>
      </c>
      <c r="E246" s="4" t="s">
        <v>231</v>
      </c>
      <c r="F246" s="8" t="s">
        <v>231</v>
      </c>
      <c r="G246" s="4" t="s">
        <v>231</v>
      </c>
      <c r="H246" s="8" t="s">
        <v>231</v>
      </c>
      <c r="I246" s="7" t="s">
        <v>231</v>
      </c>
      <c r="J246" s="7" t="s">
        <v>231</v>
      </c>
      <c r="K246" s="4"/>
      <c r="L246" s="8"/>
      <c r="M246" s="4"/>
      <c r="N246" s="8"/>
      <c r="O246" s="7"/>
      <c r="P246" s="7"/>
    </row>
    <row r="247">
      <c r="A247" s="2" t="s">
        <v>1004</v>
      </c>
      <c r="B247" s="2" t="s">
        <v>288</v>
      </c>
      <c r="C247" s="2" t="s">
        <v>1031</v>
      </c>
      <c r="D247" s="2" t="s">
        <v>8609</v>
      </c>
      <c r="E247" s="4" t="s">
        <v>231</v>
      </c>
      <c r="F247" s="8" t="s">
        <v>231</v>
      </c>
      <c r="G247" s="4" t="s">
        <v>231</v>
      </c>
      <c r="H247" s="8" t="s">
        <v>231</v>
      </c>
      <c r="I247" s="7" t="s">
        <v>231</v>
      </c>
      <c r="J247" s="7" t="s">
        <v>231</v>
      </c>
      <c r="K247" s="4"/>
      <c r="L247" s="8"/>
      <c r="M247" s="4"/>
      <c r="N247" s="8"/>
      <c r="O247" s="7"/>
      <c r="P247" s="7"/>
    </row>
    <row r="248">
      <c r="A248" s="2" t="s">
        <v>1004</v>
      </c>
      <c r="B248" s="2" t="s">
        <v>288</v>
      </c>
      <c r="C248" s="2" t="s">
        <v>1837</v>
      </c>
      <c r="D248" s="2" t="s">
        <v>6476</v>
      </c>
      <c r="E248" s="4" t="s">
        <v>231</v>
      </c>
      <c r="F248" s="8" t="s">
        <v>231</v>
      </c>
      <c r="G248" s="4" t="s">
        <v>231</v>
      </c>
      <c r="H248" s="8" t="s">
        <v>231</v>
      </c>
      <c r="I248" s="7" t="s">
        <v>231</v>
      </c>
      <c r="J248" s="7" t="s">
        <v>231</v>
      </c>
      <c r="K248" s="4"/>
      <c r="L248" s="8"/>
      <c r="M248" s="4"/>
      <c r="N248" s="8"/>
      <c r="O248" s="7"/>
      <c r="P248" s="7"/>
    </row>
    <row r="249">
      <c r="A249" s="2" t="s">
        <v>1004</v>
      </c>
      <c r="B249" s="2" t="s">
        <v>288</v>
      </c>
      <c r="C249" s="2" t="s">
        <v>1837</v>
      </c>
      <c r="D249" s="2" t="s">
        <v>1838</v>
      </c>
      <c r="E249" s="4" t="s">
        <v>231</v>
      </c>
      <c r="F249" s="8" t="s">
        <v>231</v>
      </c>
      <c r="G249" s="4" t="s">
        <v>231</v>
      </c>
      <c r="H249" s="8" t="s">
        <v>231</v>
      </c>
      <c r="I249" s="7" t="s">
        <v>231</v>
      </c>
      <c r="J249" s="7" t="s">
        <v>231</v>
      </c>
      <c r="K249" s="4"/>
      <c r="L249" s="8"/>
      <c r="M249" s="4"/>
      <c r="N249" s="8"/>
      <c r="O249" s="7"/>
      <c r="P249" s="7"/>
    </row>
    <row r="250">
      <c r="A250" s="2" t="s">
        <v>1004</v>
      </c>
      <c r="B250" s="2" t="s">
        <v>288</v>
      </c>
      <c r="C250" s="2" t="s">
        <v>1837</v>
      </c>
      <c r="D250" s="2" t="s">
        <v>2264</v>
      </c>
      <c r="E250" s="4" t="s">
        <v>231</v>
      </c>
      <c r="F250" s="8" t="s">
        <v>231</v>
      </c>
      <c r="G250" s="4" t="s">
        <v>231</v>
      </c>
      <c r="H250" s="8" t="s">
        <v>231</v>
      </c>
      <c r="I250" s="7" t="s">
        <v>231</v>
      </c>
      <c r="J250" s="7" t="s">
        <v>231</v>
      </c>
      <c r="K250" s="4"/>
      <c r="L250" s="8"/>
      <c r="M250" s="4"/>
      <c r="N250" s="8"/>
      <c r="O250" s="7"/>
      <c r="P250" s="7"/>
    </row>
    <row r="251">
      <c r="A251" s="2" t="s">
        <v>1004</v>
      </c>
      <c r="B251" s="2" t="s">
        <v>288</v>
      </c>
      <c r="C251" s="2" t="s">
        <v>2411</v>
      </c>
      <c r="D251" s="2" t="s">
        <v>6476</v>
      </c>
      <c r="E251" s="4" t="s">
        <v>231</v>
      </c>
      <c r="F251" s="8" t="s">
        <v>231</v>
      </c>
      <c r="G251" s="4" t="s">
        <v>231</v>
      </c>
      <c r="H251" s="8" t="s">
        <v>231</v>
      </c>
      <c r="I251" s="7" t="s">
        <v>231</v>
      </c>
      <c r="J251" s="7" t="s">
        <v>231</v>
      </c>
      <c r="K251" s="4"/>
      <c r="L251" s="8"/>
      <c r="M251" s="4"/>
      <c r="N251" s="8"/>
      <c r="O251" s="7"/>
      <c r="P251" s="7"/>
    </row>
    <row r="252">
      <c r="A252" s="2" t="s">
        <v>1004</v>
      </c>
      <c r="B252" s="2" t="s">
        <v>288</v>
      </c>
      <c r="C252" s="2" t="s">
        <v>2411</v>
      </c>
      <c r="D252" s="2" t="s">
        <v>2412</v>
      </c>
      <c r="E252" s="4" t="s">
        <v>231</v>
      </c>
      <c r="F252" s="8" t="s">
        <v>231</v>
      </c>
      <c r="G252" s="4" t="s">
        <v>231</v>
      </c>
      <c r="H252" s="8" t="s">
        <v>231</v>
      </c>
      <c r="I252" s="7" t="s">
        <v>231</v>
      </c>
      <c r="J252" s="7" t="s">
        <v>231</v>
      </c>
      <c r="K252" s="4"/>
      <c r="L252" s="8"/>
      <c r="M252" s="4"/>
      <c r="N252" s="8"/>
      <c r="O252" s="7"/>
      <c r="P252" s="7"/>
    </row>
    <row r="253">
      <c r="A253" s="2" t="s">
        <v>1004</v>
      </c>
      <c r="B253" s="2" t="s">
        <v>653</v>
      </c>
      <c r="C253" s="2" t="s">
        <v>1912</v>
      </c>
      <c r="D253" s="2" t="s">
        <v>1913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1004</v>
      </c>
      <c r="B254" s="2" t="s">
        <v>653</v>
      </c>
      <c r="C254" s="2" t="s">
        <v>2130</v>
      </c>
      <c r="D254" s="2" t="s">
        <v>2131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1004</v>
      </c>
      <c r="B255" s="2" t="s">
        <v>653</v>
      </c>
      <c r="C255" s="2" t="s">
        <v>1295</v>
      </c>
      <c r="D255" s="2" t="s">
        <v>2253</v>
      </c>
      <c r="E255" s="4" t="s">
        <v>231</v>
      </c>
      <c r="F255" s="8" t="s">
        <v>231</v>
      </c>
      <c r="G255" s="4" t="s">
        <v>231</v>
      </c>
      <c r="H255" s="8" t="s">
        <v>231</v>
      </c>
      <c r="I255" s="7" t="s">
        <v>231</v>
      </c>
      <c r="J255" s="7" t="s">
        <v>231</v>
      </c>
      <c r="K255" s="4"/>
      <c r="L255" s="8"/>
      <c r="M255" s="4"/>
      <c r="N255" s="8"/>
      <c r="O255" s="7"/>
      <c r="P255" s="7"/>
    </row>
    <row r="256">
      <c r="A256" s="2" t="s">
        <v>1004</v>
      </c>
      <c r="B256" s="2" t="s">
        <v>653</v>
      </c>
      <c r="C256" s="2" t="s">
        <v>1295</v>
      </c>
      <c r="D256" s="2" t="s">
        <v>241</v>
      </c>
      <c r="E256" s="4" t="s">
        <v>231</v>
      </c>
      <c r="F256" s="8" t="s">
        <v>231</v>
      </c>
      <c r="G256" s="4" t="s">
        <v>231</v>
      </c>
      <c r="H256" s="8" t="s">
        <v>231</v>
      </c>
      <c r="I256" s="7" t="s">
        <v>231</v>
      </c>
      <c r="J256" s="7" t="s">
        <v>231</v>
      </c>
      <c r="K256" s="4"/>
      <c r="L256" s="8"/>
      <c r="M256" s="4"/>
      <c r="N256" s="8"/>
      <c r="O256" s="7"/>
      <c r="P256" s="7"/>
    </row>
    <row r="257">
      <c r="A257" s="2" t="s">
        <v>1004</v>
      </c>
      <c r="B257" s="2" t="s">
        <v>653</v>
      </c>
      <c r="C257" s="2" t="s">
        <v>1922</v>
      </c>
      <c r="D257" s="2" t="s">
        <v>1923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1004</v>
      </c>
      <c r="B258" s="2" t="s">
        <v>653</v>
      </c>
      <c r="C258" s="2" t="s">
        <v>12297</v>
      </c>
      <c r="D258" s="2" t="s">
        <v>12298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1004</v>
      </c>
      <c r="B259" s="2" t="s">
        <v>653</v>
      </c>
      <c r="C259" s="2" t="s">
        <v>2260</v>
      </c>
      <c r="D259" s="2" t="s">
        <v>2261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1004</v>
      </c>
      <c r="B260" s="2" t="s">
        <v>653</v>
      </c>
      <c r="C260" s="2" t="s">
        <v>6435</v>
      </c>
      <c r="D260" s="2" t="s">
        <v>6436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1004</v>
      </c>
      <c r="B261" s="2" t="s">
        <v>867</v>
      </c>
      <c r="C261" s="2" t="s">
        <v>1912</v>
      </c>
      <c r="D261" s="2" t="s">
        <v>2523</v>
      </c>
      <c r="E261" s="4" t="s">
        <v>231</v>
      </c>
      <c r="F261" s="8" t="s">
        <v>231</v>
      </c>
      <c r="G261" s="4" t="s">
        <v>231</v>
      </c>
      <c r="H261" s="8" t="s">
        <v>231</v>
      </c>
      <c r="I261" s="7" t="s">
        <v>231</v>
      </c>
      <c r="J261" s="7" t="s">
        <v>231</v>
      </c>
      <c r="K261" s="4"/>
      <c r="L261" s="8"/>
      <c r="M261" s="4"/>
      <c r="N261" s="8"/>
      <c r="O261" s="7"/>
      <c r="P261" s="7"/>
    </row>
    <row r="262">
      <c r="A262" s="2" t="s">
        <v>1004</v>
      </c>
      <c r="B262" s="2" t="s">
        <v>867</v>
      </c>
      <c r="C262" s="2" t="s">
        <v>1912</v>
      </c>
      <c r="D262" s="2" t="s">
        <v>1913</v>
      </c>
      <c r="E262" s="4" t="s">
        <v>231</v>
      </c>
      <c r="F262" s="8" t="s">
        <v>231</v>
      </c>
      <c r="G262" s="4" t="s">
        <v>231</v>
      </c>
      <c r="H262" s="8" t="s">
        <v>231</v>
      </c>
      <c r="I262" s="7" t="s">
        <v>231</v>
      </c>
      <c r="J262" s="7" t="s">
        <v>231</v>
      </c>
      <c r="K262" s="4"/>
      <c r="L262" s="8"/>
      <c r="M262" s="4"/>
      <c r="N262" s="8"/>
      <c r="O262" s="7"/>
      <c r="P262" s="7"/>
    </row>
    <row r="263">
      <c r="A263" s="2" t="s">
        <v>1004</v>
      </c>
      <c r="B263" s="2" t="s">
        <v>867</v>
      </c>
      <c r="C263" s="2" t="s">
        <v>1689</v>
      </c>
      <c r="D263" s="2" t="s">
        <v>2651</v>
      </c>
      <c r="E263" s="4" t="s">
        <v>231</v>
      </c>
      <c r="F263" s="8" t="s">
        <v>231</v>
      </c>
      <c r="G263" s="4" t="s">
        <v>231</v>
      </c>
      <c r="H263" s="8" t="s">
        <v>231</v>
      </c>
      <c r="I263" s="7" t="s">
        <v>231</v>
      </c>
      <c r="J263" s="7" t="s">
        <v>231</v>
      </c>
      <c r="K263" s="4"/>
      <c r="L263" s="8"/>
      <c r="M263" s="4"/>
      <c r="N263" s="8"/>
      <c r="O263" s="7"/>
      <c r="P263" s="7"/>
    </row>
    <row r="264">
      <c r="A264" s="2" t="s">
        <v>1004</v>
      </c>
      <c r="B264" s="2" t="s">
        <v>867</v>
      </c>
      <c r="C264" s="2" t="s">
        <v>1689</v>
      </c>
      <c r="D264" s="2" t="s">
        <v>2538</v>
      </c>
      <c r="E264" s="4" t="s">
        <v>231</v>
      </c>
      <c r="F264" s="8" t="s">
        <v>231</v>
      </c>
      <c r="G264" s="4" t="s">
        <v>231</v>
      </c>
      <c r="H264" s="8" t="s">
        <v>231</v>
      </c>
      <c r="I264" s="7" t="s">
        <v>231</v>
      </c>
      <c r="J264" s="7" t="s">
        <v>231</v>
      </c>
      <c r="K264" s="4"/>
      <c r="L264" s="8"/>
      <c r="M264" s="4"/>
      <c r="N264" s="8"/>
      <c r="O264" s="7"/>
      <c r="P264" s="7"/>
    </row>
    <row r="265">
      <c r="A265" s="2" t="s">
        <v>1004</v>
      </c>
      <c r="B265" s="2" t="s">
        <v>867</v>
      </c>
      <c r="C265" s="2" t="s">
        <v>1689</v>
      </c>
      <c r="D265" s="2" t="s">
        <v>1690</v>
      </c>
      <c r="E265" s="4" t="s">
        <v>231</v>
      </c>
      <c r="F265" s="8" t="s">
        <v>231</v>
      </c>
      <c r="G265" s="4" t="s">
        <v>231</v>
      </c>
      <c r="H265" s="8" t="s">
        <v>231</v>
      </c>
      <c r="I265" s="7" t="s">
        <v>231</v>
      </c>
      <c r="J265" s="7" t="s">
        <v>231</v>
      </c>
      <c r="K265" s="4"/>
      <c r="L265" s="8"/>
      <c r="M265" s="4"/>
      <c r="N265" s="8"/>
      <c r="O265" s="7"/>
      <c r="P265" s="7"/>
    </row>
    <row r="266">
      <c r="A266" s="2" t="s">
        <v>1004</v>
      </c>
      <c r="B266" s="2" t="s">
        <v>867</v>
      </c>
      <c r="C266" s="2" t="s">
        <v>1689</v>
      </c>
      <c r="D266" s="2" t="s">
        <v>241</v>
      </c>
      <c r="E266" s="4" t="s">
        <v>231</v>
      </c>
      <c r="F266" s="8" t="s">
        <v>231</v>
      </c>
      <c r="G266" s="4" t="s">
        <v>231</v>
      </c>
      <c r="H266" s="8" t="s">
        <v>231</v>
      </c>
      <c r="I266" s="7" t="s">
        <v>231</v>
      </c>
      <c r="J266" s="7" t="s">
        <v>231</v>
      </c>
      <c r="K266" s="4"/>
      <c r="L266" s="8"/>
      <c r="M266" s="4"/>
      <c r="N266" s="8"/>
      <c r="O266" s="7"/>
      <c r="P266" s="7"/>
    </row>
    <row r="267">
      <c r="A267" s="2" t="s">
        <v>1004</v>
      </c>
      <c r="B267" s="2" t="s">
        <v>867</v>
      </c>
      <c r="C267" s="2" t="s">
        <v>2130</v>
      </c>
      <c r="D267" s="2" t="s">
        <v>4359</v>
      </c>
      <c r="E267" s="4" t="s">
        <v>231</v>
      </c>
      <c r="F267" s="8" t="s">
        <v>231</v>
      </c>
      <c r="G267" s="4" t="s">
        <v>231</v>
      </c>
      <c r="H267" s="8" t="s">
        <v>231</v>
      </c>
      <c r="I267" s="7" t="s">
        <v>231</v>
      </c>
      <c r="J267" s="7" t="s">
        <v>231</v>
      </c>
      <c r="K267" s="4"/>
      <c r="L267" s="8"/>
      <c r="M267" s="4"/>
      <c r="N267" s="8"/>
      <c r="O267" s="7"/>
      <c r="P267" s="7"/>
    </row>
    <row r="268">
      <c r="A268" s="2" t="s">
        <v>1004</v>
      </c>
      <c r="B268" s="2" t="s">
        <v>867</v>
      </c>
      <c r="C268" s="2" t="s">
        <v>2130</v>
      </c>
      <c r="D268" s="2" t="s">
        <v>2131</v>
      </c>
      <c r="E268" s="4" t="s">
        <v>231</v>
      </c>
      <c r="F268" s="8" t="s">
        <v>231</v>
      </c>
      <c r="G268" s="4" t="s">
        <v>231</v>
      </c>
      <c r="H268" s="8" t="s">
        <v>231</v>
      </c>
      <c r="I268" s="7" t="s">
        <v>231</v>
      </c>
      <c r="J268" s="7" t="s">
        <v>231</v>
      </c>
      <c r="K268" s="4"/>
      <c r="L268" s="8"/>
      <c r="M268" s="4"/>
      <c r="N268" s="8"/>
      <c r="O268" s="7"/>
      <c r="P268" s="7"/>
    </row>
    <row r="269">
      <c r="A269" s="2" t="s">
        <v>1004</v>
      </c>
      <c r="B269" s="2" t="s">
        <v>867</v>
      </c>
      <c r="C269" s="2" t="s">
        <v>1917</v>
      </c>
      <c r="D269" s="2" t="s">
        <v>1918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1004</v>
      </c>
      <c r="B270" s="2" t="s">
        <v>867</v>
      </c>
      <c r="C270" s="2" t="s">
        <v>1295</v>
      </c>
      <c r="D270" s="2" t="s">
        <v>2253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1004</v>
      </c>
      <c r="B271" s="2" t="s">
        <v>867</v>
      </c>
      <c r="C271" s="2" t="s">
        <v>1922</v>
      </c>
      <c r="D271" s="2" t="s">
        <v>1923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1004</v>
      </c>
      <c r="B272" s="2" t="s">
        <v>867</v>
      </c>
      <c r="C272" s="2" t="s">
        <v>5985</v>
      </c>
      <c r="D272" s="2" t="s">
        <v>5986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1004</v>
      </c>
      <c r="B273" s="2" t="s">
        <v>867</v>
      </c>
      <c r="C273" s="2" t="s">
        <v>2014</v>
      </c>
      <c r="D273" s="2" t="s">
        <v>2015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1004</v>
      </c>
      <c r="B274" s="2" t="s">
        <v>867</v>
      </c>
      <c r="C274" s="2" t="s">
        <v>1031</v>
      </c>
      <c r="D274" s="2" t="s">
        <v>1032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1004</v>
      </c>
      <c r="B275" s="2" t="s">
        <v>867</v>
      </c>
      <c r="C275" s="2" t="s">
        <v>2260</v>
      </c>
      <c r="D275" s="2" t="s">
        <v>2261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1004</v>
      </c>
      <c r="B276" s="2" t="s">
        <v>867</v>
      </c>
      <c r="C276" s="2" t="s">
        <v>1837</v>
      </c>
      <c r="D276" s="2" t="s">
        <v>6476</v>
      </c>
      <c r="E276" s="4" t="s">
        <v>231</v>
      </c>
      <c r="F276" s="8" t="s">
        <v>231</v>
      </c>
      <c r="G276" s="4" t="s">
        <v>231</v>
      </c>
      <c r="H276" s="8" t="s">
        <v>231</v>
      </c>
      <c r="I276" s="7" t="s">
        <v>231</v>
      </c>
      <c r="J276" s="7" t="s">
        <v>231</v>
      </c>
      <c r="K276" s="4"/>
      <c r="L276" s="8"/>
      <c r="M276" s="4"/>
      <c r="N276" s="8"/>
      <c r="O276" s="7"/>
      <c r="P276" s="7"/>
    </row>
    <row r="277">
      <c r="A277" s="2" t="s">
        <v>1004</v>
      </c>
      <c r="B277" s="2" t="s">
        <v>867</v>
      </c>
      <c r="C277" s="2" t="s">
        <v>1837</v>
      </c>
      <c r="D277" s="2" t="s">
        <v>2264</v>
      </c>
      <c r="E277" s="4" t="s">
        <v>231</v>
      </c>
      <c r="F277" s="8" t="s">
        <v>231</v>
      </c>
      <c r="G277" s="4" t="s">
        <v>231</v>
      </c>
      <c r="H277" s="8" t="s">
        <v>231</v>
      </c>
      <c r="I277" s="7" t="s">
        <v>231</v>
      </c>
      <c r="J277" s="7" t="s">
        <v>231</v>
      </c>
      <c r="K277" s="4"/>
      <c r="L277" s="8"/>
      <c r="M277" s="4"/>
      <c r="N277" s="8"/>
      <c r="O277" s="7"/>
      <c r="P277" s="7"/>
    </row>
    <row r="278">
      <c r="A278" s="2" t="s">
        <v>1004</v>
      </c>
      <c r="B278" s="2" t="s">
        <v>867</v>
      </c>
      <c r="C278" s="2" t="s">
        <v>2411</v>
      </c>
      <c r="D278" s="2" t="s">
        <v>2412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801</v>
      </c>
      <c r="B279" s="2" t="s">
        <v>1105</v>
      </c>
      <c r="C279" s="2" t="s">
        <v>803</v>
      </c>
      <c r="D279" s="2" t="s">
        <v>804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801</v>
      </c>
      <c r="B280" s="2" t="s">
        <v>1105</v>
      </c>
      <c r="C280" s="2" t="s">
        <v>1114</v>
      </c>
      <c r="D280" s="2" t="s">
        <v>1115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801</v>
      </c>
      <c r="B281" s="2" t="s">
        <v>802</v>
      </c>
      <c r="C281" s="2" t="s">
        <v>803</v>
      </c>
      <c r="D281" s="2" t="s">
        <v>804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801</v>
      </c>
      <c r="B282" s="2" t="s">
        <v>802</v>
      </c>
      <c r="C282" s="2" t="s">
        <v>2228</v>
      </c>
      <c r="D282" s="2" t="s">
        <v>2229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801</v>
      </c>
      <c r="B283" s="2" t="s">
        <v>802</v>
      </c>
      <c r="C283" s="2" t="s">
        <v>1043</v>
      </c>
      <c r="D283" s="2" t="s">
        <v>1044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801</v>
      </c>
      <c r="B284" s="2" t="s">
        <v>802</v>
      </c>
      <c r="C284" s="2" t="s">
        <v>3871</v>
      </c>
      <c r="D284" s="2" t="s">
        <v>3872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801</v>
      </c>
      <c r="B285" s="2" t="s">
        <v>802</v>
      </c>
      <c r="C285" s="2" t="s">
        <v>1114</v>
      </c>
      <c r="D285" s="2" t="s">
        <v>1115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801</v>
      </c>
      <c r="B286" s="2" t="s">
        <v>815</v>
      </c>
      <c r="C286" s="2" t="s">
        <v>803</v>
      </c>
      <c r="D286" s="2" t="s">
        <v>804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801</v>
      </c>
      <c r="B287" s="2" t="s">
        <v>815</v>
      </c>
      <c r="C287" s="2" t="s">
        <v>2228</v>
      </c>
      <c r="D287" s="2" t="s">
        <v>2229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801</v>
      </c>
      <c r="B288" s="2" t="s">
        <v>815</v>
      </c>
      <c r="C288" s="2" t="s">
        <v>1043</v>
      </c>
      <c r="D288" s="2" t="s">
        <v>1044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801</v>
      </c>
      <c r="B289" s="2" t="s">
        <v>815</v>
      </c>
      <c r="C289" s="2" t="s">
        <v>1114</v>
      </c>
      <c r="D289" s="2" t="s">
        <v>1115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801</v>
      </c>
      <c r="B290" s="2" t="s">
        <v>867</v>
      </c>
      <c r="C290" s="2" t="s">
        <v>803</v>
      </c>
      <c r="D290" s="2" t="s">
        <v>804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801</v>
      </c>
      <c r="B291" s="2" t="s">
        <v>867</v>
      </c>
      <c r="C291" s="2" t="s">
        <v>2228</v>
      </c>
      <c r="D291" s="2" t="s">
        <v>2229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801</v>
      </c>
      <c r="B292" s="2" t="s">
        <v>867</v>
      </c>
      <c r="C292" s="2" t="s">
        <v>1114</v>
      </c>
      <c r="D292" s="2" t="s">
        <v>1115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3036</v>
      </c>
      <c r="B293" s="2" t="s">
        <v>1233</v>
      </c>
      <c r="C293" s="2" t="s">
        <v>3037</v>
      </c>
      <c r="D293" s="2" t="s">
        <v>3038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1232</v>
      </c>
      <c r="B294" s="2" t="s">
        <v>1233</v>
      </c>
      <c r="C294" s="2" t="s">
        <v>1234</v>
      </c>
      <c r="D294" s="2" t="s">
        <v>1235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1389</v>
      </c>
      <c r="B295" s="2" t="s">
        <v>288</v>
      </c>
      <c r="C295" s="2" t="s">
        <v>1389</v>
      </c>
      <c r="D295" s="2" t="s">
        <v>1389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287</v>
      </c>
      <c r="B296" s="2" t="s">
        <v>1105</v>
      </c>
      <c r="C296" s="2" t="s">
        <v>289</v>
      </c>
      <c r="D296" s="2" t="s">
        <v>290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287</v>
      </c>
      <c r="B297" s="2" t="s">
        <v>631</v>
      </c>
      <c r="C297" s="2" t="s">
        <v>289</v>
      </c>
      <c r="D297" s="2" t="s">
        <v>290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287</v>
      </c>
      <c r="B298" s="2" t="s">
        <v>1017</v>
      </c>
      <c r="C298" s="2" t="s">
        <v>289</v>
      </c>
      <c r="D298" s="2" t="s">
        <v>290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287</v>
      </c>
      <c r="B299" s="2" t="s">
        <v>913</v>
      </c>
      <c r="C299" s="2" t="s">
        <v>289</v>
      </c>
      <c r="D299" s="2" t="s">
        <v>290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287</v>
      </c>
      <c r="B300" s="2" t="s">
        <v>825</v>
      </c>
      <c r="C300" s="2" t="s">
        <v>3558</v>
      </c>
      <c r="D300" s="2" t="s">
        <v>5812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287</v>
      </c>
      <c r="B301" s="2" t="s">
        <v>825</v>
      </c>
      <c r="C301" s="2" t="s">
        <v>289</v>
      </c>
      <c r="D301" s="2" t="s">
        <v>290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287</v>
      </c>
      <c r="B302" s="2" t="s">
        <v>288</v>
      </c>
      <c r="C302" s="2" t="s">
        <v>458</v>
      </c>
      <c r="D302" s="2" t="s">
        <v>459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287</v>
      </c>
      <c r="B303" s="2" t="s">
        <v>288</v>
      </c>
      <c r="C303" s="2" t="s">
        <v>289</v>
      </c>
      <c r="D303" s="2" t="s">
        <v>290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287</v>
      </c>
      <c r="B304" s="2" t="s">
        <v>357</v>
      </c>
      <c r="C304" s="2" t="s">
        <v>458</v>
      </c>
      <c r="D304" s="2" t="s">
        <v>459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287</v>
      </c>
      <c r="B305" s="2" t="s">
        <v>357</v>
      </c>
      <c r="C305" s="2" t="s">
        <v>289</v>
      </c>
      <c r="D305" s="2" t="s">
        <v>290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287</v>
      </c>
      <c r="B306" s="2" t="s">
        <v>1221</v>
      </c>
      <c r="C306" s="2" t="s">
        <v>289</v>
      </c>
      <c r="D306" s="2" t="s">
        <v>290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287</v>
      </c>
      <c r="B307" s="2" t="s">
        <v>591</v>
      </c>
      <c r="C307" s="2" t="s">
        <v>289</v>
      </c>
      <c r="D307" s="2" t="s">
        <v>290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287</v>
      </c>
      <c r="B308" s="2" t="s">
        <v>263</v>
      </c>
      <c r="C308" s="2" t="s">
        <v>458</v>
      </c>
      <c r="D308" s="2" t="s">
        <v>459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287</v>
      </c>
      <c r="B309" s="2" t="s">
        <v>263</v>
      </c>
      <c r="C309" s="2" t="s">
        <v>289</v>
      </c>
      <c r="D309" s="2" t="s">
        <v>290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287</v>
      </c>
      <c r="B310" s="2" t="s">
        <v>965</v>
      </c>
      <c r="C310" s="2" t="s">
        <v>826</v>
      </c>
      <c r="D310" s="2" t="s">
        <v>1060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287</v>
      </c>
      <c r="B311" s="2" t="s">
        <v>965</v>
      </c>
      <c r="C311" s="2" t="s">
        <v>289</v>
      </c>
      <c r="D311" s="2" t="s">
        <v>290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287</v>
      </c>
      <c r="B312" s="2" t="s">
        <v>1051</v>
      </c>
      <c r="C312" s="2" t="s">
        <v>289</v>
      </c>
      <c r="D312" s="2" t="s">
        <v>290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287</v>
      </c>
      <c r="B313" s="2" t="s">
        <v>1299</v>
      </c>
      <c r="C313" s="2" t="s">
        <v>289</v>
      </c>
      <c r="D313" s="2" t="s">
        <v>290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784</v>
      </c>
      <c r="B314" s="2" t="s">
        <v>1105</v>
      </c>
      <c r="C314" s="2" t="s">
        <v>785</v>
      </c>
      <c r="D314" s="2" t="s">
        <v>786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784</v>
      </c>
      <c r="B315" s="2" t="s">
        <v>631</v>
      </c>
      <c r="C315" s="2" t="s">
        <v>785</v>
      </c>
      <c r="D315" s="2" t="s">
        <v>786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784</v>
      </c>
      <c r="B316" s="2" t="s">
        <v>1211</v>
      </c>
      <c r="C316" s="2" t="s">
        <v>785</v>
      </c>
      <c r="D316" s="2" t="s">
        <v>786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784</v>
      </c>
      <c r="B317" s="2" t="s">
        <v>913</v>
      </c>
      <c r="C317" s="2" t="s">
        <v>785</v>
      </c>
      <c r="D317" s="2" t="s">
        <v>786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784</v>
      </c>
      <c r="B318" s="2" t="s">
        <v>815</v>
      </c>
      <c r="C318" s="2" t="s">
        <v>785</v>
      </c>
      <c r="D318" s="2" t="s">
        <v>786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784</v>
      </c>
      <c r="B319" s="2" t="s">
        <v>357</v>
      </c>
      <c r="C319" s="2" t="s">
        <v>785</v>
      </c>
      <c r="D319" s="2" t="s">
        <v>786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784</v>
      </c>
      <c r="B320" s="2" t="s">
        <v>653</v>
      </c>
      <c r="C320" s="2" t="s">
        <v>785</v>
      </c>
      <c r="D320" s="2" t="s">
        <v>786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992</v>
      </c>
      <c r="B321" s="2" t="s">
        <v>1105</v>
      </c>
      <c r="C321" s="2" t="s">
        <v>993</v>
      </c>
      <c r="D321" s="2" t="s">
        <v>1157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992</v>
      </c>
      <c r="B322" s="2" t="s">
        <v>1017</v>
      </c>
      <c r="C322" s="2" t="s">
        <v>993</v>
      </c>
      <c r="D322" s="2" t="s">
        <v>1157</v>
      </c>
      <c r="E322" s="4" t="s">
        <v>231</v>
      </c>
      <c r="F322" s="8" t="s">
        <v>231</v>
      </c>
      <c r="G322" s="4" t="s">
        <v>231</v>
      </c>
      <c r="H322" s="8" t="s">
        <v>231</v>
      </c>
      <c r="I322" s="7" t="s">
        <v>231</v>
      </c>
      <c r="J322" s="7" t="s">
        <v>231</v>
      </c>
      <c r="K322" s="4"/>
      <c r="L322" s="8"/>
      <c r="M322" s="4"/>
      <c r="N322" s="8"/>
      <c r="O322" s="7"/>
      <c r="P322" s="7"/>
    </row>
    <row r="323">
      <c r="A323" s="2" t="s">
        <v>992</v>
      </c>
      <c r="B323" s="2" t="s">
        <v>1017</v>
      </c>
      <c r="C323" s="2" t="s">
        <v>993</v>
      </c>
      <c r="D323" s="2" t="s">
        <v>994</v>
      </c>
      <c r="E323" s="4" t="s">
        <v>231</v>
      </c>
      <c r="F323" s="8" t="s">
        <v>231</v>
      </c>
      <c r="G323" s="4" t="s">
        <v>231</v>
      </c>
      <c r="H323" s="8" t="s">
        <v>231</v>
      </c>
      <c r="I323" s="7" t="s">
        <v>231</v>
      </c>
      <c r="J323" s="7" t="s">
        <v>231</v>
      </c>
      <c r="K323" s="4"/>
      <c r="L323" s="8"/>
      <c r="M323" s="4"/>
      <c r="N323" s="8"/>
      <c r="O323" s="7"/>
      <c r="P323" s="7"/>
    </row>
    <row r="324">
      <c r="A324" s="2" t="s">
        <v>992</v>
      </c>
      <c r="B324" s="2" t="s">
        <v>1614</v>
      </c>
      <c r="C324" s="2" t="s">
        <v>993</v>
      </c>
      <c r="D324" s="2" t="s">
        <v>994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992</v>
      </c>
      <c r="B325" s="2" t="s">
        <v>1980</v>
      </c>
      <c r="C325" s="2" t="s">
        <v>993</v>
      </c>
      <c r="D325" s="2" t="s">
        <v>994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992</v>
      </c>
      <c r="B326" s="2" t="s">
        <v>2371</v>
      </c>
      <c r="C326" s="2" t="s">
        <v>993</v>
      </c>
      <c r="D326" s="2" t="s">
        <v>994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992</v>
      </c>
      <c r="B327" s="2" t="s">
        <v>10464</v>
      </c>
      <c r="C327" s="2" t="s">
        <v>993</v>
      </c>
      <c r="D327" s="2" t="s">
        <v>994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992</v>
      </c>
      <c r="B328" s="2" t="s">
        <v>815</v>
      </c>
      <c r="C328" s="2" t="s">
        <v>993</v>
      </c>
      <c r="D328" s="2" t="s">
        <v>994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992</v>
      </c>
      <c r="B329" s="2" t="s">
        <v>825</v>
      </c>
      <c r="C329" s="2" t="s">
        <v>8112</v>
      </c>
      <c r="D329" s="2" t="s">
        <v>8113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992</v>
      </c>
      <c r="B330" s="2" t="s">
        <v>825</v>
      </c>
      <c r="C330" s="2" t="s">
        <v>993</v>
      </c>
      <c r="D330" s="2" t="s">
        <v>1157</v>
      </c>
      <c r="E330" s="4" t="s">
        <v>231</v>
      </c>
      <c r="F330" s="8" t="s">
        <v>231</v>
      </c>
      <c r="G330" s="4" t="s">
        <v>231</v>
      </c>
      <c r="H330" s="8" t="s">
        <v>231</v>
      </c>
      <c r="I330" s="7" t="s">
        <v>231</v>
      </c>
      <c r="J330" s="7" t="s">
        <v>231</v>
      </c>
      <c r="K330" s="4"/>
      <c r="L330" s="8"/>
      <c r="M330" s="4"/>
      <c r="N330" s="8"/>
      <c r="O330" s="7"/>
      <c r="P330" s="7"/>
    </row>
    <row r="331">
      <c r="A331" s="2" t="s">
        <v>992</v>
      </c>
      <c r="B331" s="2" t="s">
        <v>825</v>
      </c>
      <c r="C331" s="2" t="s">
        <v>993</v>
      </c>
      <c r="D331" s="2" t="s">
        <v>994</v>
      </c>
      <c r="E331" s="4" t="s">
        <v>231</v>
      </c>
      <c r="F331" s="8" t="s">
        <v>231</v>
      </c>
      <c r="G331" s="4" t="s">
        <v>231</v>
      </c>
      <c r="H331" s="8" t="s">
        <v>231</v>
      </c>
      <c r="I331" s="7" t="s">
        <v>231</v>
      </c>
      <c r="J331" s="7" t="s">
        <v>231</v>
      </c>
      <c r="K331" s="4"/>
      <c r="L331" s="8"/>
      <c r="M331" s="4"/>
      <c r="N331" s="8"/>
      <c r="O331" s="7"/>
      <c r="P331" s="7"/>
    </row>
    <row r="332">
      <c r="A332" s="2" t="s">
        <v>992</v>
      </c>
      <c r="B332" s="2" t="s">
        <v>288</v>
      </c>
      <c r="C332" s="2" t="s">
        <v>1139</v>
      </c>
      <c r="D332" s="2" t="s">
        <v>1140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992</v>
      </c>
      <c r="B333" s="2" t="s">
        <v>288</v>
      </c>
      <c r="C333" s="2" t="s">
        <v>1525</v>
      </c>
      <c r="D333" s="2" t="s">
        <v>1526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992</v>
      </c>
      <c r="B334" s="2" t="s">
        <v>288</v>
      </c>
      <c r="C334" s="2" t="s">
        <v>993</v>
      </c>
      <c r="D334" s="2" t="s">
        <v>1157</v>
      </c>
      <c r="E334" s="4" t="s">
        <v>231</v>
      </c>
      <c r="F334" s="8" t="s">
        <v>231</v>
      </c>
      <c r="G334" s="4" t="s">
        <v>231</v>
      </c>
      <c r="H334" s="8" t="s">
        <v>231</v>
      </c>
      <c r="I334" s="7" t="s">
        <v>231</v>
      </c>
      <c r="J334" s="7" t="s">
        <v>231</v>
      </c>
      <c r="K334" s="4"/>
      <c r="L334" s="8"/>
      <c r="M334" s="4"/>
      <c r="N334" s="8"/>
      <c r="O334" s="7"/>
      <c r="P334" s="7"/>
    </row>
    <row r="335">
      <c r="A335" s="2" t="s">
        <v>992</v>
      </c>
      <c r="B335" s="2" t="s">
        <v>288</v>
      </c>
      <c r="C335" s="2" t="s">
        <v>993</v>
      </c>
      <c r="D335" s="2" t="s">
        <v>3795</v>
      </c>
      <c r="E335" s="4" t="s">
        <v>231</v>
      </c>
      <c r="F335" s="8" t="s">
        <v>231</v>
      </c>
      <c r="G335" s="4" t="s">
        <v>231</v>
      </c>
      <c r="H335" s="8" t="s">
        <v>231</v>
      </c>
      <c r="I335" s="7" t="s">
        <v>231</v>
      </c>
      <c r="J335" s="7" t="s">
        <v>231</v>
      </c>
      <c r="K335" s="4"/>
      <c r="L335" s="8"/>
      <c r="M335" s="4"/>
      <c r="N335" s="8"/>
      <c r="O335" s="7"/>
      <c r="P335" s="7"/>
    </row>
    <row r="336">
      <c r="A336" s="2" t="s">
        <v>992</v>
      </c>
      <c r="B336" s="2" t="s">
        <v>288</v>
      </c>
      <c r="C336" s="2" t="s">
        <v>993</v>
      </c>
      <c r="D336" s="2" t="s">
        <v>2042</v>
      </c>
      <c r="E336" s="4" t="s">
        <v>231</v>
      </c>
      <c r="F336" s="8" t="s">
        <v>231</v>
      </c>
      <c r="G336" s="4" t="s">
        <v>231</v>
      </c>
      <c r="H336" s="8" t="s">
        <v>231</v>
      </c>
      <c r="I336" s="7" t="s">
        <v>231</v>
      </c>
      <c r="J336" s="7" t="s">
        <v>231</v>
      </c>
      <c r="K336" s="4"/>
      <c r="L336" s="8"/>
      <c r="M336" s="4"/>
      <c r="N336" s="8"/>
      <c r="O336" s="7"/>
      <c r="P336" s="7"/>
    </row>
    <row r="337">
      <c r="A337" s="2" t="s">
        <v>992</v>
      </c>
      <c r="B337" s="2" t="s">
        <v>288</v>
      </c>
      <c r="C337" s="2" t="s">
        <v>993</v>
      </c>
      <c r="D337" s="2" t="s">
        <v>3390</v>
      </c>
      <c r="E337" s="4" t="s">
        <v>231</v>
      </c>
      <c r="F337" s="8" t="s">
        <v>231</v>
      </c>
      <c r="G337" s="4" t="s">
        <v>231</v>
      </c>
      <c r="H337" s="8" t="s">
        <v>231</v>
      </c>
      <c r="I337" s="7" t="s">
        <v>231</v>
      </c>
      <c r="J337" s="7" t="s">
        <v>231</v>
      </c>
      <c r="K337" s="4"/>
      <c r="L337" s="8"/>
      <c r="M337" s="4"/>
      <c r="N337" s="8"/>
      <c r="O337" s="7"/>
      <c r="P337" s="7"/>
    </row>
    <row r="338">
      <c r="A338" s="2" t="s">
        <v>992</v>
      </c>
      <c r="B338" s="2" t="s">
        <v>288</v>
      </c>
      <c r="C338" s="2" t="s">
        <v>993</v>
      </c>
      <c r="D338" s="2" t="s">
        <v>994</v>
      </c>
      <c r="E338" s="4" t="s">
        <v>231</v>
      </c>
      <c r="F338" s="8" t="s">
        <v>231</v>
      </c>
      <c r="G338" s="4" t="s">
        <v>231</v>
      </c>
      <c r="H338" s="8" t="s">
        <v>231</v>
      </c>
      <c r="I338" s="7" t="s">
        <v>231</v>
      </c>
      <c r="J338" s="7" t="s">
        <v>231</v>
      </c>
      <c r="K338" s="4"/>
      <c r="L338" s="8"/>
      <c r="M338" s="4"/>
      <c r="N338" s="8"/>
      <c r="O338" s="7"/>
      <c r="P338" s="7"/>
    </row>
    <row r="339">
      <c r="A339" s="2" t="s">
        <v>992</v>
      </c>
      <c r="B339" s="2" t="s">
        <v>288</v>
      </c>
      <c r="C339" s="2" t="s">
        <v>993</v>
      </c>
      <c r="D339" s="2" t="s">
        <v>7278</v>
      </c>
      <c r="E339" s="4" t="s">
        <v>231</v>
      </c>
      <c r="F339" s="8" t="s">
        <v>231</v>
      </c>
      <c r="G339" s="4" t="s">
        <v>231</v>
      </c>
      <c r="H339" s="8" t="s">
        <v>231</v>
      </c>
      <c r="I339" s="7" t="s">
        <v>231</v>
      </c>
      <c r="J339" s="7" t="s">
        <v>231</v>
      </c>
      <c r="K339" s="4"/>
      <c r="L339" s="8"/>
      <c r="M339" s="4"/>
      <c r="N339" s="8"/>
      <c r="O339" s="7"/>
      <c r="P339" s="7"/>
    </row>
    <row r="340">
      <c r="A340" s="2" t="s">
        <v>992</v>
      </c>
      <c r="B340" s="2" t="s">
        <v>1439</v>
      </c>
      <c r="C340" s="2" t="s">
        <v>1525</v>
      </c>
      <c r="D340" s="2" t="s">
        <v>1526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992</v>
      </c>
      <c r="B341" s="2" t="s">
        <v>1439</v>
      </c>
      <c r="C341" s="2" t="s">
        <v>993</v>
      </c>
      <c r="D341" s="2" t="s">
        <v>1157</v>
      </c>
      <c r="E341" s="4" t="s">
        <v>231</v>
      </c>
      <c r="F341" s="8" t="s">
        <v>231</v>
      </c>
      <c r="G341" s="4" t="s">
        <v>231</v>
      </c>
      <c r="H341" s="8" t="s">
        <v>231</v>
      </c>
      <c r="I341" s="7" t="s">
        <v>231</v>
      </c>
      <c r="J341" s="7" t="s">
        <v>231</v>
      </c>
      <c r="K341" s="4"/>
      <c r="L341" s="8"/>
      <c r="M341" s="4"/>
      <c r="N341" s="8"/>
      <c r="O341" s="7"/>
      <c r="P341" s="7"/>
    </row>
    <row r="342">
      <c r="A342" s="2" t="s">
        <v>992</v>
      </c>
      <c r="B342" s="2" t="s">
        <v>1439</v>
      </c>
      <c r="C342" s="2" t="s">
        <v>993</v>
      </c>
      <c r="D342" s="2" t="s">
        <v>994</v>
      </c>
      <c r="E342" s="4" t="s">
        <v>231</v>
      </c>
      <c r="F342" s="8" t="s">
        <v>231</v>
      </c>
      <c r="G342" s="4" t="s">
        <v>231</v>
      </c>
      <c r="H342" s="8" t="s">
        <v>231</v>
      </c>
      <c r="I342" s="7" t="s">
        <v>231</v>
      </c>
      <c r="J342" s="7" t="s">
        <v>231</v>
      </c>
      <c r="K342" s="4"/>
      <c r="L342" s="8"/>
      <c r="M342" s="4"/>
      <c r="N342" s="8"/>
      <c r="O342" s="7"/>
      <c r="P342" s="7"/>
    </row>
    <row r="343">
      <c r="A343" s="2" t="s">
        <v>824</v>
      </c>
      <c r="B343" s="2" t="s">
        <v>1017</v>
      </c>
      <c r="C343" s="2" t="s">
        <v>654</v>
      </c>
      <c r="D343" s="2" t="s">
        <v>1187</v>
      </c>
      <c r="E343" s="4" t="s">
        <v>231</v>
      </c>
      <c r="F343" s="8" t="s">
        <v>231</v>
      </c>
      <c r="G343" s="4" t="s">
        <v>231</v>
      </c>
      <c r="H343" s="8" t="s">
        <v>231</v>
      </c>
      <c r="I343" s="7" t="s">
        <v>231</v>
      </c>
      <c r="J343" s="7" t="s">
        <v>231</v>
      </c>
      <c r="K343" s="4"/>
      <c r="L343" s="8"/>
      <c r="M343" s="4"/>
      <c r="N343" s="8"/>
      <c r="O343" s="7"/>
      <c r="P343" s="7"/>
    </row>
    <row r="344">
      <c r="A344" s="2" t="s">
        <v>824</v>
      </c>
      <c r="B344" s="2" t="s">
        <v>1017</v>
      </c>
      <c r="C344" s="2" t="s">
        <v>654</v>
      </c>
      <c r="D344" s="2" t="s">
        <v>655</v>
      </c>
      <c r="E344" s="4" t="s">
        <v>231</v>
      </c>
      <c r="F344" s="8" t="s">
        <v>231</v>
      </c>
      <c r="G344" s="4" t="s">
        <v>231</v>
      </c>
      <c r="H344" s="8" t="s">
        <v>231</v>
      </c>
      <c r="I344" s="7" t="s">
        <v>231</v>
      </c>
      <c r="J344" s="7" t="s">
        <v>231</v>
      </c>
      <c r="K344" s="4"/>
      <c r="L344" s="8"/>
      <c r="M344" s="4"/>
      <c r="N344" s="8"/>
      <c r="O344" s="7"/>
      <c r="P344" s="7"/>
    </row>
    <row r="345">
      <c r="A345" s="2" t="s">
        <v>824</v>
      </c>
      <c r="B345" s="2" t="s">
        <v>1017</v>
      </c>
      <c r="C345" s="2" t="s">
        <v>654</v>
      </c>
      <c r="D345" s="2" t="s">
        <v>890</v>
      </c>
      <c r="E345" s="4" t="s">
        <v>231</v>
      </c>
      <c r="F345" s="8" t="s">
        <v>231</v>
      </c>
      <c r="G345" s="4" t="s">
        <v>231</v>
      </c>
      <c r="H345" s="8" t="s">
        <v>231</v>
      </c>
      <c r="I345" s="7" t="s">
        <v>231</v>
      </c>
      <c r="J345" s="7" t="s">
        <v>231</v>
      </c>
      <c r="K345" s="4"/>
      <c r="L345" s="8"/>
      <c r="M345" s="4"/>
      <c r="N345" s="8"/>
      <c r="O345" s="7"/>
      <c r="P345" s="7"/>
    </row>
    <row r="346">
      <c r="A346" s="2" t="s">
        <v>824</v>
      </c>
      <c r="B346" s="2" t="s">
        <v>1017</v>
      </c>
      <c r="C346" s="2" t="s">
        <v>1462</v>
      </c>
      <c r="D346" s="2" t="s">
        <v>2563</v>
      </c>
      <c r="E346" s="4" t="s">
        <v>231</v>
      </c>
      <c r="F346" s="8" t="s">
        <v>231</v>
      </c>
      <c r="G346" s="4" t="s">
        <v>231</v>
      </c>
      <c r="H346" s="8" t="s">
        <v>231</v>
      </c>
      <c r="I346" s="7" t="s">
        <v>231</v>
      </c>
      <c r="J346" s="7" t="s">
        <v>231</v>
      </c>
      <c r="K346" s="4"/>
      <c r="L346" s="8"/>
      <c r="M346" s="4"/>
      <c r="N346" s="8"/>
      <c r="O346" s="7"/>
      <c r="P346" s="7"/>
    </row>
    <row r="347">
      <c r="A347" s="2" t="s">
        <v>824</v>
      </c>
      <c r="B347" s="2" t="s">
        <v>1017</v>
      </c>
      <c r="C347" s="2" t="s">
        <v>1462</v>
      </c>
      <c r="D347" s="2" t="s">
        <v>1463</v>
      </c>
      <c r="E347" s="4" t="s">
        <v>231</v>
      </c>
      <c r="F347" s="8" t="s">
        <v>231</v>
      </c>
      <c r="G347" s="4" t="s">
        <v>231</v>
      </c>
      <c r="H347" s="8" t="s">
        <v>231</v>
      </c>
      <c r="I347" s="7" t="s">
        <v>231</v>
      </c>
      <c r="J347" s="7" t="s">
        <v>231</v>
      </c>
      <c r="K347" s="4"/>
      <c r="L347" s="8"/>
      <c r="M347" s="4"/>
      <c r="N347" s="8"/>
      <c r="O347" s="7"/>
      <c r="P347" s="7"/>
    </row>
    <row r="348">
      <c r="A348" s="2" t="s">
        <v>824</v>
      </c>
      <c r="B348" s="2" t="s">
        <v>11820</v>
      </c>
      <c r="C348" s="2" t="s">
        <v>654</v>
      </c>
      <c r="D348" s="2" t="s">
        <v>655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824</v>
      </c>
      <c r="B349" s="2" t="s">
        <v>825</v>
      </c>
      <c r="C349" s="2" t="s">
        <v>654</v>
      </c>
      <c r="D349" s="2" t="s">
        <v>1187</v>
      </c>
      <c r="E349" s="4" t="s">
        <v>231</v>
      </c>
      <c r="F349" s="8" t="s">
        <v>231</v>
      </c>
      <c r="G349" s="4" t="s">
        <v>231</v>
      </c>
      <c r="H349" s="8" t="s">
        <v>231</v>
      </c>
      <c r="I349" s="7" t="s">
        <v>231</v>
      </c>
      <c r="J349" s="7" t="s">
        <v>231</v>
      </c>
      <c r="K349" s="4"/>
      <c r="L349" s="8"/>
      <c r="M349" s="4"/>
      <c r="N349" s="8"/>
      <c r="O349" s="7"/>
      <c r="P349" s="7"/>
    </row>
    <row r="350">
      <c r="A350" s="2" t="s">
        <v>824</v>
      </c>
      <c r="B350" s="2" t="s">
        <v>825</v>
      </c>
      <c r="C350" s="2" t="s">
        <v>654</v>
      </c>
      <c r="D350" s="2" t="s">
        <v>655</v>
      </c>
      <c r="E350" s="4" t="s">
        <v>231</v>
      </c>
      <c r="F350" s="8" t="s">
        <v>231</v>
      </c>
      <c r="G350" s="4" t="s">
        <v>231</v>
      </c>
      <c r="H350" s="8" t="s">
        <v>231</v>
      </c>
      <c r="I350" s="7" t="s">
        <v>231</v>
      </c>
      <c r="J350" s="7" t="s">
        <v>231</v>
      </c>
      <c r="K350" s="4"/>
      <c r="L350" s="8"/>
      <c r="M350" s="4"/>
      <c r="N350" s="8"/>
      <c r="O350" s="7"/>
      <c r="P350" s="7"/>
    </row>
    <row r="351">
      <c r="A351" s="2" t="s">
        <v>824</v>
      </c>
      <c r="B351" s="2" t="s">
        <v>825</v>
      </c>
      <c r="C351" s="2" t="s">
        <v>654</v>
      </c>
      <c r="D351" s="2" t="s">
        <v>890</v>
      </c>
      <c r="E351" s="4" t="s">
        <v>231</v>
      </c>
      <c r="F351" s="8" t="s">
        <v>231</v>
      </c>
      <c r="G351" s="4" t="s">
        <v>231</v>
      </c>
      <c r="H351" s="8" t="s">
        <v>231</v>
      </c>
      <c r="I351" s="7" t="s">
        <v>231</v>
      </c>
      <c r="J351" s="7" t="s">
        <v>231</v>
      </c>
      <c r="K351" s="4"/>
      <c r="L351" s="8"/>
      <c r="M351" s="4"/>
      <c r="N351" s="8"/>
      <c r="O351" s="7"/>
      <c r="P351" s="7"/>
    </row>
    <row r="352">
      <c r="A352" s="2" t="s">
        <v>824</v>
      </c>
      <c r="B352" s="2" t="s">
        <v>825</v>
      </c>
      <c r="C352" s="2" t="s">
        <v>1462</v>
      </c>
      <c r="D352" s="2" t="s">
        <v>1463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824</v>
      </c>
      <c r="B353" s="2" t="s">
        <v>825</v>
      </c>
      <c r="C353" s="2" t="s">
        <v>826</v>
      </c>
      <c r="D353" s="2" t="s">
        <v>1060</v>
      </c>
      <c r="E353" s="4" t="s">
        <v>231</v>
      </c>
      <c r="F353" s="8" t="s">
        <v>231</v>
      </c>
      <c r="G353" s="4" t="s">
        <v>231</v>
      </c>
      <c r="H353" s="8" t="s">
        <v>231</v>
      </c>
      <c r="I353" s="7" t="s">
        <v>231</v>
      </c>
      <c r="J353" s="7" t="s">
        <v>231</v>
      </c>
      <c r="K353" s="4"/>
      <c r="L353" s="8"/>
      <c r="M353" s="4"/>
      <c r="N353" s="8"/>
      <c r="O353" s="7"/>
      <c r="P353" s="7"/>
    </row>
    <row r="354">
      <c r="A354" s="2" t="s">
        <v>824</v>
      </c>
      <c r="B354" s="2" t="s">
        <v>825</v>
      </c>
      <c r="C354" s="2" t="s">
        <v>826</v>
      </c>
      <c r="D354" s="2" t="s">
        <v>827</v>
      </c>
      <c r="E354" s="4" t="s">
        <v>231</v>
      </c>
      <c r="F354" s="8" t="s">
        <v>231</v>
      </c>
      <c r="G354" s="4" t="s">
        <v>231</v>
      </c>
      <c r="H354" s="8" t="s">
        <v>231</v>
      </c>
      <c r="I354" s="7" t="s">
        <v>231</v>
      </c>
      <c r="J354" s="7" t="s">
        <v>231</v>
      </c>
      <c r="K354" s="4"/>
      <c r="L354" s="8"/>
      <c r="M354" s="4"/>
      <c r="N354" s="8"/>
      <c r="O354" s="7"/>
      <c r="P354" s="7"/>
    </row>
    <row r="355">
      <c r="A355" s="2" t="s">
        <v>824</v>
      </c>
      <c r="B355" s="2" t="s">
        <v>1221</v>
      </c>
      <c r="C355" s="2" t="s">
        <v>654</v>
      </c>
      <c r="D355" s="2" t="s">
        <v>655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824</v>
      </c>
      <c r="B356" s="2" t="s">
        <v>1221</v>
      </c>
      <c r="C356" s="2" t="s">
        <v>826</v>
      </c>
      <c r="D356" s="2" t="s">
        <v>1060</v>
      </c>
      <c r="E356" s="4" t="s">
        <v>231</v>
      </c>
      <c r="F356" s="8" t="s">
        <v>231</v>
      </c>
      <c r="G356" s="4" t="s">
        <v>231</v>
      </c>
      <c r="H356" s="8" t="s">
        <v>231</v>
      </c>
      <c r="I356" s="7" t="s">
        <v>231</v>
      </c>
      <c r="J356" s="7" t="s">
        <v>231</v>
      </c>
      <c r="K356" s="4"/>
      <c r="L356" s="8"/>
      <c r="M356" s="4"/>
      <c r="N356" s="8"/>
      <c r="O356" s="7"/>
      <c r="P356" s="7"/>
    </row>
    <row r="357">
      <c r="A357" s="2" t="s">
        <v>824</v>
      </c>
      <c r="B357" s="2" t="s">
        <v>1221</v>
      </c>
      <c r="C357" s="2" t="s">
        <v>826</v>
      </c>
      <c r="D357" s="2" t="s">
        <v>827</v>
      </c>
      <c r="E357" s="4" t="s">
        <v>231</v>
      </c>
      <c r="F357" s="8" t="s">
        <v>231</v>
      </c>
      <c r="G357" s="4" t="s">
        <v>231</v>
      </c>
      <c r="H357" s="8" t="s">
        <v>231</v>
      </c>
      <c r="I357" s="7" t="s">
        <v>231</v>
      </c>
      <c r="J357" s="7" t="s">
        <v>231</v>
      </c>
      <c r="K357" s="4"/>
      <c r="L357" s="8"/>
      <c r="M357" s="4"/>
      <c r="N357" s="8"/>
      <c r="O357" s="7"/>
      <c r="P357" s="7"/>
    </row>
    <row r="358">
      <c r="A358" s="2" t="s">
        <v>824</v>
      </c>
      <c r="B358" s="2" t="s">
        <v>2557</v>
      </c>
      <c r="C358" s="2" t="s">
        <v>654</v>
      </c>
      <c r="D358" s="2" t="s">
        <v>655</v>
      </c>
      <c r="E358" s="4" t="s">
        <v>231</v>
      </c>
      <c r="F358" s="8" t="s">
        <v>231</v>
      </c>
      <c r="G358" s="4" t="s">
        <v>231</v>
      </c>
      <c r="H358" s="8" t="s">
        <v>231</v>
      </c>
      <c r="I358" s="7" t="s">
        <v>231</v>
      </c>
      <c r="J358" s="7" t="s">
        <v>231</v>
      </c>
      <c r="K358" s="4"/>
      <c r="L358" s="8"/>
      <c r="M358" s="4"/>
      <c r="N358" s="8"/>
      <c r="O358" s="7"/>
      <c r="P358" s="7"/>
    </row>
    <row r="359">
      <c r="A359" s="2" t="s">
        <v>824</v>
      </c>
      <c r="B359" s="2" t="s">
        <v>2557</v>
      </c>
      <c r="C359" s="2" t="s">
        <v>654</v>
      </c>
      <c r="D359" s="2" t="s">
        <v>890</v>
      </c>
      <c r="E359" s="4" t="s">
        <v>231</v>
      </c>
      <c r="F359" s="8" t="s">
        <v>231</v>
      </c>
      <c r="G359" s="4" t="s">
        <v>231</v>
      </c>
      <c r="H359" s="8" t="s">
        <v>231</v>
      </c>
      <c r="I359" s="7" t="s">
        <v>231</v>
      </c>
      <c r="J359" s="7" t="s">
        <v>231</v>
      </c>
      <c r="K359" s="4"/>
      <c r="L359" s="8"/>
      <c r="M359" s="4"/>
      <c r="N359" s="8"/>
      <c r="O359" s="7"/>
      <c r="P359" s="7"/>
    </row>
    <row r="360">
      <c r="A360" s="2" t="s">
        <v>824</v>
      </c>
      <c r="B360" s="2" t="s">
        <v>2557</v>
      </c>
      <c r="C360" s="2" t="s">
        <v>1462</v>
      </c>
      <c r="D360" s="2" t="s">
        <v>2563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824</v>
      </c>
      <c r="B361" s="2" t="s">
        <v>1051</v>
      </c>
      <c r="C361" s="2" t="s">
        <v>654</v>
      </c>
      <c r="D361" s="2" t="s">
        <v>655</v>
      </c>
      <c r="E361" s="4" t="s">
        <v>231</v>
      </c>
      <c r="F361" s="8" t="s">
        <v>231</v>
      </c>
      <c r="G361" s="4" t="s">
        <v>231</v>
      </c>
      <c r="H361" s="8" t="s">
        <v>231</v>
      </c>
      <c r="I361" s="7" t="s">
        <v>231</v>
      </c>
      <c r="J361" s="7" t="s">
        <v>231</v>
      </c>
      <c r="K361" s="4"/>
      <c r="L361" s="8"/>
      <c r="M361" s="4"/>
      <c r="N361" s="8"/>
      <c r="O361" s="7"/>
      <c r="P361" s="7"/>
    </row>
    <row r="362">
      <c r="A362" s="2" t="s">
        <v>824</v>
      </c>
      <c r="B362" s="2" t="s">
        <v>1051</v>
      </c>
      <c r="C362" s="2" t="s">
        <v>654</v>
      </c>
      <c r="D362" s="2" t="s">
        <v>890</v>
      </c>
      <c r="E362" s="4" t="s">
        <v>231</v>
      </c>
      <c r="F362" s="8" t="s">
        <v>231</v>
      </c>
      <c r="G362" s="4" t="s">
        <v>231</v>
      </c>
      <c r="H362" s="8" t="s">
        <v>231</v>
      </c>
      <c r="I362" s="7" t="s">
        <v>231</v>
      </c>
      <c r="J362" s="7" t="s">
        <v>231</v>
      </c>
      <c r="K362" s="4"/>
      <c r="L362" s="8"/>
      <c r="M362" s="4"/>
      <c r="N362" s="8"/>
      <c r="O362" s="7"/>
      <c r="P362" s="7"/>
    </row>
    <row r="363">
      <c r="A363" s="2" t="s">
        <v>824</v>
      </c>
      <c r="B363" s="2" t="s">
        <v>1051</v>
      </c>
      <c r="C363" s="2" t="s">
        <v>1462</v>
      </c>
      <c r="D363" s="2" t="s">
        <v>1463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824</v>
      </c>
      <c r="B364" s="2" t="s">
        <v>1051</v>
      </c>
      <c r="C364" s="2" t="s">
        <v>826</v>
      </c>
      <c r="D364" s="2" t="s">
        <v>1060</v>
      </c>
      <c r="E364" s="4" t="s">
        <v>231</v>
      </c>
      <c r="F364" s="8" t="s">
        <v>231</v>
      </c>
      <c r="G364" s="4" t="s">
        <v>231</v>
      </c>
      <c r="H364" s="8" t="s">
        <v>231</v>
      </c>
      <c r="I364" s="7" t="s">
        <v>231</v>
      </c>
      <c r="J364" s="7" t="s">
        <v>231</v>
      </c>
      <c r="K364" s="4"/>
      <c r="L364" s="8"/>
      <c r="M364" s="4"/>
      <c r="N364" s="8"/>
      <c r="O364" s="7"/>
      <c r="P364" s="7"/>
    </row>
    <row r="365">
      <c r="A365" s="2" t="s">
        <v>824</v>
      </c>
      <c r="B365" s="2" t="s">
        <v>1051</v>
      </c>
      <c r="C365" s="2" t="s">
        <v>826</v>
      </c>
      <c r="D365" s="2" t="s">
        <v>827</v>
      </c>
      <c r="E365" s="4" t="s">
        <v>231</v>
      </c>
      <c r="F365" s="8" t="s">
        <v>231</v>
      </c>
      <c r="G365" s="4" t="s">
        <v>231</v>
      </c>
      <c r="H365" s="8" t="s">
        <v>231</v>
      </c>
      <c r="I365" s="7" t="s">
        <v>231</v>
      </c>
      <c r="J365" s="7" t="s">
        <v>231</v>
      </c>
      <c r="K365" s="4"/>
      <c r="L365" s="8"/>
      <c r="M365" s="4"/>
      <c r="N365" s="8"/>
      <c r="O365" s="7"/>
      <c r="P365" s="7"/>
    </row>
    <row r="366">
      <c r="A366" s="2" t="s">
        <v>824</v>
      </c>
      <c r="B366" s="2" t="s">
        <v>3567</v>
      </c>
      <c r="C366" s="2" t="s">
        <v>654</v>
      </c>
      <c r="D366" s="2" t="s">
        <v>655</v>
      </c>
      <c r="E366" s="4"/>
      <c r="F366" s="8"/>
      <c r="G366" s="4"/>
      <c r="H366" s="8"/>
      <c r="I366" s="7"/>
      <c r="J366" s="7"/>
      <c r="K366" s="4"/>
      <c r="L366" s="8"/>
      <c r="M366" s="4"/>
      <c r="N366" s="8"/>
      <c r="O366" s="7"/>
      <c r="P366" s="7"/>
    </row>
    <row r="367">
      <c r="A367" s="2" t="s">
        <v>824</v>
      </c>
      <c r="B367" s="2" t="s">
        <v>3567</v>
      </c>
      <c r="C367" s="2" t="s">
        <v>1462</v>
      </c>
      <c r="D367" s="2" t="s">
        <v>1463</v>
      </c>
      <c r="E367" s="4" t="s">
        <v>231</v>
      </c>
      <c r="F367" s="8" t="s">
        <v>231</v>
      </c>
      <c r="G367" s="4" t="s">
        <v>231</v>
      </c>
      <c r="H367" s="8" t="s">
        <v>231</v>
      </c>
      <c r="I367" s="7" t="s">
        <v>231</v>
      </c>
      <c r="J367" s="7" t="s">
        <v>231</v>
      </c>
      <c r="K367" s="4"/>
      <c r="L367" s="8"/>
      <c r="M367" s="4"/>
      <c r="N367" s="8"/>
      <c r="O367" s="7"/>
      <c r="P367" s="7"/>
    </row>
    <row r="368">
      <c r="A368" s="2" t="s">
        <v>824</v>
      </c>
      <c r="B368" s="2" t="s">
        <v>3567</v>
      </c>
      <c r="C368" s="2" t="s">
        <v>1462</v>
      </c>
      <c r="D368" s="2" t="s">
        <v>3568</v>
      </c>
      <c r="E368" s="4" t="s">
        <v>231</v>
      </c>
      <c r="F368" s="8" t="s">
        <v>231</v>
      </c>
      <c r="G368" s="4" t="s">
        <v>231</v>
      </c>
      <c r="H368" s="8" t="s">
        <v>231</v>
      </c>
      <c r="I368" s="7" t="s">
        <v>231</v>
      </c>
      <c r="J368" s="7" t="s">
        <v>231</v>
      </c>
      <c r="K368" s="4"/>
      <c r="L368" s="8"/>
      <c r="M368" s="4"/>
      <c r="N368" s="8"/>
      <c r="O368" s="7"/>
      <c r="P368" s="7"/>
    </row>
    <row r="369">
      <c r="A369" s="2" t="s">
        <v>824</v>
      </c>
      <c r="B369" s="2" t="s">
        <v>3567</v>
      </c>
      <c r="C369" s="2" t="s">
        <v>826</v>
      </c>
      <c r="D369" s="2" t="s">
        <v>1060</v>
      </c>
      <c r="E369" s="4" t="s">
        <v>231</v>
      </c>
      <c r="F369" s="8" t="s">
        <v>231</v>
      </c>
      <c r="G369" s="4" t="s">
        <v>231</v>
      </c>
      <c r="H369" s="8" t="s">
        <v>231</v>
      </c>
      <c r="I369" s="7" t="s">
        <v>231</v>
      </c>
      <c r="J369" s="7" t="s">
        <v>231</v>
      </c>
      <c r="K369" s="4"/>
      <c r="L369" s="8"/>
      <c r="M369" s="4"/>
      <c r="N369" s="8"/>
      <c r="O369" s="7"/>
      <c r="P369" s="7"/>
    </row>
    <row r="370">
      <c r="A370" s="2" t="s">
        <v>824</v>
      </c>
      <c r="B370" s="2" t="s">
        <v>3567</v>
      </c>
      <c r="C370" s="2" t="s">
        <v>826</v>
      </c>
      <c r="D370" s="2" t="s">
        <v>827</v>
      </c>
      <c r="E370" s="4" t="s">
        <v>231</v>
      </c>
      <c r="F370" s="8" t="s">
        <v>231</v>
      </c>
      <c r="G370" s="4" t="s">
        <v>231</v>
      </c>
      <c r="H370" s="8" t="s">
        <v>231</v>
      </c>
      <c r="I370" s="7" t="s">
        <v>231</v>
      </c>
      <c r="J370" s="7" t="s">
        <v>231</v>
      </c>
      <c r="K370" s="4"/>
      <c r="L370" s="8"/>
      <c r="M370" s="4"/>
      <c r="N370" s="8"/>
      <c r="O370" s="7"/>
      <c r="P3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9:E11"/>
    <mergeCell ref="F9:F11"/>
    <mergeCell ref="G9:G11"/>
    <mergeCell ref="H9:H11"/>
    <mergeCell ref="I9:I11"/>
    <mergeCell ref="J9:J11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38:E39"/>
    <mergeCell ref="F38:F39"/>
    <mergeCell ref="G38:G39"/>
    <mergeCell ref="H38:H39"/>
    <mergeCell ref="I38:I39"/>
    <mergeCell ref="J38:J39"/>
    <mergeCell ref="E41:E42"/>
    <mergeCell ref="F41:F42"/>
    <mergeCell ref="G41:G42"/>
    <mergeCell ref="H41:H42"/>
    <mergeCell ref="I41:I42"/>
    <mergeCell ref="J41:J42"/>
    <mergeCell ref="E44:E46"/>
    <mergeCell ref="F44:F46"/>
    <mergeCell ref="G44:G46"/>
    <mergeCell ref="H44:H46"/>
    <mergeCell ref="I44:I46"/>
    <mergeCell ref="J44:J46"/>
    <mergeCell ref="E47:E50"/>
    <mergeCell ref="F47:F50"/>
    <mergeCell ref="G47:G50"/>
    <mergeCell ref="H47:H50"/>
    <mergeCell ref="I47:I50"/>
    <mergeCell ref="J47:J50"/>
    <mergeCell ref="E51:E52"/>
    <mergeCell ref="F51:F52"/>
    <mergeCell ref="G51:G52"/>
    <mergeCell ref="H51:H52"/>
    <mergeCell ref="I51:I52"/>
    <mergeCell ref="J51:J52"/>
    <mergeCell ref="E54:E55"/>
    <mergeCell ref="F54:F55"/>
    <mergeCell ref="G54:G55"/>
    <mergeCell ref="H54:H55"/>
    <mergeCell ref="I54:I55"/>
    <mergeCell ref="J54:J55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8"/>
    <mergeCell ref="F66:F68"/>
    <mergeCell ref="G66:G68"/>
    <mergeCell ref="H66:H68"/>
    <mergeCell ref="I66:I68"/>
    <mergeCell ref="J66:J68"/>
    <mergeCell ref="E73:E74"/>
    <mergeCell ref="F73:F74"/>
    <mergeCell ref="G73:G74"/>
    <mergeCell ref="H73:H74"/>
    <mergeCell ref="I73:I74"/>
    <mergeCell ref="J73:J74"/>
    <mergeCell ref="E75:E76"/>
    <mergeCell ref="F75:F76"/>
    <mergeCell ref="G75:G76"/>
    <mergeCell ref="H75:H76"/>
    <mergeCell ref="I75:I76"/>
    <mergeCell ref="J75:J76"/>
    <mergeCell ref="E82:E84"/>
    <mergeCell ref="F82:F84"/>
    <mergeCell ref="G82:G84"/>
    <mergeCell ref="H82:H84"/>
    <mergeCell ref="I82:I84"/>
    <mergeCell ref="J82:J84"/>
    <mergeCell ref="E86:E88"/>
    <mergeCell ref="F86:F88"/>
    <mergeCell ref="G86:G88"/>
    <mergeCell ref="H86:H88"/>
    <mergeCell ref="I86:I88"/>
    <mergeCell ref="J86:J88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98:E100"/>
    <mergeCell ref="F98:F100"/>
    <mergeCell ref="G98:G100"/>
    <mergeCell ref="H98:H100"/>
    <mergeCell ref="I98:I100"/>
    <mergeCell ref="J98:J100"/>
    <mergeCell ref="E102:E103"/>
    <mergeCell ref="F102:F103"/>
    <mergeCell ref="G102:G103"/>
    <mergeCell ref="H102:H103"/>
    <mergeCell ref="I102:I103"/>
    <mergeCell ref="J102:J103"/>
    <mergeCell ref="E104:E105"/>
    <mergeCell ref="F104:F105"/>
    <mergeCell ref="G104:G105"/>
    <mergeCell ref="H104:H105"/>
    <mergeCell ref="I104:I105"/>
    <mergeCell ref="J104:J105"/>
    <mergeCell ref="E106:E107"/>
    <mergeCell ref="F106:F107"/>
    <mergeCell ref="G106:G107"/>
    <mergeCell ref="H106:H107"/>
    <mergeCell ref="I106:I107"/>
    <mergeCell ref="J106:J107"/>
    <mergeCell ref="E113:E114"/>
    <mergeCell ref="F113:F114"/>
    <mergeCell ref="G113:G114"/>
    <mergeCell ref="H113:H114"/>
    <mergeCell ref="I113:I114"/>
    <mergeCell ref="J113:J114"/>
    <mergeCell ref="E115:E116"/>
    <mergeCell ref="F115:F116"/>
    <mergeCell ref="G115:G116"/>
    <mergeCell ref="H115:H116"/>
    <mergeCell ref="I115:I116"/>
    <mergeCell ref="J115:J116"/>
    <mergeCell ref="E127:E128"/>
    <mergeCell ref="F127:F128"/>
    <mergeCell ref="G127:G128"/>
    <mergeCell ref="H127:H128"/>
    <mergeCell ref="I127:I128"/>
    <mergeCell ref="J127:J128"/>
    <mergeCell ref="E149:E152"/>
    <mergeCell ref="F149:F152"/>
    <mergeCell ref="G149:G152"/>
    <mergeCell ref="H149:H152"/>
    <mergeCell ref="I149:I152"/>
    <mergeCell ref="J149:J152"/>
    <mergeCell ref="E164:E165"/>
    <mergeCell ref="F164:F165"/>
    <mergeCell ref="G164:G165"/>
    <mergeCell ref="H164:H165"/>
    <mergeCell ref="I164:I165"/>
    <mergeCell ref="J164:J165"/>
    <mergeCell ref="E171:E172"/>
    <mergeCell ref="F171:F172"/>
    <mergeCell ref="G171:G172"/>
    <mergeCell ref="H171:H172"/>
    <mergeCell ref="I171:I172"/>
    <mergeCell ref="J171:J172"/>
    <mergeCell ref="E176:E178"/>
    <mergeCell ref="F176:F178"/>
    <mergeCell ref="G176:G178"/>
    <mergeCell ref="H176:H178"/>
    <mergeCell ref="I176:I178"/>
    <mergeCell ref="J176:J178"/>
    <mergeCell ref="E183:E184"/>
    <mergeCell ref="F183:F184"/>
    <mergeCell ref="G183:G184"/>
    <mergeCell ref="H183:H184"/>
    <mergeCell ref="I183:I184"/>
    <mergeCell ref="J183:J184"/>
    <mergeCell ref="E186:E187"/>
    <mergeCell ref="F186:F187"/>
    <mergeCell ref="G186:G187"/>
    <mergeCell ref="H186:H187"/>
    <mergeCell ref="I186:I187"/>
    <mergeCell ref="J186:J187"/>
    <mergeCell ref="E189:E190"/>
    <mergeCell ref="F189:F190"/>
    <mergeCell ref="G189:G190"/>
    <mergeCell ref="H189:H190"/>
    <mergeCell ref="I189:I190"/>
    <mergeCell ref="J189:J190"/>
    <mergeCell ref="E191:E192"/>
    <mergeCell ref="F191:F192"/>
    <mergeCell ref="G191:G192"/>
    <mergeCell ref="H191:H192"/>
    <mergeCell ref="I191:I192"/>
    <mergeCell ref="J191:J192"/>
    <mergeCell ref="E193:E194"/>
    <mergeCell ref="F193:F194"/>
    <mergeCell ref="G193:G194"/>
    <mergeCell ref="H193:H194"/>
    <mergeCell ref="I193:I194"/>
    <mergeCell ref="J193:J194"/>
    <mergeCell ref="E202:E204"/>
    <mergeCell ref="F202:F204"/>
    <mergeCell ref="G202:G204"/>
    <mergeCell ref="H202:H204"/>
    <mergeCell ref="I202:I204"/>
    <mergeCell ref="J202:J204"/>
    <mergeCell ref="E206:E208"/>
    <mergeCell ref="F206:F208"/>
    <mergeCell ref="G206:G208"/>
    <mergeCell ref="H206:H208"/>
    <mergeCell ref="I206:I208"/>
    <mergeCell ref="J206:J208"/>
    <mergeCell ref="E212:E214"/>
    <mergeCell ref="F212:F214"/>
    <mergeCell ref="G212:G214"/>
    <mergeCell ref="H212:H214"/>
    <mergeCell ref="I212:I214"/>
    <mergeCell ref="J212:J214"/>
    <mergeCell ref="E219:E222"/>
    <mergeCell ref="F219:F222"/>
    <mergeCell ref="G219:G222"/>
    <mergeCell ref="H219:H222"/>
    <mergeCell ref="I219:I222"/>
    <mergeCell ref="J219:J222"/>
    <mergeCell ref="E224:E228"/>
    <mergeCell ref="F224:F228"/>
    <mergeCell ref="G224:G228"/>
    <mergeCell ref="H224:H228"/>
    <mergeCell ref="I224:I228"/>
    <mergeCell ref="J224:J228"/>
    <mergeCell ref="E230:E232"/>
    <mergeCell ref="F230:F232"/>
    <mergeCell ref="G230:G232"/>
    <mergeCell ref="H230:H232"/>
    <mergeCell ref="I230:I232"/>
    <mergeCell ref="J230:J232"/>
    <mergeCell ref="E233:E234"/>
    <mergeCell ref="F233:F234"/>
    <mergeCell ref="G233:G234"/>
    <mergeCell ref="H233:H234"/>
    <mergeCell ref="I233:I234"/>
    <mergeCell ref="J233:J234"/>
    <mergeCell ref="E236:E237"/>
    <mergeCell ref="F236:F237"/>
    <mergeCell ref="G236:G237"/>
    <mergeCell ref="H236:H237"/>
    <mergeCell ref="I236:I237"/>
    <mergeCell ref="J236:J237"/>
    <mergeCell ref="E241:E242"/>
    <mergeCell ref="F241:F242"/>
    <mergeCell ref="G241:G242"/>
    <mergeCell ref="H241:H242"/>
    <mergeCell ref="I241:I242"/>
    <mergeCell ref="J241:J242"/>
    <mergeCell ref="E245:E247"/>
    <mergeCell ref="F245:F247"/>
    <mergeCell ref="G245:G247"/>
    <mergeCell ref="H245:H247"/>
    <mergeCell ref="I245:I247"/>
    <mergeCell ref="J245:J247"/>
    <mergeCell ref="E248:E250"/>
    <mergeCell ref="F248:F250"/>
    <mergeCell ref="G248:G250"/>
    <mergeCell ref="H248:H250"/>
    <mergeCell ref="I248:I250"/>
    <mergeCell ref="J248:J250"/>
    <mergeCell ref="E251:E252"/>
    <mergeCell ref="F251:F252"/>
    <mergeCell ref="G251:G252"/>
    <mergeCell ref="H251:H252"/>
    <mergeCell ref="I251:I252"/>
    <mergeCell ref="J251:J252"/>
    <mergeCell ref="E255:E256"/>
    <mergeCell ref="F255:F256"/>
    <mergeCell ref="G255:G256"/>
    <mergeCell ref="H255:H256"/>
    <mergeCell ref="I255:I256"/>
    <mergeCell ref="J255:J256"/>
    <mergeCell ref="E261:E262"/>
    <mergeCell ref="F261:F262"/>
    <mergeCell ref="G261:G262"/>
    <mergeCell ref="H261:H262"/>
    <mergeCell ref="I261:I262"/>
    <mergeCell ref="J261:J262"/>
    <mergeCell ref="E263:E266"/>
    <mergeCell ref="F263:F266"/>
    <mergeCell ref="G263:G266"/>
    <mergeCell ref="H263:H266"/>
    <mergeCell ref="I263:I266"/>
    <mergeCell ref="J263:J266"/>
    <mergeCell ref="E267:E268"/>
    <mergeCell ref="F267:F268"/>
    <mergeCell ref="G267:G268"/>
    <mergeCell ref="H267:H268"/>
    <mergeCell ref="I267:I268"/>
    <mergeCell ref="J267:J268"/>
    <mergeCell ref="E276:E277"/>
    <mergeCell ref="F276:F277"/>
    <mergeCell ref="G276:G277"/>
    <mergeCell ref="H276:H277"/>
    <mergeCell ref="I276:I277"/>
    <mergeCell ref="J276:J277"/>
    <mergeCell ref="E322:E323"/>
    <mergeCell ref="F322:F323"/>
    <mergeCell ref="G322:G323"/>
    <mergeCell ref="H322:H323"/>
    <mergeCell ref="I322:I323"/>
    <mergeCell ref="J322:J323"/>
    <mergeCell ref="E330:E331"/>
    <mergeCell ref="F330:F331"/>
    <mergeCell ref="G330:G331"/>
    <mergeCell ref="H330:H331"/>
    <mergeCell ref="I330:I331"/>
    <mergeCell ref="J330:J331"/>
    <mergeCell ref="E334:E339"/>
    <mergeCell ref="F334:F339"/>
    <mergeCell ref="G334:G339"/>
    <mergeCell ref="H334:H339"/>
    <mergeCell ref="I334:I339"/>
    <mergeCell ref="J334:J339"/>
    <mergeCell ref="E341:E342"/>
    <mergeCell ref="F341:F342"/>
    <mergeCell ref="G341:G342"/>
    <mergeCell ref="H341:H342"/>
    <mergeCell ref="I341:I342"/>
    <mergeCell ref="J341:J342"/>
    <mergeCell ref="E343:E345"/>
    <mergeCell ref="F343:F345"/>
    <mergeCell ref="G343:G345"/>
    <mergeCell ref="H343:H345"/>
    <mergeCell ref="I343:I345"/>
    <mergeCell ref="J343:J345"/>
    <mergeCell ref="E346:E347"/>
    <mergeCell ref="F346:F347"/>
    <mergeCell ref="G346:G347"/>
    <mergeCell ref="H346:H347"/>
    <mergeCell ref="I346:I347"/>
    <mergeCell ref="J346:J347"/>
    <mergeCell ref="E349:E351"/>
    <mergeCell ref="F349:F351"/>
    <mergeCell ref="G349:G351"/>
    <mergeCell ref="H349:H351"/>
    <mergeCell ref="I349:I351"/>
    <mergeCell ref="J349:J351"/>
    <mergeCell ref="E353:E354"/>
    <mergeCell ref="F353:F354"/>
    <mergeCell ref="G353:G354"/>
    <mergeCell ref="H353:H354"/>
    <mergeCell ref="I353:I354"/>
    <mergeCell ref="J353:J354"/>
    <mergeCell ref="E356:E357"/>
    <mergeCell ref="F356:F357"/>
    <mergeCell ref="G356:G357"/>
    <mergeCell ref="H356:H357"/>
    <mergeCell ref="I356:I357"/>
    <mergeCell ref="J356:J357"/>
    <mergeCell ref="E358:E359"/>
    <mergeCell ref="F358:F359"/>
    <mergeCell ref="G358:G359"/>
    <mergeCell ref="H358:H359"/>
    <mergeCell ref="I358:I359"/>
    <mergeCell ref="J358:J359"/>
    <mergeCell ref="E361:E362"/>
    <mergeCell ref="F361:F362"/>
    <mergeCell ref="G361:G362"/>
    <mergeCell ref="H361:H362"/>
    <mergeCell ref="I361:I362"/>
    <mergeCell ref="J361:J362"/>
    <mergeCell ref="E364:E365"/>
    <mergeCell ref="F364:F365"/>
    <mergeCell ref="G364:G365"/>
    <mergeCell ref="H364:H365"/>
    <mergeCell ref="I364:I365"/>
    <mergeCell ref="J364:J365"/>
    <mergeCell ref="E367:E368"/>
    <mergeCell ref="F367:F368"/>
    <mergeCell ref="G367:G368"/>
    <mergeCell ref="H367:H368"/>
    <mergeCell ref="I367:I368"/>
    <mergeCell ref="J367:J368"/>
    <mergeCell ref="E369:E370"/>
    <mergeCell ref="F369:F370"/>
    <mergeCell ref="G369:G370"/>
    <mergeCell ref="H369:H370"/>
    <mergeCell ref="I369:I370"/>
    <mergeCell ref="J369:J37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12643</v>
      </c>
      <c r="C2" s="0" t="s">
        <v>12644</v>
      </c>
      <c r="D2" s="0" t="s">
        <v>12645</v>
      </c>
      <c r="E2" s="0" t="s">
        <v>59</v>
      </c>
    </row>
    <row r="3">
      <c r="A3" s="1" t="s">
        <v>59</v>
      </c>
      <c r="B3" s="1" t="s">
        <v>61</v>
      </c>
      <c r="C3" s="1" t="s">
        <v>62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59</v>
      </c>
      <c r="B4" s="1" t="s">
        <v>61</v>
      </c>
      <c r="C4" s="1" t="s">
        <v>62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12646</v>
      </c>
      <c r="I4" s="1" t="s">
        <v>12647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12648</v>
      </c>
      <c r="O4" s="1" t="s">
        <v>12649</v>
      </c>
    </row>
    <row r="5">
      <c r="A5" s="1" t="s">
        <v>59</v>
      </c>
      <c r="B5" s="1" t="s">
        <v>61</v>
      </c>
      <c r="C5" s="1" t="s">
        <v>62</v>
      </c>
      <c r="D5" s="1" t="s">
        <v>12650</v>
      </c>
      <c r="E5" s="1" t="s">
        <v>12651</v>
      </c>
      <c r="F5" s="1" t="s">
        <v>12650</v>
      </c>
      <c r="G5" s="1" t="s">
        <v>12651</v>
      </c>
      <c r="H5" s="1" t="s">
        <v>12646</v>
      </c>
      <c r="I5" s="1" t="s">
        <v>12647</v>
      </c>
      <c r="J5" s="1" t="s">
        <v>12652</v>
      </c>
      <c r="K5" s="1" t="s">
        <v>12653</v>
      </c>
      <c r="L5" s="1" t="s">
        <v>12652</v>
      </c>
      <c r="M5" s="1" t="s">
        <v>12653</v>
      </c>
      <c r="N5" s="1" t="s">
        <v>12648</v>
      </c>
      <c r="O5" s="1" t="s">
        <v>12649</v>
      </c>
    </row>
    <row r="6">
      <c r="A6" s="2" t="s">
        <v>1186</v>
      </c>
      <c r="B6" s="2" t="s">
        <v>3558</v>
      </c>
      <c r="C6" s="2" t="s">
        <v>3559</v>
      </c>
      <c r="D6" s="4" t="s">
        <v>231</v>
      </c>
      <c r="E6" s="8" t="s">
        <v>231</v>
      </c>
      <c r="F6" s="4" t="s">
        <v>231</v>
      </c>
      <c r="G6" s="8" t="s">
        <v>231</v>
      </c>
      <c r="H6" s="7" t="s">
        <v>231</v>
      </c>
      <c r="I6" s="7" t="s">
        <v>231</v>
      </c>
      <c r="J6" s="4"/>
      <c r="K6" s="8"/>
      <c r="L6" s="4"/>
      <c r="M6" s="8"/>
      <c r="N6" s="7"/>
      <c r="O6" s="7"/>
    </row>
    <row r="7">
      <c r="A7" s="2" t="s">
        <v>1186</v>
      </c>
      <c r="B7" s="2" t="s">
        <v>3558</v>
      </c>
      <c r="C7" s="2" t="s">
        <v>7331</v>
      </c>
      <c r="D7" s="4" t="s">
        <v>231</v>
      </c>
      <c r="E7" s="8" t="s">
        <v>231</v>
      </c>
      <c r="F7" s="4" t="s">
        <v>231</v>
      </c>
      <c r="G7" s="8" t="s">
        <v>231</v>
      </c>
      <c r="H7" s="7" t="s">
        <v>231</v>
      </c>
      <c r="I7" s="7" t="s">
        <v>231</v>
      </c>
      <c r="J7" s="4"/>
      <c r="K7" s="8"/>
      <c r="L7" s="4"/>
      <c r="M7" s="8"/>
      <c r="N7" s="7"/>
      <c r="O7" s="7"/>
    </row>
    <row r="8">
      <c r="A8" s="2" t="s">
        <v>1186</v>
      </c>
      <c r="B8" s="2" t="s">
        <v>654</v>
      </c>
      <c r="C8" s="2" t="s">
        <v>1187</v>
      </c>
      <c r="D8" s="4" t="s">
        <v>231</v>
      </c>
      <c r="E8" s="8" t="s">
        <v>231</v>
      </c>
      <c r="F8" s="4" t="s">
        <v>231</v>
      </c>
      <c r="G8" s="8" t="s">
        <v>231</v>
      </c>
      <c r="H8" s="7" t="s">
        <v>231</v>
      </c>
      <c r="I8" s="7" t="s">
        <v>231</v>
      </c>
      <c r="J8" s="4"/>
      <c r="K8" s="8"/>
      <c r="L8" s="4"/>
      <c r="M8" s="8"/>
      <c r="N8" s="7"/>
      <c r="O8" s="7"/>
    </row>
    <row r="9">
      <c r="A9" s="2" t="s">
        <v>1186</v>
      </c>
      <c r="B9" s="2" t="s">
        <v>654</v>
      </c>
      <c r="C9" s="2" t="s">
        <v>655</v>
      </c>
      <c r="D9" s="4" t="s">
        <v>231</v>
      </c>
      <c r="E9" s="8" t="s">
        <v>231</v>
      </c>
      <c r="F9" s="4" t="s">
        <v>231</v>
      </c>
      <c r="G9" s="8" t="s">
        <v>231</v>
      </c>
      <c r="H9" s="7" t="s">
        <v>231</v>
      </c>
      <c r="I9" s="7" t="s">
        <v>231</v>
      </c>
      <c r="J9" s="4"/>
      <c r="K9" s="8"/>
      <c r="L9" s="4"/>
      <c r="M9" s="8"/>
      <c r="N9" s="7"/>
      <c r="O9" s="7"/>
    </row>
    <row r="10">
      <c r="A10" s="2" t="s">
        <v>1186</v>
      </c>
      <c r="B10" s="2" t="s">
        <v>654</v>
      </c>
      <c r="C10" s="2" t="s">
        <v>890</v>
      </c>
      <c r="D10" s="4" t="s">
        <v>231</v>
      </c>
      <c r="E10" s="8" t="s">
        <v>231</v>
      </c>
      <c r="F10" s="4" t="s">
        <v>231</v>
      </c>
      <c r="G10" s="8" t="s">
        <v>231</v>
      </c>
      <c r="H10" s="7" t="s">
        <v>231</v>
      </c>
      <c r="I10" s="7" t="s">
        <v>231</v>
      </c>
      <c r="J10" s="4"/>
      <c r="K10" s="8"/>
      <c r="L10" s="4"/>
      <c r="M10" s="8"/>
      <c r="N10" s="7"/>
      <c r="O10" s="7"/>
    </row>
    <row r="11">
      <c r="A11" s="2" t="s">
        <v>1186</v>
      </c>
      <c r="B11" s="2" t="s">
        <v>654</v>
      </c>
      <c r="C11" s="2" t="s">
        <v>8748</v>
      </c>
      <c r="D11" s="4" t="s">
        <v>231</v>
      </c>
      <c r="E11" s="8" t="s">
        <v>231</v>
      </c>
      <c r="F11" s="4" t="s">
        <v>231</v>
      </c>
      <c r="G11" s="8" t="s">
        <v>231</v>
      </c>
      <c r="H11" s="7" t="s">
        <v>231</v>
      </c>
      <c r="I11" s="7" t="s">
        <v>231</v>
      </c>
      <c r="J11" s="4"/>
      <c r="K11" s="8"/>
      <c r="L11" s="4"/>
      <c r="M11" s="8"/>
      <c r="N11" s="7"/>
      <c r="O11" s="7"/>
    </row>
    <row r="12">
      <c r="A12" s="2" t="s">
        <v>1186</v>
      </c>
      <c r="B12" s="2" t="s">
        <v>1462</v>
      </c>
      <c r="C12" s="2" t="s">
        <v>1952</v>
      </c>
      <c r="D12" s="4" t="s">
        <v>231</v>
      </c>
      <c r="E12" s="8" t="s">
        <v>231</v>
      </c>
      <c r="F12" s="4" t="s">
        <v>231</v>
      </c>
      <c r="G12" s="8" t="s">
        <v>231</v>
      </c>
      <c r="H12" s="7" t="s">
        <v>231</v>
      </c>
      <c r="I12" s="7" t="s">
        <v>231</v>
      </c>
      <c r="J12" s="4"/>
      <c r="K12" s="8"/>
      <c r="L12" s="4"/>
      <c r="M12" s="8"/>
      <c r="N12" s="7"/>
      <c r="O12" s="7"/>
    </row>
    <row r="13">
      <c r="A13" s="2" t="s">
        <v>1186</v>
      </c>
      <c r="B13" s="2" t="s">
        <v>1462</v>
      </c>
      <c r="C13" s="2" t="s">
        <v>1187</v>
      </c>
      <c r="D13" s="4" t="s">
        <v>231</v>
      </c>
      <c r="E13" s="8" t="s">
        <v>231</v>
      </c>
      <c r="F13" s="4" t="s">
        <v>231</v>
      </c>
      <c r="G13" s="8" t="s">
        <v>231</v>
      </c>
      <c r="H13" s="7" t="s">
        <v>231</v>
      </c>
      <c r="I13" s="7" t="s">
        <v>231</v>
      </c>
      <c r="J13" s="4"/>
      <c r="K13" s="8"/>
      <c r="L13" s="4"/>
      <c r="M13" s="8"/>
      <c r="N13" s="7"/>
      <c r="O13" s="7"/>
    </row>
    <row r="14">
      <c r="A14" s="2" t="s">
        <v>1186</v>
      </c>
      <c r="B14" s="2" t="s">
        <v>1462</v>
      </c>
      <c r="C14" s="2" t="s">
        <v>1884</v>
      </c>
      <c r="D14" s="4" t="s">
        <v>231</v>
      </c>
      <c r="E14" s="8" t="s">
        <v>231</v>
      </c>
      <c r="F14" s="4" t="s">
        <v>231</v>
      </c>
      <c r="G14" s="8" t="s">
        <v>231</v>
      </c>
      <c r="H14" s="7" t="s">
        <v>231</v>
      </c>
      <c r="I14" s="7" t="s">
        <v>231</v>
      </c>
      <c r="J14" s="4"/>
      <c r="K14" s="8"/>
      <c r="L14" s="4"/>
      <c r="M14" s="8"/>
      <c r="N14" s="7"/>
      <c r="O14" s="7"/>
    </row>
    <row r="15">
      <c r="A15" s="2" t="s">
        <v>1186</v>
      </c>
      <c r="B15" s="2" t="s">
        <v>1462</v>
      </c>
      <c r="C15" s="2" t="s">
        <v>2563</v>
      </c>
      <c r="D15" s="4" t="s">
        <v>231</v>
      </c>
      <c r="E15" s="8" t="s">
        <v>231</v>
      </c>
      <c r="F15" s="4" t="s">
        <v>231</v>
      </c>
      <c r="G15" s="8" t="s">
        <v>231</v>
      </c>
      <c r="H15" s="7" t="s">
        <v>231</v>
      </c>
      <c r="I15" s="7" t="s">
        <v>231</v>
      </c>
      <c r="J15" s="4"/>
      <c r="K15" s="8"/>
      <c r="L15" s="4"/>
      <c r="M15" s="8"/>
      <c r="N15" s="7"/>
      <c r="O15" s="7"/>
    </row>
    <row r="16">
      <c r="A16" s="2" t="s">
        <v>1186</v>
      </c>
      <c r="B16" s="2" t="s">
        <v>1462</v>
      </c>
      <c r="C16" s="2" t="s">
        <v>1463</v>
      </c>
      <c r="D16" s="4" t="s">
        <v>231</v>
      </c>
      <c r="E16" s="8" t="s">
        <v>231</v>
      </c>
      <c r="F16" s="4" t="s">
        <v>231</v>
      </c>
      <c r="G16" s="8" t="s">
        <v>231</v>
      </c>
      <c r="H16" s="7" t="s">
        <v>231</v>
      </c>
      <c r="I16" s="7" t="s">
        <v>231</v>
      </c>
      <c r="J16" s="4"/>
      <c r="K16" s="8"/>
      <c r="L16" s="4"/>
      <c r="M16" s="8"/>
      <c r="N16" s="7"/>
      <c r="O16" s="7"/>
    </row>
    <row r="17">
      <c r="A17" s="2" t="s">
        <v>1186</v>
      </c>
      <c r="B17" s="2" t="s">
        <v>1462</v>
      </c>
      <c r="C17" s="2" t="s">
        <v>3568</v>
      </c>
      <c r="D17" s="4" t="s">
        <v>231</v>
      </c>
      <c r="E17" s="8" t="s">
        <v>231</v>
      </c>
      <c r="F17" s="4" t="s">
        <v>231</v>
      </c>
      <c r="G17" s="8" t="s">
        <v>231</v>
      </c>
      <c r="H17" s="7" t="s">
        <v>231</v>
      </c>
      <c r="I17" s="7" t="s">
        <v>231</v>
      </c>
      <c r="J17" s="4"/>
      <c r="K17" s="8"/>
      <c r="L17" s="4"/>
      <c r="M17" s="8"/>
      <c r="N17" s="7"/>
      <c r="O17" s="7"/>
    </row>
    <row r="18">
      <c r="A18" s="2" t="s">
        <v>1186</v>
      </c>
      <c r="B18" s="2" t="s">
        <v>1462</v>
      </c>
      <c r="C18" s="2" t="s">
        <v>7034</v>
      </c>
      <c r="D18" s="4" t="s">
        <v>231</v>
      </c>
      <c r="E18" s="8" t="s">
        <v>231</v>
      </c>
      <c r="F18" s="4" t="s">
        <v>231</v>
      </c>
      <c r="G18" s="8" t="s">
        <v>231</v>
      </c>
      <c r="H18" s="7" t="s">
        <v>231</v>
      </c>
      <c r="I18" s="7" t="s">
        <v>231</v>
      </c>
      <c r="J18" s="4"/>
      <c r="K18" s="8"/>
      <c r="L18" s="4"/>
      <c r="M18" s="8"/>
      <c r="N18" s="7"/>
      <c r="O18" s="7"/>
    </row>
    <row r="19">
      <c r="A19" s="2" t="s">
        <v>1186</v>
      </c>
      <c r="B19" s="2" t="s">
        <v>826</v>
      </c>
      <c r="C19" s="2" t="s">
        <v>1060</v>
      </c>
      <c r="D19" s="4" t="s">
        <v>231</v>
      </c>
      <c r="E19" s="8" t="s">
        <v>231</v>
      </c>
      <c r="F19" s="4" t="s">
        <v>231</v>
      </c>
      <c r="G19" s="8" t="s">
        <v>231</v>
      </c>
      <c r="H19" s="7" t="s">
        <v>231</v>
      </c>
      <c r="I19" s="7" t="s">
        <v>231</v>
      </c>
      <c r="J19" s="4"/>
      <c r="K19" s="8"/>
      <c r="L19" s="4"/>
      <c r="M19" s="8"/>
      <c r="N19" s="7"/>
      <c r="O19" s="7"/>
    </row>
    <row r="20">
      <c r="A20" s="2" t="s">
        <v>1186</v>
      </c>
      <c r="B20" s="2" t="s">
        <v>826</v>
      </c>
      <c r="C20" s="2" t="s">
        <v>827</v>
      </c>
      <c r="D20" s="4" t="s">
        <v>231</v>
      </c>
      <c r="E20" s="8" t="s">
        <v>231</v>
      </c>
      <c r="F20" s="4" t="s">
        <v>231</v>
      </c>
      <c r="G20" s="8" t="s">
        <v>231</v>
      </c>
      <c r="H20" s="7" t="s">
        <v>231</v>
      </c>
      <c r="I20" s="7" t="s">
        <v>231</v>
      </c>
      <c r="J20" s="4"/>
      <c r="K20" s="8"/>
      <c r="L20" s="4"/>
      <c r="M20" s="8"/>
      <c r="N20" s="7"/>
      <c r="O20" s="7"/>
    </row>
    <row r="21">
      <c r="A21" s="2" t="s">
        <v>1186</v>
      </c>
      <c r="B21" s="2" t="s">
        <v>1139</v>
      </c>
      <c r="C21" s="2" t="s">
        <v>1981</v>
      </c>
      <c r="D21" s="4" t="s">
        <v>231</v>
      </c>
      <c r="E21" s="8" t="s">
        <v>231</v>
      </c>
      <c r="F21" s="4" t="s">
        <v>231</v>
      </c>
      <c r="G21" s="8" t="s">
        <v>231</v>
      </c>
      <c r="H21" s="7" t="s">
        <v>231</v>
      </c>
      <c r="I21" s="7" t="s">
        <v>231</v>
      </c>
      <c r="J21" s="4"/>
      <c r="K21" s="8"/>
      <c r="L21" s="4"/>
      <c r="M21" s="8"/>
      <c r="N21" s="7"/>
      <c r="O21" s="7"/>
    </row>
    <row r="22">
      <c r="A22" s="2" t="s">
        <v>1186</v>
      </c>
      <c r="B22" s="2" t="s">
        <v>1139</v>
      </c>
      <c r="C22" s="2" t="s">
        <v>1140</v>
      </c>
      <c r="D22" s="4" t="s">
        <v>231</v>
      </c>
      <c r="E22" s="8" t="s">
        <v>231</v>
      </c>
      <c r="F22" s="4" t="s">
        <v>231</v>
      </c>
      <c r="G22" s="8" t="s">
        <v>231</v>
      </c>
      <c r="H22" s="7" t="s">
        <v>231</v>
      </c>
      <c r="I22" s="7" t="s">
        <v>231</v>
      </c>
      <c r="J22" s="4"/>
      <c r="K22" s="8"/>
      <c r="L22" s="4"/>
      <c r="M22" s="8"/>
      <c r="N22" s="7"/>
      <c r="O22" s="7"/>
    </row>
    <row r="23">
      <c r="A23" s="2" t="s">
        <v>1186</v>
      </c>
      <c r="B23" s="2" t="s">
        <v>9280</v>
      </c>
      <c r="C23" s="2" t="s">
        <v>1463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1186</v>
      </c>
      <c r="B24" s="2" t="s">
        <v>1624</v>
      </c>
      <c r="C24" s="2" t="s">
        <v>1625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2695</v>
      </c>
      <c r="B25" s="2" t="s">
        <v>2696</v>
      </c>
      <c r="C25" s="2" t="s">
        <v>2697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847</v>
      </c>
      <c r="B26" s="2" t="s">
        <v>7337</v>
      </c>
      <c r="C26" s="2" t="s">
        <v>7338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847</v>
      </c>
      <c r="B27" s="2" t="s">
        <v>2003</v>
      </c>
      <c r="C27" s="2" t="s">
        <v>7338</v>
      </c>
      <c r="D27" s="4" t="s">
        <v>231</v>
      </c>
      <c r="E27" s="8" t="s">
        <v>231</v>
      </c>
      <c r="F27" s="4" t="s">
        <v>231</v>
      </c>
      <c r="G27" s="8" t="s">
        <v>231</v>
      </c>
      <c r="H27" s="7" t="s">
        <v>231</v>
      </c>
      <c r="I27" s="7" t="s">
        <v>231</v>
      </c>
      <c r="J27" s="4"/>
      <c r="K27" s="8"/>
      <c r="L27" s="4"/>
      <c r="M27" s="8"/>
      <c r="N27" s="7"/>
      <c r="O27" s="7"/>
    </row>
    <row r="28">
      <c r="A28" s="2" t="s">
        <v>847</v>
      </c>
      <c r="B28" s="2" t="s">
        <v>2003</v>
      </c>
      <c r="C28" s="2" t="s">
        <v>6975</v>
      </c>
      <c r="D28" s="4" t="s">
        <v>231</v>
      </c>
      <c r="E28" s="8" t="s">
        <v>231</v>
      </c>
      <c r="F28" s="4" t="s">
        <v>231</v>
      </c>
      <c r="G28" s="8" t="s">
        <v>231</v>
      </c>
      <c r="H28" s="7" t="s">
        <v>231</v>
      </c>
      <c r="I28" s="7" t="s">
        <v>231</v>
      </c>
      <c r="J28" s="4"/>
      <c r="K28" s="8"/>
      <c r="L28" s="4"/>
      <c r="M28" s="8"/>
      <c r="N28" s="7"/>
      <c r="O28" s="7"/>
    </row>
    <row r="29">
      <c r="A29" s="2" t="s">
        <v>847</v>
      </c>
      <c r="B29" s="2" t="s">
        <v>2003</v>
      </c>
      <c r="C29" s="2" t="s">
        <v>849</v>
      </c>
      <c r="D29" s="4" t="s">
        <v>231</v>
      </c>
      <c r="E29" s="8" t="s">
        <v>231</v>
      </c>
      <c r="F29" s="4" t="s">
        <v>231</v>
      </c>
      <c r="G29" s="8" t="s">
        <v>231</v>
      </c>
      <c r="H29" s="7" t="s">
        <v>231</v>
      </c>
      <c r="I29" s="7" t="s">
        <v>231</v>
      </c>
      <c r="J29" s="4"/>
      <c r="K29" s="8"/>
      <c r="L29" s="4"/>
      <c r="M29" s="8"/>
      <c r="N29" s="7"/>
      <c r="O29" s="7"/>
    </row>
    <row r="30">
      <c r="A30" s="2" t="s">
        <v>847</v>
      </c>
      <c r="B30" s="2" t="s">
        <v>2003</v>
      </c>
      <c r="C30" s="2" t="s">
        <v>2623</v>
      </c>
      <c r="D30" s="4" t="s">
        <v>231</v>
      </c>
      <c r="E30" s="8" t="s">
        <v>231</v>
      </c>
      <c r="F30" s="4" t="s">
        <v>231</v>
      </c>
      <c r="G30" s="8" t="s">
        <v>231</v>
      </c>
      <c r="H30" s="7" t="s">
        <v>231</v>
      </c>
      <c r="I30" s="7" t="s">
        <v>231</v>
      </c>
      <c r="J30" s="4"/>
      <c r="K30" s="8"/>
      <c r="L30" s="4"/>
      <c r="M30" s="8"/>
      <c r="N30" s="7"/>
      <c r="O30" s="7"/>
    </row>
    <row r="31">
      <c r="A31" s="2" t="s">
        <v>847</v>
      </c>
      <c r="B31" s="2" t="s">
        <v>9466</v>
      </c>
      <c r="C31" s="2" t="s">
        <v>9467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847</v>
      </c>
      <c r="B32" s="2" t="s">
        <v>882</v>
      </c>
      <c r="C32" s="2" t="s">
        <v>2191</v>
      </c>
      <c r="D32" s="4" t="s">
        <v>231</v>
      </c>
      <c r="E32" s="8" t="s">
        <v>231</v>
      </c>
      <c r="F32" s="4" t="s">
        <v>231</v>
      </c>
      <c r="G32" s="8" t="s">
        <v>231</v>
      </c>
      <c r="H32" s="7" t="s">
        <v>231</v>
      </c>
      <c r="I32" s="7" t="s">
        <v>231</v>
      </c>
      <c r="J32" s="4"/>
      <c r="K32" s="8"/>
      <c r="L32" s="4"/>
      <c r="M32" s="8"/>
      <c r="N32" s="7"/>
      <c r="O32" s="7"/>
    </row>
    <row r="33">
      <c r="A33" s="2" t="s">
        <v>847</v>
      </c>
      <c r="B33" s="2" t="s">
        <v>882</v>
      </c>
      <c r="C33" s="2" t="s">
        <v>849</v>
      </c>
      <c r="D33" s="4" t="s">
        <v>231</v>
      </c>
      <c r="E33" s="8" t="s">
        <v>231</v>
      </c>
      <c r="F33" s="4" t="s">
        <v>231</v>
      </c>
      <c r="G33" s="8" t="s">
        <v>231</v>
      </c>
      <c r="H33" s="7" t="s">
        <v>231</v>
      </c>
      <c r="I33" s="7" t="s">
        <v>231</v>
      </c>
      <c r="J33" s="4"/>
      <c r="K33" s="8"/>
      <c r="L33" s="4"/>
      <c r="M33" s="8"/>
      <c r="N33" s="7"/>
      <c r="O33" s="7"/>
    </row>
    <row r="34">
      <c r="A34" s="2" t="s">
        <v>847</v>
      </c>
      <c r="B34" s="2" t="s">
        <v>882</v>
      </c>
      <c r="C34" s="2" t="s">
        <v>2623</v>
      </c>
      <c r="D34" s="4" t="s">
        <v>231</v>
      </c>
      <c r="E34" s="8" t="s">
        <v>231</v>
      </c>
      <c r="F34" s="4" t="s">
        <v>231</v>
      </c>
      <c r="G34" s="8" t="s">
        <v>231</v>
      </c>
      <c r="H34" s="7" t="s">
        <v>231</v>
      </c>
      <c r="I34" s="7" t="s">
        <v>231</v>
      </c>
      <c r="J34" s="4"/>
      <c r="K34" s="8"/>
      <c r="L34" s="4"/>
      <c r="M34" s="8"/>
      <c r="N34" s="7"/>
      <c r="O34" s="7"/>
    </row>
    <row r="35">
      <c r="A35" s="2" t="s">
        <v>847</v>
      </c>
      <c r="B35" s="2" t="s">
        <v>8582</v>
      </c>
      <c r="C35" s="2" t="s">
        <v>8583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847</v>
      </c>
      <c r="B36" s="2" t="s">
        <v>906</v>
      </c>
      <c r="C36" s="2" t="s">
        <v>907</v>
      </c>
      <c r="D36" s="4" t="s">
        <v>231</v>
      </c>
      <c r="E36" s="8" t="s">
        <v>231</v>
      </c>
      <c r="F36" s="4" t="s">
        <v>231</v>
      </c>
      <c r="G36" s="8" t="s">
        <v>231</v>
      </c>
      <c r="H36" s="7" t="s">
        <v>231</v>
      </c>
      <c r="I36" s="7" t="s">
        <v>231</v>
      </c>
      <c r="J36" s="4"/>
      <c r="K36" s="8"/>
      <c r="L36" s="4"/>
      <c r="M36" s="8"/>
      <c r="N36" s="7"/>
      <c r="O36" s="7"/>
    </row>
    <row r="37">
      <c r="A37" s="2" t="s">
        <v>847</v>
      </c>
      <c r="B37" s="2" t="s">
        <v>906</v>
      </c>
      <c r="C37" s="2" t="s">
        <v>5338</v>
      </c>
      <c r="D37" s="4" t="s">
        <v>231</v>
      </c>
      <c r="E37" s="8" t="s">
        <v>231</v>
      </c>
      <c r="F37" s="4" t="s">
        <v>231</v>
      </c>
      <c r="G37" s="8" t="s">
        <v>231</v>
      </c>
      <c r="H37" s="7" t="s">
        <v>231</v>
      </c>
      <c r="I37" s="7" t="s">
        <v>231</v>
      </c>
      <c r="J37" s="4"/>
      <c r="K37" s="8"/>
      <c r="L37" s="4"/>
      <c r="M37" s="8"/>
      <c r="N37" s="7"/>
      <c r="O37" s="7"/>
    </row>
    <row r="38">
      <c r="A38" s="2" t="s">
        <v>847</v>
      </c>
      <c r="B38" s="2" t="s">
        <v>10694</v>
      </c>
      <c r="C38" s="2" t="s">
        <v>10695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847</v>
      </c>
      <c r="B39" s="2" t="s">
        <v>848</v>
      </c>
      <c r="C39" s="2" t="s">
        <v>849</v>
      </c>
      <c r="D39" s="4" t="s">
        <v>231</v>
      </c>
      <c r="E39" s="8" t="s">
        <v>231</v>
      </c>
      <c r="F39" s="4" t="s">
        <v>231</v>
      </c>
      <c r="G39" s="8" t="s">
        <v>231</v>
      </c>
      <c r="H39" s="7" t="s">
        <v>231</v>
      </c>
      <c r="I39" s="7" t="s">
        <v>231</v>
      </c>
      <c r="J39" s="4"/>
      <c r="K39" s="8"/>
      <c r="L39" s="4"/>
      <c r="M39" s="8"/>
      <c r="N39" s="7"/>
      <c r="O39" s="7"/>
    </row>
    <row r="40">
      <c r="A40" s="2" t="s">
        <v>847</v>
      </c>
      <c r="B40" s="2" t="s">
        <v>848</v>
      </c>
      <c r="C40" s="2" t="s">
        <v>2623</v>
      </c>
      <c r="D40" s="4" t="s">
        <v>231</v>
      </c>
      <c r="E40" s="8" t="s">
        <v>231</v>
      </c>
      <c r="F40" s="4" t="s">
        <v>231</v>
      </c>
      <c r="G40" s="8" t="s">
        <v>231</v>
      </c>
      <c r="H40" s="7" t="s">
        <v>231</v>
      </c>
      <c r="I40" s="7" t="s">
        <v>231</v>
      </c>
      <c r="J40" s="4"/>
      <c r="K40" s="8"/>
      <c r="L40" s="4"/>
      <c r="M40" s="8"/>
      <c r="N40" s="7"/>
      <c r="O40" s="7"/>
    </row>
    <row r="41">
      <c r="A41" s="2" t="s">
        <v>262</v>
      </c>
      <c r="B41" s="2" t="s">
        <v>228</v>
      </c>
      <c r="C41" s="2" t="s">
        <v>229</v>
      </c>
      <c r="D41" s="4" t="s">
        <v>231</v>
      </c>
      <c r="E41" s="8" t="s">
        <v>231</v>
      </c>
      <c r="F41" s="4" t="s">
        <v>231</v>
      </c>
      <c r="G41" s="8" t="s">
        <v>231</v>
      </c>
      <c r="H41" s="7" t="s">
        <v>231</v>
      </c>
      <c r="I41" s="7" t="s">
        <v>231</v>
      </c>
      <c r="J41" s="4"/>
      <c r="K41" s="8"/>
      <c r="L41" s="4"/>
      <c r="M41" s="8"/>
      <c r="N41" s="7"/>
      <c r="O41" s="7"/>
    </row>
    <row r="42">
      <c r="A42" s="2" t="s">
        <v>262</v>
      </c>
      <c r="B42" s="2" t="s">
        <v>228</v>
      </c>
      <c r="C42" s="2" t="s">
        <v>3164</v>
      </c>
      <c r="D42" s="4" t="s">
        <v>231</v>
      </c>
      <c r="E42" s="8" t="s">
        <v>231</v>
      </c>
      <c r="F42" s="4" t="s">
        <v>231</v>
      </c>
      <c r="G42" s="8" t="s">
        <v>231</v>
      </c>
      <c r="H42" s="7" t="s">
        <v>231</v>
      </c>
      <c r="I42" s="7" t="s">
        <v>231</v>
      </c>
      <c r="J42" s="4"/>
      <c r="K42" s="8"/>
      <c r="L42" s="4"/>
      <c r="M42" s="8"/>
      <c r="N42" s="7"/>
      <c r="O42" s="7"/>
    </row>
    <row r="43">
      <c r="A43" s="2" t="s">
        <v>262</v>
      </c>
      <c r="B43" s="2" t="s">
        <v>654</v>
      </c>
      <c r="C43" s="2" t="s">
        <v>655</v>
      </c>
      <c r="D43" s="4" t="s">
        <v>231</v>
      </c>
      <c r="E43" s="8" t="s">
        <v>231</v>
      </c>
      <c r="F43" s="4" t="s">
        <v>231</v>
      </c>
      <c r="G43" s="8" t="s">
        <v>231</v>
      </c>
      <c r="H43" s="7" t="s">
        <v>231</v>
      </c>
      <c r="I43" s="7" t="s">
        <v>231</v>
      </c>
      <c r="J43" s="4"/>
      <c r="K43" s="8"/>
      <c r="L43" s="4"/>
      <c r="M43" s="8"/>
      <c r="N43" s="7"/>
      <c r="O43" s="7"/>
    </row>
    <row r="44">
      <c r="A44" s="2" t="s">
        <v>262</v>
      </c>
      <c r="B44" s="2" t="s">
        <v>654</v>
      </c>
      <c r="C44" s="2" t="s">
        <v>890</v>
      </c>
      <c r="D44" s="4" t="s">
        <v>231</v>
      </c>
      <c r="E44" s="8" t="s">
        <v>231</v>
      </c>
      <c r="F44" s="4" t="s">
        <v>231</v>
      </c>
      <c r="G44" s="8" t="s">
        <v>231</v>
      </c>
      <c r="H44" s="7" t="s">
        <v>231</v>
      </c>
      <c r="I44" s="7" t="s">
        <v>231</v>
      </c>
      <c r="J44" s="4"/>
      <c r="K44" s="8"/>
      <c r="L44" s="4"/>
      <c r="M44" s="8"/>
      <c r="N44" s="7"/>
      <c r="O44" s="7"/>
    </row>
    <row r="45">
      <c r="A45" s="2" t="s">
        <v>262</v>
      </c>
      <c r="B45" s="2" t="s">
        <v>654</v>
      </c>
      <c r="C45" s="2" t="s">
        <v>1212</v>
      </c>
      <c r="D45" s="4" t="s">
        <v>231</v>
      </c>
      <c r="E45" s="8" t="s">
        <v>231</v>
      </c>
      <c r="F45" s="4" t="s">
        <v>231</v>
      </c>
      <c r="G45" s="8" t="s">
        <v>231</v>
      </c>
      <c r="H45" s="7" t="s">
        <v>231</v>
      </c>
      <c r="I45" s="7" t="s">
        <v>231</v>
      </c>
      <c r="J45" s="4"/>
      <c r="K45" s="8"/>
      <c r="L45" s="4"/>
      <c r="M45" s="8"/>
      <c r="N45" s="7"/>
      <c r="O45" s="7"/>
    </row>
    <row r="46">
      <c r="A46" s="2" t="s">
        <v>262</v>
      </c>
      <c r="B46" s="2" t="s">
        <v>654</v>
      </c>
      <c r="C46" s="2" t="s">
        <v>1200</v>
      </c>
      <c r="D46" s="4" t="s">
        <v>231</v>
      </c>
      <c r="E46" s="8" t="s">
        <v>231</v>
      </c>
      <c r="F46" s="4" t="s">
        <v>231</v>
      </c>
      <c r="G46" s="8" t="s">
        <v>231</v>
      </c>
      <c r="H46" s="7" t="s">
        <v>231</v>
      </c>
      <c r="I46" s="7" t="s">
        <v>231</v>
      </c>
      <c r="J46" s="4"/>
      <c r="K46" s="8"/>
      <c r="L46" s="4"/>
      <c r="M46" s="8"/>
      <c r="N46" s="7"/>
      <c r="O46" s="7"/>
    </row>
    <row r="47">
      <c r="A47" s="2" t="s">
        <v>262</v>
      </c>
      <c r="B47" s="2" t="s">
        <v>264</v>
      </c>
      <c r="C47" s="2" t="s">
        <v>3915</v>
      </c>
      <c r="D47" s="4" t="s">
        <v>231</v>
      </c>
      <c r="E47" s="8" t="s">
        <v>231</v>
      </c>
      <c r="F47" s="4" t="s">
        <v>231</v>
      </c>
      <c r="G47" s="8" t="s">
        <v>231</v>
      </c>
      <c r="H47" s="7" t="s">
        <v>231</v>
      </c>
      <c r="I47" s="7" t="s">
        <v>231</v>
      </c>
      <c r="J47" s="4"/>
      <c r="K47" s="8"/>
      <c r="L47" s="4"/>
      <c r="M47" s="8"/>
      <c r="N47" s="7"/>
      <c r="O47" s="7"/>
    </row>
    <row r="48">
      <c r="A48" s="2" t="s">
        <v>262</v>
      </c>
      <c r="B48" s="2" t="s">
        <v>264</v>
      </c>
      <c r="C48" s="2" t="s">
        <v>265</v>
      </c>
      <c r="D48" s="4" t="s">
        <v>231</v>
      </c>
      <c r="E48" s="8" t="s">
        <v>231</v>
      </c>
      <c r="F48" s="4" t="s">
        <v>231</v>
      </c>
      <c r="G48" s="8" t="s">
        <v>231</v>
      </c>
      <c r="H48" s="7" t="s">
        <v>231</v>
      </c>
      <c r="I48" s="7" t="s">
        <v>231</v>
      </c>
      <c r="J48" s="4"/>
      <c r="K48" s="8"/>
      <c r="L48" s="4"/>
      <c r="M48" s="8"/>
      <c r="N48" s="7"/>
      <c r="O48" s="7"/>
    </row>
    <row r="49">
      <c r="A49" s="2" t="s">
        <v>262</v>
      </c>
      <c r="B49" s="2" t="s">
        <v>1139</v>
      </c>
      <c r="C49" s="2" t="s">
        <v>10793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262</v>
      </c>
      <c r="B50" s="2" t="s">
        <v>458</v>
      </c>
      <c r="C50" s="2" t="s">
        <v>10793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262</v>
      </c>
      <c r="B51" s="2" t="s">
        <v>1624</v>
      </c>
      <c r="C51" s="2" t="s">
        <v>3164</v>
      </c>
      <c r="D51" s="4" t="s">
        <v>231</v>
      </c>
      <c r="E51" s="8" t="s">
        <v>231</v>
      </c>
      <c r="F51" s="4" t="s">
        <v>231</v>
      </c>
      <c r="G51" s="8" t="s">
        <v>231</v>
      </c>
      <c r="H51" s="7" t="s">
        <v>231</v>
      </c>
      <c r="I51" s="7" t="s">
        <v>231</v>
      </c>
      <c r="J51" s="4"/>
      <c r="K51" s="8"/>
      <c r="L51" s="4"/>
      <c r="M51" s="8"/>
      <c r="N51" s="7"/>
      <c r="O51" s="7"/>
    </row>
    <row r="52">
      <c r="A52" s="2" t="s">
        <v>262</v>
      </c>
      <c r="B52" s="2" t="s">
        <v>1624</v>
      </c>
      <c r="C52" s="2" t="s">
        <v>1625</v>
      </c>
      <c r="D52" s="4" t="s">
        <v>231</v>
      </c>
      <c r="E52" s="8" t="s">
        <v>231</v>
      </c>
      <c r="F52" s="4" t="s">
        <v>231</v>
      </c>
      <c r="G52" s="8" t="s">
        <v>231</v>
      </c>
      <c r="H52" s="7" t="s">
        <v>231</v>
      </c>
      <c r="I52" s="7" t="s">
        <v>231</v>
      </c>
      <c r="J52" s="4"/>
      <c r="K52" s="8"/>
      <c r="L52" s="4"/>
      <c r="M52" s="8"/>
      <c r="N52" s="7"/>
      <c r="O52" s="7"/>
    </row>
    <row r="53">
      <c r="A53" s="2" t="s">
        <v>940</v>
      </c>
      <c r="B53" s="2" t="s">
        <v>3996</v>
      </c>
      <c r="C53" s="2" t="s">
        <v>3997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940</v>
      </c>
      <c r="B54" s="2" t="s">
        <v>941</v>
      </c>
      <c r="C54" s="2" t="s">
        <v>942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940</v>
      </c>
      <c r="B55" s="2" t="s">
        <v>1533</v>
      </c>
      <c r="C55" s="2" t="s">
        <v>1534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226</v>
      </c>
      <c r="B56" s="2" t="s">
        <v>228</v>
      </c>
      <c r="C56" s="2" t="s">
        <v>229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226</v>
      </c>
      <c r="B57" s="2" t="s">
        <v>654</v>
      </c>
      <c r="C57" s="2" t="s">
        <v>655</v>
      </c>
      <c r="D57" s="4" t="s">
        <v>231</v>
      </c>
      <c r="E57" s="8" t="s">
        <v>231</v>
      </c>
      <c r="F57" s="4" t="s">
        <v>231</v>
      </c>
      <c r="G57" s="8" t="s">
        <v>231</v>
      </c>
      <c r="H57" s="7" t="s">
        <v>231</v>
      </c>
      <c r="I57" s="7" t="s">
        <v>231</v>
      </c>
      <c r="J57" s="4"/>
      <c r="K57" s="8"/>
      <c r="L57" s="4"/>
      <c r="M57" s="8"/>
      <c r="N57" s="7"/>
      <c r="O57" s="7"/>
    </row>
    <row r="58">
      <c r="A58" s="2" t="s">
        <v>226</v>
      </c>
      <c r="B58" s="2" t="s">
        <v>654</v>
      </c>
      <c r="C58" s="2" t="s">
        <v>890</v>
      </c>
      <c r="D58" s="4" t="s">
        <v>231</v>
      </c>
      <c r="E58" s="8" t="s">
        <v>231</v>
      </c>
      <c r="F58" s="4" t="s">
        <v>231</v>
      </c>
      <c r="G58" s="8" t="s">
        <v>231</v>
      </c>
      <c r="H58" s="7" t="s">
        <v>231</v>
      </c>
      <c r="I58" s="7" t="s">
        <v>231</v>
      </c>
      <c r="J58" s="4"/>
      <c r="K58" s="8"/>
      <c r="L58" s="4"/>
      <c r="M58" s="8"/>
      <c r="N58" s="7"/>
      <c r="O58" s="7"/>
    </row>
    <row r="59">
      <c r="A59" s="2" t="s">
        <v>226</v>
      </c>
      <c r="B59" s="2" t="s">
        <v>1462</v>
      </c>
      <c r="C59" s="2" t="s">
        <v>2563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226</v>
      </c>
      <c r="B60" s="2" t="s">
        <v>826</v>
      </c>
      <c r="C60" s="2" t="s">
        <v>1060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226</v>
      </c>
      <c r="B61" s="2" t="s">
        <v>3885</v>
      </c>
      <c r="C61" s="2" t="s">
        <v>3886</v>
      </c>
      <c r="D61" s="4" t="s">
        <v>231</v>
      </c>
      <c r="E61" s="8" t="s">
        <v>231</v>
      </c>
      <c r="F61" s="4" t="s">
        <v>231</v>
      </c>
      <c r="G61" s="8" t="s">
        <v>231</v>
      </c>
      <c r="H61" s="7" t="s">
        <v>231</v>
      </c>
      <c r="I61" s="7" t="s">
        <v>231</v>
      </c>
      <c r="J61" s="4"/>
      <c r="K61" s="8"/>
      <c r="L61" s="4"/>
      <c r="M61" s="8"/>
      <c r="N61" s="7"/>
      <c r="O61" s="7"/>
    </row>
    <row r="62">
      <c r="A62" s="2" t="s">
        <v>226</v>
      </c>
      <c r="B62" s="2" t="s">
        <v>3885</v>
      </c>
      <c r="C62" s="2" t="s">
        <v>3915</v>
      </c>
      <c r="D62" s="4" t="s">
        <v>231</v>
      </c>
      <c r="E62" s="8" t="s">
        <v>231</v>
      </c>
      <c r="F62" s="4" t="s">
        <v>231</v>
      </c>
      <c r="G62" s="8" t="s">
        <v>231</v>
      </c>
      <c r="H62" s="7" t="s">
        <v>231</v>
      </c>
      <c r="I62" s="7" t="s">
        <v>231</v>
      </c>
      <c r="J62" s="4"/>
      <c r="K62" s="8"/>
      <c r="L62" s="4"/>
      <c r="M62" s="8"/>
      <c r="N62" s="7"/>
      <c r="O62" s="7"/>
    </row>
    <row r="63">
      <c r="A63" s="2" t="s">
        <v>226</v>
      </c>
      <c r="B63" s="2" t="s">
        <v>1549</v>
      </c>
      <c r="C63" s="2" t="s">
        <v>6675</v>
      </c>
      <c r="D63" s="4" t="s">
        <v>231</v>
      </c>
      <c r="E63" s="8" t="s">
        <v>231</v>
      </c>
      <c r="F63" s="4" t="s">
        <v>231</v>
      </c>
      <c r="G63" s="8" t="s">
        <v>231</v>
      </c>
      <c r="H63" s="7" t="s">
        <v>231</v>
      </c>
      <c r="I63" s="7" t="s">
        <v>231</v>
      </c>
      <c r="J63" s="4"/>
      <c r="K63" s="8"/>
      <c r="L63" s="4"/>
      <c r="M63" s="8"/>
      <c r="N63" s="7"/>
      <c r="O63" s="7"/>
    </row>
    <row r="64">
      <c r="A64" s="2" t="s">
        <v>226</v>
      </c>
      <c r="B64" s="2" t="s">
        <v>1549</v>
      </c>
      <c r="C64" s="2" t="s">
        <v>3949</v>
      </c>
      <c r="D64" s="4" t="s">
        <v>231</v>
      </c>
      <c r="E64" s="8" t="s">
        <v>231</v>
      </c>
      <c r="F64" s="4" t="s">
        <v>231</v>
      </c>
      <c r="G64" s="8" t="s">
        <v>231</v>
      </c>
      <c r="H64" s="7" t="s">
        <v>231</v>
      </c>
      <c r="I64" s="7" t="s">
        <v>231</v>
      </c>
      <c r="J64" s="4"/>
      <c r="K64" s="8"/>
      <c r="L64" s="4"/>
      <c r="M64" s="8"/>
      <c r="N64" s="7"/>
      <c r="O64" s="7"/>
    </row>
    <row r="65">
      <c r="A65" s="2" t="s">
        <v>226</v>
      </c>
      <c r="B65" s="2" t="s">
        <v>1549</v>
      </c>
      <c r="C65" s="2" t="s">
        <v>1550</v>
      </c>
      <c r="D65" s="4" t="s">
        <v>231</v>
      </c>
      <c r="E65" s="8" t="s">
        <v>231</v>
      </c>
      <c r="F65" s="4" t="s">
        <v>231</v>
      </c>
      <c r="G65" s="8" t="s">
        <v>231</v>
      </c>
      <c r="H65" s="7" t="s">
        <v>231</v>
      </c>
      <c r="I65" s="7" t="s">
        <v>231</v>
      </c>
      <c r="J65" s="4"/>
      <c r="K65" s="8"/>
      <c r="L65" s="4"/>
      <c r="M65" s="8"/>
      <c r="N65" s="7"/>
      <c r="O65" s="7"/>
    </row>
    <row r="66">
      <c r="A66" s="2" t="s">
        <v>226</v>
      </c>
      <c r="B66" s="2" t="s">
        <v>1549</v>
      </c>
      <c r="C66" s="2" t="s">
        <v>6928</v>
      </c>
      <c r="D66" s="4" t="s">
        <v>231</v>
      </c>
      <c r="E66" s="8" t="s">
        <v>231</v>
      </c>
      <c r="F66" s="4" t="s">
        <v>231</v>
      </c>
      <c r="G66" s="8" t="s">
        <v>231</v>
      </c>
      <c r="H66" s="7" t="s">
        <v>231</v>
      </c>
      <c r="I66" s="7" t="s">
        <v>231</v>
      </c>
      <c r="J66" s="4"/>
      <c r="K66" s="8"/>
      <c r="L66" s="4"/>
      <c r="M66" s="8"/>
      <c r="N66" s="7"/>
      <c r="O66" s="7"/>
    </row>
    <row r="67">
      <c r="A67" s="2" t="s">
        <v>226</v>
      </c>
      <c r="B67" s="2" t="s">
        <v>10657</v>
      </c>
      <c r="C67" s="2" t="s">
        <v>10658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226</v>
      </c>
      <c r="B68" s="2" t="s">
        <v>1139</v>
      </c>
      <c r="C68" s="2" t="s">
        <v>1981</v>
      </c>
      <c r="D68" s="4" t="s">
        <v>231</v>
      </c>
      <c r="E68" s="8" t="s">
        <v>231</v>
      </c>
      <c r="F68" s="4" t="s">
        <v>231</v>
      </c>
      <c r="G68" s="8" t="s">
        <v>231</v>
      </c>
      <c r="H68" s="7" t="s">
        <v>231</v>
      </c>
      <c r="I68" s="7" t="s">
        <v>231</v>
      </c>
      <c r="J68" s="4"/>
      <c r="K68" s="8"/>
      <c r="L68" s="4"/>
      <c r="M68" s="8"/>
      <c r="N68" s="7"/>
      <c r="O68" s="7"/>
    </row>
    <row r="69">
      <c r="A69" s="2" t="s">
        <v>226</v>
      </c>
      <c r="B69" s="2" t="s">
        <v>1139</v>
      </c>
      <c r="C69" s="2" t="s">
        <v>1140</v>
      </c>
      <c r="D69" s="4" t="s">
        <v>231</v>
      </c>
      <c r="E69" s="8" t="s">
        <v>231</v>
      </c>
      <c r="F69" s="4" t="s">
        <v>231</v>
      </c>
      <c r="G69" s="8" t="s">
        <v>231</v>
      </c>
      <c r="H69" s="7" t="s">
        <v>231</v>
      </c>
      <c r="I69" s="7" t="s">
        <v>231</v>
      </c>
      <c r="J69" s="4"/>
      <c r="K69" s="8"/>
      <c r="L69" s="4"/>
      <c r="M69" s="8"/>
      <c r="N69" s="7"/>
      <c r="O69" s="7"/>
    </row>
    <row r="70">
      <c r="A70" s="2" t="s">
        <v>226</v>
      </c>
      <c r="B70" s="2" t="s">
        <v>458</v>
      </c>
      <c r="C70" s="2" t="s">
        <v>459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226</v>
      </c>
      <c r="B71" s="2" t="s">
        <v>1624</v>
      </c>
      <c r="C71" s="2" t="s">
        <v>1625</v>
      </c>
      <c r="D71" s="4" t="s">
        <v>231</v>
      </c>
      <c r="E71" s="8" t="s">
        <v>231</v>
      </c>
      <c r="F71" s="4" t="s">
        <v>231</v>
      </c>
      <c r="G71" s="8" t="s">
        <v>231</v>
      </c>
      <c r="H71" s="7" t="s">
        <v>231</v>
      </c>
      <c r="I71" s="7" t="s">
        <v>231</v>
      </c>
      <c r="J71" s="4"/>
      <c r="K71" s="8"/>
      <c r="L71" s="4"/>
      <c r="M71" s="8"/>
      <c r="N71" s="7"/>
      <c r="O71" s="7"/>
    </row>
    <row r="72">
      <c r="A72" s="2" t="s">
        <v>226</v>
      </c>
      <c r="B72" s="2" t="s">
        <v>1624</v>
      </c>
      <c r="C72" s="2" t="s">
        <v>2589</v>
      </c>
      <c r="D72" s="4" t="s">
        <v>231</v>
      </c>
      <c r="E72" s="8" t="s">
        <v>231</v>
      </c>
      <c r="F72" s="4" t="s">
        <v>231</v>
      </c>
      <c r="G72" s="8" t="s">
        <v>231</v>
      </c>
      <c r="H72" s="7" t="s">
        <v>231</v>
      </c>
      <c r="I72" s="7" t="s">
        <v>231</v>
      </c>
      <c r="J72" s="4"/>
      <c r="K72" s="8"/>
      <c r="L72" s="4"/>
      <c r="M72" s="8"/>
      <c r="N72" s="7"/>
      <c r="O72" s="7"/>
    </row>
    <row r="73">
      <c r="A73" s="2" t="s">
        <v>226</v>
      </c>
      <c r="B73" s="2" t="s">
        <v>1673</v>
      </c>
      <c r="C73" s="2" t="s">
        <v>1673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1004</v>
      </c>
      <c r="B74" s="2" t="s">
        <v>1912</v>
      </c>
      <c r="C74" s="2" t="s">
        <v>2523</v>
      </c>
      <c r="D74" s="4" t="s">
        <v>231</v>
      </c>
      <c r="E74" s="8" t="s">
        <v>231</v>
      </c>
      <c r="F74" s="4" t="s">
        <v>231</v>
      </c>
      <c r="G74" s="8" t="s">
        <v>231</v>
      </c>
      <c r="H74" s="7" t="s">
        <v>231</v>
      </c>
      <c r="I74" s="7" t="s">
        <v>231</v>
      </c>
      <c r="J74" s="4"/>
      <c r="K74" s="8"/>
      <c r="L74" s="4"/>
      <c r="M74" s="8"/>
      <c r="N74" s="7"/>
      <c r="O74" s="7"/>
    </row>
    <row r="75">
      <c r="A75" s="2" t="s">
        <v>1004</v>
      </c>
      <c r="B75" s="2" t="s">
        <v>1912</v>
      </c>
      <c r="C75" s="2" t="s">
        <v>1913</v>
      </c>
      <c r="D75" s="4" t="s">
        <v>231</v>
      </c>
      <c r="E75" s="8" t="s">
        <v>231</v>
      </c>
      <c r="F75" s="4" t="s">
        <v>231</v>
      </c>
      <c r="G75" s="8" t="s">
        <v>231</v>
      </c>
      <c r="H75" s="7" t="s">
        <v>231</v>
      </c>
      <c r="I75" s="7" t="s">
        <v>231</v>
      </c>
      <c r="J75" s="4"/>
      <c r="K75" s="8"/>
      <c r="L75" s="4"/>
      <c r="M75" s="8"/>
      <c r="N75" s="7"/>
      <c r="O75" s="7"/>
    </row>
    <row r="76">
      <c r="A76" s="2" t="s">
        <v>1004</v>
      </c>
      <c r="B76" s="2" t="s">
        <v>1689</v>
      </c>
      <c r="C76" s="2" t="s">
        <v>2651</v>
      </c>
      <c r="D76" s="4" t="s">
        <v>231</v>
      </c>
      <c r="E76" s="8" t="s">
        <v>231</v>
      </c>
      <c r="F76" s="4" t="s">
        <v>231</v>
      </c>
      <c r="G76" s="8" t="s">
        <v>231</v>
      </c>
      <c r="H76" s="7" t="s">
        <v>231</v>
      </c>
      <c r="I76" s="7" t="s">
        <v>231</v>
      </c>
      <c r="J76" s="4"/>
      <c r="K76" s="8"/>
      <c r="L76" s="4"/>
      <c r="M76" s="8"/>
      <c r="N76" s="7"/>
      <c r="O76" s="7"/>
    </row>
    <row r="77">
      <c r="A77" s="2" t="s">
        <v>1004</v>
      </c>
      <c r="B77" s="2" t="s">
        <v>1689</v>
      </c>
      <c r="C77" s="2" t="s">
        <v>2538</v>
      </c>
      <c r="D77" s="4" t="s">
        <v>231</v>
      </c>
      <c r="E77" s="8" t="s">
        <v>231</v>
      </c>
      <c r="F77" s="4" t="s">
        <v>231</v>
      </c>
      <c r="G77" s="8" t="s">
        <v>231</v>
      </c>
      <c r="H77" s="7" t="s">
        <v>231</v>
      </c>
      <c r="I77" s="7" t="s">
        <v>231</v>
      </c>
      <c r="J77" s="4"/>
      <c r="K77" s="8"/>
      <c r="L77" s="4"/>
      <c r="M77" s="8"/>
      <c r="N77" s="7"/>
      <c r="O77" s="7"/>
    </row>
    <row r="78">
      <c r="A78" s="2" t="s">
        <v>1004</v>
      </c>
      <c r="B78" s="2" t="s">
        <v>1689</v>
      </c>
      <c r="C78" s="2" t="s">
        <v>7979</v>
      </c>
      <c r="D78" s="4" t="s">
        <v>231</v>
      </c>
      <c r="E78" s="8" t="s">
        <v>231</v>
      </c>
      <c r="F78" s="4" t="s">
        <v>231</v>
      </c>
      <c r="G78" s="8" t="s">
        <v>231</v>
      </c>
      <c r="H78" s="7" t="s">
        <v>231</v>
      </c>
      <c r="I78" s="7" t="s">
        <v>231</v>
      </c>
      <c r="J78" s="4"/>
      <c r="K78" s="8"/>
      <c r="L78" s="4"/>
      <c r="M78" s="8"/>
      <c r="N78" s="7"/>
      <c r="O78" s="7"/>
    </row>
    <row r="79">
      <c r="A79" s="2" t="s">
        <v>1004</v>
      </c>
      <c r="B79" s="2" t="s">
        <v>1689</v>
      </c>
      <c r="C79" s="2" t="s">
        <v>1690</v>
      </c>
      <c r="D79" s="4" t="s">
        <v>231</v>
      </c>
      <c r="E79" s="8" t="s">
        <v>231</v>
      </c>
      <c r="F79" s="4" t="s">
        <v>231</v>
      </c>
      <c r="G79" s="8" t="s">
        <v>231</v>
      </c>
      <c r="H79" s="7" t="s">
        <v>231</v>
      </c>
      <c r="I79" s="7" t="s">
        <v>231</v>
      </c>
      <c r="J79" s="4"/>
      <c r="K79" s="8"/>
      <c r="L79" s="4"/>
      <c r="M79" s="8"/>
      <c r="N79" s="7"/>
      <c r="O79" s="7"/>
    </row>
    <row r="80">
      <c r="A80" s="2" t="s">
        <v>1004</v>
      </c>
      <c r="B80" s="2" t="s">
        <v>1689</v>
      </c>
      <c r="C80" s="2" t="s">
        <v>241</v>
      </c>
      <c r="D80" s="4" t="s">
        <v>231</v>
      </c>
      <c r="E80" s="8" t="s">
        <v>231</v>
      </c>
      <c r="F80" s="4" t="s">
        <v>231</v>
      </c>
      <c r="G80" s="8" t="s">
        <v>231</v>
      </c>
      <c r="H80" s="7" t="s">
        <v>231</v>
      </c>
      <c r="I80" s="7" t="s">
        <v>231</v>
      </c>
      <c r="J80" s="4"/>
      <c r="K80" s="8"/>
      <c r="L80" s="4"/>
      <c r="M80" s="8"/>
      <c r="N80" s="7"/>
      <c r="O80" s="7"/>
    </row>
    <row r="81">
      <c r="A81" s="2" t="s">
        <v>1004</v>
      </c>
      <c r="B81" s="2" t="s">
        <v>2130</v>
      </c>
      <c r="C81" s="2" t="s">
        <v>4359</v>
      </c>
      <c r="D81" s="4" t="s">
        <v>231</v>
      </c>
      <c r="E81" s="8" t="s">
        <v>231</v>
      </c>
      <c r="F81" s="4" t="s">
        <v>231</v>
      </c>
      <c r="G81" s="8" t="s">
        <v>231</v>
      </c>
      <c r="H81" s="7" t="s">
        <v>231</v>
      </c>
      <c r="I81" s="7" t="s">
        <v>231</v>
      </c>
      <c r="J81" s="4"/>
      <c r="K81" s="8"/>
      <c r="L81" s="4"/>
      <c r="M81" s="8"/>
      <c r="N81" s="7"/>
      <c r="O81" s="7"/>
    </row>
    <row r="82">
      <c r="A82" s="2" t="s">
        <v>1004</v>
      </c>
      <c r="B82" s="2" t="s">
        <v>2130</v>
      </c>
      <c r="C82" s="2" t="s">
        <v>4355</v>
      </c>
      <c r="D82" s="4" t="s">
        <v>231</v>
      </c>
      <c r="E82" s="8" t="s">
        <v>231</v>
      </c>
      <c r="F82" s="4" t="s">
        <v>231</v>
      </c>
      <c r="G82" s="8" t="s">
        <v>231</v>
      </c>
      <c r="H82" s="7" t="s">
        <v>231</v>
      </c>
      <c r="I82" s="7" t="s">
        <v>231</v>
      </c>
      <c r="J82" s="4"/>
      <c r="K82" s="8"/>
      <c r="L82" s="4"/>
      <c r="M82" s="8"/>
      <c r="N82" s="7"/>
      <c r="O82" s="7"/>
    </row>
    <row r="83">
      <c r="A83" s="2" t="s">
        <v>1004</v>
      </c>
      <c r="B83" s="2" t="s">
        <v>2130</v>
      </c>
      <c r="C83" s="2" t="s">
        <v>2131</v>
      </c>
      <c r="D83" s="4" t="s">
        <v>231</v>
      </c>
      <c r="E83" s="8" t="s">
        <v>231</v>
      </c>
      <c r="F83" s="4" t="s">
        <v>231</v>
      </c>
      <c r="G83" s="8" t="s">
        <v>231</v>
      </c>
      <c r="H83" s="7" t="s">
        <v>231</v>
      </c>
      <c r="I83" s="7" t="s">
        <v>231</v>
      </c>
      <c r="J83" s="4"/>
      <c r="K83" s="8"/>
      <c r="L83" s="4"/>
      <c r="M83" s="8"/>
      <c r="N83" s="7"/>
      <c r="O83" s="7"/>
    </row>
    <row r="84">
      <c r="A84" s="2" t="s">
        <v>1004</v>
      </c>
      <c r="B84" s="2" t="s">
        <v>5078</v>
      </c>
      <c r="C84" s="2" t="s">
        <v>5079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1004</v>
      </c>
      <c r="B85" s="2" t="s">
        <v>1917</v>
      </c>
      <c r="C85" s="2" t="s">
        <v>2495</v>
      </c>
      <c r="D85" s="4" t="s">
        <v>231</v>
      </c>
      <c r="E85" s="8" t="s">
        <v>231</v>
      </c>
      <c r="F85" s="4" t="s">
        <v>231</v>
      </c>
      <c r="G85" s="8" t="s">
        <v>231</v>
      </c>
      <c r="H85" s="7" t="s">
        <v>231</v>
      </c>
      <c r="I85" s="7" t="s">
        <v>231</v>
      </c>
      <c r="J85" s="4"/>
      <c r="K85" s="8"/>
      <c r="L85" s="4"/>
      <c r="M85" s="8"/>
      <c r="N85" s="7"/>
      <c r="O85" s="7"/>
    </row>
    <row r="86">
      <c r="A86" s="2" t="s">
        <v>1004</v>
      </c>
      <c r="B86" s="2" t="s">
        <v>1917</v>
      </c>
      <c r="C86" s="2" t="s">
        <v>1918</v>
      </c>
      <c r="D86" s="4" t="s">
        <v>231</v>
      </c>
      <c r="E86" s="8" t="s">
        <v>231</v>
      </c>
      <c r="F86" s="4" t="s">
        <v>231</v>
      </c>
      <c r="G86" s="8" t="s">
        <v>231</v>
      </c>
      <c r="H86" s="7" t="s">
        <v>231</v>
      </c>
      <c r="I86" s="7" t="s">
        <v>231</v>
      </c>
      <c r="J86" s="4"/>
      <c r="K86" s="8"/>
      <c r="L86" s="4"/>
      <c r="M86" s="8"/>
      <c r="N86" s="7"/>
      <c r="O86" s="7"/>
    </row>
    <row r="87">
      <c r="A87" s="2" t="s">
        <v>1004</v>
      </c>
      <c r="B87" s="2" t="s">
        <v>1917</v>
      </c>
      <c r="C87" s="2" t="s">
        <v>1032</v>
      </c>
      <c r="D87" s="4" t="s">
        <v>231</v>
      </c>
      <c r="E87" s="8" t="s">
        <v>231</v>
      </c>
      <c r="F87" s="4" t="s">
        <v>231</v>
      </c>
      <c r="G87" s="8" t="s">
        <v>231</v>
      </c>
      <c r="H87" s="7" t="s">
        <v>231</v>
      </c>
      <c r="I87" s="7" t="s">
        <v>231</v>
      </c>
      <c r="J87" s="4"/>
      <c r="K87" s="8"/>
      <c r="L87" s="4"/>
      <c r="M87" s="8"/>
      <c r="N87" s="7"/>
      <c r="O87" s="7"/>
    </row>
    <row r="88">
      <c r="A88" s="2" t="s">
        <v>1004</v>
      </c>
      <c r="B88" s="2" t="s">
        <v>1295</v>
      </c>
      <c r="C88" s="2" t="s">
        <v>2253</v>
      </c>
      <c r="D88" s="4" t="s">
        <v>231</v>
      </c>
      <c r="E88" s="8" t="s">
        <v>231</v>
      </c>
      <c r="F88" s="4" t="s">
        <v>231</v>
      </c>
      <c r="G88" s="8" t="s">
        <v>231</v>
      </c>
      <c r="H88" s="7" t="s">
        <v>231</v>
      </c>
      <c r="I88" s="7" t="s">
        <v>231</v>
      </c>
      <c r="J88" s="4"/>
      <c r="K88" s="8"/>
      <c r="L88" s="4"/>
      <c r="M88" s="8"/>
      <c r="N88" s="7"/>
      <c r="O88" s="7"/>
    </row>
    <row r="89">
      <c r="A89" s="2" t="s">
        <v>1004</v>
      </c>
      <c r="B89" s="2" t="s">
        <v>1295</v>
      </c>
      <c r="C89" s="2" t="s">
        <v>241</v>
      </c>
      <c r="D89" s="4" t="s">
        <v>231</v>
      </c>
      <c r="E89" s="8" t="s">
        <v>231</v>
      </c>
      <c r="F89" s="4" t="s">
        <v>231</v>
      </c>
      <c r="G89" s="8" t="s">
        <v>231</v>
      </c>
      <c r="H89" s="7" t="s">
        <v>231</v>
      </c>
      <c r="I89" s="7" t="s">
        <v>231</v>
      </c>
      <c r="J89" s="4"/>
      <c r="K89" s="8"/>
      <c r="L89" s="4"/>
      <c r="M89" s="8"/>
      <c r="N89" s="7"/>
      <c r="O89" s="7"/>
    </row>
    <row r="90">
      <c r="A90" s="2" t="s">
        <v>1004</v>
      </c>
      <c r="B90" s="2" t="s">
        <v>5034</v>
      </c>
      <c r="C90" s="2" t="s">
        <v>5035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1004</v>
      </c>
      <c r="B91" s="2" t="s">
        <v>6082</v>
      </c>
      <c r="C91" s="2" t="s">
        <v>6083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1004</v>
      </c>
      <c r="B92" s="2" t="s">
        <v>1005</v>
      </c>
      <c r="C92" s="2" t="s">
        <v>1006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1004</v>
      </c>
      <c r="B93" s="2" t="s">
        <v>6126</v>
      </c>
      <c r="C93" s="2" t="s">
        <v>6127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1004</v>
      </c>
      <c r="B94" s="2" t="s">
        <v>1922</v>
      </c>
      <c r="C94" s="2" t="s">
        <v>2538</v>
      </c>
      <c r="D94" s="4" t="s">
        <v>231</v>
      </c>
      <c r="E94" s="8" t="s">
        <v>231</v>
      </c>
      <c r="F94" s="4" t="s">
        <v>231</v>
      </c>
      <c r="G94" s="8" t="s">
        <v>231</v>
      </c>
      <c r="H94" s="7" t="s">
        <v>231</v>
      </c>
      <c r="I94" s="7" t="s">
        <v>231</v>
      </c>
      <c r="J94" s="4"/>
      <c r="K94" s="8"/>
      <c r="L94" s="4"/>
      <c r="M94" s="8"/>
      <c r="N94" s="7"/>
      <c r="O94" s="7"/>
    </row>
    <row r="95">
      <c r="A95" s="2" t="s">
        <v>1004</v>
      </c>
      <c r="B95" s="2" t="s">
        <v>1922</v>
      </c>
      <c r="C95" s="2" t="s">
        <v>11741</v>
      </c>
      <c r="D95" s="4" t="s">
        <v>231</v>
      </c>
      <c r="E95" s="8" t="s">
        <v>231</v>
      </c>
      <c r="F95" s="4" t="s">
        <v>231</v>
      </c>
      <c r="G95" s="8" t="s">
        <v>231</v>
      </c>
      <c r="H95" s="7" t="s">
        <v>231</v>
      </c>
      <c r="I95" s="7" t="s">
        <v>231</v>
      </c>
      <c r="J95" s="4"/>
      <c r="K95" s="8"/>
      <c r="L95" s="4"/>
      <c r="M95" s="8"/>
      <c r="N95" s="7"/>
      <c r="O95" s="7"/>
    </row>
    <row r="96">
      <c r="A96" s="2" t="s">
        <v>1004</v>
      </c>
      <c r="B96" s="2" t="s">
        <v>1922</v>
      </c>
      <c r="C96" s="2" t="s">
        <v>1923</v>
      </c>
      <c r="D96" s="4" t="s">
        <v>231</v>
      </c>
      <c r="E96" s="8" t="s">
        <v>231</v>
      </c>
      <c r="F96" s="4" t="s">
        <v>231</v>
      </c>
      <c r="G96" s="8" t="s">
        <v>231</v>
      </c>
      <c r="H96" s="7" t="s">
        <v>231</v>
      </c>
      <c r="I96" s="7" t="s">
        <v>231</v>
      </c>
      <c r="J96" s="4"/>
      <c r="K96" s="8"/>
      <c r="L96" s="4"/>
      <c r="M96" s="8"/>
      <c r="N96" s="7"/>
      <c r="O96" s="7"/>
    </row>
    <row r="97">
      <c r="A97" s="2" t="s">
        <v>1004</v>
      </c>
      <c r="B97" s="2" t="s">
        <v>1922</v>
      </c>
      <c r="C97" s="2" t="s">
        <v>5986</v>
      </c>
      <c r="D97" s="4" t="s">
        <v>231</v>
      </c>
      <c r="E97" s="8" t="s">
        <v>231</v>
      </c>
      <c r="F97" s="4" t="s">
        <v>231</v>
      </c>
      <c r="G97" s="8" t="s">
        <v>231</v>
      </c>
      <c r="H97" s="7" t="s">
        <v>231</v>
      </c>
      <c r="I97" s="7" t="s">
        <v>231</v>
      </c>
      <c r="J97" s="4"/>
      <c r="K97" s="8"/>
      <c r="L97" s="4"/>
      <c r="M97" s="8"/>
      <c r="N97" s="7"/>
      <c r="O97" s="7"/>
    </row>
    <row r="98">
      <c r="A98" s="2" t="s">
        <v>1004</v>
      </c>
      <c r="B98" s="2" t="s">
        <v>5985</v>
      </c>
      <c r="C98" s="2" t="s">
        <v>5986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1004</v>
      </c>
      <c r="B99" s="2" t="s">
        <v>12297</v>
      </c>
      <c r="C99" s="2" t="s">
        <v>12298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1004</v>
      </c>
      <c r="B100" s="2" t="s">
        <v>11312</v>
      </c>
      <c r="C100" s="2" t="s">
        <v>11313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1004</v>
      </c>
      <c r="B101" s="2" t="s">
        <v>2014</v>
      </c>
      <c r="C101" s="2" t="s">
        <v>2015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1004</v>
      </c>
      <c r="B102" s="2" t="s">
        <v>1031</v>
      </c>
      <c r="C102" s="2" t="s">
        <v>1123</v>
      </c>
      <c r="D102" s="4" t="s">
        <v>231</v>
      </c>
      <c r="E102" s="8" t="s">
        <v>231</v>
      </c>
      <c r="F102" s="4" t="s">
        <v>231</v>
      </c>
      <c r="G102" s="8" t="s">
        <v>231</v>
      </c>
      <c r="H102" s="7" t="s">
        <v>231</v>
      </c>
      <c r="I102" s="7" t="s">
        <v>231</v>
      </c>
      <c r="J102" s="4"/>
      <c r="K102" s="8"/>
      <c r="L102" s="4"/>
      <c r="M102" s="8"/>
      <c r="N102" s="7"/>
      <c r="O102" s="7"/>
    </row>
    <row r="103">
      <c r="A103" s="2" t="s">
        <v>1004</v>
      </c>
      <c r="B103" s="2" t="s">
        <v>1031</v>
      </c>
      <c r="C103" s="2" t="s">
        <v>1032</v>
      </c>
      <c r="D103" s="4" t="s">
        <v>231</v>
      </c>
      <c r="E103" s="8" t="s">
        <v>231</v>
      </c>
      <c r="F103" s="4" t="s">
        <v>231</v>
      </c>
      <c r="G103" s="8" t="s">
        <v>231</v>
      </c>
      <c r="H103" s="7" t="s">
        <v>231</v>
      </c>
      <c r="I103" s="7" t="s">
        <v>231</v>
      </c>
      <c r="J103" s="4"/>
      <c r="K103" s="8"/>
      <c r="L103" s="4"/>
      <c r="M103" s="8"/>
      <c r="N103" s="7"/>
      <c r="O103" s="7"/>
    </row>
    <row r="104">
      <c r="A104" s="2" t="s">
        <v>1004</v>
      </c>
      <c r="B104" s="2" t="s">
        <v>1031</v>
      </c>
      <c r="C104" s="2" t="s">
        <v>8609</v>
      </c>
      <c r="D104" s="4" t="s">
        <v>231</v>
      </c>
      <c r="E104" s="8" t="s">
        <v>231</v>
      </c>
      <c r="F104" s="4" t="s">
        <v>231</v>
      </c>
      <c r="G104" s="8" t="s">
        <v>231</v>
      </c>
      <c r="H104" s="7" t="s">
        <v>231</v>
      </c>
      <c r="I104" s="7" t="s">
        <v>231</v>
      </c>
      <c r="J104" s="4"/>
      <c r="K104" s="8"/>
      <c r="L104" s="4"/>
      <c r="M104" s="8"/>
      <c r="N104" s="7"/>
      <c r="O104" s="7"/>
    </row>
    <row r="105">
      <c r="A105" s="2" t="s">
        <v>1004</v>
      </c>
      <c r="B105" s="2" t="s">
        <v>2260</v>
      </c>
      <c r="C105" s="2" t="s">
        <v>2261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1004</v>
      </c>
      <c r="B106" s="2" t="s">
        <v>1837</v>
      </c>
      <c r="C106" s="2" t="s">
        <v>6476</v>
      </c>
      <c r="D106" s="4" t="s">
        <v>231</v>
      </c>
      <c r="E106" s="8" t="s">
        <v>231</v>
      </c>
      <c r="F106" s="4" t="s">
        <v>231</v>
      </c>
      <c r="G106" s="8" t="s">
        <v>231</v>
      </c>
      <c r="H106" s="7" t="s">
        <v>231</v>
      </c>
      <c r="I106" s="7" t="s">
        <v>231</v>
      </c>
      <c r="J106" s="4"/>
      <c r="K106" s="8"/>
      <c r="L106" s="4"/>
      <c r="M106" s="8"/>
      <c r="N106" s="7"/>
      <c r="O106" s="7"/>
    </row>
    <row r="107">
      <c r="A107" s="2" t="s">
        <v>1004</v>
      </c>
      <c r="B107" s="2" t="s">
        <v>1837</v>
      </c>
      <c r="C107" s="2" t="s">
        <v>7920</v>
      </c>
      <c r="D107" s="4" t="s">
        <v>231</v>
      </c>
      <c r="E107" s="8" t="s">
        <v>231</v>
      </c>
      <c r="F107" s="4" t="s">
        <v>231</v>
      </c>
      <c r="G107" s="8" t="s">
        <v>231</v>
      </c>
      <c r="H107" s="7" t="s">
        <v>231</v>
      </c>
      <c r="I107" s="7" t="s">
        <v>231</v>
      </c>
      <c r="J107" s="4"/>
      <c r="K107" s="8"/>
      <c r="L107" s="4"/>
      <c r="M107" s="8"/>
      <c r="N107" s="7"/>
      <c r="O107" s="7"/>
    </row>
    <row r="108">
      <c r="A108" s="2" t="s">
        <v>1004</v>
      </c>
      <c r="B108" s="2" t="s">
        <v>1837</v>
      </c>
      <c r="C108" s="2" t="s">
        <v>1838</v>
      </c>
      <c r="D108" s="4" t="s">
        <v>231</v>
      </c>
      <c r="E108" s="8" t="s">
        <v>231</v>
      </c>
      <c r="F108" s="4" t="s">
        <v>231</v>
      </c>
      <c r="G108" s="8" t="s">
        <v>231</v>
      </c>
      <c r="H108" s="7" t="s">
        <v>231</v>
      </c>
      <c r="I108" s="7" t="s">
        <v>231</v>
      </c>
      <c r="J108" s="4"/>
      <c r="K108" s="8"/>
      <c r="L108" s="4"/>
      <c r="M108" s="8"/>
      <c r="N108" s="7"/>
      <c r="O108" s="7"/>
    </row>
    <row r="109">
      <c r="A109" s="2" t="s">
        <v>1004</v>
      </c>
      <c r="B109" s="2" t="s">
        <v>1837</v>
      </c>
      <c r="C109" s="2" t="s">
        <v>2264</v>
      </c>
      <c r="D109" s="4" t="s">
        <v>231</v>
      </c>
      <c r="E109" s="8" t="s">
        <v>231</v>
      </c>
      <c r="F109" s="4" t="s">
        <v>231</v>
      </c>
      <c r="G109" s="8" t="s">
        <v>231</v>
      </c>
      <c r="H109" s="7" t="s">
        <v>231</v>
      </c>
      <c r="I109" s="7" t="s">
        <v>231</v>
      </c>
      <c r="J109" s="4"/>
      <c r="K109" s="8"/>
      <c r="L109" s="4"/>
      <c r="M109" s="8"/>
      <c r="N109" s="7"/>
      <c r="O109" s="7"/>
    </row>
    <row r="110">
      <c r="A110" s="2" t="s">
        <v>1004</v>
      </c>
      <c r="B110" s="2" t="s">
        <v>2411</v>
      </c>
      <c r="C110" s="2" t="s">
        <v>6476</v>
      </c>
      <c r="D110" s="4" t="s">
        <v>231</v>
      </c>
      <c r="E110" s="8" t="s">
        <v>231</v>
      </c>
      <c r="F110" s="4" t="s">
        <v>231</v>
      </c>
      <c r="G110" s="8" t="s">
        <v>231</v>
      </c>
      <c r="H110" s="7" t="s">
        <v>231</v>
      </c>
      <c r="I110" s="7" t="s">
        <v>231</v>
      </c>
      <c r="J110" s="4"/>
      <c r="K110" s="8"/>
      <c r="L110" s="4"/>
      <c r="M110" s="8"/>
      <c r="N110" s="7"/>
      <c r="O110" s="7"/>
    </row>
    <row r="111">
      <c r="A111" s="2" t="s">
        <v>1004</v>
      </c>
      <c r="B111" s="2" t="s">
        <v>2411</v>
      </c>
      <c r="C111" s="2" t="s">
        <v>2412</v>
      </c>
      <c r="D111" s="4" t="s">
        <v>231</v>
      </c>
      <c r="E111" s="8" t="s">
        <v>231</v>
      </c>
      <c r="F111" s="4" t="s">
        <v>231</v>
      </c>
      <c r="G111" s="8" t="s">
        <v>231</v>
      </c>
      <c r="H111" s="7" t="s">
        <v>231</v>
      </c>
      <c r="I111" s="7" t="s">
        <v>231</v>
      </c>
      <c r="J111" s="4"/>
      <c r="K111" s="8"/>
      <c r="L111" s="4"/>
      <c r="M111" s="8"/>
      <c r="N111" s="7"/>
      <c r="O111" s="7"/>
    </row>
    <row r="112">
      <c r="A112" s="2" t="s">
        <v>1004</v>
      </c>
      <c r="B112" s="2" t="s">
        <v>6435</v>
      </c>
      <c r="C112" s="2" t="s">
        <v>2651</v>
      </c>
      <c r="D112" s="4" t="s">
        <v>231</v>
      </c>
      <c r="E112" s="8" t="s">
        <v>231</v>
      </c>
      <c r="F112" s="4" t="s">
        <v>231</v>
      </c>
      <c r="G112" s="8" t="s">
        <v>231</v>
      </c>
      <c r="H112" s="7" t="s">
        <v>231</v>
      </c>
      <c r="I112" s="7" t="s">
        <v>231</v>
      </c>
      <c r="J112" s="4"/>
      <c r="K112" s="8"/>
      <c r="L112" s="4"/>
      <c r="M112" s="8"/>
      <c r="N112" s="7"/>
      <c r="O112" s="7"/>
    </row>
    <row r="113">
      <c r="A113" s="2" t="s">
        <v>1004</v>
      </c>
      <c r="B113" s="2" t="s">
        <v>6435</v>
      </c>
      <c r="C113" s="2" t="s">
        <v>9425</v>
      </c>
      <c r="D113" s="4" t="s">
        <v>231</v>
      </c>
      <c r="E113" s="8" t="s">
        <v>231</v>
      </c>
      <c r="F113" s="4" t="s">
        <v>231</v>
      </c>
      <c r="G113" s="8" t="s">
        <v>231</v>
      </c>
      <c r="H113" s="7" t="s">
        <v>231</v>
      </c>
      <c r="I113" s="7" t="s">
        <v>231</v>
      </c>
      <c r="J113" s="4"/>
      <c r="K113" s="8"/>
      <c r="L113" s="4"/>
      <c r="M113" s="8"/>
      <c r="N113" s="7"/>
      <c r="O113" s="7"/>
    </row>
    <row r="114">
      <c r="A114" s="2" t="s">
        <v>1004</v>
      </c>
      <c r="B114" s="2" t="s">
        <v>6435</v>
      </c>
      <c r="C114" s="2" t="s">
        <v>2538</v>
      </c>
      <c r="D114" s="4" t="s">
        <v>231</v>
      </c>
      <c r="E114" s="8" t="s">
        <v>231</v>
      </c>
      <c r="F114" s="4" t="s">
        <v>231</v>
      </c>
      <c r="G114" s="8" t="s">
        <v>231</v>
      </c>
      <c r="H114" s="7" t="s">
        <v>231</v>
      </c>
      <c r="I114" s="7" t="s">
        <v>231</v>
      </c>
      <c r="J114" s="4"/>
      <c r="K114" s="8"/>
      <c r="L114" s="4"/>
      <c r="M114" s="8"/>
      <c r="N114" s="7"/>
      <c r="O114" s="7"/>
    </row>
    <row r="115">
      <c r="A115" s="2" t="s">
        <v>1004</v>
      </c>
      <c r="B115" s="2" t="s">
        <v>6435</v>
      </c>
      <c r="C115" s="2" t="s">
        <v>2412</v>
      </c>
      <c r="D115" s="4" t="s">
        <v>231</v>
      </c>
      <c r="E115" s="8" t="s">
        <v>231</v>
      </c>
      <c r="F115" s="4" t="s">
        <v>231</v>
      </c>
      <c r="G115" s="8" t="s">
        <v>231</v>
      </c>
      <c r="H115" s="7" t="s">
        <v>231</v>
      </c>
      <c r="I115" s="7" t="s">
        <v>231</v>
      </c>
      <c r="J115" s="4"/>
      <c r="K115" s="8"/>
      <c r="L115" s="4"/>
      <c r="M115" s="8"/>
      <c r="N115" s="7"/>
      <c r="O115" s="7"/>
    </row>
    <row r="116">
      <c r="A116" s="2" t="s">
        <v>1004</v>
      </c>
      <c r="B116" s="2" t="s">
        <v>6435</v>
      </c>
      <c r="C116" s="2" t="s">
        <v>6436</v>
      </c>
      <c r="D116" s="4" t="s">
        <v>231</v>
      </c>
      <c r="E116" s="8" t="s">
        <v>231</v>
      </c>
      <c r="F116" s="4" t="s">
        <v>231</v>
      </c>
      <c r="G116" s="8" t="s">
        <v>231</v>
      </c>
      <c r="H116" s="7" t="s">
        <v>231</v>
      </c>
      <c r="I116" s="7" t="s">
        <v>231</v>
      </c>
      <c r="J116" s="4"/>
      <c r="K116" s="8"/>
      <c r="L116" s="4"/>
      <c r="M116" s="8"/>
      <c r="N116" s="7"/>
      <c r="O116" s="7"/>
    </row>
    <row r="117">
      <c r="A117" s="2" t="s">
        <v>801</v>
      </c>
      <c r="B117" s="2" t="s">
        <v>803</v>
      </c>
      <c r="C117" s="2" t="s">
        <v>804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801</v>
      </c>
      <c r="B118" s="2" t="s">
        <v>2228</v>
      </c>
      <c r="C118" s="2" t="s">
        <v>2229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801</v>
      </c>
      <c r="B119" s="2" t="s">
        <v>1043</v>
      </c>
      <c r="C119" s="2" t="s">
        <v>1044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801</v>
      </c>
      <c r="B120" s="2" t="s">
        <v>3871</v>
      </c>
      <c r="C120" s="2" t="s">
        <v>3872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801</v>
      </c>
      <c r="B121" s="2" t="s">
        <v>1114</v>
      </c>
      <c r="C121" s="2" t="s">
        <v>1115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3036</v>
      </c>
      <c r="B122" s="2" t="s">
        <v>3037</v>
      </c>
      <c r="C122" s="2" t="s">
        <v>3038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1232</v>
      </c>
      <c r="B123" s="2" t="s">
        <v>1234</v>
      </c>
      <c r="C123" s="2" t="s">
        <v>1235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1389</v>
      </c>
      <c r="B124" s="2" t="s">
        <v>1389</v>
      </c>
      <c r="C124" s="2" t="s">
        <v>1389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287</v>
      </c>
      <c r="B125" s="2" t="s">
        <v>3558</v>
      </c>
      <c r="C125" s="2" t="s">
        <v>5812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287</v>
      </c>
      <c r="B126" s="2" t="s">
        <v>826</v>
      </c>
      <c r="C126" s="2" t="s">
        <v>1060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287</v>
      </c>
      <c r="B127" s="2" t="s">
        <v>458</v>
      </c>
      <c r="C127" s="2" t="s">
        <v>459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287</v>
      </c>
      <c r="B128" s="2" t="s">
        <v>289</v>
      </c>
      <c r="C128" s="2" t="s">
        <v>290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784</v>
      </c>
      <c r="B129" s="2" t="s">
        <v>785</v>
      </c>
      <c r="C129" s="2" t="s">
        <v>786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992</v>
      </c>
      <c r="B130" s="2" t="s">
        <v>8112</v>
      </c>
      <c r="C130" s="2" t="s">
        <v>8113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992</v>
      </c>
      <c r="B131" s="2" t="s">
        <v>1139</v>
      </c>
      <c r="C131" s="2" t="s">
        <v>1140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992</v>
      </c>
      <c r="B132" s="2" t="s">
        <v>1525</v>
      </c>
      <c r="C132" s="2" t="s">
        <v>1526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992</v>
      </c>
      <c r="B133" s="2" t="s">
        <v>993</v>
      </c>
      <c r="C133" s="2" t="s">
        <v>1157</v>
      </c>
      <c r="D133" s="4" t="s">
        <v>231</v>
      </c>
      <c r="E133" s="8" t="s">
        <v>231</v>
      </c>
      <c r="F133" s="4" t="s">
        <v>231</v>
      </c>
      <c r="G133" s="8" t="s">
        <v>231</v>
      </c>
      <c r="H133" s="7" t="s">
        <v>231</v>
      </c>
      <c r="I133" s="7" t="s">
        <v>231</v>
      </c>
      <c r="J133" s="4"/>
      <c r="K133" s="8"/>
      <c r="L133" s="4"/>
      <c r="M133" s="8"/>
      <c r="N133" s="7"/>
      <c r="O133" s="7"/>
    </row>
    <row r="134">
      <c r="A134" s="2" t="s">
        <v>992</v>
      </c>
      <c r="B134" s="2" t="s">
        <v>993</v>
      </c>
      <c r="C134" s="2" t="s">
        <v>3795</v>
      </c>
      <c r="D134" s="4" t="s">
        <v>231</v>
      </c>
      <c r="E134" s="8" t="s">
        <v>231</v>
      </c>
      <c r="F134" s="4" t="s">
        <v>231</v>
      </c>
      <c r="G134" s="8" t="s">
        <v>231</v>
      </c>
      <c r="H134" s="7" t="s">
        <v>231</v>
      </c>
      <c r="I134" s="7" t="s">
        <v>231</v>
      </c>
      <c r="J134" s="4"/>
      <c r="K134" s="8"/>
      <c r="L134" s="4"/>
      <c r="M134" s="8"/>
      <c r="N134" s="7"/>
      <c r="O134" s="7"/>
    </row>
    <row r="135">
      <c r="A135" s="2" t="s">
        <v>992</v>
      </c>
      <c r="B135" s="2" t="s">
        <v>993</v>
      </c>
      <c r="C135" s="2" t="s">
        <v>2042</v>
      </c>
      <c r="D135" s="4" t="s">
        <v>231</v>
      </c>
      <c r="E135" s="8" t="s">
        <v>231</v>
      </c>
      <c r="F135" s="4" t="s">
        <v>231</v>
      </c>
      <c r="G135" s="8" t="s">
        <v>231</v>
      </c>
      <c r="H135" s="7" t="s">
        <v>231</v>
      </c>
      <c r="I135" s="7" t="s">
        <v>231</v>
      </c>
      <c r="J135" s="4"/>
      <c r="K135" s="8"/>
      <c r="L135" s="4"/>
      <c r="M135" s="8"/>
      <c r="N135" s="7"/>
      <c r="O135" s="7"/>
    </row>
    <row r="136">
      <c r="A136" s="2" t="s">
        <v>992</v>
      </c>
      <c r="B136" s="2" t="s">
        <v>993</v>
      </c>
      <c r="C136" s="2" t="s">
        <v>3390</v>
      </c>
      <c r="D136" s="4" t="s">
        <v>231</v>
      </c>
      <c r="E136" s="8" t="s">
        <v>231</v>
      </c>
      <c r="F136" s="4" t="s">
        <v>231</v>
      </c>
      <c r="G136" s="8" t="s">
        <v>231</v>
      </c>
      <c r="H136" s="7" t="s">
        <v>231</v>
      </c>
      <c r="I136" s="7" t="s">
        <v>231</v>
      </c>
      <c r="J136" s="4"/>
      <c r="K136" s="8"/>
      <c r="L136" s="4"/>
      <c r="M136" s="8"/>
      <c r="N136" s="7"/>
      <c r="O136" s="7"/>
    </row>
    <row r="137">
      <c r="A137" s="2" t="s">
        <v>992</v>
      </c>
      <c r="B137" s="2" t="s">
        <v>993</v>
      </c>
      <c r="C137" s="2" t="s">
        <v>994</v>
      </c>
      <c r="D137" s="4" t="s">
        <v>231</v>
      </c>
      <c r="E137" s="8" t="s">
        <v>231</v>
      </c>
      <c r="F137" s="4" t="s">
        <v>231</v>
      </c>
      <c r="G137" s="8" t="s">
        <v>231</v>
      </c>
      <c r="H137" s="7" t="s">
        <v>231</v>
      </c>
      <c r="I137" s="7" t="s">
        <v>231</v>
      </c>
      <c r="J137" s="4"/>
      <c r="K137" s="8"/>
      <c r="L137" s="4"/>
      <c r="M137" s="8"/>
      <c r="N137" s="7"/>
      <c r="O137" s="7"/>
    </row>
    <row r="138">
      <c r="A138" s="2" t="s">
        <v>992</v>
      </c>
      <c r="B138" s="2" t="s">
        <v>993</v>
      </c>
      <c r="C138" s="2" t="s">
        <v>7278</v>
      </c>
      <c r="D138" s="4" t="s">
        <v>231</v>
      </c>
      <c r="E138" s="8" t="s">
        <v>231</v>
      </c>
      <c r="F138" s="4" t="s">
        <v>231</v>
      </c>
      <c r="G138" s="8" t="s">
        <v>231</v>
      </c>
      <c r="H138" s="7" t="s">
        <v>231</v>
      </c>
      <c r="I138" s="7" t="s">
        <v>231</v>
      </c>
      <c r="J138" s="4"/>
      <c r="K138" s="8"/>
      <c r="L138" s="4"/>
      <c r="M138" s="8"/>
      <c r="N138" s="7"/>
      <c r="O138" s="7"/>
    </row>
    <row r="139">
      <c r="A139" s="2" t="s">
        <v>824</v>
      </c>
      <c r="B139" s="2" t="s">
        <v>654</v>
      </c>
      <c r="C139" s="2" t="s">
        <v>1187</v>
      </c>
      <c r="D139" s="4" t="s">
        <v>231</v>
      </c>
      <c r="E139" s="8" t="s">
        <v>231</v>
      </c>
      <c r="F139" s="4" t="s">
        <v>231</v>
      </c>
      <c r="G139" s="8" t="s">
        <v>231</v>
      </c>
      <c r="H139" s="7" t="s">
        <v>231</v>
      </c>
      <c r="I139" s="7" t="s">
        <v>231</v>
      </c>
      <c r="J139" s="4"/>
      <c r="K139" s="8"/>
      <c r="L139" s="4"/>
      <c r="M139" s="8"/>
      <c r="N139" s="7"/>
      <c r="O139" s="7"/>
    </row>
    <row r="140">
      <c r="A140" s="2" t="s">
        <v>824</v>
      </c>
      <c r="B140" s="2" t="s">
        <v>654</v>
      </c>
      <c r="C140" s="2" t="s">
        <v>655</v>
      </c>
      <c r="D140" s="4" t="s">
        <v>231</v>
      </c>
      <c r="E140" s="8" t="s">
        <v>231</v>
      </c>
      <c r="F140" s="4" t="s">
        <v>231</v>
      </c>
      <c r="G140" s="8" t="s">
        <v>231</v>
      </c>
      <c r="H140" s="7" t="s">
        <v>231</v>
      </c>
      <c r="I140" s="7" t="s">
        <v>231</v>
      </c>
      <c r="J140" s="4"/>
      <c r="K140" s="8"/>
      <c r="L140" s="4"/>
      <c r="M140" s="8"/>
      <c r="N140" s="7"/>
      <c r="O140" s="7"/>
    </row>
    <row r="141">
      <c r="A141" s="2" t="s">
        <v>824</v>
      </c>
      <c r="B141" s="2" t="s">
        <v>654</v>
      </c>
      <c r="C141" s="2" t="s">
        <v>890</v>
      </c>
      <c r="D141" s="4" t="s">
        <v>231</v>
      </c>
      <c r="E141" s="8" t="s">
        <v>231</v>
      </c>
      <c r="F141" s="4" t="s">
        <v>231</v>
      </c>
      <c r="G141" s="8" t="s">
        <v>231</v>
      </c>
      <c r="H141" s="7" t="s">
        <v>231</v>
      </c>
      <c r="I141" s="7" t="s">
        <v>231</v>
      </c>
      <c r="J141" s="4"/>
      <c r="K141" s="8"/>
      <c r="L141" s="4"/>
      <c r="M141" s="8"/>
      <c r="N141" s="7"/>
      <c r="O141" s="7"/>
    </row>
    <row r="142">
      <c r="A142" s="2" t="s">
        <v>824</v>
      </c>
      <c r="B142" s="2" t="s">
        <v>1462</v>
      </c>
      <c r="C142" s="2" t="s">
        <v>2563</v>
      </c>
      <c r="D142" s="4" t="s">
        <v>231</v>
      </c>
      <c r="E142" s="8" t="s">
        <v>231</v>
      </c>
      <c r="F142" s="4" t="s">
        <v>231</v>
      </c>
      <c r="G142" s="8" t="s">
        <v>231</v>
      </c>
      <c r="H142" s="7" t="s">
        <v>231</v>
      </c>
      <c r="I142" s="7" t="s">
        <v>231</v>
      </c>
      <c r="J142" s="4"/>
      <c r="K142" s="8"/>
      <c r="L142" s="4"/>
      <c r="M142" s="8"/>
      <c r="N142" s="7"/>
      <c r="O142" s="7"/>
    </row>
    <row r="143">
      <c r="A143" s="2" t="s">
        <v>824</v>
      </c>
      <c r="B143" s="2" t="s">
        <v>1462</v>
      </c>
      <c r="C143" s="2" t="s">
        <v>1463</v>
      </c>
      <c r="D143" s="4" t="s">
        <v>231</v>
      </c>
      <c r="E143" s="8" t="s">
        <v>231</v>
      </c>
      <c r="F143" s="4" t="s">
        <v>231</v>
      </c>
      <c r="G143" s="8" t="s">
        <v>231</v>
      </c>
      <c r="H143" s="7" t="s">
        <v>231</v>
      </c>
      <c r="I143" s="7" t="s">
        <v>231</v>
      </c>
      <c r="J143" s="4"/>
      <c r="K143" s="8"/>
      <c r="L143" s="4"/>
      <c r="M143" s="8"/>
      <c r="N143" s="7"/>
      <c r="O143" s="7"/>
    </row>
    <row r="144">
      <c r="A144" s="2" t="s">
        <v>824</v>
      </c>
      <c r="B144" s="2" t="s">
        <v>1462</v>
      </c>
      <c r="C144" s="2" t="s">
        <v>3568</v>
      </c>
      <c r="D144" s="4" t="s">
        <v>231</v>
      </c>
      <c r="E144" s="8" t="s">
        <v>231</v>
      </c>
      <c r="F144" s="4" t="s">
        <v>231</v>
      </c>
      <c r="G144" s="8" t="s">
        <v>231</v>
      </c>
      <c r="H144" s="7" t="s">
        <v>231</v>
      </c>
      <c r="I144" s="7" t="s">
        <v>231</v>
      </c>
      <c r="J144" s="4"/>
      <c r="K144" s="8"/>
      <c r="L144" s="4"/>
      <c r="M144" s="8"/>
      <c r="N144" s="7"/>
      <c r="O144" s="7"/>
    </row>
    <row r="145">
      <c r="A145" s="2" t="s">
        <v>824</v>
      </c>
      <c r="B145" s="2" t="s">
        <v>826</v>
      </c>
      <c r="C145" s="2" t="s">
        <v>1060</v>
      </c>
      <c r="D145" s="4" t="s">
        <v>231</v>
      </c>
      <c r="E145" s="8" t="s">
        <v>231</v>
      </c>
      <c r="F145" s="4" t="s">
        <v>231</v>
      </c>
      <c r="G145" s="8" t="s">
        <v>231</v>
      </c>
      <c r="H145" s="7" t="s">
        <v>231</v>
      </c>
      <c r="I145" s="7" t="s">
        <v>231</v>
      </c>
      <c r="J145" s="4"/>
      <c r="K145" s="8"/>
      <c r="L145" s="4"/>
      <c r="M145" s="8"/>
      <c r="N145" s="7"/>
      <c r="O145" s="7"/>
    </row>
    <row r="146">
      <c r="A146" s="2" t="s">
        <v>824</v>
      </c>
      <c r="B146" s="2" t="s">
        <v>826</v>
      </c>
      <c r="C146" s="2" t="s">
        <v>827</v>
      </c>
      <c r="D146" s="4" t="s">
        <v>231</v>
      </c>
      <c r="E146" s="8" t="s">
        <v>231</v>
      </c>
      <c r="F146" s="4" t="s">
        <v>231</v>
      </c>
      <c r="G146" s="8" t="s">
        <v>231</v>
      </c>
      <c r="H146" s="7" t="s">
        <v>231</v>
      </c>
      <c r="I146" s="7" t="s">
        <v>231</v>
      </c>
      <c r="J146" s="4"/>
      <c r="K146" s="8"/>
      <c r="L146" s="4"/>
      <c r="M146" s="8"/>
      <c r="N146" s="7"/>
      <c r="O14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1"/>
    <mergeCell ref="E8:E11"/>
    <mergeCell ref="F8:F11"/>
    <mergeCell ref="G8:G11"/>
    <mergeCell ref="H8:H11"/>
    <mergeCell ref="I8:I11"/>
    <mergeCell ref="D12:D18"/>
    <mergeCell ref="E12:E18"/>
    <mergeCell ref="F12:F18"/>
    <mergeCell ref="G12:G18"/>
    <mergeCell ref="H12:H18"/>
    <mergeCell ref="I12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7:D30"/>
    <mergeCell ref="E27:E30"/>
    <mergeCell ref="F27:F30"/>
    <mergeCell ref="G27:G30"/>
    <mergeCell ref="H27:H30"/>
    <mergeCell ref="I27:I30"/>
    <mergeCell ref="D32:D34"/>
    <mergeCell ref="E32:E34"/>
    <mergeCell ref="F32:F34"/>
    <mergeCell ref="G32:G34"/>
    <mergeCell ref="H32:H34"/>
    <mergeCell ref="I32:I34"/>
    <mergeCell ref="D36:D37"/>
    <mergeCell ref="E36:E37"/>
    <mergeCell ref="F36:F37"/>
    <mergeCell ref="G36:G37"/>
    <mergeCell ref="H36:H37"/>
    <mergeCell ref="I36:I37"/>
    <mergeCell ref="D39:D40"/>
    <mergeCell ref="E39:E40"/>
    <mergeCell ref="F39:F40"/>
    <mergeCell ref="G39:G40"/>
    <mergeCell ref="H39:H40"/>
    <mergeCell ref="I39:I40"/>
    <mergeCell ref="D41:D42"/>
    <mergeCell ref="E41:E42"/>
    <mergeCell ref="F41:F42"/>
    <mergeCell ref="G41:G42"/>
    <mergeCell ref="H41:H42"/>
    <mergeCell ref="I41:I42"/>
    <mergeCell ref="D43:D46"/>
    <mergeCell ref="E43:E46"/>
    <mergeCell ref="F43:F46"/>
    <mergeCell ref="G43:G46"/>
    <mergeCell ref="H43:H46"/>
    <mergeCell ref="I43:I46"/>
    <mergeCell ref="D47:D48"/>
    <mergeCell ref="E47:E48"/>
    <mergeCell ref="F47:F48"/>
    <mergeCell ref="G47:G48"/>
    <mergeCell ref="H47:H48"/>
    <mergeCell ref="I47:I48"/>
    <mergeCell ref="D51:D52"/>
    <mergeCell ref="E51:E52"/>
    <mergeCell ref="F51:F52"/>
    <mergeCell ref="G51:G52"/>
    <mergeCell ref="H51:H52"/>
    <mergeCell ref="I51:I52"/>
    <mergeCell ref="D57:D58"/>
    <mergeCell ref="E57:E58"/>
    <mergeCell ref="F57:F58"/>
    <mergeCell ref="G57:G58"/>
    <mergeCell ref="H57:H58"/>
    <mergeCell ref="I57:I58"/>
    <mergeCell ref="D61:D62"/>
    <mergeCell ref="E61:E62"/>
    <mergeCell ref="F61:F62"/>
    <mergeCell ref="G61:G62"/>
    <mergeCell ref="H61:H62"/>
    <mergeCell ref="I61:I62"/>
    <mergeCell ref="D63:D66"/>
    <mergeCell ref="E63:E66"/>
    <mergeCell ref="F63:F66"/>
    <mergeCell ref="G63:G66"/>
    <mergeCell ref="H63:H66"/>
    <mergeCell ref="I63:I66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4:D75"/>
    <mergeCell ref="E74:E75"/>
    <mergeCell ref="F74:F75"/>
    <mergeCell ref="G74:G75"/>
    <mergeCell ref="H74:H75"/>
    <mergeCell ref="I74:I75"/>
    <mergeCell ref="D76:D80"/>
    <mergeCell ref="E76:E80"/>
    <mergeCell ref="F76:F80"/>
    <mergeCell ref="G76:G80"/>
    <mergeCell ref="H76:H80"/>
    <mergeCell ref="I76:I80"/>
    <mergeCell ref="D81:D83"/>
    <mergeCell ref="E81:E83"/>
    <mergeCell ref="F81:F83"/>
    <mergeCell ref="G81:G83"/>
    <mergeCell ref="H81:H83"/>
    <mergeCell ref="I81:I83"/>
    <mergeCell ref="D85:D87"/>
    <mergeCell ref="E85:E87"/>
    <mergeCell ref="F85:F87"/>
    <mergeCell ref="G85:G87"/>
    <mergeCell ref="H85:H87"/>
    <mergeCell ref="I85:I87"/>
    <mergeCell ref="D88:D89"/>
    <mergeCell ref="E88:E89"/>
    <mergeCell ref="F88:F89"/>
    <mergeCell ref="G88:G89"/>
    <mergeCell ref="H88:H89"/>
    <mergeCell ref="I88:I89"/>
    <mergeCell ref="D94:D97"/>
    <mergeCell ref="E94:E97"/>
    <mergeCell ref="F94:F97"/>
    <mergeCell ref="G94:G97"/>
    <mergeCell ref="H94:H97"/>
    <mergeCell ref="I94:I97"/>
    <mergeCell ref="D102:D104"/>
    <mergeCell ref="E102:E104"/>
    <mergeCell ref="F102:F104"/>
    <mergeCell ref="G102:G104"/>
    <mergeCell ref="H102:H104"/>
    <mergeCell ref="I102:I104"/>
    <mergeCell ref="D106:D109"/>
    <mergeCell ref="E106:E109"/>
    <mergeCell ref="F106:F109"/>
    <mergeCell ref="G106:G109"/>
    <mergeCell ref="H106:H109"/>
    <mergeCell ref="I106:I109"/>
    <mergeCell ref="D110:D111"/>
    <mergeCell ref="E110:E111"/>
    <mergeCell ref="F110:F111"/>
    <mergeCell ref="G110:G111"/>
    <mergeCell ref="H110:H111"/>
    <mergeCell ref="I110:I111"/>
    <mergeCell ref="D112:D116"/>
    <mergeCell ref="E112:E116"/>
    <mergeCell ref="F112:F116"/>
    <mergeCell ref="G112:G116"/>
    <mergeCell ref="H112:H116"/>
    <mergeCell ref="I112:I116"/>
    <mergeCell ref="D133:D138"/>
    <mergeCell ref="E133:E138"/>
    <mergeCell ref="F133:F138"/>
    <mergeCell ref="G133:G138"/>
    <mergeCell ref="H133:H138"/>
    <mergeCell ref="I133:I138"/>
    <mergeCell ref="D139:D141"/>
    <mergeCell ref="E139:E141"/>
    <mergeCell ref="F139:F141"/>
    <mergeCell ref="G139:G141"/>
    <mergeCell ref="H139:H141"/>
    <mergeCell ref="I139:I141"/>
    <mergeCell ref="D142:D144"/>
    <mergeCell ref="E142:E144"/>
    <mergeCell ref="F142:F144"/>
    <mergeCell ref="G142:G144"/>
    <mergeCell ref="H142:H144"/>
    <mergeCell ref="I142:I144"/>
    <mergeCell ref="D145:D146"/>
    <mergeCell ref="E145:E146"/>
    <mergeCell ref="F145:F146"/>
    <mergeCell ref="G145:G146"/>
    <mergeCell ref="H145:H146"/>
    <mergeCell ref="I145:I146"/>
  </mergeCells>
  <headerFooter/>
</worksheet>
</file>